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im Mariano\Downloads\"/>
    </mc:Choice>
  </mc:AlternateContent>
  <xr:revisionPtr revIDLastSave="0" documentId="13_ncr:1_{6DE373BB-4478-469B-A718-E95B34A8F1EB}" xr6:coauthVersionLast="47" xr6:coauthVersionMax="47" xr10:uidLastSave="{00000000-0000-0000-0000-000000000000}"/>
  <bookViews>
    <workbookView xWindow="-120" yWindow="-120" windowWidth="29040" windowHeight="15720" xr2:uid="{00000000-000D-0000-FFFF-FFFF00000000}"/>
  </bookViews>
  <sheets>
    <sheet name="STARTUPS" sheetId="1" r:id="rId1"/>
    <sheet name="Copy of IDD_STARTUPS" sheetId="2" state="hidden" r:id="rId2"/>
    <sheet name="IDD-Projects (2018-2025)" sheetId="3" state="hidden" r:id="rId3"/>
    <sheet name="IBOD-Projects (2018-2025)" sheetId="4" state="hidden" r:id="rId4"/>
    <sheet name="Copy of TIPD_STARTUPS" sheetId="5" state="hidden" r:id="rId5"/>
    <sheet name="TIPD-Projects (2018-2025)" sheetId="6" state="hidden" r:id="rId6"/>
    <sheet name="LU-STARTUPS" sheetId="7" state="hidden" r:id="rId7"/>
    <sheet name="LEGAL-Projects (2018-2025)" sheetId="8" state="hidden" r:id="rId8"/>
    <sheet name="CONSOLIDATED-ASSISTED STARTUP" sheetId="9" state="hidden" r:id="rId9"/>
    <sheet name="Consolidated" sheetId="10" state="hidden" r:id="rId10"/>
    <sheet name="Copy of DOST-TAPI ASSISTED PROJ" sheetId="11" state="hidden" r:id="rId11"/>
    <sheet name="Consolidated-for updating" sheetId="12" state="hidden" r:id="rId12"/>
    <sheet name="2025" sheetId="13" state="hidden" r:id="rId13"/>
    <sheet name="2024" sheetId="14" state="hidden" r:id="rId14"/>
    <sheet name="Copy of 2023 GIA SummaryMonitor" sheetId="15" state="hidden" r:id="rId15"/>
    <sheet name="2023" sheetId="16" state="hidden" r:id="rId16"/>
    <sheet name="2022" sheetId="17" state="hidden" r:id="rId17"/>
    <sheet name="2021" sheetId="18" state="hidden" r:id="rId18"/>
    <sheet name="2020" sheetId="19" state="hidden" r:id="rId19"/>
    <sheet name="2019" sheetId="20" state="hidden" r:id="rId20"/>
    <sheet name="2018" sheetId="21" state="hidden" r:id="rId21"/>
    <sheet name="2017" sheetId="22" state="hidden" r:id="rId22"/>
    <sheet name="2016" sheetId="23" state="hidden" r:id="rId23"/>
    <sheet name="2015" sheetId="24" state="hidden" r:id="rId24"/>
    <sheet name="2014" sheetId="25" state="hidden" r:id="rId25"/>
    <sheet name="2013" sheetId="26" state="hidden" r:id="rId26"/>
    <sheet name="2012" sheetId="27" state="hidden" r:id="rId27"/>
    <sheet name="2011" sheetId="28" state="hidden" r:id="rId28"/>
    <sheet name="2010" sheetId="29" state="hidden" r:id="rId29"/>
    <sheet name="2009" sheetId="30" state="hidden" r:id="rId30"/>
    <sheet name="2008" sheetId="31" state="hidden" r:id="rId31"/>
    <sheet name="2023 Summary" sheetId="32" state="hidden" r:id="rId32"/>
    <sheet name="2007" sheetId="33" state="hidden" r:id="rId33"/>
    <sheet name="2006" sheetId="34" state="hidden" r:id="rId34"/>
    <sheet name="2005" sheetId="35" state="hidden" r:id="rId35"/>
    <sheet name="2004" sheetId="36" state="hidden" r:id="rId36"/>
    <sheet name="2003" sheetId="37" state="hidden" r:id="rId37"/>
    <sheet name="2002" sheetId="38" state="hidden" r:id="rId38"/>
    <sheet name="2001" sheetId="39" state="hidden" r:id="rId39"/>
    <sheet name="Statistics" sheetId="40" state="hidden" r:id="rId40"/>
    <sheet name="Consolidated2" sheetId="41" state="hidden" r:id="rId41"/>
    <sheet name="Copy of Consolidated" sheetId="42" state="hidden" r:id="rId42"/>
  </sheets>
  <externalReferences>
    <externalReference r:id="rId43"/>
  </externalReferences>
  <definedNames>
    <definedName name="_xlnm._FilterDatabase" localSheetId="37" hidden="1">'2002'!$A$1:$AC$86</definedName>
    <definedName name="_xlnm._FilterDatabase" localSheetId="33" hidden="1">'2006'!$A$1:$P$34</definedName>
    <definedName name="_xlnm._FilterDatabase" localSheetId="18" hidden="1">'2020'!$A$1:$R$49</definedName>
    <definedName name="_xlnm._FilterDatabase" localSheetId="15" hidden="1">'2023'!$A$1:$Z$93</definedName>
    <definedName name="_xlnm._FilterDatabase" localSheetId="11" hidden="1">'Consolidated-for updating'!$A$1:$I$1447</definedName>
    <definedName name="Z_54124929_EE60_443F_B392_D879CA063A10_.wvu.FilterData" localSheetId="15" hidden="1">'2023'!$A$1:$Q$84</definedName>
    <definedName name="Z_54124929_EE60_443F_B392_D879CA063A10_.wvu.FilterData" localSheetId="13" hidden="1">'2024'!$A$1:$N$879</definedName>
    <definedName name="Z_54124929_EE60_443F_B392_D879CA063A10_.wvu.FilterData" localSheetId="14" hidden="1">'Copy of 2023 GIA SummaryMonitor'!$A$1:$O$66</definedName>
  </definedNames>
  <calcPr calcId="191029"/>
  <customWorkbookViews>
    <customWorkbookView name="Filter 1" guid="{54124929-EE60-443F-B392-D879CA063A1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0" i="42" l="1"/>
  <c r="I115" i="42"/>
  <c r="I113" i="42"/>
  <c r="E59" i="40"/>
  <c r="B59" i="40" s="1"/>
  <c r="E58" i="40"/>
  <c r="B58" i="40" s="1"/>
  <c r="J57" i="40"/>
  <c r="I57" i="40"/>
  <c r="I10" i="40" s="1"/>
  <c r="H57" i="40"/>
  <c r="G57" i="40"/>
  <c r="F57" i="40"/>
  <c r="F10" i="40" s="1"/>
  <c r="J56" i="40"/>
  <c r="J9" i="40" s="1"/>
  <c r="I56" i="40"/>
  <c r="I9" i="40" s="1"/>
  <c r="H56" i="40"/>
  <c r="G56" i="40"/>
  <c r="F56" i="40"/>
  <c r="B56" i="40" s="1"/>
  <c r="F55" i="40"/>
  <c r="E55" i="40"/>
  <c r="B55" i="40" s="1"/>
  <c r="F54" i="40"/>
  <c r="F9" i="40" s="1"/>
  <c r="E54" i="40"/>
  <c r="I53" i="40"/>
  <c r="H53" i="40"/>
  <c r="G53" i="40"/>
  <c r="F53" i="40"/>
  <c r="B53" i="40" s="1"/>
  <c r="E53" i="40"/>
  <c r="I52" i="40"/>
  <c r="H52" i="40"/>
  <c r="G52" i="40"/>
  <c r="F52" i="40"/>
  <c r="E52" i="40"/>
  <c r="B52" i="40"/>
  <c r="I51" i="40"/>
  <c r="H51" i="40"/>
  <c r="G51" i="40"/>
  <c r="F51" i="40"/>
  <c r="E51" i="40"/>
  <c r="B51" i="40" s="1"/>
  <c r="I50" i="40"/>
  <c r="H50" i="40"/>
  <c r="G50" i="40"/>
  <c r="F50" i="40"/>
  <c r="B50" i="40" s="1"/>
  <c r="E50" i="40"/>
  <c r="K49" i="40"/>
  <c r="J49" i="40"/>
  <c r="I49" i="40"/>
  <c r="B49" i="40"/>
  <c r="K48" i="40"/>
  <c r="J48" i="40"/>
  <c r="B48" i="40" s="1"/>
  <c r="I48" i="40"/>
  <c r="K47" i="40"/>
  <c r="J47" i="40"/>
  <c r="I47" i="40"/>
  <c r="H47" i="40"/>
  <c r="G47" i="40"/>
  <c r="F47" i="40"/>
  <c r="B47" i="40" s="1"/>
  <c r="E47" i="40"/>
  <c r="K46" i="40"/>
  <c r="J46" i="40"/>
  <c r="I46" i="40"/>
  <c r="H46" i="40"/>
  <c r="G46" i="40"/>
  <c r="F46" i="40"/>
  <c r="B46" i="40" s="1"/>
  <c r="E46" i="40"/>
  <c r="O45" i="40"/>
  <c r="N45" i="40"/>
  <c r="M45" i="40"/>
  <c r="L45" i="40"/>
  <c r="L10" i="40" s="1"/>
  <c r="K45" i="40"/>
  <c r="K10" i="40" s="1"/>
  <c r="J45" i="40"/>
  <c r="B45" i="40" s="1"/>
  <c r="I45" i="40"/>
  <c r="H45" i="40"/>
  <c r="H10" i="40" s="1"/>
  <c r="G45" i="40"/>
  <c r="F45" i="40"/>
  <c r="E45" i="40"/>
  <c r="O44" i="40"/>
  <c r="N44" i="40"/>
  <c r="N9" i="40" s="1"/>
  <c r="M44" i="40"/>
  <c r="L44" i="40"/>
  <c r="K44" i="40"/>
  <c r="J44" i="40"/>
  <c r="I44" i="40"/>
  <c r="H44" i="40"/>
  <c r="H9" i="40" s="1"/>
  <c r="G44" i="40"/>
  <c r="G9" i="40" s="1"/>
  <c r="F44" i="40"/>
  <c r="B44" i="40" s="1"/>
  <c r="E44" i="40"/>
  <c r="O42" i="40"/>
  <c r="B42" i="40" s="1"/>
  <c r="O41" i="40"/>
  <c r="B41" i="40"/>
  <c r="O40" i="40"/>
  <c r="N40" i="40"/>
  <c r="M40" i="40"/>
  <c r="L40" i="40"/>
  <c r="K40" i="40"/>
  <c r="J40" i="40"/>
  <c r="I40" i="40"/>
  <c r="H40" i="40"/>
  <c r="G40" i="40"/>
  <c r="F40" i="40"/>
  <c r="B40" i="40" s="1"/>
  <c r="E40" i="40"/>
  <c r="O39" i="40"/>
  <c r="N39" i="40"/>
  <c r="M39" i="40"/>
  <c r="L39" i="40"/>
  <c r="K39" i="40"/>
  <c r="J39" i="40"/>
  <c r="B39" i="40" s="1"/>
  <c r="I39" i="40"/>
  <c r="H39" i="40"/>
  <c r="G39" i="40"/>
  <c r="F39" i="40"/>
  <c r="E39" i="40"/>
  <c r="O38" i="40"/>
  <c r="O6" i="40" s="1"/>
  <c r="N38" i="40"/>
  <c r="N6" i="40" s="1"/>
  <c r="M38" i="40"/>
  <c r="L38" i="40"/>
  <c r="K38" i="40"/>
  <c r="K6" i="40" s="1"/>
  <c r="J38" i="40"/>
  <c r="I38" i="40"/>
  <c r="H38" i="40"/>
  <c r="G38" i="40"/>
  <c r="F38" i="40"/>
  <c r="B38" i="40" s="1"/>
  <c r="E38" i="40"/>
  <c r="O37" i="40"/>
  <c r="N37" i="40"/>
  <c r="M37" i="40"/>
  <c r="M5" i="40" s="1"/>
  <c r="L37" i="40"/>
  <c r="L5" i="40" s="1"/>
  <c r="K37" i="40"/>
  <c r="K5" i="40" s="1"/>
  <c r="J37" i="40"/>
  <c r="J5" i="40" s="1"/>
  <c r="I37" i="40"/>
  <c r="H37" i="40"/>
  <c r="G37" i="40"/>
  <c r="B37" i="40" s="1"/>
  <c r="F37" i="40"/>
  <c r="E37" i="40"/>
  <c r="O36" i="40"/>
  <c r="N36" i="40"/>
  <c r="M36" i="40"/>
  <c r="L36" i="40"/>
  <c r="L6" i="40" s="1"/>
  <c r="K36" i="40"/>
  <c r="J36" i="40"/>
  <c r="I36" i="40"/>
  <c r="I6" i="40" s="1"/>
  <c r="H36" i="40"/>
  <c r="H6" i="40" s="1"/>
  <c r="G36" i="40"/>
  <c r="G6" i="40" s="1"/>
  <c r="F36" i="40"/>
  <c r="F6" i="40" s="1"/>
  <c r="E36" i="40"/>
  <c r="O35" i="40"/>
  <c r="O5" i="40" s="1"/>
  <c r="N35" i="40"/>
  <c r="M35" i="40"/>
  <c r="L35" i="40"/>
  <c r="K35" i="40"/>
  <c r="J35" i="40"/>
  <c r="B35" i="40" s="1"/>
  <c r="I35" i="40"/>
  <c r="H35" i="40"/>
  <c r="H5" i="40" s="1"/>
  <c r="G35" i="40"/>
  <c r="F35" i="40"/>
  <c r="E35" i="40"/>
  <c r="E5" i="40" s="1"/>
  <c r="B34" i="40"/>
  <c r="B33" i="40"/>
  <c r="O32" i="40"/>
  <c r="N32" i="40"/>
  <c r="M32" i="40"/>
  <c r="B32" i="40" s="1"/>
  <c r="L32" i="40"/>
  <c r="O31" i="40"/>
  <c r="N31" i="40"/>
  <c r="M31" i="40"/>
  <c r="B31" i="40" s="1"/>
  <c r="L31" i="40"/>
  <c r="O30" i="40"/>
  <c r="N30" i="40"/>
  <c r="N4" i="40" s="1"/>
  <c r="M30" i="40"/>
  <c r="L30" i="40"/>
  <c r="L4" i="40" s="1"/>
  <c r="K30" i="40"/>
  <c r="K4" i="40" s="1"/>
  <c r="J30" i="40"/>
  <c r="I30" i="40"/>
  <c r="I4" i="40" s="1"/>
  <c r="H30" i="40"/>
  <c r="H4" i="40" s="1"/>
  <c r="G30" i="40"/>
  <c r="F30" i="40"/>
  <c r="E30" i="40"/>
  <c r="B30" i="40" s="1"/>
  <c r="O29" i="40"/>
  <c r="Q30" i="40" s="1"/>
  <c r="N29" i="40"/>
  <c r="M29" i="40"/>
  <c r="M3" i="40" s="1"/>
  <c r="L29" i="40"/>
  <c r="L3" i="40" s="1"/>
  <c r="K29" i="40"/>
  <c r="J29" i="40"/>
  <c r="J3" i="40" s="1"/>
  <c r="I29" i="40"/>
  <c r="H29" i="40"/>
  <c r="H3" i="40" s="1"/>
  <c r="G29" i="40"/>
  <c r="G3" i="40" s="1"/>
  <c r="F29" i="40"/>
  <c r="E29" i="40"/>
  <c r="E3" i="40" s="1"/>
  <c r="E27" i="40"/>
  <c r="B27" i="40"/>
  <c r="E26" i="40"/>
  <c r="B26" i="40" s="1"/>
  <c r="J25" i="40"/>
  <c r="B25" i="40" s="1"/>
  <c r="I25" i="40"/>
  <c r="H25" i="40"/>
  <c r="G25" i="40"/>
  <c r="F25" i="40"/>
  <c r="J24" i="40"/>
  <c r="I24" i="40"/>
  <c r="H24" i="40"/>
  <c r="G24" i="40"/>
  <c r="F24" i="40"/>
  <c r="B24" i="40"/>
  <c r="N23" i="40"/>
  <c r="M23" i="40"/>
  <c r="L23" i="40"/>
  <c r="K23" i="40"/>
  <c r="B23" i="40"/>
  <c r="N22" i="40"/>
  <c r="M22" i="40"/>
  <c r="L22" i="40"/>
  <c r="K22" i="40"/>
  <c r="B22" i="40"/>
  <c r="N21" i="40"/>
  <c r="M21" i="40"/>
  <c r="L21" i="40"/>
  <c r="K21" i="40"/>
  <c r="J21" i="40"/>
  <c r="I21" i="40"/>
  <c r="B21" i="40" s="1"/>
  <c r="H21" i="40"/>
  <c r="G21" i="40"/>
  <c r="F21" i="40"/>
  <c r="E21" i="40"/>
  <c r="N20" i="40"/>
  <c r="M20" i="40"/>
  <c r="L20" i="40"/>
  <c r="K20" i="40"/>
  <c r="J20" i="40"/>
  <c r="J7" i="40" s="1"/>
  <c r="I20" i="40"/>
  <c r="H20" i="40"/>
  <c r="H7" i="40" s="1"/>
  <c r="G20" i="40"/>
  <c r="G7" i="40" s="1"/>
  <c r="F20" i="40"/>
  <c r="E20" i="40"/>
  <c r="E7" i="40" s="1"/>
  <c r="B20" i="40"/>
  <c r="O19" i="40"/>
  <c r="N19" i="40"/>
  <c r="B19" i="40"/>
  <c r="O18" i="40"/>
  <c r="N18" i="40"/>
  <c r="B18" i="40" s="1"/>
  <c r="O17" i="40"/>
  <c r="N17" i="40"/>
  <c r="N8" i="40" s="1"/>
  <c r="L17" i="40"/>
  <c r="L8" i="40" s="1"/>
  <c r="K17" i="40"/>
  <c r="K8" i="40" s="1"/>
  <c r="J17" i="40"/>
  <c r="O16" i="40"/>
  <c r="O7" i="40" s="1"/>
  <c r="N16" i="40"/>
  <c r="M16" i="40"/>
  <c r="M7" i="40" s="1"/>
  <c r="L16" i="40"/>
  <c r="L7" i="40" s="1"/>
  <c r="K16" i="40"/>
  <c r="B16" i="40" s="1"/>
  <c r="J16" i="40"/>
  <c r="O15" i="40"/>
  <c r="N15" i="40"/>
  <c r="M15" i="40"/>
  <c r="L15" i="40"/>
  <c r="K15" i="40"/>
  <c r="J15" i="40"/>
  <c r="I15" i="40"/>
  <c r="H15" i="40"/>
  <c r="H8" i="40" s="1"/>
  <c r="G15" i="40"/>
  <c r="G8" i="40" s="1"/>
  <c r="F15" i="40"/>
  <c r="F8" i="40" s="1"/>
  <c r="E15" i="40"/>
  <c r="E8" i="40" s="1"/>
  <c r="O14" i="40"/>
  <c r="N14" i="40"/>
  <c r="N7" i="40" s="1"/>
  <c r="M14" i="40"/>
  <c r="L14" i="40"/>
  <c r="K14" i="40"/>
  <c r="J14" i="40"/>
  <c r="I14" i="40"/>
  <c r="B14" i="40" s="1"/>
  <c r="H14" i="40"/>
  <c r="G14" i="40"/>
  <c r="F14" i="40"/>
  <c r="E14" i="40"/>
  <c r="O10" i="40"/>
  <c r="N10" i="40"/>
  <c r="M10" i="40"/>
  <c r="J10" i="40"/>
  <c r="G10" i="40"/>
  <c r="O9" i="40"/>
  <c r="M9" i="40"/>
  <c r="L9" i="40"/>
  <c r="K9" i="40"/>
  <c r="E9" i="40"/>
  <c r="O8" i="40"/>
  <c r="M8" i="40"/>
  <c r="J8" i="40"/>
  <c r="I7" i="40"/>
  <c r="F7" i="40"/>
  <c r="M6" i="40"/>
  <c r="J6" i="40"/>
  <c r="E6" i="40"/>
  <c r="N5" i="40"/>
  <c r="I5" i="40"/>
  <c r="F5" i="40"/>
  <c r="O4" i="40"/>
  <c r="J4" i="40"/>
  <c r="G4" i="40"/>
  <c r="F4" i="40"/>
  <c r="E4" i="40"/>
  <c r="N3" i="40"/>
  <c r="K3" i="40"/>
  <c r="I3" i="40"/>
  <c r="F3" i="40"/>
  <c r="C11" i="32"/>
  <c r="D5" i="32"/>
  <c r="D12" i="32" s="1"/>
  <c r="D4" i="32"/>
  <c r="C4" i="32"/>
  <c r="D3" i="32"/>
  <c r="C3" i="32"/>
  <c r="D2" i="32"/>
  <c r="C2" i="32"/>
  <c r="C5" i="32" s="1"/>
  <c r="G122" i="17"/>
  <c r="G119" i="17"/>
  <c r="G114" i="17"/>
  <c r="G112" i="17"/>
  <c r="K106" i="16"/>
  <c r="K105" i="16"/>
  <c r="K102" i="16"/>
  <c r="K98" i="16"/>
  <c r="K95" i="16"/>
  <c r="K97" i="16" s="1"/>
  <c r="K93" i="16"/>
  <c r="K110" i="15"/>
  <c r="K111" i="15" s="1"/>
  <c r="F72" i="15"/>
  <c r="E72" i="15"/>
  <c r="D72" i="15"/>
  <c r="K66" i="15"/>
  <c r="K63" i="15"/>
  <c r="K65" i="15" s="1"/>
  <c r="K62" i="15"/>
  <c r="H94" i="14"/>
  <c r="H316" i="12"/>
  <c r="H311" i="12"/>
  <c r="H309" i="12"/>
  <c r="Q6" i="11"/>
  <c r="Q7" i="11" s="1"/>
  <c r="Q5" i="11"/>
  <c r="Q4" i="11"/>
  <c r="Q3" i="11"/>
  <c r="F120" i="10"/>
  <c r="F115" i="10"/>
  <c r="F113" i="10"/>
  <c r="B6" i="40" l="1"/>
  <c r="B4" i="40"/>
  <c r="B7" i="40"/>
  <c r="B9" i="40"/>
  <c r="M95" i="16"/>
  <c r="M97" i="16" s="1"/>
  <c r="O3" i="40"/>
  <c r="B3" i="40" s="1"/>
  <c r="G5" i="40"/>
  <c r="B5" i="40" s="1"/>
  <c r="B36" i="40"/>
  <c r="B15" i="40"/>
  <c r="B57" i="40"/>
  <c r="B29" i="40"/>
  <c r="L63" i="15"/>
  <c r="L65" i="15" s="1"/>
  <c r="I8" i="40"/>
  <c r="B8" i="40" s="1"/>
  <c r="B54" i="40"/>
  <c r="M4" i="40"/>
  <c r="E10" i="40"/>
  <c r="B10" i="40" s="1"/>
  <c r="K7" i="40"/>
</calcChain>
</file>

<file path=xl/sharedStrings.xml><?xml version="1.0" encoding="utf-8"?>
<sst xmlns="http://schemas.openxmlformats.org/spreadsheetml/2006/main" count="74041" uniqueCount="12168">
  <si>
    <t>No.</t>
  </si>
  <si>
    <t>Year</t>
  </si>
  <si>
    <t xml:space="preserve">Resolution No: </t>
  </si>
  <si>
    <t>TYPE</t>
  </si>
  <si>
    <t>Program</t>
  </si>
  <si>
    <t>Approval Date</t>
  </si>
  <si>
    <t>Project Title</t>
  </si>
  <si>
    <t xml:space="preserve">Name of Proponent </t>
  </si>
  <si>
    <t>Address</t>
  </si>
  <si>
    <t>Contact Details</t>
  </si>
  <si>
    <t>Amount</t>
  </si>
  <si>
    <t>CLASS</t>
  </si>
  <si>
    <t>STATUS</t>
  </si>
  <si>
    <t>Promotional Assistance</t>
  </si>
  <si>
    <t>Revenue Growth (annual/cumulative)</t>
  </si>
  <si>
    <t>Jobs Created</t>
  </si>
  <si>
    <t>Investments Attracted (private co-investment, seed, VC, grants)</t>
  </si>
  <si>
    <t>Market Reach (local, regional, global)</t>
  </si>
  <si>
    <t>High-tech Exports (export volume/value) if applicable</t>
  </si>
  <si>
    <t>Social Impact</t>
  </si>
  <si>
    <t>Next Possible Intervention</t>
  </si>
  <si>
    <t>1</t>
  </si>
  <si>
    <t>NA</t>
  </si>
  <si>
    <t>PAC</t>
  </si>
  <si>
    <t>TECHNICOM 1.0</t>
  </si>
  <si>
    <t>Optimization of an Industry Grade Prototype of Po Lite Products</t>
  </si>
  <si>
    <t>Dr. Ria Liza Canlas</t>
  </si>
  <si>
    <t xml:space="preserve">        riadear21@yahoo.com</t>
  </si>
  <si>
    <t>STARTUP</t>
  </si>
  <si>
    <t>2</t>
  </si>
  <si>
    <t>Pilot Testing of a Deepwater Operation 3D Visual Mapping and Inspection System (PD-DOMAINS)</t>
  </si>
  <si>
    <t>Mr. Francis James Corpuz
ANTIPARA Exploration Inc.</t>
  </si>
  <si>
    <t>franciscorpuz@gmail.com</t>
  </si>
  <si>
    <t>3</t>
  </si>
  <si>
    <t>Development of an Alternative Credit Scoring Model applying Machine Learning in Financing Farmers</t>
  </si>
  <si>
    <t>Mr. Ruel T. Amparo
Cropital Enterprises Corporation</t>
  </si>
  <si>
    <t>ruel@cropital.com</t>
  </si>
  <si>
    <t>4</t>
  </si>
  <si>
    <t>Product Design, Manufacturing and Field Scale Testing of StillFresh: Spoilage Monitoring Strip</t>
  </si>
  <si>
    <t>Mr. Joseph Christopher G. Doroja</t>
  </si>
  <si>
    <t>joseph.doroja@obf.ateneo.edu, etinhay@gmail.com</t>
  </si>
  <si>
    <t>5</t>
  </si>
  <si>
    <t>Integration of Data Science and Scaling Up of Payruler, a comprehensive Human Resource Management System (HRMS)</t>
  </si>
  <si>
    <t>Mr. Warlito Pio S. De Jesus</t>
  </si>
  <si>
    <t>jojo@geniihut.com, jojo@payruler.com, timmy@geniihut.com, timmy@payruler.com</t>
  </si>
  <si>
    <t>6</t>
  </si>
  <si>
    <t>Optimization of Virtual Reality Kit (VR Kit) for New Media Technology and Commercial Competitiveness</t>
  </si>
  <si>
    <t>Mr. Ryan Tan Yu</t>
  </si>
  <si>
    <t>ryan@mataverse.ph</t>
  </si>
  <si>
    <t>7</t>
  </si>
  <si>
    <t>Enhancement of the Micab Cab Hailing Engine thru Big Data Analytics</t>
  </si>
  <si>
    <t>CONRADO D. CAMILON JR, Project Leader
ALEXA’S ENGINEERING SERVICES</t>
  </si>
  <si>
    <t>8</t>
  </si>
  <si>
    <t>Scale-up Manufacturing of Biotek-M Diagnostic Kits and Post Marketing for Third Party Evaluation</t>
  </si>
  <si>
    <t>Dr. Raul V. Destura
Denise Lacuna</t>
  </si>
  <si>
    <t>rvdestura@up.edu.ph
jadelacuna12@gmail.com</t>
  </si>
  <si>
    <t>9</t>
  </si>
  <si>
    <t>Technology Enhancement and Commercialization of Exora Intellex as an Energy Analytics Machine Learning Platform for Industrial Smart Energy Management and Electricity Cost Reduction</t>
  </si>
  <si>
    <t>Mr. Sergius Angelo Santos
Exora Technologies, Inc.</t>
  </si>
  <si>
    <t>sergius@exora.ph</t>
  </si>
  <si>
    <t>2019-54</t>
  </si>
  <si>
    <t>APPROVAL</t>
  </si>
  <si>
    <t>VFP</t>
  </si>
  <si>
    <t>Application for Local and International Certifications of Manila Healthtek, Inc. as a Manufacturing Company for Molecular-Based Diagnostic kits</t>
  </si>
  <si>
    <t>Dr. Raul V. Destura                                                                                               President/CEO                                                                                                 Manila Healthtek , Inc.</t>
  </si>
  <si>
    <t>rvdestura@up.edu.ph</t>
  </si>
  <si>
    <t>COMPLETED</t>
  </si>
  <si>
    <t>2020-07-memo</t>
  </si>
  <si>
    <t>IBED</t>
  </si>
  <si>
    <t>Pilot Production of " Snap On and Off Handle for a Five-Gallon Bottle Container"</t>
  </si>
  <si>
    <t>Mr. Carlos N. Detalo Jr.</t>
  </si>
  <si>
    <t>-</t>
  </si>
  <si>
    <t>2021-46</t>
  </si>
  <si>
    <t>PIlot Scale Production of Cooked Balut in Shell with Commercially Acceptable Shelf-life for Feasibility and Marketing Testing</t>
  </si>
  <si>
    <t>Ambrocio Kerwin A. Perez</t>
  </si>
  <si>
    <t>2022-109</t>
  </si>
  <si>
    <t>ITECH</t>
  </si>
  <si>
    <t>29/12/2022</t>
  </si>
  <si>
    <t>Commercialization of Maker-scope</t>
  </si>
  <si>
    <t>MR. JEREMY C. DE LEON</t>
  </si>
  <si>
    <t>WIDTHRAWN</t>
  </si>
  <si>
    <t>14</t>
  </si>
  <si>
    <t>PROMOTION</t>
  </si>
  <si>
    <t>jeremycdeleon@gmail.com</t>
  </si>
  <si>
    <t>Marketing Assistance Program, SIIF</t>
  </si>
  <si>
    <t>GALING</t>
  </si>
  <si>
    <t>Technology Validation of Pili Seal</t>
  </si>
  <si>
    <t>Engr. Mark Kennedy E. Bantugon</t>
  </si>
  <si>
    <t>markkennedy09bantugon@gmail.com</t>
  </si>
  <si>
    <t>ONGOING</t>
  </si>
  <si>
    <t>Marketing Assistance Program, LUNDUYAN</t>
  </si>
  <si>
    <t>Improved KoolGear</t>
  </si>
  <si>
    <t>Mr. Ivan Brent Nara</t>
  </si>
  <si>
    <t>naraivanbrent@gmail.com</t>
  </si>
  <si>
    <t>Marketing Assistance Program</t>
  </si>
  <si>
    <t>Foldable Water Tank with Zeramic Filter</t>
  </si>
  <si>
    <t>Ms. Eleanor M. Olegario</t>
  </si>
  <si>
    <t>lithos.opc.2021@gmail.com</t>
  </si>
  <si>
    <t>2025-17</t>
  </si>
  <si>
    <t>Fabrication, and Installation of a 50W LED Flood Light Post with Integration of Small-scale Savonius-Type Helical Vertical Axis Wind Turbine        (VAWT) and Solar Panel</t>
  </si>
  <si>
    <t>Engr. Jose Luis L. Villalon</t>
  </si>
  <si>
    <t xml:space="preserve">
25 Mercury, Zytek-Riosa, Brgy. Pasong Tamo, 
Quezon City, 1107</t>
  </si>
  <si>
    <t xml:space="preserve">
louie.vdaliinnovations@gmail.com
+63 915 126 5571
</t>
  </si>
  <si>
    <t>EIPRAP</t>
  </si>
  <si>
    <t>Enhancement, Market Validation and Pilot Production of AI-Driven Farm Management Module (AID-FMM)</t>
  </si>
  <si>
    <t>Waste4good Research and Experimental Development in Engineering and Technology</t>
  </si>
  <si>
    <t>lurelynpablo@gmail.com
lorilyn.daquioag@eee.upd.edu.ph
639385504997</t>
  </si>
  <si>
    <t>High-resolution 3D Geological Mapping with Ambient Electromagnetic Interferometry</t>
  </si>
  <si>
    <t>Emmanuel G. Ramos Mark Linus C. Ramos Rodolfo Alfonso R. Sabio</t>
  </si>
  <si>
    <t>A System and Method for Managing Healthcare Services and Networks</t>
  </si>
  <si>
    <t>SeeYouDoc Corporation</t>
  </si>
  <si>
    <t>noel@seeyoudoc.com</t>
  </si>
  <si>
    <t>ISIPAG</t>
  </si>
  <si>
    <t>IPRAP</t>
  </si>
  <si>
    <t>A System and Method for Managing Healthcare Services and Networks (NPE - South Korea)</t>
  </si>
  <si>
    <t>System and Method for Secure Disbursement of Loans and Income-Based Advances with Biometric Consent and Configurable Repayment Orchestration</t>
  </si>
  <si>
    <t>Vashcorp Inc.</t>
  </si>
  <si>
    <t>varianchu@gmail.com</t>
  </si>
  <si>
    <t>The Process Of Making An AI-Driven Farm Management Module And Agricultural Monitoring System (NPE - Japan)</t>
  </si>
  <si>
    <t>Waste4Good Technologies a.k.a. GreenVisionsPh</t>
  </si>
  <si>
    <t>mari@rezbin.ph, hello@rezbin.ph
639178920234</t>
  </si>
  <si>
    <t>Market Intelligence under IMPAKT</t>
  </si>
  <si>
    <t>IEIG 2025, PHILIPPiNEXT</t>
  </si>
  <si>
    <t>28</t>
  </si>
  <si>
    <t>2022</t>
  </si>
  <si>
    <t>TECHNICOM</t>
  </si>
  <si>
    <t>Commercialization of the 4Gives System</t>
  </si>
  <si>
    <t>Mr. Varian Sherwin Chu
Vashcorp, Inc.</t>
  </si>
  <si>
    <t>29</t>
  </si>
  <si>
    <t>2023</t>
  </si>
  <si>
    <t>2023-79</t>
  </si>
  <si>
    <t>Mr. Ivan Brent Nara
Bldg. 23, UP Bliss, Diliman,
Quezon City</t>
  </si>
  <si>
    <t>naraivanbrent@gmail
09751905598</t>
  </si>
  <si>
    <t>30</t>
  </si>
  <si>
    <t>2023-66</t>
  </si>
  <si>
    <t>17 Cavite Street, Bonifacio Village, Brgy. Pasong Tamo, Quezon City</t>
  </si>
  <si>
    <t xml:space="preserve"> eleanor.olegario@gmail.com
09209129187
</t>
  </si>
  <si>
    <t>31</t>
  </si>
  <si>
    <t>2023-30</t>
  </si>
  <si>
    <t>markkennedy09bantugon@gmail.com andpili.adheseal@gmail.com</t>
  </si>
  <si>
    <t>32</t>
  </si>
  <si>
    <t>2023-81</t>
  </si>
  <si>
    <t>Technology and business validation of an advanced web and mobile Point-of-Sale (POS)
software-as-a-service (SAAS) application for Philippine micro and small retail businesses</t>
  </si>
  <si>
    <t>Renzo Navarro Ducusin 
Project Leader
IOL, Inc.</t>
  </si>
  <si>
    <t xml:space="preserve">Rm 404 Jose Miguel Bldg. Yandoc St., Baguio City. Philippines </t>
  </si>
  <si>
    <t>kevin@iolph.com
074-6209538</t>
  </si>
  <si>
    <t>33</t>
  </si>
  <si>
    <t>2023-83</t>
  </si>
  <si>
    <t>Determining the Pesticide Residue Level of Mangoes using a smart metal oxide nanosensor for Post-Harvest Applications</t>
  </si>
  <si>
    <t xml:space="preserve">Ms. Normie Jean Sajor Lacubtan 
Project Leader
</t>
  </si>
  <si>
    <t xml:space="preserve">njsajor@gmail.com
f.normiejean.lacubtan@cmu.edu.ph
</t>
  </si>
  <si>
    <t>34</t>
  </si>
  <si>
    <t>Scaling Digital Clustering Solution for Enhanced Agri-Value Chain Integration of Farm Konek</t>
  </si>
  <si>
    <t xml:space="preserve">John Vincent Q. Gastanes
Project Zacchaeus Marketing Cooperative
</t>
  </si>
  <si>
    <t xml:space="preserve">Unit 1, CCT Building, Puerto Princesa City, Palawan, 5300/ MIMAROPA
</t>
  </si>
  <si>
    <t>gastanesjohnvincent@gmail.com
639177979073</t>
  </si>
  <si>
    <t>35</t>
  </si>
  <si>
    <t>LUNDUYAN,
 Marketing Assistance Program</t>
  </si>
  <si>
    <t>36</t>
  </si>
  <si>
    <t>Marketing Assistance Program, KIWIE</t>
  </si>
  <si>
    <t>37</t>
  </si>
  <si>
    <t>PHILIPPiNEXT, Marketing Assistance Program, CES 2025, SIIF</t>
  </si>
  <si>
    <t>38</t>
  </si>
  <si>
    <t>39</t>
  </si>
  <si>
    <t>40</t>
  </si>
  <si>
    <t>41</t>
  </si>
  <si>
    <t>2024</t>
  </si>
  <si>
    <t>2024-89</t>
  </si>
  <si>
    <t>Marissa Turbine: Vertical-Axis Tidal Turbine</t>
  </si>
  <si>
    <t xml:space="preserve">Mr. Patrick Roland de Guzman
65 Lawa, Obando, Bulacan
</t>
  </si>
  <si>
    <t>deguzmanpatrickroland@gmail.com
09974916634</t>
  </si>
  <si>
    <t>42</t>
  </si>
  <si>
    <t>2024-36</t>
  </si>
  <si>
    <t>Technology Validation of Unas Canvas (UnVas)</t>
  </si>
  <si>
    <t xml:space="preserve">Julienne Fabie-Agapin
Lumbia District, Pagadian City
</t>
  </si>
  <si>
    <t>juliennestephanie.agapin@wmsu.edu.ph
09362660139</t>
  </si>
  <si>
    <t>43</t>
  </si>
  <si>
    <t>2024-54</t>
  </si>
  <si>
    <t>Technology Validation of IOT Artificial Intelligence-Based Dosing System in Greenhouse</t>
  </si>
  <si>
    <t xml:space="preserve">Mr. Alvin Phoebe Artemis A. Valdez
Interior Fidelidad Street, Barangay 1, Balayan, Batagas 4213
</t>
  </si>
  <si>
    <t>alvinphoebeartemis@gmail.com
+639918781878; +639916453232</t>
  </si>
  <si>
    <t>44</t>
  </si>
  <si>
    <t>2024-71</t>
  </si>
  <si>
    <t>Automated Coconut Sap Extraction: Enhancing Productivity and Quality Through Innovative Technology</t>
  </si>
  <si>
    <t>Luzmar M. Gabor
KASAKA Agriventures, Inc.</t>
  </si>
  <si>
    <t>asaka@aim.edu
9175305742</t>
  </si>
  <si>
    <t>45</t>
  </si>
  <si>
    <t>2024-78</t>
  </si>
  <si>
    <t>Enhancement and Market Validation of AI-Powered Property Management Solutions for the Philippines</t>
  </si>
  <si>
    <t>Mr. Jesehl Charles Basco
Project Leader
Collo/Proprty Technology Solutions Inc.</t>
  </si>
  <si>
    <t>jay@collo.ph
9178327166</t>
  </si>
  <si>
    <t>46</t>
  </si>
  <si>
    <t>2024-82</t>
  </si>
  <si>
    <t>Enhancement, Market Validation, and Pilot Production of AI-Driven Farm Management Module (AID-FMM)</t>
  </si>
  <si>
    <t>Ms. Lorilyn P. Daquioag
Project leader
Waste4Good technologies</t>
  </si>
  <si>
    <t>47</t>
  </si>
  <si>
    <t>2024-88</t>
  </si>
  <si>
    <t>TECHNiCOM</t>
  </si>
  <si>
    <t>Improvement and Pilot Testing of Alerto PH AI-as-a-Service (AlaaS)</t>
  </si>
  <si>
    <t xml:space="preserve">Ms. Cristina Macaraig
WiredField Philippines Inc. </t>
  </si>
  <si>
    <t>cristina@wiredfield.com</t>
  </si>
  <si>
    <t>48</t>
  </si>
  <si>
    <t>2024-74</t>
  </si>
  <si>
    <t>Market Testing of Online Residential Rental Marketplace for Filipino Students and Young Professionals</t>
  </si>
  <si>
    <t xml:space="preserve">Alyssa Casandra Wee 
Project Leader/
Krelio Technologies Inc.
</t>
  </si>
  <si>
    <t xml:space="preserve">alyssa@dormy.ph, hello@dormy.ph
0992 681 6544
</t>
  </si>
  <si>
    <t>49</t>
  </si>
  <si>
    <t>2024-27</t>
  </si>
  <si>
    <t>Pilot Testing and Technology Validation of Fortified Powdered Coconut Milk as a Powdered Dairy Alternative to Lactose Intolerant and Nutrient Deficient Filipino Children and Adults</t>
  </si>
  <si>
    <t xml:space="preserve">
Samuel Antonius De Chavez Tecuala 
 Dehusk</t>
  </si>
  <si>
    <t xml:space="preserve">Martel Bldg. Verdon Parc, Unit 716 Ecoland Drive, Talomo, Bucana, Davao Del Sur, Davao City, 8000
</t>
  </si>
  <si>
    <t xml:space="preserve">samuel.tecuala@dehusk.com.ph
09565734432
</t>
  </si>
  <si>
    <t>50</t>
  </si>
  <si>
    <t>2024-31</t>
  </si>
  <si>
    <t>Scaling up Testing of a Peer-to-Peer Car Sharing Marketplace for the Filipino Car Sharing Economy</t>
  </si>
  <si>
    <t>Mr. Miguel Locsin
Project Leader
DOON Transport Technologies Inc.</t>
  </si>
  <si>
    <t>Unit 302, 5048 P. Burgos Street, Draper Startup House for Entrepreneurs, Brgy. Poblacion, Makati City, Fourth District, NCR 1210 /</t>
  </si>
  <si>
    <t xml:space="preserve"> miguel@doon.ph
09178076499</t>
  </si>
  <si>
    <t>51</t>
  </si>
  <si>
    <t>2024-26</t>
  </si>
  <si>
    <t xml:space="preserve">The Scrapcycle PH field and Market Testing of Scrap Trading Dynamics Across Philippine Urban Landscapes        </t>
  </si>
  <si>
    <t xml:space="preserve">Genevieve P. Navales/Female
Project Leader, ScrapCycle PH
</t>
  </si>
  <si>
    <t>vievenavales29@gmail.com
09952033203</t>
  </si>
  <si>
    <t>52</t>
  </si>
  <si>
    <t>2024-51</t>
  </si>
  <si>
    <t>EVFP</t>
  </si>
  <si>
    <t>Commercialization of Cerebro Plus: An Integrated School Management and Content Library System for k-12 Schools</t>
  </si>
  <si>
    <t>Jonald Justine U. Itugot
Chief Executive Officer 
Cerebro Solutions, Inc.</t>
  </si>
  <si>
    <t>justine@cerebro.ph
+63 917 886 5402</t>
  </si>
  <si>
    <t>53</t>
  </si>
  <si>
    <t>2024-68</t>
  </si>
  <si>
    <t>Enhance IP protection and Commercialization of Value-based Care Module of See You Doc Corp. under the Expanded VFP</t>
  </si>
  <si>
    <t>Mr. Noel Gary E. Del Castillo
Founder and CEO</t>
  </si>
  <si>
    <t>54</t>
  </si>
  <si>
    <t>2024-58</t>
  </si>
  <si>
    <t>Enhancement of BizKit (The First Local Centralized Business Suite) To Better Facilitate Cross-functional And Holistic Business Operations In The New Normal</t>
  </si>
  <si>
    <t>Marc Carlo Lijauco
President 
BizKit Technologies Inc.</t>
  </si>
  <si>
    <t>96 Burgos St. Pamplona Uno
Las Piñas City 1740</t>
  </si>
  <si>
    <t>mclijauco@bizkittechnologies.com</t>
  </si>
  <si>
    <t>55</t>
  </si>
  <si>
    <t>2024-87</t>
  </si>
  <si>
    <t>Scale up of Fullmight Agricultural Corp. Operations and Product Certification</t>
  </si>
  <si>
    <t xml:space="preserve">Dr. Virginia M. Padilla
Secretary and Treasurer
Fullmight Agricultural Corp. </t>
  </si>
  <si>
    <t>6th Street, 1856 Hillside Village Subdivision, Brgy.
Tuntungin-Putho, Los Baños Laguna</t>
  </si>
  <si>
    <t>Tel. no.: (049) 508-0557
CP no.: 0917-887-8542, 0917-179-8542
Email: padilla7.jaime@gmail.com,
virgiem.padilla@gmail.com</t>
  </si>
  <si>
    <t>56</t>
  </si>
  <si>
    <t>2024-84</t>
  </si>
  <si>
    <t>Scale-Up Assistance for WEHLO Technologies, Inc. under E-VFP</t>
  </si>
  <si>
    <t xml:space="preserve">Dr. Cris Edward Monjardin 
Chief Technology Technology
WEHLO Resilience Technology Corporation Inc. </t>
  </si>
  <si>
    <t>Unit 1409, Corporate 145, 145 Mother Ignacia St.,
Brgy. South Triangle, Quezon City</t>
  </si>
  <si>
    <t>09692314619
cefmonjardin@mapua.edu.ph</t>
  </si>
  <si>
    <t>4.975,000.00</t>
  </si>
  <si>
    <t>57</t>
  </si>
  <si>
    <t>2024-90</t>
  </si>
  <si>
    <t xml:space="preserve">Scale-up Operational Assistance to Hiraya Technology Solutions, Inc. </t>
  </si>
  <si>
    <t xml:space="preserve">Mr. Stephen L. Larcia
Chief Executive Officer
Hiraya Technology Solutions, Inc. </t>
  </si>
  <si>
    <t>502-503 Jocfer Building,
Commonwealth Ave., Quezon City</t>
  </si>
  <si>
    <t>Cell No.: (02) 8826 6836
Email: stephen@hirayatech.ai; info@hirayatech.ai</t>
  </si>
  <si>
    <t>58</t>
  </si>
  <si>
    <t>2024-80</t>
  </si>
  <si>
    <t>Scaleup of CHRG Inc. Operations and Product Certifications</t>
  </si>
  <si>
    <t>Engr. Leo Allen S. Tayo
CEO and President
CHRG Electric vehicle technologies Inc</t>
  </si>
  <si>
    <t>3F, Enterprise Incubation Room, National Engineering
Center, Osmena Ave, UP Campus, Diliman, Quezon City.</t>
  </si>
  <si>
    <t>Engr. Leo Allen S. Tayo – 09272103449
Engr. Rovinna Janel Tayo – 09297193619
leo@chrg.tech / janel@chrg.tech</t>
  </si>
  <si>
    <t>59</t>
  </si>
  <si>
    <t>2024-57</t>
  </si>
  <si>
    <t>Scaling up for Market Expansion and Customer Retention</t>
  </si>
  <si>
    <t>Ms. Ralen Rose Gloria L. Malatbalat
COO, making.technology
Manufacturing Corporation</t>
  </si>
  <si>
    <t xml:space="preserve">   UPSCALE G/F National Engineering Center, F. Agoncillo St., cor.
Osmena Ave., U.P. Campus, Diliman, Quezon City, 1101</t>
  </si>
  <si>
    <t>ralen@makingtech.co / inquire@makingtech.co</t>
  </si>
  <si>
    <t>60</t>
  </si>
  <si>
    <t>61</t>
  </si>
  <si>
    <t>62</t>
  </si>
  <si>
    <t>63</t>
  </si>
  <si>
    <t>64</t>
  </si>
  <si>
    <t>CES 2025, Handa Pinas 2025</t>
  </si>
  <si>
    <t>65</t>
  </si>
  <si>
    <t>WoSG, CES 2025, DOST-TAPI and APCTT event Sept 3-4, 2024 , Handa Pinas 2025</t>
  </si>
  <si>
    <t>66</t>
  </si>
  <si>
    <t>E-MarkET WoSG Market Intelligence, NICE, CES 2025, APCTT 2024 Exhibit, Philippinext</t>
  </si>
  <si>
    <t>67</t>
  </si>
  <si>
    <t>68</t>
  </si>
  <si>
    <t>PHILIPPiNEXT</t>
  </si>
  <si>
    <t>69</t>
  </si>
  <si>
    <t>PHILIPPiNEXT, Marketing Assistance Program, KIWIE, LUNDUYAN</t>
  </si>
  <si>
    <t>70</t>
  </si>
  <si>
    <t>71</t>
  </si>
  <si>
    <t>72</t>
  </si>
  <si>
    <t>73</t>
  </si>
  <si>
    <t>74</t>
  </si>
  <si>
    <t>75</t>
  </si>
  <si>
    <t>76</t>
  </si>
  <si>
    <t>77</t>
  </si>
  <si>
    <t>78</t>
  </si>
  <si>
    <t>79</t>
  </si>
  <si>
    <t xml:space="preserve">2024 </t>
  </si>
  <si>
    <t>2024-79</t>
  </si>
  <si>
    <t>Bio-Based Polyurethene Adhesive System for Coconut Coir Board Production</t>
  </si>
  <si>
    <t>Kenno Michael M. Uy
CEO
Lesstics Inc</t>
  </si>
  <si>
    <t>0014 Matthew St. Bahayan, Luinab, Iligan City</t>
  </si>
  <si>
    <t>Cell No.: 0917-162-2127
Email: lesstics@gmail.com</t>
  </si>
  <si>
    <t>80</t>
  </si>
  <si>
    <t>2024-60</t>
  </si>
  <si>
    <t>HOCLOMAC: Product Certification, Inventory, and Sales</t>
  </si>
  <si>
    <t xml:space="preserve">Dr. Francis Aldrine A. Uy
President and CEO
USHER Technologies, Inc. </t>
  </si>
  <si>
    <t>1409 Corporate 145, Mother Ignacia St., South  Triangle, Quezon City</t>
  </si>
  <si>
    <t xml:space="preserve">drfrancisuy@gmail.com </t>
  </si>
  <si>
    <t>81</t>
  </si>
  <si>
    <t>IEIG 2025 / RSTW VIII</t>
  </si>
  <si>
    <t>82</t>
  </si>
  <si>
    <t>WoSG, CES 2025, E-MarkET Market Intelligence</t>
  </si>
  <si>
    <t>2024 &amp; 2025</t>
  </si>
  <si>
    <t>WoSG, E-MarkET Market Intelligence, CES 2025</t>
  </si>
  <si>
    <t>84</t>
  </si>
  <si>
    <t>2025</t>
  </si>
  <si>
    <t>2025-18</t>
  </si>
  <si>
    <t>Magicbag: Wireless slow cooker</t>
  </si>
  <si>
    <t>Ms. Rowena Faith Armeniana Sucalit
4423 Montojo St. Tejeros, Makati City</t>
  </si>
  <si>
    <t>weng747@yahoo.com
0916-777-8031</t>
  </si>
  <si>
    <t>85</t>
  </si>
  <si>
    <t>Commercialization and Scaling of Duon’s Real-Time Indoor Navigation with Foot Traffic Behavioral Analysis and Prediction AI</t>
  </si>
  <si>
    <t xml:space="preserve">
MR. GABRIEL ANTON D. ANGELES, Project Leader
DUON TECHNOLOGIES INCORPORATED</t>
  </si>
  <si>
    <t>7F, Panorama Tower 34th Street, corner Lane A, Taguig, 1634 Metro Manila</t>
  </si>
  <si>
    <t>gda4993@gmail.com, admin@duon.ph
9773470628</t>
  </si>
  <si>
    <t>86</t>
  </si>
  <si>
    <t>COMMERCIAL PROTOTYPING OF SMART WATER (IOT) METER (SWIM)</t>
  </si>
  <si>
    <r>
      <rPr>
        <sz val="10"/>
        <color rgb="FF000000"/>
        <rFont val="Arial"/>
      </rPr>
      <t>cdcamilonjr@</t>
    </r>
    <r>
      <rPr>
        <sz val="10"/>
        <color rgb="FF000000"/>
        <rFont val="Arial"/>
      </rPr>
      <t xml:space="preserve">gmail.com
</t>
    </r>
    <r>
      <rPr>
        <sz val="10"/>
        <color rgb="FF000000"/>
        <rFont val="Arial"/>
      </rPr>
      <t>09224074861/049-501-4583</t>
    </r>
  </si>
  <si>
    <t>87</t>
  </si>
  <si>
    <t>Rezbin: Business Model Validation and Market Acceptability Testing for Low Cost AI-powered Bins as an Alternative to Expensive Reverse Vending Machines in Metro Manila</t>
  </si>
  <si>
    <t xml:space="preserve">
Matthew Cristi C. Martirez, Project Leader
Rezbin Waste Technology Inc.</t>
  </si>
  <si>
    <t>88</t>
  </si>
  <si>
    <t>Technological Improvement and Field Testing of Bamboo-based Biodegradable Period Care</t>
  </si>
  <si>
    <t>Alexandra B. Jocom, Project Leader
BioTerra Corp. (Halia)</t>
  </si>
  <si>
    <t xml:space="preserve">      
alexa@halia.co
639764896618</t>
  </si>
  <si>
    <t>89</t>
  </si>
  <si>
    <t>Scaling Up and Deployment of the Multi-Drum Chamber Carbonization System for Sustainable Charcoal Production in the Philippines</t>
  </si>
  <si>
    <t>Julieane M. Fernandez, Project Leader
Eco-Uling by Project Lily Inc.</t>
  </si>
  <si>
    <t>ayafernandez.ecouling@gmail.com
0915-795-1534</t>
  </si>
  <si>
    <t>90</t>
  </si>
  <si>
    <t>Optimizing Bamboo Processing: 2-IN-1 Furnace For Pole Treatment and Valorization of Silica-Rich Bamboo Ash</t>
  </si>
  <si>
    <t>Anneth Rigon
BAMBOO IMPACT LAB OPC</t>
  </si>
  <si>
    <t>anneth@bambooimpactlab.com
0919-999-0488</t>
  </si>
  <si>
    <t>91</t>
  </si>
  <si>
    <t>2025-29</t>
  </si>
  <si>
    <t>Commercialization of GradeChum: An AI-Powered Platform
for Automatic Evaluation of Handwritten Activities</t>
  </si>
  <si>
    <t>MR. JEMAR JUDE A. MARANGA
President and CEO
CODECHUM SOFTWARE SOLUTIONS INC.</t>
  </si>
  <si>
    <t xml:space="preserve">753 Katipunan St., Tisa, Cebu City, Cebu, Philippines </t>
  </si>
  <si>
    <t xml:space="preserve">
jude@codechum.com
639959469610</t>
  </si>
  <si>
    <t>92</t>
  </si>
  <si>
    <t>93</t>
  </si>
  <si>
    <t>LUNDUYAN
KIWIE,
 Marketing Assistance Program</t>
  </si>
  <si>
    <t>94</t>
  </si>
  <si>
    <t>95</t>
  </si>
  <si>
    <r>
      <rPr>
        <sz val="10"/>
        <color rgb="FF000000"/>
        <rFont val="Arial"/>
      </rPr>
      <t>cdcamilonjr@</t>
    </r>
    <r>
      <rPr>
        <sz val="10"/>
        <color rgb="FF000000"/>
        <rFont val="Arial"/>
      </rPr>
      <t xml:space="preserve">gmail.com
</t>
    </r>
    <r>
      <rPr>
        <sz val="10"/>
        <color rgb="FF000000"/>
        <rFont val="Arial"/>
      </rPr>
      <t>09224074861/049-501-4583</t>
    </r>
  </si>
  <si>
    <t>96</t>
  </si>
  <si>
    <t>97</t>
  </si>
  <si>
    <t>98</t>
  </si>
  <si>
    <t>99</t>
  </si>
  <si>
    <t>POSSIBLE FOLLOW UP ASSITANCE</t>
  </si>
  <si>
    <t>Endorsed to NDC</t>
  </si>
  <si>
    <r>
      <rPr>
        <sz val="10"/>
        <color rgb="FF000000"/>
        <rFont val="Arial"/>
      </rPr>
      <t>cdcamilonjr@</t>
    </r>
    <r>
      <rPr>
        <sz val="10"/>
        <color rgb="FF000000"/>
        <rFont val="Arial"/>
      </rPr>
      <t xml:space="preserve">gmail.com
</t>
    </r>
    <r>
      <rPr>
        <sz val="10"/>
        <color rgb="FF000000"/>
        <rFont val="Arial"/>
      </rPr>
      <t>09224074861/049-501-4583</t>
    </r>
  </si>
  <si>
    <t>For endorsement to NDC</t>
  </si>
  <si>
    <t>Mr. Kenneth Baylosis</t>
  </si>
  <si>
    <t>Enhancement of Prototype and Market Readiness of R-TAP (an advanced pressure management system for water utilities)</t>
  </si>
  <si>
    <t>Mr. Stephen Larcia
Hiraya Technology Solutions, Inc.</t>
  </si>
  <si>
    <t>stephen@hirayatech.ai; info@hirayatech.ai
(02) 8826 6836</t>
  </si>
  <si>
    <t>Field Testing and Technology Validation of the E-Procurement Sytem (ePS) for Government Agencies</t>
  </si>
  <si>
    <t>Engr. Jose Rizaldy G. Harder
Infodynamics Technologies</t>
  </si>
  <si>
    <t>(033) 321 0928
rizaldyharder@yahoo.com</t>
  </si>
  <si>
    <t>Cost Efficient and High Quality Accelerograph for Disaster Preparedness in Buildings</t>
  </si>
  <si>
    <t>Mr. Rodolfo Alfonso (Ryan) Sabio
Tekton Geometrix, Inc.</t>
  </si>
  <si>
    <t xml:space="preserve">        
437-7001/ 0915 256 3355</t>
  </si>
  <si>
    <t>Bicycle Frame with Wheel Size Adaptable Geometry</t>
  </si>
  <si>
    <t>Rurok Industries</t>
  </si>
  <si>
    <t>Biologically Active Plant Extracts as Dietary Supplements</t>
  </si>
  <si>
    <t>Pascual Laboratories, Inc.</t>
  </si>
  <si>
    <t>Standardized Tawa-tawa Capsule</t>
  </si>
  <si>
    <t>Herbanext Laboratories, Inc.</t>
  </si>
  <si>
    <t>Composition Of Herbal Medicine</t>
  </si>
  <si>
    <t>Pharmalytics Corporation</t>
  </si>
  <si>
    <t>Wall Garden</t>
  </si>
  <si>
    <t>Dok Alternatibo Brotherhood with Inventors Guild Consumers Cooperative (DABIGCCO)</t>
  </si>
  <si>
    <t>Sanisafe Disinfection System</t>
  </si>
  <si>
    <t>Sanisafe Utility Projects Construction</t>
  </si>
  <si>
    <t>TELLA</t>
  </si>
  <si>
    <t>Joeus Event Supplies Corporation</t>
  </si>
  <si>
    <t>E VitalBotApp Vital Signs Monitoring and Medicine Kit Robot with Mobile Application</t>
  </si>
  <si>
    <t>Erovoutika Enterprises</t>
  </si>
  <si>
    <t>Resolution No:</t>
  </si>
  <si>
    <t>Type</t>
  </si>
  <si>
    <t>Name of Proponent</t>
  </si>
  <si>
    <t>Amount of Investment</t>
  </si>
  <si>
    <t>Flamethrower Device As
Insects, Pests, Diseases,
And Weed Controller</t>
  </si>
  <si>
    <t>MR. PHILIP G. CHAN
13 Rimando Road, Baguio City
philipchan5762@gmail.com
09854791420</t>
  </si>
  <si>
    <t>ISP</t>
  </si>
  <si>
    <t>Invent School™ Program
Seminar-Workshop for High
School Students of Allen
National High School</t>
  </si>
  <si>
    <t>Allen National High School, Allen Northern Samar</t>
  </si>
  <si>
    <t>Invent School™ Program
Seminar-Workshop for
Elementary Pupils of Paaralang
Sentral ng Talaga</t>
  </si>
  <si>
    <t>DepEd City Schools Division of Tanuan</t>
  </si>
  <si>
    <t xml:space="preserve">Engr. Jose Luis L. Villalon
25 Mercury, Zytek-Riosa, Brgy. Pasong Tamo, 
Quezon City, 1107
louie.vdaliinnovations@gmail.com
+63 915 126 5571
</t>
  </si>
  <si>
    <t xml:space="preserve">Ms. Rowena Faith Armeniana Sucalit
4423 Montojo St. Tejeros, Makati City
weng747@yahoo.com
0916-777-8031
</t>
  </si>
  <si>
    <t>2025-19</t>
  </si>
  <si>
    <t>Invent School™ Program Seminar-Workshop for Grade 11 Students from De La Salle University- Dasmariñas High School</t>
  </si>
  <si>
    <t>De La Salle University- Dasmariñas High School</t>
  </si>
  <si>
    <t>2025-20</t>
  </si>
  <si>
    <t>Invent School™ Program Seminar-Workshop: DBTI Computer Society &amp; EE-nnovators Club Members</t>
  </si>
  <si>
    <t>Don Bosco Technical Institute of Makati</t>
  </si>
  <si>
    <t>2025-21</t>
  </si>
  <si>
    <t>Invent School™ Program
Seminar-Workshop for
BaliwagHenyo Innovators</t>
  </si>
  <si>
    <t>BALHCEI  Baliwag South Central School</t>
  </si>
  <si>
    <t>2025-26</t>
  </si>
  <si>
    <t>Market Validation of the Improved Cocoon and Other Materials Dryer</t>
  </si>
  <si>
    <t>First Road, Benin Lot 5, Pinsao Proper, Baguio City fiscar.cordillera@gmail.com 09065740108</t>
  </si>
  <si>
    <t>2025-31</t>
  </si>
  <si>
    <t>eIPRAP</t>
  </si>
  <si>
    <t xml:space="preserve">Internationally - Secured Patents for ASTI's Readiness on Commercialization 
(i-SPARC) 2025
</t>
  </si>
  <si>
    <t>DOST-ASTI</t>
  </si>
  <si>
    <t>2025-32</t>
  </si>
  <si>
    <t>Technology Validation of Lapan Pork Sausage</t>
  </si>
  <si>
    <t>Dr. Marielle S. Dizon</t>
  </si>
  <si>
    <t>INVENT SCHOOL PROGRAM SEMINAR-WORKSHOP FOR COLLEGE STUDENTS IN SAINT LOUIS UNIVERSITY-MAIN CAMPUS,BAGUIO CITY ON JANUARY 27, 2024</t>
  </si>
  <si>
    <t>SAIN LOUIS UNIVERSITY, BAGUIO CITY,BENGUET</t>
  </si>
  <si>
    <t>INVENT SHCOOL PROGRAM SEMINAR FOR COLLEGE STUDENTS IN CENTRAL MINDANAO UNIVERSITY (CMU)-MUSUAN, MARAMAG,BUKIDNON</t>
  </si>
  <si>
    <t>COLLEGE STUDENT IN CENTRAL MINDANAO UNIVERSITY(CMu)</t>
  </si>
  <si>
    <t>INVENT SCHOOL PROGRAM SEMINAR FOR JUNIOR AND SENIOR HIGH SCHOOL STUDENT OF IMUS INSTITUTE OF SCIENCE AND TECHNOLOGY AT IMUS CAVITE</t>
  </si>
  <si>
    <t>IMUS INSTITUTE OF SCIENCE AND TECHNOLOGY(IIST)</t>
  </si>
  <si>
    <t>TECHNOLOGY VALIDATION OF PORTABLE ABACA FIBER STRIPPING MACHINE</t>
  </si>
  <si>
    <t>MR. RAMON T. MANLOLO</t>
  </si>
  <si>
    <t xml:space="preserve">Invent School Program Seminar for College Students in the Selected Province of Pampanga
</t>
  </si>
  <si>
    <t xml:space="preserve">DOST III PSTO-Pampanga
</t>
  </si>
  <si>
    <t>Invent School Program Seminar-Workshop High School Level for Bolbok Integrated National High School</t>
  </si>
  <si>
    <t>DOST PSTO-BATANGAS</t>
  </si>
  <si>
    <t>2024-14</t>
  </si>
  <si>
    <t>Improved Cocoon and Other Materials Drye</t>
  </si>
  <si>
    <t xml:space="preserve">MR. GLEN M. PORTUGAL 
First Road, Benin Lot 5, Pinsao Proper, Baguio City        
09065740108
fiscar.cordillera@gmail.com
</t>
  </si>
  <si>
    <t>2024-16</t>
  </si>
  <si>
    <t>Invent School Program Seminar for College Students of Marikina Polytechnic College</t>
  </si>
  <si>
    <t>Marikina Polytechnic College</t>
  </si>
  <si>
    <t>2024-17</t>
  </si>
  <si>
    <t>Technology Validation of Carrot Smoothies with Blue Ternate Flower Infusion - GALING Program</t>
  </si>
  <si>
    <t xml:space="preserve">MS. LINA T. CODILLA
B3, L5, Alta Tierra, Napolan, Pagadian City, 
Zamboanga Del Sur
09460668556
ltcodilla2018@gmail.com
</t>
  </si>
  <si>
    <t>2024-21</t>
  </si>
  <si>
    <t>ISP in Eastern Samar</t>
  </si>
  <si>
    <t>Eastern Samar State University</t>
  </si>
  <si>
    <t>2024-22</t>
  </si>
  <si>
    <t>Invent School Program - Palawan</t>
  </si>
  <si>
    <t>Schools Division of Puerto Princesa City
-Puerto Princesa City National Science High Schoolversity</t>
  </si>
  <si>
    <t>Julienne Fabie-Agapin
Lumbia District, Pagadian City
juliennestephanie.agapin@wmsu.edu.ph
09362660139</t>
  </si>
  <si>
    <t>2024-42</t>
  </si>
  <si>
    <t>Invent School Program Seminar-Workshop for Selected Junior and Senior High School Students of Ateneo de Davao University</t>
  </si>
  <si>
    <t>Ateneo de Davao University-School of Engineering and Architecture</t>
  </si>
  <si>
    <t>2024-53</t>
  </si>
  <si>
    <t>Technology Validation of USB Port with Mounting Holder</t>
  </si>
  <si>
    <t>Mr. Alphy C. Ferraren
Purok 4, Brgy.Gumaga, Libungan, North Cotabato 
bukid_31@yahoo.com
0970895069</t>
  </si>
  <si>
    <t>Mr. Alvin Phoebe Artemis A. Valdez
Interior Fidelidad Street, Barangay 1, Balayan, Batagas 4213
alvinphoebeartemis@gmail.com
+639918781878; +639916453232</t>
  </si>
  <si>
    <t>2024-55</t>
  </si>
  <si>
    <t>Concept Proto</t>
  </si>
  <si>
    <t>Composing Machine with Rotary mixer</t>
  </si>
  <si>
    <t>Ms. Angelica A. Marcelino
Topdac, Atok, Benguet
09384034199
angelicamarcelino49@gmail.com</t>
  </si>
  <si>
    <t>2024-56</t>
  </si>
  <si>
    <t>Automated Air-reversible Agricultural Commodities Dryer</t>
  </si>
  <si>
    <t>Mr. Melvin B. Luteb
Ampucao, Itogon, Benguet
09207160534/09926860643
luteb.melvin03@gmail.com</t>
  </si>
  <si>
    <t>2024-30</t>
  </si>
  <si>
    <t>Prototype Enhancement and Testing of Village-level Sago Pith Extracting Machine</t>
  </si>
  <si>
    <t>Engr. Aljon E. Bocobo
Caraga State University</t>
  </si>
  <si>
    <t>2024-63</t>
  </si>
  <si>
    <t>Invent School Program Seminar-Workshop for Elementary Pupils and Highschool Students in the Eastern Zone of Ilocos Norte</t>
  </si>
  <si>
    <t>DOST Regional Office I</t>
  </si>
  <si>
    <t>2024-64</t>
  </si>
  <si>
    <t>Technology Validation of Motorized Multi-Purpose Grater and Shredder</t>
  </si>
  <si>
    <t xml:space="preserve">Mr. Johnny D. Banez
</t>
  </si>
  <si>
    <t>2024-38</t>
  </si>
  <si>
    <t>Field Testing and Market Validation of Cost-Efficient Solar-Power Navigating Paddle Wheel Aerotor System for Grow Out Farming</t>
  </si>
  <si>
    <t xml:space="preserve">JONELLE H. TABLADA / Male
SOUTHEASTERN LEYTE STATEUNIVERSITY
</t>
  </si>
  <si>
    <t>2024-72</t>
  </si>
  <si>
    <t>Technology Validation of Ship Anti-piracy Fence Apparatus” of Mr. Nestor V. Buencido</t>
  </si>
  <si>
    <t>MR. NESTOR V. BUENCIDO</t>
  </si>
  <si>
    <t>2024-75</t>
  </si>
  <si>
    <t>Cross-Border IP: Global IP Assessment and Filing in Forest Products Research and Development Institute (FPRDI)</t>
  </si>
  <si>
    <t>DOST-FPRDI</t>
  </si>
  <si>
    <t>2024-76</t>
  </si>
  <si>
    <t>Invent School Program Seminar-Workshop for Grades 9-11 Students of Minuyan, Norzagaray, Bulacan</t>
  </si>
  <si>
    <t>Minuyan National High School</t>
  </si>
  <si>
    <t>2024-77</t>
  </si>
  <si>
    <t>Invent School Program Seminar-Workshop for Senior High School Students of Basud National High School</t>
  </si>
  <si>
    <t>Basud National High School</t>
  </si>
  <si>
    <t>The Scrapcycle PH field and Market Testing of Scrap Trading Dynamics Across Philippine Urban Landscapes</t>
  </si>
  <si>
    <t xml:space="preserve">Genevieve P. Navales/Female
Project Leader, ScrapCycle PH
09952033203
</t>
  </si>
  <si>
    <t>2024-83</t>
  </si>
  <si>
    <t>Invent School Program Seminar-Workshop for Selected BSIT and BSECE Students of University of Makati</t>
  </si>
  <si>
    <t>University of Makati  - College of Computing and Information Services</t>
  </si>
  <si>
    <t>Mr. Patrick Roland de Guzman</t>
  </si>
  <si>
    <t>2023-17</t>
  </si>
  <si>
    <t>ISP Seminar-Workshop for Highschool Students in Romblon</t>
  </si>
  <si>
    <t>DOST IV-B</t>
  </si>
  <si>
    <t>2023-18</t>
  </si>
  <si>
    <t>ISP Seminar-Workshop  for High School Students and Elementary Students in Rapu-rapu, Albay</t>
  </si>
  <si>
    <t>DOST V</t>
  </si>
  <si>
    <t>2023-19</t>
  </si>
  <si>
    <t>Invent School Program Seminar-Workshop for High School and Elementary Students in the North Zone of Ilocos Norte</t>
  </si>
  <si>
    <t>DOST I</t>
  </si>
  <si>
    <t>2023-21</t>
  </si>
  <si>
    <t>Invent School Program Seminar-Workshop for Elementary, High School and College Students in Masbate: Webinar Edition</t>
  </si>
  <si>
    <t>2023-28</t>
  </si>
  <si>
    <t>Market Validation of Heat Retaining Bag</t>
  </si>
  <si>
    <t>Ms. Rowena Faith A. Sucalit</t>
  </si>
  <si>
    <t>2023-29</t>
  </si>
  <si>
    <t>Innovation support for Pre-commercialization of Abaca Fiber Tiles: a locally developed product utilizing Abaca wastes</t>
  </si>
  <si>
    <t>Mr. Jay F. Sanchez</t>
  </si>
  <si>
    <t>2023-32</t>
  </si>
  <si>
    <t>Nano Foldable Crutch</t>
  </si>
  <si>
    <t>Mr. James Bryan Camacho</t>
  </si>
  <si>
    <t>2023-33</t>
  </si>
  <si>
    <t>Motorized Multi-Purpose Machine for Grater and Shredder</t>
  </si>
  <si>
    <t>Mr. Johnny Bañez</t>
  </si>
  <si>
    <t>2023-34</t>
  </si>
  <si>
    <t>Pilot scale production of unVAS (unas Canvas)</t>
  </si>
  <si>
    <t>Ms. Julienne Stephanie Fabie-Agapin</t>
  </si>
  <si>
    <t>2023-35</t>
  </si>
  <si>
    <t>An Improved Belt Conveyor</t>
  </si>
  <si>
    <t>Mr. Luder R. Zarate</t>
  </si>
  <si>
    <t>2023-36</t>
  </si>
  <si>
    <t>Unscreened Hammer Mill for Dried Root Crops</t>
  </si>
  <si>
    <t>Ms. Cynthia Zarate</t>
  </si>
  <si>
    <t>2023-37</t>
  </si>
  <si>
    <t>ParallaxEd: A Commecial-ready Prototype of an Engineering Simulation System using Mixed Reality</t>
  </si>
  <si>
    <t>Dr. Albertson De Chavez Amante
Batangas State University</t>
  </si>
  <si>
    <t>2023-40</t>
  </si>
  <si>
    <t>Vortex Enhance Marine Propulsion</t>
  </si>
  <si>
    <t>Engr. El Arby Eledia</t>
  </si>
  <si>
    <t>2023-41</t>
  </si>
  <si>
    <t xml:space="preserve">Market validation and packaging of Organic
Coffee
</t>
  </si>
  <si>
    <t xml:space="preserve">Ms. Nanette D. Bilbao 
</t>
  </si>
  <si>
    <t>2023-42</t>
  </si>
  <si>
    <t>Machine for Collecting and Bagging of Rice Grains</t>
  </si>
  <si>
    <t>Mr. Orlie D. Panes</t>
  </si>
  <si>
    <t>2023-43</t>
  </si>
  <si>
    <t>Channel Multiplier Remote Control System – Prototype 3</t>
  </si>
  <si>
    <t>Mr. Gibsonjis Rosales</t>
  </si>
  <si>
    <t>2023-44</t>
  </si>
  <si>
    <t>Greenleaf Essential Oils Formulation</t>
  </si>
  <si>
    <t>Mr. Jose Ingles</t>
  </si>
  <si>
    <t>2023-46</t>
  </si>
  <si>
    <t>Fabrication of a Commercial-ready Prototype of the Collapsible Solar Power Station for Farms</t>
  </si>
  <si>
    <t>Dr. Anton Louise de Ocampo
Batangas State University</t>
  </si>
  <si>
    <t>2023-48</t>
  </si>
  <si>
    <t>Technology Validation for A Burger Patty Having an Abaca Core as Enhancer</t>
  </si>
  <si>
    <t>Ms. Joycee France D. Usero</t>
  </si>
  <si>
    <t>2023-58</t>
  </si>
  <si>
    <t>Alpha Herbal Oil</t>
  </si>
  <si>
    <t xml:space="preserve">Ms. Mariecel A. Fuentes 
</t>
  </si>
  <si>
    <t>2023-64</t>
  </si>
  <si>
    <t>Lanasug Cooking Oil</t>
  </si>
  <si>
    <t>Mr. Al-Anni A. Asgali</t>
  </si>
  <si>
    <t>2023-67</t>
  </si>
  <si>
    <t>Refinement of EOS Juego De Tactica Board Game</t>
  </si>
  <si>
    <t>Mr. Rodney I. Ebrole</t>
  </si>
  <si>
    <t>2023-70</t>
  </si>
  <si>
    <t>Pastillas Tart with Squash Powder</t>
  </si>
  <si>
    <t>Ms. Ma. Monette DR. Tugay</t>
  </si>
  <si>
    <t>2023-71</t>
  </si>
  <si>
    <t>Development of a Non-Biological Wastewater Treatment System for Efficient and Sustainable Water Reuse</t>
  </si>
  <si>
    <t>Mr. Rene Francis Dimalanta</t>
  </si>
  <si>
    <t>2023-72</t>
  </si>
  <si>
    <t>Invent School Seminar-Workshop for Elementary and High School Students from selected schools in Ormoc City, Leyte</t>
  </si>
  <si>
    <t>DOST-VIII</t>
  </si>
  <si>
    <t xml:space="preserve">Mr. Ivan Brent Nara 
</t>
  </si>
  <si>
    <t>Technology and business validation of an advanced web and mobile Point-of-Sale (POS)
software-as-a-service (SAAS) application for Philippine micro and small retail businesses</t>
  </si>
  <si>
    <t>IOL Inc.</t>
  </si>
  <si>
    <t xml:space="preserve">Ms. Normie Jean Sajor Lacubtan 
Project Leader
</t>
  </si>
  <si>
    <t>Technology and business validation of an advanced web and mobile Point-of-Sale (POS) software-as-a-service (SAAS) application for Philippine micro and small retail businesses</t>
  </si>
  <si>
    <t>1. Webinar -Workshop on Intellectual Property and Innovation for Selected Grade 4-6 Pupils in San Isidro, Davao Oriental                                                           
2. Creativity Boost and Intellectual Property Basics For Selected High School Pupils in Davao Oriental                                                                                           
3. Creativity Boost and Intellectual Property Basics for Selected  DORSU Students</t>
  </si>
  <si>
    <t>DOST Region XI</t>
  </si>
  <si>
    <t>IP</t>
  </si>
  <si>
    <t>DOST-TAPI's Promotional Collaterals</t>
  </si>
  <si>
    <t>DOST-TAPI</t>
  </si>
  <si>
    <t>2022-100</t>
  </si>
  <si>
    <t>Pre-Commercialization of IOT-Based Monitoring System for Machine Shop</t>
  </si>
  <si>
    <t>Mr. Franz Joseph D. Libao</t>
  </si>
  <si>
    <t>2022-16</t>
  </si>
  <si>
    <t>Invent School Program: Webinar Workshop for Selected Grade 5 and 6 Pupils in the 5 (Five) Provinces of Region II</t>
  </si>
  <si>
    <t>DOST Region II</t>
  </si>
  <si>
    <t>2022-17</t>
  </si>
  <si>
    <t>Pilot Production of Simplified Compact Tire Inventer Machine (1/2021/050414</t>
  </si>
  <si>
    <t>Engr. Lester A. Quimpo</t>
  </si>
  <si>
    <t>2022-103</t>
  </si>
  <si>
    <t>TESTING</t>
  </si>
  <si>
    <t>Adaptive Foldable Crutches (2-2017-001074)</t>
  </si>
  <si>
    <t>Mr. James Byran B. Camacho</t>
  </si>
  <si>
    <t>2022-104</t>
  </si>
  <si>
    <t>BTC Lab Kit: A Classroom Friendly Tissue Culture System for Instruction in Life Science course in Senior High School</t>
  </si>
  <si>
    <t>Dr. Carmen Lagman</t>
  </si>
  <si>
    <t>2022-105</t>
  </si>
  <si>
    <t>Pre-commercialization of Low-Cost Phototherapy Light System</t>
  </si>
  <si>
    <t>Mr. Paul M. Cabacungan</t>
  </si>
  <si>
    <t>2022-106</t>
  </si>
  <si>
    <t>Engineered Water Hyacinth Fiber Laminated Panel as Decorative Home Divider</t>
  </si>
  <si>
    <t>Ms. Yolanda A. Santorcas</t>
  </si>
  <si>
    <t>2022-107</t>
  </si>
  <si>
    <t>Scale-up and Market Validation of Automated Industrial-type Compression Molding Machine for Bamboo Composite Products</t>
  </si>
  <si>
    <t>Engr. Dan William C. Martinez</t>
  </si>
  <si>
    <t>2022-108</t>
  </si>
  <si>
    <t>Scaled-up Production and Technology Validation of DOST-ITDI's Ready-to-Eat Quail Eggs</t>
  </si>
  <si>
    <t>Ma. Bettina A. Macaraeg</t>
  </si>
  <si>
    <t>2022-13</t>
  </si>
  <si>
    <t>DOST-TAPI's Promotional Activities and Materials</t>
  </si>
  <si>
    <t>2022-23</t>
  </si>
  <si>
    <t>Invention School Program: Webinar-Workshop for Primary to Tertiary Level in Different Provinces of BARMM</t>
  </si>
  <si>
    <t>Ministry of Science and Technology (MOST)-BARMM</t>
  </si>
  <si>
    <t>2022-31</t>
  </si>
  <si>
    <t>Support for the Development of Online Platform for Health Innovations through DOST-TAPI's ISP featuring Health Innovations</t>
  </si>
  <si>
    <t>IDD</t>
  </si>
  <si>
    <t>2022-54</t>
  </si>
  <si>
    <t>Development of a Three Phase to Single Back-to-Back Voltage Source Power Converter Prototype fo Squirrel Cage Induction Machine Drive and Grid Integration</t>
  </si>
  <si>
    <t>Mr. Leo Marcelo P. Villalba</t>
  </si>
  <si>
    <t>2022-55</t>
  </si>
  <si>
    <t>An Improved Roofing Tile</t>
  </si>
  <si>
    <t>Mr. Reynaldo P. Cruz</t>
  </si>
  <si>
    <t>2022-35</t>
  </si>
  <si>
    <t>Prototyping and Pilot Testing of Self-Propelled Riding Type Grain Collector (Bagger) for Solar Dried Grains</t>
  </si>
  <si>
    <t>Joel M. Alcarazy, Isabela State University</t>
  </si>
  <si>
    <t>2022-36</t>
  </si>
  <si>
    <t>Pilot Testing of the Peanut Harvesting Technology - Peanut Digger in Top Peanut-Growing Areas in Northern Luzon</t>
  </si>
  <si>
    <t>Dr. Jose De Guzman                                                                                                                                                                                                                                Central State University</t>
  </si>
  <si>
    <t>2022-57</t>
  </si>
  <si>
    <t>Automated Greenhouse Gardening System</t>
  </si>
  <si>
    <t>Mr. Mark Julius O. Bula</t>
  </si>
  <si>
    <t>2022-65</t>
  </si>
  <si>
    <t>Fabrication of Suman Molder Gardening System</t>
  </si>
  <si>
    <t>Engr. Renell Jay G. Villaluz</t>
  </si>
  <si>
    <t>2022-68</t>
  </si>
  <si>
    <t>A Device for Wave and Salinity Power Generation (SaltPanel)</t>
  </si>
  <si>
    <t>Mr. Patrick Roland C. De Guzman</t>
  </si>
  <si>
    <t>2022-64</t>
  </si>
  <si>
    <t>Enhancement, Pilot Testing and Market Study of Biomass Fish Dryer</t>
  </si>
  <si>
    <t>Engr. Monalyn Oloroso Capiz State University (CSU)</t>
  </si>
  <si>
    <t>2022-69</t>
  </si>
  <si>
    <t>Prototype Development of a Meat Tenderizing Machine</t>
  </si>
  <si>
    <t>Mr. Raul C. Mabitazan</t>
  </si>
  <si>
    <t>2022-66</t>
  </si>
  <si>
    <t>Adaptive Foldable Crutches</t>
  </si>
  <si>
    <t>Mr. James Bryan B. Camacho</t>
  </si>
  <si>
    <t>2022-70</t>
  </si>
  <si>
    <t>Hydroponics Buckets with Basket Carriers</t>
  </si>
  <si>
    <t>Ms. Ma. Clarissa B. Mabitazan</t>
  </si>
  <si>
    <t>2022-71</t>
  </si>
  <si>
    <t>Remote Controlled Safety Vest for Bikers</t>
  </si>
  <si>
    <t>Mr. Wringley S. Patio</t>
  </si>
  <si>
    <t>2022-76</t>
  </si>
  <si>
    <t>Invent School Program Seminar-Workshop for Elementary Pupils of 2nd Congressional District of Pangasinan</t>
  </si>
  <si>
    <t>DOST Region I</t>
  </si>
  <si>
    <t>2022-79</t>
  </si>
  <si>
    <t>IBID</t>
  </si>
  <si>
    <t>Fabrication of Commercial Prototype of "Anti-Mosquito Egg Machine (2-2021-051088)"</t>
  </si>
  <si>
    <t>Mr. Ruel L. Deangkinay</t>
  </si>
  <si>
    <t>2022-80</t>
  </si>
  <si>
    <t>QUADRO: Transformable Flatpack Furniture</t>
  </si>
  <si>
    <t>Ms. Reinna Micaella Biaca</t>
  </si>
  <si>
    <t>2022-81</t>
  </si>
  <si>
    <t>VORTEx (Versatile and Off-shore Recyclable Turbine for Energy)</t>
  </si>
  <si>
    <t>Mr. Jose Luis Villalon</t>
  </si>
  <si>
    <t>2022-86</t>
  </si>
  <si>
    <t>Development and Testing of the Initial Prototype for the Commercialization of Flamethrower Device as Insects, pests, Diseases, and Weed Controller</t>
  </si>
  <si>
    <t>Philip G. Chan</t>
  </si>
  <si>
    <t>2022-87</t>
  </si>
  <si>
    <t>Sugar-free Turmeric Health Lounges</t>
  </si>
  <si>
    <t>Mr. Eliza A. De Cadiz</t>
  </si>
  <si>
    <t>2022-82</t>
  </si>
  <si>
    <t>Project GeoMap: Enhancement of Geo-Referenced Agricultural Mapping and Geospatial Information Management System for Samar Island</t>
  </si>
  <si>
    <t>Engr. Raven Carlos Tabiongan</t>
  </si>
  <si>
    <t>2022-88</t>
  </si>
  <si>
    <t>Zeolite-Based Adsorbent Products for Home Care</t>
  </si>
  <si>
    <t>Ms. Elaenor M. Olegario</t>
  </si>
  <si>
    <t>2022-90</t>
  </si>
  <si>
    <t>Portable Grain Dryer</t>
  </si>
  <si>
    <t>Felix M. Vicente</t>
  </si>
  <si>
    <t>2022-91</t>
  </si>
  <si>
    <t>Modification of Knitting Machine</t>
  </si>
  <si>
    <t>Dennis Bien</t>
  </si>
  <si>
    <t>2022-92</t>
  </si>
  <si>
    <t>Backpack Portable Tiger Grass Depollinator cum Multi-Crop Thresher</t>
  </si>
  <si>
    <t>Engr. Raffy M. Espiritu</t>
  </si>
  <si>
    <t>2022-95</t>
  </si>
  <si>
    <t>Pilot production of Coloring Chart 2 Type-A and B</t>
  </si>
  <si>
    <t>Mr. Romeo T. Tagros</t>
  </si>
  <si>
    <t>2022-101</t>
  </si>
  <si>
    <t>Method of Composting with Automation Features</t>
  </si>
  <si>
    <t>2022-102</t>
  </si>
  <si>
    <t>Bright Lighted Helmet</t>
  </si>
  <si>
    <t>Ms. Ma. Dolores Cynthia C. Zarate</t>
  </si>
  <si>
    <t>Approved by PAC</t>
  </si>
  <si>
    <t>Sargassum Aquaculture for Alginate Production</t>
  </si>
  <si>
    <t>Dr. Danillo Largo, University of San Carlos</t>
  </si>
  <si>
    <t xml:space="preserve">Utilization of Pinoy Coco Sorbetes as Base Formulation for Commercial Ice Cream Products of the Bicol Region
</t>
  </si>
  <si>
    <t>Evan Titus Paul L. Labrador, University of San Carlos</t>
  </si>
  <si>
    <t>HR Lite</t>
  </si>
  <si>
    <t>Paul John M. Serrano,DOST-AST</t>
  </si>
  <si>
    <t>SC FOR RA7459</t>
  </si>
  <si>
    <t>Operationalization of the screening committee for R.A no. 7459</t>
  </si>
  <si>
    <t>Invention Development Division Technology Application and Promotion Institute</t>
  </si>
  <si>
    <t>Collapsible Custom Built Modular Automatic Fruiting Cabinet (AUTOMUSHCAB)</t>
  </si>
  <si>
    <t>Ms. Fransicso J. Diaz</t>
  </si>
  <si>
    <t>2021-24</t>
  </si>
  <si>
    <t>Invent School Program Seminar-Workshop for Flora National Highschool Students-Webinar Edition</t>
  </si>
  <si>
    <t>DOST-CAR</t>
  </si>
  <si>
    <t>2021-25</t>
  </si>
  <si>
    <t>Invent School Program Seminar-Workshop: Webinar Edition for Elementary Pupils and Highschool Students In Masbate</t>
  </si>
  <si>
    <t>DOST Region V</t>
  </si>
  <si>
    <t>2021-28</t>
  </si>
  <si>
    <t>An Obtain Aratiles Fruit  Juice (1-2021-050167)</t>
  </si>
  <si>
    <t>Cageo D. Borongoy</t>
  </si>
  <si>
    <t>2021-29</t>
  </si>
  <si>
    <t>IBED-I</t>
  </si>
  <si>
    <t>PIlot Production of "JERICHORD: A Three-Stringed Instrument" (UM 2-2019-000800 and ID 3-2019-00531</t>
  </si>
  <si>
    <t>Jericho V. Castro</t>
  </si>
  <si>
    <t>2021-33</t>
  </si>
  <si>
    <t>Invent School Program: Webinar Edition For Elemntary Pupils in Davao Occidental</t>
  </si>
  <si>
    <t>2021-34</t>
  </si>
  <si>
    <t>A Compact Waste Water Treatment (2-2019-000733)</t>
  </si>
  <si>
    <t>Ivanuel Liguaton</t>
  </si>
  <si>
    <t>2021-39</t>
  </si>
  <si>
    <t>Invent School Program: Webinar Edition For Elemntary Pupils in Bataan</t>
  </si>
  <si>
    <t>DOST Region III</t>
  </si>
  <si>
    <t>Start-up</t>
  </si>
  <si>
    <t>2021-47</t>
  </si>
  <si>
    <t>Invent School Program Seminar-Workshop for Davao De Oro Senior Highschool STEM Program Students-Webinar Edition</t>
  </si>
  <si>
    <t>2021-51</t>
  </si>
  <si>
    <t>Pilot Production of "Make-croscope-Keychain Microscope" (3/2021/050692)</t>
  </si>
  <si>
    <t>Jeremy C. De Leon</t>
  </si>
  <si>
    <t>2021-52</t>
  </si>
  <si>
    <t>Pilot Production of "Pilot Production of PHILGARI, A ready-to-eat Granulated Cassava"</t>
  </si>
  <si>
    <t>Dr. VIvian A. Topor</t>
  </si>
  <si>
    <t>2021-58</t>
  </si>
  <si>
    <t>Invent School Program Seminar-Workshop: Webinar Edition for Bicol University Student Inventors</t>
  </si>
  <si>
    <t>DOST Region V in Partnership with Bicol University (BU)</t>
  </si>
  <si>
    <t>2021-60</t>
  </si>
  <si>
    <t>Invent School Program ISP for Panabo City National Highschool on 24-25 November 2021 in Davao Del Norte: Webinar Edition</t>
  </si>
  <si>
    <t>DOST REGION XI</t>
  </si>
  <si>
    <t>2021-61</t>
  </si>
  <si>
    <t>Fabrication of a Commercial Prototype of "Solar Panel Wiper System (2-2021-050035)"</t>
  </si>
  <si>
    <t>Engr. Meguina C. Adian</t>
  </si>
  <si>
    <t>2021-62</t>
  </si>
  <si>
    <t>Fabrication of a Commercial Prototype of "Improved Coconut Dehusker (2-2021-050521)</t>
  </si>
  <si>
    <t>Engr. Felix M. Vicente</t>
  </si>
  <si>
    <t>2021-63</t>
  </si>
  <si>
    <t>Fabrication of a Commercial Prototype of " Improved Multi-Purpose Pressing Machine (2-2019-001595)</t>
  </si>
  <si>
    <t>Ma. Dolores Cynthia C. Zarate</t>
  </si>
  <si>
    <t>2021-65</t>
  </si>
  <si>
    <t>Fabrication of Portable Abaca Easy Stripping Device</t>
  </si>
  <si>
    <t>Dennis U. Lampitoc</t>
  </si>
  <si>
    <t>2021-66</t>
  </si>
  <si>
    <t>Fabrication of Commercial Prototype of "Geo-Bio Method for Soil Stabilization (2-2019-050082)"</t>
  </si>
  <si>
    <t>James Pasong Solano</t>
  </si>
  <si>
    <t>2021-73</t>
  </si>
  <si>
    <t>1. Fabrication of a Commercial Prototype of "Solar Panel Wiper  System (2-2021-050035)"                                                                                                               2. Fabrication of a Commercial Prototype of "Improved Coconut Dehusker (2-2019-050521)"                                                                                                             3. Fabrication ofa Commercial Prototype of " Improved Multi-Purpose Pressing Machine (2-2019-001595)"</t>
  </si>
  <si>
    <t>1. Engr. Meguina C. Adian                                                                                                                                                                       2. Engr. Felix M. Vicente                                                                                                      3. Ma. Dolores Cynthia C. Zarate</t>
  </si>
  <si>
    <t>2021-78</t>
  </si>
  <si>
    <t>Cooked Balut in Shell with Commercially Acceptable Shelf-Life (2-2021-050728)</t>
  </si>
  <si>
    <t>2021-79</t>
  </si>
  <si>
    <t>Fully Automatic Ionized Sprouting Machine</t>
  </si>
  <si>
    <t>Francisco J. Diaz</t>
  </si>
  <si>
    <t>2021-01-memo</t>
  </si>
  <si>
    <t>An Educational Mobile Robotics Platform</t>
  </si>
  <si>
    <t>Engr. Christopher Coballes</t>
  </si>
  <si>
    <t>2021-02-adref</t>
  </si>
  <si>
    <t>Fabrication of a Commercial Prototype of Three Framed Leaning Quad Bike on a Solid Base Board (1-2015-000449)</t>
  </si>
  <si>
    <t>Allan Brian Salvacion</t>
  </si>
  <si>
    <t>2020-01-memo</t>
  </si>
  <si>
    <t>A Coloring Chart Assemblies and A Color Chart 2</t>
  </si>
  <si>
    <t>Mr. Romeo Tagros</t>
  </si>
  <si>
    <t>2020-03-memo</t>
  </si>
  <si>
    <t>Two-Rider-Pedaled Quadricycle</t>
  </si>
  <si>
    <t>Mr. Bernardo B. Cabaluna</t>
  </si>
  <si>
    <t>2020-04-memo</t>
  </si>
  <si>
    <t>A compact Waste Water Treatment Assembly</t>
  </si>
  <si>
    <t>Mr. Ivanuel Liguaton</t>
  </si>
  <si>
    <t>2020-06-memo</t>
  </si>
  <si>
    <t>Fabrication of a Commercial Prototype of "A solar Charging System for Charging Electric Vehicles</t>
  </si>
  <si>
    <t>Dr. Juanito R. Demetrio</t>
  </si>
  <si>
    <t>2020-08-memo</t>
  </si>
  <si>
    <t>Pilot Production of "Snacktongs</t>
  </si>
  <si>
    <t>Mr. Ferdinand B. Balingcos</t>
  </si>
  <si>
    <t>2020-10-memo</t>
  </si>
  <si>
    <t>Pilot Production of "Do-it-Yourself (DIY) Casket</t>
  </si>
  <si>
    <t>Mr. Benjamin R. Garcia</t>
  </si>
  <si>
    <t>2020-01-Ad referenda</t>
  </si>
  <si>
    <t>Technicom Counterpart</t>
  </si>
  <si>
    <t>Technicom Counterpart-DOST-TAPI</t>
  </si>
  <si>
    <t>2020-05-ad ref</t>
  </si>
  <si>
    <t>IBED I and II</t>
  </si>
  <si>
    <t>Pilot Production of a Tree Climber</t>
  </si>
  <si>
    <t>Mr. James P. Amparo</t>
  </si>
  <si>
    <t>2020-06-adref</t>
  </si>
  <si>
    <t>Fabrication of a Commercial Prototype of An Interlocking Building Block</t>
  </si>
  <si>
    <t>Mr. William T. Chua</t>
  </si>
  <si>
    <t>2020-18-ad ref</t>
  </si>
  <si>
    <t>Fabrication of a Commercial Prototype of "Multipurpose Heat Recycling Dehydrator</t>
  </si>
  <si>
    <t>2020-20-ad ref</t>
  </si>
  <si>
    <t>Fabrication of a Commercial Prototype of "Multi-Grade Rotary Separator (1-2017-050122)</t>
  </si>
  <si>
    <t>Engr. Ruben Nantes</t>
  </si>
  <si>
    <t>Paper Fueled Grill</t>
  </si>
  <si>
    <t>Manuel R. Dono                                                                                             McGrill Enterprises</t>
  </si>
  <si>
    <t>Unsinkable Sea Cutter Coconut FIber Boat made of Bamboo Frame, Poly carbonate and FIber Glass with Solar Back up Power
Application no. :1-2018-000043 
Dated: 09 February 2018</t>
  </si>
  <si>
    <t>Dennis Y. Mercader</t>
  </si>
  <si>
    <t>2019-13</t>
  </si>
  <si>
    <t>Operationalization of the screening Committee for R.A no 7459</t>
  </si>
  <si>
    <t>2019-22</t>
  </si>
  <si>
    <t>Technology Innovation for Commercialization (TECHNICOM)</t>
  </si>
  <si>
    <t>Technology Application and Promotion Institute (DOST-TAPI)</t>
  </si>
  <si>
    <t>2019-43</t>
  </si>
  <si>
    <t>Capacity Building for TAPI Employees on Intellectual Property Rights Particulary on Patent Drafting, Patent Information Search and Graphic Designs</t>
  </si>
  <si>
    <t>Technology Application and Promotion Institute (TAPI)</t>
  </si>
  <si>
    <t>2019-46</t>
  </si>
  <si>
    <t>Pilot Production of "Composite Concrete and Expanded Polysteryne Block and Panel</t>
  </si>
  <si>
    <t>Roy C. Nacua</t>
  </si>
  <si>
    <t>2019-47</t>
  </si>
  <si>
    <t>Fabrication of a Commercial Prototype of "Electromagnetic Pulse Device"</t>
  </si>
  <si>
    <t>Kenn B. Marciano</t>
  </si>
  <si>
    <t>2019-57</t>
  </si>
  <si>
    <t>Invent School Program for Secondary School Teachers and Students in Cavite</t>
  </si>
  <si>
    <t>DOST-CALABARZON</t>
  </si>
  <si>
    <t>2019-22-Ad ref</t>
  </si>
  <si>
    <t>Invent School Program Seminar-Workshop for High School and College Students</t>
  </si>
  <si>
    <t>2019-28</t>
  </si>
  <si>
    <t>Testing</t>
  </si>
  <si>
    <t>A Herbal Tea Composition</t>
  </si>
  <si>
    <t>Ms. Ruth O. Yanga</t>
  </si>
  <si>
    <t>2019-29</t>
  </si>
  <si>
    <t>A Mobile Phone Multiple Charger Device</t>
  </si>
  <si>
    <t>Alphy C. Ferraren</t>
  </si>
  <si>
    <t>2019-35</t>
  </si>
  <si>
    <t>ISP for Elementary in Region X</t>
  </si>
  <si>
    <t>DOST Region 12</t>
  </si>
  <si>
    <t>2019-39</t>
  </si>
  <si>
    <t>ISP for College in Region VII</t>
  </si>
  <si>
    <t>UP Visayas</t>
  </si>
  <si>
    <t>2019-40</t>
  </si>
  <si>
    <t>ISP for High School in Region XI</t>
  </si>
  <si>
    <t>DOST-Region 11</t>
  </si>
  <si>
    <t>ISP in selected Public Schools in NCR</t>
  </si>
  <si>
    <t>DOST-NCR</t>
  </si>
  <si>
    <t>ISP for High School in Liloy, Zamboanga de Norte</t>
  </si>
  <si>
    <t>DOST-Region 9</t>
  </si>
  <si>
    <t>ISP for Elementary in Region V</t>
  </si>
  <si>
    <t>DOST-Region 5</t>
  </si>
  <si>
    <t>2019-48</t>
  </si>
  <si>
    <t>ISP for College in Region V</t>
  </si>
  <si>
    <t>2019-49</t>
  </si>
  <si>
    <t>ISP for Elementary in Region I</t>
  </si>
  <si>
    <t>DOST-Region 1</t>
  </si>
  <si>
    <t>2019-50</t>
  </si>
  <si>
    <t>Extracted Herbal Oil from Ingredients Plants (Salvare Healing Oil)</t>
  </si>
  <si>
    <t>Ms. Mary Ann Santos</t>
  </si>
  <si>
    <t>ISP for Elementary in Region II</t>
  </si>
  <si>
    <t>DOST-Region 2</t>
  </si>
  <si>
    <t>2019-58</t>
  </si>
  <si>
    <t>2019-59</t>
  </si>
  <si>
    <t>AFC-HPS Hydrogen Fuel Cell</t>
  </si>
  <si>
    <t>Mr. Roderick R. Nicolas</t>
  </si>
  <si>
    <t>2019-60</t>
  </si>
  <si>
    <t>ISP for Collge in Region II</t>
  </si>
  <si>
    <t>2019-61</t>
  </si>
  <si>
    <t>Auto Fan Device (for Taurus Auto-Fan)</t>
  </si>
  <si>
    <t>Mr. Hernando V. Encinas</t>
  </si>
  <si>
    <t>2019-62</t>
  </si>
  <si>
    <t>ISP for High School in Davao del Sur</t>
  </si>
  <si>
    <t>DOST Region 11</t>
  </si>
  <si>
    <t>2019-63</t>
  </si>
  <si>
    <t>ISP for College in Region 1</t>
  </si>
  <si>
    <t>2019-65</t>
  </si>
  <si>
    <t>ISP for College in Region III</t>
  </si>
  <si>
    <t>2019-01-memo</t>
  </si>
  <si>
    <t>ISP for secondary school teachers and students proposed by DOST-CALABARZON</t>
  </si>
  <si>
    <t>2019-02-memo</t>
  </si>
  <si>
    <t>ISP for Pook Elementary School Pupils by DOST CALABARZON</t>
  </si>
  <si>
    <t>2019-04-memo</t>
  </si>
  <si>
    <t>Capacity Building for DOST employees in Intellectual Property Rights particularly on Patent Drafting, Patent Information Search and Graphic Designs</t>
  </si>
  <si>
    <t>2019-05-memo</t>
  </si>
  <si>
    <t>Project Proposal of Mr. Ulysses A. Imbang UM: Strategy: Game Board</t>
  </si>
  <si>
    <t>Ulysses A. Imbang</t>
  </si>
  <si>
    <t>2019-08-memo</t>
  </si>
  <si>
    <t>Request for the Approval of Honorarium and Travel Expense for the Philippine Science High School (PSHS) Trainors for Invent School Program Conduct</t>
  </si>
  <si>
    <t>PSHS</t>
  </si>
  <si>
    <t>2019-10-memo</t>
  </si>
  <si>
    <t>Request for Approval for the Project Proposal of Christopher coablles -An Educational Mobile Robotics Platform</t>
  </si>
  <si>
    <t>Mr. Christopher Coballes</t>
  </si>
  <si>
    <t>2019-11-memo</t>
  </si>
  <si>
    <t>A server for an Audio-Visual Emergency Warning or Other Related Purposes</t>
  </si>
  <si>
    <t>Wilnar Luna-an</t>
  </si>
  <si>
    <t>2019-13-memo</t>
  </si>
  <si>
    <t>A roof tile</t>
  </si>
  <si>
    <t>Reynaldo P. Cruz</t>
  </si>
  <si>
    <t>2019-16-MEMO</t>
  </si>
  <si>
    <t>Laboratory Analyses of Portable Water Treatment Device</t>
  </si>
  <si>
    <t>Ernesto Labuntog</t>
  </si>
  <si>
    <t>2019-17-memo</t>
  </si>
  <si>
    <t>Invent School Program for College Students of Sulu State University</t>
  </si>
  <si>
    <t>Sulu State University</t>
  </si>
  <si>
    <t>2019-18-memo</t>
  </si>
  <si>
    <t>Testing Assistance for Ruth Yanga's "A Herbal Tea Composition"</t>
  </si>
  <si>
    <t>Ruth O. Yanga</t>
  </si>
  <si>
    <t>2019-19-memo</t>
  </si>
  <si>
    <t>testing assistance for A Moble Phone Multiple Charger Device</t>
  </si>
  <si>
    <t>Alphy Ferraren</t>
  </si>
  <si>
    <t>2019-20-memo</t>
  </si>
  <si>
    <t>testing assistant to Extracted Herbal Oil from Ingredients Plants (Salvare Healing Oil)</t>
  </si>
  <si>
    <t>Mary Ann Santos</t>
  </si>
  <si>
    <t>2019-21-memo</t>
  </si>
  <si>
    <t>Pilot Production of the UM- Composition of Coconut-water-treated Bottled Mackerel"</t>
  </si>
  <si>
    <t>Dr. Rosein A. Ancheta, Jr. Cebu Technological University</t>
  </si>
  <si>
    <t>2019-22-memo</t>
  </si>
  <si>
    <t>Power Generating Machine with Air Decontamination System</t>
  </si>
  <si>
    <t>Ruben R. Pesebre</t>
  </si>
  <si>
    <t>2019-23-memo</t>
  </si>
  <si>
    <t>Stove Using Agricultural Waste for IBID</t>
  </si>
  <si>
    <t>Engr. Guillermo S. Rillon, Jr. Ph.D -Tarlac Agricultural University</t>
  </si>
  <si>
    <t>2019-25-memo</t>
  </si>
  <si>
    <t>A Process of Producing a Moisturizing Hand and Body Lotion using Jute Mallow (saluyot) leaves and Lady's Finger (okra) Pods</t>
  </si>
  <si>
    <t>Dr. Anshari P. Ali-Mindanao State University</t>
  </si>
  <si>
    <t>2019-26-memo</t>
  </si>
  <si>
    <t>Multi-Purpose Vertical Food Smoker and Cooker</t>
  </si>
  <si>
    <t>Noel Nacisvalencia</t>
  </si>
  <si>
    <t>2019-28-memo</t>
  </si>
  <si>
    <t>Biochamber Expandable Anaerobic Digester</t>
  </si>
  <si>
    <t>Engr. Ronald O. Talion</t>
  </si>
  <si>
    <t>Approval</t>
  </si>
  <si>
    <t>Commercialization of "Grooved Perforated Carburetor Noozzle"                                             Patent Application No 1-2016-000212</t>
  </si>
  <si>
    <t>Rommel B. Bernardo</t>
  </si>
  <si>
    <t>SC RA 7459</t>
  </si>
  <si>
    <t>Operationalization of the Screening Committee R.A No. 7459</t>
  </si>
  <si>
    <t>2018-49</t>
  </si>
  <si>
    <t>Commercialization of the REDDOPAC Reddopac: The Highly Polymerized Coagulant Application No. 1-2015-000090</t>
  </si>
  <si>
    <t>Aezer L. Cajegas</t>
  </si>
  <si>
    <t>2018-06-Ad ref</t>
  </si>
  <si>
    <t>Invent School Program for Junior and Senior High  School Students</t>
  </si>
  <si>
    <t>Department of Education- Bislig City Division</t>
  </si>
  <si>
    <t>2018-08- Ad ref</t>
  </si>
  <si>
    <t>Invent School Program Seminar- Workshop for College Students</t>
  </si>
  <si>
    <t>DOSt region III</t>
  </si>
  <si>
    <t>2018-11-Ad ref</t>
  </si>
  <si>
    <t>DOST-TAPI Invent School Program</t>
  </si>
  <si>
    <t>DOST-Autonomous region in Muslim Mindanao (DOST-ARMM) and Mindanao State University (MSU) Tawi-tawi</t>
  </si>
  <si>
    <t>2018-12-Ad ref</t>
  </si>
  <si>
    <t>Southern Leyte State University</t>
  </si>
  <si>
    <t>2018-15-Ad ref</t>
  </si>
  <si>
    <t>Invent School Program Seminar- Workshop for College and Senior High School Students</t>
  </si>
  <si>
    <t>DOST CALABARZON and Southern Tagalog Consortium for Industry and Energy Research and Development ( STCIERD)</t>
  </si>
  <si>
    <t>2018-21-Ad ref</t>
  </si>
  <si>
    <t>IPR</t>
  </si>
  <si>
    <t>Probiotic Inoculum</t>
  </si>
  <si>
    <t>Mr. Nemesio E. Diamante</t>
  </si>
  <si>
    <t>2018-24-Ad ref</t>
  </si>
  <si>
    <t>Invent School Program Seminar-Workshop For College Students</t>
  </si>
  <si>
    <t>Northern Negros State College of Science and Technology ( NONESCOST)</t>
  </si>
  <si>
    <t>2018-26-Ad ref</t>
  </si>
  <si>
    <t>Invent School Program (ISP) for High School and College Students and Teachers in North Cotobato and Sultan Kudarat Province</t>
  </si>
  <si>
    <t>DOST Region XII</t>
  </si>
  <si>
    <t>2018-27-Ad ref</t>
  </si>
  <si>
    <t>ISP for College in Technological University of the Philippines Visayas and DOST-VI</t>
  </si>
  <si>
    <t>TUPV and DOST-6</t>
  </si>
  <si>
    <t>2018-31</t>
  </si>
  <si>
    <t>Water Fuel Supplement</t>
  </si>
  <si>
    <t>Mr. Ladislao R. Pajo</t>
  </si>
  <si>
    <t>2018-33-ad ref</t>
  </si>
  <si>
    <t>Prototyping of a Foldable Crutch System</t>
  </si>
  <si>
    <t>2018-45-ad ref</t>
  </si>
  <si>
    <t>Prototyping of "A Mobile Phone Multiple Charger'</t>
  </si>
  <si>
    <t>Mr. Alphy C. Ferraren</t>
  </si>
  <si>
    <t>2018-49-ad ref</t>
  </si>
  <si>
    <t>Fabrication of a Commercial Prototype of "Adaptive Movable Train Cart Griller"</t>
  </si>
  <si>
    <t>Mr. Ervin C. De Guzman</t>
  </si>
  <si>
    <t>2018-50-ad ref</t>
  </si>
  <si>
    <t>Prototyping of a "Waste Disposal Machine"</t>
  </si>
  <si>
    <t>Ms. Mary Ann B. Macaloi</t>
  </si>
  <si>
    <t>2018-53-ad ref</t>
  </si>
  <si>
    <t>Pilot Production of "A Water Purifier Disaster Kit"</t>
  </si>
  <si>
    <t>Reinell Cunanan</t>
  </si>
  <si>
    <t>2018-56-ad ref</t>
  </si>
  <si>
    <t>Extracted Herbal Oil from ingredients Plants (Salvare Healing oil)</t>
  </si>
  <si>
    <t>2018-60-ad ref</t>
  </si>
  <si>
    <t>Pilot Production of Relaxing Oil Patent Pending Utility Model</t>
  </si>
  <si>
    <t>Amelia P. Rabago</t>
  </si>
  <si>
    <t>2018-62-ad ref</t>
  </si>
  <si>
    <t>Pilot Prodcution of Alkaline Fuel Cell Hydrogen Pro-Life Solution (AFC-HPS)</t>
  </si>
  <si>
    <t>Roderick R. Nicolas</t>
  </si>
  <si>
    <t>2018-64-ad ref</t>
  </si>
  <si>
    <t>Roderick Nicolas</t>
  </si>
  <si>
    <t>2018-65-ad ref</t>
  </si>
  <si>
    <t>Pilot Production of Luminiscent Plant Container</t>
  </si>
  <si>
    <t>Simeon M. Mabunga</t>
  </si>
  <si>
    <t>2018-66-ad ref</t>
  </si>
  <si>
    <t>Fabrication of Demonstration Units of E-filter Devices or "An Apparatus for Purifying gaseous Emissions E-Filter Device from Mobile and Stationery Source and Particulate from Wind</t>
  </si>
  <si>
    <t>Mr. Angelito M. Gacutan</t>
  </si>
  <si>
    <t>2025-13</t>
  </si>
  <si>
    <t>I-TECH</t>
  </si>
  <si>
    <t>Expansion of the Commercialized Innovative Green Technology for Energy Conserving Industrial Oil Restoration Apparatus Services</t>
  </si>
  <si>
    <t>ENGR. REYNALDO RADEN ALDEPULLA
Proprietor</t>
  </si>
  <si>
    <t xml:space="preserve"> </t>
  </si>
  <si>
    <t>2025-22</t>
  </si>
  <si>
    <t>HIRANG 2.0</t>
  </si>
  <si>
    <t>Concept Proposal for Cohort 3 for the HIRANG 2.0 Program Implementation</t>
  </si>
  <si>
    <t>Inventors and Startup beneficiaries of GALING and HEIs and SUC graduates of TECHNICOM</t>
  </si>
  <si>
    <t>eVFP</t>
  </si>
  <si>
    <t xml:space="preserve">Commercialization of GradeChum: An AI-Powered Platform
for Automatic Evaluation of Handwritten Activities
</t>
  </si>
  <si>
    <t xml:space="preserve">MR. JEMAR JUDE A. MARANGA
President and CEO
CODECHUM SOFTWARE SOLUTIONS INC.
</t>
  </si>
  <si>
    <t>2024-35</t>
  </si>
  <si>
    <t>HIRANG</t>
  </si>
  <si>
    <t>Honing Innovations, Research, Agreements and Negotiations of the Government - Funded Technologies* (HIRANG) 2.0 Program - Phase VI Implementation</t>
  </si>
  <si>
    <t>Technology generators, research, research teams, or TTBDOs of the DORT - RDI</t>
  </si>
  <si>
    <t>Scale-up Operational Assistance to Hiraya Technology Solutions, Inc.</t>
  </si>
  <si>
    <t>2024-45</t>
  </si>
  <si>
    <t>Concept Proposal for HIRANG 2.0 Cohort 2 Implementation</t>
  </si>
  <si>
    <t>Technology generators, researchers, research teams, or TTBDOs of  the DOST-STS agencies, SUCs, and HEIs</t>
  </si>
  <si>
    <t>2024-59</t>
  </si>
  <si>
    <t>The PROPEL ENTERPRISE DEVELOPMENT Program</t>
  </si>
  <si>
    <t>DOST NCR
DOST OASEC TTCC</t>
  </si>
  <si>
    <t>2024-33</t>
  </si>
  <si>
    <t>Enhancing Manufacturing and Production Capacity through Raw Material Purchasing</t>
  </si>
  <si>
    <t xml:space="preserve">Charlou Delos Reyes Guion
Proprietor
CG Machine Shop
</t>
  </si>
  <si>
    <t>2024-25</t>
  </si>
  <si>
    <t>Expanding Market Research-Enhancing Tonyts Food Products Growth with Strategic Raw Material Sourcing</t>
  </si>
  <si>
    <t xml:space="preserve">Ms. Antonitte C. Canda
Proprietor
Tonyts Food Products
</t>
  </si>
  <si>
    <t>2024-50</t>
  </si>
  <si>
    <t>Purchase Order Financing for Danilyn's Enterprises, Inc.- Phase II</t>
  </si>
  <si>
    <t>Ms. Melinda C. Medallo 
Vice President/Marketing Head
 Danilyn's Enterprises, Inc.</t>
  </si>
  <si>
    <t>2024-28</t>
  </si>
  <si>
    <t>Purchase Order Financing for Fondre Flavour Dynamics Vegetable Lumpiang Togue</t>
  </si>
  <si>
    <t>MR. GILBERT C. JIM
CEO
FONDRE FLAVOUR DYNAMICS, INC.</t>
  </si>
  <si>
    <t>2024-70</t>
  </si>
  <si>
    <t>Strategic Raw Material Sourcing to Boost Manufacturing Efficiency for CAMPCO</t>
  </si>
  <si>
    <t xml:space="preserve">Mr. Noel B. Bacasnot
Chairman 
CARAGA Adventists Multi-Purpose Cooperative (CAMPCO) 
</t>
  </si>
  <si>
    <t>PO Financing for Rockwell Enterprises for the delivery of DOST-ASTI Tsunami Early Warning System-Alerting Station Technology</t>
  </si>
  <si>
    <t>Mr. Alexis, Rellama, Rockwell Enterprises</t>
  </si>
  <si>
    <t>2023-20</t>
  </si>
  <si>
    <t>Purchase Order Financing for Danilyn’s’ Enterprises, Inc.</t>
  </si>
  <si>
    <t xml:space="preserve">Ms. Melinda C. Medallo
Vice President/Marketing Head
Danilyn’s Enterprises, Inc.
</t>
  </si>
  <si>
    <t>2023-25</t>
  </si>
  <si>
    <t>PO Financing Program Support for Qualimeal Feedmills, Inc.</t>
  </si>
  <si>
    <t xml:space="preserve">Mr. Teotimo L. Reyes, Jr. President
Qualimeal Feedmills, Inc.
Banaybanay, San Vicente, Lipa City, Batangas
</t>
  </si>
  <si>
    <t>2023-27</t>
  </si>
  <si>
    <t>Financing of Raw Materials Procurement of Ash Kitchen Trading and Marketing</t>
  </si>
  <si>
    <t>MS. GINA L. DELA CRUZ, Proprietor</t>
  </si>
  <si>
    <t>2023-31</t>
  </si>
  <si>
    <t>Venture Financing Program for Francis Jacob’s Gourmet Foods</t>
  </si>
  <si>
    <t>MS. IRENE D. HERRERO</t>
  </si>
  <si>
    <t>2023-47</t>
  </si>
  <si>
    <t>Labo Progressive Multi-Purpose Cooperative Integrated Pineapple Processing and Marketing Enterprise (LPMPC-IPPME) QUEENCH Products Market Development and Productivity Enhancement</t>
  </si>
  <si>
    <t>Mr. Rey Ulysses L. Dimaano</t>
  </si>
  <si>
    <t>2023-49</t>
  </si>
  <si>
    <t>TAPI Purchase Order Financing Phase 1 for Mama Jita's Food Products</t>
  </si>
  <si>
    <t>Ms. Julieta Butalid-Dela Cerna</t>
  </si>
  <si>
    <t>2023-50</t>
  </si>
  <si>
    <t>Raw Materials for Continuous Disc Dryer</t>
  </si>
  <si>
    <t>Mr. Manuel P. Galut, Jr</t>
  </si>
  <si>
    <t>2023-52</t>
  </si>
  <si>
    <t>Venture Financing Program Assistance for Soyuz Foods International Inc</t>
  </si>
  <si>
    <t>Ms. Helena H. Del Rosario</t>
  </si>
  <si>
    <t>2023-53</t>
  </si>
  <si>
    <t>Venture Financing Program of RS Unitech Manufacturing and Trading Corporation</t>
  </si>
  <si>
    <t>Ms. Edralin Lagajino</t>
  </si>
  <si>
    <t>2023-55</t>
  </si>
  <si>
    <t>Venture Financing for Raw Materials of V. Weisz Synergy, Inc.</t>
  </si>
  <si>
    <t>Ms. Victoria Y. Bulan, President</t>
  </si>
  <si>
    <t>2023-60</t>
  </si>
  <si>
    <t>Acquisition of Raw Materials to Enhance the Competitiveness and Sustainability of LNA DietCare’s Operation in Sibulan, Negros Oriental</t>
  </si>
  <si>
    <t xml:space="preserve">Ms. Leila N. Aclaro, RND 
Proprietor/Manager
LNA DietCare
</t>
  </si>
  <si>
    <t>2023-61</t>
  </si>
  <si>
    <t>Product Expansion of Affection8 Consumer Goods Trading through Acquisition of Venture Financing</t>
  </si>
  <si>
    <t>Ms. Monica Sandra Carino-Ronda</t>
  </si>
  <si>
    <t>2023-62</t>
  </si>
  <si>
    <t>Purchase Order Financing for Laguna Organic Farm &amp; Products</t>
  </si>
  <si>
    <t>Ms. Erlinda C. Ocba</t>
  </si>
  <si>
    <t>2023-63</t>
  </si>
  <si>
    <t>Materials for the Fabrication of Header Parts, Engine, and Hydraulic Parts for the locally-developed Rice Combine Harvester</t>
  </si>
  <si>
    <t xml:space="preserve">Mr. Reynaldo P. Sabit
Proprietor
</t>
  </si>
  <si>
    <t>2022-26</t>
  </si>
  <si>
    <t>Support Assistance for Compact Pharmaceuticals Corporation (CPC) under LIGTAS-COVID 19</t>
  </si>
  <si>
    <t>Jose Vallerio A. Calleja                                                                                                                                                      President and CEO</t>
  </si>
  <si>
    <t>2022-34</t>
  </si>
  <si>
    <t>Commercialization of Hydrogen Fuel System</t>
  </si>
  <si>
    <t>KCH R&amp;D Corporation</t>
  </si>
  <si>
    <t>2022-37</t>
  </si>
  <si>
    <t>The Utilization of Calcium Hydroxide and Clinoptilolite Disinfectant PH12 of Hydrogen to Alleviate the Prevalence of Dengue in the Philippines</t>
  </si>
  <si>
    <t>Mr. Lyle Christian R. Herbosa</t>
  </si>
  <si>
    <t>2022-45</t>
  </si>
  <si>
    <t>PO Financing Phase 2 for John N' Mico Food Productes</t>
  </si>
  <si>
    <t>Ms. Myra M. Bustillo, Owner/Manager</t>
  </si>
  <si>
    <t>2022-46</t>
  </si>
  <si>
    <t>PO Financing for La Paz Prime Foods Corporation</t>
  </si>
  <si>
    <t>Ms. Virgin Mary A. Nicolas, President</t>
  </si>
  <si>
    <t>2022-53</t>
  </si>
  <si>
    <t>PO Financing Assistance to SETUP assisted Kalinga Blend Roasted Ground Coffee Production" with "MAP Guidelines</t>
  </si>
  <si>
    <t>Ms. Grace B. Agtina, Owner</t>
  </si>
  <si>
    <t>2022-59</t>
  </si>
  <si>
    <t>Lactobiotics Worldwide Corporation Availment to Acquire Raw Materials though Purchase Order Financing Program of Technology Application and Promotion Institute (TAPI)</t>
  </si>
  <si>
    <t>Engr. Grecilda P. Sanches, President and CEO</t>
  </si>
  <si>
    <t>2022-67</t>
  </si>
  <si>
    <t>PO Financing for Enhanced Nutribun Production by Esteems Industries, Inc.</t>
  </si>
  <si>
    <t>2022-73</t>
  </si>
  <si>
    <t>YET</t>
  </si>
  <si>
    <t>Bamboo-Laminated Student Desk Production</t>
  </si>
  <si>
    <t>Romblon State University</t>
  </si>
  <si>
    <t>2022-78</t>
  </si>
  <si>
    <t>Saint's Menthol Balm</t>
  </si>
  <si>
    <t>St. Agustin Institute of Technology (SAIT)</t>
  </si>
  <si>
    <t>2022-93</t>
  </si>
  <si>
    <t>Labong Food Products</t>
  </si>
  <si>
    <t>Camarines Sur Polytechnic</t>
  </si>
  <si>
    <t>2022-96</t>
  </si>
  <si>
    <t>PO Financing for Malagos Agri-ventures Corporation</t>
  </si>
  <si>
    <t>Mr. Rex Victor P Puentespina, Director for Sales and Marketing</t>
  </si>
  <si>
    <t>VFP-PO</t>
  </si>
  <si>
    <t>Purchase Order Financing for SETUP Assisted Mica by the Sea company</t>
  </si>
  <si>
    <t>Arnulfo G. Singca                                                                                                                     President                                                                                                                                      Mica By the Sea Company ( MBTSC)</t>
  </si>
  <si>
    <t>2021-16</t>
  </si>
  <si>
    <t>Purchase Order Financing Queenbee Enterprise Phase II</t>
  </si>
  <si>
    <t>Honeybee Y. Hicap                                                                                                                 Owner Queenbee Enterprises</t>
  </si>
  <si>
    <t>2021-37</t>
  </si>
  <si>
    <t>VFP-VFEST</t>
  </si>
  <si>
    <t>Adopting of Efficient and Sustainable Hybrid Solar Energy System for the Production of Cakes, Breads, Pastries in Chef Tobz RN Cakes and Pastries</t>
  </si>
  <si>
    <t>Tirso D. Tubog                                                                                                                           Owner/Manager                                                                                                                            Chef Tobz RN Cakes and Pastries</t>
  </si>
  <si>
    <t>2021-48</t>
  </si>
  <si>
    <t>Purchase Order Financing for Manna Shameyn Enterprises "</t>
  </si>
  <si>
    <t>Ramil R. Serrano                                                                                                                          Owner/Manager                                                                                                                               Manna Shameyn Enterprises</t>
  </si>
  <si>
    <t>2021-50</t>
  </si>
  <si>
    <t>Mica by the Sea Company (MBTSC) 2nd Availment of PO financing Assistance</t>
  </si>
  <si>
    <t>2021-53</t>
  </si>
  <si>
    <t>VFP-DOST-TECH</t>
  </si>
  <si>
    <t>Technology Upgrading on the Production Process and Commercialization of DOST-ITDI and USTP-NMFIC Developed Ready-To-Eat Nutritious Packs Technologies of Bestfriend Goodies in Cagayan De Oro City 1D</t>
  </si>
  <si>
    <t>Nenita M. Tan                                                                                                                                Chief Operating Officer                                                                                                                Bestfriend Goodies</t>
  </si>
  <si>
    <t>2021-59</t>
  </si>
  <si>
    <t>VFP-LIGTAS COVID</t>
  </si>
  <si>
    <t>Support Assistance for Green Life Coco Products Philippines, Inc. under LIGTAS-COVID-19</t>
  </si>
  <si>
    <t>Frances A. Rubio                                                                                                                            Corporate Secretary                                                                                                                       Green Life Coco Products</t>
  </si>
  <si>
    <t>2021-64</t>
  </si>
  <si>
    <t>Installation of Standard Treatment Plant for Batangas Egg Producers Multi-Purpose Cooperative</t>
  </si>
  <si>
    <t>Victorino Michael I. Lescano                                                                                                        Chairperson                                                                                                                                 Batangas Egg Producers MPC</t>
  </si>
  <si>
    <t>2021-71</t>
  </si>
  <si>
    <t>Production of Organically Grown Philippine Native Pig and Native Chicken</t>
  </si>
  <si>
    <t>Cagayan State University (CSU)</t>
  </si>
  <si>
    <t>2021-04-memo</t>
  </si>
  <si>
    <t>DATBED</t>
  </si>
  <si>
    <t>1. Fruit Wine Production                                                                                      2. One Campus One Product (OCOP) Baked Products Development                                                                     3. Processed Foods Production</t>
  </si>
  <si>
    <t>Isabela State University</t>
  </si>
  <si>
    <t>2021-01-adref</t>
  </si>
  <si>
    <t>Oyster Mushroom Production</t>
  </si>
  <si>
    <t>Maria Bernadette Navera                                                                  Proprietor                                                           Exotic Organicum Mushroom Farm</t>
  </si>
  <si>
    <t>ACADEME</t>
  </si>
  <si>
    <t>Venture- P.O Financing for NFMC Production of Rimo Blend Choco for DSWD Region VI</t>
  </si>
  <si>
    <t>Racky D. Doctor                                                                                                                                             President                                                                                                                                                                  Nutridense Food Manufacturing Corporation  (NFMC)</t>
  </si>
  <si>
    <t>MSME</t>
  </si>
  <si>
    <t>Ligtas Covid-19</t>
  </si>
  <si>
    <t>Support Assistance for C and H Cosmetics Industry under Ligtas Covid-19</t>
  </si>
  <si>
    <t>Henry V. Raca                                                                                                                                                          General Manager                                                                                                                                                      C and H Cosmetics Industry (CHCI)</t>
  </si>
  <si>
    <t>Support Assistance for East L.A. Industry, Inc. under ligtas -Covid-19</t>
  </si>
  <si>
    <t>Ernest Karl L. Chua                                                                                                                                                                     President                                                                                                                                                                                      East L.A Industry , Inc. (ELII)</t>
  </si>
  <si>
    <t>2020-14</t>
  </si>
  <si>
    <t>Support Assistance to Manna Shameyn Enterprises Under Ligtas-Covid 19</t>
  </si>
  <si>
    <t>Ramil R. Serrano                                                                                                                                                       Owner/ Manager</t>
  </si>
  <si>
    <t>2020-15</t>
  </si>
  <si>
    <t>Support Assistance for Pasciolco Agri Ventures for P.O Financing Facility</t>
  </si>
  <si>
    <t>Maura M. Pasciolco                                                                                                                                                      Owner/General Manager</t>
  </si>
  <si>
    <t>2020-16</t>
  </si>
  <si>
    <t>Purchase Order Financing Assistance of SETUP- Assisted Cellokey Incorporated</t>
  </si>
  <si>
    <t>Loreto B. Tolentino                                                                                                                      President                                                                                                                                        Cellokey Incorporated ( CI)</t>
  </si>
  <si>
    <t>2020-17</t>
  </si>
  <si>
    <t>Purchase Order Financing Assistance to i-Provide Health Food Manufacturing</t>
  </si>
  <si>
    <t>Abelardo T. Balisi , Jr.                                                                                                                Owner/Manager                                                                                                                        i-Provide Health Food Manufacturing</t>
  </si>
  <si>
    <t>2020-09-memo</t>
  </si>
  <si>
    <t>Purchase Order Financing Assistance of SETUP- Assisted</t>
  </si>
  <si>
    <t>Arnold Louie General Merchandise</t>
  </si>
  <si>
    <t>2020-02-ad referenda</t>
  </si>
  <si>
    <t>Product and Process Improvement through the Adoption of Appropriate Technologies for RedSea Seafood Delights, Inc.</t>
  </si>
  <si>
    <t>Gerry Balingit</t>
  </si>
  <si>
    <t>2020-07-adref</t>
  </si>
  <si>
    <t>Purchase order financing for Queenbee Enterprise</t>
  </si>
  <si>
    <t>Ms. Honeybee Y. Hicap</t>
  </si>
  <si>
    <t>2020-10-Ad ref</t>
  </si>
  <si>
    <t>Production Facility of Fine Foods, Inc.</t>
  </si>
  <si>
    <t>Ms. Teresita S. Ladanga</t>
  </si>
  <si>
    <t>2020-12-ad ref</t>
  </si>
  <si>
    <t>Purchase Order Financing for Eggciting Products Manufacturing</t>
  </si>
  <si>
    <t>Ms. Ambrocio Kerwin A. Perez</t>
  </si>
  <si>
    <t>2020-14-ad ref</t>
  </si>
  <si>
    <t>Adoption of Cahrcoal Briquetting technology to utilize Filo Handcrafts Wood Waste Into Another Product</t>
  </si>
  <si>
    <t>Mr. Victor B. Li</t>
  </si>
  <si>
    <t>2020-17-ad ref</t>
  </si>
  <si>
    <t>Support Assistance for Prime Innov8 manufacturing Co. Under Ligtas Covid-19</t>
  </si>
  <si>
    <t>Ms. Ma Celia G. Pajel</t>
  </si>
  <si>
    <t>2020-21a-ad ref</t>
  </si>
  <si>
    <t>Kabutehan ng mga estudyante: A Student Empowerment Project Venturi and Processing at CSU-Gonzaga, Cagayan</t>
  </si>
  <si>
    <t>2020-21b ad ref</t>
  </si>
  <si>
    <t>SMIDGETS: CSU Gonzaga as the school motivated to Innovate and Develop Gorgeous and Everloved Tiny Sweets</t>
  </si>
  <si>
    <t>2020-22a-ad ref</t>
  </si>
  <si>
    <t>Tangimas</t>
  </si>
  <si>
    <t>2020-22b-ad ref</t>
  </si>
  <si>
    <t>Production and Commercialization of Multi-Grafted Bonsai Bouyganvillea Plants and Bouganvillea Potting Mix in Cagayan State University-Gonzaga Campus</t>
  </si>
  <si>
    <t>2020-22c-adref</t>
  </si>
  <si>
    <t>Establishment of Bio-organic Fertilizer Production Center</t>
  </si>
  <si>
    <t>2019-23</t>
  </si>
  <si>
    <t>Purchase Order Financing Program Support for C and H Cosmetics Industry</t>
  </si>
  <si>
    <t>Henry V. Raca                                                                                                    President and General Manager                                                                                                                                                             C and H Cosmetics Industry</t>
  </si>
  <si>
    <t>Purchase Order Financing Program for Tropical Citrus Fresh Beverages, Inc.</t>
  </si>
  <si>
    <t>Alfred T. Briones Jr.                                                                                         President and CEO                                                                                       Tropical Citrus Fresh Beverages , Inc.</t>
  </si>
  <si>
    <t>2019- 44</t>
  </si>
  <si>
    <t>Upgrading of Goat Production Thru Artficial Insemination</t>
  </si>
  <si>
    <t>Isabela State University (ISU)</t>
  </si>
  <si>
    <t>2019-55</t>
  </si>
  <si>
    <t>Adoption of Charcoal Briquetting Technology to Utilize Fino Handicrafts Wood Waste into another Product</t>
  </si>
  <si>
    <t>Victor B. Li                                                                                                           Owner/Manager</t>
  </si>
  <si>
    <t>2019-56</t>
  </si>
  <si>
    <t>PO financing Program Support for Kapfer and Rivera United, Inc. (KRUI)</t>
  </si>
  <si>
    <t>Atty. Maria Lourdes E. Rivera                                                                             Corporate Secretary &amp; Treasurer                                                                   Kapfer and River United, Inc.</t>
  </si>
  <si>
    <t>2019-11-Ad ref</t>
  </si>
  <si>
    <t>Organic Chicken Production of Isabela State University under DATBED</t>
  </si>
  <si>
    <t>ISU</t>
  </si>
  <si>
    <t>2019-66</t>
  </si>
  <si>
    <t>Mr. and Mrs. Verde</t>
  </si>
  <si>
    <t>University of Saint Louis-Tuguegarao City, Cagayan</t>
  </si>
  <si>
    <t>2019-69</t>
  </si>
  <si>
    <t>Expansion of Production of the Essential Fine Foods</t>
  </si>
  <si>
    <t>2019-73</t>
  </si>
  <si>
    <t>Purchase Order Financing for Jamerika Enrterprise</t>
  </si>
  <si>
    <t>Mr. Jaime B. Memjie</t>
  </si>
  <si>
    <t>2019-74</t>
  </si>
  <si>
    <t>PO financing program support to Eggciting products manufacturing</t>
  </si>
  <si>
    <t>Mr. Ambrocio Kerwin A. Perez</t>
  </si>
  <si>
    <t>2019-75</t>
  </si>
  <si>
    <t>PO Financing Program Support to AIJUN Enterprises, Inc.</t>
  </si>
  <si>
    <t>Ms. Ailyn L. Magallanes</t>
  </si>
  <si>
    <t>2019-06-memo</t>
  </si>
  <si>
    <t>IBOD</t>
  </si>
  <si>
    <t>45th Philippine Business Conference and Exposition (PBC&amp;E)</t>
  </si>
  <si>
    <t>2019-15-memo</t>
  </si>
  <si>
    <t>Forumlation and Utilization of Rations with Mungbean by-products</t>
  </si>
  <si>
    <t>2019-15b-memo</t>
  </si>
  <si>
    <t>Duck Fattening Using Mungbean by-Products</t>
  </si>
  <si>
    <t>2019-15c-memo</t>
  </si>
  <si>
    <t>Processing of Duck Meat into Longganiza</t>
  </si>
  <si>
    <t>2019-27-memo</t>
  </si>
  <si>
    <t>Automative Multifunction Tester and Supply and admin Cost for DOST XI</t>
  </si>
  <si>
    <t>University of Mindanao</t>
  </si>
  <si>
    <t>Purchase Order Financing for Endurance Technology Corporation</t>
  </si>
  <si>
    <t>Joseph Victor G. Joaquin                                                                                  President                                                                                                           Endurance Technology Corporation</t>
  </si>
  <si>
    <t>Production and Commercialization of Rice-Mongo Curls and Instant Blend Baby Food</t>
  </si>
  <si>
    <t>Anthony Nicanor Joaquin Bello                                                                       President                                                                                                              JND Manufacturing Industries, Inc.</t>
  </si>
  <si>
    <t>2018-21</t>
  </si>
  <si>
    <t>Calabash Bowl Production</t>
  </si>
  <si>
    <t>Ritchie R. Wagas                                                                                              Owner                                                                                                              Wagas Crafts</t>
  </si>
  <si>
    <t>2018-22</t>
  </si>
  <si>
    <t>Purchase Order Financing for Detelia Aurora, Inc (Phase II)</t>
  </si>
  <si>
    <t>Raul B. Maloloy-on                                                                                                                         Vice President                                                                                                                           Detalia Aurora Incorporated</t>
  </si>
  <si>
    <t>2018-50</t>
  </si>
  <si>
    <t>Purchase Order Financing for Jamerika Enterprises, Inc.</t>
  </si>
  <si>
    <t>Jaime B. Memije                                                                                                 President                                                                                                             Jamerika Enterprises  Inc.</t>
  </si>
  <si>
    <t>2018- 52</t>
  </si>
  <si>
    <t>Upgrading the Micro-Propagation Capability of Masikhay Microplants Nursery</t>
  </si>
  <si>
    <t>Emmanuel L. Bernardo                                                                                     Owner                                                                                                            Masikhay Microplants Nursery                                                                          Unit 2, Lina's Orchard</t>
  </si>
  <si>
    <t>2018-54</t>
  </si>
  <si>
    <t>TAPI Purchase Financing for John N' Mico Food Products</t>
  </si>
  <si>
    <t>Myra M. Bustillo                                                                                                  Owner/Manager                                                                                                                 John N' Mico Food Products</t>
  </si>
  <si>
    <t>2018-62</t>
  </si>
  <si>
    <t>IBED II</t>
  </si>
  <si>
    <t>Commercialization of HP/HT Cremation/HP Recovering Machine Patent No. 1-2009-000260</t>
  </si>
  <si>
    <t>Manuel M. Malonzo</t>
  </si>
  <si>
    <t>2018-63</t>
  </si>
  <si>
    <t>Commercialization of "Power up Fuel Combustor" UM No. 2-2014-000500</t>
  </si>
  <si>
    <t>George P. De Guzman                                                                                       Owner                                                                                                           Smoke Belching Solution Center</t>
  </si>
  <si>
    <t>2018-64</t>
  </si>
  <si>
    <t>Commercialization of "Herbal Massage Oil"</t>
  </si>
  <si>
    <t>Roberto D. Osido                                                                                            Owner                                                                                                          BDO Herbosido Herbal Products</t>
  </si>
  <si>
    <t>2018-65</t>
  </si>
  <si>
    <t>Purchase Order Financing for PhilTech Boat Designs and Fabrications</t>
  </si>
  <si>
    <t>Ronald P. Pagsanghan                                                                                  Owner                                                                                                              Philtech Boat Designs and Fabrications</t>
  </si>
  <si>
    <t>2018-66</t>
  </si>
  <si>
    <t>Expansion of Production Facility Essential Fine Foods, Inc. (EFFI)</t>
  </si>
  <si>
    <t>Teresita S. Ladanga                                                                                        Vice President/Treasurer                                                                                 Essential Fine Foods, Inc. (EFFI)</t>
  </si>
  <si>
    <t>2018-71</t>
  </si>
  <si>
    <t>Sustainability of Apple Cider VInegar Production of Double M. Merchandise</t>
  </si>
  <si>
    <t>Teresa S. Abaya                                                                                                   Owner                                                                                                                 Double M. Merchandise</t>
  </si>
  <si>
    <t>2018-72</t>
  </si>
  <si>
    <t>Construction of Waster Water Treatment Facility of Bienbenido Food Supply Corporation</t>
  </si>
  <si>
    <t>Rommel T. Juan                                                                                                   President                                                                                                               Bienvinido Food Supply Corporation</t>
  </si>
  <si>
    <t>2018-73</t>
  </si>
  <si>
    <t>Inventory Financing for VCO Produtction of Green life Coco Products-Phase II</t>
  </si>
  <si>
    <t>Emelita A. Rubio                                                                                                Owner/Manager                                                                                                Green Life Coco Products</t>
  </si>
  <si>
    <t>2018-77</t>
  </si>
  <si>
    <t>Establishment of a Coconut Processing Plant Using the UPLB Fresh Dry Method</t>
  </si>
  <si>
    <t>Jose I. Obligacion                                                                                              Chairman (Previous)                                                                                                 Adan V. Laurilla                                                                                                    Chairman (Current)                                                                                        Capiz Small Coconut Farmers Multi-Purpose Cooperative (CASCOFAMCO)</t>
  </si>
  <si>
    <t>2018-80</t>
  </si>
  <si>
    <t>Joseph Victor G. Joaquin                                                                                 President                                                                                                          Endurance Technology Corporation</t>
  </si>
  <si>
    <t>2018-30</t>
  </si>
  <si>
    <t>Triple J Farm</t>
  </si>
  <si>
    <t>Camarines Sur Polytechnic College</t>
  </si>
  <si>
    <t>2018-40-ad ref</t>
  </si>
  <si>
    <t>Commercialization of a concrete Shuttering Form System</t>
  </si>
  <si>
    <t>Mr. Frederick V. Erum</t>
  </si>
  <si>
    <t>2018-48-ad ref</t>
  </si>
  <si>
    <t>Timonade Refreshment</t>
  </si>
  <si>
    <t>Camarines Sur Ployechnic College</t>
  </si>
  <si>
    <t>2018-51-ad ref</t>
  </si>
  <si>
    <t>Barani and Paruyan Rice Wine</t>
  </si>
  <si>
    <t>Camarines Norte State College</t>
  </si>
  <si>
    <t>2018-52-ad ref</t>
  </si>
  <si>
    <t>VeGelato</t>
  </si>
  <si>
    <t>Bicol State Colled of Applied Science and Technology</t>
  </si>
  <si>
    <t>2018-57-ad ref</t>
  </si>
  <si>
    <t>High Value Vegetable Production: Garlic Production, Bulb Onions, Microgreens and Crucifers</t>
  </si>
  <si>
    <t>2018-58-ad ref</t>
  </si>
  <si>
    <t>TAPI's Participation to the 44th Philippine Business Conference and Expo</t>
  </si>
  <si>
    <t>Philippine Chamber of Commerce and Industry (PCCI)</t>
  </si>
  <si>
    <t>2018-61-ad ref</t>
  </si>
  <si>
    <t>Hot Pepper Enterprise Development;Squash Production and Product Development;Green Corn Production</t>
  </si>
  <si>
    <t>Program Applied</t>
  </si>
  <si>
    <t>PROMOTIONAL ASSISTANCE</t>
  </si>
  <si>
    <t>2018</t>
  </si>
  <si>
    <t>Alkaline Fuel Cell For Various Applications</t>
  </si>
  <si>
    <t>hydrogenprolife@gmail.com</t>
  </si>
  <si>
    <t>Foldable Crutch System</t>
  </si>
  <si>
    <t>James Bryan Camacho</t>
  </si>
  <si>
    <t>jabecmacho@gmail.com</t>
  </si>
  <si>
    <t>Simplified Compact Tire Inverter Machine</t>
  </si>
  <si>
    <t>Lester A. Quimpo</t>
  </si>
  <si>
    <t>lesterquimpo@yahoo.com</t>
  </si>
  <si>
    <t>Green Eco-Toilet System (GETS)</t>
  </si>
  <si>
    <t>Daniel A. Camacho</t>
  </si>
  <si>
    <t>greenway.ts@gmail.com</t>
  </si>
  <si>
    <t>GALING (Market Validation)</t>
  </si>
  <si>
    <t>2024, 2025</t>
  </si>
  <si>
    <t xml:space="preserve"> LanaSug Cooking Oil</t>
  </si>
  <si>
    <t xml:space="preserve">AL-ANNI A. ASGALI </t>
  </si>
  <si>
    <t>farshaniasgali@gmail.com</t>
  </si>
  <si>
    <t xml:space="preserve">Motorized Multi-Purpose Machine </t>
  </si>
  <si>
    <t>Johnny Banez</t>
  </si>
  <si>
    <t>johnnybanez1@gmail.com</t>
  </si>
  <si>
    <t>gibsonjisrosales@gmail.com</t>
  </si>
  <si>
    <t xml:space="preserve">Ms. Mariecel A. Fuentes </t>
  </si>
  <si>
    <t>Mariecel.fuentes30@gmail.com</t>
  </si>
  <si>
    <t>jsanchez372000@yahoo.com</t>
  </si>
  <si>
    <r>
      <rPr>
        <sz val="10"/>
        <color rgb="FF000000"/>
        <rFont val="Arial"/>
      </rPr>
      <t>cdcamilonjr@</t>
    </r>
    <r>
      <rPr>
        <sz val="10"/>
        <color rgb="FF000000"/>
        <rFont val="Arial"/>
      </rPr>
      <t xml:space="preserve">gmail.com
</t>
    </r>
    <r>
      <rPr>
        <sz val="10"/>
        <color rgb="FF000000"/>
        <rFont val="Arial"/>
      </rPr>
      <t>09224074861/049-501-4583</t>
    </r>
  </si>
  <si>
    <t>IMPAKT</t>
  </si>
  <si>
    <t>50th Geneva International Exhition of Inventions</t>
  </si>
  <si>
    <t>Identified 2024 NICE Winners,
DOST-attached agencies, and
DOST-funded/supported
Startups and Universities</t>
  </si>
  <si>
    <t>2025-23</t>
  </si>
  <si>
    <t>LEAD</t>
  </si>
  <si>
    <t>2025 MIMAROPA Regional Science, Technology, and Innovation Week Celebration</t>
  </si>
  <si>
    <t>DOST-MIMAROPA</t>
  </si>
  <si>
    <t>2025-25</t>
  </si>
  <si>
    <t>Proposal for DOST-TAPI GFPS Promotional Campaign "Lahat tayo, POSIBLE"</t>
  </si>
  <si>
    <t>DOST-TAPI External Clients</t>
  </si>
  <si>
    <t>2025-27</t>
  </si>
  <si>
    <t>Conduct of the 2025 Clusterized Regional Invention Contest and Exhibits (ClusteRICE)</t>
  </si>
  <si>
    <t>DOST-Regional Offices and ClusteRICE participants, and stakeholders</t>
  </si>
  <si>
    <t>2025-28</t>
  </si>
  <si>
    <t>2025 Regional Science Technology and Innovation Week (RSTiW) Celebration in the Cordillera Administrative Region</t>
  </si>
  <si>
    <t>DOST-Cordillera Administrative Region (DOST- CAR)</t>
  </si>
  <si>
    <t>2025-33</t>
  </si>
  <si>
    <t xml:space="preserve">2025 HANDA PILIPINAS SA BAGONG PILIPINAS: Innovations 
    in Climate and Disaster Resilience Nationwide Exposition 2025
</t>
  </si>
  <si>
    <t>DOST-TAPI, LEAD Unit</t>
  </si>
  <si>
    <t>2025-34</t>
  </si>
  <si>
    <t>Indonesia Inventors’ Day 2025</t>
  </si>
  <si>
    <t>NICE Winners and DOST-funded/supported Start-ups</t>
  </si>
  <si>
    <t>2025-35</t>
  </si>
  <si>
    <t>2025 Regional Science, Technology, and Innovation Week Celebration in Bicol: "Building a Smart and Sustainable Communities</t>
  </si>
  <si>
    <t>DOST-Region V</t>
  </si>
  <si>
    <t>2025-37</t>
  </si>
  <si>
    <t>2025 Gawad Alunig x Dalumat</t>
  </si>
  <si>
    <t>DOST-TAPI TIPD</t>
  </si>
  <si>
    <t>2025-38</t>
  </si>
  <si>
    <t>2025 Regional Science, Technology, and Innovation Week (RSTW) Celebration in the Region VII</t>
  </si>
  <si>
    <t>DOST-Region VIII</t>
  </si>
  <si>
    <t>2024-13</t>
  </si>
  <si>
    <t>CIMU</t>
  </si>
  <si>
    <t>49TH GENEVA INTERNATIONAL EXHIBITION OF INVENTIONS</t>
  </si>
  <si>
    <t>IDENTIFIED DOST-TAPI NICE WINNER AND DOST-ATTACHED AGENCIES</t>
  </si>
  <si>
    <t>2024-18</t>
  </si>
  <si>
    <t>WorldInvent Singapore 2024</t>
  </si>
  <si>
    <t>Identified Filipino inventors and innovators,DOST RDIs and Technicom starup</t>
  </si>
  <si>
    <t>2024-19</t>
  </si>
  <si>
    <t>SCUPRU</t>
  </si>
  <si>
    <t>2024 National Invention Contest and Exhibits (NICE)</t>
  </si>
  <si>
    <t>ISTE Program,TIPD 
DOST-TAPI Bicutan, Taguig</t>
  </si>
  <si>
    <t>2024-20</t>
  </si>
  <si>
    <t>ISTE</t>
  </si>
  <si>
    <t>2024 Regional Science and Technology Week IVB</t>
  </si>
  <si>
    <t>2024-29</t>
  </si>
  <si>
    <t>2024 Regional Science Technology and Innovation Week (RSTW) Celebration in Region I</t>
  </si>
  <si>
    <t>2024-32</t>
  </si>
  <si>
    <t>2024 Regional Science Technology and Innovation Week (2024 RSTW)</t>
  </si>
  <si>
    <t>DOST Region VIII</t>
  </si>
  <si>
    <t>2024-40</t>
  </si>
  <si>
    <t>2024 Gawad Alunig x Dalumat</t>
  </si>
  <si>
    <t>2024-41</t>
  </si>
  <si>
    <t>2024 Regional Science Technology, and Innovation Week(RSTW)
Celebration in the Cordillera Administrative Region</t>
  </si>
  <si>
    <t>2024-43</t>
  </si>
  <si>
    <t>National Science and Technology Fair (NSTF) Thailand 2024</t>
  </si>
  <si>
    <t>Indentified Filipino Inventors and Innovators, DOST RDIs</t>
  </si>
  <si>
    <t>2024-44</t>
  </si>
  <si>
    <t>Fabrication of Booth System for the Conduct of RSTiW</t>
  </si>
  <si>
    <t>DOST-II</t>
  </si>
  <si>
    <t>2024-47</t>
  </si>
  <si>
    <t>Regional Forum on Innovative and Emerging Technologies to Address Climate Change and Workshop on Strategic Approaches to Assessing Market Potential for Technology Innovations</t>
  </si>
  <si>
    <t>UN-APCTT</t>
  </si>
  <si>
    <t>2024-52</t>
  </si>
  <si>
    <t>2024 RSTW in NCR : Bridging Science, Technology, and Green Economy Solutions in the Metro</t>
  </si>
  <si>
    <t>2024-61</t>
  </si>
  <si>
    <t>Seoul International Invention Fair (SIIF) 2024</t>
  </si>
  <si>
    <t>Identified Filipino Inventors and Innovators, and DOST RDIs</t>
  </si>
  <si>
    <t>2024-62</t>
  </si>
  <si>
    <t>Science, Technology, and Innovation (STII) Exhibition for the Halal Expo Philippines (Halal Expo Ph) 2024</t>
  </si>
  <si>
    <t>DOST-PTRI</t>
  </si>
  <si>
    <t>2024-65</t>
  </si>
  <si>
    <t>2024 Unified National Inventors Week</t>
  </si>
  <si>
    <t>RIISI</t>
  </si>
  <si>
    <t>2024-67</t>
  </si>
  <si>
    <t>Exhibit Space Registration for the Consumer Electronic Show (CES 2025)</t>
  </si>
  <si>
    <t>Consumer Technology Association, CES 2025</t>
  </si>
  <si>
    <t>ACU-I</t>
  </si>
  <si>
    <t>ACU-i Campaign 2023</t>
  </si>
  <si>
    <t>DOST ROs and Eligible Proponents</t>
  </si>
  <si>
    <t>ACU-N</t>
  </si>
  <si>
    <t>ACU-n's Marketing Campaign for DOST-TAPI's Technopreneurship Programs</t>
  </si>
  <si>
    <t xml:space="preserve">International Ecotourism Travel Mart (IETM 2023)
</t>
  </si>
  <si>
    <t>International School of Sustainable Tourism (ISST)</t>
  </si>
  <si>
    <t>Gawad Alunig x Dalumat for RICE</t>
  </si>
  <si>
    <t>DOST Regional Offices</t>
  </si>
  <si>
    <t>2023-15</t>
  </si>
  <si>
    <t>RSTW in DOST IV-B</t>
  </si>
  <si>
    <t>2023-24</t>
  </si>
  <si>
    <t>PUP ARAW 2023</t>
  </si>
  <si>
    <t>PUP</t>
  </si>
  <si>
    <t>2023-39</t>
  </si>
  <si>
    <t>2023 Regional Science and Technology Week (RSTW) Celebration in Cagayan Valley</t>
  </si>
  <si>
    <t>DOST-Region II</t>
  </si>
  <si>
    <t>2023-68</t>
  </si>
  <si>
    <t xml:space="preserve">Zamboanga Peninsula Regional Science, Technology, and Innovation Week 2023
(ZamPen RSTW 2023)
</t>
  </si>
  <si>
    <t>DOST-IX</t>
  </si>
  <si>
    <t>2023-69</t>
  </si>
  <si>
    <t xml:space="preserve">2023 Regional Invention Contest and Exhibits
by Cluster (ClusteRICE) in Northern Luzon
</t>
  </si>
  <si>
    <t>DOST-Region I</t>
  </si>
  <si>
    <t>2023-73</t>
  </si>
  <si>
    <t>2023 Regional Invention Contest and Exhibits by Cluster (ClusteRICE) in Mindanao</t>
  </si>
  <si>
    <t>DOST X</t>
  </si>
  <si>
    <t>2023-74</t>
  </si>
  <si>
    <t>2023 Regional Science, Technology, and Innovation week (RSTW) in Region I</t>
  </si>
  <si>
    <t>2023-75</t>
  </si>
  <si>
    <t>2023 Regional Science, Technology, and Innovation week (RSTW) in Region 10</t>
  </si>
  <si>
    <t>2023-76</t>
  </si>
  <si>
    <t>Seoul International Invention Fair (SIIF 2023)</t>
  </si>
  <si>
    <t>2023-77</t>
  </si>
  <si>
    <t>2023 EVSTI</t>
  </si>
  <si>
    <t>DOST VIII</t>
  </si>
  <si>
    <t>2023-78</t>
  </si>
  <si>
    <t>CCU</t>
  </si>
  <si>
    <t>Guidelines and Photography</t>
  </si>
  <si>
    <t>2023-80</t>
  </si>
  <si>
    <t>National Inventor's Week</t>
  </si>
  <si>
    <t>FIS, Inc.</t>
  </si>
  <si>
    <t>ISTE-GENERAL</t>
  </si>
  <si>
    <t>Dubai Expo Science and Technology Forum/Webinar</t>
  </si>
  <si>
    <t xml:space="preserve">Institutional Support for Technology Exposition (ISTE) Program
TIPD DOST-TAPI Bicutan, Taguig </t>
  </si>
  <si>
    <t>2022-22</t>
  </si>
  <si>
    <t>ACU</t>
  </si>
  <si>
    <t>ACU-n's Communication Plan for the Technology Innovation for Commercialization (TECHNICOM) Program</t>
  </si>
  <si>
    <t>Applied Communications Unit</t>
  </si>
  <si>
    <t>2022-38</t>
  </si>
  <si>
    <t>ACU-n's Call for Proposal</t>
  </si>
  <si>
    <t>2022-52</t>
  </si>
  <si>
    <t>ISTE-RSTW</t>
  </si>
  <si>
    <t>2022 Eastern Visayas Regional Science and Technology Week (RSTW) Celebration</t>
  </si>
  <si>
    <t>2022-56</t>
  </si>
  <si>
    <t>ISTE-CARAVAN</t>
  </si>
  <si>
    <t>DOST Stakeholders' Forum and Caravan for Region IV-A</t>
  </si>
  <si>
    <t>DOST IV-A</t>
  </si>
  <si>
    <t>2022-58</t>
  </si>
  <si>
    <t>Technobyahe in Bohol Cum DOST-TAPI Milestone Event: Deed of Conveyance Signing Ceremony for JZ Jewelry Repair Shop</t>
  </si>
  <si>
    <t>2022-61</t>
  </si>
  <si>
    <t>NSTW in CAR</t>
  </si>
  <si>
    <t>DOST CAR</t>
  </si>
  <si>
    <t>2022-62</t>
  </si>
  <si>
    <t>ISTE-INV ORG</t>
  </si>
  <si>
    <t>2022 Inventors Summit and Strategic Planning</t>
  </si>
  <si>
    <t>Rizal Inventors and Innovators Society, Inc. (RIISI)</t>
  </si>
  <si>
    <t>2022-63</t>
  </si>
  <si>
    <t>Addiotnal Budget Technobyahe in Bohol Cum DOST-TAPI Milestone Event: Deed of Conveyance Signing Ceremony for JZ Jewelry Repair Shop</t>
  </si>
  <si>
    <t>2022-74</t>
  </si>
  <si>
    <t>DOST Stakeholders' Forum and Caravan for Region I</t>
  </si>
  <si>
    <t>2022-75</t>
  </si>
  <si>
    <t>National Science and Technology Week (NSTW) Celebration in Region I</t>
  </si>
  <si>
    <t>2022-84</t>
  </si>
  <si>
    <t>NSTW sa Amihanang Mindanao to Promote Science and Innovation in Region X</t>
  </si>
  <si>
    <t>DOST Region X</t>
  </si>
  <si>
    <t>2022-85</t>
  </si>
  <si>
    <t>NIW 2022</t>
  </si>
  <si>
    <t>2022-97</t>
  </si>
  <si>
    <t>Stakeholders' Forum and Caravan in DOST Region IX</t>
  </si>
  <si>
    <t>DOST IX</t>
  </si>
  <si>
    <t>2021-17</t>
  </si>
  <si>
    <t>WACAS: Week-Long Accomplishment and Culminating Activity of Special Projects</t>
  </si>
  <si>
    <t>2021-27</t>
  </si>
  <si>
    <t>ISTE-NSTW</t>
  </si>
  <si>
    <t>Promoition of DOST Technologies and DOST 7 Programs, Project &amp; Services for the Celebration of the 2021 National Science and technology Week</t>
  </si>
  <si>
    <t>DOST Region VII</t>
  </si>
  <si>
    <t>2021-30</t>
  </si>
  <si>
    <t>Online Ophir 2021: Outstanding Philippine Innovation Revolution</t>
  </si>
  <si>
    <t>Filipino Inventors Society, Inc.</t>
  </si>
  <si>
    <t>2021-32</t>
  </si>
  <si>
    <t>2021 National Science and Technology Week (NSTW)</t>
  </si>
  <si>
    <t>DOST Region 1</t>
  </si>
  <si>
    <t>2021-35</t>
  </si>
  <si>
    <t>Gawad Alunig x Dalumag: Empowering Science Stories through Citizen Journalsim</t>
  </si>
  <si>
    <t>Applied Communications Unit ( ACU-i), TIPD</t>
  </si>
  <si>
    <t>2021-36</t>
  </si>
  <si>
    <t>i-NVENTS's Book: A collection of Real Stories of Real People</t>
  </si>
  <si>
    <t>2021-38</t>
  </si>
  <si>
    <t>2021 National Science and Technology Week (NSTW) Celebrationin Bicol Region</t>
  </si>
  <si>
    <t>2021-42</t>
  </si>
  <si>
    <t>2021 National Science and Technology Week (NSTW) Celebration</t>
  </si>
  <si>
    <t>Institutional Support for Technology Exposition (ISTE) Program, TIPD DOST TAPI</t>
  </si>
  <si>
    <t>2021-43</t>
  </si>
  <si>
    <t>ISTE-RICE</t>
  </si>
  <si>
    <t>2021 Virtual DOST VIII's Regional Science and Technology Fair and Exhibits</t>
  </si>
  <si>
    <t>2021-44</t>
  </si>
  <si>
    <t>2021 Regional Invention Contest and Exhibits (RICE) in Region X</t>
  </si>
  <si>
    <t>2021-44b</t>
  </si>
  <si>
    <t>2021 Regional Invetion Contest and Exhibits (RICE) in Region VI</t>
  </si>
  <si>
    <t>2021-44c</t>
  </si>
  <si>
    <t>2021 Regional Invention Contest and Exhibits (RICE) in Davao Region</t>
  </si>
  <si>
    <t>DOS-TAPI</t>
  </si>
  <si>
    <t>2021-49</t>
  </si>
  <si>
    <t>2021 Regional Invention Contest and Exhibits (RICE) in NCR</t>
  </si>
  <si>
    <t>DOST- TAPI</t>
  </si>
  <si>
    <t>2021-54</t>
  </si>
  <si>
    <t>Support for the Philippine Textile Research Institute's Virtual Exhibit for the National Science and Technology Week 2021</t>
  </si>
  <si>
    <t>2021-55</t>
  </si>
  <si>
    <t>2021 Regional Invention Contest and Exhibits (RICE) in CAR</t>
  </si>
  <si>
    <t>2021-56</t>
  </si>
  <si>
    <t>2021 Regional Invention Contest and Exhibit (RICE) in Region III, VII, IX, XII</t>
  </si>
  <si>
    <t>2021-57</t>
  </si>
  <si>
    <t>2021 DOST II's Regional Science and Technology Week (RSTW)</t>
  </si>
  <si>
    <t>DOST REGION II</t>
  </si>
  <si>
    <t>2021-70</t>
  </si>
  <si>
    <t>2021 Virtual Regional Invention Contest and Exhibit (RICE) in Region Caraga</t>
  </si>
  <si>
    <t>DOST TAPI</t>
  </si>
  <si>
    <t>2021-75</t>
  </si>
  <si>
    <t>ISTE-NIW</t>
  </si>
  <si>
    <t>Support to the Celebration of the National Inventors Week Celebation 2021: Inventrepinoys Unfazed in the Face of Pandemic</t>
  </si>
  <si>
    <t>ISTE Program, TIPD DOST TAPI</t>
  </si>
  <si>
    <t>2021-76</t>
  </si>
  <si>
    <t>ACU-i</t>
  </si>
  <si>
    <t>Week-Long Accomplishment and Culminating Activity of Special Projects (WACAS) 2.0</t>
  </si>
  <si>
    <t>2021-77</t>
  </si>
  <si>
    <t>Chapter Zero i-KNOW-vation Institutional Campaign</t>
  </si>
  <si>
    <t>2021-83</t>
  </si>
  <si>
    <t>Humans of TAPI</t>
  </si>
  <si>
    <t>Nationwide S&amp;T Promotion and Exhibits in SM Supermalls (Part II)</t>
  </si>
  <si>
    <t>Technology Application and Promotion Institute</t>
  </si>
  <si>
    <t>Innovation on Disaster Preparedness and Response Expo</t>
  </si>
  <si>
    <t>2020-18</t>
  </si>
  <si>
    <t>i-Invent (Inventions' Innovation for a Noble Vision of an Entrepreneurial Nation for Tomorrow</t>
  </si>
  <si>
    <t>Applied Communications Unit for Inventors (ACU-i) Tachnology Information and Promotion DIvision (TIPD) DOST TAPI</t>
  </si>
  <si>
    <t>2020-05-memo</t>
  </si>
  <si>
    <t>Promotion of Assistance for the Commercialization of Technologies among Businesses (PACT-Biz)</t>
  </si>
  <si>
    <t>ACU for Micro, Small and Medium (ACU-msm) Enterprises</t>
  </si>
  <si>
    <t>2020-03-Ad referenda</t>
  </si>
  <si>
    <t>I-Invent Marketing Plan</t>
  </si>
  <si>
    <t>ACU-I-DOST-TAPI</t>
  </si>
  <si>
    <t>2019 Regional Science and Technology July 4-6, 2019</t>
  </si>
  <si>
    <t>2019 DOST-NCR RSTW Exhibits Cum For in Promoting DOST Programs  and Services
October 2-4, 2019</t>
  </si>
  <si>
    <t>DOST-National Capital Region Bicutan, Taguig City</t>
  </si>
  <si>
    <t>Promotion of DOST Technologies and DOST VII Programs,Projects and Services for the Celebration of 2019 Regional Science and Technology Week                                                                                    August 14-16, 2019</t>
  </si>
  <si>
    <t>Promotion of DOST CALABARZON's Program and Services in the 2019 Regional Science and Technology Week</t>
  </si>
  <si>
    <t>DOST IV-A CALABARZON</t>
  </si>
  <si>
    <t>2019 Regional Science and Technology
November 11-15,2019</t>
  </si>
  <si>
    <t>DOST-Cordillera Administrative</t>
  </si>
  <si>
    <t>PCAARRD's Participation to the 2019 NSTW through Exhibits and Fora</t>
  </si>
  <si>
    <t>Philippine council of Agriculture, Aquatic and Natural Resources and Research Development</t>
  </si>
  <si>
    <t>2019-19</t>
  </si>
  <si>
    <t>Orientation on WIPO Publications: "Intangible Capital in Global Value Chains" and GLobal Innovation Index 2019 Energizing the World with Innovation</t>
  </si>
  <si>
    <t>National Inventors' Week Celebration in Region III</t>
  </si>
  <si>
    <t>Dr. Julius Caesar v. Sicat                                                                                                                Regional Director                                                                                                                                                                DOST Region III</t>
  </si>
  <si>
    <t>2019-51</t>
  </si>
  <si>
    <t>2019 National Inventors' Week Celebration of Filipino Inventors Society, Inc.</t>
  </si>
  <si>
    <t>2019-09-Ad ref</t>
  </si>
  <si>
    <t>Polcy Forum on the Increasing Public's Level of Awarnes on HIV/AIDS through Digitized Arts</t>
  </si>
  <si>
    <t>DOST-NRCP</t>
  </si>
  <si>
    <t>2019-12-Ad ref</t>
  </si>
  <si>
    <t>1st Environmental Innovative Forum to Compliance, Part 1b</t>
  </si>
  <si>
    <t>Filipino Inventors and Innovators Society, Inc.</t>
  </si>
  <si>
    <t>2019-13-Ad ref</t>
  </si>
  <si>
    <t>Celebration of 2019 National Science and Technology Week in Region 1</t>
  </si>
  <si>
    <t>2019-14-Ad ref</t>
  </si>
  <si>
    <t>Regional Celebration of the 2019 NSTW</t>
  </si>
  <si>
    <t>DOST-Region 3</t>
  </si>
  <si>
    <t>2019-15-Ad ref</t>
  </si>
  <si>
    <t>2019 RSTW Celebration in Bicol Region</t>
  </si>
  <si>
    <t>2019-16-Ad ref</t>
  </si>
  <si>
    <t>2019 RSTW in Region VIII</t>
  </si>
  <si>
    <t>DOST-Region 8</t>
  </si>
  <si>
    <t>2019-17-Ad ref</t>
  </si>
  <si>
    <t>2019 RSTW in Region II</t>
  </si>
  <si>
    <t>2019-18-Ad ref</t>
  </si>
  <si>
    <t>2019 RSTW in MIMAROPA</t>
  </si>
  <si>
    <t>2019-19-Ad ref</t>
  </si>
  <si>
    <t>2019 RSTW in Region VI</t>
  </si>
  <si>
    <t>DOST-Region 6</t>
  </si>
  <si>
    <t>2019-20-Ad ref</t>
  </si>
  <si>
    <t>Promotion of S&amp;T Initiate for Region X through the conduct of the NSTW 2019</t>
  </si>
  <si>
    <t>DOST-Region 10</t>
  </si>
  <si>
    <t>2019-21-Ad ref</t>
  </si>
  <si>
    <t>National Science and Technology Week (NSTW) 2019 "Aging Society, Health and Medical Care</t>
  </si>
  <si>
    <t>Philippine Council for Health Research and Development (PCHRD)</t>
  </si>
  <si>
    <t>2019-24-Ad ref</t>
  </si>
  <si>
    <t>2019 NSTW Disaster Cluster Exhibit</t>
  </si>
  <si>
    <t>DOST-PAGASA</t>
  </si>
  <si>
    <t>2019-25-Ad ref</t>
  </si>
  <si>
    <t>STEM Education for Sustainable Development</t>
  </si>
  <si>
    <t>DOST-SEI</t>
  </si>
  <si>
    <t>2019-26</t>
  </si>
  <si>
    <t>2019 DOST Regional Offices NSTW Exhibit in Promoting DOST Programs and Services</t>
  </si>
  <si>
    <t>2019-27</t>
  </si>
  <si>
    <t>2019 RSTW in CARAGA</t>
  </si>
  <si>
    <t>DOST-CARAGA</t>
  </si>
  <si>
    <t>2019-30</t>
  </si>
  <si>
    <t>Innovation Ville: Harnessing Science, Natural Resources and Environmental to Innovate Access to Food and Water</t>
  </si>
  <si>
    <t>DOST-PCIEERD</t>
  </si>
  <si>
    <t>2019-31</t>
  </si>
  <si>
    <t>2019 RSTW in Region IX</t>
  </si>
  <si>
    <t>2019-32</t>
  </si>
  <si>
    <t>Pain Relief Ointment Composition</t>
  </si>
  <si>
    <t>2019-33</t>
  </si>
  <si>
    <t>NSTW International Linkages Cluster Exhibition</t>
  </si>
  <si>
    <t>OASEC for International Cooperation</t>
  </si>
  <si>
    <t>2019-34</t>
  </si>
  <si>
    <t>2019 RSTW in Regiona XII</t>
  </si>
  <si>
    <t>2019-36</t>
  </si>
  <si>
    <t>Sustainable, Smart and Resilience Livable Cities in the Philippines: Nurturing the Culture and Heritage Wellbeing of the Nation Through SGD</t>
  </si>
  <si>
    <t>2019-37</t>
  </si>
  <si>
    <t>Suport to the Local Researchers, Inventors, and Innovators through the Conduct of the 2019 Regional Invention Contest and Exhibits</t>
  </si>
  <si>
    <t>2019-38</t>
  </si>
  <si>
    <t>2019 RICE in Regional VII</t>
  </si>
  <si>
    <t>DOST-Region 7</t>
  </si>
  <si>
    <t>2019-41</t>
  </si>
  <si>
    <t>2019-42</t>
  </si>
  <si>
    <t>20109 RSTW in MIMAROPA</t>
  </si>
  <si>
    <t>2019-44</t>
  </si>
  <si>
    <t>2019 RICE in Region 1</t>
  </si>
  <si>
    <t>2019 RICE in Region VII</t>
  </si>
  <si>
    <t>2019-52</t>
  </si>
  <si>
    <t>2019 Bicol RICE</t>
  </si>
  <si>
    <t>2019-53</t>
  </si>
  <si>
    <t>2019 RICE in Region VIII</t>
  </si>
  <si>
    <t>2019 RICE in Region VI</t>
  </si>
  <si>
    <t>ISP for College in Pagadian, Zamboanga del Sur</t>
  </si>
  <si>
    <t>2019-67</t>
  </si>
  <si>
    <t>Philaast 68th Annual Convention -Science for the People: Fostering Center of Excellence in the Regions</t>
  </si>
  <si>
    <t>Hotel Jen, Roxas Blvd, Pasay City</t>
  </si>
  <si>
    <t>2019-68</t>
  </si>
  <si>
    <t>2019 Davao Region and Regional Invention Contest and Exhibits</t>
  </si>
  <si>
    <t>2019-72</t>
  </si>
  <si>
    <t>National Inventors Week (NIW) 2019 CALABARZON</t>
  </si>
  <si>
    <t>2018 National Invention Contest and Exhibits (NICE)</t>
  </si>
  <si>
    <t>2018 Manila Science and Technology Fair and Exhibits (PAMAMASON Cluster S&amp;T Fair)</t>
  </si>
  <si>
    <t>DOST- National Captial Region</t>
  </si>
  <si>
    <t>Celebration of 2018 National Science and Technology Week in Region I</t>
  </si>
  <si>
    <t>2018- 13</t>
  </si>
  <si>
    <t>2018 Regional Science and Technology Week</t>
  </si>
  <si>
    <t>2018-14</t>
  </si>
  <si>
    <t>2018-15</t>
  </si>
  <si>
    <t>DOST Region IV-A (CALABARZON)</t>
  </si>
  <si>
    <t>2018-16</t>
  </si>
  <si>
    <t>DOST MIMAROPA (IV-B)</t>
  </si>
  <si>
    <t>2018-17</t>
  </si>
  <si>
    <t>2018 Regional Science and Technology Week Celebration</t>
  </si>
  <si>
    <t>2018-18</t>
  </si>
  <si>
    <t>Promotion of DOST 7-Assisted Projects and Technical Services for te Celebration of 2018 National Science and Technology Week</t>
  </si>
  <si>
    <t>2018-19</t>
  </si>
  <si>
    <t>2018 Regional S&amp;T Fair and Exhibits</t>
  </si>
  <si>
    <t>2018-20</t>
  </si>
  <si>
    <t>2018 Regional NSTW Celebration Caraga Region in Promoting</t>
  </si>
  <si>
    <t>DOST CARAGA</t>
  </si>
  <si>
    <t>2018-23</t>
  </si>
  <si>
    <t>Fabrication of FNRI Exhibit Materials for the 2018 National Science and Technology Week</t>
  </si>
  <si>
    <t>Food and Nutrition Research Institute (FNRI) DOST Compound</t>
  </si>
  <si>
    <t>2018-24</t>
  </si>
  <si>
    <t>Production and Fabricaton FPRDI Exhibits for the 2018 Department of Science and Technology's Annual Science and Technology Week Celebration</t>
  </si>
  <si>
    <t>Forest Products Research and Development Institute (FPRDI)</t>
  </si>
  <si>
    <t>2018-25</t>
  </si>
  <si>
    <t>Production of ITDI Exhibit Module for the 2018 National Science and Technology Week</t>
  </si>
  <si>
    <t>Industrial Technology Development Institute (ITDI)</t>
  </si>
  <si>
    <t>2018-26</t>
  </si>
  <si>
    <t>MIRDC Participaton to the Celebration of the 2018 National Science and Technology Week</t>
  </si>
  <si>
    <t>Metals Industry Research and Development Center(MIRDC)</t>
  </si>
  <si>
    <t>2018-27</t>
  </si>
  <si>
    <t>Production of 2018 NRCP NSTW Interactive Exhibit "Inclusive Innovations Towards Industrial Revolution-Filipino kids Reading Skill Revolutionized"</t>
  </si>
  <si>
    <t>National Research Council of the Philippine (NRCP)</t>
  </si>
  <si>
    <t>2018-28</t>
  </si>
  <si>
    <t>National Academy of Science and Technology Exhibit for the 2018 National Science and Technology Week</t>
  </si>
  <si>
    <t>National Academy of Science and Technology (NAST)</t>
  </si>
  <si>
    <t>2018-29</t>
  </si>
  <si>
    <t>PHILVOCS NSTW Exhibit 2018</t>
  </si>
  <si>
    <t>Philippine Institute of Volcanology and Seismology (PHILVOLCS)</t>
  </si>
  <si>
    <t>2018- 30</t>
  </si>
  <si>
    <t>STI at Home Cluster</t>
  </si>
  <si>
    <t>STI in School Cluster</t>
  </si>
  <si>
    <t>Science Education Institute DOST Compoud</t>
  </si>
  <si>
    <t>2018-32</t>
  </si>
  <si>
    <t>STI on the Workplace Cluster: Industry &amp; Farm Sectors</t>
  </si>
  <si>
    <t>Philippine Council for Industry, Energy and Emerging Technology Research and Development (PCIEERD) and the Philippine Council for Agriculture, Aquatic and Natural Resources Research and Development (PCAARRD)</t>
  </si>
  <si>
    <t>2018-33</t>
  </si>
  <si>
    <t>STII  Technology Fair Exhibit</t>
  </si>
  <si>
    <t>Science Technology Information Institute (STII) DOST Compound</t>
  </si>
  <si>
    <t>2018-34</t>
  </si>
  <si>
    <t>2018 Regional Science and Technology Week Celebration- Davao Region</t>
  </si>
  <si>
    <t>2018-37</t>
  </si>
  <si>
    <t>2018 Regional Science and Technology Fair</t>
  </si>
  <si>
    <t>2018-38</t>
  </si>
  <si>
    <t>Promotion of S&amp;T Initiatives for Region X Through the conduct of NSTW 2018 National and Regional Celebration</t>
  </si>
  <si>
    <t>2018-39</t>
  </si>
  <si>
    <t>2018 NSTW Exhibits in Region XII</t>
  </si>
  <si>
    <t>2018-40</t>
  </si>
  <si>
    <t>2018 Regional Science and Technology Week (RSTW)</t>
  </si>
  <si>
    <t>DOST Region VI</t>
  </si>
  <si>
    <t>2018-43</t>
  </si>
  <si>
    <t>Fabrication of NSTW Logo</t>
  </si>
  <si>
    <t>DOST Region V                                                                                            Regional Center Site</t>
  </si>
  <si>
    <t>2018-51</t>
  </si>
  <si>
    <t>Production of Exhibit Materials for the 2018 National Science and Technology  Week Celebration and Regional Science and Technology Week Celebration</t>
  </si>
  <si>
    <t>Philippine Nuclear Research Institute (PNRI)</t>
  </si>
  <si>
    <t>2018-03-Ad ref</t>
  </si>
  <si>
    <t>STARDEv</t>
  </si>
  <si>
    <t>Improvement of Dishwashing Liquid Mixture Product through Provision of Appropriate Product Packaging and support in Raw Materials Procurement</t>
  </si>
  <si>
    <t>DOST- IV A</t>
  </si>
  <si>
    <t>2018-04-Ad ref</t>
  </si>
  <si>
    <t>Upgrading of the Community-Based Production of Rice-Com-Monggo Curls of the Kalipunan ng Liping Pilipina (KALIPI)- Santa Fe Chapter</t>
  </si>
  <si>
    <t>2018-19-Ad ref</t>
  </si>
  <si>
    <t>TAPI's Participation in the 14th National Biotechnology Week (NBW)</t>
  </si>
  <si>
    <t>2018-34-ad ref</t>
  </si>
  <si>
    <t>Robotics Exhibit NSTW 2018</t>
  </si>
  <si>
    <t>Philippine Science High School</t>
  </si>
  <si>
    <t>2018-35-ad ref</t>
  </si>
  <si>
    <t>Government Collaboration Centerpiece Exhibit</t>
  </si>
  <si>
    <t>Science and Technology Information Institute (STII)</t>
  </si>
  <si>
    <t>2018-36-ad ref</t>
  </si>
  <si>
    <t>Stardev</t>
  </si>
  <si>
    <t>Nursery Management in Tree Propagation and Horticulture Production</t>
  </si>
  <si>
    <t>2018-37-ad ref</t>
  </si>
  <si>
    <t>Supply of Exhibition Materials "1st Halal Summit"</t>
  </si>
  <si>
    <t>DOSR ARMM</t>
  </si>
  <si>
    <t>2018-41-ad ref</t>
  </si>
  <si>
    <t>Livelihood Development Assistance on the Production of Vinegar and Sugar from Nipa Palm (Nypa fruticans) with the Infusion of DOST-ITDI Technology</t>
  </si>
  <si>
    <t>2018-47-ad ref</t>
  </si>
  <si>
    <t>Additional Financial Support for the 2018 National Invention Contest and Exhibits</t>
  </si>
  <si>
    <t>TAPI-TIPD</t>
  </si>
  <si>
    <t>2018-54-ad ref</t>
  </si>
  <si>
    <t>Engaging the Youth in Science, Technology and Innovation</t>
  </si>
  <si>
    <t>Philippine Association for the Advancement of Science and Technology (PhilAAST)</t>
  </si>
  <si>
    <t>2018-55-ad ref</t>
  </si>
  <si>
    <t>KAPIHA 3: Strengthening Community-Based Disaster Preparedness in Metro Manila</t>
  </si>
  <si>
    <t>UP Institute for Small-Scale Industries (UP ISSI)</t>
  </si>
  <si>
    <t>2018-63-ad ref</t>
  </si>
  <si>
    <t>Conduct of the Continuing Education Development Program</t>
  </si>
  <si>
    <t>Filipino Inventors and Innovators Society, Inc. (FIIS, Inc.)</t>
  </si>
  <si>
    <t>PMAP</t>
  </si>
  <si>
    <t>Printing of Promotional Materials for the "Alternative Healing Appratus"</t>
  </si>
  <si>
    <t>Mr. Daniel B. Orijuela</t>
  </si>
  <si>
    <t>Printing of FPRDI information Materials for Bamboo Technologies</t>
  </si>
  <si>
    <t>Dr. Romulo T. Agganagan</t>
  </si>
  <si>
    <t>2018-42-ad ref</t>
  </si>
  <si>
    <t>Printing of Vital N Ameliorant and Mitigant flyers, posters, and package labels</t>
  </si>
  <si>
    <t>Mr. Pociano M. Halos, PhD</t>
  </si>
  <si>
    <t>2018-43-ad ref</t>
  </si>
  <si>
    <t>Printing of DOST-PNRI Technology Flyers</t>
  </si>
  <si>
    <t>2018-44-ad ref</t>
  </si>
  <si>
    <t>Printing of DOST-FPRDI Technologies and Services</t>
  </si>
  <si>
    <t>FPRDI</t>
  </si>
  <si>
    <t>2018-46-ad ref</t>
  </si>
  <si>
    <t>Printing of Promotional Materials for the IMPROBYKE</t>
  </si>
  <si>
    <t>Mr. Salvador G. Flores</t>
  </si>
  <si>
    <t>Printing of BIOTECH technologies Brochure on; Monascus Red Colorant, Biofertilizers, Biogroe, Protein-Riched Copra Meal, Animal Probiotics, Technologies for industries</t>
  </si>
  <si>
    <t>National Institute of Molecular Biology and Biotechnology (BIOTECH)</t>
  </si>
  <si>
    <t>2024-34</t>
  </si>
  <si>
    <t>ACCREDITATION</t>
  </si>
  <si>
    <t>Innovation Drive</t>
  </si>
  <si>
    <t>Filipino Inventors Society Cordillera Administrative Region (FISCAR), inc.</t>
  </si>
  <si>
    <t>2024-48</t>
  </si>
  <si>
    <t>Filipino Inventors' Organization Gathering: A Meeting of Innovative Minds</t>
  </si>
  <si>
    <t>FISPC</t>
  </si>
  <si>
    <t>2024-85</t>
  </si>
  <si>
    <t>Stakeholders Meeting and Discussion on the Proposed Revision of RA 7459 IRR</t>
  </si>
  <si>
    <t>Filipino Inventors Society Producers Cooperative (FISPC)</t>
  </si>
  <si>
    <t>2024-86</t>
  </si>
  <si>
    <t>Stakeholders Meeting and Discussion on the TAPI Administrative Order No. 004, Series of 2023 or the Revised Guidelines for the Expanded Inventors' Organization Accreditation Program</t>
  </si>
  <si>
    <t>Filipino Investors &amp; Innovators (FIISI) Inc.</t>
  </si>
  <si>
    <t>2023-14</t>
  </si>
  <si>
    <t>Approval of request of Travel Assistance for FIS, Inc.’s Participation in the IFIA 37th General Assembly</t>
  </si>
  <si>
    <t>2023-16</t>
  </si>
  <si>
    <t>Deployment of FISCAR-developed technologies for use by Smith Valley Agriculture Cooperative</t>
  </si>
  <si>
    <t>FISCAR</t>
  </si>
  <si>
    <t>2023-22</t>
  </si>
  <si>
    <t>Acquisition of Equipment to be used for AutoCAD 1-Design Projects for RISSI members</t>
  </si>
  <si>
    <t>2023-84</t>
  </si>
  <si>
    <t>Capacity Building and Workshop for RISE, Inc.</t>
  </si>
  <si>
    <t>Researchers, Inventors, Scientists, Entrepreneurs of the Philippines, Inc. (RISE)</t>
  </si>
  <si>
    <t>2028-18</t>
  </si>
  <si>
    <t xml:space="preserve">The request was withdrawn during LANDBANK evaluation due to personal circumstances of the proponent; Invited  to apply for I-TECH 2.0 </t>
  </si>
  <si>
    <r>
      <rPr>
        <sz val="10"/>
        <color rgb="FF000000"/>
        <rFont val="Arial"/>
      </rPr>
      <t>cdcamilonjr@</t>
    </r>
    <r>
      <rPr>
        <sz val="10"/>
        <color rgb="FF000000"/>
        <rFont val="Arial"/>
      </rPr>
      <t xml:space="preserve">gmail.com
</t>
    </r>
    <r>
      <rPr>
        <sz val="10"/>
        <color rgb="FF000000"/>
        <rFont val="Arial"/>
      </rPr>
      <t>09224074861/049-501-4583</t>
    </r>
  </si>
  <si>
    <t>Ms. Normie Jean Sajor Lacubtan 
Project Leader
Anihan Technologies Inc.</t>
  </si>
  <si>
    <t>N/A</t>
  </si>
  <si>
    <t>Tax and Duty Exemption</t>
  </si>
  <si>
    <t>Makecroscope</t>
  </si>
  <si>
    <t>Mr. Jeremy C. Deleon, Jeremake Online Shop</t>
  </si>
  <si>
    <t>Pilot Scale Production of Cooked Balut in Shell with Commercially Acceptable Shelf-life</t>
  </si>
  <si>
    <t>akerwinperez@gmail.com</t>
  </si>
  <si>
    <t>P349,800</t>
  </si>
  <si>
    <t>Snap On and Off Handle for a Five-Gallon Bottle Container</t>
  </si>
  <si>
    <t>Carlos N. Detalo, Jr.</t>
  </si>
  <si>
    <t>carlsdet1201976@gmail.com</t>
  </si>
  <si>
    <t>Sector</t>
  </si>
  <si>
    <t>AmountofInvestment</t>
  </si>
  <si>
    <t xml:space="preserve">Address </t>
  </si>
  <si>
    <t>Region</t>
  </si>
  <si>
    <t>Description of the Project/Technology</t>
  </si>
  <si>
    <t>Guidelines</t>
  </si>
  <si>
    <t>Government</t>
  </si>
  <si>
    <t>Inventors' Organization Accreditation Project</t>
  </si>
  <si>
    <t>Legal Unit, Office of the Director Technology Application and Promotion Institute (TAPI)</t>
  </si>
  <si>
    <t>DOST Bicutan Taguig</t>
  </si>
  <si>
    <t>NCR</t>
  </si>
  <si>
    <t xml:space="preserve">Aims to accredit and recognize inventors' organizations comprising of relatively an equal number of men and women, throughout their activities pursuant to Section 8.b, Article IV of Republic Act No. 7459.
</t>
  </si>
  <si>
    <t>IOA</t>
  </si>
  <si>
    <t>IMPROVE</t>
  </si>
  <si>
    <t>Project DOST-IMPROVISE: IP Monitoring and Protection of Rights or Ownership Against Violations and Infringements Sustained or Envisioned</t>
  </si>
  <si>
    <t>Spesifically this project would like to protect the gains obtained from the DOST-funded projects on commercialization.</t>
  </si>
  <si>
    <t>DOST</t>
  </si>
  <si>
    <t>Applied Communication Unit TIPD, DOST-TAPI Bicutan, Taguig</t>
  </si>
  <si>
    <t>DOST-TAPI  Bicutan Taguig</t>
  </si>
  <si>
    <t>The ACU-n seeks to strengthen the Institute's communication endeavors in delivering audience-centric key messages by integrating and utilizing all possible and appropriate media platforms, particularly targeting the non-inventor clients composed of starups, micro, small and medium entrepreneurs (MSME), student technopreneurs, and professional organizations.</t>
  </si>
  <si>
    <t>GAD</t>
  </si>
  <si>
    <t>International Day of Women and Girls in Science</t>
  </si>
  <si>
    <t xml:space="preserve">Gender Focal Point System -Technical Working Group </t>
  </si>
  <si>
    <t>This celebration recognizes that equal access to and
participation in science technology and innovations of women and girls is vital in achieving gender equality.
The DOST-TAPI, as one of the institutions promoting science services, supports this advocacy through its Gender Focal Point System.</t>
  </si>
  <si>
    <t>POLICY</t>
  </si>
  <si>
    <t xml:space="preserve">DOST </t>
  </si>
  <si>
    <t>Load allowance</t>
  </si>
  <si>
    <t xml:space="preserve">The Proposed Load Allowance of DOST-TAPI's </t>
  </si>
  <si>
    <t>DOST-TAPI Bicutan Taguig</t>
  </si>
  <si>
    <t xml:space="preserve">NCR </t>
  </si>
  <si>
    <t>Strengthening the communications and operations of the DOST-TAPI Finance and Administrative Division by Providing Communication (Load) Allowance for the  Division Chief and Section Chiefs.</t>
  </si>
  <si>
    <t xml:space="preserve">DOST-TAPI </t>
  </si>
  <si>
    <t>Promotion of DOST-TAPI Programs for Filipino Inventors for CY 2022 Implementation</t>
  </si>
  <si>
    <t xml:space="preserve">Applied Communications Unit </t>
  </si>
  <si>
    <t>ACU-i was created to facilitate the promotion of programs for Filipino inventors of the Institute. The unit oversees the implementation of various marketing strategies to better popularize DOST-TAPI programs for inventors to the general audience, as well as to targeted clients.</t>
  </si>
  <si>
    <t>IDEATION</t>
  </si>
  <si>
    <t>Corner Friendship and Dumanlas Road, Bajada Davao City</t>
  </si>
  <si>
    <t>XI</t>
  </si>
  <si>
    <t>The Technology Application and Promotion institute is supporting the development of future inventors among the youth through the conduct of workshops. The lnvent school tm aims to inculcate creative thinking and bring about inventiveness enticing the male and female pupils which aims to stimulate the creativity and innovativeness of the students and promote awareness on intellectual property rights.</t>
  </si>
  <si>
    <t>Part of the Institute's promotional activities is the corporate branding defining the corporate voice and messaging, and working out the DOST-TAPI's visual identity,</t>
  </si>
  <si>
    <t>2022-01</t>
  </si>
  <si>
    <t>PROMO</t>
  </si>
  <si>
    <t>The project aims to promote local technologies not only in Dubai markets but in other participating countries; promote DOST-assisted SME products to a wider and diverse market group and create potential consumer/customers; and serve as an avenue to explore possible collaborations/linkages with UAE and other countries in the field of S&amp;T;</t>
  </si>
  <si>
    <t>2022-02</t>
  </si>
  <si>
    <t>TAPI</t>
  </si>
  <si>
    <t>Opening of the DOST-TAPI's 35th (milestone) Anniversary</t>
  </si>
  <si>
    <t xml:space="preserve">DOST-TAPI Bicutan, Taguig </t>
  </si>
  <si>
    <t>The celebration will be graced by the DOST Secretary, Prof. Fortunato T. De La Peña, and DOST Undersecretary for Research and Development, Dr. Rowena Cristina L. Guevara, with messages of support for the Institute;
During the celebration, DOST-TAPI's new Director, Atty. Marion Ivy D. Decena, will also present her vision for the Institute.</t>
  </si>
  <si>
    <t>2022-03</t>
  </si>
  <si>
    <t>TERMINATION</t>
  </si>
  <si>
    <t>Termination of the Invention-Based Enterprise Development Component II (IBED II) Program</t>
  </si>
  <si>
    <t>The said program both aim to accelerate the commercialization of innovative technologies or inventions by providing the necessary funding support IP rights owner/Assignee or technology-based start-up project.</t>
  </si>
  <si>
    <t>2022-04</t>
  </si>
  <si>
    <t>Operationalization of the Screening Committee for R.A No. 7459/Project Oscar</t>
  </si>
  <si>
    <t xml:space="preserve">TAPI </t>
  </si>
  <si>
    <t>In view of the travel restriction in the region brought about by the pandemic, an honorarium shall be given to a DOST Regional/Provincial staff to compensate his/her efforts in the validation and the preparation of the corresponding report.</t>
  </si>
  <si>
    <t>TECH DEV</t>
  </si>
  <si>
    <t>MIRDC, MIRDC Compound, Gen. Santos Ave., Bicutan, Taguig</t>
  </si>
  <si>
    <t xml:space="preserve">The projects aims to achieve the following objectives; To fabricate five(5) modules of the machine monitoring system; to conduct field testing in the identified machince shop; to evaluate the performance of the machince shop monitoring system; To establish the marketability of the developed machince monitoring system. </t>
  </si>
  <si>
    <t>CONCEPT PROTO</t>
  </si>
  <si>
    <t xml:space="preserve">
AD157 Windy Hill, Buyagan, La Trinidad, Benguet
</t>
  </si>
  <si>
    <t>CAR</t>
  </si>
  <si>
    <t>To provide financial assistance under the Industry-Based Invention Development
(IBID) Program for the fabrication of the commercial prototype of “Method of
Composting with Automation Features” with Utility Model Registration Number 2-
2022-050394.</t>
  </si>
  <si>
    <t>AD157 Windy Hill, Buyagan, La Trinidad, Benguet</t>
  </si>
  <si>
    <t>To provide financial assistance under the Industry-Based Invention Development (IBID)
Program for the fabrication of the commercial prototype of “Bright Lighted Welding
Helmet” with Utility Model Registration Number 2-2021051090.</t>
  </si>
  <si>
    <t>MODIFICATION OF LIB</t>
  </si>
  <si>
    <t>Utilization of Unexpended Balance to Cover Additional Testing Assistance for the "Adaptive Foldable Crutches"</t>
  </si>
  <si>
    <t xml:space="preserve">214 A Peart St. cor. Emerald St., Brgy. Dolores, Palmera 2 Taytay, Rizal  </t>
  </si>
  <si>
    <t>IVA</t>
  </si>
  <si>
    <t>The subject technology is quick-fold underarm crutshes that can be collapsed with a push button, are lightweight, all-aluminum and easy to carry. upon recommendation of DOST-MIRDC Mr. Camacho requested additional funds for the testing of his technology and was approved under the invention Testing and Analyses Program.</t>
  </si>
  <si>
    <t>Ma. Bettina A. Macaraeg, DOST-ITDI</t>
  </si>
  <si>
    <t>DOST-ITDI</t>
  </si>
  <si>
    <t xml:space="preserve">The DLSU Practical Genomics Laboratory (PGL), is a team of scientists and scientists in training who aim to develop molecular marker-based products for use by fishers, farmers and the general public. From 2014-2016, we ran a project that developed a DIY tissue culture kit for coffee as an extension of the USAID-STRIDE funded “Establishing a repository of Philippine coffee varieties and SNP markers for improved production”. Through this project the early stages of a DIY Tissue culture kit was developed.
The Build Your Own Tissue Culture Kit (BTC Lab Kit) is composed of instructional and laboratory exercises on life sciences, bioenergetics, botany, genetics, and microbiology, among others, and will also include topics on physics and chemistry. The Kit will also include a Teacher’s Manual, Student’s Workbook, Powerpoint/Video Presentations, and a platform fortechnical support and main  objective of the BTC Lab Kit TECHNICOM proposal is to produce, validate and optimize the BTC
Lab kit and teaching materials at scale in a factory setting. </t>
  </si>
  <si>
    <t>Pre-commercialization of low-Cost Phototherapy Light System</t>
  </si>
  <si>
    <t xml:space="preserve">Ateneo de Manila University </t>
  </si>
  <si>
    <t>TECHNiCOM Program aims to fast-track the market readiness of innovations for their eventual transfer and recommercialization. The phototherapy is the most frequently used treatment when serum bilirubin levels exceed physiological limits but due to its high procurement and maintenance, it may not be accessible to many people most especially in developing countries.</t>
  </si>
  <si>
    <t>14/14/2022</t>
  </si>
  <si>
    <t>Camarines Sur Polytechnic University</t>
  </si>
  <si>
    <t>V</t>
  </si>
  <si>
    <t>The projects aims to conduct pre-commercialization of the decorative engineered water hyacinth fiber laminated panels. The project aims to improve the quality and aesthetics of the developed engineered water hyacinth fiber laminated panels; Provide the necessary adjustments based on the performance assessments; Produce a predetermined quantity to supply the demand of the customers.</t>
  </si>
  <si>
    <t>Bataan Peninsula State University</t>
  </si>
  <si>
    <t>III</t>
  </si>
  <si>
    <t>The objective of the project aims to scale up the existing bamboo waste compression molding machine to a ready-to-transfer prototype to the local bamboo industry. The project highlights the development of the scaled-up bamboo waste compression molding machine that can be transferred to local bamboo processing industries in Bataan and potentially across the country.</t>
  </si>
  <si>
    <t>16/12/2022</t>
  </si>
  <si>
    <t>DSLU</t>
  </si>
  <si>
    <t>To establish the process schedule for each RTE boiled quail egg product segmented in varying packaging materials; To produce RTE boiled quail eggs using varying packaging materials; and to communicate the results of the validation study to relevant stakeholders of the quail industry</t>
  </si>
  <si>
    <t>COMM</t>
  </si>
  <si>
    <t>Jeremake Online Shop, Blk. 58 Lot 1 Palm cor. Dela Cruz St. Town and Country West, Molino III Bacoor City, Cavite
(jeremycdeleon@gmail.com)</t>
  </si>
  <si>
    <t>Jeremake Online Shop is a single proprietorship enterprise with business address at Blk. 58 Lot 1 Palm cor. Dela Cruz St., Town and Country West, Molino III, Bacoor City, Cavite. He was assisted by the Invention-Based Enterprise Development Program (IBED) of DOST-TAPI for the initial commercialization of the Make-roscope Keychains and IPRAP for the registration of Industrial Design;                                                                              The ID Registration pertains to an ornamental design for a
keychain with microscope</t>
  </si>
  <si>
    <t xml:space="preserve">DOST-TAPI's Promotional Activities and Materials </t>
  </si>
  <si>
    <t>The institute aims to develop more promotional activities with the objectives to increase the Institute's visibilty, and positive image to its stakeholders and the general public as a whole.</t>
  </si>
  <si>
    <t>2022-14</t>
  </si>
  <si>
    <t>Awards and Recognition for DOST-TAPI's Internal and Exernal Partners</t>
  </si>
  <si>
    <t>DOST-TAPI has created a Program on Awards and Incentives for Service Excellence (PRAISE) Comitee, and Awards and Recognition Commitee under the Steering cum Program Comiteed of the Institute's 35th Anniversary celebration to validate the performances of all aspiring and worthy internal and external awardees.</t>
  </si>
  <si>
    <t>2022-15</t>
  </si>
  <si>
    <t>Launching of TAPI Roadmap and Stakeholders' Recognition</t>
  </si>
  <si>
    <t>The activity held 13 May 2022 in a physical venue since the whole including its accomplishments and future plans. During its meeting on 02 March 2022 via Zoom application hereby resolved to approve the outlined activities and budgetary requirements.</t>
  </si>
  <si>
    <t>Dalan na Paccurofon, Corner Matunung St. Regional Government  Center, Carig Sur</t>
  </si>
  <si>
    <t>II</t>
  </si>
  <si>
    <t>TheTechnology Application and Promotion Institute (TAPI-DOST) takes the lead in promoting and giving support to the development of future inventors among the youth through the conduct of workshops that teach them to craft solutions to solve the country’s pressing concerns. The Seminar-workshop module for elementary students is designed in order for them to create school-based experiences that will benefit their school with the new ideas, emerging research, cutting-edge tools and innovations.</t>
  </si>
  <si>
    <t>Block 6, Lot 7, Ivy Street, PHHC Block 22, NHA 2, Mandurriao, Iloilo City</t>
  </si>
  <si>
    <t>VI</t>
  </si>
  <si>
    <t>The Compact Tire Inventer Machine (CTIM) gets rid of carcinogenic and mutagenic chemicals in discarding old tires. CTIM does  not require burning of tires; minimizes throwing away of old tires in landfills and addresses issues on health hazards particularly the spread of dengus in an environment-friendly recycling and upcycling scrap tires.</t>
  </si>
  <si>
    <t>2022-18</t>
  </si>
  <si>
    <t>2022 National Women's Month Celebration</t>
  </si>
  <si>
    <t>DOS-TAPI Bicutan, Taguig</t>
  </si>
  <si>
    <t>This year’s theme is “We Make Change Work for Women” with its sub-theme
“Agenda ng Kababaihan Tungo sa Kaunlaran.”
The celebration highlights the extra ordinary roles of ordinary Juanas in the society
as trailblazers of change. It also highlights the gains achieved in promoting gender
equality and sustaining them to ensure progress in empowering women.</t>
  </si>
  <si>
    <t>2022-19</t>
  </si>
  <si>
    <t>REALIGNMENT</t>
  </si>
  <si>
    <t>Realignment of Budget-Gawad Alunig Dalumat</t>
  </si>
  <si>
    <t>Empowering Science Stories through Citizen Journalism project under the Applied Communication Unit for Inventors ACU-i</t>
  </si>
  <si>
    <t>DOST-TAPI Executive Commitee during its Meeting on 22 September 2021 via virtual platform approved the budgetary requirements for the projects under ACU-i amounting to P484,917.48</t>
  </si>
  <si>
    <t>2022-20</t>
  </si>
  <si>
    <t>Support to the Promotion and Implementation of the 2022 National Inventors Week (NIW) Celebration Program</t>
  </si>
  <si>
    <t>TAPI Bldg. ,DOST Compound ,Bicutan Taguig City 1631</t>
  </si>
  <si>
    <t xml:space="preserve">The Department of Science and Technology through the Technology Application and Promotion Institute (TAPI) was tasked to implement Republic Act No. 7459 otherwise known as “Inventors and Invention Incentives Act of the Philippines” which provides assistance to Filipino inventors. The NIW serves as a venue for the exchange of ideas and information including facilitation of market opportunities to encourage the generation, promotion and development of Filipino inventive capabilities.  It also features exhibits of inventions and various symposia.
</t>
  </si>
  <si>
    <t>NIW</t>
  </si>
  <si>
    <t>2022-21</t>
  </si>
  <si>
    <t>2022 National Invention Contests and Exhibits  (NICE)</t>
  </si>
  <si>
    <t>ISTE Program, TIPD</t>
  </si>
  <si>
    <t>Bicutan, Taguig</t>
  </si>
  <si>
    <t>The Department of Science and Technology through the Technology Application and Promotion Institute (TAPI) was tasked to implement Republic Act No. 7459 otherwise known as “Inventors and Invention Incentives Act of the Philippines”. The Filipino inventors’ ingenuity and creativity are harnessed through comprehensive and strategic technical and financial support for the development of their inventions/innovations as stipulated in RA 7459. the National Invention Contest, is held to acknowledge and appreciate the crucial role of Filipino inventors in our country’s advancement and development.</t>
  </si>
  <si>
    <t>NICE</t>
  </si>
  <si>
    <t>TIPD, DOST-TAPI Bicutan, Taguig</t>
  </si>
  <si>
    <t>ACU-in's Call for proposals for the program aims to establish and generate awareness on TECHNicom through the Tatak PINOYpreneur campaign; and generate proposals from target clients of the program for CY 2022 funding.</t>
  </si>
  <si>
    <t xml:space="preserve">Invention School Program: Webinar-Workshop for Primary to Tertiary Level in Different Provinces of BARMM </t>
  </si>
  <si>
    <t>The Ministry of Science and Technology (MOST) of the Bangsamoro Autonomous Region in Muslim Mindalnao (BARMM)
submitted a proposal for the conduct of the invent School Program (ISP) webinar-workshop for selected elementary,
high school, and college pupils in its provinces to inculate creative thinking and bring about inventiveness
among male and female students to entice them to pursue activities leading to creativeness in solving problems 
in industrial applications and create student's awareness of intellectual Property Rights and Protection.
Whereas, the proposal covers the request for funding assistance for the purchase of prepaid load for internet
services of the student-participants during the seminar-workshops amounting to P38,400.00.</t>
  </si>
  <si>
    <t>2022-24</t>
  </si>
  <si>
    <t>MOTHER PROPOSAL</t>
  </si>
  <si>
    <t>lib Caravan</t>
  </si>
  <si>
    <t>The ISTE Program is an excellent platform for the dissemination, sharing, and exchange  of information and ideas involving S&amp;T Fairs, local and international technology training/seminar/conference/fora/contest, and exhibits that may be beneficial to SMEs and industrial companies.</t>
  </si>
  <si>
    <t>DOST Stakeholders' Forum and Caravan: Bringing S&amp;T Closer to the People " Lakbay Teknolohiya para kay Juan and Juana"</t>
  </si>
  <si>
    <t>In the era of pandemic, the ILO op-ed pitched the “Better Normal,” while the World Economic Forum`s proposition was “The Great Reset.” How DOST would communicate its programs that will be good enough to change perception, and eventually translate to improved quality of life for the Filipinos` is set against the backdrop of these two pandemic-coined concepts and aspirations – the `better normal` and `great reset.`
Connecting these concepts in promoting the S&amp;T through DOST programs to achieve a “better normal,” previous promotion initiatives need not be abandoned, rather build upon from those previous gains.</t>
  </si>
  <si>
    <t>2022-25</t>
  </si>
  <si>
    <t>Refresher Virtual Training on Quality Management System  Compliant to  ISO 9001:2015 (Awareness, Internal Audit and Documentation)</t>
  </si>
  <si>
    <t>The objectives of the projects are Prepare key personnel, officers and staff of DOST-TAPI for the successful implementation and effective long-term maintenance of its Quality Management System (QMS) and Improve the process performance through formulations of appropriate corrective actions for continual improvement of  the QMS.</t>
  </si>
  <si>
    <t xml:space="preserve">Jose Vallerio A. Calleja                                                                                                                                                      President and CEO                                                                                                           </t>
  </si>
  <si>
    <t>#17 Sta. Monica St., Malinta, Valenzuela City</t>
  </si>
  <si>
    <t>This intervention by DOST-TAPI shall form part in the production of 12 million capsules of vitamins C or 120,000 boxes of the vitamins as per the purchase order of EM-CORE Dotnet and the current demand for vitamin C to help citizens boost their immune system to fight against COVID-19 shall be catered..</t>
  </si>
  <si>
    <t>2022-27</t>
  </si>
  <si>
    <t>Deferment of Payment-Mica by the Sea</t>
  </si>
  <si>
    <t>Arnulfo G. Singca
President</t>
  </si>
  <si>
    <t xml:space="preserve">N4018 Centennial Road, Clark Freeport Zone, Pampanga </t>
  </si>
  <si>
    <t xml:space="preserve">The objective of the Project is to facilitate production of 2,900 cases of processed products such as: dried tawilis, dried tunsoy, dried galunggong, dried danggit, dried squid, dried bisugo, dried hasahasa, smoked galunggong, smoked tawilis, and smoked hasahasa in different sizes to serve the purchase order of Foremost Foods International Inc., USA;
</t>
  </si>
  <si>
    <t>2022-28</t>
  </si>
  <si>
    <t>CCSS</t>
  </si>
  <si>
    <t>This refers to the draft Customer/Client Satisfaction Survey (CCSS) Form which has been routed to all Divisions for their comments.</t>
  </si>
  <si>
    <t>2022-29</t>
  </si>
  <si>
    <t xml:space="preserve">DOST-TAPI Preparatory Strategic Planning Cum  CY 2022 Mid-Year Monitoring and Performance Review </t>
  </si>
  <si>
    <t>Planning Unit, OD</t>
  </si>
  <si>
    <t>DOST-TAPI Bicutan, Taguig</t>
  </si>
  <si>
    <t>The successful implementation of any program or project is directly linked to proper planning and construction of strategies of the Top Management. The Execom Planning Workshop will be a preparatory activity for the strategic planning workshop.</t>
  </si>
  <si>
    <t>2022-30</t>
  </si>
  <si>
    <t>DOST-TAPI CY 2023 Strategic Planning Workshop</t>
  </si>
  <si>
    <t>The project aims to achieve th following objectives. To provide knowledge on NEDA's Priority Plan, and Ambisyon Natin 2024; To align DOST-TAPI's future programs and projects on the Ambisyon Natin 2040; To distinguish programs that will be included in the submission to NEDA's Program Priority Plan (PPP); To distinguish programs that will be included in the submission to NEDA's National Priority Plan (NPP); To provide the participants a clear understanding of the DBM's Program Expenditure Classification (PREXC) and of the Institute's identified outcome and output indicators; To provide the participants a clear understanding of the concept of the budget's Forward Estimates for proper program planning; and To discuss other concems and issues that may arise during the workshop.</t>
  </si>
  <si>
    <t>The project also aims to train educators and Invent school trainers through a training-the-trainer scheme. The project's expected outputs are the web design for the online platform of the modules at all levels and the production of 100 printed copies of modules (35 copies for college level, 35 copies for high school level, and 30 copies for elementary level. )</t>
  </si>
  <si>
    <t>2022-32</t>
  </si>
  <si>
    <t>Stakeholder's  Forum</t>
  </si>
  <si>
    <t>The forum aims to publish a Philippine agenda on technology transfer and commercialization that will identify the priority areas and gaps which can be used as
a basis for interventions. In line with the DOST-TAPI Roadmap from 2023 to 2032 which was presented to the DOST Central Office through the Undersecretary for Research and Development. The information from the forum can also be used as a basis for the DOST-TAPI Agenda in preparation for the advent of a new government administration in the coming May 2022 elections.</t>
  </si>
  <si>
    <t>2022-33</t>
  </si>
  <si>
    <t>Realignment</t>
  </si>
  <si>
    <t>Realignment of NICE</t>
  </si>
  <si>
    <t>Institutional Support for Trade and Expositions (ISTE)</t>
  </si>
  <si>
    <t>#18M Rufino St., Soriano Village Phase 1, BH Homes, Paranaque City/ Unit 2215 Medical Plaza Ortigas Bldg., San Miguel Avenue, Ortigas Center, Brgy. San Antonio, Pasig City</t>
  </si>
  <si>
    <t xml:space="preserve">The KCH R&amp;D Corp. is a company that is 60% Filipino-owned, established in
2018; it is chaired by Mr. Nam Chang Ho and currently has seven (7) workers.
The technology "Hydrogen Fuel System (HFS)" was filed at the Intellectual Property Office of the Philippines with 
Registration No.: 2-2018 050367 and a device that is attached to a vehicle compartment that serves as
both generator and converter for hydrogen to power up and accelerate automotive, cargo, etc., and its objective is to
increase the company's job creation by 80% and introduce a technology that uses hydrogen as an alternative energy source and its applications
combining characteristics to gain an anti-air pollution effect.
</t>
  </si>
  <si>
    <t>PMCQ+FFF, 1, Echague, Isabela</t>
  </si>
  <si>
    <t>1400 Brush Row Rd, Wilberforce OH 45384</t>
  </si>
  <si>
    <t>Agro-chemical Manufacturing</t>
  </si>
  <si>
    <t>L.H. Invention was founded in 2021 by Mr. Lyle Christian Herbosa, a Filipino inventor. The company’s registered business is located at 326 Masili, Calamba, Laguna. The present invention relates to the preparation of Calcium
Hydroxide and Clinoptilolite in H2O base (liquid form) and its use as a potent mosquito larvicide. Mosquito larvicide comprising of Calcium Hydroxide and Clinoptilolite in H2O base (liquid form) aims to devise a suitable means of applying the mixture to locations which serve as larvae traps, and thus as an effective mosquito vector control.</t>
  </si>
  <si>
    <t>DOST-TAPI offers programs of assistance for non-inventor innovators. 
By mounting the Call for Proposals for DOST-TAPI’s technopreneurship programs, ACU-n
seeks to achieve three goals: (1) to establish awareness of DOST-TAPI’s non-inventor
programs; (2) to educate DOST-TAPI’s audience of the requirements for DOST-TAPI’s
non-inventor programs via call conferences, and; (3) to generate proposals for DOST-TAPI’s
non-inventor programs.</t>
  </si>
  <si>
    <t>2022-39</t>
  </si>
  <si>
    <t>Changes on the Budgetary Requirement for the DOST-Stakeholder' Forum and Caravan: Bringing S&amp;T Closer to the People ("Lakbay Teknolohiya para kay Juan at Juana")</t>
  </si>
  <si>
    <t xml:space="preserve">The project aims to enchance institutional awareness on STI through the conduct of the stakeholder's forum and technology caravanin the Visayas regions (VI, VII, VIII).In ther era of pandemic, the ILO op-ed pitched the "Better Normal," while the World Economic Forum's proposition was " The Great reset". How DOST would communicate its programs that will be good enough to change perception, and eventually translate to improved quality of life for the Filipinos' is set against the backdrop of these two pandemic- coined concepts and aspirations - the "the great reset for the better normal.'  </t>
  </si>
  <si>
    <t>2022-40</t>
  </si>
  <si>
    <t>PROGRAM TRANSFER</t>
  </si>
  <si>
    <t>Downloading of YET Program to the DOST-ROs</t>
  </si>
  <si>
    <t>Yet Program aims to develop the entrepreneurial competencies among the youth by providing financial assistance to college students in selected academic institutions and young professionals with research projects viable for commercialization; The YET porgram supports income- generating projects with technological innovation, market potential, and technical viability when commercialized.</t>
  </si>
  <si>
    <t>2022-41</t>
  </si>
  <si>
    <t>TERMINATION OF PROGRAM</t>
  </si>
  <si>
    <t>Termination of the Venture Financing Program (VFP) for Start-up and Technology-Based Projects</t>
  </si>
  <si>
    <t xml:space="preserve">The VFP program both aim to accelerate the commercialization of innovative technologies or inventions by providing the necessary funding support to IP rights owner/ Assignee or technology-based start-up projects. </t>
  </si>
  <si>
    <t>2022-42</t>
  </si>
  <si>
    <t>Approval of the Proposed Load Reimbursement of DOST-TAPI's Permanent Employees</t>
  </si>
  <si>
    <t>Excutive Order No.128, The Technology Application and Promotion Institute (TAPI). headed by a Director who has the sole authority/discretion in project and policy apporvals, was creates and mandated as the implenting arm of the Department of Science and Technology (DOST) in promotinf the commercialization of technologies and marketing the services of other operating units and agencies of  ther Department.</t>
  </si>
  <si>
    <t>2022-43</t>
  </si>
  <si>
    <t>Modification of the LIB of the Automushcab Project Under the Concept Prototyping Project</t>
  </si>
  <si>
    <t xml:space="preserve">    In 18 March 2022, the pre-commercialization specialists and Ms. Merlina F, Cortes-Acero condecuted a monitoring visit and tagging of equipment/device  at the residence of Mr. Diaz in Baras, Rizal where the Automushcab is located. Mr. Diaz confirmed that the machine is already working. However, Mr. Diaz explained that he still making some improvements in the machine like putting curtains inside the cabinet to improve moisture inside, etc.</t>
  </si>
  <si>
    <t>2022-44</t>
  </si>
  <si>
    <t>DEFERMENT</t>
  </si>
  <si>
    <t xml:space="preserve">Approval of Deferment of  2nd Phase of  PO Financing of Mica By the Sea Company </t>
  </si>
  <si>
    <t>April 2021, the financial assistance granted to MTBC by the DOST-TAPI through the Purchase Order Financing facility of its Venture Financing Program has been fully paid on time without the proponent requesting a deferment or restructing of the said assistance. 28 October 2021, DOST-TAPI apporved MBTSC's request for financial assistance amounting to P4,512,920.00 with two (2) months garce period and three (3) months refund period under the PO Financing faciliy of the Venture Financing Program. The company refunded P3,008,612.00 leaving MBTSC an outstanding balance of P1,504,308.00.</t>
  </si>
  <si>
    <t>John N' Mico Food Products #400 San Miguel, Mexico, Pampanga</t>
  </si>
  <si>
    <t>The objective of this project is to augment the purchasing funds for raw materials and be able to serve the purchase orders within the timeframe of John N' Mico.
The company is a beneficiary of the DOST'S MPEX Program in CY 2012 and was established in 2003. Last 2012 John N' Mico was provided financial assistance by TAPI amounting to P594,944.</t>
  </si>
  <si>
    <t>La Paz Prime Foods Corporation, Cataguig Road, Brgy. Rizal, La Paz, Tarlac</t>
  </si>
  <si>
    <t>To objectives for this project is to sustain the required raw materials for the production of processed meat products, o serve the existing purchase orders from Joe Kuan Food Corporation Warehouse for the production of a total of 20,250 packs of chorizo for delivery on August (10,125 packs) and September 2022 (10,125 packs) amounting to ₱1,761,750.00; To build external linkages and maintain company credibility; and To realize gross income amounting to ₱324,609.71 upon delivery of the PO.</t>
  </si>
  <si>
    <t>2022-47</t>
  </si>
  <si>
    <t>CANCELLATION</t>
  </si>
  <si>
    <t>Termination of ACU-n's Communication Plan for TECHNICOM Program</t>
  </si>
  <si>
    <t>NOT APPLICABLE</t>
  </si>
  <si>
    <t>2022-48</t>
  </si>
  <si>
    <t>PRIVATE</t>
  </si>
  <si>
    <t>Cancellation of DOST-TAPI Resolution 2022-46</t>
  </si>
  <si>
    <t>2022-49</t>
  </si>
  <si>
    <t>DOST-TAPI Resolution 2022-46</t>
  </si>
  <si>
    <t>2022-50</t>
  </si>
  <si>
    <t>The invent School Program (ISP) of the Invention Development Division (IDD), which leads the conduct of seminar-workshops in private and public schools in coorperation with inventors' groups, LGUs, and NGO, to stimulate students' interest in creativity and inventiveness and create awareness on Intellectual Property Rights (IPR) and Protectiom, has crafted a proposal for a special project entitled, "Support for the Development of Online Learning Platform for Health innovations through DOST-TAPI's Invent Shool Program Featuring Health Innovations" which aims to establish a partnership between DOST-TAPI and DOST-PCHRD on increasing public awareness on health innovations through the Program.</t>
  </si>
  <si>
    <t>2022-51</t>
  </si>
  <si>
    <t>Termination of the Project "Commercialization of Grooved Perforated Carburator Nozzle" under IBED 2</t>
  </si>
  <si>
    <t xml:space="preserve">Rommel Bernardo </t>
  </si>
  <si>
    <t>Smartcarb Enterprise, 174 E. Dela Paz St., San Roque, Marikina City</t>
  </si>
  <si>
    <t>NOT-APPLICABLE</t>
  </si>
  <si>
    <t>IBED 2</t>
  </si>
  <si>
    <t>Government Center, Palo, Candahug, Leyte</t>
  </si>
  <si>
    <t>VIII</t>
  </si>
  <si>
    <t>The aim of the events is to promote DOST products, services, innovations and technologies that can help boost the MSMEs sector.</t>
  </si>
  <si>
    <t>2022-52-A</t>
  </si>
  <si>
    <t>GUIDELINES</t>
  </si>
  <si>
    <t>MAP Guidelines</t>
  </si>
  <si>
    <t>MAP was created by virtue of DOST-TAPI being the implementing arm of the
Department of Science and Technology (DOST) in promoting the commercialization of
technologies per Executive Order No. 128.
The MAP covers financial and technical assistance to 
implement marketing activities that will asisst in the
commercialization of locally developed technologies.</t>
  </si>
  <si>
    <t>PO Financing Assistance to SETUP assisted Kalinga Blend Roasted Ground Coffee Production"</t>
  </si>
  <si>
    <t>Golden Berries Hotel and Convention Center, San Juan, Tabuk City, Kalinga</t>
  </si>
  <si>
    <t>The project aims to continue the marketability of the products through the competitiveness of Kalinga Blend coffeeTo sustain the quality of ground coffee through the acquisition of grade A coffee beans,To provide safe and quality food products in conformity with food safety standards vis-a-vis FDA regulatory provisions through appropriate packaging and labeling materials;to increase the annual volume of production by at least 25%;To increase gross sales by at least 25% every year, To continue the coffee industry's competitive development and advocacy for Kalinga and/or Cordilleran coffee products.</t>
  </si>
  <si>
    <t>Zone 1A, Crossing Iponan, Cagayan de Oro City</t>
  </si>
  <si>
    <t>X</t>
  </si>
  <si>
    <t>The project's main objective is to create a working prototype of a grid-tied back-to-back VSC that interfaces three(3) phase electrical machines to the single-phase grid. The projects aims to Model,design and stimulate the proposed back-to-back VSC with three (3) phase Squirrel Cage  Induction Machine (SCIM) including the design of grid filter; Tuning and discretization of the controllers; design of power module and signal adaption board to interfadce sensors with the micro-controller; Programming of the microcontroller; and testing of the prototype.</t>
  </si>
  <si>
    <t>No. 9m Jamaica St., Forrest Hills Subd., Sta. Monica, Novaliches, Quezon City</t>
  </si>
  <si>
    <t>Mr.Cruz request for financial assistance of Fabrication of a Commercial Prototype of the 
UM for "An Improved Roofing Tile" which is distinctively different from his previous UM 
"A Roofing Tile" of the same technology he submitted for IBID Assistance.
The committe recommended to apply his technology first to Concept Prototyping Assistance Program
cosidering the absence of his prototype but has been recommended a financial assistance by 
the IATEC of P199,721.60.</t>
  </si>
  <si>
    <t>Request for the inclusion in the agenda of DOST-TAPI EXECOM the approval of DOST IV-A’s project proposal for the DOST Stakeholders’ Forum and Caravan: "Bringing S&amp;T Closer to the People: Lakbay Teknolohiya para kay Juan at Juana" to provide institutional awareness through the conduct of the stakeholders’ forum and technology caravan, to showcase DOST-generated technologies and its network including their available services and programs that may be beneficial to SMEs and industrial companies, and Conduct a stakeholders’ forum that will help publish a Philippine agenda on technology transfer and commercialization that will identify the priority areas and gaps which can be used as a basis for interventions.</t>
  </si>
  <si>
    <t>Purok 6-Guava, Lanao, Kidapawan City, North Cotabato</t>
  </si>
  <si>
    <t>XII</t>
  </si>
  <si>
    <t xml:space="preserve">The projects aims to introduce robotics/ automation in agriculture to students and for possible adaption of the technology by communities. </t>
  </si>
  <si>
    <t>The coverage of the said event through social media posts, press releases, and Audio-Visual Presentation (AVP) production will bring greater awareness about DOST-TAPI and its accomplishments, to promote DOST-TAPI’s Technopreneurship Programs catering to MSMEs, to increase the submission of proposals under the Tatak PINOYpreneur Campaign, and to forge linkages with PSTC-Bohol and LGU, among others.</t>
  </si>
  <si>
    <t>GD Uy Fang Bldg., Sanciangko St., Cebu City</t>
  </si>
  <si>
    <t>VII</t>
  </si>
  <si>
    <t>The DOST-SETUP has provided a Water Purification and
Filtration System for the company, the quality of the filtered water is below the standard
requirement especially during the rainy season.</t>
  </si>
  <si>
    <t>2022-60</t>
  </si>
  <si>
    <t>Termination of Project " Commercialization of Herbal Massage Oil" under IBED II</t>
  </si>
  <si>
    <t>Roberto D. Osido</t>
  </si>
  <si>
    <t>Bagong Silang Street, Parang, Marikina</t>
  </si>
  <si>
    <t>BSU Compound, KM. 6, La Trinidad, Benguet</t>
  </si>
  <si>
    <t>The 2022 Hybrid NSTW celebration in CAR aims to strengthen the engagement of the public to science and technology; create science awareness among the public; promote new and appropriate technologies developed in the region; and promote S&amp;T services in the region; Promote existing DOST programs and services in the region through the conduct of training and stakeholders’ forums; Increase awareness of the public on the generated technologies and its networking including their available services and programs which may be beneficial to MSMEs and industrial companies; and Provide a venue for the scientists, researchers, investors and communicators to meet and exchange ideas on the current S&amp;T developments and technological needs of the industries.</t>
  </si>
  <si>
    <t xml:space="preserve">Rizal Inventors and Innovators Society, Inc. (RIISI) </t>
  </si>
  <si>
    <t>The project aims to provide awareness of the benefits of an inventor based on RA No. 7459, to provide awareness of the privileges and benefits of DOST-TAPI accredited inventor organizations, and to develop strategies, procedures, and mechanisms to operationalize them. Identify and prioritize areas of cooperation and support for accredited inventors' organizations. to develop a specific proposal for TAPI's assistance for CY 2022–2023. Educate the inventor organizations about their benefits and assistance provided by different government agencies. Provide awareness of other inventor-related programs of assistance from other government agencies like IPOPHL and DTI.</t>
  </si>
  <si>
    <t xml:space="preserve">This pertains to the previously approved budget for the Milestone Activity on the Signing of the Deed of Conveyance for the account of JZ Jewelry Repair Shop in Bohol amounting to ₱219,320.00. The scope of this budget includes the airfare of five (5) DOST-TAPI personnel budgeted at ₱7,200.00 per pax. However, during our market scan, we determined that we would need a budget of ₱15,978.00 per pax. </t>
  </si>
  <si>
    <t>Capiz State University (CSU)</t>
  </si>
  <si>
    <t>The projects aims to develop the market viability of the biomass-fired fish dryer; Increase the capacity of the dryer from 20 kilograms; improve drying system efficienct to &gt;50%; Conduct comparative analysis on the quality of dried fish output from the dryer and that of the sun-dying method in terms of moisture content and microbal load/content; Establish the market potential  of the technology; and Conduct a market study</t>
  </si>
  <si>
    <t>Purok 3, Brgy. Bulao San Jorge, Samar</t>
  </si>
  <si>
    <t>The project aims to develop a suman molder that can be used to produce the product more than the conventional way, uniform in shape, and most importantly minimize food contamination due to less, if not eliminate direct contact or use of hands.</t>
  </si>
  <si>
    <t>214 A Pearl St., cor. Emerald St., Brgy. Dolores, Palmera 2, Taytay, Rizal</t>
  </si>
  <si>
    <t>Mr. Camacho is resquesting testing assistance of his technology to undergo weight load and meterial tests at the Metal Industry Research and Development Center (DOST-MIRDC); the project proposal complied with the requirements of the Program's first satge coverage, and the test requested will contribute to the pre-commercialization of the product.</t>
  </si>
  <si>
    <t>58-60 Plaridel St., Cebu City and 694 Lower Calajoan, Minglanilla, Cebu</t>
  </si>
  <si>
    <t>Esteems Industries Incorporated started its operation in 2005 offering a variety of bread products that are produced massively. The Technology Licensing Agreement was executed on 18 December 2020 with effectivity for a period of 5 years from the date of signing. Hence, the agreement shall remain valid until 18 December 2025 and the project will sustain the required raw materials for the production of Nutribun, serve the existing purchase order from Bright Stars Industry Inc. for the production of 132,462 packs of Nutribun for the months of October and November 2022 for DSWD Region VIII for a total of 264,924 packs, build external linkages and maintain company credibility, and realize gross income amounting to ₱4,106,322.00 upon delivery of the P.Os.</t>
  </si>
  <si>
    <t>65 Lawa, Obando, Bulacan</t>
  </si>
  <si>
    <t>The project aims provide clean, chaep and continuous electricy from the ocean by using saltwater. Embodiments of the Saltpanel technology generally relate to triboelectric nanogenerators and charge-trapping generators with a construck for harvesting mechanical energy and electrokinetic energy.
The triboelectric nanogenerator includes a first component and the second component in contact with the first component to generate triboelec charges, and the charge-trapping generator includes a charge-trapping layer, a semiconducting layer, and an electrode.</t>
  </si>
  <si>
    <t>Lot 7B, Blk. 2, Lexberville, Balacbac Rd., Sto. Tomas Proper, Baguio City.</t>
  </si>
  <si>
    <t>Mr. Raul C. Mabitazan is requesting financial assistance for the fabrication of one (1) working prototype of a meat tenderizer machine.
The project aims to develop a meat tenderizing machine that not only utilizes automated mechanical pounding in tenderizing a meat but also added the marinating features in the process, and the proposed machine presents another  option for tenderizing meat, and this will utilize an automated mechanical pnuematic pounding system.</t>
  </si>
  <si>
    <t>Project aims to develop a hydroponic bucket with basket carriers that could extend the shelf life or freshness of vegetables being sold to consumers. The days when vegetables are being bought in the markets or supermarket using plastic or paper bag which can only be kept for two to three days will no longer be practical. Hydroponics Bucket frame is made of light weight metal, such as aluminum alloy frame which makes the carrier sturdy and durable,  and the bucket/s adopts an opaque material, which can effectively prevent the light from penetrating, thereby reducing the growth of algae in the nutrient solution.</t>
  </si>
  <si>
    <t>229 Barangay Lourdes, Tarlac City, Tarlac</t>
  </si>
  <si>
    <t>With the high demand for bicycles as a transportation option, along with the high rise in the number of accidents related to the use of bicycles On the road, this project, which is a biker safety vest, aims to provide the same protection.that the turn signals and hazard lights of motorcycles and cars give to their riders and passengers which is their visibility on the road primarily through their hazard lights, along with the predictability of their intended directions through the use of the turn signals.</t>
  </si>
  <si>
    <t>2022-72</t>
  </si>
  <si>
    <t>FAD</t>
  </si>
  <si>
    <t>3-Day In-house Training on Basic Records and Archives Management</t>
  </si>
  <si>
    <t>Training on basic records and archives management provides the participants with knowledge and skills, as well as the correct attitude towards a systematic and economical records management activity in the agency. It also provides participants with technical know-how necessary for the effective and efficient performance of their duties and responsibilities as records and document custodians, clerks, and secretaries.                                                                                                                                    Proper records and archives management promotes organizational efficiency. Every organization deals with enormous amount of records. It is essential that those responsible for the custody of any type of records become familiar with the requirements and processes of record and archive management.</t>
  </si>
  <si>
    <t>Liwanag, Odiongan, Romblon</t>
  </si>
  <si>
    <t>IVB</t>
  </si>
  <si>
    <t>The general objective of the project is to imbibe the culture of technopreneurship among students through the commercialization of students' research; Produce student desks with bamboo-laminated tabletops to be sold to other schools and HEI's in the province or in ther region; Involve students in production as valuated workforce for them to appreciate the value of hard-earned money as well as provide an appreciation of how an enterprise is run profitably; and Provide a workplace for encouraging inventiveness and creativity of students while at the same time serving as a labaratory for the course works.</t>
  </si>
  <si>
    <t>DMMSU-MLU Campus, San Fernando, La Union</t>
  </si>
  <si>
    <t>I</t>
  </si>
  <si>
    <t>The projects aims to institutionalize awareness through the conduct of the stakeholder's forum and technology caravan, which ties up with regional offices that may include previous initiatives and activities for the "new" or "better" normal.</t>
  </si>
  <si>
    <t xml:space="preserve">The Departrnent of Science and Technology Region 1 (DOST-1 ) conducted the 2022 National Science and Technology last November 9-11,2022 and the celebration is presented through blended (limited face-to-face and virtual) activities to comply to current community quarantine protocols.                                                                                                                                                                                                                                                                                                                                                             It increase awareness, understanding and appreciation of STI to strengthen STI culture in all sectors in Region 1.
the program promote DOST-TAPI programs and services, promote technologies that are funded and generated by the DOST system and the regional scientific communities provided a venue for scientists, researchers/inventors, investors, and communicators to meet and exchange ideas on the current S&amp;T developments and technological needs of the industry, increase awareness and appreciation among the public for Science and Technology programs and projects through the conduct of trainings, seminars, and educational activities.                                                                                                                                                                                                                                                                                                                                                                                                              </t>
  </si>
  <si>
    <t>The Invent Scool Program (ISP) with its recent development involves the conduct of a half-day seminar workshop.
in private and public elementary, secondary, and tertiary level schools with the objective of conducting a seminar-workshop for elementary pupils Under Grades 4-6, students in the second Congressional District of Pangasinan should come up with creative outputs, use the steps for inventing or innovating ideas, and appreciate the importance of inventions and innovations.</t>
  </si>
  <si>
    <t>2022-77</t>
  </si>
  <si>
    <t>Promotion of DOST Technologies and Services and DOST-VII's Programs and Projects in the Celebration of the 2022 NSTW in Central Visayas</t>
  </si>
  <si>
    <t>Robinson's Galleria,Cebu City</t>
  </si>
  <si>
    <t>The regional office of Central Visayas aims to converge and unite with the other DOST attached agencies such as PAGASA, PHILVOCS, PSHS, STII, SEI and TAPI. The showcase will not only encourage more people to apply for DOST's assistance but will also promote the capability and services of the agencies. The region's focus is to promote the benefits that can be adopted by applying science and technology to micro-to-medium business operations and disaster mitigation.</t>
  </si>
  <si>
    <t>NSTW</t>
  </si>
  <si>
    <t>Valencia, Bukidnon</t>
  </si>
  <si>
    <t>Lapitan Compound, Kanluran St., Bayog, Los. Banos, Laguna</t>
  </si>
  <si>
    <t>Block 5, Lot 4, VS Homes, San Isidro, General Santos City</t>
  </si>
  <si>
    <t>To develop a compact furniture that can be used by residents living in condomium and
other types of residential abode that have limited square footage.</t>
  </si>
  <si>
    <t>Conception St., ABA Homes Subdivision, Brgy Dalig, Antipolo, Rizal</t>
  </si>
  <si>
    <t>To deliver 200 watts of energy in less than 24 hours, or a basic requirement to a normal household that will be enough to light LEDs or use minimal load appliances; to make a standalone plug-and-play wind turbine setup that would enable users to fully install a wind turbine with ease, and, to apply for a utility patent for its blade profile and collapsible blade capability for high-speed wind conditions.</t>
  </si>
  <si>
    <t>Samar State University (SSU), Arteche Blvd., Brgy. Guindapunan, Catbalogan City,Samar</t>
  </si>
  <si>
    <t xml:space="preserve">The r&amp;d undertaking aims to maximize the full agricultural potential of Samar Island, thereby attaining agricultural sustainability which at the end can revitalize economic productivity, reduce poverty incidence relative to the agricultural sector in the locality, the region, and that of the nation in general.
</t>
  </si>
  <si>
    <t>2022-83</t>
  </si>
  <si>
    <t>The project aims to promote DOST and its major programs and projects; Promote DOST S&amp;T Initiatives and programs such as SETUP, CEST, Consultancy and Training, Scholarships and Consortia, STARBOOKS, RSTL, and DRRM to different sectors in Region X, especially in the countryside; Conduct a gender-responsive forum on, but not limited to, Talent Retention and Science Education; Digital Technology, Information, and Communication; Business and Trade; Environment and Climate Change; Space Exploration; and others that are deemed necessary to the people of Nothern Mindanao.</t>
  </si>
  <si>
    <t xml:space="preserve">FIS, Inc. </t>
  </si>
  <si>
    <t>The objective of the project is to promote science, technology, inventions, innovations,
and protection and commercialization of intellectual properties nationwide. Promote science, technology, inventions, and innovations through the conduct of webinars for identified topics; Showcase the different inventions, research outputs, technologies and innovations submitted as entries for the different categories.To nurture inventive talents of each and every individual to foresee the actual approach towards product creation; To highlight the indispensability of people-oriented, environment-friendly and world-class inventions as tools for progress and sustainable development;
 To provide an avenue for invention development in terms of capability building of inventors through concretized government support.</t>
  </si>
  <si>
    <t>No. 50 Happy Homes, Old Lucban, Baguio City</t>
  </si>
  <si>
    <t>In the farmers field, the use of insecticides, fungicides and herbicides are commonly used to control the soil-borne insects, pests and diseases and weeds before and after planting their crops. These harmful substances will remain in the farmers' field and it is very hazardous to human health and animals as well. The invention or device controls soil-borne insects, pets, diseases and weed control using flamethrowers thus eliminating the use of these chemicals.</t>
  </si>
  <si>
    <t>B21 IA Apo Highlands Subd., Grande, Davao City, Davao Del Sur</t>
  </si>
  <si>
    <t>An Investor's Forum was conducted last 13 October 2022, to determine the technical viability of the concept for the request of Ms. Cadiz for financial assistance for the fabrication of one (1) lot prototype of a"Sugar-Free Turmeric Health Lozenges".                                                                                      Lozenges are solid dosage forms that are intended to be dissolved or disintegrated slowly in the mouth. This production will be a Sugar Free Turmeric Health Lozenges, a healthy form of turmeric lozenges that give a lot of health benefits to give a lot of health benefits to the customers. This lozenges will also be a good replacement for the present sugary herbal/turmeric flavored candy sold in the market. </t>
  </si>
  <si>
    <t>Request for financial assistance under the Concept Prototyping Program for the lozenges product, which uses natural zeolite adsorbents that are mined, crushed, milled, sieved, washed, and dried to achieve various granular sizes depending on their commercial application, with the goal of concept prototyping to produce adsorbents from naturally occurring zeolites minerals using a dry pulverization process, but with an additional sodium chloride preconditioning.</t>
  </si>
  <si>
    <t>2022-89</t>
  </si>
  <si>
    <t>214 A Pearl St., cor. Emerald St., Brgy. Dolores, Palmera 2, Taytay Rizal</t>
  </si>
  <si>
    <t>UTILIZATION OF LIB</t>
  </si>
  <si>
    <t>Adaptive Fodable Crutches (2-2017-001074)</t>
  </si>
  <si>
    <t>DOST-TAPI Executive Committee resolved to approve the provision of additional financial assistance for the testing assistance of the project under the Invention Testing and Laboratory Analyses Assistance Program. The subject technology is quick-fold underarm crutches that can be collapsed with a push button, are lightweight, all-aluminum, and easy to carry. DOST-MIRDC recommended additional funding of Five Thousand Pesos (Php5,000.00) to cover the necessary machining services which were inadvertently missed in the first quotation.</t>
  </si>
  <si>
    <t>KM6 La Trinidad, Benguet, FISCAR</t>
  </si>
  <si>
    <t>The design of the machine is intended to provide rice farmers with portable and easily manageable grain dryers; rice farmers can dry their harversted crops easier and less costly. Options t dry on-farm or in-house would also be possible. Morerver, if effective grain drying is achieved, farmers will have additional income, and have an oppotunity to produce good quality paddy.</t>
  </si>
  <si>
    <t>Lot 10, Block 6, Maligaya Village, Lawa, Calamba</t>
  </si>
  <si>
    <t>Create a modified knitting machince that can be suitable for knitting high quality, strong fiber from abaca and pineapple fibers.The proposed prototype is an improved conversion from manual to mechanical device which is faster, efficient and cheaper comprade with imported one.</t>
  </si>
  <si>
    <t>Institute of Agricultural and Biosystems Engineering, Don Mariano Marcos Memorial State University, Sapilang, Bacnotan, La Union</t>
  </si>
  <si>
    <t>The subject of this proposal for TAPI assistance is to fabricate a prototype for multi-crop threshing function, lighter in weight (maximum of 30 kilograms) and incorporating ergonomics features for users' comfort and safety.</t>
  </si>
  <si>
    <t>Camarines Sur Polytechnic Colleges (CSPC) of Nabua, Camarines Sir</t>
  </si>
  <si>
    <t>2022-94</t>
  </si>
  <si>
    <t>Modification of LIB for the project Development of 3-Phase to Single Back-to-Back Voltage Source Power Converter Prototype for Squirrel Cage Induction Machine Drive and Grid Integration</t>
  </si>
  <si>
    <t>Mr. Leo Marcelo Villalba</t>
  </si>
  <si>
    <t>261-A Jacinto Street, Brgy. Ipil-ipil, Catarman, Northern Samar</t>
  </si>
  <si>
    <t>To provide financial assistance under Invention-Based Enterprise Development
(IBED-1) Program for the production of “Coloring Chart 2 Type-A and B” with
Registration Number 2019-001151.</t>
  </si>
  <si>
    <t>MAVC, Bolcan Street, Agdao, Davao City</t>
  </si>
  <si>
    <t>Zamboanga City</t>
  </si>
  <si>
    <t>IX</t>
  </si>
  <si>
    <t>Objective of the project are as follows; showcase DOST-generated technologies and its network including their available services and program which may be beneficial to SMEs &amp; industrials companies; Conduct a stakeholders' forum that will help publish a Philippine agenda on technology transfer and commercialization that will identify the priority areas and gaps which can be used as a basis for interventions.</t>
  </si>
  <si>
    <t>2022-98</t>
  </si>
  <si>
    <t>Modification of LIB NIW 2022</t>
  </si>
  <si>
    <t>2022-99</t>
  </si>
  <si>
    <t xml:space="preserve">Modification of LIB NIW 2022 </t>
  </si>
  <si>
    <t>P. del Rosario St., Cebu City / (32)230-0100 loc. 204 / dblargo@usc.edu.ph</t>
  </si>
  <si>
    <t xml:space="preserve"> Banao, Guinobatan, Albay, Region V / 09063919491 </t>
  </si>
  <si>
    <t>ASTI Bldg., CP Garcia Ave., Diliman, Quezon City</t>
  </si>
  <si>
    <t>DOST Bictuan, Taguig City</t>
  </si>
  <si>
    <t>Upgrading Facilities for Bamboo Floorboard Production</t>
  </si>
  <si>
    <t>Edna D. Cabarlo</t>
  </si>
  <si>
    <t>#55 Pershing St., SRF Area, Subic Bay, Free Port Zone, Subic, Zambales</t>
  </si>
  <si>
    <t xml:space="preserve"> NOT APPLICABLE</t>
  </si>
  <si>
    <t>Private</t>
  </si>
  <si>
    <t>Softening of Abaca, Maguey and other Indigenous Fibers</t>
  </si>
  <si>
    <t>Remigio S. Solon</t>
  </si>
  <si>
    <t>Elisa Valley, Lahug, Cebu City</t>
  </si>
  <si>
    <t>N4018 Centennial Road, Clark Free Port Zone, Pampanga</t>
  </si>
  <si>
    <t>Mica by the Sea Company (MBTSC) was established in 1996. MBTSC provides for a niche market in the US, Canada, Australia, etc. The company maintains product quality in order to sustain its existing market by investing in instruments in measuring water activity and histamine levels in their products. MBTSC was granted financial assistance amounting to P2,330,000.00 by the DOST Regional Office No. III through the Small Enterprise Technology Upgrading Program (SETUP) for the improvement of the company’s production capability and capacity through the acquisition of necessary equipment such as cold storage and blast freezer.</t>
  </si>
  <si>
    <t>Purcahse Order Financing for Tropical Citrus Fresh Beverages , Inc</t>
  </si>
  <si>
    <t xml:space="preserve">Alfred T. Briones Jr. </t>
  </si>
  <si>
    <t>018 Calumpit St., Brgy. Sto. Cristo, San Isidro, Nueva Ecija</t>
  </si>
  <si>
    <t>Kiln Dryer for Woodcarving and Sparybooth for Baskets Weaving</t>
  </si>
  <si>
    <t>Ana M. Juco</t>
  </si>
  <si>
    <t>Block 01, Lot 02, Ortigas Avenue Extension Corner Bayanihan Village, Cainta, Rizal</t>
  </si>
  <si>
    <t xml:space="preserve"> Ms. Fransicso J. Diaz                                                                                                                    </t>
  </si>
  <si>
    <t>Latigo Drive Extension Brgy. Evangelista, Baras, Rizal</t>
  </si>
  <si>
    <t>Request for financial assistance under the concept of prototyping to develop one (1) working prototype of the Collapsible Custom Built Modular Automatiic Fruiting Cabinet (AUTOMUSHCAB) with the primary goal to develop a working prototype of a collapsible mushroom cabinet that can easily be assembled, disassembled, and assembled again, not only to mimic the suitable conditions for growing mushrooms in their natural environment but also to ensure that said conditions are always met with the help of moisture and temperature controllers.</t>
  </si>
  <si>
    <t>2021-15</t>
  </si>
  <si>
    <t xml:space="preserve">Ms. Fransicso J. Diaz                                                                                                                                  </t>
  </si>
  <si>
    <t>KM. 15, West Service Road, South Super Highway, Brgy. Sun Valley, Bicutan, Paranaque</t>
  </si>
  <si>
    <t xml:space="preserve">Obtain loan to finance purchase of raw materials for the production of chilled taho; Improve availability of raw materials; Maintain quality of syrup and chilled taho; On time delivery of products; Improve profitability by purchasing bulk orders of raw materials; and Accommodate increasing orders of existing clients and new customers. </t>
  </si>
  <si>
    <t>DOST Agency</t>
  </si>
  <si>
    <t>The Technology Application and Promotion Institute of the Department of Science and Technology (DOST-TAPI) has been promoting the services of DOST and marketing local technologies for commercialization.
Special projects such as DOST 500 and Technology Transfer Day continue to be felt by the project beneficiaries, the DOST Research and Development Institutes (DOST-RDI). </t>
  </si>
  <si>
    <t>2021-20</t>
  </si>
  <si>
    <t>Establishment of 20,000 Bd. Ft. Kiln Dryer</t>
  </si>
  <si>
    <t>Emmanuel P. Padiernos</t>
  </si>
  <si>
    <t>Bo. Mataas na Sampaloc, Salawag, Dasmarinas, Cavite</t>
  </si>
  <si>
    <t>2021-22</t>
  </si>
  <si>
    <t>2021 Regional Invention Contests and Exhibit (RICE) in DOST Region II</t>
  </si>
  <si>
    <t xml:space="preserve">DOST Region II </t>
  </si>
  <si>
    <t>RICE</t>
  </si>
  <si>
    <t>2021-23</t>
  </si>
  <si>
    <t>Cash Awards for 2021 Regional Invetion Contest and Exhibit (RICE)</t>
  </si>
  <si>
    <t>THE DOST-TAPI agenda includes a request for approval of cash awards related to the implementation of the 2021 Virtual Regional Invention Contest and Exhibits (RICE), where the RICE is a nationwide activity that recognizes the indispensability of Filipino inventors in the landscape of national economic development through appropriate platforms. </t>
  </si>
  <si>
    <t>The objective of this Invent SchoolTM is to conduct Invent School Program Webinar Edition for High School Students of Flora National High School in Poblacion East, Flora, Apayao With the Program, the region aimed to inculcate creative thinking and bring about inventiveness enticing the male and female students/pupils to pursue activities leading to creativeness in solving problems by creating awareness and imparting knowledge giving to equal opportunity for both male and female students/pupils to access the Program.</t>
  </si>
  <si>
    <t>At the onset of emerging researches, studies and new ideas, the Technology Application and Promotion Institute (TAPI-DOST) takes the lead in promoting and giving support to the development of future inventors among the youth and With the Program, the region aimed to inculcate creative thinking and bring about inventiveness enticing the male and female students/pupils in the Province of Masbate. This would be the first time to conduct Invent School for Elementary level with DOST-5 in the Province of Masbate and High School level after 8 years.</t>
  </si>
  <si>
    <t>2021-26</t>
  </si>
  <si>
    <t>22,200,00</t>
  </si>
  <si>
    <t>2021 Regional Invention Contest and Exhibits (RICE) in Region VII (Central Visayas)</t>
  </si>
  <si>
    <t>DOST BIcutan, Taguig City</t>
  </si>
  <si>
    <t>The regional contest serves as the qualifying round for the national contest, pursuant to Section 4 of the Republic Act (RA) 7459 also known as the “Inventors and Invention Incentives Act of the Philippines.” The National Invention Contest is a competition open for the both public and private sector inventors and researchers and and to give them a chance to display and present their invention products,</t>
  </si>
  <si>
    <t>To promote DOST 7 programs and projects, technical services and DOST RDI-
developed technologies by highlighting the gains that can be adopted by applying science and technology to micro business operations and to projects of local government units and NGOs. To promote and sustain awareness about DOST's and DOST-7's technical services by the media and the public; To show the advantages that can be gained by applying S &amp; T interventions to the operations of MSMEs and LGU/NGO projects, thus encouraging more clients to avail of DOST's technical assistance; To showcase the major programs and projects of DOST 7, the DOST RDI-developed technologies, partner sectors and industries in the regions to the public and to interested investors.</t>
  </si>
  <si>
    <t xml:space="preserve">Cageo D. Borongoy                                                                                                                    </t>
  </si>
  <si>
    <t>Lot 17 Block 17 Dama De Noche St., Sta Ana , Taytay Rizal</t>
  </si>
  <si>
    <t>Mr. Cageo D. Berongoy is resquesting for testing assistance for his patent pending invention, "An Obtain Aratiles Fruit Juice". Mr. Berongoy plans to eventually market the product and requires tests such as analyses of its nutritional content.</t>
  </si>
  <si>
    <t xml:space="preserve">Jericho V. Castro                                                                                                                            </t>
  </si>
  <si>
    <t>#16 Airforce Road , Zone 4 , South Signal , Village Taguig City</t>
  </si>
  <si>
    <t>The UM, dubbed as "Jerichord", relates to a three-stinged acoustic guitar that could simplify teaching music by chromatic scale and be easy to learn for MAPEH students.</t>
  </si>
  <si>
    <t>DOST, Taguig City</t>
  </si>
  <si>
    <t>The National Exhibitions of Inventions have effectively enhanced the promotion of inventions/innovations and technologies in different exhibits here and abroad.
OPHIR-NIW'S objective is to promote  science, technology, inventions, innovations, and the protection and commercialization of intellectual properties nationwide, and showcase the different inventions,
research outputs, technologies, and innovations submitted as entries for the different categories.</t>
  </si>
  <si>
    <t>2021-31</t>
  </si>
  <si>
    <t>2021Regional Invention Contest and Exhibit (RICE) in CALABARZON</t>
  </si>
  <si>
    <t>To promote and recognize the inventive and innovative work of the
Filipino inventors and researchers in the state colleges and
universities, local RDIs, etc.; To encourage participants to join the five RICE categories; To facilitate selection process to ensure worthy regional winners to be qualified as regional qualifier to NICE in 2022; To promote and enhance creative and inventive efforts in the regions by providing a venue to showcase their creativity, inventiveness, and ingenuity; and To promote the different programs of assistance offered by DOST- TAPI related to invention.</t>
  </si>
  <si>
    <t xml:space="preserve">2021 National Science and Technology Week (NSTW) </t>
  </si>
  <si>
    <t>To increase awareness, understanding and appreciation of STI to strengthen STI culture in all sectors in Region 1; To promote technologies that are funded and generated by the DOST system
and the regional scientific communities, including TAPI’s programs and services.; To provide a venue for scientists, researchers/inventors, investors, and communicators to meet and exchange ideas on the current S&amp;T developments and
technological needs of the industry.;To increase awareness and appreciation of the public for Science and
Technology programs and projects through conduct of trainings, seminars, and
educational activities.</t>
  </si>
  <si>
    <t>The Invent School Program (ISP) with its recent development involves the
conduct of a half-day seminar workshop in private and public Elementary,
Secondary, and Tertiary level schools in cooperation with inventors’ groups,
LGUs and NGOs to stimulate the interest of the students/pupils for creativity
and inventiveness and create awareness on Intellectual Property Rights
(IPR), prototype development and commercialization of inventions. The
program provides an opportunity for students/pupils not only to develop their
creativity and potential but also to awaken their true ingenuity. The Invent
School Program serves as a starting ground for Young Filipino inventors.</t>
  </si>
  <si>
    <t xml:space="preserve">Ivanuel Liguaton                                                                                                                             </t>
  </si>
  <si>
    <t>Lot 78 Block 67 Franc St., Phase 8 North Fairview , Quezon City</t>
  </si>
  <si>
    <t>To have the "Compact Waste Water Treatment Assembly" undergo the ETV test to validate/verify the claims of Mr.Liguaton that treated waste water from his utility model produces water quality effluent that is clean and safe when released in the environment (rivers, lakes, etc.) The utility model is able to perform the process of coalgulation, flocculation and sedimentation that are responsible for the wastewater treatment for the raw water.</t>
  </si>
  <si>
    <t xml:space="preserve">This special segment wil highlight and communicate science and advocate culture inventiveness and ingenuity by featuring stories from the ground as communicated by the citizens. Using Filipino citizens as a vehicle or medium to promote science and DOSTTAPI's programs; </t>
  </si>
  <si>
    <t xml:space="preserve">i-NVENTS's Book: A collection of Real Stories of Real People </t>
  </si>
  <si>
    <t>Through the ACU-i's INVENT PH wil craft a book to collect real stories of real people; with the birth of this book, our inventor's stories of sucess , failures, trials, and so much more will serve as stories of determination, persistence, and discipline, highliting the efforts they exterted to reach their goals and be who they are today.</t>
  </si>
  <si>
    <t xml:space="preserve">Purok Makuguihon, Upper Talay. Dumaguete, Negros Oreintal </t>
  </si>
  <si>
    <t xml:space="preserve">To provide reliable green energy source for the production operationsof chef Tobz RN Cakes and Patries in Dumaguete Cit; To reduce carbon footprints by using sustainable green energy, energy source reliability and increase prodcution capacity of cakes, breads, and pastries. </t>
  </si>
  <si>
    <t>To showcase breakthrough technologies and innovations
thru virtual conduct of events;To attract participation of stakeholders particularly, MSMES, etc. of around 3,000 participants; To promote, increase awareness and appreciation on
DOST programs and services including TAPI</t>
  </si>
  <si>
    <t>The objective of this Invent School is to conduct a series of two (2) seminar-
workshops for Elementary pupils in the Province of Davao Occidental. The Seminar-workshop module for elementary students is designed in order for them to create school-based experiences that will benefit their school with the new ideas, emerging research, cutting-edge tools and innovations.</t>
  </si>
  <si>
    <t>2021-40</t>
  </si>
  <si>
    <t>Technopreneurship Programs Campaign</t>
  </si>
  <si>
    <t>Applied Communications Unit ( ACU-n), TIPD</t>
  </si>
  <si>
    <t>The ACU-n crafted a Technoprenuership Programs Campaign to help Filipino enteprenuers through startups, MSME's, students, or professional organization find government funding to provide capital seed or improve their products and operations through the DOST-TAPI program offerings.</t>
  </si>
  <si>
    <t>2021-41</t>
  </si>
  <si>
    <t>2021 Regional Invention and Contest and Exhibits (RICE) in Region I</t>
  </si>
  <si>
    <t>DOST-I</t>
  </si>
  <si>
    <t>To recognize the ingenuity and resourcefulness of researchers, inventors, and innovators through comprehensive and strategic technical and financial supports for the development and promotion of their inventions/innovations. Encourage more participation in the invention contests by bringing the venue for quality, rounds, pre-screening phase nearer to the inventors/researchers' place:</t>
  </si>
  <si>
    <t xml:space="preserve">Institutional Support for Technology Exposition (ISTE) Program, TIPD DOST TAPI </t>
  </si>
  <si>
    <t>The S&amp;T fair focuses on technology innovation in support to micro, small and medium enteprises (MSME's), the academe and other stakeholders through the conduct of various activities and promote development nationwide.</t>
  </si>
  <si>
    <t xml:space="preserve">2021 Virtual DOST VIII's Regional Science and Technology Fair and Exhibits </t>
  </si>
  <si>
    <t>The Regional Science and Technology Week (RSTW) is the commemoration of the works and development of Science and Technology in the region.Through the conduct of RSTW, DOST VIII’s Products and services will be highlighted and adopted to meet international standards and MSMEs, Communities, and Stakeholders will be recognized in the region.
The (RSTW) is conducted to create awareness to the community, MSMES, LGU, Businessmen, NGO, Academe and all other DOST partners on the implementation of  the Department’s Programs and Services. </t>
  </si>
  <si>
    <t>The general objective of this proposal is to provide support to DOST- TAPI in the implementation of the 2021 Regional Invention Contest and Exhibit in Region 10.                                                                                                     Specifically, this proposal aims to assist DOST-TAPI in the promotion of the 2021 Regional Invention Contest and Exhibits (RICE) virtual event in Region 10, Conduct promotional activities to encourage participation in the invention contest and exhibit through collaboration with DOST-TAPI, and aAssist DOST-TAPI and/or the contestant with all necessary requirements for the smooth implementation of the invention contest and exhibit in Region 10.</t>
  </si>
  <si>
    <t>The general objective of this project is to assist the DOST-TAPI in conducting
the 2021 RICE in Western Visayas to showcase and recognize the ingenuity of
the Ilonggos through a form of virtual contests and exhibits. Specifically, this
event aims to:</t>
  </si>
  <si>
    <t>The proposal aims to encourage inventors and researchers, especially women,  the youth and even marginalized sectors to showcase their incentive and creative capabilities through an innovation competition with cash incentives and awards; showcase responsive and creative inventions/solutions in different fields, such as engineering, agriculture and health; and helps promote a culture of research and innovation in the region.</t>
  </si>
  <si>
    <t>2021-45</t>
  </si>
  <si>
    <t>Lactation Room</t>
  </si>
  <si>
    <t>DOST-TAPI GAD-TWG</t>
  </si>
  <si>
    <t xml:space="preserve">To promote breastfeeding to all lactating mothers.; To provide a private space for nursing mothers with a comfortable and relaxing environment to pump breast milk and serve as milk depository until such time that they are out from work. </t>
  </si>
  <si>
    <t xml:space="preserve">Ambrocio Kerwin A. Perez                                                                                                             </t>
  </si>
  <si>
    <t>358A G. Amo Rd., Brgy. Taysan San Jose Batangas</t>
  </si>
  <si>
    <t>The main purpose of the technology is to address the perishability of cooked
balut in a shell. The commercial product prototype intended for pilot production
and market testing under this proposal and to provide financial assistance for the pre-commercialization of "A Method of Producing Cooked Fertilized Egg in Shell with Commercially Acceptable Shell-life" .</t>
  </si>
  <si>
    <t xml:space="preserve">IBED </t>
  </si>
  <si>
    <t>The objective of the Invent School is to concduct Invent School Program webinar Edition for Davao de Oro Senior High Schools STEM Program Students held in 11-12 November 2021</t>
  </si>
  <si>
    <t xml:space="preserve">ISP </t>
  </si>
  <si>
    <t>Block 02, Lot 09, New Guinea St., Annex 25, Betterliving Subd., Paranaque City</t>
  </si>
  <si>
    <t xml:space="preserve"> To cater to the current demand of products to cater hospital orders in
compliance to DOH's order to increase the current bed capacity to at least 30% in treating the patients and combat the spread of COVID19 infection; To facilitate production of 435 Units of mechanical hospital beds to serve the
purchase order/contract Department of Health-Center for Health Development (DOH-CHD Region 1); To provide working capital to ensure liquidity and on-time completion of project,
To generate additional employment; To realize Gross Sales valued at P8,700,000.00; and
To generate Gross income valued at P1,887.386.90 upon completion/delivery
of the purchase orders.</t>
  </si>
  <si>
    <t>RICE is a nationwide activity that recognizes the indispensability of Filipino inventors and a contest gives encouragement to inventors to showcase their inventive capability through a form of competition for cash incentives, awards, and bragging rights and the objectives of this project are to promote and recognize the inventive and innovative work of Filipino inventors and researchers in state colleges and universities, local RDIs, etc., encourage participants to join the five RICE categories, provide an intense selection process to ensure worthy regional winners to be qualified as regional qualifiers for NICE in 2022, promote and enhance creative and inventive efforts in the regions by providing a venue to showcase their creativity, inventiveness, and ingenuity, and promote the different programs of assistance offered by DOST- TAPI related to invention.</t>
  </si>
  <si>
    <t>N4018 Centennial Road, Clark Freeport Zone, Pampanga</t>
  </si>
  <si>
    <t>To facilitate production of 2,900 cases of processed products such as: dried
tawilis, dried tunsoy, dried galunggong, dried danggit, dried squid, dried bisugo,
dried hasahasa, smoked galunggong, smoked tawilis, and smoked hasahasa
in different sizes to serve the purchase order of Foremost Foods International
Inc.; To provide working capital to ensure liquidity and on-time completion of project; To generate at least 15-20 new employment and sustain current manpower; To realize Gross Sales valued at USD210,400.00 or P10,668,332.00; and To generate Gross Income and Net Income valued at P4,302,448.00 and
P1,270,763.05 respectively upon completion/delivery of the purchase order.</t>
  </si>
  <si>
    <t xml:space="preserve">Jeremy C. De Leon                                                                                                                       </t>
  </si>
  <si>
    <t>B58 L1 Palma Corner Dela Cruz St. Town and Country West, Molino 3 , Bacoor Cavite</t>
  </si>
  <si>
    <t>To provide financial assistance for the pre-commercialization of "Keychain Microscope"</t>
  </si>
  <si>
    <t xml:space="preserve">Dr. VIvian A. Topor                                                                                                                     </t>
  </si>
  <si>
    <t>Lot 5 Block 2, Landheights 6, Brgy. Guzman - Jesena Mandurriao , Iloilo City</t>
  </si>
  <si>
    <t>To provide financial assistance for the pre-commercialization of "PHILGARI, A READY-TO-EAT GRANULATED CASSAVA"</t>
  </si>
  <si>
    <t>Daayata Compound, District 1, Canitoan, Cagayan De Oro City</t>
  </si>
  <si>
    <t>Commercialization of DOST and USTP-NMFIC developed Ready-to-eat Nutritious Packed Food in the region.</t>
  </si>
  <si>
    <t>The project generally aims to raise awareness, understanding, and appreciation of
various DOST-PTRI technologies, R&amp;D projects, and corresponding testing services through a virtual exhibit. To promote the use and importance of various Philippine natural textiles, latest technologies for various applications in a school setting; To exhibit a modern classroom responsive to post-pandemic needs of the
end-users such as students, teachers, and engineers; and To engage and provide a venue for more natural textile stakeholders and textile enthusiasts to appreciate the latest R&amp;D programs and textile services offered by
the Institute.;To promote DOST-TAPI programs of assistance offered to students and aspiring inventors</t>
  </si>
  <si>
    <t>To promote and recognize the inventive and innovative work of the Filipino
inventors and researchers in the state colleges and universities as well as
secondary schools in CAR; To encourage participants in all of the five contested activities; To provide an intense selection process to ensure worthy regional winners
to be qualified as regional qualifier to NICE in 2022; To promote and enhance creative and inventive efforts in the regions by
providing a venue to showcase their creativity, inventiveness, and
ingenuity; To instill among the youth their research capabilities and be part of the
science and innovation culture in CAR</t>
  </si>
  <si>
    <t>The Regional Invention Contest and Exhibits (RICE) is a
nationwide activity that recognizes the indispensability of Filipino
inventors in the landscape of national economic development
through appropriate platforms.
The invention contest gives encouragement to inventors to
showcase their inventive capability through a form of
competition for cash incentives, awards, and bragging rights.
The regional contest serves as the qualifying round for the
national contest, pursuant to Section 4 of the Republic Act (RA)
7459 also known as the “Inventors and Invention Incentives Act
of the Philippines.</t>
  </si>
  <si>
    <t xml:space="preserve">DOST REGION II </t>
  </si>
  <si>
    <t>Regional Government Center, Carig Sur, Tuguegarao City</t>
  </si>
  <si>
    <t>Showcase DOST developed and funded technologies, including their available services and programs using a digital platform; Promote sustainanle technology solution, R&amp;D outputs and inventions ready for commercialization; Showcase state-in-the-art technologies and world-class products; Recognize Micro, Small and Medium Enterprises (MSMEs) and local partners in promoting STI in the region; and Promote DOST-TAPI programs and services through virtual tour video presentation.</t>
  </si>
  <si>
    <t>To inculcate creative thinking and bring about inventiveness among students to entice them to pursue activities leading to creativeness in solving problems in industrial applications;To create students’ awareness on Intellectual Property Rights and Protection; To undertake a training for students to awaken their creativity and inventiveness with inclination to prototype development and entrepreneurship; To promote and establish new young inventors’ associations/clubs that are
expected to intensify inventive activities in the campuses; and To encourage students to pursue science-related courses leading to a career
that would make them professional inventors and scientists in the future.</t>
  </si>
  <si>
    <t>To allow on-time delivery of products to the customer without sacrificing the quality of
the product; To serve purchase orders from La Maison du Coco in France; To produce 9,000 Liters of Virgin Coconut Oil (VCO) products.</t>
  </si>
  <si>
    <t>Friendship cor. Dumanlas Roads, Bajada, Davao City</t>
  </si>
  <si>
    <t xml:space="preserve">The objective of this Invent School™ is to conduct Invent School Program (ISP):  Webinar Edition for Panabo City National High School on 24-25 November 2021 in  Davao del Norte.
</t>
  </si>
  <si>
    <t xml:space="preserve">Engr. Meguina C. Adian                                                                                                                  </t>
  </si>
  <si>
    <t>FA 254 KM. 4 Balili La Trinidad Benguet</t>
  </si>
  <si>
    <t xml:space="preserve">The Invent School Program (ISP) with its recent development involves the  conduct of a half-day seminar-workshop in private and public Elementary,  Secondary, and Tertiary level schools in cooperation with inventors’ groups,  LGUs, and NGOs to stimulate the interest of the students/pupils for creativity  and inventiveness and create awareness on Intellectual Property Rights (IPR),  prototype development and commercialization of inventions. The program  provides an opportunity for students/pupils not only to develop their creativity  and potential but also to awaken their true ingenuity. The Invent School  Program serves as a starting ground for Young Filipino inventors. </t>
  </si>
  <si>
    <t xml:space="preserve">Engr. Felix M. Vicente                                                                                                                   </t>
  </si>
  <si>
    <t>JD-137-A Bayabas, Pico, La Trinidad Benguet</t>
  </si>
  <si>
    <t>A coconut dehusker comprising a base support member, a stand mounted on the support member, a platform having legs support mounted on the base support member, characterized in that the platform are adjustably attached on the stand by means of a clamp and legs support.</t>
  </si>
  <si>
    <t xml:space="preserve">Ma. Dolores Cynthia C. Zarate                                                                                                  </t>
  </si>
  <si>
    <t>AD-157 Central Buyagan, Poblacion, La Trinidad, Benguet</t>
  </si>
  <si>
    <t>A pressing machine for meat, vegetables and
other powdered moldable food mixtures such as but not limited to polvoron and buillon cubes.
The pressing machine comprises an upstanding support frame, a speed reducer, a hydraulic actuator connected to a hydraulic motor, an oil reservoir. The hydraulic actuator has a hydraulic pressure release valve in communication with an induction motor and limiting switch, a movable upper presser with complementing lower plate
support ; the movable upper press is attached to the hydraulic actuator to provide controlled compacting pressure on the die punch assembly through a foot switch that has a height adjustable limiting switch.</t>
  </si>
  <si>
    <t>Batangas Egg Producers Multipurpose Cooperative (BEPMPC) is a manufacturing and wholesaling/retailing firm established in 2010.                                                            The objectives of their project are to improve effective operations and maintenance for the quality of discharged water to the wastewater system, provide a quality management system to reach the permissible level of water to be discharged into water bodies or for agricultural land, reuse wastewater for other purposes, and be able to secure a Discharge Permit from the Department of Environment and Natural Resources (DENR). The equipment is used to process the main products of the company, and as such, they maintain the quality of their products by maintaining the cleanliness of the working environment.</t>
  </si>
  <si>
    <t xml:space="preserve">Dennis U. Lampitoc                                                                                                                      </t>
  </si>
  <si>
    <t>Blk 20 Lot 89 Dapdap St., La Joya De Sta. Rosa Vill., Brgy Balibago , Sta. Rosa Laguna</t>
  </si>
  <si>
    <t>Mr. Lampitoc present UM is a portable abaca stripping machine which is an
improvement of the previous UM of the proponent with UM No. 2-2016-
000424. The portable manual stripping device, which is portable, compact, light, easy
to dismantle and assemble, and inexpensive, can be operated manually and
comfortably by two (2) average-built Filipinos and is low cost since it is manually operated.</t>
  </si>
  <si>
    <t xml:space="preserve">James Pasong Solano                                                                                                                   </t>
  </si>
  <si>
    <t>#13 Guiwe St., Poblacion, Makayan. Benguet</t>
  </si>
  <si>
    <t>Geo-Bio method for soil stabilization is a method of applying dynamic compaction
using a compacting weight or compacting machine on a soil and the object of the utility model is to provide a method of stabilization for soil with the incorporation of the propagation of giant bamboo. the
The project proposal passed the evaluation and the IATEC hereby recommends a
financial assistance amounting to P349,658.75 for the fabrication of the structure of
the commercial prototype utilizing the Geo-Bio Method for Soil Stabilization.</t>
  </si>
  <si>
    <t>2021-68</t>
  </si>
  <si>
    <t>National Inventors' Week</t>
  </si>
  <si>
    <t>2021-69</t>
  </si>
  <si>
    <t>Goverment</t>
  </si>
  <si>
    <t>18-Day Campaign to End Violence Against Women (VAW)</t>
  </si>
  <si>
    <t xml:space="preserve">GAD-TWG DOST TAPI </t>
  </si>
  <si>
    <t xml:space="preserve">The Regional Invention Contest and Exhibits (RICE) is a
nationwide activity that recognizes the indispensability of
Filipino inventors in the landscape of national economic
development through appropriate platforms.
The invention contest gives encouragement to inventors to
showcase their inventive capability through a form of
competition for cash incentives, awards, and bragging rights.
The regional contest serves as the qualifying round for the
national contest, pursuant to Section 4 of the Republic Act (RA)
7459 also known as the “Inventors and Invention Incentives
Act of the Philippines.
</t>
  </si>
  <si>
    <t xml:space="preserve">Cagayan State University (CSU)                                                                                                  </t>
  </si>
  <si>
    <t>Piat, Cagayan</t>
  </si>
  <si>
    <t>Hog fattening is one of the top ventures in the livestock industry mainly
because of high income returns within 5-6 months. However, it also poses high
business risks such as high cost of feeds and diseases. Hence, there are several
factors to consider for a successful enterprise such as the location, mortality,
availability of feeds and market demands, among others. With the growing
demands on pork and increasing prices of feeds, the following Animal Science
major students developed a low cost and organic feed formulation for hogs:</t>
  </si>
  <si>
    <t xml:space="preserve">ISTE Program, TIPD DOST TAPI </t>
  </si>
  <si>
    <t>This annual event aims to showcase the world-class technologies/ inventions
of the Filipino including their available services and programs by providing an
appropriate venue to gather stakeholders in industry, government, agriculture,
communication and education sectors. It is a reliable strategy to honor
inventors of the past, the creators of the present and encourage the
developers of the future. The said event will be the opportunity to conduct virtual oath taking of new
Filipino Inventors Society Producers Cooperative (FISPC) members in the
Philippines and its new Board of Directors. It will set them to make their public
commitment to the duties, responsibilities and obligations associated with the
cooperative.</t>
  </si>
  <si>
    <t xml:space="preserve">The Chapter Zero: i-Know-vation  is a folow through campaign of the sucessful Week-long Accomplishment and Culminating Activity of Special Projects or WACAS that was conducted in July 2021 "Chapter Zero" is the successor of the "Sa WACAS magsisismula" narrative, giving emphasis on the start of a new chapter hence, Zero. The project has three major componets and outputs; the institutional video, intitutional ID, and transit advertising. </t>
  </si>
  <si>
    <t>#358A G. Amo Rd ., Brgy . Taysan, San Jose Batangas</t>
  </si>
  <si>
    <t>Mr. Perez is currently the owner of the Eggciting Products Manufacturing, an egg products manufacturing company located in San Jose, Batangas. Mr. Perez applies for the pilot production and market testing of his products under the Invention-Based Enterprise Development (IBED-I) Program. The cooked balut will be distributed in different countries that require tests such as analyses of its nutritional content and determine the shelf-life. The TEC recommends heat distribution test of the automated retort, heat penetration test on the product during retort process, and shelf-life test to validate commercial sterility of the product under the Invention Testing and Laboratory Assistance Program.</t>
  </si>
  <si>
    <t xml:space="preserve">Francisco J. Diaz                                                                                       </t>
  </si>
  <si>
    <t xml:space="preserve">Latigo Drive Extension, Brgy. Evangelista, Baras,Rizal </t>
  </si>
  <si>
    <t xml:space="preserve">Mr. Francisco J. Diaz is requesting for financial assistance under the Concept
Prototyping Program to develop one (1) working prototype of “Fully Automatic Ionized
Sprouting Machine”. Mr. Diaz’ concept was to used ionized water to grow seeds at a
much faster rate and prolong the freshness of the vegetables. </t>
  </si>
  <si>
    <t>2021-79b</t>
  </si>
  <si>
    <t>Purchase Order Financing for Jamerika Enterprises</t>
  </si>
  <si>
    <t xml:space="preserve">Jaime B. Mamije                                                                                     </t>
  </si>
  <si>
    <t>#27 Aquarius Street , Monpert Hills, Barangay San Isidro , Taytay, Rizal</t>
  </si>
  <si>
    <t>2021-82</t>
  </si>
  <si>
    <t xml:space="preserve">Production and Commercialization of Rice-Mongo Curls and Instant Blend Baby Food </t>
  </si>
  <si>
    <t>Anthony Nicanor Joaquin Bello</t>
  </si>
  <si>
    <t>#8 AV Apartment, Imperial St., Litex Village, San Jose Rodriguez, Rizal</t>
  </si>
  <si>
    <t>Bicutan</t>
  </si>
  <si>
    <t>DOST-TAPI offers holistic packages of programs to inventors from the ideation to commercialization of their inventions.                                                                                                    TAPI’s assistance to inventors grew and expanded. As more and
more of them get to know of the agency and what it offers, more and more stories of trial and error and failure and success have been heard.                       With the birth of Humans of TAPI, their stories of success, failures, trials, and so much more will serve as stories of determination, persistence, and discipline, highlighting the efforts they exerted to reach their goals and be who they are today.</t>
  </si>
  <si>
    <t>D-104 Hardin ng Bogainvillea Brgy. UP Campus, Diliman, Q.C</t>
  </si>
  <si>
    <t>To provide financial assistance for the pre-commercialization of "A educational Moblie Robotics Platforl"</t>
  </si>
  <si>
    <t>2021-02-memo</t>
  </si>
  <si>
    <t>2021 Regional Invention Contest and Exhibits (RICE) in MIMAROPA Region on 25-27 May 2021</t>
  </si>
  <si>
    <t>DOST-IV B</t>
  </si>
  <si>
    <t>DOST-PTRI Building, Gen. Santos Avenue, Bicutan, Taguig</t>
  </si>
  <si>
    <t>Highlight Filipino ingenuity or creativity by showcasing various inventions and scientific researches developed by students in the BICOL region; Encourage participation of inventors or researchers in each category they are qualified; To provide online platform that will be used during the event; and Promote and avail the programs of assistance of TAPI realated to invention.</t>
  </si>
  <si>
    <t>2021-03-memo</t>
  </si>
  <si>
    <t>2021 Regional Invention Contest and Exhibits (RICE) in Bicol region on 01-03 June 2021</t>
  </si>
  <si>
    <t>DOST-V</t>
  </si>
  <si>
    <t>Regional Center Site, Rawis Legazpi City Albay 4500</t>
  </si>
  <si>
    <t>The inventions contest gives encouragement to investors to showcase their inventive capability through a form of competition for cash incentives, awards, and bragging rights.</t>
  </si>
  <si>
    <t>The projects aim  to train the students on the actual business operation, even in this time of pandemic, and, at the same time, generate income from their research studies.</t>
  </si>
  <si>
    <t xml:space="preserve">Maria Bernadette Navera                                                                  Proprietor                                                           Exotic Organicum Mushroom Farm               </t>
  </si>
  <si>
    <t>Brgy. Sta. Elena, Buhi, Camarines Sur</t>
  </si>
  <si>
    <t>The enterprise involves the cultivation of oyster mushrooms using mycelium strains, and a drum will be used in cooking  substrate and a still air box during culture transfers.The project was initially endorsed for implementation under Stage I of the DATBED Program.
Taking into consideration the enterprise's current situation as a start-up enterprise, from the original request of the proponent, which amounts to P347,640.00, it is recommended to reduce the production volume and funding amounting to P246,150.00. The project was initially endorsed for implementation under Stage I of the DATBED Program.</t>
  </si>
  <si>
    <t>3112 Ladisla Bldg. Sampaloc, CEMBO, Makati</t>
  </si>
  <si>
    <t>The patent pending invention "Three Framed Leaning Quad Bike on a Solid Base Board" having complied with all the requirements under the IBID Program, the TEC hereby recommends approval of the budget amounting to P201,000.00 is a four-wheeled motorized or human powered bike with three (3) frames assemble in a single solid board designed to provide leaning ability of the vehicle that is able to simultaneously and independently lean all four (4) wheels to any road type.</t>
  </si>
  <si>
    <t>2020 National Invention Contest and Exhibits (NICE)</t>
  </si>
  <si>
    <t xml:space="preserve">Technology Application and Promotion Institute (TAPI) </t>
  </si>
  <si>
    <t>DOST Compound</t>
  </si>
  <si>
    <t>In previous years, the pre screening/selection of finalists is done on the national level at the pre contest phase and selection of winners is done during the contest proper, however, the inventors called for the holding of qualifying rounds/screening phase at places near them.</t>
  </si>
  <si>
    <t xml:space="preserve">Racky D. Doctor                                                                                                                                             President                                                                                                                                                                  Nutridense Food Manufacturing Corporation  (NFMC)                                                                                         </t>
  </si>
  <si>
    <t>Brgy. Malanay , Sta. Barbara, Pangasinan</t>
  </si>
  <si>
    <t>The current market outlets of the company include public and private schools, regional, provincal and national government agencies (DOH, DOST, DepEd, DSWD, DTI), NGOs (Salin's Foundation, Feed the Children, Diamond Sphere, EAON Enterprise), National Distributors, World Food Program (WFP), National Nutrition Council, UNICEF and Save the Children.</t>
  </si>
  <si>
    <t>Operationalization of Screening Committee for R.A No. 7459</t>
  </si>
  <si>
    <t>DOST Bicutan, Taguig</t>
  </si>
  <si>
    <t>There are expenses for the monthly meetings such as honorania, supplies and materials, food, gasoline expenses for site/plant visits and validation conducted for request on tax exemption privileges and I-Tech Loan Assistance under the Invention Guarantee Fund (IGF); the SC members also act as the Panel of Judges during the National Invention Contest...</t>
  </si>
  <si>
    <t>Termination</t>
  </si>
  <si>
    <t>Production of FIre Retadant Composition</t>
  </si>
  <si>
    <t>German O. Sobrevilla</t>
  </si>
  <si>
    <t xml:space="preserve">Technology Application and Promotion Institute </t>
  </si>
  <si>
    <t>The DOST-TAPI and DOST-NCR together with other DOST-attached agencies are scheduled to put up exhibits to 28 SM venues nationwide from April to December 2020.</t>
  </si>
  <si>
    <t>The event will exhibit Science, Technology and Innovation products supported by DOST and aims to heighten awareness of DOST shakeholders about S&amp;T innovations and inventions of our Filipino scientists and engineers in the areas of disaster management, disaster mitigation, and climate change adaptation.</t>
  </si>
  <si>
    <t xml:space="preserve">Henry V. Raca                                                                                                                                                          General Manager                                                                                                                                                      C and H Cosmetics Industry (CHCI)                                                                                          </t>
  </si>
  <si>
    <t xml:space="preserve">The company could only serve ongoing POs from various local companies due to limited funds, which were also delayed due to suspension of operations brought about by COVID-19 pandemic and Enhanced Community Quaratine (ECQ) in Luzon since March 2020. </t>
  </si>
  <si>
    <t xml:space="preserve">Ernest Karl L. Chua                                                                                                                                                                     President                                                                                                                                                                                      East L.A Industry , Inc. (ELII)                                                                                                                                                       </t>
  </si>
  <si>
    <t>Door #2 Chua Building , Ma-a , Davao City</t>
  </si>
  <si>
    <t>TAPI's intervention, the company can cater the current demand of product (70% isopropyl alcohol) to help combat the spread of COVID19 infection, ensure liquidity for on-time complete of project, generate additional employment..</t>
  </si>
  <si>
    <t xml:space="preserve">Ramil R. Serrano                                                                                                                                                       Owner/ Manager                                                                                                                                                      </t>
  </si>
  <si>
    <t>Block 2 Lot 9 New Guinea St., Annex 25 , Betterliving Suubd., Paranaque City</t>
  </si>
  <si>
    <t>TAPI's intervention, the company can cater hospital orders in compliance to DOH's order to increase the current bed capacity to at least 30% in treating the patients and help combat the spread of COVID19 infection..</t>
  </si>
  <si>
    <t xml:space="preserve">Maura M. Pasciolco                                                                                                                                                      Owner/General Manager                                                                                                                                        </t>
  </si>
  <si>
    <t>Pasciolco Agri Ventures 1358 Capistrano St., Lucasan, Tiaong, Quezon</t>
  </si>
  <si>
    <t>TAPI's intervention, the company can cater current demand of products to help strengthen the clients immune system, be used as adjunct therapy for COVID-19 patients and combat the spread of COVID19 infection.</t>
  </si>
  <si>
    <r>
      <rPr>
        <sz val="10"/>
        <color theme="1"/>
        <rFont val="Arial"/>
      </rPr>
      <t xml:space="preserve">Loreto B. Tolentino                                                                                                                      President                                                                                                                                        Cellokey Incorporated ( </t>
    </r>
    <r>
      <rPr>
        <i/>
        <sz val="10"/>
        <color theme="1"/>
        <rFont val="Arial"/>
      </rPr>
      <t>C</t>
    </r>
    <r>
      <rPr>
        <sz val="10"/>
        <color theme="1"/>
        <rFont val="Arial"/>
      </rPr>
      <t xml:space="preserve">I)                                                                                                   </t>
    </r>
  </si>
  <si>
    <t>56B Sibesco St., Victoria Village, Canumay East , Valenzuela City</t>
  </si>
  <si>
    <t>The company supplies its products in areas within Metro Manila with food establishment, hospital and restaurants as its main customers, which are in need of additional equipment to comply with IATF requirements on opening its  business, industry, trade commerce and their activities..</t>
  </si>
  <si>
    <t xml:space="preserve">Abelardo T. Balisi , Jr.                                                                                                                Owner/Manager                                                                                                                        i-Provide Health Food Manufacturing                                                                                       </t>
  </si>
  <si>
    <t>Sitio Pag-asa , Brgy Aguso , Tarlac City</t>
  </si>
  <si>
    <t>The company could only serve ongoing purchase order (POs) from various local companies and could not meet other current  POs at hand since most of its capital are tied up with the ongoing POs..</t>
  </si>
  <si>
    <t>ACU-i - 2021</t>
  </si>
  <si>
    <t>The program has accomplished its required targets for CY 2020 and has made the Institute more visible online by keeping the stakeholders informed and updated through the social media platforms..</t>
  </si>
  <si>
    <t>2020-19</t>
  </si>
  <si>
    <t xml:space="preserve">Cattle Fattening Using UMMB </t>
  </si>
  <si>
    <t>Jaymark J. Juan</t>
  </si>
  <si>
    <t>261-A Jacinto Street, Brgy. Ipil-Ipil Catarman, Northern Samar</t>
  </si>
  <si>
    <t>To provide financial assistance for the pilot production of Utility Models "A Coloring Chart Assembles' with Registration Number 2-2013-0000291 and "A Color Chart 2" with registration number  2-2013-000290 to determine its market viability.</t>
  </si>
  <si>
    <t>2020-02-memo</t>
  </si>
  <si>
    <t>Women's day Celebration and International Day of Women and Girls in Science</t>
  </si>
  <si>
    <t>To increase participation of TAPI men and women during the National Women's day Celebration and as International Day of Women and Girls in Science.</t>
  </si>
  <si>
    <t>Having complied with all the requirements under the Industry-based Invention Development (IBID) Program, the TEC hereby recommends approval of the budget for the request of IBID project of Mr. Bernando B. Cabaluna for his Utility Model.</t>
  </si>
  <si>
    <t>242.993.00</t>
  </si>
  <si>
    <t>Lot 78 Blk 67 Franc St. Phase 8 North Fairview, Quezon City                  ivan.liguaton@intellizerobotic.com                                                                09153433031</t>
  </si>
  <si>
    <t>To asses the project and provide financial assistance for the fabrication of a commercial prototype of " A Compact Waste Water Treatment Assembly"</t>
  </si>
  <si>
    <t xml:space="preserve">ACU for Micro, Small and Medium (ACU-msm) Enterprises </t>
  </si>
  <si>
    <t>The general objective aims to strengthen the promotion of the DOST-TAPI'S programs including organized events and activities targeted among non- inventor clients. On the other hand, specific objectives are as follow: To reach a wider audience of non-inventor clients through an integrated communication strategies; To assist Program Managers achieve their targets through communication; and To develop Information, Education and Communication (IEC) materials that increase awareness of non-inventor programs and translate it into project proposals.</t>
  </si>
  <si>
    <t xml:space="preserve">Fabrication of a Commercial Prototype of "A solar Charging System for Charging Electric Vehicles </t>
  </si>
  <si>
    <t>Blk 20 Lot 17A PN Roa Subd.,Zone 9 Canitoan, Cagayan De Oro City</t>
  </si>
  <si>
    <t>To asses the project and provide financial assistance for the fabrication of a commercial prototype of "A Solar Charging System for Charging Electric Vehicles"</t>
  </si>
  <si>
    <t xml:space="preserve">Purok 3A, Floraville Homes Apokon Tagum City, Davao Del Norte </t>
  </si>
  <si>
    <t>To provide financial assistance for the pilot production of the utility Model, "Snap On and Off Handle for a Five-Gallon Bottle Container" that relates to a heavy duty steel handle for a bottle or a container and the heavy-duty handle attached to the neck of a five-gallon bottle container that is being used by the water refilling stations.</t>
  </si>
  <si>
    <t>Blk 4 Lot 20 Lakeview Heights Subd., La Mesa, Calamba City</t>
  </si>
  <si>
    <t>TEC recommendations for approval of the budget amounting to One Hundred Fifty-Six Thousand Nine Hundred Two and 65/100 Pesos Only (P156,902.65) for the project Snacktongs refer to a device used for picking up and holding finger food or snacks such as chips and French fries that includes left and right grippers connected by the center index's wedge or a retainer that connects the left and right grippers.</t>
  </si>
  <si>
    <t xml:space="preserve">Purchase Order Financing Assistance of SETUP- Assisted </t>
  </si>
  <si>
    <t>Valenzuela City</t>
  </si>
  <si>
    <t>Approval of the project "Purchase Order Financing Assistance of SETUP-Assisted Arnold Louie General Merchandise"
amounting to ONE HUNDRED FORTY-THOUSAND THIRTY-TWO PESOS (P140,032).</t>
  </si>
  <si>
    <t xml:space="preserve">Pilot Production of "Do-it-Yourself (DIY) Casket </t>
  </si>
  <si>
    <t>23 Hito St. Silvina Village, Talipapa, Quezon City                                        09153302271/(02)7-756-4562</t>
  </si>
  <si>
    <t>The Modular Casket or DIY Casket, the subject ID as per submitted proposal, addresses the problem ofa higher cost of burial in the country.
The Subject ID as per proposal submitted can be easily aasembled by non-skilled person and can be easily transported because of it's knock-down feature. Some of the advantages of the subject ID as claimed by the designers is that it is affordable, it can be easily transported in large quantities, and needs a minimal storage space.</t>
  </si>
  <si>
    <t>The TECHNICOM Program, a DOST-funded project, was created to provide assistance to accelerate the commercialization of technologies in the country by providing the needed technical and financial support intended to aid the conversion of promising innovative research outputs to actual income- generating technologies.
The DOST-GIA Guidelines require conterpart funds from implementing agency for DOST- approved projects. This is a cost-sharing scheme for operations and implementation of the objectives/activities of the project.</t>
  </si>
  <si>
    <t>DEFFERMENT</t>
  </si>
  <si>
    <t xml:space="preserve">Product and Process Improvement through the Adoption of Appropriate Technologies for RedSea Seafood Delights, Inc. </t>
  </si>
  <si>
    <t>151 Sto. Niño, Masantol, Pampanga</t>
  </si>
  <si>
    <t>The DOST-TAOPI approved the project of the Redsea Sefood Delights, Inc. under the Venture Financing Program on 13 June 2019
amounting to P777,970 and the company has already paid 42% of the financial assistance amounting to P324,150 leaving them
with an outstanding balance of P453,820.
On 28 August 2019, the company requested for a six month slide on their refund to start on February 2020 with penalty, On 22 November 2019, TAPI together with DOST III conducted a site visit to remind the company of its obligations and immediate submission of the documents/requirements to avoid further legal complications, and On 29 November 2019, TAPI recieved the DOST III's endorsement of the request for restructuring, However upon validation, the proponents request qualifies under the guidelines of TAPI for deferment of payment.</t>
  </si>
  <si>
    <t xml:space="preserve">The Applied Communications Unit for inventors (ACU-i) was developed by the Technology Information and Promotion Division (TIPD) as part of the intensified efforts in relation to technology commercialization and of the strategy to clearly communicate and promote TAPI programs for inventors to the target audience.
The ACU-i met with the Program Managers handling inventor/invention-related programs and came up with a framework showing the interplay of the programs. Specific strategies to pursue for each program this year 2020 and marketing goals were also determined.
The TAPI EXECOM agreed to approve during its meeting on 24 February 2020 the ACU-i's i-INVENT Marketing Plan with a P1,000,000 budget for the year provided that the proposal be
.
</t>
  </si>
  <si>
    <t>2020-04-ad referenda</t>
  </si>
  <si>
    <t xml:space="preserve">Purchase Order Financing Program Support to Raigo Metal Finishing, Inc.  </t>
  </si>
  <si>
    <t>Rainier B. Gonzales</t>
  </si>
  <si>
    <t>Binan Laguna</t>
  </si>
  <si>
    <t>Raigo Metal Finishing Inc. (RMFI) is a 100% Filipino-owned and controlled corporation, which was established in 1992 as provider of electroplating services. TAPI provided financial assistance to RMFI last 23 December 2015 amounting to P1,956,500.00 for the acquisition of production equipment. Last November 2019, the company liquidated and fully refunded the financial assistance provided by TAPI.</t>
  </si>
  <si>
    <t>PO Financing</t>
  </si>
  <si>
    <t>#52 Mayor Adelina Rodriguez, Carmel V, Tandang Sora, Quezon City</t>
  </si>
  <si>
    <t>The "Tree Climber" of Mr. Amparo addresses the conventional method of manual tree climbing. Climbers often suffer from fatigue, bruises, skin lacerations and musculoskeletal disorders with the risk of falling down. Other techniques for climbing can be used like wearing spiked shoes and using hydraulic lifters, however, these can damage the trunk of the trees. In eight (8) hours, an operator can climb 70-80 trees.</t>
  </si>
  <si>
    <t>8A Grandville Homes, Tolentino Compound, Pamplona 3, Las Piñas, City</t>
  </si>
  <si>
    <t>The "ManilaBlock" of Mr. Chua was developed out of his quest to find a solution for rapid and low budget wall construction. He developed his product primarily for disaster-prone areas where construction materials are not readily available. The invention is composed of two (2) main parts, the male and female parts used as locking components, and both sides of the block have a square profile.</t>
  </si>
  <si>
    <t>Km 15 West Service Road, South Super Highway, Brgy. Sun Valley, Bicutan, Paranaques</t>
  </si>
  <si>
    <t>Quenbee Enterprises is a single-proprietorship company registered with the Department of Trade Industry (DTI) last 2008, which manufactures soy beans products such as chilled taho and soy milk. The bulk of Queenbee's customers belong to the middle and high class segment in South Manila. The company is a beneficiary of the DOST-NCR SETUP and has fully-paid its funding assistance.</t>
  </si>
  <si>
    <t>2020-08-ad ref</t>
  </si>
  <si>
    <t>Noamount</t>
  </si>
  <si>
    <t>Revised Implementing Guidelines of the Intellectual Property Rights Assistance Program (IPRAP)</t>
  </si>
  <si>
    <t>The Revised Implementing Guidelines of the Intellectual Property Rights Assistance Program (IPRAP) was presented before the TAPI Executive Committee (ExeCom) during its meeting on 23 July 2020.</t>
  </si>
  <si>
    <t>2020-09-ad ref</t>
  </si>
  <si>
    <t>NoAmount</t>
  </si>
  <si>
    <t>Revised implementing Guidelines of the Travel Assistance Program to Inventors under R.A No. 7459</t>
  </si>
  <si>
    <t>The revised Implementing Guidelines of the Travel Assistance Program to Inventors under R.A. No. 7459 was presented before the TAPI Executive Committee (ExeCom) during its meeting on 23 July 2020.</t>
  </si>
  <si>
    <t>RESTRUCTURING</t>
  </si>
  <si>
    <t xml:space="preserve"> Production Facility of Fine Foods, Inc. </t>
  </si>
  <si>
    <t>Essential Fine Foods, Inc. , Lot 7, Zapanta Compound, M.L Quezon Ave. Antipolo City</t>
  </si>
  <si>
    <t>The DOST-TAPI approved the project of the Essential Fine Foods, Inc. (EFFI) under the Venture Financing Program on 01 October 2018. The company has already pald 28% of the financial assistance amounting to P477,110 leaving them with an outstanding balance of P1,240,490. Due to the pandemic, cancellation of orders from the company's regular clients from resorts, hotels, restaurants and airline caterer occurred, which resulted to losses of at least 70%.</t>
  </si>
  <si>
    <t>2020-11-ad ref</t>
  </si>
  <si>
    <t>Implementing Guidelines of the National Inventors' Week (NIW) Celebration Program</t>
  </si>
  <si>
    <t>TIPD</t>
  </si>
  <si>
    <t>The Implementing Guidelines of the National Inventors' Week (NIW) Celebration Program was presented before the TAPI Executive Committee (ExeCom) during its meeting on 23 July 2020.</t>
  </si>
  <si>
    <t>Eggciting Products Manufacturing (EPM), Brgy. Taysan, San Jose, Batangas</t>
  </si>
  <si>
    <t>EMP requested for deferment and partial relief from accountability due to the unforseen eruption of Taal volcano in late January 2020. The company has already submitted postdated checks from 30 March 2020 to 30 May 2020 to begin its repayment. Suspension of businesses prevented the company to request for repairs to the damaged production line, and resulted from withdrawal of orders from clients and working capital from Brand partners. On 29 June 2020, DOST-TAPI has adjusted the refund schedule of the company in accordance with the TAPI Memorandum Circular No.29 June 2020.</t>
  </si>
  <si>
    <t>2020-13-ad ref</t>
  </si>
  <si>
    <t>Ammended Guidelines for Ligtas Covid</t>
  </si>
  <si>
    <t>DOST-TAPi</t>
  </si>
  <si>
    <t>The revised Implementing Guidelines of the Level-up Innovation Government Support for Technologies Against the Spread of COVID-19 (LIGTAS-COVID-19) was presented before the TAPI Executive Committee (ExeCom) during its meeting on 12 August 2020.</t>
  </si>
  <si>
    <t>Fino Handicrafts (FH) 222 Pilar St. A. Brgy. Addition Hills, Mandaluyong City/Purok 5, Sto. Rosario, Old Zaragosa, Nueva Ecija</t>
  </si>
  <si>
    <t>The DOST-TAPI approved the project of the Fino Handicrafts under the Venture Financing Program on 27 November 2019. The company has already submitted postdated checks for the refund schedule beginning 31 July 2020 la 30 June 2023. Agreement was put on hold due to the following circumstances:. 1. Business activities in China were on a holiday from January 16 to February 15 due to Chinese New Year; 2.
The Philippine government placed the country under ECQ to delay the spread of infection starting March 17 until May 15 and Modified ECQ until end of May 2020. Finlo Handicrafts was forced to close its business during ECQ and resume its partial 30% operation in June 2020. The company is requesting to restructure the refund schedule to January 2021-December 2023 with penalty charges. This is their first request for restructuring that will extend the mortization schedule due to the delay in the procurement of equipment.</t>
  </si>
  <si>
    <t>2020-15-adref</t>
  </si>
  <si>
    <t>Guidelines for the Expanded Inventors' Organization</t>
  </si>
  <si>
    <t>The revised Implementing Guidelines of the Inventors' Organization Accreditation was presented before the TAPI Executive Committee (ExeCom) during its meeting on 12 August 2020.</t>
  </si>
  <si>
    <t>2020-16-ad ref</t>
  </si>
  <si>
    <t>Revised Implementin Guidelines of ISTE</t>
  </si>
  <si>
    <t>The Implementing Guidelines of the Institutional Support for Technology Exposition (ISTE) Program was amended to include Section 6.4 Activities for the New Normal.</t>
  </si>
  <si>
    <t>Prime Innov8 Manufacturing (PMMI) B3 L1 Samat St. Metro Montana Village, Burgos, Rodriguez, Rizal</t>
  </si>
  <si>
    <t>Prime Innov8 Manufacturing (PIM), a partnership with SEC Company Reg No. PG200815654, produces various disinfectant products, alcohols, hand soaps, and other chemical products. Customers of the company are food establishments which need to comply with the standards set by the DTI on the resumption of industry sectors and their activities. The company is requesting for the DOST-TAPI's financial assistance under the Venture Financing Program's LIGTAS-COVID-19 Special Program.</t>
  </si>
  <si>
    <t>FISCAR, Inc. Kim. 6, La Trinidad, Benguet</t>
  </si>
  <si>
    <t>The "Multipurpose Heat Recycling Dehydrator (2-2018-000632)" of Mr. Zarate is one of the technologies assisted by the DOST-TAPI under its Intellectual Property Rights Assistance Program (IPRAP). The utility model (UM) is a multi-purpose food dryer for drying and preservation of food under controlled temperature and humidity with heat recycling feature and a solar assisted microcontroller system.</t>
  </si>
  <si>
    <t>Brgy. Sitio Manahan, Sta Isabel, Calapan City Oriental Mindoro</t>
  </si>
  <si>
    <t>The invention of Engr. Nantes is one of the technologies assisted by the DOST-TAPI under its Intellectual Property Rights Assistance Program (IPRAP) on 24 September 2020. The patent pending invention also called as the "Multi-Grade Rotary Separator (MGRS)" with application no. 1-2017-050122 is a mechanized rotating cylindrical frame consisting of a long drum-like series of screens/sieves.</t>
  </si>
  <si>
    <t>Cagayan</t>
  </si>
  <si>
    <t>Mushroom production is economically feasible due to low-production cost, abundance of cheap substrates from agro-wastes and high in demand. The project will utilize bamboo leaves, which is less expensive and easy to decompose, as additional substrate since the campus has a bamboo-based research and development program. The processed mushroom will be sold in three (3) variants: crispy, kimchy and salted mushroom.</t>
  </si>
  <si>
    <t>CSU-Gonzaga students have developed a new way of processing frigate tuna, locally known as "tangi", into bottled sardines. Fresh tomato paste will be used in their products for a more concentrated flavor and thicker texture. The final product will be branded as "Tangimas" which means delicious in Ilocano. It will be sold in the business center of the campus and variety stores in Gonzaga.</t>
  </si>
  <si>
    <t>The project involves the propagation of bougainvillea using the potting mix. Rare and ordinary varieties will be maintained in a separate nursery using the garden and forest soils. The target markets are the garden shops, resort owners, plant enthusiasts and horticultural landscapers. Though there are many plant shops in Cagayan, the grafted bonsai bougainsai is unique and there are no known competitors in nearby areas.</t>
  </si>
  <si>
    <t>Three Agriculture students developed a fermented fruite juice (FFJ) concentrate which can be applied as foliar fertilizer to increase the natural microorganism activity in the soil. FFJ will be sprayed in the vermicompost digesting units twice a week. The target products are vermi cast and vermi worms, and the target markets are the CSU campuses, farmer cooperatives, urban gardeners and retail buyers.</t>
  </si>
  <si>
    <t>MOTHER APPROVAL</t>
  </si>
  <si>
    <t>Implementation of the 2019 Regional Invention Contest and Exhibits in 17 Regions</t>
  </si>
  <si>
    <t>Technology Application and Promotion Institute thru the cooperation of the DOST Regional Offices</t>
  </si>
  <si>
    <t xml:space="preserve">Manuel R. Dono                                                                                             McGrill Enterprises                                                                                         </t>
  </si>
  <si>
    <t>34 Ipil Street , Project 3 Quezon City</t>
  </si>
  <si>
    <t xml:space="preserve">Dennis Y. Mercader                                                                                           </t>
  </si>
  <si>
    <t>Sitio Calitang Brgy. Bucana El nido Palawan</t>
  </si>
  <si>
    <t>2019 National Women's Month Celebration</t>
  </si>
  <si>
    <t xml:space="preserve">DOST REGION XI </t>
  </si>
  <si>
    <t>Davao</t>
  </si>
  <si>
    <t>Region VII</t>
  </si>
  <si>
    <t xml:space="preserve">Promotion of DOST CALABARZON's Program and Services in the 2019 Regional Science and Technology Week </t>
  </si>
  <si>
    <t>Laguna</t>
  </si>
  <si>
    <t>2019-16</t>
  </si>
  <si>
    <t>--</t>
  </si>
  <si>
    <t>Commercialization of Fuel Saving System for Internal Combustion Engine</t>
  </si>
  <si>
    <t>Junior A. De Jesus</t>
  </si>
  <si>
    <t>2019-18</t>
  </si>
  <si>
    <t>Grassroots Innovation (GI)</t>
  </si>
  <si>
    <t>Grassroots Innovation Launching and Forum</t>
  </si>
  <si>
    <t>DOST-XI                                                                                                                             DOST- TAPI                                                                                                                                                              UNESCAP</t>
  </si>
  <si>
    <t>Region XI</t>
  </si>
  <si>
    <t>2019-21</t>
  </si>
  <si>
    <t>Women Inventor's Summit</t>
  </si>
  <si>
    <t xml:space="preserve">Henry V. Raca                                                                                                    President and General Manager                                                                                                                                                             C and H Cosmetics Industry                                                                             </t>
  </si>
  <si>
    <t>Block 8 Lot 9 Osaka Street Sakura Executive Village , Maraouy Lipa City</t>
  </si>
  <si>
    <t>2019-24</t>
  </si>
  <si>
    <t>2019 Regional Invention Contest and Exhibit in Region III</t>
  </si>
  <si>
    <t>Region III</t>
  </si>
  <si>
    <t>2019-25</t>
  </si>
  <si>
    <t>2019 Regional Invention Contest and Exhibit in Cordillera Administrative Region (CAR)</t>
  </si>
  <si>
    <t>2019 Regional Invetion Contest and Exhibit in CALABARZON</t>
  </si>
  <si>
    <t>DOST- CALABARZON</t>
  </si>
  <si>
    <t>IV-A</t>
  </si>
  <si>
    <t>2019 Regional Invention Contest and Exhibits in DOST Region II</t>
  </si>
  <si>
    <t>Region 2</t>
  </si>
  <si>
    <t>2019 Regional Invention Contest and Exhibits in DOST Region XII</t>
  </si>
  <si>
    <t>Region 12</t>
  </si>
  <si>
    <t xml:space="preserve">Purchase Order Financing Program for Tropical Citrus Fresh Beverages, Inc. </t>
  </si>
  <si>
    <t xml:space="preserve">Alfred T. Briones Jr.                                                                                         President and CEO                                                                                       Tropical Citrus Fresh Beverages , Inc.                                                         </t>
  </si>
  <si>
    <t>018 Calumpit Street , Brgy. Sto. Cristo San Isidro, Nueva Ecija</t>
  </si>
  <si>
    <t>Upgrading the Micro-Propagation capability of Masikhay Microplants Nursery</t>
  </si>
  <si>
    <t>Emmanuel L. Bernardo</t>
  </si>
  <si>
    <t>CSU Biotech Breeding Center</t>
  </si>
  <si>
    <t>Cagayan State University</t>
  </si>
  <si>
    <t>Set Net Fishing (Lambaklad)</t>
  </si>
  <si>
    <t>Expansion of Tissue Culture Laboratory and Seeding Nursery for the Promotion and Commercialization In-vitro Culture Technology</t>
  </si>
  <si>
    <t>Pampanga Agricultural College (PAC)</t>
  </si>
  <si>
    <t>Purchase Order Financing Towards Progressive Commercialization of Ironmate Economizer</t>
  </si>
  <si>
    <t>Econolux Enterprises</t>
  </si>
  <si>
    <t>Intensive Grow-out Production and Hatchery Operation of Tilapia</t>
  </si>
  <si>
    <t>Subic Reality Corporation</t>
  </si>
  <si>
    <t>Bicol SME One Stop Technology Center</t>
  </si>
  <si>
    <t>Metro Naga Chamber of Commerce and Industry (MNCCI)</t>
  </si>
  <si>
    <t>Application of DLC Handicraft to Avail of Purchase Order Financing</t>
  </si>
  <si>
    <t>Magdaleno C. Dagaas</t>
  </si>
  <si>
    <t>Alternative Synchronous Electric Motor and Energy Device (UM-2-2015-000127)</t>
  </si>
  <si>
    <t>Jose S. Aldea</t>
  </si>
  <si>
    <t xml:space="preserve">Passenger Jeep having LPG-Fueled Engine Eco-Jeepney </t>
  </si>
  <si>
    <t>Ricardo A. David</t>
  </si>
  <si>
    <t xml:space="preserve">Capacity Building for TAPI Employees on Intellectual Property Rights Particulary on Patent Drafting, Patent Information Search and Graphic Designs </t>
  </si>
  <si>
    <t>Cabagan, Isabela</t>
  </si>
  <si>
    <t xml:space="preserve">Roy C. Nacua                                                                                                </t>
  </si>
  <si>
    <t>Block 12 Lot 15 Phase 2B Villa Leyson Subd., Bacayan, Cebu City</t>
  </si>
  <si>
    <t xml:space="preserve">Kenn B. Marciano                                                                                            </t>
  </si>
  <si>
    <t>2564 Taal Street, Brgy 759, Zone 082, Sta. Ana Manila</t>
  </si>
  <si>
    <t>Food Processing in Magsikap , RIzal, Occidental Mindoro</t>
  </si>
  <si>
    <t>Tropical Bounty Foods (TBF)</t>
  </si>
  <si>
    <t>Blk 45, Lot 27, Rosa Mistica Street,Greater Lagro Subd., Quezon City</t>
  </si>
  <si>
    <t>DOST Taguig City</t>
  </si>
  <si>
    <t>Fabrication of Prototype Model for a "Shallow Draft Boat (Fast Boat)</t>
  </si>
  <si>
    <t>Aselo J. Moncada</t>
  </si>
  <si>
    <t xml:space="preserve">Dr. Raul V. Destura                                                                                               President/CEO                                                                                                 Manila Healthtek , Inc.                                                                                     </t>
  </si>
  <si>
    <t>109 Gil Fernando Ave., Sta. Elena Marikina</t>
  </si>
  <si>
    <t>Adoption of Charcoal Briquetting Technology to Utilize Filo Handicrafts Wood Waste into another Product</t>
  </si>
  <si>
    <t xml:space="preserve">Victor B. Li                                                                                                           Owner/Manager                                                                                          </t>
  </si>
  <si>
    <t>222 Pilar Street (A) Brgy. Addition Hills, Mandaluyong City</t>
  </si>
  <si>
    <t xml:space="preserve">Atty. Maria Lourdes E. Rivera                                                                             Corporate Secretary &amp; Treasurer                                                                   Kapfer and River United, Inc.                                                                          </t>
  </si>
  <si>
    <t>Office: Unit 2001 Jollibee Plaza Condominium, F. Ortigas Road, Pasig City</t>
  </si>
  <si>
    <t>Regional Science and Technology Center, Jamboree Rd, Los Baños, Laguna</t>
  </si>
  <si>
    <t>2019-01-Ad ref</t>
  </si>
  <si>
    <t xml:space="preserve">Testing </t>
  </si>
  <si>
    <t>Implementing Guidelines of the Invention Testing and Laboratory Analyses Assistance Program</t>
  </si>
  <si>
    <t>This is the comments form the Invention Development Division (IDD), Technology Information and Promotion Division (TIPD)
and from the Finance and Administrative Division (FAD) Including from the Legal Unit are already incorporated in the
Implementing Guidlines.</t>
  </si>
  <si>
    <t>2019-02-Ad ref</t>
  </si>
  <si>
    <t>AWARD</t>
  </si>
  <si>
    <t>Guideline on the Grant of the Gawad MASALIGAN Award</t>
  </si>
  <si>
    <t>The award is an acronym for the Phrase "Maasahan sa Lipunan, Galing sa Negosyo", which represents an attribute of good  beneficiary of the Venture Financing Program, a successful business with a notable impact on society.
It is given to the best beneficiary, the Venture Financing Program (VFP), in terms of its success in refunding the assistance. provided, and it is given to recognize the beneficiary (MSMEs) of the VFP's efforts to diligently adhere to then provisions of the signed Memorandum of Agreement, as well as to improve production conditions and the environment for both parties' employees and customers,includes a plaque of appreciation and a cash incentive amounting to fifty thousand pesos (P50,000), and the possible nominees are the beneficiaries, which are the Micro, Small and Medium Enterprises (MSMEs) of the completed projects of the (VFP) from 2010 to 2018.</t>
  </si>
  <si>
    <t>2019-03-Ad ref</t>
  </si>
  <si>
    <t>Request for the change on the period of 2019 TECHNICOM Awards TECHNICOM Completed Projects Inclusive Years of the Awards from 2013-2017 (5 Years)</t>
  </si>
  <si>
    <t>This request for reconsideration is to change the inclusive years of the awards from 2013-2015 to 2013-2017 in order to accommodate more possible nominees and a sense of completion amongst possible nominees.</t>
  </si>
  <si>
    <t>2019-04-Ad ref</t>
  </si>
  <si>
    <t>Approval of the guidelines TECHNICOM Program Awards</t>
  </si>
  <si>
    <t>This is the Guidelines on the Technology Innovation for Commercialization Program Awards has been approved by TAPI Execom during its Special Meeting on 17 January 2019.</t>
  </si>
  <si>
    <t>2019-05-Ad ref</t>
  </si>
  <si>
    <t>Guidelines on the Grant of the Gawad SALIN Award</t>
  </si>
  <si>
    <t>This is an award given to the best Technology Transfer and Business Development Officer (TTBDO).who facilitated the number of technologies transferred to the intended market of their institute to recognize the role and efforts of the Technology Transfer and Business Development Officer (TTBDO), who facilitates the fast and efficient transfer of DOST-generated technologies to the industry and the award
shall include a plaque and a cash incentive amounting to twenty thousand pesos (P20,000) for the possible nominees, which are the Technology Transfer and Business Development Officers (TTBDO) who facilitated the most number of technologies transferred to the industry from 2016 - 2018 of the DOST RDIs thru Technology Transfer  Day and Fairness Opinion Board Projects.</t>
  </si>
  <si>
    <t>2019-06-Ad ref</t>
  </si>
  <si>
    <t>Guidelines on the Grant of the Gawad Katha-Likha (Research and Individual Inventor Category)</t>
  </si>
  <si>
    <t>This award recognizes the efforts of the inventor and researcher who have contributed to the country's innovation by disclosing their valuable knowledge on their filed intellectual properties with the assistance of TAPI. It will be given to the nominee, who is any Filipino citizen who filed the most number of IP applications through TAPI's Intellectual Property Assistance Program, and the award will include a trophy or plaque of recognition and a cash incentive amounting to twenty thousand pesos (P20,000.00).</t>
  </si>
  <si>
    <t>2019-07-Ad ref</t>
  </si>
  <si>
    <t>Guidelines on the Grant of the Gawad KATHA-LIKHA (RDI Category)</t>
  </si>
  <si>
    <t>This award is given to the DOST RDI which disclosed their valuable knowledge on their filed intellectual properties through the assistance of TAPI, to recognize the efforts of the DOST RDI which has contributed to the country's innovation.
It will be given to the nominee, who shall be a DOST RDI that filed the most IP applications through the Intellectual Property Assistance Program of TAPI and the initial awards that will be given in the year 2019 shall cover the
IPs filed from 2010 up to 2018 shall include a trophy or plaque of recognition.</t>
  </si>
  <si>
    <t>This is a one day forum primarily to transfer the knowledge of DR. Brian S. Bantugan's research on the production
and use of Digitized Arts in the Campaign to increase public's level of awareness on HIV/ AIDS.</t>
  </si>
  <si>
    <t>2nd Floor, Administration Building, San Fabian, Echague, Isabela 3309</t>
  </si>
  <si>
    <t>The organic farm mixed feed formulation developed by ISU students is a result of the study conducted by them, wherein egg Production is higher when birds are fed a farm-mixed formulation than when they are given single foodstuffs like grated coconut, Either palay or corn.For this project, the feed formulation contains a higher amount of carotene for attractive skin, including legumes. and forage grasses due to their high vitamin D content, which improved the nutrient density of the eggs and meat.</t>
  </si>
  <si>
    <t xml:space="preserve">The objective of the Forum is to introduce the system and equipment developed by the local Filipino inventors 
to building owners, engineers and managers on the innovative environmental equipment, process and apparatus 
necessary to comply with the government regulatory requirement on solid, water and toxic hazardous waste.
</t>
  </si>
  <si>
    <t>DMMMSU-MLU Campus, City of San Fernando, La Union</t>
  </si>
  <si>
    <t>The financial assistance is for DOST I's request for the fabrication and hauling of exhibits for the 2019 Regional Science and Technology Week (RSTW) chargeable against the Institutional Support for Trade and Exhibitions (ISTE) Program.</t>
  </si>
  <si>
    <t>Diosdado Macapagal Regional Government Center, Maimpis, City of San Fernando, Pampanga</t>
  </si>
  <si>
    <r>
      <rPr>
        <sz val="10"/>
        <color theme="1"/>
        <rFont val="Arial"/>
      </rPr>
      <t>The financial assistance is for DOST III's request for the f</t>
    </r>
    <r>
      <rPr>
        <b/>
        <sz val="10"/>
        <color theme="1"/>
        <rFont val="Arial"/>
      </rPr>
      <t>abrication/rental of exhibit booth/venue</t>
    </r>
    <r>
      <rPr>
        <sz val="10"/>
        <color theme="1"/>
        <rFont val="Arial"/>
      </rPr>
      <t xml:space="preserve"> for the 2019 Regional Science and Technology Week (RSTW) chargeable against the Institutional Support for Trade and Exhibitions (ISTE) Program.
</t>
    </r>
  </si>
  <si>
    <t>Regional Center Site, Rawis, Legazpi City</t>
  </si>
  <si>
    <r>
      <rPr>
        <sz val="10"/>
        <color theme="1"/>
        <rFont val="Arial"/>
      </rPr>
      <t xml:space="preserve">The financial assistance is for DOST V's request for the </t>
    </r>
    <r>
      <rPr>
        <b/>
        <sz val="10"/>
        <color theme="1"/>
        <rFont val="Arial"/>
      </rPr>
      <t>fabrication and installation of booth/technology exhibits</t>
    </r>
    <r>
      <rPr>
        <sz val="10"/>
        <color theme="1"/>
        <rFont val="Arial"/>
      </rPr>
      <t xml:space="preserve"> for the 2019 Regional Science and Technology Week (RSTW) chargeable against the Institutional Support for Trade and Exhibitions (ISTE) Program.
</t>
    </r>
  </si>
  <si>
    <r>
      <rPr>
        <sz val="10"/>
        <color theme="1"/>
        <rFont val="Arial"/>
      </rPr>
      <t xml:space="preserve">The financial assistance Is for DOST VIII's request for the </t>
    </r>
    <r>
      <rPr>
        <b/>
        <sz val="10"/>
        <color theme="1"/>
        <rFont val="Arial"/>
      </rPr>
      <t>exhibit fabrication</t>
    </r>
    <r>
      <rPr>
        <sz val="10"/>
        <color theme="1"/>
        <rFont val="Arial"/>
      </rPr>
      <t xml:space="preserve"> for the 2019 Regional Science and Technology Week (RSTW) chargeable against the Institutional Support for Trade and Exhibitions (ISTE) Program.
</t>
    </r>
  </si>
  <si>
    <t>#2 Dalan na Paccurufon cor. Matunong Street, Regional Government Center, Carig Sur, Tuguegarao City, Cagayan</t>
  </si>
  <si>
    <r>
      <rPr>
        <sz val="10"/>
        <color theme="1"/>
        <rFont val="Arial"/>
      </rPr>
      <t>The financial assistance is for</t>
    </r>
    <r>
      <rPr>
        <b/>
        <sz val="10"/>
        <color theme="1"/>
        <rFont val="Arial"/>
      </rPr>
      <t xml:space="preserve"> DOST II's </t>
    </r>
    <r>
      <rPr>
        <sz val="10"/>
        <color theme="1"/>
        <rFont val="Arial"/>
      </rPr>
      <t>request for the design and fabrication of exhibit booths for the  2019 RSTW chargeable against the Institutional Support for Trade and Exhbitions (ISTE) Program.</t>
    </r>
  </si>
  <si>
    <t>4th Floor, DOST-PTRI Bldg., Bicutan, Taguig</t>
  </si>
  <si>
    <r>
      <rPr>
        <sz val="10"/>
        <color theme="1"/>
        <rFont val="Arial"/>
      </rPr>
      <t xml:space="preserve">The financail assistance is for </t>
    </r>
    <r>
      <rPr>
        <b/>
        <sz val="10"/>
        <color theme="1"/>
        <rFont val="Arial"/>
      </rPr>
      <t>DOST-MIMAROPA's</t>
    </r>
    <r>
      <rPr>
        <sz val="10"/>
        <color theme="1"/>
        <rFont val="Arial"/>
      </rPr>
      <t xml:space="preserve"> request for the fabrication/rental of exhibit booth for the 2019 Regional Science and Technology (RSTW) chargeable against the Institutional Support for Trade Exhibitions (ISTE) Program.</t>
    </r>
  </si>
  <si>
    <t>Magsaysay Village, La Paz, Iloilo City</t>
  </si>
  <si>
    <r>
      <rPr>
        <sz val="10"/>
        <color theme="1"/>
        <rFont val="Arial"/>
      </rPr>
      <t xml:space="preserve">The financial assistance is for </t>
    </r>
    <r>
      <rPr>
        <b/>
        <sz val="10"/>
        <color theme="1"/>
        <rFont val="Arial"/>
      </rPr>
      <t>DOST Region VI's</t>
    </r>
    <r>
      <rPr>
        <sz val="10"/>
        <color theme="1"/>
        <rFont val="Arial"/>
      </rPr>
      <t xml:space="preserve"> request for the fabrication and rental of booth for the 2019 National Science and Technology Week (NSTW) chargeable against the Institutional Support for Trade and Exhibitions  (ISTE) Program.</t>
    </r>
  </si>
  <si>
    <t xml:space="preserve">Promotion of S&amp;T Initiate for Region X through the conduct of the NSTW 2019 </t>
  </si>
  <si>
    <t>J.V. Serina Street, Carmen</t>
  </si>
  <si>
    <r>
      <rPr>
        <sz val="10"/>
        <color theme="1"/>
        <rFont val="Arial"/>
      </rPr>
      <t xml:space="preserve">The financial assistance is for </t>
    </r>
    <r>
      <rPr>
        <b/>
        <sz val="10"/>
        <color theme="1"/>
        <rFont val="Arial"/>
      </rPr>
      <t>DOST Region X's</t>
    </r>
    <r>
      <rPr>
        <sz val="10"/>
        <color theme="1"/>
        <rFont val="Arial"/>
      </rPr>
      <t xml:space="preserve"> request for the fabrication of exhibit materials and rental of venue for the 2019 Regional Science and Technology Week (RSTW) chargeable against the Institutional Support for Trade and Exhibitions (ISTE) Program.</t>
    </r>
  </si>
  <si>
    <t>DOST compound, Taguig</t>
  </si>
  <si>
    <t>The financial assistance is for PCHRD's request for the fabrication and installation of exhibit materials for the 2019 National Science and Technology Week (NSTW) chargeable against the Institutional Support for Trade and Exhibitions (ISTE) Program.</t>
  </si>
  <si>
    <t>Km. 6, Halsema Hi-way, La Trinidad City, Benguet</t>
  </si>
  <si>
    <t>The target participants are secondary and tertiary level students and teachers from schools and universities in the provinces of Kalinga and Mountain Province. The seminar- workshop is proposed to be condicted on April 11-12, 2019  at the Kalinga State University (College) and on April 15-16, 2019 at Mt. Province General Comprehensive High School (High School).</t>
  </si>
  <si>
    <t>PAGASA Science Garden Complex, BIR Road, Quezon City</t>
  </si>
  <si>
    <t>The financial assistance is for PAGASA's request for the fabrication of exhibit materials for the 2019 NSTW chargeable against the Institutional Support for Trade and Exhibitions (ISTE) Program.</t>
  </si>
  <si>
    <t>The financial assistance is for SEI's request for the Design, Production, Set-up and after show delivery of S&amp;T Human Resources Development Cluster Exhibit for the 2019 NSTW chargeable against the Institutional Support for Trade and Exhibitions (ISTE) Program.</t>
  </si>
  <si>
    <t>The financial assistance is for DOST-NCR's request for the design and Fabrication of Regional Office Exhibit Booth for the 2019 NSTW chargeable against the Institutional Support for Trade and Exhibitions (ISTE) Program.</t>
  </si>
  <si>
    <t>NORMISTST Campus Ampayon, Butuan City</t>
  </si>
  <si>
    <t>XIII</t>
  </si>
  <si>
    <t>The financial assistance is for DOST-CARAGA's request for the fabrication of exhibit materials and booth system for the 2019 Regional Science and Technology Week (RSTW) chargeble against the Institutional Support for Trade and Exhibitions (ISTE) Program.</t>
  </si>
  <si>
    <t>Rapha Health Institute, Inc., Level 4, Greenbel 5, Ayal Center, Makati City</t>
  </si>
  <si>
    <t>Ms. Ruth O. Yanga is requesting testing assistance for her UM, "A Herbal Tea Composition." The herbal tea comprises of turmeric, or Cucuma longa, and ginder or Zingiber officinale powder, with spices of Cinnamon, Colander, Anise, Cumin, and Cloves.
The objective of the test is to determine the nutritional and chemical content of the utility model and to have it undergo microbiological analysis as a requirement for Food and Drug Administration (FDA) registration.</t>
  </si>
  <si>
    <t>Libungan, North Cotabato</t>
  </si>
  <si>
    <t>Mr. Alphy C. Ferraren is requesting for testing assistance for his Utility Model, "A Mobile Phone Multiple Charger Device".
The Utility Model relates in general to charger devices but more particularly to a mobile phone charger device that can be used for charging using an AC or DC power supply source.</t>
  </si>
  <si>
    <t>Innovation Ville is a DOST-PCIEERD exhibition that presents innovations in energy, environment, and natural resources on water and food that the Council has enabled in a popular and understandable format.It is presented in a  village-style exhibition demonstrating how these innovations can be seen in an ideal setting in the Filipino community.</t>
  </si>
  <si>
    <t>Pettit Barracks, Zamboanga City</t>
  </si>
  <si>
    <t>The Regional Science and Technology Week (RSTW 2019) aims to promote public awareness on different DOST programs and services as well as breakthroughs in the field of science, technology and innovations. The activities will be highlighted by the following activities: Exhibits of Region IX products of MSMES, selected technology solution developed or funded by DOST, showcase of 30 inventions, UMs &amp; researches during RICE 2019; forum on key technologies, dialogue with inventors and researchers on IP and IPR and technology trainings.</t>
  </si>
  <si>
    <t>Ms. Yanga is requesting for testing assistance for the "Pain Relief Ointment Composition" to ensure that the product is safe from harmful microorganisms such as yeasts and molds, E. coli, salmonella, etc. The formulated ointment addresses the problem of muscle soreness/tension, muscle cramps, fatigue and rheumatism, headache, arthritic and back pain, bone and joint pain and pain caused by varicose veins.</t>
  </si>
  <si>
    <t>The International Linkages Cluster will showcase Sustainable Development Goal 10: Reduced Inequalities and Sustainable Development Goal 17: Partnerships for the Goals. The Exhibit will showcase how Science, Technology and Innovation (STI) partnerships and science diplomacy contributes to the attainment of reduced inequalities for developing countries, It will also showcase how partnerships result to mutual benefits for both parties and addresses the challenges of global goals.</t>
  </si>
  <si>
    <t>Regional Government Center, Cotabato City</t>
  </si>
  <si>
    <t>DOST Region XII is aggresively promoting Science, Technology and Innovation (STI) in the region and in the country as a
whole, For this year, DOST Region XII will conduct various activities such as S&amp;T Exhibits showcasing the DOST Progrmas
and Projetcs as well promote the products and services of DOST XII's beneficiaries to create and provide for new business oppotunities.</t>
  </si>
  <si>
    <t>JV Serina Street, Carment, Cagayan de Oro City</t>
  </si>
  <si>
    <t>The Bukidnon  State University-Elementary Laboratory School recognizes the important role of science and technology in
economic and social development by encouraging the learner's young minds to pursue a science-related career that would
make them professional inventors, researchers and scientists in the near future. The ISP for Elementary learners involves
the conduct of a whole day seminar-workshop for Grade 4-6 in private or public schools.</t>
  </si>
  <si>
    <t>The National Research Council of the Philippines (NRCP) takes the lead in the conceptualization of the Cluster Exhibit
on "Cities, History and Heritage" for the 2019 NSTW. This year's NSTW theme is centered on the promotion of the United
Nation's Sustainable Development Goals (SDG). The Cities Cluster will focus on Goal 11 Sustainable Cities and Communicates
which tackles on how cities should strengthen its efforts and safeguard the world's cultural and natural heritage.</t>
  </si>
  <si>
    <t>The DOST-NCR will spearhead the applications of Science, Technology and Innovation (STI) in the National Capital Region (NCR).
The DOST-NCR will perform a function that significantly contributes in enhacing the ingenuity and creativity of local researchers, inventors and innovators in collaboration with DOST-TAPI.</t>
  </si>
  <si>
    <t>Lahug S&amp;T Complec, Sudlon, Cebu City</t>
  </si>
  <si>
    <t>For this year's RICE in DOST Region VII, It continues to partner with the Cebu Chamber of Commerce &amp; Industry in intensifying the improvement and awareness of technology and innovation in promoting the Filipino's creativity, inventiveness and ingenuity and harnessing their talents to attach high growth and sustainability.</t>
  </si>
  <si>
    <t>Mag-Ao, Iloilo City</t>
  </si>
  <si>
    <t>This would be the first conduct of the Invent School in Miag-ao, Iloilo. Moreover, the conduct of the Seminar Workshop will serve as the venue for the on-the-job training (OJT) for the PSHS to complete their Trainor's Training Course under the "Capacity Building for Philippine Science High School (PSHS) for the Invent School Implementation."</t>
  </si>
  <si>
    <t>Dumanlas Road, Bajada, Davao City</t>
  </si>
  <si>
    <t>DOST Region XI in partnership with the Deparment of Education-Davao City envisions to raise a young generation of innovators, inventors and scientists who are equip with knowledge and skills competent enough to contribute in solving the current challenges of the nations. The conduct of the IPS Seminar-Workshop will serve as the venue for the on-the-job training (OJT) for the PSHS to complete their Trainor's Training Course under the project "Capacity Building for PSHS for the Invent School Implementation".</t>
  </si>
  <si>
    <t>The CY 2019 Regional Invention Contest and Exhibits (RICE) will serve as the elimination/qualifying round for  the National Invention Contest and Exhibits (NICE) scheduled in July 2020. The conduct of this year's RICE is  simultaneous with the celebration of the Regional Science and Technology Week in the region.</t>
  </si>
  <si>
    <t>4/F DOST-PTRI Bldg, Gen. Santos Ave., Bicutan, Taguig City</t>
  </si>
  <si>
    <t>This year's Regional Invention Contest and Exhibit (RICE) will be in Puerto Princesa City, Palawan on October 16-18, 2019. 
The three-day event will provide an avenue to boast MIMAROPA's ingenuity, innovation and creativeness. It will also  encourage the people in the countryside to continue inventing and innovating technologies that can contribute to the solutions to the challenges of the society.</t>
  </si>
  <si>
    <t>In CY 2019, the Technology Application and Promotion Institute in cooperation with DOST-NCR have conducted the Invent School Program (ISP) for High School and Elementary students. The program stimulated students and faculty's  interest for creativty and inventiveness and created awareness in Intellectual Property Rights (IPR),  Prototype Development and Commercialization of Inventions. DOST-NCR again requested for the conduct of the activity  in the unvilsted Municipalities of NCR for Elementary Level.</t>
  </si>
  <si>
    <t>The CY 2019 Regional Invention Contest and Exhibits (RICE) will be conducted simultaneously with the Regional Science  and Technology Week (RSTW) celebration in 16-20 September 2019 in Batac City, Ilocos Norte.</t>
  </si>
  <si>
    <t>Liloy, Zamboanga del Norte</t>
  </si>
  <si>
    <t>The Invent School Program involves a conduct of two-day seminar-workshop in private and public schools in Liloy,  Zamboanga del Norte in cooperation with the inventors' group and LGU covering awareness on IPR, prototype development  and commercialization of inventions. The program will provide an opportunity for students not only to develop their creativity and potential but also to awaken their true ingenuity; and serve as a starting ground for young Filipino inventors.</t>
  </si>
  <si>
    <t>Legazpi City</t>
  </si>
  <si>
    <t>The Invent School Program involves a conduct of two-day seminar-workshop in the identified private and public elementary schools in Legazpi City. DOXT-V together with DepEd V will involve in this activity. As particiants, they can enhance their knowledge/skill on creative thinking, problem solving, decision making, and invention development, among others. 
The program aims to stimulate students' interest for creativity and inventiveness. It will provide an opportunity for students not only to develop their creativity and potential but to also awaken their true ingenuity; and serve as a starting ground for young Filipino inventors.</t>
  </si>
  <si>
    <t>The Invent School Program involves a conduct of a seminar-workshop in the identified state universities and colleges  (SUCs) and privats HEls in Region V. DOXT-V together with DepEd V will involve in this activity. As particiants, they can enhance their knowledge/skill on creative thinking, problem solving, decision making, and invention development, among others.
The program aims to stimulate students' interest for creativity and inventiveness. It will provide an opportunity for students not only to develop their creativity and to also awaken their true ingenuity, and serve as a starting ground for young Filipino inventors.</t>
  </si>
  <si>
    <t>Region 1</t>
  </si>
  <si>
    <t>The Institute supports the development of future inventors among the youth through the conduct of workshops for them to  craft solutions and help in solving the country's pressing concerns. The Invent School Program, which the Institute has developed, aims to stimulate the creativity and innovativeness of the students and promote awareness on intellectual property rights.
The ISP seminar-workshop will boost the student- participants' critical thinking and innovativeness in developing their skills and perseverance to become the future researchers and innovators. This is in one with the school-beneficiaries' goal to enhance the interest of their pupils and teachers in science and technology and innovation (STI).</t>
  </si>
  <si>
    <t>84 2nd Ave., Grace Park, Caloocan City</t>
  </si>
  <si>
    <t>The patent-pending product entitled "Extracted Herbal Oil from Ingredient Plants (Salvare Healing Oil)" of Ms. Santos is said to contain 14 herbal ingredients and a light essential oil, and it can be applied externally without difficulty. side effects, for it does not contain any harmful ingredients.
Ms. Santos also claims that based on actual usage and testimonials, the said healing oil is proven effective, especially to those suffering from psoriasis, eczema, gangrene, and all kinds of itchiness; and reduces keloids and eye bugs with no side effect, and the objective of the tests is to determine the claims made by Ms. Santos that the "Salvare Healing Oil" is safe and has no harmful ingredients, and to validate if there are really no chemicals added to the product.</t>
  </si>
  <si>
    <t>The request for realignment of the Line-Item Budget covers the venue/exhibit booth rental and representation expenses. The realigned budget will not entail additional cost from TAPI.</t>
  </si>
  <si>
    <t>Region V</t>
  </si>
  <si>
    <t>The CY 2019 BRICE is designed to showcase Bicolona's ingenuity and potentials for invention development.
This event will continually encourage researchers and inventors in the region to develop worthwhile improvements and bring out their innovativeness in doing outstanding researches/inventions in the field of science and technology.</t>
  </si>
  <si>
    <t>Region VIII</t>
  </si>
  <si>
    <t>This year's 5th conduct of RICE in Region VIII, which will be implemented by DOST VIII in partnership with TAPI, has a theme entitled "Science for the People: Inventions and Innovations for Sustainable Development".
This event will continually encourage researchers and inventors in the region to develop worthwhile improvements and bring out their innovativeness in doing outstanding researches/inventions in the field of science and technology.</t>
  </si>
  <si>
    <t>Region VI</t>
  </si>
  <si>
    <t>The CY 2019 RICE in Region VI will provide a venue for regional participant/stakeholders to showcase products of creativity, inventiveness and ingenuity; and enhance awareness on Filipino inventions and their contribution to the national development.
This event will also encourage researchers and inventors in the region to continually develop worthwhile improvements and bring out their innovativeness in doing outstanding researches/inventions in the field of science and technology.</t>
  </si>
  <si>
    <t>266,963=6,232,775-5,965,812</t>
  </si>
  <si>
    <t>Automated Manufacturing of Molecular Diagnostic Kits</t>
  </si>
  <si>
    <t>Dr. Raul V. Destura</t>
  </si>
  <si>
    <t>Manila Health Tek, Sta. Elena N. Fernandez Ave., Marikina City</t>
  </si>
  <si>
    <t>The Manila Health Tek, Inc. (MHI) requesting for realignment of the Line-Item-Budget to utilize the savings amounting to P266,963.00 from the purchase of one (1) unit liquid handling machine as approved in the MOA. The project was partially liquidated as per submission of AFR as of August 2017, and the tagging of the liquid handling machine and inventory of equipment were conducted last 24 January 2018. Moreoever, MHI is updated on its remittance of refund and secured with PDCs forwarded toTAPI-Cashier.
The approval of the use of UB, subject to submission of FR &amp; ammendment of MOA, will not entail additional cost from TAPI.</t>
  </si>
  <si>
    <t>DOST Region IX</t>
  </si>
  <si>
    <t>The DOST-IX in partnership with TAPI envisions to raise a young generation of innovators, inventors and scientists who are equipped with knowledge and skills competent enough to contribute in solving the current challenges of the nation.
The Invent School Program involves a conduct of two-day seminar-workshop in private and public schools in Pagadian, Zamboanga del Sur in cooperation with the inventors' group and LGU covering awareness on IPR, prototype development and commercialization of inventions. The program will provide an opportunity for students not only to develop their creativity and potential but also to awaken their true ingenuity; and serve as a starting ground for young Filipino inventors.</t>
  </si>
  <si>
    <t>The Invent School Program for Grades 4-6 involves the conduct of a whole day seminar-workshop. Its purpose is to stimulate the creativity and innovativeness of the students and promote awareness on intellectual property rights.
The DOST-II in partnership with TAPI aims to capacitate elementary schools in the region and encourage their students to be equipped with the necessary basic skills to become the future researchers/inventors.</t>
  </si>
  <si>
    <t>Rapha Health Institute, Inc., Level 4 Greenbel 5, Ayala Center, Makati City</t>
  </si>
  <si>
    <t>Ms. Ruth O. Yanga claims that her utility model "A Herbal Tea Composition" is the perfect drink for someone with colds. The said tea blend is rich in anti-oxidants that can help lower the risk of many health disorders and slow down the aging process by combating cellular damage caused by free radical activity. The herbal tea contains turmeric/Cucuma longa and ginger/Zingeber officinale powder with spices of Cinnamon, Coriander, Anise, Cumin and Cloves. And each tea bag of the herbal tea composition contains 0.2 grams stevia as natural sweetener.
The objective of the tests that will be performed by Sentrotek Corporation is to determine the presence of heavy metals (Mercury, Arsenic, Cadmium and Lead) in the herbal tea.</t>
  </si>
  <si>
    <t xml:space="preserve">Mr. Roderick R. Nicolas </t>
  </si>
  <si>
    <t>736 Maginhawa St., United Subdivision, San Pedro, Laguna</t>
  </si>
  <si>
    <t>The patent-pending device of Mr. Nicolas aims to create alkaline fuel cell that can further improve the production of hydrogen. Injecting a small amount of hydrogen vapor into the vehicle engine mixed with normal fuel will greatly improve the fuel's octane rating. This causes a chain reaction dramatically increasing the vehicle's horsepower and produces a complete burning of all the fuel in the vehicle's gas tank.
The objective of the test, which will be performed by the U.P. Vehicle Research and Testing Laboratory (UPVRTL), is to determine the fuel economy and maximum wheel power of the vehicle/s that will be installed with the AFC-HPS Hydrogen Fuel Cell.</t>
  </si>
  <si>
    <t>Program Students involves the conduct of two-day seminar- workshop. purpose is stimulate the and innovativeness of students and awareness on intellectual property rights (IPR). provides an opportunity students not only develop their creativity potential but also awaken their true ingenuity; and serves as starting ground for young Filipino inventors.
The DOST-II partnership with TAPI aims capacitate College students to equipped with necessary basic skills to become the future researchers/inventors.</t>
  </si>
  <si>
    <t>B8 L30 Villa Carolina 1, Tunasan, Muntinlupa</t>
  </si>
  <si>
    <t>The patent-pending invention of Mr. Encinas uses a mechanical switch. This switch uses a contact point switch that can hold up to 1,000 watts of motor power permanently installed or built-in device in e-fan parts.
The Auto-Fan Device was tested based on the Philippine National Standards (PNS) IEC 60335-2- 80:2005 under the Safety of household and similar electrical appliances. The test of the device was conducted at the Department of Trade and Industry's Bureau of Philippine Standards (DTI- BPS).</t>
  </si>
  <si>
    <t>The DOST-XI in partnership with the Department of Education Davao City envisions to produce students who are academically equipped, technologically competitive and whose values and competencies enable them to realize their full potential and contribute meaningfully to building the nation.
The DOST-TAPI, through its Invent School Program (ISP), supports this vision and further aims to develop future inventors among the youth through the conduct of two-day seminar-workshop to teach them the craft solutions to solve the country's pressing concerns.</t>
  </si>
  <si>
    <t>The recipient schools in the region aim to enhance the interest of their pupils and teachers in science, technology and innovation (STI).
The Invent School Program (ISP) of the Institute will conduct a two-day seminar-workshop to boost the student-participants' critical thinking and innovativeness in developing their skills and perseverance to become the future researchers and innovators. The Program also aims to stimulate the creativity and innovativeness of the students and promote awareness on intellectual property rights.</t>
  </si>
  <si>
    <t>2019-64</t>
  </si>
  <si>
    <t>TAPI Gender Focal Point System Technical Working Group (GFPS-TWG) Planning Workshop</t>
  </si>
  <si>
    <t>The TAPI GFPS, through the conduct of the Planning Workshop, intends to achieve gender equality and women's empowerment (GEWE) through the formulation of the GAD Agenda, a two-part document consisting of the GAD Strategic Framework and the GAD Strategic Plan, as basis for the annual GAD Plans and Budgets (GPB) of the Institute. The GAD Strategic Framework outlines the agency's GAD Vision, Mission and Goals, while the GAD Strategic Plan, which is a six-year plan, defines the strategic interventions, indicators, and targets to be pursued in achieving the GAD goals. The Planning Workshop will also serve as a venue to review previously developed GAD programs, projects, and/or activities (PAPs) and develop new/specific GAD PAPS aligned with the strategies to be identified with corresponding estimated budget to achieve the desired GAD outcomes for CY 2020.</t>
  </si>
  <si>
    <t>The DOST Region III supports the objective of the DOST-TAPI in developing future inventors among the youth. TAPI's Invent School Program (ISP) will not only help the students develop their creativity and potential but also awaken their true ingenuity.
The Program will conduct a two-day seminar- workshop in private and public schools in the region in cooperation with the inventors' groups, LGUS and NGOs to stimulate creativity and innovativeness of the students to promote awareness on intellectual property rights (IPR).</t>
  </si>
  <si>
    <t>"Mr. and Mrs. Verde" is a vegetable-flavored pancake mix formulation developed by four (4) students from the University of Saint Louis.
The pancake mix has three (3) variants: malunggay and carrot mix, malunggay mix, and carrot mix. The formulation of the product does not contain hydrogenated oil which is present in commercially available pancake mix. The said oil is made through a hydrogenation process wherein a liquid unsaturated fat is turned into a solid fat known as transfat, which can affect heart health.
The student-beneficiaries, with the help of their project advisers from the School of Accountancy, Business and Hospitability, will be responsible in the procurement of raw materials, production, and promotional and selling activities to generate income and to ensure profitability of the finished product.</t>
  </si>
  <si>
    <t>The PhilAAST is one with the advocacy of the DOST to improve the Research and Development (R&amp;D) capacity and capability of higher educational institutions, particularly those in the regions, in order to accelerate the country's industrial competitiveness.
The PhilAAST 68th Annual Convention will adopt the theme "Science for the People: Fostering Center of Excellence in the Regions".
The convention will provide a forum for learning and networking with scientists and technologists; showcase organizational success and achievements in various fields of S&amp;T; share the members' research outputs; and recognize scientists and technologists who have made significant contributions.</t>
  </si>
  <si>
    <t>Region 11</t>
  </si>
  <si>
    <t>The conduct of the “2019 Davao Region and RICE” will encourage more participation from investors/ researchers in the region for the venue take place their The activity will serve as qualifying/ elimination round select regional winners as national qualifiers/finalists to the major awards the 2020 Invention Contest and Exhibit (NICE), the largest invention competition country where entries from 16 regions nationwide compete.
The event will continually encourage inventors in Davao Region to develop worthwhile improvements and bring out their innovativeness in outstanding researches/inventions in the field of science and technology. It will also enhance their creative inventive efforts by providing a venue showcasing products of creativity, inventiveness and ingenuity, create an innovation ecosystem.</t>
  </si>
  <si>
    <t>#7 Quezon St. Zapanta Compound, San Roque, Antipolo, City</t>
  </si>
  <si>
    <t>The Essential Fine Foods, Inc. (EFFI) is requesting for realignment of the Line-Item-Budget to replace the originally requested equipment, meat grinder and meat mixer into a blast freezer to be used for the operations of the company. The project was partially liquidated as per submission of Audited Financial Statements as of August 2019, and the inventory and tagging of the purchased equipment were conducted last 08 August 2019. Moreoever, EFFI is updated on its remittance of refund and secured with PDCs for the first 35 months of amortization dated 01 June 2019 to April 2022.
The approval for realignment of the line-item-budget will not entail additional funds from TAPI.</t>
  </si>
  <si>
    <t>2019-70</t>
  </si>
  <si>
    <t>Revised Implementing Guidelines of the VFP</t>
  </si>
  <si>
    <r>
      <rPr>
        <sz val="10"/>
        <color theme="1"/>
        <rFont val="Arial"/>
      </rPr>
      <t>The</t>
    </r>
    <r>
      <rPr>
        <b/>
        <sz val="10"/>
        <color theme="1"/>
        <rFont val="Arial"/>
      </rPr>
      <t xml:space="preserve"> Revised Implementing Guidelines of the Venture Financing Program (VFP)</t>
    </r>
    <r>
      <rPr>
        <sz val="10"/>
        <color theme="1"/>
        <rFont val="Arial"/>
      </rPr>
      <t xml:space="preserve"> was last presented during the TAPI Executive Committee (ExeCom) Meeting on 07 August 2019. The comments/suggestions of the TAPI ExeCom Members are already incorporated.</t>
    </r>
  </si>
  <si>
    <t>Rizal</t>
  </si>
  <si>
    <t>The National Inventors' Week (NIW) 2019 in CALABARZON aims to foster and develop the economic advancement for Filipino inventors and their inventions/technologies.
The activity will provide a venue for inventors and innovators, and will show their invented products and promote them to the public.
The financial assistance will cover the following:                                                                                                                                                                                                               -Booth fabrication of 40 units (2m x 2m) with sound system and tarpaulin printing (P209,252); and
-Representation (P59,800)</t>
  </si>
  <si>
    <t>Jamerika Enterprise, Inc. #27 Aquarius St., Monpert Hills, San Isidro, taytay, Rizal</t>
  </si>
  <si>
    <t>The DOST-TAPI approved the project of the Jamerika Enterprise, Inc. under the Purchase Order (PO) Facility of the Venture Financing Program on 22 May 2018 covering the purchase of raw materials amounting to P1,405,331.54. The company has already paid 67% of the financial assistance amounting to P936,886 leaving them with an outstanding balance of P468,445.54.
On 06 February 2019, Jamerika Enterprise, Inc. requested for an extension of 30 days for the last payment that TAPI has approved but with a 2% penalty on the unpaid obligation. And on 22 March 2019, the company requested for restructuring for 12 months on the remaining balance but was initially deferred pending the submission of requirements for restructuring.</t>
  </si>
  <si>
    <t>358A G. Amo. Road, Barangay Taysan, North San Jose, Batangas</t>
  </si>
  <si>
    <t>The Eggciting Products Manufacturing (EPM) was established last 2013 to bring the proponent's patented rapid hygenic curing technology to commercial scale. With this innovative technology, they are the only company on the country to manufacture salted eggs in commercial quantities under five (5) days from the traditional method of 18 days or more. The company availed the DOST-SETUP assistance for the fabrication of one (1) set Rapid Hygienic Curing production line equipment with accessories amounting to P900,000.</t>
  </si>
  <si>
    <t xml:space="preserve">PO Financing Program Support to AIJUN Enterprises, Inc. </t>
  </si>
  <si>
    <t>003 A/ Soriano Highway. Ibayo, Silangan, Naic Cavite</t>
  </si>
  <si>
    <t>The AIJUN Enterprises, Inc. (AEI) was established in2009, which specializes in metal works and production  of fire and non-fire rated door jambs made from hot rolled steel and galvanized iron, railings and grills for condominiums.
On 03 November 2015, TAPI provided financial assistance to AEI amounting to P1,930,000 for the acquisition of needed production equipment,which helped the company improved  its metal fabrication process by 300% from their previous manual operation.</t>
  </si>
  <si>
    <t>REGION IV-A</t>
  </si>
  <si>
    <t>Region IV-A</t>
  </si>
  <si>
    <t>2019-03-memo</t>
  </si>
  <si>
    <t>RICE 2019 in CARAGA-Qualifying Rounds for the 2020 National Invention Contest and Exhibits</t>
  </si>
  <si>
    <t>CARAGA</t>
  </si>
  <si>
    <t>Metro Manila</t>
  </si>
  <si>
    <t>2019-07-memo</t>
  </si>
  <si>
    <t>Request for the Approval of the project entitled: "Condudct of the TAPI Executive Briefing on Gender and Development</t>
  </si>
  <si>
    <t>2019-09-memo</t>
  </si>
  <si>
    <t>Request for the Approval of the project enttiele "Conduct of the TAPI Executive Briefing on Gender and Development (GAD)</t>
  </si>
  <si>
    <t>D-104 Hardin ng Bogainvilea, Brgy. UP Campus, Diliman, Quezon City</t>
  </si>
  <si>
    <t xml:space="preserve">A server for an Audio-Visual Emergency Warning or Other Related Purposes </t>
  </si>
  <si>
    <t>B8 L4 Villa Trinitas Subd. Bugo, Cagayan De Oro City</t>
  </si>
  <si>
    <t xml:space="preserve">A roof tile </t>
  </si>
  <si>
    <t xml:space="preserve">Reynaldo P. Cruz </t>
  </si>
  <si>
    <t>No. 9 Jamaica St. Foresthills Subdivision Brgy. Sta. Monica, Novaliches Quezon City</t>
  </si>
  <si>
    <t>2019-14-memo</t>
  </si>
  <si>
    <t>Women Inventors' Summit-Mindanao Cluster</t>
  </si>
  <si>
    <t>Isabela</t>
  </si>
  <si>
    <t>I-D Alley 14, Road 3 Project 6, Quezon City</t>
  </si>
  <si>
    <t>Capitol Site, Jolo, Sulu</t>
  </si>
  <si>
    <t>BARMM</t>
  </si>
  <si>
    <t>Rapha Health Institute, Inc. Level 4 Greenbelt 5, Ayala Center, Makati City</t>
  </si>
  <si>
    <t>84 2nd avenue, Grace Park, Caloocan City</t>
  </si>
  <si>
    <t xml:space="preserve">Pilot Production of the UM- Composition of Coconut-water-treated Bottled Mackerel" </t>
  </si>
  <si>
    <t>M.J Cuenco Avenue, Cebu City</t>
  </si>
  <si>
    <t>072 Almazor St. Maricaban, Brgy. 185, Pasay City 1309</t>
  </si>
  <si>
    <t>Camiling, Tarlac 2306</t>
  </si>
  <si>
    <t>Fatima, General Santos City South Cotabato</t>
  </si>
  <si>
    <t>No.1 Burgos St. Guimbal, Iloilo</t>
  </si>
  <si>
    <t>Digos, Davao</t>
  </si>
  <si>
    <t>Lot 9 Block 2, St. Joseph Village 5, Brgy. Butong, Cabuyao City, Laguna</t>
  </si>
  <si>
    <t>Concept Prototyping Program</t>
  </si>
  <si>
    <t xml:space="preserve">Joseph Victor G. Joaquin                                                                                  President                                                                                                           Endurance Technology Corporation                                                               </t>
  </si>
  <si>
    <t>Lot C.M Recto Street, Valley Subdivisio, Pulong Bulo Brgy, San Fernando City</t>
  </si>
  <si>
    <t xml:space="preserve">Anthony Nicanor Joaquin Bello                                                                       President                                                                                                              JND Manufacturing Industries, Inc.                                                                    </t>
  </si>
  <si>
    <t>9002 Road to Millex Street, Brgy. Manggahan, Rodriguez, Rizal</t>
  </si>
  <si>
    <t xml:space="preserve">Rommel B. Bernardo                                                                                          </t>
  </si>
  <si>
    <t>174 E. Dela Paz Street, San Roque , Marikina City</t>
  </si>
  <si>
    <t>Production and Commercialization of Replex VRM 2000, a Multi-Purpose Repro/Visual Module</t>
  </si>
  <si>
    <t xml:space="preserve">Teodorico E. Castaneda                                                                                         Proprietor                                                                                                      Technology Research and Development Enterprise (TRADE)                                    </t>
  </si>
  <si>
    <t>#43 Morning Star Drive, San Ville Subdivision, Quezon City</t>
  </si>
  <si>
    <t>Marketing of VOCA CDX 101 Stereo System</t>
  </si>
  <si>
    <t xml:space="preserve">Carlos S. Casas                                                                                             President/ Inventor Audio Voca                                                                              </t>
  </si>
  <si>
    <t>#25 Sto. Domingo Avenue Brgy. Nayon Kaunlaran Quezon City</t>
  </si>
  <si>
    <t>Production of Fire Retardant Composition</t>
  </si>
  <si>
    <t>German O. Sobrevilla                                                                                     Inventor/Owner                                                                                                  Gertin Enterprise                                                                                                  A</t>
  </si>
  <si>
    <t>169-E Propiertarios Street, Pasay City</t>
  </si>
  <si>
    <t xml:space="preserve">Ritchie R. Wagas                                                                                              Owner                                                                                                              Wagas Crafts                                                                                                   </t>
  </si>
  <si>
    <t>F. Murillo Street, Poblacion Compostela, Cebu City</t>
  </si>
  <si>
    <t xml:space="preserve">Raul B. Maloloy-on                                                                                                                         Vice President                                                                                                                           Detalia Aurora Incorporated                                                                                                    </t>
  </si>
  <si>
    <t>Zone Paliya, Pakna-an, Mandaue City</t>
  </si>
  <si>
    <t xml:space="preserve">Forest Products Research and Development Institute (FPRDI)                        </t>
  </si>
  <si>
    <t>Narra Street, Forestry Campus College , Los Banos, Laguna</t>
  </si>
  <si>
    <t xml:space="preserve">National Research Council of the Philippine (NRCP) </t>
  </si>
  <si>
    <t xml:space="preserve">STI on the Workplace Cluster: Industry &amp; Farm Sectors </t>
  </si>
  <si>
    <t xml:space="preserve">DOST Region XI                                                                                             </t>
  </si>
  <si>
    <t>Dumanlas Road, Bajada , Davao City, Davao Del Sur</t>
  </si>
  <si>
    <t xml:space="preserve">DOST CAR                                                                                                   </t>
  </si>
  <si>
    <t>BSU Compound La Trinidad, Benguet</t>
  </si>
  <si>
    <t xml:space="preserve">DOST Region X                                                                                                </t>
  </si>
  <si>
    <t>J.P Borja Memorial Hospital Cpd. Carmen, Cagayan de Oro City</t>
  </si>
  <si>
    <t xml:space="preserve">DOST Region XII                                                                                             </t>
  </si>
  <si>
    <t>LTP Complex Cotobato City</t>
  </si>
  <si>
    <t xml:space="preserve">DOST Region VI                                                                                                 </t>
  </si>
  <si>
    <t>Magsaysay Village, La Paz Iloilo City</t>
  </si>
  <si>
    <t xml:space="preserve">DOST Region V                                                                                            Regional Center Site                                                                                      </t>
  </si>
  <si>
    <t>Rawis, Legazpi City</t>
  </si>
  <si>
    <t>2018-44</t>
  </si>
  <si>
    <t>PILOT PLANT</t>
  </si>
  <si>
    <t>Single Phase to Three Phase Converter</t>
  </si>
  <si>
    <t xml:space="preserve">Romeo L. Rivero                                                                                            Rivero Enterprises                                                                                                </t>
  </si>
  <si>
    <t>1116 Musa Street Sampaloc Manila</t>
  </si>
  <si>
    <t>Pilot Assistance Program</t>
  </si>
  <si>
    <t>2018-45</t>
  </si>
  <si>
    <t>Abaca Stripping Machine</t>
  </si>
  <si>
    <t xml:space="preserve">Roger A. Catalo                                                                                            Inventor/Owner                                                                                                 Catalo's Welding Machine Shop                                                                   </t>
  </si>
  <si>
    <t>Real Street, Brgy Songco Borongan, Eastern Samar</t>
  </si>
  <si>
    <t>2018-46</t>
  </si>
  <si>
    <t xml:space="preserve">Conversion of Used Cooking Oil into BioFuel Products </t>
  </si>
  <si>
    <t xml:space="preserve">Emiliano F. Quitiol                                                                                             Inventor/Owner                                                                                              </t>
  </si>
  <si>
    <t>Green Village, Belisario R. Castillo Street Agdao, Davao City</t>
  </si>
  <si>
    <t>2018-47</t>
  </si>
  <si>
    <t>Pilot Production of VOCA Speaker System "Assembly Using the Speaker Unit" 1-2013-000291</t>
  </si>
  <si>
    <t xml:space="preserve">Anthony G. Leuterio                                                                                           Leuterio's Enterprises                                                                                     </t>
  </si>
  <si>
    <t>738 San Jose Street, San Antonio Valley I Paranaque City</t>
  </si>
  <si>
    <t>2018-48</t>
  </si>
  <si>
    <t>Commercialization of Leak Sealiing " Leak Sealing Valve (LSV) for the Brake System of the Motor Vehicle"</t>
  </si>
  <si>
    <t>Melchor L. Henosa                                                                                             Henosa Technologies                                                                                     Lagundi Street, Putting Kahoy, Silang Cavite</t>
  </si>
  <si>
    <t>Lagundi Street, Putting Kahoy, Silang Cavite</t>
  </si>
  <si>
    <t xml:space="preserve">Commercialization of the REDDOPAC Reddopac: The Highly Polymerized Coagulant Application No. 1-2015-000090  </t>
  </si>
  <si>
    <t xml:space="preserve">Aezer L. Cajegas                                                                                           </t>
  </si>
  <si>
    <t>Block 18, Lot 12 Elenita Heights Subdivision Catalunan Grande , Davao City</t>
  </si>
  <si>
    <t xml:space="preserve">Jaime B. Memije                                                                                                 President                                                                                                             Jamerika Enterprises  Inc.                                                                                </t>
  </si>
  <si>
    <t>#27 Aquarius Street Monpert Hills , Brgy. San Isidro Taytay, Rizal</t>
  </si>
  <si>
    <t xml:space="preserve">Emmanuel L. Bernardo                                                                                     Owner                                                                                                            Masikhay Microplants Nursery                                                                          Unit 2, Lina's Orchard                                                                                 </t>
  </si>
  <si>
    <t>San Antonio, Los Banos Laguna</t>
  </si>
  <si>
    <t>2018- 53</t>
  </si>
  <si>
    <t>CY 2018 National Invention Contest and Exhibits (NICE)</t>
  </si>
  <si>
    <t xml:space="preserve">Myra M. Bustillo                                                                                                  Owner/Manager                                                                                                                 John N' Mico Food Products                                                                                                                                                                    </t>
  </si>
  <si>
    <t>#400 San Miguel , Mexico Pampanga</t>
  </si>
  <si>
    <t>2018-57</t>
  </si>
  <si>
    <t xml:space="preserve">Mass Propagation of Banana Tissue Culture in the Cordillera Region </t>
  </si>
  <si>
    <t xml:space="preserve">Louisa U. Cuanguey                                                                                            Proprietor                                                                                                        LC's Tissue Culture Laboratory                                                                      </t>
  </si>
  <si>
    <t>1B-79 Betag, La Trinidad, Benguet</t>
  </si>
  <si>
    <t>2018-58</t>
  </si>
  <si>
    <t>Fabrication of Combustor-Fired Rotary Flash Paddy Dryer For Demonstation</t>
  </si>
  <si>
    <t xml:space="preserve">Rolin G. Espenida                                                                                           Manager                                                                                                             Sorsogon Agro Multi-Purpose  Development Cooperative (SAMUDECO)                                                                                                  </t>
  </si>
  <si>
    <t>Cabid-an, Sorsogon, Sorsogon</t>
  </si>
  <si>
    <t>2018-59</t>
  </si>
  <si>
    <t xml:space="preserve">
Gemstone Processing</t>
  </si>
  <si>
    <t xml:space="preserve">Rosanna B. Chua                                                                                            Proprietor                                                                                                         Far East Rock Shop                                                                                           </t>
  </si>
  <si>
    <t>#60 Tala Street, Matain Subic Zambales</t>
  </si>
  <si>
    <t>2018-60</t>
  </si>
  <si>
    <t>Greenhouse System</t>
  </si>
  <si>
    <t xml:space="preserve">Dr. Teodoro M. Gatchalian                                                                               </t>
  </si>
  <si>
    <t>Quezon National Agricultural School Vocational School Administrator Malicboy, Pagbilao, Quezon</t>
  </si>
  <si>
    <t>2018-61</t>
  </si>
  <si>
    <t>Prototype Development of "Paper Fueled Grill"</t>
  </si>
  <si>
    <t xml:space="preserve">Manuel R. Dono                                                                                                  McGrill Industries                                                                                           </t>
  </si>
  <si>
    <t>34 Ipil Street, Brgy Duyan Duyan Project 3 Quezon City</t>
  </si>
  <si>
    <t>2018- 61A</t>
  </si>
  <si>
    <t>Pinoy Ice Cream</t>
  </si>
  <si>
    <t xml:space="preserve">Jose M. Paguio                                                                                                Owner                                                                                                             3 J's Ice Cream Stick                                                                                        </t>
  </si>
  <si>
    <t>#36 Gloria Diaz Street, Bf Resort Village , Las Pinas</t>
  </si>
  <si>
    <t xml:space="preserve">Manuel M. Malonzo                                                                                            </t>
  </si>
  <si>
    <t>Unit F. No. 16 Quirino Highway Pangarap Caloocan City</t>
  </si>
  <si>
    <t xml:space="preserve">George P. De Guzman                                                                                       Owner                                                                                                           Smoke Belching Solution Center                                                                   </t>
  </si>
  <si>
    <t>253-O Quirino Highway , Baesa Quezon City</t>
  </si>
  <si>
    <t xml:space="preserve">Roberto D. Osido                                                                                            Owner                                                                                                          BDO Herbosido Herbal Products                                                                      </t>
  </si>
  <si>
    <t>#26-C Bagong Silang Street Parang, Marikina</t>
  </si>
  <si>
    <t xml:space="preserve">Ronald P. Pagsanghan                                                                                  Owner                                                                                                              Philtech Boat Designs and Fabrications                                                           </t>
  </si>
  <si>
    <t>San Jose Del Monte City, Bulacan</t>
  </si>
  <si>
    <t xml:space="preserve">Teresita S. Ladanga                                                                                        Vice President/Treasurer                                                                                 Essential Fine Foods, Inc. (EFFI)                                                                    </t>
  </si>
  <si>
    <t>#7 Quezon Street Zapanta Compound , San Roque Antipolo City</t>
  </si>
  <si>
    <t>2018-67</t>
  </si>
  <si>
    <t>2018 Regional Science and Technology Week Celebration -Zamboanga Peninsula</t>
  </si>
  <si>
    <t xml:space="preserve">DOST Region IX                                                                                      </t>
  </si>
  <si>
    <t>Pettit Barracks Zamboanga City</t>
  </si>
  <si>
    <t>STI</t>
  </si>
  <si>
    <t>2018-68</t>
  </si>
  <si>
    <t>National Inventors Week Celebration in Region I</t>
  </si>
  <si>
    <t>DOST Region I                                                                                               Filipino Inventors Society and Mariano Marcos State University</t>
  </si>
  <si>
    <t>2018-69</t>
  </si>
  <si>
    <t>Fabrication of Commercial Prototype Model of "Multiple Wind Energy Sources Wind Powered Turbine Electric Generator"</t>
  </si>
  <si>
    <t xml:space="preserve">Ermildo R. Diamante                                                                                         Inventor/Proprietor                                                                                       ERD Advanced Technology                                                                                   </t>
  </si>
  <si>
    <t>Poblacion National Highway, Sindangan, Zamboanga Del Norte</t>
  </si>
  <si>
    <t xml:space="preserve">Teresa S. Abaya                                                                                                   Owner                                                                                                                 Double M. Merchandise                                                                                   </t>
  </si>
  <si>
    <t>Puro #3 Malapit, Cordon Isabela</t>
  </si>
  <si>
    <t xml:space="preserve">Rommel T. Juan                                                                                                   President                                                                                                               Bienvinido Food Supply Corporation                                                                      </t>
  </si>
  <si>
    <t>3481 -B-2B Sta. Ana Drive Brgy. Sun Valley, Paranaque City</t>
  </si>
  <si>
    <t xml:space="preserve">Emelita A. Rubio                                                                                                Owner/Manager                                                                                                Green Life Coco Products                                                                                 </t>
  </si>
  <si>
    <t>Km. 114 , Brgy Wakas Tayabas City, Quezon</t>
  </si>
  <si>
    <t>2018-74</t>
  </si>
  <si>
    <t>Airflow Vented Ridge Roll</t>
  </si>
  <si>
    <t xml:space="preserve">Ricardo O. Palma                                                                                            President                                                                                                           ROP Constructions                                                                                          </t>
  </si>
  <si>
    <t>No. 6 Spencer Street, Cubao Quezon City</t>
  </si>
  <si>
    <t>2018-75</t>
  </si>
  <si>
    <t>Ira's Coco Processing Center</t>
  </si>
  <si>
    <t xml:space="preserve">Victor P. Ira                                                                                                           </t>
  </si>
  <si>
    <t>#23 Capitol Drive, Oroquieta City</t>
  </si>
  <si>
    <t>2018-76</t>
  </si>
  <si>
    <t>Small Scale Integrated Coconut Processing- Los Banos Fresh Dry Method</t>
  </si>
  <si>
    <t xml:space="preserve">Donato B. Delgado                                                                                         Chairman ( Previous)                                                                                        Guimaras Small Coconut Farmers Multi Purpose Cooperative  (GSCFMPAC)                                                                                                 </t>
  </si>
  <si>
    <t>Brgy. Concordia, Nueva Valencia, Guimaras</t>
  </si>
  <si>
    <t xml:space="preserve">Jose I. Obligacion                                                                                              Chairman (Previous)                                                                                                 Adan V. Laurilla                                                                                                    Chairman (Current)                                                                                        Capiz Small Coconut Farmers Multi-Purpose Cooperative (CASCOFAMCO)                                                                                             </t>
  </si>
  <si>
    <t>Brgy. Ondoy, Ivisan,Capiz</t>
  </si>
  <si>
    <t>2018-78</t>
  </si>
  <si>
    <t>Construction of  a 3000 Board Foot Capacity Lumber KIln Drying Facility for the Philippine Jin Craft Guitar Corporation</t>
  </si>
  <si>
    <t xml:space="preserve">Arlene C. Takaesu                                                                                      Operations Manager                                                                                           Philippine Jin Craft Guitar Corp.                                                                      </t>
  </si>
  <si>
    <t>Plaridel Subdivision IV Bayan Luma 7, Imus Cavite</t>
  </si>
  <si>
    <t xml:space="preserve">Joseph Victor G. Joaquin                                                                                 President                                                                                                          Endurance Technology Corporation                                                                 </t>
  </si>
  <si>
    <t>Lot. C.M Recto Street, Valley Subdivision, Pulong Bulo. Brgy. San Fernando City</t>
  </si>
  <si>
    <t>2018-01-Ad ref</t>
  </si>
  <si>
    <t xml:space="preserve">Invento School Seminar- Workshop for College Students </t>
  </si>
  <si>
    <t>Mindoro State College of Agriculture and Technology (minSCAT)</t>
  </si>
  <si>
    <t>Victoria, 5205 Oriental Mindoro</t>
  </si>
  <si>
    <t>The Mindoro State College of Agriculture and Technology (MinsSCAT) as an institution of learning, supports the creation of appropriate technologies crucial in helping develop a productive and progressive society through research and development and in promoting and supporting the technological innovations through its Innovation and Technology Support Office (ITSO).</t>
  </si>
  <si>
    <t>2018-02-Ad ref</t>
  </si>
  <si>
    <t>STARDEV</t>
  </si>
  <si>
    <t>Enhancing the Supply Chain of the Handicraft Products form a Community Empowerment through Science and Technology ( CEST) Community in Jabonga, Agusan Del Norte</t>
  </si>
  <si>
    <t>DOST-IV A</t>
  </si>
  <si>
    <t>Brgy. Timugan, Los Banos, Laguna</t>
  </si>
  <si>
    <t>The project will be implemeted in an identified marginalized community in the Municipality of Agusan del Norte. The said project will be put into action in partnership with the LGU of Jabonga, the Jabonga SEA-K Federation, INC., the Water Hyacinth Processors Association, DOST-TAPI and DOST Caraga. The activities wil be undertaken by the LGU to be closely coordinated with the DOST Provincial Science and Technology Center-Agusan del Norte in terms of technical assistance.</t>
  </si>
  <si>
    <t>98.070.00</t>
  </si>
  <si>
    <t>The Cooperative is already implementing its livelihood project particularly in the production of dishwashing liquid solutions which is in reference to DOST-ITDI's Technology and Livelihood Trainings. With the assistance of TAPI's STARDEv Program, the cooperative wil be able to improve the processing of the dishwashing liquid solution and make it more commercially viable through the upgrading of its packaging and production of different variants.</t>
  </si>
  <si>
    <t xml:space="preserve">4/F DOST PTRI Bldg. General Santos Ave. Bicutan, Taguig City </t>
  </si>
  <si>
    <t xml:space="preserve">Generally, the project aims to upgrade th ecommunity processing facility for rice-corn-moggo curls. DOST IV-B's funding assistance will focus on the improvement of the processing facility through the acquisition of equipment. It is proposed that the funding assistance from TAPI's STARDEv Program will be utilized for the procurement of raw materials, packaging materials and small tools. </t>
  </si>
  <si>
    <t>2018-05-Ad ref</t>
  </si>
  <si>
    <t>Seminar Workshop on Creativity, Invention and Innovation</t>
  </si>
  <si>
    <t>Legazpi City High school</t>
  </si>
  <si>
    <t xml:space="preserve">The ISP Seminar-Workshop is proposed tobe conducted on January 19,2018 at the Pacific Mall, Legazpi City Science High School. These are students who are motivated to utilize the concepts of physices, computer science, engineering and mathematics to formulate an invention and research projects that will contribute to the thriving and the future generations to come. </t>
  </si>
  <si>
    <t>Bislig, Surigao del Sur</t>
  </si>
  <si>
    <t>It is the goal of Department of Education-Bislig City Division to develop the learners's scientific literacy to keep themselves up with the growing needs of the society to become more active contibutors to the country's development. This would be the first time that the Invent School Program willbe implemented in Bislig City. The training workshop will be conducted in two (2) batches, one for Juinior High School and another for Senior High School.</t>
  </si>
  <si>
    <t>2018-07-Ad ref</t>
  </si>
  <si>
    <t>DOST-TAPI's Participation to the food and Hotel Expo Manila (FHEM) 2018</t>
  </si>
  <si>
    <t xml:space="preserve">Ad Asia Convention and Exhibitions International Corporation </t>
  </si>
  <si>
    <t>Unit 305, A.N.Y Bldg., Timog Ave., Diliman, Quezon City</t>
  </si>
  <si>
    <t>The Food and Hotel Expo Manila 2019 aims to deliver unparalleled access to business network opportunities where the industry player can come together, interact and share their view in promoting &amp; strengthening the food beverage and hotel sector locally and globally. TAPI's participation will enable to connect, interact and introduce new food-related technologies developed by the Department. Research results are likewise introduced to obtain possible technology adoptors.</t>
  </si>
  <si>
    <t xml:space="preserve">DOSt region III </t>
  </si>
  <si>
    <t>Provincial Science and Technology Center, Province of Pampnga Capitol Compound, City of San Fernando, Pampanga</t>
  </si>
  <si>
    <t>In September 2017, the Technology Application and Promotion Institute (TAPI) through PSTC - Pampanga for High School students. Seminar- Workshop that will conducted is intended for College students. It will conducted on March 2018 at the University Hostel, Don Honorio Ventura Technological State University, Bacolor, Pampanga for easy access of all participating students and teachers.</t>
  </si>
  <si>
    <t>2018-09-Ad ref</t>
  </si>
  <si>
    <t xml:space="preserve">TAPI facebook cover Contest </t>
  </si>
  <si>
    <t xml:space="preserve">The contest is a strategy to increase the visibility of TAPI and boost engagement of our fan page. This will also help in the promotion of TAPI's activities. The Contest will search for an infographic materials which is 20-35 seconds video in .mp4 format. </t>
  </si>
  <si>
    <t>2018-10-Ad ref</t>
  </si>
  <si>
    <t xml:space="preserve">Prototype Development of "A roofing tile" </t>
  </si>
  <si>
    <t>#9 Jamaica Street. Foresthills Subd., Brgy. Sta Monica, Novaliches, Quezon City</t>
  </si>
  <si>
    <t>The technology "A Roof Tile" is an all weather-proof tile.The technology as claimed by its maker in the UM Registration, addresses the drawbacks of most of the roofing tiles such as corrosion, bricks or concrete tiles that are heavy but easily breaks up due to dratic changes in weather.</t>
  </si>
  <si>
    <t>This would be the first that the Invent School in Tawi-Tawi will be implemented which is parallel to the expansion straregies of the Program in reachingn municipalities that have yet availed of the training-workshop.</t>
  </si>
  <si>
    <t>Southern Leyte</t>
  </si>
  <si>
    <t xml:space="preserve">The Southern Leyte State University is one of the technological  universities in Eastern Visayas that compels its mandate on developing new technologies and innovativeness that is responsive to the needs of the community and to the industry. The engineers, innovators and researchers are the prime movers of the University for Technological Advancement in giving exact and definite solutions to ther common problems in the country.The workshop will bring idea of translating knowledge into an innovation, invention and make research output a patentable one. </t>
  </si>
  <si>
    <t>2018-13-Ad ref</t>
  </si>
  <si>
    <t>INVENTONDO 2018- 2nd Manila Young Inventors Expo and Trade Fair</t>
  </si>
  <si>
    <t xml:space="preserve">Mr. Sonny D. Valenzuela                                                                                                          Principal III                                                                                                                               Tondo High school </t>
  </si>
  <si>
    <t>Quezon City St. , Bo. Magsaysay Tondo Manila</t>
  </si>
  <si>
    <t>The INVENTONDO 2018- 2nd Manila Young Inventors Expo and Trade Fair is an advocay which is dedicated to young inventors. The advocacy of this activity leapfrogs creativity, innovation, invention, design and entreprenuership towards national development amongst the youths and educators through the Project IDEA (Invention Development in Education Advocacy).</t>
  </si>
  <si>
    <t>2018-14-Ad ref</t>
  </si>
  <si>
    <t xml:space="preserve">11th Annual research Awards (ARAW 2018) </t>
  </si>
  <si>
    <t>Engr. Ana liza R. Publico                                                                                                            Chairman                                                                                                                                Polytechnic University of the Philippines                                                                               College of Engineering Center for Research and Development</t>
  </si>
  <si>
    <t>The search for the most outstanding research of ther year known as the Annual Research Awards (ARAW) whose purpose is to give due recognition to laudable researches of engineering students in the country that is inspired to advance the welfare of ther Filipino people especially the poor. The theme for this year's ARAW is "The Commitment of serving the country thru Science and Technology".</t>
  </si>
  <si>
    <t>The Southern Tagalog Consortium for Industry and Energy Research ang Development (STCIERD). regional consortium under the DOST-CALABARZON is mandated to enchance and orchestrated R&amp;D efforts in relation to the needs of the industry, energy and emerging technologies in the region. The consortium also encourages and supports students in developing research innovations as considered to be essential in achieving technological advancement.</t>
  </si>
  <si>
    <t>2018-16-Ad ref</t>
  </si>
  <si>
    <t>PmaP</t>
  </si>
  <si>
    <t>Implementing Guidelines For Promotion and Marketing Programs (PmaP)</t>
  </si>
  <si>
    <t>Technology Information and Promotion Division (TIPD) TAPI</t>
  </si>
  <si>
    <t>DOST Bicutan, Taguig City</t>
  </si>
  <si>
    <t>The Implementing Guidelines For Promotion and Marketing Program (PMaP) was presented during the TAPI Execom Meeting on 14 February 2018. The comments of the TAPI Execom members are already incorporated.</t>
  </si>
  <si>
    <t>2018-17-Ad ref</t>
  </si>
  <si>
    <t xml:space="preserve">Policy Framework for the Management of Tapi's Information System and Technologies </t>
  </si>
  <si>
    <t>The proposed Policy Framework for the Management of TAPI's Information Systems and Technologies was presented during the TAPI Execom Meeting on 14 February 2018. The suggestions/ comments of the TAPI Execom members are already incorporated.</t>
  </si>
  <si>
    <t>The 14th National Biotechnology Week (NBW) is celebrated every 3rd week of November pursuant to Proclamation No.1414 series of 2007. It is anchored on ther theme, "Bioteknolohiya: Pambandang Hamon, Pambansang solusyon". The activities includes the conduct of Science and Technology Forum and Technology Exhibition.</t>
  </si>
  <si>
    <t>2018-20-Ad ref</t>
  </si>
  <si>
    <t>Fabrication of Commercial Prototype of Unsinkable Boat "Boat"</t>
  </si>
  <si>
    <t xml:space="preserve">Mr. Ronald P. Pagsanghan </t>
  </si>
  <si>
    <t>G/F Plaza Andrea Bldg. Block 12, Lot 13 Ph2B Ciudad Real, San Jose Del Monte City Bulacan</t>
  </si>
  <si>
    <t>Mr. Pagsanhan is requesting for realignment of budget to utilize the unexpended balance for other parts of the prototype in which his wife have mentioned they purchased using personal funds amounting to P17,066.00.</t>
  </si>
  <si>
    <t>Citrine Bio-tech Products, Unit M, Roxas bldg. 1009 F. Salvador St., Sta. Monica, Quezon City</t>
  </si>
  <si>
    <t xml:space="preserve">Mr. Diamante is resquesting for financial assistance to test his "Probiotic Inoculum" for Isoalation and Phenotypic Identification of Lactic Acid Bacteria. The test is intented for  the patent application of the product as requested by Baranda &amp; Associates Law Firm. </t>
  </si>
  <si>
    <t>Old Sagay, Sagay City, Negros Occidental</t>
  </si>
  <si>
    <t xml:space="preserve">NONESCOST mandate is to provide higher technological, professiona, vocational instruction and training in science, forestry, fishery, agriculture, education, marine biology engineering and industrial fields. It shall promote research, advance studies, extension work and progressive leadership. </t>
  </si>
  <si>
    <t>2018-25-Ad ref</t>
  </si>
  <si>
    <t>TAPI's Participation to the "FEU 1st International Technology Fest"</t>
  </si>
  <si>
    <t xml:space="preserve">Far Eastern University                                                                                                            Institute of Technology </t>
  </si>
  <si>
    <t>Sampaloc Manila</t>
  </si>
  <si>
    <t>The 1st International Technology Festival 2017 os organized by Far Eastern Institute of Technology with a theme "Fortifying Technology and Human Values in Achieving Sustainable Innovations". TAPI's participation will enable to connec, interact and introduce technologies developed by the Departement. Research results are also introduced to obtain possible technology adoptors. It will increase the awareness of ther students, faculty and guests about DOST new technologies.</t>
  </si>
  <si>
    <t>LTP Complex, Cotobato City</t>
  </si>
  <si>
    <t>The Seminar-Workshop participants are highschool students and teachers from the public and private schools in the provinces of Sultan Kudarat and North Cotabato. The ISP seminar-workshop will be conducted on July 4-5, 2018 at USM-University of Laboratory School and on August 8-9,2018 at Esperanza National High School for easy access of all participating students.</t>
  </si>
  <si>
    <t xml:space="preserve">2018-27-Ad ref </t>
  </si>
  <si>
    <t>Iloilo City</t>
  </si>
  <si>
    <t>The target participants are students and teachers from the Senior High School, College of Engineering and Sagay Extension Campus of TUPV. The seminar-workshop is propose to be conducted on March 26-27, 2018 at the Philippines Visayas for easy access of all participating students and teachers.</t>
  </si>
  <si>
    <t xml:space="preserve">Printing of Promotional Materials for the "Alternative Healing Appratus" </t>
  </si>
  <si>
    <t>Norika Bldg., E. Rodriguez Highway, San Jose, Rodriquez, Montalban</t>
  </si>
  <si>
    <t>The inventor of the "Alternative Healing Apparatus" with UM No. 2-2014-000551 is requesting for assistance in printing of the promotional materials to be used for promotion and participation to trades and exhibitions. The invention was featured in CNN Kapuso Mo, Jessica Soho; UNTV, ABS-CBN Pinoy channel and CNN -Imbensyong Pilipino.</t>
  </si>
  <si>
    <t xml:space="preserve">Dr. Romulo T. Agganagan </t>
  </si>
  <si>
    <t>FPRDI College, Los Banos, Laguna</t>
  </si>
  <si>
    <t>The Forest Products Research and Development Institute (FPRDI) is requesting for the printing of Information Materials for Bamboo Technologies for promotional purposes. The flyers will feature the following bamboo-related technologies: Bamboo Klin Dryer, Bamboo Treatment, High Pressure Sap Displacement, Bamboo Veneer Lathe, Bamboo Flattening Machine, Bamboo Charcoaling Klin and Bioactive Bamboo.</t>
  </si>
  <si>
    <t>San Miguel, Nabua, Camarines Sur</t>
  </si>
  <si>
    <t>The Project will implement the organic farming pursuant to RA 10068 or the Organic Agriculture Act of 2010. Organic farming promote ecologically sound, socially acceptable, economically viable and technically feasible production of oragnic products. The project will use pulverized leaves of nimtree and kakawate as oragnic pesticide, perla soap as insecticide, vermicast and animal manure as organic fertilizer and coconut leaves and banna trunk for mulching.</t>
  </si>
  <si>
    <t>53 Santas Street Arienda, Barangay Sta. Ana, Taytay, Rizal</t>
  </si>
  <si>
    <t>The inventor is resquesting for the testing for his "Water Fuel Supplement" to undergo the Environment Technology Verification (ETV) test from the Industrial Technology Development Institute (ITDI).</t>
  </si>
  <si>
    <t>Fabrication of Jubilee Photo Exhibit, "S&amp;T Journey 60 years and Beyond"</t>
  </si>
  <si>
    <t>DOST-STII</t>
  </si>
  <si>
    <t>DOST-STII will set-up photo exhibit display entitled, "S&amp;T Journey 60 Years and Beyond"  showcasing the development of science, technology and innovation thru the years starting from 1958 to the present. The photo exhibit will also focus on institutional highlight of accomplishments per decade and/or thrusts of each Administration along with the past leader's contribution to S&amp;T.</t>
  </si>
  <si>
    <t>9541 Brestch and Barrie Resort Baltao Subdivision, Taktak Road Antipolo City</t>
  </si>
  <si>
    <t xml:space="preserve">The proponent is requesting financial assistance for the fabrication of a commercial prototype to be used in the actual environment and will under go performance testing and tensile/strength test under the TAPI's Tesing  Assistance Program. </t>
  </si>
  <si>
    <t xml:space="preserve">Philippine Science High School </t>
  </si>
  <si>
    <t>Central Luzon Campus Lily Hill, Clark Freeport Zone Pampanga</t>
  </si>
  <si>
    <t>In line with the celebration of NSTW which will be held on 17-21 July 2018 at the World Trade Center and the Regional Science and Technology Fair Celebration, the Philippine Science High School- Central Luzon Campus  will be staging a robotics exhibition such as the Lego Robo Crane and the Android-Controlled Sumobots.</t>
  </si>
  <si>
    <t>DOST Compound Bicutan, Taguig City</t>
  </si>
  <si>
    <t>The concept includes circular display exhibit panels depicting the DOST's dynamic partnership with four (4) government agences such as the Department of Trade and Industry (DTI), Department of Environment and Natural Resources (DENR), Department of Agriculture (DA) and the Department of Health.</t>
  </si>
  <si>
    <t>Davao Medical Center Compound, cor. Friendship and Dumanlas Road, Bajada, Davao City</t>
  </si>
  <si>
    <t>The project is to address the unemployment problem sector of the Person with Disabilities (PWD's), DAVNOR PWD Association created a business development support and services to PWDs to promote an alternative vehicle for PWD empowerment and socio-economic progress. The organization saw the benefits and the market potential of the technology on tree nursery management and hoticulture production in propagating and cloning of seedling products.</t>
  </si>
  <si>
    <t>City Gymnasium, Lamitan City Basilan</t>
  </si>
  <si>
    <t>The 1st Halal Summit will highlight the principles and policies of Halal (RA 10817 &amp; MMA Act 254 IRR), Halal Tourism, DOST Intergrated Halal Development Program, DA Halal Food Industry Development Program, Halal Testing and Analysis, Halal Certifciation, ARMM Regional Development Plan on Halal, Halal Investment Priority Plan. Private Company Practicing Halal and Halal Best Practices, Environment Ecosystem on Halal Indutries.</t>
  </si>
  <si>
    <t>2018-39-ad ref</t>
  </si>
  <si>
    <t>Protocol</t>
  </si>
  <si>
    <t>General Protocols and Procedures of the Applied Communications Unit (ACU)</t>
  </si>
  <si>
    <t>Protocols</t>
  </si>
  <si>
    <t xml:space="preserve">Commercialization of a concrete Shuttering Form System </t>
  </si>
  <si>
    <t>Forming Access &amp; Support, Inc. DMCI Complex Levi Mariano Avenue, C-5 Highway Brgy. Ususan, Taguig City</t>
  </si>
  <si>
    <t>As provided in RA 7459 (Inventors and Invention Incentives Act of the Philippines) the request for the loan assistance for the commercial scale production of the Concrete Shuttering Form System, also known as Fasiform is hereby endorsed for LBP consideration.</t>
  </si>
  <si>
    <t>Itech</t>
  </si>
  <si>
    <t>Government Center, Palo Candahug, Leyte</t>
  </si>
  <si>
    <t>The projects aims to provide an alternative livelihood to the rice farmes of Brgy. Anglit, Basey, Samar through the provision of raw materials in the production of nipa vinegar and nipa sugar utilizing DOST-ITDI'S tecnology.</t>
  </si>
  <si>
    <t>Arnichem Corporation, Suite No. 8008 VAR, 6/F Rufino Pacific Tower, 6784 Ayala Avenue, Makati City</t>
  </si>
  <si>
    <t xml:space="preserve">The printing of flyers, posters and packages label will feature VialN Ameliorant and Mitigant for rice, corn and other crops during regional conferences. </t>
  </si>
  <si>
    <t>Commonwealth Avenue Diliman, Quezon City</t>
  </si>
  <si>
    <t>The DOST-PNRI has been undertaking various public information dissemination activities to promote the beneficial application of nuclear technology and the Insitute's specialized nuclear services for the benefit of various sectors and ther general public. The flyers will feature DOST-PNRI technologies such as the irradiated beed bruger patties and an analytical technique which can accurately differentiate natural vinegar from adulterated vinegar.</t>
  </si>
  <si>
    <t>College of Forestry, University of the Philippines, Los Baños</t>
  </si>
  <si>
    <t>The brochure will feature DOST-FPRDI technologies such rubberwood processing and utilization, wine barrel from santol and multi-purpose double acting hot press for enginnered bamboo products. The brochure will also feature DOST-FPRDI services including the national furniture testing labaratory.</t>
  </si>
  <si>
    <t>Gumaga, Libungan, North Cotabato</t>
  </si>
  <si>
    <t>The Utility Model relates to charger devices for mobile phones but more particularly to a mobile phone mulitple charger device taht can be used fro charging using an AC or DC power supply sources. The Utility Model is also being claimed as a device that is simple in construction and still efficient in terms of production and is easy to use and maintained, can be easily manufactured using locally available materials and technology.</t>
  </si>
  <si>
    <t xml:space="preserve">RIISI, 3/f Melano Building, Block 21 West Floodway Planters, San Andres, Cainta, Rizal </t>
  </si>
  <si>
    <t>The inventor of the "Improbyke" with Patent OR#0772755 dated 5 June 2018, is requesting for assistance in printing of promotional materials to be used to encourage possible adoptors or manufacturers and to promote in various exhibitions.</t>
  </si>
  <si>
    <t>The request for the realignment of the Line-Item Budget is due to the market analysis for the booth system with the lowest quotation of P650,600 vis-a-vis the approved cost of P370,000 including request for an additional funds amounting to P100,000 to cover the rental cost for the booth system.</t>
  </si>
  <si>
    <t>The finished product is branded as Tmonade Refreshment wherein letter "T" represents the two main flavors of ingredients which are atnglad (Lemongrass) and talbos ng kamote (sweet potato tops) and "monade " from the word lemonade. The project will promote alternative drinks to consumers that is healthy and free from artificial flavorings and preservatives.</t>
  </si>
  <si>
    <t xml:space="preserve">Fabrication of a Commercial Prototype of "Adaptive Movable Train Cart Griller" </t>
  </si>
  <si>
    <t>1167 Ciabal St. Ashley and Ciabal Compound Brgy. Del Remedia, San Pablo City, Laguna</t>
  </si>
  <si>
    <t>The Utility Model is an adaptive movoable food cart griller that can be used in indoor or outdoor places such as stalls, kiosks, malls, commercial places, streets, parks, and venet centers. The basic purpose of the utility model is for grilling. A standard gas stove or an electric stove may fit in the train cart and it has a built-in storage cabinets and can also be used as a streamer or a warmer.</t>
  </si>
  <si>
    <t xml:space="preserve">Prototyping of a "Waste Disposal Machine" </t>
  </si>
  <si>
    <t>#25 Lobelia St/ Doña Manuela I. Pamplona 3, Las Piñas City</t>
  </si>
  <si>
    <t>The subject invention relates in general to garbage disposal and more particularly to an electrical waste disposal machine having a shreddernad grinder that breaks-up the garbage into small paricles or even yet into liquid form. According to Ms. Macaloi, her invention will address household waste management that can contribute to the community in eradicating garbage that cause clogging of waste and floofingn. Yhe fabricated commercial prototype will be used in the actual environment and as demontration unit.</t>
  </si>
  <si>
    <t>Daet, Camarines Sur</t>
  </si>
  <si>
    <t>The students will use saba cultivar as the primary source of material since saba has the biggest stem. Several studies showed that saba cultivars. Based on the study conducted by the students, banana cultivars. Based on the study conducted by the students, banana fiber extracted from air-dried banana sheath is more durable than sun-dried banana sheath. Rice wine is an alcoholic beverage fermented and distilled from rice. It is made from the fermentation of rice starch that have been converted to sugars.</t>
  </si>
  <si>
    <t>Peñafrancia Avenue, Naga City</t>
  </si>
  <si>
    <t>Bitter gourd or ampalaya and sea grapes or lato are the two new falvors to be introduced in the project. Ampalaya is known for its bitterness while lato is known for its saltiness. These flavors mixed with the creaminess of the ice cream will provide a unique taste and experience to the consumers. Further, ampalaya is rich in vitamins while lato is rich in iodine which both offers healthier options than the conventional ice cream flavors.</t>
  </si>
  <si>
    <t xml:space="preserve">Pilot Production of "A Water Purifier Disaster Kit" </t>
  </si>
  <si>
    <t>4077 M.L Quezon Street, Brgy. C.M Recto, Angeles City</t>
  </si>
  <si>
    <t>The patent-pending invention relates in general to water purifiers but more particularly to a water purifier disaster kit that features multi-filtration stages including a means to generate electricity to kill the harmful microorganisms present in the unfiltered water.</t>
  </si>
  <si>
    <t>Room 218 National Engineering Center, UP Diliman, Quezon City</t>
  </si>
  <si>
    <t xml:space="preserve">The two-day activity aims to provide a venue for discussion on the important role of the in nation building, to showcase their scientific and innovative ideas and provide them the opportunity to share their knowledge and experiences in transforming their ideas into reality by using science, technology and innovation thereby contributing to society's development and progress.
</t>
  </si>
  <si>
    <t>E.T. Virata Hall, E. Jacinto Street, UP Campus, Diliman, Quezon City</t>
  </si>
  <si>
    <t>The approved UPISSI activity for the conduct of the "ISSI 1st MSME Conference: MSMEs Nation Building" on
16 March 2018 whose funds amounting to P100,000.00 has not been utilized due to the hired caterer has not been paid because of the pending resolution of a serious offense, thus, the unutilized funds is requested for the conduct of the "Kapihan 3: Strengthening Community-Based Disaster Preparedness in Metro Manila". Reactivity supports local innovation on Disaster Piste Reduction and  Management</t>
  </si>
  <si>
    <t>84 2nd Avenue, Grace Part, Caloocan City</t>
  </si>
  <si>
    <t>The proponent is requesting for the testing assistance for her patent pending priduction "Salavre Healing Oil". The said oil contains fourteen (14) herbal ingredients with no chemicals added to it. The objective of the test is determine the claims of Ms. Santos that teh "Salvare Herbal Oil" is safe and has no harmful ingredients and can be easily applied externally without side effects.</t>
  </si>
  <si>
    <t>Cabagan, Cabagan, Isabela</t>
  </si>
  <si>
    <t>Organic vegetable have increasing demand due to rising health concerns and awareness of health benefits. Aside from health benefits, organic farming reduce soil and water pollution since chemicals and synthetic fertilizers are not used or applied in soil and plants.</t>
  </si>
  <si>
    <t>3/F Commerce and Industry Plaza 1030 Campus Ave. cor. Park Ave., Mckinley Center, Fort Bonifacio, Taguig City</t>
  </si>
  <si>
    <t>The Philippines Chamber of Commerce and Industry (PCCI) on its 44th Philippine Business Conference event will be providing a platform for policy makers, industry leaders, the academe and development partners to dialogue on issues affecting business and economy at same time promoting enterprise development in the country. This year's theme, "Infrastructure and the Digital Economy: The Game Challenges" will bring into focus these two megatrends.</t>
  </si>
  <si>
    <t>2018-59-ad ref</t>
  </si>
  <si>
    <t>Invent School Program for the Implementation of PCW-endorsed TAPI GAD Plan for CY 2018</t>
  </si>
  <si>
    <t xml:space="preserve">The CY 2018 GAD Plan and Budget was submitted by TAPI to the Philippine Commission for Women (PCW) and this was finally endorsed. One of the activities in the GAD Plan is the conduct of Seminar-Workshop for the Invent School Program. Thus, In order to implement the activity in the GAD Plan, TAPI GFPS coordinated and linked the activity with the ISP Program The ISP in conjunction with the GAD Plan involves the conduct of one-day Seminar-Workshop in Casa del Nino Montessori High School in Pacita Complex II, Laguna.
</t>
  </si>
  <si>
    <t>#16 Quirino Highway Pangarap Village, Caloocan City</t>
  </si>
  <si>
    <t>The pending UM relates to a relaxing oil product that utilizes limonene from calamansi (Citro fortunella) oil that is effective as relaxing and massage oil and as drink additive that is effective to relieve allments and pains. For this project, the proponent is requesting 10 liters of calamansi oil, 5 liters of peppermint and 5 liters of corn mint. Out of the assistance, the proponent will be able to produce 2,381 6ml bottles</t>
  </si>
  <si>
    <t>The projects will serve as a venue to manage and practice knowledge and skills learned by the students In enterprise development. The students will also be able to apply their research and development on the different cultural management and technologies for higher yield and profit. The projects will be part of the students' internship program of the university.</t>
  </si>
  <si>
    <t>736 Maginhawa St. United Subdivision, San Antonio San Pedro, Laguna</t>
  </si>
  <si>
    <t>The patent-pending technology relates to an alkaline fuel cell fpr various applications to be used in powering vehicles and to hydrogenate drinking water for health purposes. The AFC-HPS has undergone Environment Technology Verification (ETV) from ITDI last September 2018 which was validated by ETV Panel of Experts on the claims of the inventor that it reduces fuel consumption and exhaust emissions.</t>
  </si>
  <si>
    <t>Filipina Inventors and Innovators Society, Inc. (FIIS, Inc.) is requesting for a two-day continuing innoventrepreneur development education program to held either in MIRDC or Lakeshore or FIIS Training Room on 22-23 November 2018. The activity will be part of the 2018 National Inventors' Week Celebration.</t>
  </si>
  <si>
    <t>The Invention is to create alkaline fuel cell that can further improve the production of hydrogen. The ETV tests is based on the test protocol formulated by ETV-ITDI conducted last September 2018. The ETV tests verified the performance of the device based on the claims of Mr. Nicolas on its fuel consumption and exhaust emission. The positive results of ETV tests particularly the reduction in exhaust emission will help reduce air contaminanats. Mr. Nicolas is requesting for the reimbursement on the ETV test conducted on the device.</t>
  </si>
  <si>
    <t xml:space="preserve">National Institute of Molecular Biology and Biotechnology (BIOTECH) </t>
  </si>
  <si>
    <t>UPLB, Los Baños, Laguna</t>
  </si>
  <si>
    <t>The Promotion Materials Assistance Program (PMAP) assistance is on a per technology basis. The BIOTECH requested for an aggregate quotation for economical purposes.</t>
  </si>
  <si>
    <t>Tuhob, Cabadiangan, Compostela, Cebu</t>
  </si>
  <si>
    <t>The registration-pending Utility Model's distinctive illumination is projected by the combination of blue, red and green lights. The living plant to be placed in plant container is 7 inches long wherein the bottom portion of the stem is 1 1/2 inch from the bottom part of the covering to allow space for roots to sprout Inside the container.</t>
  </si>
  <si>
    <t>No. 863 Santiago St. gatchalian Subdivision Manuyo 2, Las Piñas City</t>
  </si>
  <si>
    <t>The invention relates to an apparatus for purifying gaseous emissions. The proponent is requesting financial assistance to fabricate one (1) unit each of E-filter #1 and #2 of the patent pending invention to be used in the actual environment and as a demonstration unit.</t>
  </si>
  <si>
    <t>Technology Application and Promotion Insitute (TAPI)</t>
  </si>
  <si>
    <t>TBED</t>
  </si>
  <si>
    <t>Organic Fertilizer Production</t>
  </si>
  <si>
    <t>Technologist Association of Mindoro Occidental Community -Based Alternative For Rural Recovery and Empowerment, Inc.                        San Jose, Occidental Mindoro</t>
  </si>
  <si>
    <t>San Jose, Occidental Mindoro</t>
  </si>
  <si>
    <t>Implementation of the DOST Technology Caravan in the Province of Antique</t>
  </si>
  <si>
    <t>Antique Provincial S&amp;T Center</t>
  </si>
  <si>
    <t>Implementation of ASTI Exhibit Materials for the 2017 NSTW</t>
  </si>
  <si>
    <t>Advance Science and Technology Institute (ASTI)</t>
  </si>
  <si>
    <t>DOST Compound General Santos Avenue Bicutan, Taguig CIty</t>
  </si>
  <si>
    <t>Fabrication of FNRI Exhibit Materials for the 2017 National Science and Technology Week</t>
  </si>
  <si>
    <t xml:space="preserve">Food and Nutrition Research Insititute (FNRI)                                                </t>
  </si>
  <si>
    <t>Production and Fabrication of FPRDI Exhibits for the 2017 Department of Science and Technology's Annual Science and Technology Week Celebration</t>
  </si>
  <si>
    <t xml:space="preserve">Forest Products Research and Development Institute (FPRDI)                       </t>
  </si>
  <si>
    <t>Narra Street, Forestry Campus College, Los Banos Laguna</t>
  </si>
  <si>
    <t>Production of ITDI Exhibit Module for the National Science and Technology Week 2017</t>
  </si>
  <si>
    <t xml:space="preserve">Industrial Technology Development Institute (ITDI)                                                       </t>
  </si>
  <si>
    <t>MIRDC Participation to the Celebration of 2017 National Science and Technology Wee</t>
  </si>
  <si>
    <t xml:space="preserve">Metals Industry Research and Development Center (MIRDC)                                                    </t>
  </si>
  <si>
    <t>2017 National Science and Technology Week</t>
  </si>
  <si>
    <t xml:space="preserve">Philippine Council for Health Research and Development (PCHRD)                                                                                                     </t>
  </si>
  <si>
    <t>PHILVOCS NSTW Exhibit 2017</t>
  </si>
  <si>
    <t xml:space="preserve">Philippine Institute of Volcanology and Seismology (PHILVOCS)                                                                                                           </t>
  </si>
  <si>
    <t>C.P Garcia Avenue , UP Campus Q.C</t>
  </si>
  <si>
    <t>Support for the Production and Fabrication PTRI Exhibits for the 2017 National Science and Technology Week</t>
  </si>
  <si>
    <t xml:space="preserve">Philippine Textile Research Institute                                                                                                                                                   </t>
  </si>
  <si>
    <t>General Santos Avenue Bicutan, Taguig CIty</t>
  </si>
  <si>
    <t>Critical Skills for Tomorrow</t>
  </si>
  <si>
    <t>Science Education Institute DOST Compound</t>
  </si>
  <si>
    <t>2017-13</t>
  </si>
  <si>
    <t>STII Technology Fair and Exhibit</t>
  </si>
  <si>
    <t>2017-14</t>
  </si>
  <si>
    <t>2017 DOST-NCR Municipal Fairs and Exhibits in Promoting DOST Programs and Services in CAMANAVA</t>
  </si>
  <si>
    <t xml:space="preserve">DOST-Naional Capital Region                                                                            </t>
  </si>
  <si>
    <t>2017-15</t>
  </si>
  <si>
    <t>Celebration of 2017 National Science and Technology Week Promotions in Region I</t>
  </si>
  <si>
    <t xml:space="preserve">DOST Region I                                                                                                </t>
  </si>
  <si>
    <t>DMMMSU -MLU Campus City of San Fernando, La Union</t>
  </si>
  <si>
    <t>2017-16</t>
  </si>
  <si>
    <t>2017 National Science and Technology Week (NSTW)</t>
  </si>
  <si>
    <t xml:space="preserve">DOST Region II                                                                                         </t>
  </si>
  <si>
    <t>#2 Dalan na Paccurofon cor. Matunung Street, Regional Governement Center , Carig Sur, Tuguegarao City, Cagayan</t>
  </si>
  <si>
    <t>2017-17</t>
  </si>
  <si>
    <t>2017 Regional Science and Technology Fair</t>
  </si>
  <si>
    <t xml:space="preserve">DOST-Cordillera Administrative Region (DOST-CAR)                                       </t>
  </si>
  <si>
    <t>Km. 6, BSU Compound, La Trinidad Benguet</t>
  </si>
  <si>
    <t>2017-18</t>
  </si>
  <si>
    <t>2017 National Science and Technology Week Regional Celebration</t>
  </si>
  <si>
    <t xml:space="preserve">DOST Region III                                                                                            </t>
  </si>
  <si>
    <t>Diosdado Macapagal Regional Government Center Maimpis, City of Fernando Pampanga</t>
  </si>
  <si>
    <t>2017-19</t>
  </si>
  <si>
    <t>Promotion of DOST-4A's Programs and Services in the 2017 National Science and Technology Week</t>
  </si>
  <si>
    <t xml:space="preserve">DOST IV-A CALABARZON                                                                          </t>
  </si>
  <si>
    <t>Jamboree Road Timugan , Los Banos, Laguna</t>
  </si>
  <si>
    <t>2017-20</t>
  </si>
  <si>
    <t>2017 Regional Science and Technology Week Celebration</t>
  </si>
  <si>
    <t xml:space="preserve">DOST MIMAROPA (4B)                                                                                    </t>
  </si>
  <si>
    <t>4/floor, PTRI Building General Santos Avenue, Bicutan, Taguig City</t>
  </si>
  <si>
    <t>2017-21</t>
  </si>
  <si>
    <t xml:space="preserve">2017 National Science and Technology Week </t>
  </si>
  <si>
    <t xml:space="preserve">DOST Region V                                                                                             </t>
  </si>
  <si>
    <t>Regional Center Rawis, Legazpi City</t>
  </si>
  <si>
    <t>2017-22</t>
  </si>
  <si>
    <t>National Science and Technology Week Celebration in Region VI</t>
  </si>
  <si>
    <t xml:space="preserve">DOST Region VI                                                                                           </t>
  </si>
  <si>
    <t>Magsaysay Village, Lapaz, Iloilo CIty</t>
  </si>
  <si>
    <t>2017-23</t>
  </si>
  <si>
    <t>Promottion of DOST 7-Assisted Projects and Technical Services for the Celebration of 2017 National Science and Technology Week</t>
  </si>
  <si>
    <t xml:space="preserve">DOST Region VII                                                                                          </t>
  </si>
  <si>
    <t>S&amp;T Complex Sudlon, Lahug Cebu City</t>
  </si>
  <si>
    <t>2017-24</t>
  </si>
  <si>
    <t>2017 Regional S&amp;T Fair and Exhibit (RSTFE)</t>
  </si>
  <si>
    <t xml:space="preserve">DOST Region VIII                                                                                           </t>
  </si>
  <si>
    <t>Government Center Candahug, Palo, Leyter</t>
  </si>
  <si>
    <t>2017-25</t>
  </si>
  <si>
    <t>2017 National Science and Technology Week (NSTW) Celebration-Davao Region and Regional Invention Contest and Exhibits (RICE)</t>
  </si>
  <si>
    <t xml:space="preserve">DOST Region XI                                                                                          </t>
  </si>
  <si>
    <t>Davao Medical Center Compound cor. Friendship and Dumanlas Road Bajada, Davao City</t>
  </si>
  <si>
    <t>2017-26</t>
  </si>
  <si>
    <t>2017 Regional NSTW Celebration Caraga Region in Promoting DOST Programs and Services in the Country</t>
  </si>
  <si>
    <t xml:space="preserve">DOST CARAGA                                                                                    </t>
  </si>
  <si>
    <t>CSU Campus, Ampayon Butuan City</t>
  </si>
  <si>
    <t>2017-27</t>
  </si>
  <si>
    <t>IGF</t>
  </si>
  <si>
    <t>Invention Development Division Technology Application and Promotion Institute (TAPI)</t>
  </si>
  <si>
    <t>2017-28</t>
  </si>
  <si>
    <t>Implementation of the 2017 Regional Invention Contest and Exhibits in 17 Regions</t>
  </si>
  <si>
    <t>Technology Application and Promotion Insitute thru the Cooperation of the DOST Regional Offices</t>
  </si>
  <si>
    <t>BIcutan, Taguig</t>
  </si>
  <si>
    <t>2017-29</t>
  </si>
  <si>
    <t>Production of Exhibit Materials for the 2017 National Science and Technology Week Celebration</t>
  </si>
  <si>
    <t xml:space="preserve">Philippine Nuclear Research Institute                                                               </t>
  </si>
  <si>
    <t>Commonwealth Avenue, Diliman Quezon City</t>
  </si>
  <si>
    <t>2017-30</t>
  </si>
  <si>
    <t>DOST-PCAARRD Participation to the NSTW 2017 Celebration</t>
  </si>
  <si>
    <t>Philippine Council for Agriculture, Aquatic and Natural Resources Research and Development (PCAARRD)</t>
  </si>
  <si>
    <t>2017-31</t>
  </si>
  <si>
    <t>2017 NSTW Exhibits in Region XII</t>
  </si>
  <si>
    <t xml:space="preserve">DOST Region XII                                                                                              </t>
  </si>
  <si>
    <t>2017-32</t>
  </si>
  <si>
    <t>CAMPI</t>
  </si>
  <si>
    <t>CAMPI Program for  selected SMEs in CALABARZON</t>
  </si>
  <si>
    <t>DOST Region-CALABARZON</t>
  </si>
  <si>
    <t>2017-33</t>
  </si>
  <si>
    <t>BUDGET</t>
  </si>
  <si>
    <t>IDAF</t>
  </si>
  <si>
    <t>Strategic Planning for Inventors</t>
  </si>
  <si>
    <t>2017-34</t>
  </si>
  <si>
    <t>Commercialization of "Saving Fuel System for Internal Combustion Engine</t>
  </si>
  <si>
    <t xml:space="preserve">Junior A. De Jesus                                                                                       Chairman, Topheight, Inc.                                                                           </t>
  </si>
  <si>
    <t>1459 B Gov-I Santiago Road Malinta Valenzuela City</t>
  </si>
  <si>
    <t>2017-35</t>
  </si>
  <si>
    <t>The Triceekool Mobile Store System</t>
  </si>
  <si>
    <t xml:space="preserve">Jose Manalo Delfin A. Jalandoni                                                                         </t>
  </si>
  <si>
    <t>20 Lopez Jaena, Jaro, Iloilo City</t>
  </si>
  <si>
    <t>2017-36</t>
  </si>
  <si>
    <t>TERmination</t>
  </si>
  <si>
    <t>Prototype Development and Testing Assistance Program</t>
  </si>
  <si>
    <t>Fish Trap</t>
  </si>
  <si>
    <t xml:space="preserve">Narciso M. Caparoso                                                                                        Inventor                                                                                                             </t>
  </si>
  <si>
    <t>No. 9 Argana Apartments, Estanislao Street, Lakeview Homes, Pututan, Muntinlupa City</t>
  </si>
  <si>
    <t>2017-37</t>
  </si>
  <si>
    <t>PIlot Production of VOCA Speaker System "A Speaker Unit and Speaker Unit Assembly using the Speaker Unit"</t>
  </si>
  <si>
    <t xml:space="preserve">Engr. Anthony G. Leuterio                                                                                General Manager                                                                                         Leuterio's Enterprise                                                                                     </t>
  </si>
  <si>
    <t>2017-38</t>
  </si>
  <si>
    <t>PILOT PROTO</t>
  </si>
  <si>
    <t>Continuation of Enforcement and Collection of Uniliquidated/Delinquent Accounts under Pilot and Protoyping Assistance Program</t>
  </si>
  <si>
    <t>2017-40</t>
  </si>
  <si>
    <t>NAST Exhibit for NSTW 2017</t>
  </si>
  <si>
    <t xml:space="preserve">National Academy of Science and Technology (NAST)                                 Philippine Heritage Building                                                                          DOST Compound                                                                                          </t>
  </si>
  <si>
    <t>2017-41</t>
  </si>
  <si>
    <t xml:space="preserve">Production and Fabrication of the 2017 NRCP-NSTW Exhibit </t>
  </si>
  <si>
    <t xml:space="preserve">National Research Council of the Philippines  (NRCP)                                        </t>
  </si>
  <si>
    <t>2017- 42</t>
  </si>
  <si>
    <t>Tropical Cyclone Interactive Exhibit</t>
  </si>
  <si>
    <t xml:space="preserve">Philippine Atmospheric, Geophysical and Astronomical Services Administration                                                                                                  </t>
  </si>
  <si>
    <t>Science Garden, Agham Road Diliman, Quezon City</t>
  </si>
  <si>
    <t>2017-43</t>
  </si>
  <si>
    <t>2017 National Science and Technology Week Exhibits of the PSHS System</t>
  </si>
  <si>
    <t>Philippine Science Highschool System (Main Campus)                                                                                                               Philippine Science Highschool Regional Campuses                                                                    *Cagayan Valley Campus                                                                                     Ilocos Region Campus                                                                                    Bicol Region Campus                                                                           Western Visayas Campus                                                                               Central Visayas Campus                                                                                     Eastern Visayas Campus                                                                                    CARAGA Region Campus                                                                                                                                   Southern Mindanao Campus                                                                                                       Zamboanga Peninsula Campus                                                                                                                    Soccsksargen Region Campus                                                                                                                   Central Mindanao Campus                                                                                                            Central Luzon Campus</t>
  </si>
  <si>
    <t>2017-44</t>
  </si>
  <si>
    <t>Promotion of S&amp;T Initiatives for Region X Through the conduct of NSTW 2017</t>
  </si>
  <si>
    <t xml:space="preserve">DOST Region X                                                                                           </t>
  </si>
  <si>
    <t>Limketkai Atrium Cagayan De Oro city</t>
  </si>
  <si>
    <t>2017-45</t>
  </si>
  <si>
    <t>2017 National Science and Technology Week- Rregion IX Celebration</t>
  </si>
  <si>
    <t xml:space="preserve">DOST Region IX                                                                                             </t>
  </si>
  <si>
    <t>2017-46</t>
  </si>
  <si>
    <t>Design and Fabrication of Low cost Blending machine for scaling up Rice Fortification</t>
  </si>
  <si>
    <t xml:space="preserve">Food and Nutrition Research Insititute (FNRI)                                                 </t>
  </si>
  <si>
    <t>STARDev</t>
  </si>
  <si>
    <t>2017-47</t>
  </si>
  <si>
    <t>Commercialization of "MYKL  kiti-kitiX or mosquito Larvicide Comprising of Calcium Hyrdroxide Clipnoptilolite</t>
  </si>
  <si>
    <t xml:space="preserve">Lyle Christian R. Herbosa                                                                            President                                                                                                           MYKL Trading Inc.                                                                                                  </t>
  </si>
  <si>
    <t>326 Masili, Calamba City Laguna</t>
  </si>
  <si>
    <t>2017-48</t>
  </si>
  <si>
    <t>Invent School Program in Selected Public Schools in the National Capital Region</t>
  </si>
  <si>
    <t xml:space="preserve">DOST-NCR                                                                                                    </t>
  </si>
  <si>
    <t>2017-49</t>
  </si>
  <si>
    <t>Proposed JZ Jewerly Repair Shop expansion into a Full Blown Jewelry Manufacturing Company</t>
  </si>
  <si>
    <t xml:space="preserve"> Evelyn Zamora                                                                                                Owner/Proprietor                                                                                           JZ Jewelry Repair Shop                                                                                </t>
  </si>
  <si>
    <t>0215 CPG East Avenue, Tagbilaran City, Bohol</t>
  </si>
  <si>
    <t>2017-50</t>
  </si>
  <si>
    <t>TTD</t>
  </si>
  <si>
    <t>Technology Transfer Day</t>
  </si>
  <si>
    <t>Technology Application and Promotion Institute in Collaboration with DOST Regional Offices</t>
  </si>
  <si>
    <t>2017-52</t>
  </si>
  <si>
    <t>Multiple Projectile Bullet</t>
  </si>
  <si>
    <t>Rodolfo C. Arambulo Sr.</t>
  </si>
  <si>
    <t>2017-53</t>
  </si>
  <si>
    <t xml:space="preserve">Technologist Association of Mindoro Occidental Community -Based Alternative For Rural Recovery and Empowerment, Inc.                      </t>
  </si>
  <si>
    <t>2017-54</t>
  </si>
  <si>
    <t>Intensive Culture of Milkfish in Brackfish Water Ponds</t>
  </si>
  <si>
    <t xml:space="preserve">Benjamin P. Sapitula                                                                                President                                                                                                             </t>
  </si>
  <si>
    <t>Don Mariano Marcos Memorial State University (DMMSU) Sapilang, Bacnota, La Union</t>
  </si>
  <si>
    <t>2017-55</t>
  </si>
  <si>
    <t>TIFT</t>
  </si>
  <si>
    <t>2nd OURFood Conference on Food Safety "Food Safety: A shared Responsibility</t>
  </si>
  <si>
    <t>DOST Region VI in Cooperation with the Association Negros Producers and AFOS Foundation for Entrepreneurial Development</t>
  </si>
  <si>
    <t>2017-56</t>
  </si>
  <si>
    <t>Technology Transfer Day in Region VII</t>
  </si>
  <si>
    <t xml:space="preserve">DOST Region VII                                                                                               Lahug S&amp;T Center                                                                                        </t>
  </si>
  <si>
    <t>Sudlon, Lahug, Cebu Ciy</t>
  </si>
  <si>
    <t>2017-57</t>
  </si>
  <si>
    <t>Product and Process Improvement Through the Adoption Appropriate Technologies for Redsea Seafood Delights, Inc</t>
  </si>
  <si>
    <t xml:space="preserve">Gerry S. Balingit                                                                                              Vice President                                                                                             Redsea Seafood Delights Inc.                                                                         </t>
  </si>
  <si>
    <t>151 Sto. Nino,Masantol Pampanga</t>
  </si>
  <si>
    <t>2017- 58</t>
  </si>
  <si>
    <t>Adopting Appropriate Technologies For a Zero Emission, Zero Dishcharge Waste Management System  for Gold Label Farm</t>
  </si>
  <si>
    <t xml:space="preserve">Erlinda C. Ang                                                                                                Owner/Manager                                                                                                Gold Label Farm                                                                                              </t>
  </si>
  <si>
    <t>Del Rosario, City of San Fernando Pampanga</t>
  </si>
  <si>
    <t>2017-59</t>
  </si>
  <si>
    <t>S&amp;T Intervention for Cagayan Valley Region to Level Up Fish Pond Operators of Cagayan Valley Fish Farmers Multipurpose Cooperative (CAVAFIF) under the Campi Program</t>
  </si>
  <si>
    <t xml:space="preserve">DOST Region II                                                                                          </t>
  </si>
  <si>
    <t>#2 Dalan na Paccurofon cor. Matunung Street, Regional Governement Center , Carig Sur, Tuguegarao City</t>
  </si>
  <si>
    <t>2017-60</t>
  </si>
  <si>
    <t>Cattle Fattening using UMMB</t>
  </si>
  <si>
    <t xml:space="preserve">Ireneo Pascual                                                                                                </t>
  </si>
  <si>
    <t>Marcos, Ilocos Norte</t>
  </si>
  <si>
    <t>2017-61</t>
  </si>
  <si>
    <t xml:space="preserve">Improved Ball and Socket Joint Especially for Motor Vehicles </t>
  </si>
  <si>
    <t xml:space="preserve">Leoncio P. Luna                                                                                                 Owner                                                                                                          Hilma Industries                                                                                                 </t>
  </si>
  <si>
    <t>1047-A Pedro Gil Street Paco Manila</t>
  </si>
  <si>
    <t>2017- 63</t>
  </si>
  <si>
    <t>"Improved Production Technology (Land Based) of Highly Commercial Seaweeds as Alternative Livelihood</t>
  </si>
  <si>
    <t xml:space="preserve">Roldan T. Echem                                                                                            </t>
  </si>
  <si>
    <t>Department of Biology College of Science and Math Western Mindanao State University Baliwasan, Zamboanga City</t>
  </si>
  <si>
    <t>2017-64</t>
  </si>
  <si>
    <t>Inventory Financing for VCO Production of Greenlife Coco Products</t>
  </si>
  <si>
    <t xml:space="preserve">Emelita A. Rubio                                                                                             Owner/Manager                                                                                                Green Life Coco Products (GLCP)                                                                </t>
  </si>
  <si>
    <t>Km. 114, Brgy. Wakas, Tayabas Quezon</t>
  </si>
  <si>
    <t>2017-65</t>
  </si>
  <si>
    <t>PROJECT</t>
  </si>
  <si>
    <t>Technology Transfer Day Region II</t>
  </si>
  <si>
    <t>2017-66</t>
  </si>
  <si>
    <t>Technology Transfer Day in Region X</t>
  </si>
  <si>
    <t xml:space="preserve">DOST Region X                                                                                            </t>
  </si>
  <si>
    <t>J.V Severina Street, Cagayan De Oro City</t>
  </si>
  <si>
    <t>2017-67</t>
  </si>
  <si>
    <t>Invent School Program Seminar- For Highschool and Collge Student</t>
  </si>
  <si>
    <t xml:space="preserve">DOST Region XII                                                                                            </t>
  </si>
  <si>
    <t>2017-68</t>
  </si>
  <si>
    <t>The Thirteenth Session of the APCTT Governing Council</t>
  </si>
  <si>
    <t>Technology Application and Promotion Institute( TAPI) in Collaboration with the Asian &amp; Pacific Center for Transfer of Technology of the United Nations Economic &amp; Social Commission for Asia and the Pacific ( APCTT-UNESCAP)</t>
  </si>
  <si>
    <t>2017- 69</t>
  </si>
  <si>
    <t>Participation to the Taipei invention Show and Technomart ( TAIPEI INST)</t>
  </si>
  <si>
    <t>2017-70</t>
  </si>
  <si>
    <t>Technology Transfer Day in Region VI</t>
  </si>
  <si>
    <t xml:space="preserve">DOST Region VI                                                                                       </t>
  </si>
  <si>
    <t xml:space="preserve">    Magsaysay Village, La Paz IloiloCity</t>
  </si>
  <si>
    <t>2017-71</t>
  </si>
  <si>
    <t>CAMPI level up Program- asissted MSMEs in Region X</t>
  </si>
  <si>
    <t xml:space="preserve">DOST Region X                                                                                               </t>
  </si>
  <si>
    <t>J.R. Borja Memorial Hospital Compound, Carmen Cagayan De Oro City</t>
  </si>
  <si>
    <t>2017-72</t>
  </si>
  <si>
    <t>Setting up of S&amp;T Information and Dessimination Nook at DTI Negosyo Centers (S&amp;T Nook)</t>
  </si>
  <si>
    <t xml:space="preserve">    DOST Region II                                                                                    </t>
  </si>
  <si>
    <t>#2 Dalan na Paccurufon cor. Matunung Street Carig Sur, Tuguegarao City Cagayan</t>
  </si>
  <si>
    <t>2017-73</t>
  </si>
  <si>
    <t>2017- 75</t>
  </si>
  <si>
    <t>Invent School Program Seminar Workshop for Highschool and College Students of Private and Public Secondary Schools and SUCs in Region III</t>
  </si>
  <si>
    <t xml:space="preserve">Yolanda S. Guillermo                                                                               Director Extension and Training                                                                     </t>
  </si>
  <si>
    <t>Tarlac Agricultural University Camiling, Tarlac</t>
  </si>
  <si>
    <t>2017-77</t>
  </si>
  <si>
    <t>Moderncraft Furniture Shop Expansion</t>
  </si>
  <si>
    <t xml:space="preserve">Ricardo A. Calubaquib                                                                                 Proprietor                                                                                                        Modern Craft Furniture Shop                                                                             </t>
  </si>
  <si>
    <t>25 F. Bassig Street, Ugac Norte Tuguegarao City, Cagayan</t>
  </si>
  <si>
    <t>2017-78</t>
  </si>
  <si>
    <t>Regional Metals and Engineering Service Center in Metro Cebu (RMESC)</t>
  </si>
  <si>
    <t>Hernando P. Morante                                                                               President                                                                                                         Center for Cebu Light Engineering and Metaworking, Inc. (CCLEM)                 RMESC Building, DOST VII Compound                                                          Sudlon, Lahug , Cebu CIty</t>
  </si>
  <si>
    <t>RMESC Building, DOST VII Compound Sudlon, Lahug , Cebu CIty</t>
  </si>
  <si>
    <t>2017-79</t>
  </si>
  <si>
    <t>Establishment of the Regional Metals and Engineering Service Center Phase II (RMESC Phase II)</t>
  </si>
  <si>
    <t>2017-80</t>
  </si>
  <si>
    <t>Capability Building on Mechanical CAD/CAM Technology for tool, Mold Die and Machine Parts Design and Engineering Center Phase I and II</t>
  </si>
  <si>
    <t>Hernando P. Morante                                                                                                 President                                                                                                         Center for Cebu Light Engineering and Metaworking, Inc. (CCLEM)                 RMESC Building, DOST VII Compound                                                          Sudlon, Lahug , Cebu CIty</t>
  </si>
  <si>
    <t>2017-81</t>
  </si>
  <si>
    <t>Fabrication of Prototype Dried Pineapple Processing Equipment</t>
  </si>
  <si>
    <t xml:space="preserve">Omar H. Yapchiongco                                                                                  </t>
  </si>
  <si>
    <t>Longos, Balagtas, Bulacan</t>
  </si>
  <si>
    <t>2017-85</t>
  </si>
  <si>
    <t>Productivity Improvement through Material Purchase -Guaranfoods  Manufacturing Corporation (GMC)</t>
  </si>
  <si>
    <t xml:space="preserve">Reagan Joel Virtucio                                                                                        General Manager                                                                                          Guaranfoods Manufacturing Corporation (GMC)                                                                                                                              </t>
  </si>
  <si>
    <t>Everlasting Street, Patricia Village, Del Remedio, San Pablo City</t>
  </si>
  <si>
    <t>2017-86</t>
  </si>
  <si>
    <t>2017 National Inventors Week Celebration Filipino Inventors at its best , Celebrating the Bright Minds</t>
  </si>
  <si>
    <t xml:space="preserve">DOST Region II                                                                                             </t>
  </si>
  <si>
    <t>2017-88</t>
  </si>
  <si>
    <t xml:space="preserve">Technology Transfer Day </t>
  </si>
  <si>
    <t>Technology Application and Promotion Institute In Cooperation with Regional Offices</t>
  </si>
  <si>
    <t>2017-01-ad referenda</t>
  </si>
  <si>
    <t>Investors' Forum to Evaluate under the Industrial-Based Invention Development (IBID) Program</t>
  </si>
  <si>
    <t>Technology Application and Promotion Intitute (TAPI)</t>
  </si>
  <si>
    <t>2017-02-ad referenda</t>
  </si>
  <si>
    <t xml:space="preserve">2017-03- ad referenda </t>
  </si>
  <si>
    <t>Environmental Technology  Verification (ETV) Test Plan for the Patent Pending invention entitled"REDDOPAC"</t>
  </si>
  <si>
    <t xml:space="preserve">             Mr. Aezer L. Cajegas                                                                                    </t>
  </si>
  <si>
    <t>Hydrophillia Technologies, Inc Dona Alegre Street, Mamay Road Barangay Alfonso, Angliongto Buhangin District, Davao City</t>
  </si>
  <si>
    <t xml:space="preserve">2017-04- ad referenda </t>
  </si>
  <si>
    <t>Invent School Program Seminar- Workshop for High Schol Students</t>
  </si>
  <si>
    <t>Bicol University College of Agriculture and Foresery (BUCAF)</t>
  </si>
  <si>
    <t xml:space="preserve">Guinobatan, Albay </t>
  </si>
  <si>
    <t>2017-05- ad referenda</t>
  </si>
  <si>
    <t>Invent School Program Seminar- Workshop for BUCAF (College) Students</t>
  </si>
  <si>
    <t>2017-06- ad referenda</t>
  </si>
  <si>
    <t>TAPI's Participation tot he 'Philippine International Entrepreneur Conference and Expo 2017</t>
  </si>
  <si>
    <t>AD Asia Conventions and Exhibitions International Corp.</t>
  </si>
  <si>
    <t>Unit 305 A N.Y. Building 38 Timog Avenue Diliman, Quezon City</t>
  </si>
  <si>
    <t>2017-07- ad referenda</t>
  </si>
  <si>
    <t xml:space="preserve">Implementaion of Invent School Program for College Students </t>
  </si>
  <si>
    <t>New Era University</t>
  </si>
  <si>
    <t xml:space="preserve">Commonwealth Avenue Quezon City </t>
  </si>
  <si>
    <t>2017-08- ad referenda</t>
  </si>
  <si>
    <t>Implementaion of Invent School Program for College Students</t>
  </si>
  <si>
    <t xml:space="preserve">Bulacan State University </t>
  </si>
  <si>
    <t>Bulacan, City</t>
  </si>
  <si>
    <t>2017-09-ad referenda</t>
  </si>
  <si>
    <t>2017-10- ad referenda</t>
  </si>
  <si>
    <t xml:space="preserve">Participation to the 2017 League of Municipalities General Assembly </t>
  </si>
  <si>
    <t xml:space="preserve">League of Municipalities of the Philippines </t>
  </si>
  <si>
    <t>2/F LMP Building 265 Ermin Garcia Street Cubao, Quezon City</t>
  </si>
  <si>
    <t>2017-11- ad referenda</t>
  </si>
  <si>
    <t>Printing of Poster for Nutrition-Related Infographics of DOST-FNRI under PMP</t>
  </si>
  <si>
    <t>Dr. Mario V. Capanzana                                                                    Director</t>
  </si>
  <si>
    <t>DOST-FNRI Bicutan,Taguig City</t>
  </si>
  <si>
    <t>2017-12- ad referenda</t>
  </si>
  <si>
    <t>Pilot Production of "Grooved Perforated Carburator Noozle" (Pattent Application no.1-2016-000212)</t>
  </si>
  <si>
    <t xml:space="preserve">Mr.Rommel B. Bernardo </t>
  </si>
  <si>
    <t>60 H Mount Kennedy  Street Mountain View Village Barangay Sta. Elena Marikina City</t>
  </si>
  <si>
    <t>2017-13- ad referenda</t>
  </si>
  <si>
    <t>Improved Hydrogasifier Patent Pending 1-2016-00019</t>
  </si>
  <si>
    <t>Roberto V. Celis</t>
  </si>
  <si>
    <t>21 Gold Street  SSS Village, Marikina City</t>
  </si>
  <si>
    <t>2017-14- ad referenda</t>
  </si>
  <si>
    <t>Printing of Brochures for Research-based Information Materials of DOST-FNRI</t>
  </si>
  <si>
    <t>Food and Nutrition Research Institute (FNRI) DOST Compound Bicutan, Taguig City</t>
  </si>
  <si>
    <t>2017-15- ad referenda</t>
  </si>
  <si>
    <t>Production of Innovative Chevon-Based Products Towards Commercialization</t>
  </si>
  <si>
    <t>Central Luzon State University Science City of muñoz</t>
  </si>
  <si>
    <t>Nueva Ecija</t>
  </si>
  <si>
    <t>2017-16- ad referenda</t>
  </si>
  <si>
    <t>Participation of DOST to be International Food Exhibition( IFEX) 2017</t>
  </si>
  <si>
    <t>DOST Compound Bicutan, Taguig</t>
  </si>
  <si>
    <t>2017-17- ad referenda</t>
  </si>
  <si>
    <t xml:space="preserve">Invent School Program Seminar- Workshop for Senior High School and College Students </t>
  </si>
  <si>
    <t>DOST MIMAROPA</t>
  </si>
  <si>
    <t>4th Floor DOST-PTRI Building General Santos Avenue  Bicutan, Taguig City</t>
  </si>
  <si>
    <t>2017-18- ad referenda</t>
  </si>
  <si>
    <t>Forum on SET-UP and Venture Financing Program during IFEX 2017</t>
  </si>
  <si>
    <t>Technology Application and Promotion Institute (TAPI) in cooperation with the Department of Trade and Industry-Center for International Trade Expositions and Missions (CITEM)</t>
  </si>
  <si>
    <t>Bicutan,Taguig City</t>
  </si>
  <si>
    <t>2017-19- ad referenda</t>
  </si>
  <si>
    <t>2017 Science for Change (S4C) Festival in Region IX</t>
  </si>
  <si>
    <t>2017-20- ad referenda</t>
  </si>
  <si>
    <t xml:space="preserve">Invent School Program Seminar- Workshop for High School Students </t>
  </si>
  <si>
    <t>DOST REegion III</t>
  </si>
  <si>
    <t>DOST Building, Government Center Barangay Maimpis City of San Fernando</t>
  </si>
  <si>
    <t>2017-21- ad referenda</t>
  </si>
  <si>
    <t>Davao Medical Center Compound Cor. Friendship and Dumanlas Road Bajada, Davao City</t>
  </si>
  <si>
    <t>2017-22- ad referenda</t>
  </si>
  <si>
    <t xml:space="preserve"> 2017 Regional Invention Contest and Exhibits ( RICE) - NCR</t>
  </si>
  <si>
    <t>DOST NCR</t>
  </si>
  <si>
    <t>DOST Compound General Santos Avenue Bicutan,Taguig City</t>
  </si>
  <si>
    <t>ISTE-NICE</t>
  </si>
  <si>
    <t>2017-23- ad referenda</t>
  </si>
  <si>
    <t xml:space="preserve">Participation of DOST-TAPI to the 17th Science Council of Asia International Conference </t>
  </si>
  <si>
    <t>2017-24- ad referenda</t>
  </si>
  <si>
    <t>DOST-TAPI's Participation to the 5th Philippines SME Business Expo                      ( PhilSME)</t>
  </si>
  <si>
    <t>Mediacom Solutions Inc.</t>
  </si>
  <si>
    <t>Unit 510, Cattleya Building 235 Salcedo Street Legaspi Village, Makati city</t>
  </si>
  <si>
    <t>2017-25- ad referenda</t>
  </si>
  <si>
    <t xml:space="preserve">"Pilot Production of "Green Ecotoilets System (GETS)" </t>
  </si>
  <si>
    <t>Mr. Daniel Camacho</t>
  </si>
  <si>
    <t xml:space="preserve">G/F Plaza Andrea Building #18 Holy Spirit Drive Barangay Holy Spirit , Quezon City </t>
  </si>
  <si>
    <t>2017-26- ad referenda</t>
  </si>
  <si>
    <t xml:space="preserve">Common Service Facilities for Squid and Fish Drying Project of Local Government Unit of Don Marcelino, Davao Occidental </t>
  </si>
  <si>
    <t xml:space="preserve">DOST Region XI/ PSTC Davao Occidental </t>
  </si>
  <si>
    <t>Cor. Dumanlas and Friendship Roads Bajada, Davao City</t>
  </si>
  <si>
    <t>2017-27- ad referenda</t>
  </si>
  <si>
    <t>2017-28- ad referenda</t>
  </si>
  <si>
    <t>Pilot Production of "Cylinder Masonry Breaker " (Patent Pending)</t>
  </si>
  <si>
    <t>Mr. Joel C. Miguel</t>
  </si>
  <si>
    <t>109 Rosas Street Twinvill Subdivision Nangka, Marikina city</t>
  </si>
  <si>
    <t>2017-29- ad referenda</t>
  </si>
  <si>
    <t xml:space="preserve">Banana Chips Processing </t>
  </si>
  <si>
    <t>Mr. Jordan I. Fajardo                                                                           Chairman and Founder Sitio Lagunlong Community Development Organization (SLCDO)</t>
  </si>
  <si>
    <t>Sitio Lagunlong, Barangay Water Baco, Oriental Mindoro</t>
  </si>
  <si>
    <t>2017-30- ad referenda</t>
  </si>
  <si>
    <t>Inventors' Forum                                                                                                      1. Menardo dela Pas - " Modular Hydrogen Generation System" 2. Samuel de Asis - " Driven-in Electric Turbine (D-IET)" 3. Rome Ubasa -  Air Hydro Power Plant"</t>
  </si>
  <si>
    <t>2017-31- ad referenda</t>
  </si>
  <si>
    <t>Prototyping of "Alternative Synchronous Electric Motor and Generator  (Utility Model Registartion Number-2-2015-000127)</t>
  </si>
  <si>
    <t>Mr. Jose S. Aldea</t>
  </si>
  <si>
    <t>Arnaldo Boulevard Roxas City</t>
  </si>
  <si>
    <t>2017-32- ad referenda</t>
  </si>
  <si>
    <t>Pilot Testing of Invent School Program (ISP) for Elementary Pupils</t>
  </si>
  <si>
    <t>Technology Application and Promotion Institute (TAPI) Invention Development Division</t>
  </si>
  <si>
    <t xml:space="preserve">Bicutan,Taguig City </t>
  </si>
  <si>
    <t>2017-33- ad referenda</t>
  </si>
  <si>
    <t xml:space="preserve">APPROVAL </t>
  </si>
  <si>
    <t>LEGAL</t>
  </si>
  <si>
    <t>Legal Forum</t>
  </si>
  <si>
    <t>Legal Unit Invention Development Division (IDD) Technology Application and Promotion Institute (TAPI)</t>
  </si>
  <si>
    <t>2017-34- ad referenda</t>
  </si>
  <si>
    <t>Printing PNRI Technology Flyers For the 2017 National Science and Technology week Exhibition and Regional Science and Technology Week Exhibits</t>
  </si>
  <si>
    <t>Commonwealth Avenue Quezon City</t>
  </si>
  <si>
    <t>2017-35- ad referenda</t>
  </si>
  <si>
    <t>Fabrication of a Commercials Prototype of "Unsinkable PortaBoat" (UPB)</t>
  </si>
  <si>
    <t>Mr. Ronald P. Pagsanghan</t>
  </si>
  <si>
    <t>G/F Plaza Andrea Building Block 12, Lot 13, Ph2B Ciudad Real San Jose, Del Monte, Bulacan</t>
  </si>
  <si>
    <t>2017-36- ad referenda</t>
  </si>
  <si>
    <t>Invent School Programs (ISP) for Secondary Schools in Region II</t>
  </si>
  <si>
    <t>DOST Region II                                                                               #2 Dalanna Paccorofun</t>
  </si>
  <si>
    <t>cor. Matunong Street Regional Government Center Carig Sur, Tuguegarao</t>
  </si>
  <si>
    <t>2017-37- ad referenda</t>
  </si>
  <si>
    <t>2017-38- ad referenda</t>
  </si>
  <si>
    <t>Vegetables and Cereals Foods Drink</t>
  </si>
  <si>
    <t>Mr.Roberto M. Catubig</t>
  </si>
  <si>
    <t>24-D D. Santiago Street Santolan, Pasig City</t>
  </si>
  <si>
    <t>2017-39- ad referenda</t>
  </si>
  <si>
    <t xml:space="preserve">Invent School Program Seminar-Workshop for College Students </t>
  </si>
  <si>
    <t>Nueva Ecija University of Science and Technology ( NEUST) and DOSTRegion III</t>
  </si>
  <si>
    <t>2017-40- ad referenda</t>
  </si>
  <si>
    <t>2017-41- ad referenda</t>
  </si>
  <si>
    <t>Printing of FPRDI Information Materials for Use in the 2017 DOST National Science and Technology Week Celebration,DOST Regional and Other Promotional Materials</t>
  </si>
  <si>
    <t>Dr. Romulo T. Anggangan                                                    Director Forest Products Research and Development Institute (FPRDI)</t>
  </si>
  <si>
    <t>Los Banos, College, Laguna</t>
  </si>
  <si>
    <t>2017-42- ad referenda</t>
  </si>
  <si>
    <t xml:space="preserve">Support to the Filipino Investors and Inventions Directory </t>
  </si>
  <si>
    <t>Mr. Manuel R. Dono                                                                  National President Filipino Inventors Soceity, Inc.</t>
  </si>
  <si>
    <t>TAPI Bldg, DOST Compound General Santos Avenue, Bicutan Taguig City</t>
  </si>
  <si>
    <t>2017-43- ad referenda</t>
  </si>
  <si>
    <t xml:space="preserve">Invent School Program Seminar-Workshop for College and Senior High School Students </t>
  </si>
  <si>
    <t xml:space="preserve">DOST Regio IX Pettit Barracks Zamboanga City </t>
  </si>
  <si>
    <t xml:space="preserve">Zamboanga City </t>
  </si>
  <si>
    <t>2017-44- ad referenda</t>
  </si>
  <si>
    <t>"International  Conference on Research Translation and 66th PhilAAST Annual Convention"</t>
  </si>
  <si>
    <t xml:space="preserve">Philippine Association for the Advancement of Science and Technology (PhilAAST) </t>
  </si>
  <si>
    <t>Rm,. 218 National Engineering Center UP Diliman, Quezon City</t>
  </si>
  <si>
    <t>2017-45- ad referenda</t>
  </si>
  <si>
    <t>Grooved-perforated  Carburetor Fuel Noozle for two (2) and Four (4) Stroke Medium Displacement  Gasoline Engines  Patent Pending(1-2016-000212)</t>
  </si>
  <si>
    <t>Mr.Rommel B. Bernardo</t>
  </si>
  <si>
    <t xml:space="preserve">174 E. Dela Paz Street Barangay San Roque Marikina City </t>
  </si>
  <si>
    <t>2017-46- ad referenda</t>
  </si>
  <si>
    <t>Invent School Program for Integrated School (Grade7-12)</t>
  </si>
  <si>
    <t xml:space="preserve">New Era University </t>
  </si>
  <si>
    <t>Quezon City</t>
  </si>
  <si>
    <t>2017-47- ad referenda</t>
  </si>
  <si>
    <t xml:space="preserve">Seminar Workshop on Creativity, Invention and Innovation </t>
  </si>
  <si>
    <t>DOST Region I                                                                                  DMMMSU-MLU Campus</t>
  </si>
  <si>
    <t>City of San Fernando, La Union</t>
  </si>
  <si>
    <t>2017-48- ad referenda</t>
  </si>
  <si>
    <t xml:space="preserve">DOST Region IX Pettit Barracks Zamboanga City </t>
  </si>
  <si>
    <t>2017-49- ad referenda</t>
  </si>
  <si>
    <t xml:space="preserve">Seminar workshop on Creativity, Invention and Innovation </t>
  </si>
  <si>
    <t>DOST Region XI and Department of Education, Division of Tagum city (DepEd- Tagum City)</t>
  </si>
  <si>
    <t xml:space="preserve">Tagum City </t>
  </si>
  <si>
    <t>2017-50- ad referenda</t>
  </si>
  <si>
    <t xml:space="preserve">National Science and Technology Week. Science for the People: ARMM Regional Celebration </t>
  </si>
  <si>
    <t>DOST-ARMM                                                                         DOST-ARMM Regional</t>
  </si>
  <si>
    <t>Office, ARMM complex Cotabato City</t>
  </si>
  <si>
    <t>2017-51- ad referenda</t>
  </si>
  <si>
    <t>Acquisition of Production Equipment to Eliminate Outsourcing and Upgrade Process</t>
  </si>
  <si>
    <t xml:space="preserve">Quickflames Metal Fabrication </t>
  </si>
  <si>
    <t xml:space="preserve">#9 Alfonso Street, Ortigas Extension Rosario, Pasig City </t>
  </si>
  <si>
    <t>2017-52- ad referenda</t>
  </si>
  <si>
    <t>Fuel Saving System for Internal Combustion Engine (Highmax Turbo Power Simulator)  UM No. 2-2010-000039</t>
  </si>
  <si>
    <t>Mr. Junior  A. De Jesus</t>
  </si>
  <si>
    <t xml:space="preserve">1456 Governor Santiago Road Malinta Valenzuela City </t>
  </si>
  <si>
    <t>2017-53- ad referenda</t>
  </si>
  <si>
    <t xml:space="preserve">Pluetrotus Mushroom Production  Using Rice Straw-Sawdust Based Substrate Formulation </t>
  </si>
  <si>
    <t xml:space="preserve">Central Luzon State University  </t>
  </si>
  <si>
    <t>Science City of Munoz Nueva Ecija</t>
  </si>
  <si>
    <t>2017-54- ad referenda</t>
  </si>
  <si>
    <t>"Alkaline Fuel Cell, a fuel saver and anti-pollution device" Patent Application No.1-2015-000302</t>
  </si>
  <si>
    <t xml:space="preserve">736 Maginhawa Street United Subdivision  Sa Pedro, Laguna </t>
  </si>
  <si>
    <t>2017-55- ad referenda</t>
  </si>
  <si>
    <t>TAPI's Participation to the 43rd Philippine Business Conference and Expo</t>
  </si>
  <si>
    <t>Philippine Chamber of Commerce and Industry</t>
  </si>
  <si>
    <t xml:space="preserve">Taguig City </t>
  </si>
  <si>
    <t>2017-56- ad referenda</t>
  </si>
  <si>
    <t>Fabrication of Commercial Prototype of the " Passenger Jeep Having LPG-Fueled Engine"  (UM No. 2-2011-000542)</t>
  </si>
  <si>
    <t xml:space="preserve">Mr.Ricardo A.                                                                                          David c/o David Motor Trading and Red Corporation </t>
  </si>
  <si>
    <t xml:space="preserve">9 c. Santiago Street Dalandanan, Valenzuela City </t>
  </si>
  <si>
    <t>2017-57- ad referenda</t>
  </si>
  <si>
    <t>Registration of ther Invent School Program Logo and Actual Use of Tradename Thereof</t>
  </si>
  <si>
    <t>2017-58- ad referenda</t>
  </si>
  <si>
    <t xml:space="preserve">Invent School Program (Junior/Senior High School Level) in Selected Public Schools in the National Capital Region </t>
  </si>
  <si>
    <t xml:space="preserve">DOST National Capital Region </t>
  </si>
  <si>
    <t>2017-59- ad referenda</t>
  </si>
  <si>
    <t xml:space="preserve">Invent School Program for Elementray Level in Selected Schools in the National Capital Region </t>
  </si>
  <si>
    <t>2017-60- ad referenda</t>
  </si>
  <si>
    <t xml:space="preserve">Invent School Seminar-Workshop for College Students </t>
  </si>
  <si>
    <t>DOST Region VI and Carlos Hilado Memorial State College (CHMSC)</t>
  </si>
  <si>
    <t>2017-61- ad referenda</t>
  </si>
  <si>
    <t>2017-62- ad referenda</t>
  </si>
  <si>
    <t>TAPI's Participation in the 13th National Biotechnology Week (NBW)</t>
  </si>
  <si>
    <t>2017-63- ad referenda</t>
  </si>
  <si>
    <t>"ISSI 1st MSME Conference "</t>
  </si>
  <si>
    <t>UP Institute for Small Scale Industries ( UPISSI)</t>
  </si>
  <si>
    <t xml:space="preserve">E.T. Virata HAll                                  E. Jacinto Street, UP Campus Diliman, Quezon City </t>
  </si>
  <si>
    <t>2017-64- ad referenda</t>
  </si>
  <si>
    <t>Prototyping of "Device for Lowering Loads with Controlled Descent Patent Number 1-2010-000007</t>
  </si>
  <si>
    <t>Mr. Eugenio V. Galang</t>
  </si>
  <si>
    <t>3992 R. Magsaysay Boulevard  Sta. Mesa,Manila</t>
  </si>
  <si>
    <t>2017-65- ad referenda</t>
  </si>
  <si>
    <t>Prototyping of "Hydro Air Electricity Power" Utility Model Registration Number UM-2-2017-000085</t>
  </si>
  <si>
    <t xml:space="preserve">Mr. Romeo A. Ubasa                                                                                RAU Welding Shop </t>
  </si>
  <si>
    <t>Block 14, Lot 35 St. Monique Valais, Pantok Binangonan, Rizal</t>
  </si>
  <si>
    <t>2017-66- ad referenda</t>
  </si>
  <si>
    <t xml:space="preserve">-
</t>
  </si>
  <si>
    <t xml:space="preserve">Science and Technology Application in Rural Development (STARDev) Program </t>
  </si>
  <si>
    <t xml:space="preserve">Technology Application and Promotion Institute (TAPI) Technology Information and Promotion Division (TIPD) </t>
  </si>
  <si>
    <t>2017-67- ad referenda</t>
  </si>
  <si>
    <t xml:space="preserve">Improvement of the Production Processes of Mengal Women Organization Inc. Food Products Thru S&amp;T Intervention </t>
  </si>
  <si>
    <t xml:space="preserve">#2 Dalan na Paccurofon corner Matunung Street Regional Government Center Carig Sur, Tuguegarao City </t>
  </si>
  <si>
    <t>2017-69- ad referenda</t>
  </si>
  <si>
    <t>Analysis of the Vegetables and Cereals Food Drink</t>
  </si>
  <si>
    <t>Mr. Roberto M. Catubig</t>
  </si>
  <si>
    <t xml:space="preserve">24-D-D. Santiago Street Santolan, Quezon City </t>
  </si>
  <si>
    <t>2017-70- ad referenda</t>
  </si>
  <si>
    <t>Printing of Tarpaulins for Promotion of National Inventors Week on 13-17 November 2017 in Waltermart Sucat, Paranaque City</t>
  </si>
  <si>
    <t>Inventor Manuel R. Dono                                                                      National President Filipino Investors Society, Inc</t>
  </si>
  <si>
    <t>2017-71- ad referenda</t>
  </si>
  <si>
    <t>"S&amp;T Intervention to Level up Micro, Small and Medium Enterprises on Food Sector in Region 3"</t>
  </si>
  <si>
    <t xml:space="preserve">Diosdado Macapagal Government Center, Maimpis  City of San Fernando, pampanga </t>
  </si>
  <si>
    <t>2017-72- ad referenda</t>
  </si>
  <si>
    <t>The Thirteenth  Session of the APCTT Governing Council and International Conference on Green technologies for Achieving Sustainable Development Goals</t>
  </si>
  <si>
    <t>Technology Application and Promotion Institute (TAPI) in collaboration with APCTT-UNESCAP</t>
  </si>
  <si>
    <t xml:space="preserve">Bicutan, Taguig City </t>
  </si>
  <si>
    <t>2017-73- ad referenda</t>
  </si>
  <si>
    <t xml:space="preserve">Printing of MIRDC Brochure of Locally-development R&amp;D Projects </t>
  </si>
  <si>
    <t>Engr. Roberto O. Dizon Executive Director  Metals Industry research and Development Center ( MIRDC)</t>
  </si>
  <si>
    <t xml:space="preserve">General Santos Avenue Bicutan, Taguig city </t>
  </si>
  <si>
    <t>DOST 500</t>
  </si>
  <si>
    <t>Support to the Commercialization of 500 DOST- Generated Technologies          (CY 2015-2017)</t>
  </si>
  <si>
    <t>Purchase Order (PO) Financing Project Phase III by Edward Marcs Philippines Inc.</t>
  </si>
  <si>
    <t xml:space="preserve">Ma. Miranda C. Cordova                                                                                  President and CEO                                                                                      Edward Marcs Philippines, Inc                                                                     </t>
  </si>
  <si>
    <t>2nd Floor Timog Building #28 Eugenio Lopez Street South Triangle, Quezon City</t>
  </si>
  <si>
    <t>Operationalization of the Screening Committee R.A 7459</t>
  </si>
  <si>
    <t>Production of Flat Iron Holder</t>
  </si>
  <si>
    <t xml:space="preserve">Pablo P. Manalang                                                                                          Owner                                                                                                         Henderson Enterprises                                                                                   </t>
  </si>
  <si>
    <t>Block 12, Lot 2, Camella South, San Pedro Laguna (Per MOA Address) 509 Aliw Street cor. Malaya Street Mandaluyong City ( present Address)</t>
  </si>
  <si>
    <t>Pilot Plant Assistance Progam</t>
  </si>
  <si>
    <t>Fabrication of Welding Machine</t>
  </si>
  <si>
    <t xml:space="preserve">Roger B. Benoyo                                                                                              B.B Iron Works                                                                                                </t>
  </si>
  <si>
    <t>21 Arellano Street Barangay Arellano, Mangatarem, Pangasinan</t>
  </si>
  <si>
    <t>Multi-Purpose Wheelchair</t>
  </si>
  <si>
    <t xml:space="preserve">Felipe O. Pamulaklakin                                                                                                            </t>
  </si>
  <si>
    <t>2313 General Lukban, Gagalangin, Tondo Manila</t>
  </si>
  <si>
    <t>Prototype and Testing Assitance Program</t>
  </si>
  <si>
    <t>Fabrication of a Geohydrological Equipment</t>
  </si>
  <si>
    <t xml:space="preserve">Luciano D. Sawal                                                                                             </t>
  </si>
  <si>
    <t>1377 Jose Abad Santos Avenue, Tondo Manila</t>
  </si>
  <si>
    <t>Production of Multi-Directional Light Bulb Dispenser</t>
  </si>
  <si>
    <t xml:space="preserve">Manuel D. Delgado                                                                                                      </t>
  </si>
  <si>
    <t>949 RR Track, Barangka Ibaba, Mandaluyong City</t>
  </si>
  <si>
    <t>Critiquing/ Validating of ISP Modules for Highschool and College Students and Creation of ISP Modules for Elementary Students</t>
  </si>
  <si>
    <t>Invention Development Division (IDD- TAPI)</t>
  </si>
  <si>
    <t>Conduct of Filipino Investors' Orientation on the Guidelines, Criteria and Documentary Requirements for the Investors' Umbrella Organization</t>
  </si>
  <si>
    <t>Commercialization of "TOP-O" Through the Process of Increasing Dissolved / Stabilized Oxygen in Water</t>
  </si>
  <si>
    <t>Victor Uy Cu                                                                                                      Managing Director                                                                                               O22 Healh and Beauty, Inc</t>
  </si>
  <si>
    <t>2016 National Invention Contest and Exhibits (NICE)</t>
  </si>
  <si>
    <t>2016-13</t>
  </si>
  <si>
    <t>Piloting of Sea Urchin Culture along La Union Waters</t>
  </si>
  <si>
    <t xml:space="preserve">Don Mariano Marcos Memorial State University (DMMMSU)                               North La Union Campus                                                                                            Fisheries Research and Training Institute                                                            </t>
  </si>
  <si>
    <t>Paraoi, Balaoan, La Union</t>
  </si>
  <si>
    <t>Pilot Plant Assistance Program</t>
  </si>
  <si>
    <t>2016-14</t>
  </si>
  <si>
    <t>Technology Transfer Day 2016</t>
  </si>
  <si>
    <t>2016-16</t>
  </si>
  <si>
    <t>Publication of DOST-Assisted/ Generated Technologies (2010-2015)</t>
  </si>
  <si>
    <t>2016-17</t>
  </si>
  <si>
    <t>Media Promotion of TAPI's Assistance to Inventors</t>
  </si>
  <si>
    <t>2016-19</t>
  </si>
  <si>
    <t>B&amp;C Extruder and Cutting Machine</t>
  </si>
  <si>
    <t xml:space="preserve">Benson Jay B. Tanoja                                                                                      President                                                                                                         B&amp;C Healthy Snack Foods, Inc.                                                                             </t>
  </si>
  <si>
    <t>Lot 6, Block 5, Jasmin Street, Don Juan Bayview, Sucat, Muntinlupa City</t>
  </si>
  <si>
    <t>2016-20</t>
  </si>
  <si>
    <t>2016-21</t>
  </si>
  <si>
    <t>Implementation of ASTI Exhibit Materials for the 2016 National Science and Technology Week (NSTW)</t>
  </si>
  <si>
    <t>Advance Science and Technology Insitute (ASTI)</t>
  </si>
  <si>
    <t>2016-22</t>
  </si>
  <si>
    <t>Fabrication of FNRI Exhibit Materials for the 2016 National Science and Technology Week (NSTW)</t>
  </si>
  <si>
    <t>Food and Nutrition Research Institute</t>
  </si>
  <si>
    <t>2016-23</t>
  </si>
  <si>
    <t>Publication and Fabrication of FPRDI Exhibits for the 2016 Department of Science and Technology's Annual Science and Technology Week Celebration</t>
  </si>
  <si>
    <t>2016-24</t>
  </si>
  <si>
    <t>STI Ecosystem Outcomes 4 and 5 Participation in the National Science and Technology Week (NSTW)</t>
  </si>
  <si>
    <t>Information and Communications Technology Office (ICTO)</t>
  </si>
  <si>
    <t>2016-25</t>
  </si>
  <si>
    <t>Production of ITDI Exhibit Module for the National Science and Technology Week (NSTW)</t>
  </si>
  <si>
    <t>Industrial Technology Development Institute</t>
  </si>
  <si>
    <t>2016-26</t>
  </si>
  <si>
    <t>NAST Exhibit for the National Science and Technology Week</t>
  </si>
  <si>
    <t>National Academy of Science and Technology</t>
  </si>
  <si>
    <t>2016- 27</t>
  </si>
  <si>
    <t>Fabrication of PCHRD Open House Exhibit Materials for the 2016 National Science and Technology Week (NSTW)</t>
  </si>
  <si>
    <t>2016- 28</t>
  </si>
  <si>
    <t>Iskolar ng Agham, Tagapaglingkod ng Bayan</t>
  </si>
  <si>
    <t>Science Education Institute (SEI)</t>
  </si>
  <si>
    <t>2016-29</t>
  </si>
  <si>
    <t>STII Technology Fair Exhibit</t>
  </si>
  <si>
    <t>2016-30</t>
  </si>
  <si>
    <t>The PSHS Golden Age: Leaps and Bounds In the Past 50 Years</t>
  </si>
  <si>
    <t>Philippine Science Highschool (PSHS) System</t>
  </si>
  <si>
    <t>2016-31</t>
  </si>
  <si>
    <t>Conduct of the 2016 National Science and Technology Week (NSTW)</t>
  </si>
  <si>
    <t>2016-32</t>
  </si>
  <si>
    <t>2016 National and Regional Science and Technology Week</t>
  </si>
  <si>
    <t>2016-33</t>
  </si>
  <si>
    <t>2016 National Science and Technology Week (NSTW)</t>
  </si>
  <si>
    <t>2016-34</t>
  </si>
  <si>
    <t>Promotion of DOST 7- Assisted Projects and Technical Services for the Celebration of 2016 National Science and Technology Week (NSTW)</t>
  </si>
  <si>
    <t>2016-35</t>
  </si>
  <si>
    <t>Ang Bahay ng mga Paham</t>
  </si>
  <si>
    <t>National Research Council of the Philippines</t>
  </si>
  <si>
    <t>2016-36</t>
  </si>
  <si>
    <t>Promotion of S&amp;T Initiatives for Region X through the conduct of the 2016 National Science and Technology Week (NSTW)</t>
  </si>
  <si>
    <t>2016- 37</t>
  </si>
  <si>
    <t>Production of PCIEERD Exhibits for 2016 National Science and Technology Week (NSTW)</t>
  </si>
  <si>
    <t>Philippine Council for Industry Energy and Emerging Technology Research and Development ( PCIEERD)</t>
  </si>
  <si>
    <t>2016-39</t>
  </si>
  <si>
    <t>Commercialization of a Knock-Down Type Sidecar for Bicycle and the like UM-2-2000-00268 dated 08 March 2001</t>
  </si>
  <si>
    <t xml:space="preserve">Adela R. Magdaraog                                                                                                                                          President                                                                                                 Universal Fabricators, Inc                                                                                             </t>
  </si>
  <si>
    <t>92 M Almeda Street, Pateros JP Rizal Street, Tuktukan Taguig City</t>
  </si>
  <si>
    <t>2016-40</t>
  </si>
  <si>
    <t xml:space="preserve">Pilot Production of the Pre-Cast Interlocking Hollow Bricks </t>
  </si>
  <si>
    <t xml:space="preserve">Engr. Angel B. Ong                                                                                                 Chief Operating Officer                                                                                  ABO Concrete Systems, Inc                                                                            </t>
  </si>
  <si>
    <t>1401 OMM Citra Building San Miguel Avenue, Ortigas Center Pasig City</t>
  </si>
  <si>
    <t>2016-41</t>
  </si>
  <si>
    <t>Special Compound Formed as Construction Materials</t>
  </si>
  <si>
    <t xml:space="preserve">Jose M. Sulit                                                                                                SUL-LEM Techno Ventures                                                             </t>
  </si>
  <si>
    <t>51 B Kanlaon Street, La loma Quezon City Marcelo F. Lemen Jr. #3 Sta. Regina Street, La Milagrosa Village, Makati City</t>
  </si>
  <si>
    <t>2016- 42</t>
  </si>
  <si>
    <t>Pilot Plant Production of Blackbluster Car Immobilizer</t>
  </si>
  <si>
    <t xml:space="preserve">Panfilo A. Famador                                                                                          PJ and V Marketing Enterprises                                                              </t>
  </si>
  <si>
    <t>Block 19, Lot 34, Kalayaan Village, Balagbag, Pasay City</t>
  </si>
  <si>
    <t>2016- 43</t>
  </si>
  <si>
    <t>Grain Harvester Stripping Machine</t>
  </si>
  <si>
    <t xml:space="preserve">Amado Arevalo                                                                                               </t>
  </si>
  <si>
    <t>2620 Felix Huertas Street, Blumentrit, Sta Cruz Manila</t>
  </si>
  <si>
    <t>2016- 44</t>
  </si>
  <si>
    <t>Production of Bajolite Photo Control Device</t>
  </si>
  <si>
    <t xml:space="preserve">Basilio M. Jacome Jr.                                                                                    </t>
  </si>
  <si>
    <t>Justice F. Hugo Street (Purok Kapawa) Tangub, Bacolod City</t>
  </si>
  <si>
    <t>2016-45</t>
  </si>
  <si>
    <t>Fabrication of Motor Bike Gutter and Yard (street) Sweeper</t>
  </si>
  <si>
    <t xml:space="preserve">Ernesto G. Pineda                                                                                     </t>
  </si>
  <si>
    <t>#43 Swaziland Street Better Living Subdivision, Paranaque City</t>
  </si>
  <si>
    <t>2016-46</t>
  </si>
  <si>
    <t>Fabrication of 100 Units of an Improved Actuating Mechanism for Mechanical Jacks</t>
  </si>
  <si>
    <t xml:space="preserve">Marianito F. Rabe                                                                                               </t>
  </si>
  <si>
    <t>505-B Kundiman Street Sampaloc, Manila</t>
  </si>
  <si>
    <t>2016-47</t>
  </si>
  <si>
    <t>Extension</t>
  </si>
  <si>
    <t>Production of DOST Technology Videos and TAPI Audio Visual Presentation</t>
  </si>
  <si>
    <t>MUSTACHIO CMTV</t>
  </si>
  <si>
    <t>2016-48</t>
  </si>
  <si>
    <t>MIRDC's Participation to the Celebration of the 2016 National Science and Technology Week (NSTW)</t>
  </si>
  <si>
    <t>Metals Industry Research and Development Center (MIRDC)</t>
  </si>
  <si>
    <t>2016-49</t>
  </si>
  <si>
    <t>2016 DOST-NCR NSTW Exhibits cum fora in Promoting DOST Programs and Services</t>
  </si>
  <si>
    <t>DOST- National Capital Region (DOST-NCR)</t>
  </si>
  <si>
    <t>2016- 50</t>
  </si>
  <si>
    <t>Promotion of DOST-IV A's Programs and Services in the 2016 National Science and Technology Week (NSTW)</t>
  </si>
  <si>
    <t>DOST IV-A (CALABARZON)</t>
  </si>
  <si>
    <t>2016-51</t>
  </si>
  <si>
    <t>2016 National Science and Technology Week (NSTW) Celebration</t>
  </si>
  <si>
    <t>DOST-MIMAROPA (IV-B)</t>
  </si>
  <si>
    <t>2016- 52</t>
  </si>
  <si>
    <t>2016-53</t>
  </si>
  <si>
    <t>2016 DOST 8 Regional S&amp;T Fair and Exhibits</t>
  </si>
  <si>
    <t>2016-54</t>
  </si>
  <si>
    <t>2016 National Science and Technolgy Week (NSTW)</t>
  </si>
  <si>
    <t>DOST XI</t>
  </si>
  <si>
    <t>2016-55</t>
  </si>
  <si>
    <t>2016 National Science and Technology Week (NSTW) Exhibits in Region XII</t>
  </si>
  <si>
    <t>DOST XII</t>
  </si>
  <si>
    <t>2016-57</t>
  </si>
  <si>
    <t>Production and Fabrication of TAPI Exhibit for the 2016 Open House Exhibit in Celebration of the National Science and Technology Week</t>
  </si>
  <si>
    <t>2016-58</t>
  </si>
  <si>
    <t>1. Production of Graphic Exhibit Panels on PNRI Highlights of Accomplishments on Nuclear Science and Technology (2010-2015)                                                                                                                                                                                                                                    2. Fabrication of Interactive Scale Model on the Multipurpose Gamma Irradation Facility</t>
  </si>
  <si>
    <t xml:space="preserve">Philippine Nuclear Resarch Institute                                                               </t>
  </si>
  <si>
    <t>Commonwealth Avenue, Diliman, Quezon City</t>
  </si>
  <si>
    <t>2016-59</t>
  </si>
  <si>
    <t>2016 National Science and Technology Week (NSTW) Participation</t>
  </si>
  <si>
    <t xml:space="preserve">Philippine Institute of Volcanology and Seismology (PHILVOLCS)                                                                                                          </t>
  </si>
  <si>
    <t>C.P Garcia Avenua, Diliman, Quezon city</t>
  </si>
  <si>
    <t>2016-60</t>
  </si>
  <si>
    <t>2016 Regional Science and Technology Fair</t>
  </si>
  <si>
    <t xml:space="preserve">DOST-Cordillera Administrative Region (DOST-CAR)                               </t>
  </si>
  <si>
    <t>La Trinidad, Benguet</t>
  </si>
  <si>
    <t>2016-61</t>
  </si>
  <si>
    <t>Regional Science and Technology Week (RSTW) Celebration</t>
  </si>
  <si>
    <t xml:space="preserve">DOST-Region III                                                                                          </t>
  </si>
  <si>
    <t>Diosdado Macapagal Regional Government Center, Maimpis City of San Fernando Pampanga</t>
  </si>
  <si>
    <t>2016-62</t>
  </si>
  <si>
    <t>2016 Regional NSTW Celebration- CARAGA Region in Promoting DOST Programs and Services in the Country</t>
  </si>
  <si>
    <t>DOST-CARAGA                                                                                                   NORMISIST Campus, Ampayon, Butuan City</t>
  </si>
  <si>
    <t>NORMISIST Campus, Ampayon, Butuan City</t>
  </si>
  <si>
    <t>2016-63</t>
  </si>
  <si>
    <t>2016 Regional Science and Technology Week (RSTW)</t>
  </si>
  <si>
    <t xml:space="preserve">DOST Region IX                                                                                           </t>
  </si>
  <si>
    <t>2016- 64</t>
  </si>
  <si>
    <t xml:space="preserve">Tropical Cyclone Interactive Exhibit </t>
  </si>
  <si>
    <t xml:space="preserve">Philippine Atmospheric, Geophysical and Astronomical Services Administration  (PAGASA)                                                                              </t>
  </si>
  <si>
    <t>PAGASA Building Science Garden, Agham Road Diliman, Quezon City</t>
  </si>
  <si>
    <t>2016-65</t>
  </si>
  <si>
    <t>Production and Fabrication of PTRI's Exhibits for DOST's 2016 National Science and Technology Week (NSTW)</t>
  </si>
  <si>
    <t xml:space="preserve">Philippine Textile Research Institute                                                                  </t>
  </si>
  <si>
    <t>General Santos Avenue, Bicutan, Taguig City</t>
  </si>
  <si>
    <t>2016- 66</t>
  </si>
  <si>
    <t>PCAARRD's Super National Science and Technology Week (NSTW) 2016 Participation</t>
  </si>
  <si>
    <t xml:space="preserve">Philippine Council for Agriculture, Aquatic and Natural Resources Research and Development (PCAARRD)                                                        </t>
  </si>
  <si>
    <t>Los Banos, Laguna</t>
  </si>
  <si>
    <t>2016-67</t>
  </si>
  <si>
    <t>CY 2016 CAMPI Implementation for ten (10)  Aquaculture Farms in NIR</t>
  </si>
  <si>
    <t>DOST Region XVIII</t>
  </si>
  <si>
    <t>XVIII</t>
  </si>
  <si>
    <t>2016-68</t>
  </si>
  <si>
    <t>"S&amp;T Intervention to level up Small and Medium Food Industries (SMEs) to Product Quality and Food Safety Management System in Davao</t>
  </si>
  <si>
    <t xml:space="preserve">DOST Region XI                                                                                              </t>
  </si>
  <si>
    <t>Dumanlas cor. Friendship Roads, Davao City</t>
  </si>
  <si>
    <t>2016-69</t>
  </si>
  <si>
    <t>S&amp;T Interventions for Cagayan Valley Region to Level-up SMEs</t>
  </si>
  <si>
    <t>2016-70</t>
  </si>
  <si>
    <t>Advancement and Growth through the Acquisition of Technology through DOST-TAPI's Program</t>
  </si>
  <si>
    <t xml:space="preserve">Atty. Maria E. Rivera                                                                                         Corporate Secretary                                                                                        Kapfer and Rivera United, Inc.                                                           </t>
  </si>
  <si>
    <t>Silang Cavite</t>
  </si>
  <si>
    <t>2016-71</t>
  </si>
  <si>
    <t>Pre-Cast Composite Block Panel With Assembly of Recycled Cyclindrical Cardboard Rolls In-fill (Patent No. :1-2011-000206)</t>
  </si>
  <si>
    <t xml:space="preserve">Architect Eduardo P. Urcia                                                                                  Inventor                                                                                                          </t>
  </si>
  <si>
    <t>817-B Torres Street, Addition Hills, Mandaluyong City</t>
  </si>
  <si>
    <t>Prototype Assistance Program</t>
  </si>
  <si>
    <t>2016-72</t>
  </si>
  <si>
    <t>Emergency Solar Kit (ESK) ( UM Application: 2-2015-000564 filed on 29 September 2015</t>
  </si>
  <si>
    <t xml:space="preserve">Ferdinand A. Ferrer                                                                                              President and COO                                                                                          EMS Group of companies/EMS Component Assembly, Inc.                             </t>
  </si>
  <si>
    <t xml:space="preserve">    117-A Technology Avenue  Laguna Technopark, Binan, Laguna</t>
  </si>
  <si>
    <t>2016-73</t>
  </si>
  <si>
    <t>Fabrication and Field Testing of the Industrial Grade R-TAP  ( an Advanced Pressure Management System that Optimizes Municipal Water Distribution, Helping Water District Reduce their Non-Revenue Water and Power Consumption)</t>
  </si>
  <si>
    <t xml:space="preserve">Engr. Stephen L. Larcia                                                                                   Chief Executive Officer                                                                       HIRAYA Technology Solutions, Inc.                                                                </t>
  </si>
  <si>
    <t>515 J Sofia Bellvue Capitol Hills Drive, Old Balara, Quezon City</t>
  </si>
  <si>
    <t>2016-74</t>
  </si>
  <si>
    <t>Transboard Lumber/ Timber  (Patent Pending)</t>
  </si>
  <si>
    <t xml:space="preserve">Carlos Tamano                                                                                                 </t>
  </si>
  <si>
    <t>Brgy. Nagustan, Nabas, Aklan</t>
  </si>
  <si>
    <t>2016-75</t>
  </si>
  <si>
    <t>iGov</t>
  </si>
  <si>
    <t>Subscription to a dedicated Internet Service Via Fiber-Optic Network (June to December 2016)</t>
  </si>
  <si>
    <t>2016-76</t>
  </si>
  <si>
    <t>Fabrication of Prototype Model of Composting Portable Toilet  (Applicaion No. : 1-2005-000319. filed on 28 June 2005)</t>
  </si>
  <si>
    <t xml:space="preserve">Salvador G. Flores                                                                                          Inventor                                                                                                         </t>
  </si>
  <si>
    <t>2051 Kahilum 2, Pandacan Manila</t>
  </si>
  <si>
    <t>2016-77</t>
  </si>
  <si>
    <t>Fabrication of Prototype Model of Hydraulic Generator and Spin 90 Air Cushion</t>
  </si>
  <si>
    <t xml:space="preserve">Benjamin T. Apsay                                                                                     </t>
  </si>
  <si>
    <t>Poblacion District 3, Brgy Tuyo, Mc Arthur, Leyte</t>
  </si>
  <si>
    <t>2016-78</t>
  </si>
  <si>
    <t>2016 National Invention Contest and Exhibits</t>
  </si>
  <si>
    <t>2016-79</t>
  </si>
  <si>
    <t>2016 NSTW-ARMM Regional Celebration</t>
  </si>
  <si>
    <t>DOST-ARMM</t>
  </si>
  <si>
    <t>2016-80</t>
  </si>
  <si>
    <t>CAMPI Program for MSMEs in National Capital Region (NCR)</t>
  </si>
  <si>
    <t>2016-81</t>
  </si>
  <si>
    <t>Commercialization of "Leak Sealing Valve"</t>
  </si>
  <si>
    <t xml:space="preserve">Melchor Henosa                                                                                      </t>
  </si>
  <si>
    <t>Lagundi Street, Puting Kahoy Silang, Cavite</t>
  </si>
  <si>
    <t>2016-82</t>
  </si>
  <si>
    <t>Workshop on "Enhancing Innovation and Competitiveness of MSMEs in response to the ASEAN Integration of Agro-enterprise</t>
  </si>
  <si>
    <t>2016-83</t>
  </si>
  <si>
    <t xml:space="preserve">LIB MODIFICATION </t>
  </si>
  <si>
    <t>Upgrading of the "Sortidos" Production Line Facility of Panaderia Pantoja</t>
  </si>
  <si>
    <t xml:space="preserve">Arthur Anthony G. Pantoja                                                                        President                                                                                                       Panaderia Pantoja, Inc. (PPI)                                                                          </t>
  </si>
  <si>
    <t>81 A. Mabini Avenue, Tanauan Batangas</t>
  </si>
  <si>
    <t>2016-84</t>
  </si>
  <si>
    <t>Technology Transfer Day 2016 in Ormoc, Leyte</t>
  </si>
  <si>
    <t>2016-85</t>
  </si>
  <si>
    <t>Purchase Order Financing for the DOST-NCR's SETUP Assisted Project -Lampara Trends Inc., Phase III</t>
  </si>
  <si>
    <t xml:space="preserve">Marinette D. Pagtakhan                                                                                     Managing Director                                                                                        Lampara Trends Inc. (LTI)                                                                    </t>
  </si>
  <si>
    <t>Vitaliz Compound, San Isidro Sucat, Paranaque City</t>
  </si>
  <si>
    <t>2016-86</t>
  </si>
  <si>
    <t>Venture Financing for the Fabrication of Processing Equipment for the Regiona Food Innovation Center</t>
  </si>
  <si>
    <r>
      <rPr>
        <b/>
        <sz val="10"/>
        <color theme="1"/>
        <rFont val="Arial"/>
      </rPr>
      <t>Candy R. Lanzuela</t>
    </r>
    <r>
      <rPr>
        <sz val="10"/>
        <color theme="1"/>
        <rFont val="Arial"/>
      </rPr>
      <t xml:space="preserve">                                                                                        Managing Director                                                                                        </t>
    </r>
    <r>
      <rPr>
        <b/>
        <sz val="10"/>
        <color theme="1"/>
        <rFont val="Arial"/>
      </rPr>
      <t xml:space="preserve">Global Marketing and Construction Corporation                                 </t>
    </r>
  </si>
  <si>
    <t>3F Westgate Tower, 1709 Investment Avenue Madrigal Business Park , Ayala Alabang, Muntinlupa City</t>
  </si>
  <si>
    <t>2016-87</t>
  </si>
  <si>
    <t>TAPI's Participation to the 42nd Philippine Business Conference and Expo</t>
  </si>
  <si>
    <t>2016-88</t>
  </si>
  <si>
    <t>Technology Transfer Day 2016 in Mindanao</t>
  </si>
  <si>
    <t>2016-89</t>
  </si>
  <si>
    <t>Lorenzo B. Caneza                                                                                     Owner/ Manager                                                                                           Quickflames Metal Fabrication</t>
  </si>
  <si>
    <t>NUEVA ECIJA</t>
  </si>
  <si>
    <t>2016-90</t>
  </si>
  <si>
    <t>Fabrication of a Miniature Model of the Prototype Hybrid Electric Train (HET)</t>
  </si>
  <si>
    <t>2016-91</t>
  </si>
  <si>
    <t>Seminar Workshop on Community Empowerment thru Science and Technology</t>
  </si>
  <si>
    <t>Government Center Candahug, Palo, Leyte</t>
  </si>
  <si>
    <t>2016-92</t>
  </si>
  <si>
    <t>Commercial Production of Nature's Delight Instant Salabat</t>
  </si>
  <si>
    <t xml:space="preserve">Jeremias O. Oliveros                                                                                         Chairman                                                                                                        Sampaloc Agrarian Reform Beneficiaries Multi-Purpose Cooperative (SARBMPC)                                                                                                  </t>
  </si>
  <si>
    <t>Sampaloc, Tanay, Rizal</t>
  </si>
  <si>
    <t>2016-93</t>
  </si>
  <si>
    <t>Establishment of Lumber Kiln Dryer for Wood Industry</t>
  </si>
  <si>
    <t xml:space="preserve">Jose P. Carreon                                                                                         Manager                                                                                                  JPC Wood Rattan  Enterprises                                                               </t>
  </si>
  <si>
    <t>Brgy.,District 1, Benito Soliven Isabela</t>
  </si>
  <si>
    <t>2016-94</t>
  </si>
  <si>
    <t>Rotary Grain Dryer</t>
  </si>
  <si>
    <t xml:space="preserve">Bormeo G. Modanza                                                                                    </t>
  </si>
  <si>
    <t>Km 16, 2158 East Service Road , San Martin De porres, Paranaque City</t>
  </si>
  <si>
    <t>Prototype and Testing Assistance Program</t>
  </si>
  <si>
    <t>2016-95</t>
  </si>
  <si>
    <t>165,155(amountreleasesd)-110,104(totalamountaid)TOTAL:55,051(remainingbalance)</t>
  </si>
  <si>
    <t>Manufacturing of Decorative Structural Members for Furniture Frames and the like</t>
  </si>
  <si>
    <t xml:space="preserve">George T. Santiago                                                                                   General Manager                                                                                           GTS Industries                                                                                            </t>
  </si>
  <si>
    <t>No. 13 Malugay Road Almanza , Las Pinas City</t>
  </si>
  <si>
    <t>2016-96</t>
  </si>
  <si>
    <t xml:space="preserve">Properso Dela Cruz                                                                                    Proprietor                                                                                                      Happy Family Woods Industries                                                                   </t>
  </si>
  <si>
    <t>Km. 407, Mariveles Highway Brgy. Marana 1st Ilagan Isabela</t>
  </si>
  <si>
    <t>2016-97</t>
  </si>
  <si>
    <t>Pilot Production Assistance Program</t>
  </si>
  <si>
    <t>Pilot Production of Water-Based Shoe Polish</t>
  </si>
  <si>
    <t xml:space="preserve">Severino Leroy Aliasut                                                                                  Jovita Aliasut                                                                                               ADPRO  Product Industries                                                                    </t>
  </si>
  <si>
    <t>Blk. 2, Lot 9, Phase I, EP Village Western Bicutan, Taguig City</t>
  </si>
  <si>
    <t>2016-98</t>
  </si>
  <si>
    <t>Voice Color Code</t>
  </si>
  <si>
    <t xml:space="preserve">Roberto L. Del Rosario                                                                                   Richtone Corporation                                                                            </t>
  </si>
  <si>
    <t>#129 Neptune Street Bel Air II , Makati City</t>
  </si>
  <si>
    <t>2016-100</t>
  </si>
  <si>
    <t>Prosecution, Enforcement and Collection of all TAPI Cases</t>
  </si>
  <si>
    <t xml:space="preserve">TAPI-legal unit </t>
  </si>
  <si>
    <t>2016-101</t>
  </si>
  <si>
    <t xml:space="preserve">Automated Manufacturing of Melcular Diagnostic Kits </t>
  </si>
  <si>
    <t xml:space="preserve">Raul V. Destura                                                                                             President/CEO                                                                                                Manila Healthtek, Inc.                                                                            </t>
  </si>
  <si>
    <t>109 Gil Fernando Avenue, Sta. Elena, Makati City</t>
  </si>
  <si>
    <t>2016-102</t>
  </si>
  <si>
    <t>Purchase Order Financing for Detalia Aurora , Inc.</t>
  </si>
  <si>
    <t>Raul B. Maloloy-on                                                                                        Vice President                                                                                               Detalia Aurora, Inc.</t>
  </si>
  <si>
    <t>2016-103</t>
  </si>
  <si>
    <t>Sustainable Farm Business Operation and Increased Competitive Advantage of DLG Aquafarm</t>
  </si>
  <si>
    <t>Dan L. Gayares                                                                                                DLG Aquafarm</t>
  </si>
  <si>
    <t>2016-01- ad referenda</t>
  </si>
  <si>
    <t>TAPI's Participation to the 3rd Entrepreneur and Franchise Expo 2016</t>
  </si>
  <si>
    <t>Mediacom Solutions, Inc.</t>
  </si>
  <si>
    <t xml:space="preserve">Unit 510, Cattleya Building 235 Salcedo Street, Legaspi Village Makati city </t>
  </si>
  <si>
    <t>The "Entrepreneur &amp; Franchise Expo, "Your Step to Success!" is the Philippines' No. 1 trade and consumer exhibition, conference and networking event dedicated to empower franchise businesses, SMEs and promote entrepreneurship. TAPI's participation will enable to promote its program of assistance.</t>
  </si>
  <si>
    <t>2016-02- ad referenda</t>
  </si>
  <si>
    <t>9th Annual Research  Awards  (ARAW 2016) and Young Inventors  Theme: " Scalling Up Transformation through Research &amp; Development</t>
  </si>
  <si>
    <t xml:space="preserve">Polytechnic University of the Philippines (PUP) Office of the Vice-President for Research, Extenson,Planning and Development Center for Research and Development </t>
  </si>
  <si>
    <t>For the span of eight years, the search for the most outstanding research of the year known as the Annual Research Awards (ARAW) have been successfully conducted in giving due recognition to laudable researchers of engineering students around 
country.</t>
  </si>
  <si>
    <t>2016-03- ad referenda</t>
  </si>
  <si>
    <t xml:space="preserve">TAPI's Participation to the "Philippine Summer Food Fiesta </t>
  </si>
  <si>
    <t xml:space="preserve">AD Asia Conventions &amp; Exhibitions International Corporation </t>
  </si>
  <si>
    <t xml:space="preserve">Unit 305 A.N.Y. Building 38 Timog Avenue Diliman,Quezon City </t>
  </si>
  <si>
    <t>Philippine Summer Food Fiesta is the biggest summer extravaganza show-casing the unique food manufatured and produced in the Phil, and nearby South-east Asian countries. TAPI's participation will enable to connect, interact and introduce new food related technologies developed by the Department. 
Research results are likewise introduced to obtain possible technology adoptors, It will increase the level of awareness of the people about DOST new technologies.</t>
  </si>
  <si>
    <t>2016-04- ad referenda</t>
  </si>
  <si>
    <t>BLANK</t>
  </si>
  <si>
    <t>2016-05- ad referenda</t>
  </si>
  <si>
    <t>Propagation Technologies for Agripreneurs Forum</t>
  </si>
  <si>
    <t>MFI Foundations, Inc.</t>
  </si>
  <si>
    <t xml:space="preserve">Ortigas Avenue, Pasig City </t>
  </si>
  <si>
    <t>The forum on Propagation Technologies will promote the practices to improve the country's capability to produce food and raw materials. The activity is envisioned to help engage the farm owners, agripreneurs, farm workers, and the experts in technology transfer productivity sustainable land use and and profitable farm ventures are attained.</t>
  </si>
  <si>
    <t>2016-06- ad referenda</t>
  </si>
  <si>
    <t>Invest School Program (ISP) for Secodary Schools in Region IX</t>
  </si>
  <si>
    <t xml:space="preserve">DOST Regional Office No.IX </t>
  </si>
  <si>
    <t xml:space="preserve">Pettit Barracks Zamboanga City </t>
  </si>
  <si>
    <t>The Invent School Program involves the conduct of a two day seminar-workshop to help awaken young people's interest in creativity and inventiveness. The Program also provides the students awareness on basic intellectual property rights and how to protect them. Invent School Program serves as training ground for future young inventors.</t>
  </si>
  <si>
    <t>2016-07- ad referenda</t>
  </si>
  <si>
    <t>Forum and Launching of Tryk ni Juan: Distribution and Field/ Performance Testing of ITDI-KIMS Abaca-Fiber Reinforced Composite for Tricycle Driver's Rood and Side Car</t>
  </si>
  <si>
    <t xml:space="preserve">Materials Science Division Industrial Technology development Insitute  (ITDI) </t>
  </si>
  <si>
    <t xml:space="preserve">DOST Compound, Bicutan Taguig City </t>
  </si>
  <si>
    <t>One of the thrusts of the activity is to showcase advances in green composite researches, applications in everyday life and equipment. The event will be a great venue to showcase the green composite researches and products developed by the Institute, academe and the industry</t>
  </si>
  <si>
    <t>2016-08- ad referenda</t>
  </si>
  <si>
    <t>Herbal Oil 8 Herbs                                                                                                  (UM No.2-2014-000776)</t>
  </si>
  <si>
    <t xml:space="preserve">Ms. Esther B. Castellanes </t>
  </si>
  <si>
    <t xml:space="preserve">573 Lecheria, Calamba City </t>
  </si>
  <si>
    <t>The Utility Model is an oil which contains eight herbs with pharmaceutical active ingredients which can be easily volatized and does not contain harmful ingredients.</t>
  </si>
  <si>
    <t>2016-09- ad referenda</t>
  </si>
  <si>
    <t xml:space="preserve">Climate Change Forum for Kids: Cascading Information on Various NRCP Research Outputs and DOST Technology Initiatives VS the Impacts of Climate Change </t>
  </si>
  <si>
    <t xml:space="preserve">National Research Council of the Philippines (NRCP)  </t>
  </si>
  <si>
    <t xml:space="preserve">General Santos Avenue Bicutan,Taguig  City </t>
  </si>
  <si>
    <t>The forum aims to communicate to the members of the Youth Sector the detrimental impacts of of climate change and share some NRCP research outputs and DOST technology initiatives in mitigating the hazards of climate change.</t>
  </si>
  <si>
    <t>2016-10- ad referenda</t>
  </si>
  <si>
    <t>DOST XI Southern Philippines Agri-Business and Marine and aquatic School of Technology (SPAMAST), and DepED- Davao del Sur</t>
  </si>
  <si>
    <t xml:space="preserve">Davao del Sur </t>
  </si>
  <si>
    <t>DOST Region XI will conduct the activity in coordination with the Southern Philippines Agri-Business and Marine and Aquatic School of Technology and the Department of Education- Davao del Sur.</t>
  </si>
  <si>
    <t>2016-11- ad referenda</t>
  </si>
  <si>
    <t xml:space="preserve">S&amp;T Intervention and Upgrading for the Rehabilitation of New Bataan, Compostela Valley: Cacao Tablea Processing </t>
  </si>
  <si>
    <t xml:space="preserve">DOST Region XI </t>
  </si>
  <si>
    <t>cor. Dumanlas and Frienship Roads Bajada, Davao City</t>
  </si>
  <si>
    <t>With the provision of cacao tablea processing equipment and sufficient tools, packaging and labeling materials, the community of Barangay Andap, New Bataan, Compostela Valley will be able to develop and improve their cacao tablea processing that will enable them to create livelihood opportunities.</t>
  </si>
  <si>
    <t>2016-12- ad referenda</t>
  </si>
  <si>
    <t>Provision of Equipment for Bread and Pastry Production in Selected Schools in Don Marcelino Davao Occidental to Support DepEd's K-12 Program</t>
  </si>
  <si>
    <t>With the provision of bread and pastry production tools, the beneficiary schools, the DMNHS, DMMES, KES and LNHS will be able to develop and introduce livelihood activity to the students, teachers and parents. This will also enhance their skills and encourage them in enterpreneurship.</t>
  </si>
  <si>
    <t>2016-13- ad referenda</t>
  </si>
  <si>
    <t xml:space="preserve">Common Service Facilities for Bangus Deboning Project of the Local Government  Unit of Sulop, Davao del Sur </t>
  </si>
  <si>
    <t>DOST Region XI and LGUof Sulop Balasinon Bangus Deboning Association</t>
  </si>
  <si>
    <t>The project aims to make science and technology more tangible at the grassroots level, help lessen and address the poverty incidence of the Municipality of Sulop, Davao del Sur to an acceptable level by providing livelihood opportunities and to fast track the adoption and development of science and technology-based enterprises in the Municipality of Sulop, Davao del Sur.</t>
  </si>
  <si>
    <t>2016-14- ad referenda</t>
  </si>
  <si>
    <t xml:space="preserve">Implementation of Invent School Program for College Students of Pangasinan State University </t>
  </si>
  <si>
    <t>Pangasinan State University (PSU)</t>
  </si>
  <si>
    <t>DOST Region I and Provincial S&amp;T Center-Pangasinan</t>
  </si>
  <si>
    <t>The Pangasinan State University (PSU) in partnership with DOST Region I will conduct the Invent School Program (ISP) in Pangasinan State University in Lingayen Campus. Target participants are students and their advisers from the nine (9) campuses of PSU namely: Infanta, Alamanos City, Lingayen, Binmaley, San Carlos City, Bayambang, Urdaneta City, Asingan and Sta. Maria.</t>
  </si>
  <si>
    <t>2016-15- ad referenda</t>
  </si>
  <si>
    <t>"42nd FNRI Seminar Series"</t>
  </si>
  <si>
    <t>Food and Nutrition Research Institute (FNRI)</t>
  </si>
  <si>
    <t xml:space="preserve">DOST Compound Bicutan, Taguig city </t>
  </si>
  <si>
    <t>The FNRI Seminar Series is an annual event of the Institute celebrated every July in time for the Nutrition Month celebration and the Institute's anniversary. Among the highlights of the event is the presentation of the FNRI completed researches and S&amp;T related activities in a poster format. The event also includes the undergraduate student research competition offering an opportunity for undergraduate students of nutrition and dietetics food tech/food science to present their researches.</t>
  </si>
  <si>
    <t>2016-16- ad referenda</t>
  </si>
  <si>
    <t>Printing of ITDI Brochures and Tarpaulin For the Launching of Tryk ni Juan</t>
  </si>
  <si>
    <t>Dr. Ma. Patricia V. Azanza                                                                             Director, ITDI</t>
  </si>
  <si>
    <t xml:space="preserve">DOST Science Complex Bicutan, Taguig City </t>
  </si>
  <si>
    <t>The Industrial Technology Development Institute (ITDI) will be celebrating its 115th Foundation Anniversary on July 1, 2016. One of the highlights of the celebration is the launching of Tryk ni Juan, a field testing activity where eco-friendly tricycles made of abaca fiber-reinforced composite driver's roof will be distributed to beneficiaries from Lower Upper Bicutan Taguig Tricycle Owners and Drivers Association, Inc. (LUBTTODAI).</t>
  </si>
  <si>
    <t>2016-17- ad referenda</t>
  </si>
  <si>
    <t xml:space="preserve">Printing of FPRDI Information Materials for Use in the 2016 DOST  National Science and Technology Week ( NSTW) Celebration, DOST Regional and Other Promotional Activities </t>
  </si>
  <si>
    <t>Dr. Romulo T. Aggangan                                                                          Director, FPRDI</t>
  </si>
  <si>
    <t>The Forest Products Research and Development Institute (FPRDI) conducts research and development on wood and non-wood forest products and is the center for applied technologies on the utilization of forest-based products in the country.
The information materials will be given to visitors and interested technology adaptors of FPRDI during the 2016 NSTW and promotional activities.</t>
  </si>
  <si>
    <t>2016-18- ad referenda</t>
  </si>
  <si>
    <t>Printing of NRCP Funded Researches for the 2016 National Science and Technology Week ( NSTW)  Celebration on 20-29 July 2016</t>
  </si>
  <si>
    <t xml:space="preserve">Dr. Marieta Banez Sumagaysay Executive Director National Research Council of the Philippines (NRCP) </t>
  </si>
  <si>
    <t xml:space="preserve">General Santos Avenue, Bicutan Taguig City </t>
  </si>
  <si>
    <t>The project involves the printing of NRCP brochures of funded researches which will be disseminated/ distributed as complementary materials of the NRCP interactive exhibit during the weeklong celebration of the 2016 National Science and Technology Week (NSTW) on 25-29 July 2016. The brochure will significantly help the agency in increasing public aware- ness about the Council and support basic and problem- oriented researches.</t>
  </si>
  <si>
    <t>2016-19- ad referenda</t>
  </si>
  <si>
    <t>Printing of NRCP Poster of various science-related activities for the 2016 National Science and Technology Week</t>
  </si>
  <si>
    <t xml:space="preserve">Dr. Marieta Bañez Sumagaysay Executive Director National Research Council of the Philippines (NRCP) </t>
  </si>
  <si>
    <t>The project involves the printing of NRCP posters to encourage/invite students from schools in the periphery of the Bicutan Science Community to sign up and join in the various science-related activities prepared by NRCP during the weeklong celebration of the 2016 National Science and Technology Week on July 25-29, 2016.</t>
  </si>
  <si>
    <t>2016-20- ad referenda</t>
  </si>
  <si>
    <t>65th PHilAAST Convention and 8th ASIAHORCs Joint Symposium</t>
  </si>
  <si>
    <t>Philippine Association for the Advancement of Science and Technology ( PhilAAST)</t>
  </si>
  <si>
    <r>
      <rPr>
        <sz val="10"/>
        <color theme="1"/>
        <rFont val="Arial"/>
      </rPr>
      <t>The 65th PhilAAST Convention will be held in Manila on 22-23 September 2016 in conjunction with the 8th ASIAHORC's Joint Symposium with the theme</t>
    </r>
    <r>
      <rPr>
        <b/>
        <sz val="10"/>
        <color theme="1"/>
        <rFont val="Arial"/>
      </rPr>
      <t xml:space="preserve"> "Impact of the Changing Environment and Global Health"</t>
    </r>
    <r>
      <rPr>
        <sz val="10"/>
        <color theme="1"/>
        <rFont val="Arial"/>
      </rPr>
      <t>. The activity will feature 5 technical sessions on: health resilience to climate change, health disaster risk management, vector borne disease and climate change, environmental stressors in diseases and promoting health while mitigating climate change.</t>
    </r>
  </si>
  <si>
    <t>2016-21- ad referenda</t>
  </si>
  <si>
    <t>"Forum- Live and Dye Happy: Scaled-UP Production and Application of Philippine Natural Dyes for Textiles"</t>
  </si>
  <si>
    <t>Philippine Textile research and Institute (PTRI)</t>
  </si>
  <si>
    <r>
      <rPr>
        <sz val="10"/>
        <color theme="1"/>
        <rFont val="Arial"/>
      </rPr>
      <t xml:space="preserve">As part of PTRI's participation in the upcomong 2016 National Science and Technology Week (NSTW), the Institute will showcase its products and services in a lifestyle concept, </t>
    </r>
    <r>
      <rPr>
        <b/>
        <sz val="10"/>
        <color theme="1"/>
        <rFont val="Arial"/>
      </rPr>
      <t>"Live and Dye Happy"</t>
    </r>
    <r>
      <rPr>
        <sz val="10"/>
        <color theme="1"/>
        <rFont val="Arial"/>
      </rPr>
      <t xml:space="preserve">. In addition, PTRI will also conduct a forum that will highlight </t>
    </r>
    <r>
      <rPr>
        <b/>
        <sz val="10"/>
        <color theme="1"/>
        <rFont val="Arial"/>
      </rPr>
      <t>Upscaling the Production and Application of Philippine Natural Dyes</t>
    </r>
    <r>
      <rPr>
        <sz val="10"/>
        <color theme="1"/>
        <rFont val="Arial"/>
      </rPr>
      <t xml:space="preserve"> as one of the core projects under the Revitalization of the Philippine Textile and Garment Industries thru Science &amp; Technology Program.</t>
    </r>
  </si>
  <si>
    <t>2016-22- ad referenda</t>
  </si>
  <si>
    <t xml:space="preserve">Production of Technology Brochures for ITDI-NSTW 2016 </t>
  </si>
  <si>
    <t>Dr. Maria Patricia V. Azanza Director Industrial Technology Development Institute  (ITDI)</t>
  </si>
  <si>
    <t>ITDI is one of the prime generator of technologies and services within the DOST system and has been instrumental in the creation/establishment of business/enterprises through its knowledge translation (KT) of technology transfer program As such, promotion is used to inform, persuade and remind customers about the products and services ITDI has to offer.</t>
  </si>
  <si>
    <t>2016-23- ad referenda</t>
  </si>
  <si>
    <t xml:space="preserve">Production of TAPI Program Booklet </t>
  </si>
  <si>
    <t>The TAPI DEC is a permanent showroom on the DOST system featuring agency programs, projects, activities and generated technologies. TAPI BAC cum Library serves as a venue for one-on-one consultation with potential investors to fill the need &amp; gap bet. technology generators and adaptors. As part of the consultation, TAPI provides relevant information materials introducing TAPI's program and services including guidelines and requirement in availing the program.</t>
  </si>
  <si>
    <t>2016-24- ad referenda</t>
  </si>
  <si>
    <t xml:space="preserve">Introducing the Invent School Program in Selected Schools in the National Capital Region </t>
  </si>
  <si>
    <t>The Invent School Program (ISP) involves the conduct of a two day seminar-workshop in cooperation with the inventor's group, LGUS and NGOs and academic institutions to motivate student's interest for creativity and inventiveness and create awareness on Intellectual Property and IP Protection. A total of eight (8) ISP seminars were conducted in 80 schools, participated by 534 students and teachers from public schools in Metro Manila funded by TAPI to DOST-NCR for ISP in NCR.</t>
  </si>
  <si>
    <t>2016-25- ad referenda</t>
  </si>
  <si>
    <t xml:space="preserve">Accredited Inventor's Organization Summit </t>
  </si>
  <si>
    <t>The project is part of TAPI's effort in helping inventors throughout their activities and working towards the realization of the so called umbrella organization for all inventors. As a result of orientations conducted for the "Guidelines, Criteria and Documentary Requirements for the Inventors' Umbrella Org. and after which an accredited Inventors' Org. Assembly was conducted. As a result of these activities, they agreed to conduct an Inventors' Summit to work on the creation of umbrella org.</t>
  </si>
  <si>
    <t>2016-26- ad referenda</t>
  </si>
  <si>
    <t xml:space="preserve">Cacao Industry Regional Summit </t>
  </si>
  <si>
    <t>Southern Leyte State University                                                                 (Implementing Agency)</t>
  </si>
  <si>
    <t>Palo,Leyte</t>
  </si>
  <si>
    <t>The activity is a two day activity/meeting of cacao stakeholders whose aim is to bring together regional partners and potential stakeholders of the Cacao Industry especially the cacao farmers as well as existing cacao processors from Region 8 and other cacao-producing regions.</t>
  </si>
  <si>
    <t>2016-27- ad referenda</t>
  </si>
  <si>
    <t>TAPI's Participation to the 4th Philippine SME Business Expo ( PhilSME)</t>
  </si>
  <si>
    <t xml:space="preserve">Unit 510 Cattleya Building 235 Salcedo Street, Legaspi Village Makati City </t>
  </si>
  <si>
    <t>PhilSME is a perfect venue to showcase products and services to company owners, senior level executives, decision makers and build new business relationships amongst SMEs as well as its supporting organizations. Through this event, TAPI will be able to showcase its programs and services relevant to SMES.</t>
  </si>
  <si>
    <t>2016-28- ad referenda</t>
  </si>
  <si>
    <t xml:space="preserve">Invent School Program Seminar-Workshop for High School Students </t>
  </si>
  <si>
    <t>Lipa City National Science High School</t>
  </si>
  <si>
    <t xml:space="preserve">Lipa, Batangas City </t>
  </si>
  <si>
    <t>The Lipa City National Science High School will conduct the Invent School Program (ISP) in Lipa City, Batangas. Target participants are students and their advisers from the Lipa City National Science High School, Fernando Air Base National High School, Lipa City National High School, Bulacnin National High School, Inosluban-Marawoy National High School and Lumbang National High School.</t>
  </si>
  <si>
    <t>2016-29- ad referenda</t>
  </si>
  <si>
    <t>Implementation of Invent School Program for High School Students of San Fabian, Pangasinan</t>
  </si>
  <si>
    <t xml:space="preserve">DOST Regional Office No.1 and LGU San Fabian </t>
  </si>
  <si>
    <t>San Fabian, Pangasinan</t>
  </si>
  <si>
    <t>The proposed Invent School Program for High School Students in San Fabian, Pangasinan is one of the activities to be conducted for LGU-San Fabian as part of the 1st Caravan in the region that aims to bring S&amp;T Programs and Services closer to the community. Target participants are students and their advisers from nine (9) high schools in the municipality of San Fabian.</t>
  </si>
  <si>
    <t>2016-30- ad referenda</t>
  </si>
  <si>
    <t xml:space="preserve">Production and Marketing of Chocolate Flavored Goat's Milk </t>
  </si>
  <si>
    <t>Central Luzon State University Science City of Munoz</t>
  </si>
  <si>
    <t xml:space="preserve">Nueva Ecija </t>
  </si>
  <si>
    <t>Five (5) Animal Science major students will implement the project which will serve as a training ground as a demo- project of the student-beneficiaries. The production process of choco-flavored carabao's milk from Milka Krem will be adopted as approved by Ms. Mina P. Abella, OIC, Philippine Carabao Center at CLSU product outlet. The process will be altered as studied by the students adopting the goat's milk characteristics.</t>
  </si>
  <si>
    <t>2016-31- ad referenda</t>
  </si>
  <si>
    <t>Production and Commercialization of Processed Carabao Mango</t>
  </si>
  <si>
    <t>Eight (8) Food Technology students will implement the project with the supervision of the project adviser. The project will be housed in CLSU's Agriculture and Food Technology Business Incubator equipped with food processing facilities and machines. The student-beneficiaires conducted a research on the product development of carabao mango which will be processed into pickled mango, puree, concentrates, juice, candy and pastillas.</t>
  </si>
  <si>
    <t>2016-32- ad referenda</t>
  </si>
  <si>
    <t>The Invent School Program for Selected Schools in the National Capital Region (NCR) as scheduled:
(1.) 12-13 October 2016 - Quezon City
(2.) 17-18 October 2016 - Manila
(3.) 20-21 October 2016 - Quezon City
The activity is in partnership with the Office of the Vice Mayor and DepEd and Office of the Congressman, District 5, Quezon City and Manila.</t>
  </si>
  <si>
    <t>2016-33- ad referenda</t>
  </si>
  <si>
    <t xml:space="preserve">Cylinder Masonry Breaker </t>
  </si>
  <si>
    <t xml:space="preserve">Joel Miguel </t>
  </si>
  <si>
    <t xml:space="preserve">109 Rosas Street Twinvill Subdivision Nangka, Marikina City </t>
  </si>
  <si>
    <t>The objective of the test is to verify the performance of the "Cyclinder Mason Breaker" specifically the hardness of its blade. The inventor claims that his Cylinder Masonry Breaker device is a non-power utility cement breaker which operates on the basic principles of momentum, gravity and spring thrust. He further claims that the device has rated capacity of 3,000 psi at 8-inch thickness made possible by the spring mechanism inside the cylindrical body.</t>
  </si>
  <si>
    <t>2016-34- ad referenda</t>
  </si>
  <si>
    <t>Regional Science High School-III</t>
  </si>
  <si>
    <t>East Kalayaan Heights Subic Bay Freeport Zone</t>
  </si>
  <si>
    <r>
      <rPr>
        <sz val="10"/>
        <color theme="1"/>
        <rFont val="Arial"/>
      </rPr>
      <t xml:space="preserve">As a </t>
    </r>
    <r>
      <rPr>
        <b/>
        <sz val="10"/>
        <color theme="1"/>
        <rFont val="Arial"/>
      </rPr>
      <t>"Haven of Excellence"</t>
    </r>
    <r>
      <rPr>
        <sz val="10"/>
        <color theme="1"/>
        <rFont val="Arial"/>
      </rPr>
      <t xml:space="preserve"> in the field of Science and Research Education, the Regional Science Education is committed in developing their learner's creativity and scientific habits which can surely help teachers make Science and Technology fun and enjoyable to the students.</t>
    </r>
  </si>
  <si>
    <t>2016-35- ad referenda</t>
  </si>
  <si>
    <t xml:space="preserve">Processing CLSoy Variety for Soybean Milk Production </t>
  </si>
  <si>
    <t>Three (3) Food Technology students will implement the project using the result of their research on the CLSoy variety. The students conducted research on the optimum balancing period that extends the shelf life of the soymilk when refrigerated since blanching reduces the microbial load and inactive the lipoxygenase enzyme responsible for the beany, pointy off flavor of soybeans.</t>
  </si>
  <si>
    <t>2016-36- ad referenda</t>
  </si>
  <si>
    <t xml:space="preserve">Livelihood Development Assistance on the Production of Coco Vinegar and Coco Sugar with the Infusion of DOST-ITDI Technologies </t>
  </si>
  <si>
    <t xml:space="preserve">DOST Region VIII                                                                                   Government Center Candahug </t>
  </si>
  <si>
    <t>The project aims to provide alternative livelihood to rice farmers to alleviate poverty through the provision of raw materials in the production of coco vinegar and coco sugar utilizing ITDI's technology.</t>
  </si>
  <si>
    <t>2016-37- ad referenda</t>
  </si>
  <si>
    <t xml:space="preserve">DOST XI Davao Oriental Regional Science High School (DORSHS) and DepEd  </t>
  </si>
  <si>
    <t>Mati City</t>
  </si>
  <si>
    <t>The Davao Oriental Regional Science High School is the only public high school in Davao Oriental that has science- focused curriculum. As the name suggests, this school educates the crème of the crop in Science and Technology. In this province, this is one of the venue of the future inventors to be honed and fostered.</t>
  </si>
  <si>
    <t>2016-38- ad referenda</t>
  </si>
  <si>
    <t xml:space="preserve">Printing of Information Materials of BIOTECH Technologies of Promotional  Activities </t>
  </si>
  <si>
    <t xml:space="preserve">Dr. Rosario G. Monsalud Director,                                                            UPLB Biotech Institute of Molecular Biology and Biotechnology </t>
  </si>
  <si>
    <t>University of the Philppines Los Banos, College, Laguna</t>
  </si>
  <si>
    <t>The printed information materials will be used in line with the current thrust promoting the extension &amp; commercialization of BIOTECH's DOST-assisted technologies to be distributed during the exhibits that they are regularly participating such as the UPLB Syensaya and the National Biotechnology Week.</t>
  </si>
  <si>
    <t>2016-39- ad referenda</t>
  </si>
  <si>
    <t xml:space="preserve">Invent School Program Seminar-Workshop for High School Students in the Province of Aklan </t>
  </si>
  <si>
    <t>DOST Region VI and Regional Science High School -  VI</t>
  </si>
  <si>
    <t>The Department of Education-District of Aklan celebrates Science &amp; Math month wherein one of the activities is a contest on Science and Mathematics Investigatory Projects which is conducted by students from different private and public elem. and high students. With the support of TAPI thru the Invent School Program (ISP, the students will be taught to craft solutions to solve the country's pressing concerns as well as stimulate creativity &amp; innovativeness of the students.</t>
  </si>
  <si>
    <t>2016-40- ad referenda</t>
  </si>
  <si>
    <t xml:space="preserve">Production of Tila-ding </t>
  </si>
  <si>
    <r>
      <rPr>
        <sz val="10"/>
        <color theme="1"/>
        <rFont val="Arial"/>
      </rPr>
      <t xml:space="preserve">Eighteen (18) Fisheries students will implement the project by further development of the CLSU's tilapia postharvest enterprise management called Tilanggit. It is a combination of two (2) postharvest processes which is salting and drying. Tilanggit is similar to danggit, however, the project will use tilapia instead of rabbitfish. However, the term "tilanggit" was already a registered trademark, thus, the students will use </t>
    </r>
    <r>
      <rPr>
        <b/>
        <sz val="10"/>
        <color theme="1"/>
        <rFont val="Arial"/>
      </rPr>
      <t>Tila-ding</t>
    </r>
    <r>
      <rPr>
        <sz val="10"/>
        <color theme="1"/>
        <rFont val="Arial"/>
      </rPr>
      <t xml:space="preserve"> (short for Tilapiang-daing).</t>
    </r>
  </si>
  <si>
    <t>2016-41- ad referenda</t>
  </si>
  <si>
    <t>DOST Regional Office IX Pettit Barracks</t>
  </si>
  <si>
    <t>DOST Region IX is proposing to conduct the activity in Zamboanga Sibugay in coordination with the different secondary schools. Target participants are students with their advisers from different secondary schools.</t>
  </si>
  <si>
    <t>2016-42- ad referenda</t>
  </si>
  <si>
    <t>DOST Exhibit at House of Representative with the theme " Food Security" through Smarter Science and Technology Innovation in the  region</t>
  </si>
  <si>
    <t>The Committee on Science &amp; Technology through its Chair Erico Aristotle C. Aumentado spearhead a significant activity during the annual celebration of the House of Representatives month in October through an exhibit on food security in support of the President Duterte's central and urgent agenda on Food Security.</t>
  </si>
  <si>
    <t>2016-43- ad referenda</t>
  </si>
  <si>
    <t>Seminar Workshop on Creativity, Invention and Innovation (College)</t>
  </si>
  <si>
    <t xml:space="preserve">Catanduanes State Univeristy </t>
  </si>
  <si>
    <t>Calatagan, Virac, Catanduanes</t>
  </si>
  <si>
    <t>TAPI, being pro-active in the promotion of Invent School Program, was able to reach out and inform Catanduanes State University about this program of TAPI. As a result, the University signified their willingness and interest for the conduct of ISP in their school.</t>
  </si>
  <si>
    <t>2016-44- ad referenda</t>
  </si>
  <si>
    <t>Seminar Workshop on Creativity, Invention and Innovation (High School)</t>
  </si>
  <si>
    <t>2016-45- ad referenda</t>
  </si>
  <si>
    <t xml:space="preserve">Forum Cum Workshop on Entrepreneurs and Financial Management for Inventors </t>
  </si>
  <si>
    <r>
      <rPr>
        <sz val="10"/>
        <color theme="1"/>
        <rFont val="Arial"/>
      </rPr>
      <t xml:space="preserve">The forum could further enhance the inventors` awareness on entrepreneurship and financial management. The Forum was organized in celebration of the </t>
    </r>
    <r>
      <rPr>
        <b/>
        <sz val="10"/>
        <color theme="1"/>
        <rFont val="Arial"/>
      </rPr>
      <t>National  Inventors Week (NIW)</t>
    </r>
    <r>
      <rPr>
        <sz val="10"/>
        <color theme="1"/>
        <rFont val="Arial"/>
      </rPr>
      <t xml:space="preserve"> on 14-18 November 2016 at the DOST Compound, Bicutan, Taguig City.</t>
    </r>
  </si>
  <si>
    <t>2016-46- ad referenda</t>
  </si>
  <si>
    <t>10th  Annual Research  Awards  ( ARAW 2017)</t>
  </si>
  <si>
    <t xml:space="preserve">Polytechnic University of the Philippines ( PUP)                                       Office of the Vice President  for Academic Affairs, College of Engeneering </t>
  </si>
  <si>
    <t>This year's ARAW theme, "Isang Dekada ng Pagtataguyod ng Agham para sa Masa" whose purpose is to give due recognition to laudable researches of engineering students all over the country. The 10th ARAW recognizes the utmost importance of continous commitment to research and innovation.</t>
  </si>
  <si>
    <t>2016-47- ad referenda</t>
  </si>
  <si>
    <t>2016-48- ad referenda</t>
  </si>
  <si>
    <t xml:space="preserve">Printing of MIRDC's Information Materials for Continuous Promotion of MIRDC-Developed Technologies </t>
  </si>
  <si>
    <t xml:space="preserve">Engr. Robert O. Dizon Executive Director Metals Industry Research and Development (MIRDC) </t>
  </si>
  <si>
    <t xml:space="preserve">MIRDC Compund General Santos Avenue Bicutan,Taguig  City </t>
  </si>
  <si>
    <r>
      <rPr>
        <sz val="10"/>
        <color theme="1"/>
        <rFont val="Arial"/>
      </rPr>
      <t>MIRDC is requesting for assistance in printing of promotional materials of A</t>
    </r>
    <r>
      <rPr>
        <b/>
        <sz val="10"/>
        <color theme="1"/>
        <rFont val="Arial"/>
      </rPr>
      <t>utomated Guideway Transit and Hybrid Electric Road Train</t>
    </r>
    <r>
      <rPr>
        <sz val="10"/>
        <color theme="1"/>
        <rFont val="Arial"/>
      </rPr>
      <t xml:space="preserve"> for continous promotion of the MIRDC- developed technologies. During the 2016 NSTW, MIRDC has distributed promotional materials to their guest and visitors, among which are the AGT and Hybrid Electric Road Train.</t>
    </r>
  </si>
  <si>
    <t>2016-49- ad referenda</t>
  </si>
  <si>
    <t xml:space="preserve">2016 Quezon City Filipino Inventors  Expo and Trade Fair Sikap Buhay Entrepreneurs  and Cooperative Office </t>
  </si>
  <si>
    <t xml:space="preserve">Atty. Bayani V. Hipol Officer-in- Charge-Head Sikap Buhay Entrepreneurs and Cooperative Office (SBECO) </t>
  </si>
  <si>
    <t xml:space="preserve">7th Floor, Civic Center Building A City Hall Compound Diliman, Quezon City </t>
  </si>
  <si>
    <t>The Inventors' Expo and Trade Fair is a 5 day event that will showcase commercially-viable inventive ideas, products and processes of Filipino inventors. Leading to this marketing event will be a series of capacity-building support interventions to ensure the successful participation of the inventor-exhibitor in the Expo and Trade Fair.</t>
  </si>
  <si>
    <t>2016-50- ad referenda</t>
  </si>
  <si>
    <t xml:space="preserve">Palawan State University </t>
  </si>
  <si>
    <t>Tinuigiban Heights Puerto Princessa, Palawan</t>
  </si>
  <si>
    <t>The Palawan State University (PSUO through the University Intellectual Property Office (UIPO) will co-sponsor the two- day ISP activity as part of the Palawan State University's information, education and communication (IEC) program, being an Innovation and Technology Support Office (ITSO) host institution for Palawan and the MIMAROPA region.</t>
  </si>
  <si>
    <t>2016-51- ad referenda</t>
  </si>
  <si>
    <t>Empowerment of Persons with Disability (PWD) Thru the Provision of Livelihood Development Assistant to SAKADAB</t>
  </si>
  <si>
    <t xml:space="preserve">Cor. Dumanlas and Friendship Roads Bajada, Davao City </t>
  </si>
  <si>
    <t>The provision of financial assistance thru the Science and Technology Rural Development (STARDEV) Program will sustain the entrepreneurial activities of SAKADAB through the provision of the necessary tools and materials that are deemed necessary to increase productivity, enhance the quality of bakery product, increase the market and uplift the standard of living of the Persons with Disabilities (PWDs).</t>
  </si>
  <si>
    <t>2016-52- ad referenda</t>
  </si>
  <si>
    <t xml:space="preserve">12th National Biotechnology Week Celebration </t>
  </si>
  <si>
    <t xml:space="preserve">Department of Agriculture Elliptical Road </t>
  </si>
  <si>
    <t xml:space="preserve">Diliman, Quezon City </t>
  </si>
  <si>
    <r>
      <rPr>
        <sz val="10"/>
        <color theme="1"/>
        <rFont val="Arial"/>
      </rPr>
      <t>The 12th National Biotechnology Week Celebration's theme</t>
    </r>
    <r>
      <rPr>
        <b/>
        <sz val="10"/>
        <color theme="1"/>
        <rFont val="Arial"/>
      </rPr>
      <t xml:space="preserve"> "Bioteknolohiya: Kaagapay ng Mamayan sa Kaunlaran"</t>
    </r>
    <r>
      <rPr>
        <sz val="10"/>
        <color theme="1"/>
        <rFont val="Arial"/>
      </rPr>
      <t xml:space="preserve"> with the Tagline: </t>
    </r>
    <r>
      <rPr>
        <i/>
        <sz val="10"/>
        <color theme="1"/>
        <rFont val="Arial"/>
      </rPr>
      <t>"Yakapin ang pagbabago, Biotek na tayo!"</t>
    </r>
    <r>
      <rPr>
        <sz val="10"/>
        <color theme="1"/>
        <rFont val="Arial"/>
      </rPr>
      <t xml:space="preserve"> The DOST's plan of activities includes the conduct of Science and Technology Forum, Biotech IEC and Technology Exhibition. Part of the activity is the Technology Showcase and IP Forum to be facilitated by DOST-TAPI on 22 November 2016.</t>
    </r>
  </si>
  <si>
    <t>2016-53- ad referenda</t>
  </si>
  <si>
    <t>Bicol University College of Agriculture and Forestry - High School</t>
  </si>
  <si>
    <t xml:space="preserve"> Guinobatan, Albay </t>
  </si>
  <si>
    <t>The Invent School Program two day seminar-workshop is one of the activities of the Agri-forestry Fair of BUCAF scheduled on December 12-16, 2015. The target participants are out of school youth, secondary and tertiary students. It is designed  for the purpose of stimulating the participans' interest for creativity and inventiveness and to create awareness on Intellectual Property Rights (IPR) and Protection.</t>
  </si>
  <si>
    <t>2016-54- ad referenda</t>
  </si>
  <si>
    <t xml:space="preserve">Invent School Program Seminar-Workshop for High School Students in San Gabriel, La Union </t>
  </si>
  <si>
    <t>DOST Region I and LGU- San Gabriel</t>
  </si>
  <si>
    <t xml:space="preserve">La Union </t>
  </si>
  <si>
    <t xml:space="preserve">DOST Region I, through the La Union Science and Technology Center will conduct the 1st Provincial S&amp;T Caravan on 6-8 December 2016 with the theme:" Juan Science, One Nation" As one of the interventions, Invent School Program will be conducted for all the high schools in San Gabriel, La Union and nearby municipalities.
</t>
  </si>
  <si>
    <t>2016-55- ad referenda</t>
  </si>
  <si>
    <t xml:space="preserve">Surigao del Sur State University </t>
  </si>
  <si>
    <t>The program is very relevant to Surigao del Sur State University's goal of enhancing the faculty and students in the field of innovation and technology development to produce patents and other Intellectual Property (IPs) which have potentials for commercialization.</t>
  </si>
  <si>
    <t>2016-56- ad referenda</t>
  </si>
  <si>
    <t xml:space="preserve">Printing of FPRDI Technology Flyers for Continuous Promotion of FPRDI Researches and Developed Technologies </t>
  </si>
  <si>
    <t xml:space="preserve">Dr. Romulo T. Aggangan Director Forest Products research and Development Institute ( FPRDI) </t>
  </si>
  <si>
    <t>Loa Banos, College, Laguna</t>
  </si>
  <si>
    <t>The Forest Products Research and Development Institute (FPRDI) conducts research and development on wood and non-wood forest products and is the center for applied technologies on the utilization of forest-based products in the country. The printing of FPRDI technology flyers will be used for continous promotion of the FPRDI researches and developed technologies.</t>
  </si>
  <si>
    <t>2016-57- ad referenda</t>
  </si>
  <si>
    <t xml:space="preserve">Invent School Program Seminar-Workshop for High School Students in Naguilian, La Union </t>
  </si>
  <si>
    <t>DOST Region No. I and Naguilian National High School</t>
  </si>
  <si>
    <t>The Naguilian National High School is an active participant of the Regional Invention Contest and Exhibits (RICE) and they want to improve the quality of their entries through the conduct of the Invent School Program (ISP).</t>
  </si>
  <si>
    <t>2016-58- ad referenda</t>
  </si>
  <si>
    <t xml:space="preserve">Invent School Program Seminar-Workshop for Bicol University  College of Agriculture and Forestry ( BUCAF) College Students </t>
  </si>
  <si>
    <t xml:space="preserve"> Bicol University  College of Agriculture and Forestry ( BUCAF) </t>
  </si>
  <si>
    <t>The Bicol University College of Agriculture and Forestry (BUCAF) Research Office will invite 3rd and 4th year college students to the Invent School Seminar-Workshop. The ISP is the right venue to stimulate their minds and to help them identifying possible research problems or thesis titles.</t>
  </si>
  <si>
    <t>2016-59- ad referenda</t>
  </si>
  <si>
    <t>San Pedro Relocation  Center National  High School</t>
  </si>
  <si>
    <t>The Invent School Program will conduct a two day seminar- workshop on 28-29 November 2016 at the San Pedro Relocation Center National High School whose target participants are students of STEM 1-3 and their advisers.</t>
  </si>
  <si>
    <t>2016-60- ad referenda</t>
  </si>
  <si>
    <t xml:space="preserve">Invent School Program Seminar-Workshop for High School Students in Misamis Occidental </t>
  </si>
  <si>
    <t xml:space="preserve">DOST Region Office No. X and DepEd- Oroquieta City </t>
  </si>
  <si>
    <t xml:space="preserve">Oroquieta City </t>
  </si>
  <si>
    <t>The Invent School Program will conduct a two day Seminar- Workshop whose target participants are students and teachers from the four (4) school divisions in Misamis Occidental namely: Oroquieta City, Ozamis City, Tangub City and Misamis Occidental Division.</t>
  </si>
  <si>
    <t>2016-61- ad referenda</t>
  </si>
  <si>
    <t>"Consultancy for Agriculture Productivity Improvement ( CAMPI) Program for MSME in the National Capital Region (NCR)</t>
  </si>
  <si>
    <t xml:space="preserve">DOST Compound General Santos Avenue Bicutan,Taguig  City </t>
  </si>
  <si>
    <t>The proposed project is for the implementation of the CAMPI Program covering two (2) firms in NCR to upgrade the level of the MSMEs. The firms were endorsed and recommended by DOST NCR and have been identified for GMP/HACCP Alignment/Certification.</t>
  </si>
  <si>
    <t>2016-62- ad referenda</t>
  </si>
  <si>
    <t>"Dumaguete Univeristy Town Innovation Expo: Innovation Forum"</t>
  </si>
  <si>
    <t xml:space="preserve">DOST Negros Oriental Provincial S&amp;T Center </t>
  </si>
  <si>
    <t xml:space="preserve">Negros Oriental </t>
  </si>
  <si>
    <t>The Innovation Forum, which is part of the Dumaguete University Town Innovation Expo, will feature talks on relevant key topics such as startup culture and industry- academe-government synergy.
The Expo is a joint initiative of the DOST NegOr PSTC and four universities in Dumaguete City.</t>
  </si>
  <si>
    <t>2016-63- ad referenda</t>
  </si>
  <si>
    <t>2016-64- ad referenda</t>
  </si>
  <si>
    <t>Funding Assistance for ITDI's Participation In the "Nano tech 2017- International Nanotechnology  Exhibition and Conference"</t>
  </si>
  <si>
    <t xml:space="preserve">Industrial technology Development Institute ( ITDI) </t>
  </si>
  <si>
    <t>The event is a gathering of international stakeholders from a wide range of industry (electronics, aerospace, automotive, coatings, etc.) academe, government institutions/agencies and other nanotechnology enthusiasts. It is a good venue to showcase the Nanotechnology researches and products of the country.</t>
  </si>
  <si>
    <t>2016-65- ad referenda</t>
  </si>
  <si>
    <t xml:space="preserve">Implementation of Invent School Program in High School at Batac, Ilocos Norte </t>
  </si>
  <si>
    <t>DOST Region Office No.I  and LGU-Batac, Ilocos Norte</t>
  </si>
  <si>
    <t xml:space="preserve">Ilocos Norte </t>
  </si>
  <si>
    <t>The Invent School Program will conduct a two day Seminar- Workshop whose target participants are students and teachers from various High Schools at Batac, Ilocos Norte.
The Invent School Seminar-Workshop is one of the many activities to be conducted in the City Government of Batac, Ilocos Norte as part of the S&amp;T Caravan in the region that aims to bring S&amp;T program and services closer to the community.</t>
  </si>
  <si>
    <t>2016-66- ad referenda</t>
  </si>
  <si>
    <t>Improved Gasifier Patent Pending 1-2016-000119</t>
  </si>
  <si>
    <t xml:space="preserve">Roberto V. Celis </t>
  </si>
  <si>
    <t xml:space="preserve">21 Gold Street,  SSS Village Marikina City </t>
  </si>
  <si>
    <r>
      <rPr>
        <sz val="10"/>
        <color theme="1"/>
        <rFont val="Arial"/>
      </rPr>
      <t xml:space="preserve">There are orders from bus and truck companies of the </t>
    </r>
    <r>
      <rPr>
        <b/>
        <sz val="10"/>
        <color theme="1"/>
        <rFont val="Arial"/>
      </rPr>
      <t>Improved Gasifier</t>
    </r>
    <r>
      <rPr>
        <sz val="10"/>
        <color theme="1"/>
        <rFont val="Arial"/>
      </rPr>
      <t>, the results of the test could help in the commercialization effort of the inventor. If the test results are favorable, it will contribute in the reduction of pollution-causing carbon emissions from vehicles.</t>
    </r>
  </si>
  <si>
    <t>2016-67- ad referenda</t>
  </si>
  <si>
    <t>TAPI's Participation to the 4th Entrepreneur and Franschise Expo</t>
  </si>
  <si>
    <t>Mediacom Solution, Inc.</t>
  </si>
  <si>
    <t>TAPI's participation will show case some of its programs of assistance that are relevant to business firms including DOST technologies ready for commercialization and can be offered for technology transfer and licensing agreement.</t>
  </si>
  <si>
    <t>2016-68- ad referenda</t>
  </si>
  <si>
    <t xml:space="preserve">Cloned Coffee Seedling Production: Adopting a Farmer-Friendly Cloning Technique and Nursery Management Protocol </t>
  </si>
  <si>
    <t>Aklan State University (ASU)</t>
  </si>
  <si>
    <t>Banga, Aklan</t>
  </si>
  <si>
    <t>Two (2) Agriculture students will implement the project to validate the effectiveness of the cloning technique in plant propagation Coffee seedlings will be cultivated using asexual propagation wherein the cuttings of matured planting materials will used in the project and will be propagated in low-cost cloning chamber</t>
  </si>
  <si>
    <t>Operationalization Of the Screening Committee for RA 7459</t>
  </si>
  <si>
    <t>PROTOTYPE ASSISTANCE</t>
  </si>
  <si>
    <t>Samzo Multi-Purpose Drier</t>
  </si>
  <si>
    <t xml:space="preserve">Samuel T. Guintos                                                                                    </t>
  </si>
  <si>
    <t>Brgy. 1 Poblacion Hinoba-an, Negros Occidental</t>
  </si>
  <si>
    <t xml:space="preserve">Fabrication of Stirling Engine </t>
  </si>
  <si>
    <t>William S. Schaare President, Industron, Inc.</t>
  </si>
  <si>
    <t>4522 Bataan Sreeet, Tambo Paranaque City</t>
  </si>
  <si>
    <t>CY 2013 Purchase Order for TAPs Handmade Products</t>
  </si>
  <si>
    <t xml:space="preserve">Teresita A. Policarpio                                                                                        Owner/Manager                                                                                                   TAPs Handmade Products                                                                        </t>
  </si>
  <si>
    <t>Brgy. Guingauan, Tanauan, Leyte</t>
  </si>
  <si>
    <t>AmountArovedAmountaid1.628,275.002.312,068.3652,011.933.247,100.0041,183.334.486,612.2081,102.03</t>
  </si>
  <si>
    <t>1. Upgrading Farm Productivity of Gera Piscary                                                                                                                                        2. Increasing Productivity of Milkfish, Mudcrab and Prawn Production of S.P Milca Aqua Farm                                                                                                                      3. Upgrading the Production Capacity of the Raul Aqua Farm                                                                                                                    4. Enhancement of Farm Facilities and Productivity of the Danny Aqua Farm</t>
  </si>
  <si>
    <t xml:space="preserve">1. Aniceto Rex D. Mancol                                                                                          2. Salustiano P. Milca                                                                                             3. Raul Molina                                                                                                               4. Danilo A. Acangan </t>
  </si>
  <si>
    <t>Prosecution, Enforcement and Collection of All TAPI cases ( February 2015-December 2015)</t>
  </si>
  <si>
    <t>Legal Unit Technology Application and Promotion Institute (TAPI)</t>
  </si>
  <si>
    <t>Implementaion of the 2015 Regional Invention Contests and Exhibits in 17 Regions</t>
  </si>
  <si>
    <t>Technology Application and Promotion Institute thru the cooperation of the DOST regional Offices</t>
  </si>
  <si>
    <t>2015 Regional Offices' NSTW Exhibits Promoting DOST Programs and Services on the Country</t>
  </si>
  <si>
    <t>DOST NCR                                                                                                                                  DOST Regional Offices</t>
  </si>
  <si>
    <t>Outcome 4 (IT-BPM) and 5 (e-Government) Participation in the 2015 National Science and Technology Week and Regional Fairs</t>
  </si>
  <si>
    <t xml:space="preserve">Information and Communications Technology Office (ICTO)                                           </t>
  </si>
  <si>
    <t>ICTO Building , C.P Garcia Avenue, Diliman, Quezon City</t>
  </si>
  <si>
    <t>Health Cluster (Outcome 6) Participation in the 2015 National Science and Technology Week (NSTW)</t>
  </si>
  <si>
    <t xml:space="preserve">Philippine Council for Health Research and Development                             </t>
  </si>
  <si>
    <t>DOST Compound Taguig City</t>
  </si>
  <si>
    <t>Coffee Roasting Machine</t>
  </si>
  <si>
    <t xml:space="preserve">Carlos Basilio Victor O. Reyes                                                                              President/Chairman                                                                                            Bote Central Inc. (BCI)                                                                                             </t>
  </si>
  <si>
    <t>21 Graceful Street cor. Menchie St.,BF Almanza Subdivision, Las Pinas City</t>
  </si>
  <si>
    <t xml:space="preserve">Practical Approaches in TBI Management and the transfer and Commercialization of DOST Generated Technologies: A capacity Building Program </t>
  </si>
  <si>
    <t>Philippine Council For Industry, Energy and Emerging Technology Research and Development (PCIEERD)</t>
  </si>
  <si>
    <t>2015-13</t>
  </si>
  <si>
    <t>PCAARRD's NSTW 2015 Participation</t>
  </si>
  <si>
    <t>Philippine Council for Agriculture, Aquatic and Natural Resources Research and Development ( PCAARRD)</t>
  </si>
  <si>
    <t>2015-14</t>
  </si>
  <si>
    <t>Production of DOST Outcome 3 Industry Competitiveness  Exhibits for NSTW 2015</t>
  </si>
  <si>
    <t>2015-15</t>
  </si>
  <si>
    <t xml:space="preserve">Development/Fabrication of DOST Outcome 8- Natural Disaster Risk Reduction Awareness, Preparedness and Management Exhibits for NSTW 2015 </t>
  </si>
  <si>
    <t>Philippine Atmospheric, Geophysical &amp; Astronomical Services Administration (PAGASA)</t>
  </si>
  <si>
    <t>2015-16</t>
  </si>
  <si>
    <t>She for We: Highlighting the Role, Life and Achivements of Filipino Science Scholars and Scientists in the Local and International Scientific Community</t>
  </si>
  <si>
    <t>2015-17</t>
  </si>
  <si>
    <t>Development of a Studio-Grade Laser Cutting and Engraving Machine</t>
  </si>
  <si>
    <t>Design Center of the Philippines</t>
  </si>
  <si>
    <t>2015-18</t>
  </si>
  <si>
    <t>Development of a Studio-Grade Vacuum Forming Machine</t>
  </si>
  <si>
    <t>2015-19</t>
  </si>
  <si>
    <t>Consultancy for Agricultural and Manufacturing Implementation (CAMPI) in Lanao Del Norte and Misamis Occidental</t>
  </si>
  <si>
    <t xml:space="preserve">Baby R. Lim, President                                                                            Summit Consultancy &amp; Research Services                                                        </t>
  </si>
  <si>
    <t xml:space="preserve">       F. Cabahug Street , Mabolo, Cebu City</t>
  </si>
  <si>
    <t>2015-20</t>
  </si>
  <si>
    <t>IBOD Web-Based Project Monitoring System (iWMPS)</t>
  </si>
  <si>
    <t>Investment and Business Operations Division  (IBOD)</t>
  </si>
  <si>
    <t>2015-21</t>
  </si>
  <si>
    <t>Purchase Order Financing for the DOST NCR's  SETUP Assisted Project-Lampara Trends Inc. Phase II</t>
  </si>
  <si>
    <t xml:space="preserve">Marinette D. Pagtakhan                                                                                            Managing Director                                                                                               Lampara Trends Inc. (LTI)                                                                                      </t>
  </si>
  <si>
    <t>#12 Vitalez Compound San Isidro, Sucat , Paranaque City</t>
  </si>
  <si>
    <t>2015-22</t>
  </si>
  <si>
    <t>Making Research Work: Improving Small -Hold  Swine  and Poultry Production ( A Capacity Building Forum for Small-Hold Swine and Poultry Raisers and Municipal/Provincial Veterinary Technichians)</t>
  </si>
  <si>
    <t xml:space="preserve">National Research Council of the Philippines                                                  General Santos Avenue                                                                                        </t>
  </si>
  <si>
    <t>Bicutan, Taguig City</t>
  </si>
  <si>
    <t>2015-23</t>
  </si>
  <si>
    <t>TechniCom</t>
  </si>
  <si>
    <t>Technology Innovation for  Commercialization (TECHNICOM)</t>
  </si>
  <si>
    <t>2015-24</t>
  </si>
  <si>
    <t>2015 Visayas Cluster Science and Technology Fair and Exhibits</t>
  </si>
  <si>
    <t>DOST Visayas Cluster ( DOST Regions 6,7,8)</t>
  </si>
  <si>
    <t>2015-25</t>
  </si>
  <si>
    <t>2015 Northern Luzon Cluster Science and Technology Fair and Exhibits</t>
  </si>
  <si>
    <t>DOST Region I (DOST Regions 1,2 &amp; CAR)</t>
  </si>
  <si>
    <t>2015-26</t>
  </si>
  <si>
    <t>2015 Southern Luzon Cluster Science and Technology Fair and Exhibits</t>
  </si>
  <si>
    <t>DOST MIMAROPA ( DOST Regions 3,5,NCR,CALABARZON &amp; MIMAROPA)</t>
  </si>
  <si>
    <t>2015-27</t>
  </si>
  <si>
    <t>Invent School Program For Secondary Students in Region II</t>
  </si>
  <si>
    <t>2015-28</t>
  </si>
  <si>
    <t>Southeast Asia Regional Training Programme on Renewable Energy Resource Assesment and Mapping</t>
  </si>
  <si>
    <t>Technology Application and Promotion Institute in Collaboration with Asian Pacific Centre for Transfer of Technology of the United Nations Economic and Social Commission for Asia and The Pacific (APCTT-UNESCAP) And DOST REGION XI</t>
  </si>
  <si>
    <t>2015-29</t>
  </si>
  <si>
    <t>Fabrication of a tool and Die Set for the Production of a Safety Terminal Connectors for Car Storage  Battery</t>
  </si>
  <si>
    <t xml:space="preserve">Danilo  V. Soriano                                                                                              </t>
  </si>
  <si>
    <t>#Kaingin, Frisco, Quezon City</t>
  </si>
  <si>
    <t>2015-30</t>
  </si>
  <si>
    <t>Invent School Program For Secondary and Tertiary Schools in Cordillera Autonomous  Region (CAR)</t>
  </si>
  <si>
    <t>2015-31</t>
  </si>
  <si>
    <t>ENFORCEMENT</t>
  </si>
  <si>
    <t>Continuation of Enforcement and Collection of Unliquidated/Accounts under Pilot and Prototyping Assistance Program</t>
  </si>
  <si>
    <t>Invention Development Division (IDD-TAPI)</t>
  </si>
  <si>
    <t>2015-32</t>
  </si>
  <si>
    <t>A roundtable Discussion on the Adaption of DOST Intellectual Property and Data Sharing Policies for DOST Councils</t>
  </si>
  <si>
    <t>2015-33</t>
  </si>
  <si>
    <t>A roundtable Discussion on the Adaption of DOST Intellectual Property and Data Sharing Policies for DOST Staff</t>
  </si>
  <si>
    <t>2015-35</t>
  </si>
  <si>
    <t>2015-36</t>
  </si>
  <si>
    <t>2015 National Science and Technology Week: ARMM Regional Celebration</t>
  </si>
  <si>
    <t xml:space="preserve">DOST ARMM                                                                                                            ORC Compound                                                                                          </t>
  </si>
  <si>
    <t>Cotobato City</t>
  </si>
  <si>
    <t>2015-37</t>
  </si>
  <si>
    <t>Purchase Order Financing Project - Phase II by Art N Nature Manufacturing Corporation</t>
  </si>
  <si>
    <t xml:space="preserve">Venus C. Genson                                                                                           President/Managing Director                                                                                   Art N Nature Manufacturing Corporation                                                              </t>
  </si>
  <si>
    <t>168 Hyram Building, Cotcot Liloan, Cebu and 524 Dama de Noche Street, Greenhills subd.,Casuntingan, Mandaue City Cebu</t>
  </si>
  <si>
    <t>2015-38</t>
  </si>
  <si>
    <t>Consultancy for Agricultural and Manufacturing Productivity Improvement (CAMPI) Program Implementation in Region XII</t>
  </si>
  <si>
    <t>To be Selected by Bids and Awards  (BAC)                                                   (For PHILGEPS Posting)</t>
  </si>
  <si>
    <t>2015-39</t>
  </si>
  <si>
    <t>Manufacturing of Toge ( vigna radiate) Fresh Pancit</t>
  </si>
  <si>
    <t xml:space="preserve">Batangas State University                                                                            </t>
  </si>
  <si>
    <t>Rizal Ave., Extension,Batangas 4200 Batangas</t>
  </si>
  <si>
    <t>2015-40</t>
  </si>
  <si>
    <t>Prototype Development of Passenger Jeep Having LPG-Fuelled Engine (Eco Jeepney)</t>
  </si>
  <si>
    <t>Ricardo A. David                                                                                                #9 C. Santiago Street, Dalandan, Valenzuela City</t>
  </si>
  <si>
    <t>Rosario Campus, Rosario Batangas</t>
  </si>
  <si>
    <t>2015-41</t>
  </si>
  <si>
    <t>Critiquing/Validating of ISP Modules for Highschool and College Students and Creation of ISP Modules for Elementary Students</t>
  </si>
  <si>
    <t>2015-42</t>
  </si>
  <si>
    <t>Reusable/DisposableCoffin</t>
  </si>
  <si>
    <t xml:space="preserve">Antonio M. Andres Sr.                                                                                   Inventor/Owner                                                                                                          Renta Koffin Enterprises                                                                                     </t>
  </si>
  <si>
    <t>570 Rizal Street , Brgy. 18 Legaspi City</t>
  </si>
  <si>
    <t>2015-43</t>
  </si>
  <si>
    <t>Pilot Production of "An Improved Food Container and the like"</t>
  </si>
  <si>
    <t xml:space="preserve">Eduardo A. Capule                                                                                             </t>
  </si>
  <si>
    <t>196 22nd Street, Fortune Village 5 Valenzuela City</t>
  </si>
  <si>
    <t>2015-44</t>
  </si>
  <si>
    <t>Invent School Program  (ISP) for Secondary in Region III</t>
  </si>
  <si>
    <t xml:space="preserve">DOST Regional Office III                                                                                   Nueva Ecija Provincial Science and Technology Center Department of Education                                                                                                                  </t>
  </si>
  <si>
    <t>2015-45</t>
  </si>
  <si>
    <t xml:space="preserve">DOST Region MIMAROPA                                                                                  PTRI Building                                                                                                         </t>
  </si>
  <si>
    <t>General Santos Avenue, Taguig City</t>
  </si>
  <si>
    <t>2015-46</t>
  </si>
  <si>
    <t xml:space="preserve">1. Profitability of Swine Fattening using Green Piggery Technology                                                                                                           2. Profitability of Ampalaya using Pruning Technique                                                                                                                       3. Pre Germinated Sweet Corn Technology                                                                                                                                               4. Administrative Cost           </t>
  </si>
  <si>
    <t xml:space="preserve">Negros Oriental State University (NORSU)                                                          </t>
  </si>
  <si>
    <t>Dumaguete City, Negros Oriental</t>
  </si>
  <si>
    <t>2015-47</t>
  </si>
  <si>
    <t>Enhancement of Laboratory Services of the Cavite Water and WasteWater Testing Laboratory ( CWWTL) to support Priority Industries in Cavite and Nearby Provinces, Phase II</t>
  </si>
  <si>
    <t xml:space="preserve">Dr. Alexander  R. Madrigal                                                                                 Regional Director DOST IVA                                                                                    Mr. Raul D. Castaneda                                                                                          Provincial Director , Cavite                                                                                           </t>
  </si>
  <si>
    <t>Cavite Water and WasteWater Testing Laboratory (CWWTL) Government Center, Provincial Compound, Luciano, Tres Marites City , Cavite</t>
  </si>
  <si>
    <t>2015-48</t>
  </si>
  <si>
    <t>Enhancement of the Cutting and Bending Capability of AIJUN Enterprises</t>
  </si>
  <si>
    <t xml:space="preserve">Ailyn L. Magallanes                                                                                             Owner/ Manager                                                                                                      AIJUN Enterprises                                                                                                     </t>
  </si>
  <si>
    <t>003 A. Soriano Highway Ibayo Silangan, Naic, Cavite</t>
  </si>
  <si>
    <t>2015-49</t>
  </si>
  <si>
    <t>Commercialization of Mosquito  Trap</t>
  </si>
  <si>
    <t xml:space="preserve">Benjamin F. Mendoza                                                                                               </t>
  </si>
  <si>
    <t>39 F. Alarcon, Maysan Valenzuela City</t>
  </si>
  <si>
    <t>2015-50</t>
  </si>
  <si>
    <t xml:space="preserve">  1. Editing of Thirty-Three Technology Videos                                                                                                                                        2. Production of TAPI Audio Visual Production and DOST Technology Videos (For Posting at PHIlGEPS)</t>
  </si>
  <si>
    <t>Technology Application and Promotion Institute(TAPI)</t>
  </si>
  <si>
    <t>2015-51</t>
  </si>
  <si>
    <t xml:space="preserve">Establishment of an Integrated Calamansi Processing Center </t>
  </si>
  <si>
    <t xml:space="preserve">Mr. Pepe Bayudoc                                                                                                          Chairman                                                                                                            Isabela Citrus Growers Development Cooperative (ICGDC)                                       </t>
  </si>
  <si>
    <t>Sta. Rosa, Aurora Isabela</t>
  </si>
  <si>
    <t>2015-52</t>
  </si>
  <si>
    <t xml:space="preserve">Adoption and Implementation of Electronic New Government Accounting System (E-NGAs) and the e Budget System </t>
  </si>
  <si>
    <t>TAPI-FAD</t>
  </si>
  <si>
    <t>2015-53</t>
  </si>
  <si>
    <t>Upgrading of TAPI  Audio Visual Room and Fabrication of Interacvtive Kiosks for Display Exhibit Center In support for Promotion of DOST Technologies and Filipino Inventions at the TAPI Display and Exhibit Center</t>
  </si>
  <si>
    <t>2015-54</t>
  </si>
  <si>
    <t>Post-Evaluation of 2015 NSTW cum Forum on Current Trends on Trade and Exhibitions for NSTW Task Force Members</t>
  </si>
  <si>
    <t>2015-55</t>
  </si>
  <si>
    <t>2015 Mindanao Cluster Science and Technology (S&amp;T) Fair</t>
  </si>
  <si>
    <t>DOST IX and Mindanao DOST Cluster</t>
  </si>
  <si>
    <t>2015-56</t>
  </si>
  <si>
    <t>PIlot Production Cum Market Testing of "Leak Sealing Valve" (LSV)</t>
  </si>
  <si>
    <t xml:space="preserve">Melchor Henosa                                                                                                    </t>
  </si>
  <si>
    <t>#9015 Aparatment Tagaytay Sta. Rosa Road , Purok 2 Puting Kahoy , Silang Cavite</t>
  </si>
  <si>
    <t>2015-57</t>
  </si>
  <si>
    <t>Commercialization of "Fuel Saving System for Internal Combustion Engine"</t>
  </si>
  <si>
    <t xml:space="preserve">Junior A. De Jesus                                                                                                    Chairman, Topheight, Inc.                                                                           </t>
  </si>
  <si>
    <t>331 R. Constantino Street, Pasolo, Valenzuela City</t>
  </si>
  <si>
    <t>2015-59</t>
  </si>
  <si>
    <t>Venture Financing (PO) For Abe Keni Delicacies</t>
  </si>
  <si>
    <t xml:space="preserve">Francis S. Meneses III                                                                                              Manager                                                                                                                   Abe Keni Delicacies                                                                                                  </t>
  </si>
  <si>
    <t>0529 Villa Elisa, San Agustin, Betis, Guagua, Pampanga</t>
  </si>
  <si>
    <t>2015-60</t>
  </si>
  <si>
    <t>Upgrading of the "SORTIDOS" Production Line Facility of Panaderia Pantoja</t>
  </si>
  <si>
    <t xml:space="preserve">Arthur Anthony  G. Pantoja                                                                                     President                                                                                                                  Panaderia Pantoja, Inc. (PPI)                                                                               </t>
  </si>
  <si>
    <t>81 a. Mabini Avenue, Tanauan Batangas</t>
  </si>
  <si>
    <t>2015-62</t>
  </si>
  <si>
    <t>Technology Improvement and Cleaner Production through Upgrade of Manual Scrubber to Automatic and Rehabilitation of Existing Plating Line</t>
  </si>
  <si>
    <t xml:space="preserve">Chona G. Aromin                                                                                                    Operations Manager                                                                                               Raigo Metal Finishing Inc. (RMFI)                                                                      </t>
  </si>
  <si>
    <t>Lot 2546-1 Macabling Road, Mamplasan Binan, Laguna</t>
  </si>
  <si>
    <t>2015-63</t>
  </si>
  <si>
    <t xml:space="preserve">Pelletizing Technology to Upgrade Production Capability of PADECO </t>
  </si>
  <si>
    <t xml:space="preserve">Christopher B. Comia                                                                                               Chairman, Board of Directors                                                                                  Padre Garcia Development Cooperative (PADECO)                                                  </t>
  </si>
  <si>
    <t>Brgy. Pansol Padre Garcia Batangas City</t>
  </si>
  <si>
    <t>2015-64</t>
  </si>
  <si>
    <t>Sustainable Farm Business Operation and Increased Competitive Advantage through Purchase Order Financing of DLG Aquafarm</t>
  </si>
  <si>
    <t xml:space="preserve">Dan L. Gayares                                                                                                        Owner/Manager                                                                                                         DLG Aqua Farm                                                                                                    </t>
  </si>
  <si>
    <t>Purok Gumamela, Sitio Maria Morena Brgy. Calumangan, Bago City, Negros Occidental</t>
  </si>
  <si>
    <t>2015-66</t>
  </si>
  <si>
    <t>2015-01- ad referenda</t>
  </si>
  <si>
    <t>DOST's Participation to the Entrepreneur and Franchise Expo 2015</t>
  </si>
  <si>
    <t xml:space="preserve">Mediacom Solution, Inc. </t>
  </si>
  <si>
    <t xml:space="preserve">Unit 288 Cattleya Building 235 Salcedo Street, Legaspi Village Makati City </t>
  </si>
  <si>
    <t>2015-02- ad referenda</t>
  </si>
  <si>
    <t xml:space="preserve">Emission Eliminator </t>
  </si>
  <si>
    <t>Joey Masesar</t>
  </si>
  <si>
    <t xml:space="preserve">967 B Quirino Hi-way Novaliches , Quezon city </t>
  </si>
  <si>
    <t>2015-03- ad referenda</t>
  </si>
  <si>
    <t>Prepaid Vendo Platform</t>
  </si>
  <si>
    <t xml:space="preserve">Malayan Colleges Laguna </t>
  </si>
  <si>
    <t xml:space="preserve">Cabuyao, Laguna </t>
  </si>
  <si>
    <t>2015-04- ad referenda</t>
  </si>
  <si>
    <t xml:space="preserve">Printing of Brochures and Tarpaulins for the "Thailand's Inventors Day" at the Muangthong Thani, Thailand </t>
  </si>
  <si>
    <t>Mr. Sonny D. Valenzuela                                                                          OIC Principal Esteban Abada High School</t>
  </si>
  <si>
    <t>2015-05- ad referenda</t>
  </si>
  <si>
    <t>Invent School Program (ISP) for Secondary Students in MIMAROPA</t>
  </si>
  <si>
    <t xml:space="preserve">PTRI Building  General Santos Avenue Bicutan, Taguig City </t>
  </si>
  <si>
    <t>2015-06- ad referenda</t>
  </si>
  <si>
    <t>Philippine SME Business Expo 2015</t>
  </si>
  <si>
    <t xml:space="preserve"> 		
Unit 288 Cattleya Building 235 Salcedo Street, Legaspi Village Makati City 
</t>
  </si>
  <si>
    <t>2015-07- ad referenda</t>
  </si>
  <si>
    <t xml:space="preserve">Printing of Flyer Ticket and Posters for the " Science Nation" in Davao City </t>
  </si>
  <si>
    <t xml:space="preserve">Dr. Anthony C. Sales                                                                            Regional Director </t>
  </si>
  <si>
    <t>DOST Regional Office No. XI</t>
  </si>
  <si>
    <t>2015-08- ad referenda</t>
  </si>
  <si>
    <t>Validation and Promotion of Technologies Using Locally Developed Equipment of Food Processing Innovation Center (FPIC) - Davao for Science Nation Tour of DOST XI</t>
  </si>
  <si>
    <t>2015-09- ad referenda</t>
  </si>
  <si>
    <t>Conduct of SETUP Summit in Support to " Building a Science Nation Tour"</t>
  </si>
  <si>
    <t>Dr. Urdujah A. Tejeda Regional Director  DOST Region II</t>
  </si>
  <si>
    <t xml:space="preserve">#2 Dalan na Paccurofon  cor. Matunung Street Regional Government Center Carig Sur, tuguegarao City Cagayan </t>
  </si>
  <si>
    <t>2015-10- ad referenda</t>
  </si>
  <si>
    <t>2015 Regional Invention Contests and Exhibits  ( RICE) in NCR</t>
  </si>
  <si>
    <t xml:space="preserve">Dr. Teresita C. Fortuna                                                                                    Regional Director  DOST NCR </t>
  </si>
  <si>
    <t xml:space="preserve">DOST  Complex Bicutan, Taguig City </t>
  </si>
  <si>
    <t>2015-11- ad referenda</t>
  </si>
  <si>
    <t>Participation to the Kabisag Philippine Government Expo and Trade Fair 2015</t>
  </si>
  <si>
    <t xml:space="preserve"> Mr. Daniel C. Guillen                                                                             Chairman Kabisig People's Movement</t>
  </si>
  <si>
    <t>2015-12- ad referenda</t>
  </si>
  <si>
    <t>Prosecution, Enforcement and Collection of All TAPI Cases           (February-December 2015)</t>
  </si>
  <si>
    <t>Technology Application and Promotion Intitute- Legal Unit</t>
  </si>
  <si>
    <t>2015-13- ad referenda</t>
  </si>
  <si>
    <t>Publication of the TIPD Program Guidelines to the Official Gazette</t>
  </si>
  <si>
    <t>Technology Information and Promotion Division (TIPD)</t>
  </si>
  <si>
    <t>2015-14- ad referenda</t>
  </si>
  <si>
    <t xml:space="preserve">Forum on Creativity, Invention and Innovation </t>
  </si>
  <si>
    <t>DOST Region XI and Nabunturan national Comprehensive High School ( NNCHS)</t>
  </si>
  <si>
    <t>2015-15- ad referenda</t>
  </si>
  <si>
    <t>Printing of Posters for "Building a Science Nation Tour"</t>
  </si>
  <si>
    <t>Dr. Urdujah A. Tejeda                                                                           Regional Director  DOST Region II</t>
  </si>
  <si>
    <t xml:space="preserve">#2 Dalan na Paccurofon  cor. Matunung St,  Regional Government Center Carig Sur, tuguegarao City Cagayan </t>
  </si>
  <si>
    <t>2015-16- ad referenda</t>
  </si>
  <si>
    <t xml:space="preserve">Market Acceptability Testing of Formulated canned Halang-halang </t>
  </si>
  <si>
    <t xml:space="preserve">Leyte Normal University </t>
  </si>
  <si>
    <t xml:space="preserve">Tacloban City </t>
  </si>
  <si>
    <t>2015-17- ad referenda</t>
  </si>
  <si>
    <t>2015 RICE in Region XI</t>
  </si>
  <si>
    <t xml:space="preserve">Davao Medical Center Compound, Bajada Davao city </t>
  </si>
  <si>
    <t>2015-18- ad referenda</t>
  </si>
  <si>
    <t>Printing  of Posters and Flyers for the Project , "e-Marketing Website &amp; Digital Marketing Training for MIMAROPA</t>
  </si>
  <si>
    <t xml:space="preserve">Dr. Ma. Josefina P. Abilay                                                                                 Regional Director DOST MIMAROPA  </t>
  </si>
  <si>
    <t>2015-19- ad referenda</t>
  </si>
  <si>
    <t>Invent School Program (ISP) for Secondary Students in Region III</t>
  </si>
  <si>
    <t xml:space="preserve"> DOST Region III</t>
  </si>
  <si>
    <t xml:space="preserve">Pampanga Provincial  Science and Technology Center </t>
  </si>
  <si>
    <t>2015-20- ad referenda</t>
  </si>
  <si>
    <t>1st Philippine NANO DAY 2015</t>
  </si>
  <si>
    <t xml:space="preserve">Industrial Technology Development Institute </t>
  </si>
  <si>
    <t xml:space="preserve">DOST Compound Bicutan, Taguig City </t>
  </si>
  <si>
    <t>2015-21- ad referenda</t>
  </si>
  <si>
    <t>" S&amp;T Intervention to Level Up Small and Medium Food Industries ( SMEs) in Davao:Rookies-Main"</t>
  </si>
  <si>
    <t>Ma. Divina D.Alcasabas General Manager Technology Plus Product and Services Consultancy Company  (TPPSC)</t>
  </si>
  <si>
    <t>2015-22- ad referenda</t>
  </si>
  <si>
    <t>Printing of Brochures for 2015 National Science and Technology Week (NSTW)</t>
  </si>
  <si>
    <t xml:space="preserve">Hon. Robert O. Dizon Officer-in-Charge Metals Industry Research and development Center </t>
  </si>
  <si>
    <t>General Santos Avenue Bicutan,Taguig City</t>
  </si>
  <si>
    <t>2015-23- ad referenda</t>
  </si>
  <si>
    <t>"Round Table Discussion on the Harmonization of Guidelines for the Technology Transfer and Commercialization Protocol in the Operation of Food Proccessing in the Region"</t>
  </si>
  <si>
    <t>2015-24- ad referenda</t>
  </si>
  <si>
    <t xml:space="preserve">Invent School Program (ISP)  for Secondary Schools in Region </t>
  </si>
  <si>
    <t>DOST Region III Tarlac Provincial Science and Technology Center LGU Unit of Anoa, Tarlac Department of Education Division of Tarlac</t>
  </si>
  <si>
    <t xml:space="preserve">Tarlac City </t>
  </si>
  <si>
    <t>2015-25- ad referenda</t>
  </si>
  <si>
    <t xml:space="preserve">International Conference on Science and Technology Education </t>
  </si>
  <si>
    <t>Philippine Association for the Advancement of Science and Technology (PHILAAST)</t>
  </si>
  <si>
    <t>2015-26- ad referenda</t>
  </si>
  <si>
    <t xml:space="preserve">Fabrication of the 3D Print Prototype: Scale Model of the Continous -                              Type Food Processing Equipment 1. Immersion Freezer </t>
  </si>
  <si>
    <t>Engr. Roberto O. Dizon Assistant Secretary, DOST &amp; Officer-in- Charge Metals Industry Research &amp; Development Center  (MIRDC)</t>
  </si>
  <si>
    <t>2015-27- ad referenda</t>
  </si>
  <si>
    <t>Fabrication of paper Fuelled Grill Utility Model Registration No. 2-2009-000462</t>
  </si>
  <si>
    <t>Manuel Ruiz Dono                                                                                Inventor McGrill Industries</t>
  </si>
  <si>
    <t xml:space="preserve">334 B Ipil Street, Project 3 Quezon city </t>
  </si>
  <si>
    <t>2015-28- ad referenda</t>
  </si>
  <si>
    <t xml:space="preserve">Fabrication of the 3D Print Prototype: Scale Model of the Continous -                                                                Type Food Processing Equipment 1. Vacuum Packaging Machine  </t>
  </si>
  <si>
    <t>2015-29- ad referenda</t>
  </si>
  <si>
    <t>Fabrication of the 3D Print Prototype: Scale Model of the Continous -                                                                Type Food Processing Equipment 1. Vacuum Fryer</t>
  </si>
  <si>
    <t>2015-30- ad referenda</t>
  </si>
  <si>
    <t>Prototype Development of Leak Sealing Valve for Brake System of Motor Vehicle Patent No.:. I-2011-000312</t>
  </si>
  <si>
    <t xml:space="preserve">Mr. Melchor L. Henosa c/o Zenaida De Leon Batingal </t>
  </si>
  <si>
    <t xml:space="preserve">9015 Apartment Tagaytay Sta. Rosa Road, Purok 2 Putting Kahoy Silang, Cavite </t>
  </si>
  <si>
    <t>2015-31- ad referenda</t>
  </si>
  <si>
    <t>Food and Nutrition research Institute Seminar Series 2015 on Undergraduate Student Research Competition</t>
  </si>
  <si>
    <t>Dr. Mario V. Capanzana Executive Director Food and Nutrition Research Institute (FRNI)</t>
  </si>
  <si>
    <t xml:space="preserve">DOST Compound General Santos Avenue Bicutan, Taguig City </t>
  </si>
  <si>
    <t>2015-32- ad referenda</t>
  </si>
  <si>
    <t>Food and Nutrition research Institute Seminar Series 2015 on Pinggang Pinoy Cooking Challenge"</t>
  </si>
  <si>
    <t>2015-33- ad referenda</t>
  </si>
  <si>
    <t>DEC/BAC</t>
  </si>
  <si>
    <t>"Installation of Science and Technology and Academic Research-Based Openly Operated Kiosk (Starbooks) at the Business Assistance Center"</t>
  </si>
  <si>
    <t xml:space="preserve">   Technology Application and Promotion Institute (TAPI)</t>
  </si>
  <si>
    <t>2015-34- ad referenda</t>
  </si>
  <si>
    <t xml:space="preserve">Invent School Program (ISP)  for Secondary Schools in Aguilar,Pangasinan </t>
  </si>
  <si>
    <t xml:space="preserve">DOST Region I DMMMSU-MLU Campus City of San Fernando La Union </t>
  </si>
  <si>
    <t xml:space="preserve">La Union City </t>
  </si>
  <si>
    <t>2015-35- ad referenda</t>
  </si>
  <si>
    <t>DOST CAMPI for Mills Enterprise and 29Eleven Company, Inc.</t>
  </si>
  <si>
    <t>Dr. Norman G. de Jesus  Manager and Lead Consultant Mr. Rafael R. Rafael                                                                                        Mr. Rudy C. Flores N. De Jesus Agricultural Consultancy Servises ( NDJ Argricons)</t>
  </si>
  <si>
    <t>2015-37- ad referenda</t>
  </si>
  <si>
    <t>Enhancement of the Calibration Laboratory of the Department of Science and Technology Regional Office No.7 - Regional Standards and Testing Laboratory  (DOST 7 RSTL) to Support the Global Competitiveness of Local Industries in Cental Visayas</t>
  </si>
  <si>
    <t>DOST Regional VII Lahug S&amp;T Center Sudlon, Lahug, Cebu City</t>
  </si>
  <si>
    <t xml:space="preserve">Lahug, Cebu City </t>
  </si>
  <si>
    <t>2015-38- ad referenda</t>
  </si>
  <si>
    <t>Printing of Flyers and Posters for the " South Luzon Cluster S&amp;T Fair and Exhibits  (SLC S&amp;T FE) at Puerto Princesa City, Palawan</t>
  </si>
  <si>
    <t xml:space="preserve">Dr. Josefina P. Abilay Regional Director DOST Regional Office No.4B MIMAROPA </t>
  </si>
  <si>
    <t xml:space="preserve">4th Floor PTRI Building  General  Santos Avenue Bicutsn, Taguig City </t>
  </si>
  <si>
    <t>2015-39- ad referenda</t>
  </si>
  <si>
    <t xml:space="preserve">Science and Technology  Forum with the Oro Chamber </t>
  </si>
  <si>
    <t xml:space="preserve"> DOST Region X J.V. Serina Street Carmer Cagayan  De Oro City </t>
  </si>
  <si>
    <t xml:space="preserve">Cagayan  De Oro city </t>
  </si>
  <si>
    <t>2015-40- ad referenda</t>
  </si>
  <si>
    <t xml:space="preserve">11th  National Biotechnology Week Celebration </t>
  </si>
  <si>
    <t>Philippine Council for Agriculture, Aquatic and Natural Resources and Development  (DOST-PCAARRD)</t>
  </si>
  <si>
    <t>2015-41- ad referenda</t>
  </si>
  <si>
    <t xml:space="preserve">Printing of flyer, posters and tarpaulins for the "NSTW" </t>
  </si>
  <si>
    <t>Hon. Myra B. Mankabung                                                                                              Regional Secretary  DOST ARMM</t>
  </si>
  <si>
    <t xml:space="preserve">LTP Complex, Cotabato City </t>
  </si>
  <si>
    <t>2015-42- ad referenda</t>
  </si>
  <si>
    <t xml:space="preserve">2015 CAMPI  Program Implementaion in Region III covering one (1) firm in Pampanga </t>
  </si>
  <si>
    <t xml:space="preserve">Mr. Cesar Lamberto p. Ocampo Chief Operating Officer RPO Fine Foods  Corporation  San Fernando, Pampanga </t>
  </si>
  <si>
    <t xml:space="preserve">San Fernando, Pampanga </t>
  </si>
  <si>
    <t>2015-43- ad referenda</t>
  </si>
  <si>
    <t xml:space="preserve">Ms. Cynthia Tizon Manager Charisma Nature Farm </t>
  </si>
  <si>
    <t xml:space="preserve">San Roque, Pampanga </t>
  </si>
  <si>
    <t>2015-44- ad referenda</t>
  </si>
  <si>
    <t xml:space="preserve">Printing of FPRDI's Technology Brochure for the 2015 DOST Regional Cluster Fairs </t>
  </si>
  <si>
    <t>Dr. Romulo T. Anggangan Director Forest Products Research and Development , Institute Los Baños, College, Laguna</t>
  </si>
  <si>
    <t xml:space="preserve">Los Baños, Laguna </t>
  </si>
  <si>
    <t>2015-45- ad referenda</t>
  </si>
  <si>
    <t>"2015 Quezon City Filipino Invenstors Expo and Trade Fair"</t>
  </si>
  <si>
    <t xml:space="preserve">Sikap Buhay Entrepreneurship and Cooperative Office- Bagbag Multu-Purpose  Cooperative </t>
  </si>
  <si>
    <t>2015-46- ad referenda</t>
  </si>
  <si>
    <t>Invent School Program (ISP) For Secondary Schools in Region XII</t>
  </si>
  <si>
    <t xml:space="preserve"> DOST Regional Office no. XII</t>
  </si>
  <si>
    <t>2015-47- ad referenda</t>
  </si>
  <si>
    <t xml:space="preserve">Vegetables and Cereals Food Drinks </t>
  </si>
  <si>
    <t>Mr. Roberto M.Catubig</t>
  </si>
  <si>
    <t xml:space="preserve">24-D D. Santiago Street Santolan, Pasig City </t>
  </si>
  <si>
    <t>2015-48- ad referenda</t>
  </si>
  <si>
    <t xml:space="preserve">Coffee and Entrepreneurship Discussion Series part 2, entitled Tara Na! for Scientists  and Researchers </t>
  </si>
  <si>
    <t xml:space="preserve">UP Institute for Small-Scale Indistries ( UP-ISSI) </t>
  </si>
  <si>
    <t xml:space="preserve">E.t. Virata Hall E. Jacinto Street , UP Campus Diliman, Quezon City </t>
  </si>
  <si>
    <t>2015-49- ad referenda</t>
  </si>
  <si>
    <t>2015 Regional Invention Contests and Exhibits (RICE) in MIMAROPA Region</t>
  </si>
  <si>
    <t xml:space="preserve">DOST MIMAROPA Region </t>
  </si>
  <si>
    <t xml:space="preserve">4/F PTRI Building  Geveral Santos Avenue Bicutan, Taguig City </t>
  </si>
  <si>
    <t>2015-50- ad referenda</t>
  </si>
  <si>
    <t>2015 Regional Invention Contests and Exhibits (RICE) Region VIII</t>
  </si>
  <si>
    <t xml:space="preserve">DOST Regional VIII Government Center  Candahu, Palo, Leyte </t>
  </si>
  <si>
    <t xml:space="preserve">Candahug, Palo, Leyte </t>
  </si>
  <si>
    <t>2015-51- ad referenda</t>
  </si>
  <si>
    <t>Invent School Program (ISP) For Secondary in Region III</t>
  </si>
  <si>
    <t xml:space="preserve">DOST Region Office III Nueva Ecija Provincial Science and Technology Center Department of Education division  of Nueva Ecija </t>
  </si>
  <si>
    <t>2015-52- ad referenda</t>
  </si>
  <si>
    <t xml:space="preserve">" Urban and Vertical Edible Gardening Forum" </t>
  </si>
  <si>
    <t xml:space="preserve">MFI Foundation, Inc.  </t>
  </si>
  <si>
    <t>MFI Building, 91 Ortigas Ave. Ugong, Pasig city</t>
  </si>
  <si>
    <t>2015-53- ad referenda</t>
  </si>
  <si>
    <t xml:space="preserve">Anghel Mushroom Production </t>
  </si>
  <si>
    <t xml:space="preserve">Polytechnic University of the Philippines (PUP) Lopez Campus </t>
  </si>
  <si>
    <t>Lopez Yumul Street  Brgy. Burgos Lopez, Quezon</t>
  </si>
  <si>
    <t>2015-54- ad referenda</t>
  </si>
  <si>
    <t xml:space="preserve">Compact Flourescent Lamp Remover and Installer </t>
  </si>
  <si>
    <t xml:space="preserve">Dr. Dulce F. Atian President Camarines Sur Polytechnic College (CSPC) </t>
  </si>
  <si>
    <t xml:space="preserve">National Road, Nabua Camarines Sur </t>
  </si>
  <si>
    <t>2015-55- ad referenda</t>
  </si>
  <si>
    <t xml:space="preserve">"GMP Alignment/Certification and Waste Management System Installation for Central Visayas SME's under the CAMPI  Program </t>
  </si>
  <si>
    <t xml:space="preserve">DOST Region VII The Lahug S&amp;T Complex Sudlon, Gov. M. Cuenco Avenue </t>
  </si>
  <si>
    <t xml:space="preserve">Cebu City </t>
  </si>
  <si>
    <t>2015-56- ad referenda</t>
  </si>
  <si>
    <t>"S&amp;T Intervention to Level Up Micro, Small and Medium Enterprises (MSMEs)  on the Food Sector' in Region III</t>
  </si>
  <si>
    <t xml:space="preserve">DOST Region III Diosdado Macapagal Regional Government Center </t>
  </si>
  <si>
    <t xml:space="preserve">Maimpis, City of San Fernando Pampanga </t>
  </si>
  <si>
    <t>2015-57- ad referenda</t>
  </si>
  <si>
    <t xml:space="preserve">Media Promotion of TAPI's Assistance to Investors </t>
  </si>
  <si>
    <t>2015-58- ad referenda</t>
  </si>
  <si>
    <t>1. "Athan's Organic Hot Pepper"                                                                      2. "A&amp;J's Organic Coconut Sa Vinegar"</t>
  </si>
  <si>
    <t xml:space="preserve">Polytechnic University of the Philippines (PUP) - Mulanay  </t>
  </si>
  <si>
    <t xml:space="preserve">Mulanay, Quezon </t>
  </si>
  <si>
    <t>2015-59- ad referenda</t>
  </si>
  <si>
    <t>12 Heads of Swine Fattening Project</t>
  </si>
  <si>
    <t>Negros Oriental State University (NORSU)</t>
  </si>
  <si>
    <t xml:space="preserve">Dumaguete City, Negros Oriental </t>
  </si>
  <si>
    <t>2015-60- ad referenda</t>
  </si>
  <si>
    <t>2015 National Inventors' Week conducted byb the Filipino Inventor's Society (FIS) Inc.</t>
  </si>
  <si>
    <t>Individual Investors per duly signed                                                          "conforme"</t>
  </si>
  <si>
    <t>Implementaion of Rice in Region X and XII</t>
  </si>
  <si>
    <t>TAPI-IDD in cooperation with DOST X &amp; XII</t>
  </si>
  <si>
    <t>2014 National Invention Contests adnd Exhibits (NICE)</t>
  </si>
  <si>
    <t>DOST Compound, Bicutan Taguig City</t>
  </si>
  <si>
    <t>Enhancement of the Calibration Laboratory of the Department of Science and Technology Regional Office No. 7- Regional Standards and Testing Laboratory  (DOST 7-RSTL) To Support the Global Competitiveness of Local Industries in Central Visayas</t>
  </si>
  <si>
    <t>Engr. Edilberto L. Paradela</t>
  </si>
  <si>
    <t>DOST Region VII                                                                                           Lahug, S&amp;T Complex                                                                                   Sudlon,Lahug, Cebu City</t>
  </si>
  <si>
    <t>Technology Innovation For Commercialization (TECHNICOM)</t>
  </si>
  <si>
    <t>Operationalization of the Screening Committee for RA 7459</t>
  </si>
  <si>
    <t>Invention Development Division (IDD)</t>
  </si>
  <si>
    <t>Mass Production of Speaker System  "A Speaker Unit and A Speaker Assembly Using the Speaker Unit"</t>
  </si>
  <si>
    <t>Engr. Anthony Leuterio</t>
  </si>
  <si>
    <t>738 San Jose St. San Antonio Valley I Paranaque City</t>
  </si>
  <si>
    <t>Court Proceedings for IGF Accounts Filed in Court</t>
  </si>
  <si>
    <t>Technology Application and Promotion Institute- Legal Unit</t>
  </si>
  <si>
    <t>Health and Nutrition Cluster's Participation in the 2014 National Science and Technology Week (NSTW) and Regional Cluster Fairs</t>
  </si>
  <si>
    <t xml:space="preserve">Philippine Council for Health Research and Development (PCHRD) </t>
  </si>
  <si>
    <t>Production of DOST Outcome 3: Indutry Competitiveness Exhibits at NSTW 2014 Celebration</t>
  </si>
  <si>
    <t>Philippine Council For Industry , Energy and Emerging Technology Research</t>
  </si>
  <si>
    <t>2014 Northern Luzon Cluster S&amp;T Fair</t>
  </si>
  <si>
    <t>Dalan na Paccorofun cor. Matunung St. Regional Government Center Carig Sur, Tuguegarao City</t>
  </si>
  <si>
    <t>Regional Expert Group Meeting  (EGM) on Testing, Standardization and Certification Nanomaterials and Nanoproducts &amp; Workshop on Strengthening R&amp;D Management Capacity of Nanotechnology Researchers and Research Managers</t>
  </si>
  <si>
    <t>Technology Application and Promotion Institute in Collaboration with Asian Pacific Centre for Transfer of Technology (APCTT) of the United Nations Economic and Social Commission for Asia and the Pacific ( APCTT-UNESCAP)</t>
  </si>
  <si>
    <t>2014- 13</t>
  </si>
  <si>
    <t>PCAARD's NSTW 2014 Participation</t>
  </si>
  <si>
    <t xml:space="preserve">Philippine Council For Agriculture , Aquatic and Natural Resoruces Research and Development </t>
  </si>
  <si>
    <t>2014-14</t>
  </si>
  <si>
    <t>"Celebrating Creativity, Innovation and Excellence through Science and Technology Human Resource Development"</t>
  </si>
  <si>
    <t>Science Education Institute Philippine Science Highschool National Academy of Science and Technology</t>
  </si>
  <si>
    <t>2014- 15</t>
  </si>
  <si>
    <t>Promotion of DOST's Programs and Services in the 2014 National Science and Technology Week (DOST Regional Offices)</t>
  </si>
  <si>
    <t>DOST 4-A CALABARZON</t>
  </si>
  <si>
    <t>2014- 16</t>
  </si>
  <si>
    <t>Upgrading the Capability of Vinhessa Food Processing and Marketing Through PO Financing-Phase III</t>
  </si>
  <si>
    <t>Marites A. Villanueva</t>
  </si>
  <si>
    <t>32 Elm Street, New Marikina Subd., San Roque Marikina City</t>
  </si>
  <si>
    <t>2014-17</t>
  </si>
  <si>
    <t>NONE</t>
  </si>
  <si>
    <t>"Integrated ERP Business Solution Package Using Cloud-Computing Technologies in the Power Distribution Sector"</t>
  </si>
  <si>
    <t>Cheryl Marie-Natividad Caballero</t>
  </si>
  <si>
    <t>2014-20</t>
  </si>
  <si>
    <t>Outcome 8 Cluster's Participation In the 2014 National Science and Technology Week and Regional Clusters Fairs</t>
  </si>
  <si>
    <t>Science and Technology Information Institute  (STII)</t>
  </si>
  <si>
    <t>2014-21</t>
  </si>
  <si>
    <t>2014 Visayas Cluster S&amp;T Fair and Exhibits</t>
  </si>
  <si>
    <t>DOST Visayas Cluster ( DOST Region 6,7 &amp; 8)</t>
  </si>
  <si>
    <t>2014-22</t>
  </si>
  <si>
    <t>Enforcement and Collection of Delinquent Projects under IDAF Accounts</t>
  </si>
  <si>
    <t>2014-23</t>
  </si>
  <si>
    <t>2014 Southern Luzon Cluster Science and Technology Fair and Exhibits</t>
  </si>
  <si>
    <t>DOST Region V (DOST Region NCR, III, CALABARZON, MIMAROPA  and V)</t>
  </si>
  <si>
    <t>2014-24</t>
  </si>
  <si>
    <t>2014 CAMPI Level Program Implementation in National Capital Region (NCR)</t>
  </si>
  <si>
    <t>AJV Management Consultancy</t>
  </si>
  <si>
    <t>Blk. 16 Lot 15 Camella Homes, San Pedro Laguna</t>
  </si>
  <si>
    <t>2014-25</t>
  </si>
  <si>
    <t>2014 Mindanao Regional Cluster Science and Technology Fair</t>
  </si>
  <si>
    <t>DOST Region XI and Minda DOST Cluster</t>
  </si>
  <si>
    <t>cor. Friendship and Dumanlas Rds, Bajada Flyover, Davao City, Davao del Sur</t>
  </si>
  <si>
    <t>2014- 28</t>
  </si>
  <si>
    <t>Commercialization of Coir Decorating Machine</t>
  </si>
  <si>
    <r>
      <rPr>
        <b/>
        <sz val="10"/>
        <color theme="1"/>
        <rFont val="Arial"/>
      </rPr>
      <t>Dr. Elsa R. Manarpaac</t>
    </r>
    <r>
      <rPr>
        <sz val="10"/>
        <color theme="1"/>
        <rFont val="Arial"/>
      </rPr>
      <t xml:space="preserve">                                                                                                                                                                                                                                                   President                                                                                                                                                                                                                                                                 </t>
    </r>
    <r>
      <rPr>
        <b/>
        <sz val="10"/>
        <color theme="1"/>
        <rFont val="Arial"/>
      </rPr>
      <t xml:space="preserve">Dr. Mirriam Banlawe </t>
    </r>
    <r>
      <rPr>
        <sz val="10"/>
        <color theme="1"/>
        <rFont val="Arial"/>
      </rPr>
      <t xml:space="preserve">                                                                                                                                                                                                                                                Dean, CET</t>
    </r>
  </si>
  <si>
    <t>Western Philippines Univeristy                                                                                                                    Aborlan, Palawan</t>
  </si>
  <si>
    <t>2014-30</t>
  </si>
  <si>
    <t>Renewal: Purchase Order Financing for Mallari's Nursery Furniture</t>
  </si>
  <si>
    <t>Catherine N. Mallari</t>
  </si>
  <si>
    <t>Olongapo-Gapan Road , Concepcion , Lubao, Pampanga</t>
  </si>
  <si>
    <t>2014- 32</t>
  </si>
  <si>
    <t>Purchase Order Financing for the DOST-NCR's SET-UP Assisted Project-Lampara Trends Inc.</t>
  </si>
  <si>
    <t xml:space="preserve">Marinette D. Pagtakhan </t>
  </si>
  <si>
    <t>#12 Vitalez Cmpd., San Isidro, Sucat, Paranaque City</t>
  </si>
  <si>
    <t>2014- 33</t>
  </si>
  <si>
    <t>IBOD Web-Based Project Monitoring System ( iWPMS)</t>
  </si>
  <si>
    <t>Investment and Business Operatations Division, TAPI</t>
  </si>
  <si>
    <t>DOST Compound, Bicutan Taguig</t>
  </si>
  <si>
    <t>2014-34</t>
  </si>
  <si>
    <t>Daing Flakes</t>
  </si>
  <si>
    <t>Batangas State University- Main Campus</t>
  </si>
  <si>
    <t>Batangas City</t>
  </si>
  <si>
    <t>2014- 37</t>
  </si>
  <si>
    <t>2014 CAMPI Program Implementation in region-CALABARZON</t>
  </si>
  <si>
    <t>Small Enterprises Research and Development Foundation, Inc. (SERDEF)</t>
  </si>
  <si>
    <t>3/F, E. Virata Hall, E Jacinto Street, ISSI Building, UP Campus, Diliman, Quezon City 1101</t>
  </si>
  <si>
    <t>2014-39</t>
  </si>
  <si>
    <t>Second Batch of Deliquent IGF Account Cases to be filed in Court</t>
  </si>
  <si>
    <t>TAPI-Legal Unit</t>
  </si>
  <si>
    <t>2014- 40</t>
  </si>
  <si>
    <t>Development of an Improved Water Hyacinth Harvester</t>
  </si>
  <si>
    <r>
      <rPr>
        <b/>
        <sz val="10"/>
        <color theme="1"/>
        <rFont val="Arial"/>
      </rPr>
      <t xml:space="preserve">Dr. Georgina J. Bordaddo </t>
    </r>
    <r>
      <rPr>
        <sz val="10"/>
        <color theme="1"/>
        <rFont val="Arial"/>
      </rPr>
      <t xml:space="preserve">                                                                                                                                                                                                                                           SUC President III                                                                                                                                                                                                                                                            </t>
    </r>
    <r>
      <rPr>
        <b/>
        <sz val="10"/>
        <color theme="1"/>
        <rFont val="Arial"/>
      </rPr>
      <t xml:space="preserve">Joel Paulite Sadol  </t>
    </r>
    <r>
      <rPr>
        <sz val="10"/>
        <color theme="1"/>
        <rFont val="Arial"/>
      </rPr>
      <t xml:space="preserve">                                                                                                                                                                                                                                                     Study Leader</t>
    </r>
  </si>
  <si>
    <t>Central Bicol State University of Agriculture, San Jose, Pili, Camarines Sur</t>
  </si>
  <si>
    <t>2014-43</t>
  </si>
  <si>
    <t>Purchase Order Financing for Working Capital/Financing and Upgrading the Capability of Sunlight Foods Corporation</t>
  </si>
  <si>
    <t>Engr. Crispin R. Muyrong Jr.</t>
  </si>
  <si>
    <t>Blk7,Lot 16,Tanguile st.,La Colina Subd.,Fortune Marikina City</t>
  </si>
  <si>
    <t>2014-44</t>
  </si>
  <si>
    <t>2014 CAMPI Program Implementaion</t>
  </si>
  <si>
    <t>1. AJV Management Consultancy                                                                                                                                                                                                                            2. Negros Prawn Producers Cooperative (NPPC)                                                                                                                                                                                                       3. Technology Plus Product and Services Consultancy Company ( TPPSC)</t>
  </si>
  <si>
    <t>1. Blk 16,Lot 15, Camella Homes, San Pedro, Laguna                                                                     2.Doors 1 &amp; 2, NEDF Building 6th st. Bacolod City                                              3. L 16, B 9 Apollo st. A35 Better Living Subd., Paranaque City</t>
  </si>
  <si>
    <t>2014-46</t>
  </si>
  <si>
    <t>Purchase Financing Project for Art N Nature Manufacturing Corporation (ANNMC)</t>
  </si>
  <si>
    <t>Venus C. Genson</t>
  </si>
  <si>
    <t>168 Hyram Building,Cotcot Liloan ,Cebu and 524 Dama  de Noche st.,Greenhills Subd., Casuntingan Mandue City , Cebu</t>
  </si>
  <si>
    <t>2014-47</t>
  </si>
  <si>
    <t>Improvement through Automated Cutting Machine</t>
  </si>
  <si>
    <t>Marie Antoinette S. Mendoza</t>
  </si>
  <si>
    <t>Warehouse B, Winsouth 2 104 east Science Avenue , Phase 3 Laguna Technopark , Binan, Laguna</t>
  </si>
  <si>
    <t>2014- 48</t>
  </si>
  <si>
    <t>Upgrading of Technology Through a Laser Making Machine</t>
  </si>
  <si>
    <t xml:space="preserve">Pawel P. Rafael </t>
  </si>
  <si>
    <t>Hi-lon Compound , Paciano Rizal Calamba City</t>
  </si>
  <si>
    <t>2014-49</t>
  </si>
  <si>
    <t>DOST's participation to the Sial ASEAN Manila 2015 - The South East Asian Food Marketplace</t>
  </si>
  <si>
    <t>2014-50</t>
  </si>
  <si>
    <t>An Improved Incubator</t>
  </si>
  <si>
    <t>Mardinio P. Azores</t>
  </si>
  <si>
    <t>209 Centrum 2A, Home Centrum Green Subd., Mapulang LUpa Valenzuela City</t>
  </si>
  <si>
    <t>2014-51</t>
  </si>
  <si>
    <t xml:space="preserve">Financing Facility for the Production of A&amp;S Handcrafted Arts Current Purchase Order </t>
  </si>
  <si>
    <t>Alan B. Lastimosa</t>
  </si>
  <si>
    <t>7329 Orchad st., Marcelo Green Village Paranaque City</t>
  </si>
  <si>
    <t>2014- 52</t>
  </si>
  <si>
    <t>Fabrication of an In-Line Water Purification and Sterilization Appratus</t>
  </si>
  <si>
    <t>Engr. Rodrigo P. Duque</t>
  </si>
  <si>
    <t>64 barcelona st., Vista Verde Executive Village , Cainta Rizal</t>
  </si>
  <si>
    <t>2014-53</t>
  </si>
  <si>
    <t>Facing AEC Head On, Technology Matching Forum for the Philippines</t>
  </si>
  <si>
    <t>2014-01-adref</t>
  </si>
  <si>
    <t>Printing of MIRDC Technology Brochue</t>
  </si>
  <si>
    <t>Development of and Industrial Fused Disposition Modeling</t>
  </si>
  <si>
    <t>Myrna M. Sunico</t>
  </si>
  <si>
    <t>Design Center of the Philippines, Design Center Building, CCP Complex, Roxas Boulevard, Pasay City</t>
  </si>
  <si>
    <t>Hand-on Training on the use of Thomson, Innovation and Free Databases</t>
  </si>
  <si>
    <t>Forty (40) Participants from DOST Agencies TLO and DOST-TLO Personne</t>
  </si>
  <si>
    <t>1st Fablab Asia Network (FAN1) Innovation Bootcamp and Conference</t>
  </si>
  <si>
    <t>Department of Trade and Industry, Bohol</t>
  </si>
  <si>
    <t>DTI, Bohol</t>
  </si>
  <si>
    <t xml:space="preserve">S&amp;T Intervention to Level Up SMEs to Product Quality and Food Safety </t>
  </si>
  <si>
    <t xml:space="preserve">Ms. Ma. Divina Alcasabas, GM, Technology Plus Product and Services Consultancy Company (TPPSC) </t>
  </si>
  <si>
    <t>TPPSC, Region 2</t>
  </si>
  <si>
    <t>Technology Investment Forum</t>
  </si>
  <si>
    <t>Atty. Oswaldo C. Santos</t>
  </si>
  <si>
    <t>Asec and PM, DOST-TLO</t>
  </si>
  <si>
    <t>Introducing ISP in selected schools in the NCR</t>
  </si>
  <si>
    <t>DOST cmpd., Bicutan, Taguig</t>
  </si>
  <si>
    <t>Printing of brochures and tarpaulins for "Improved Safety Gas Device with Adjustable Gas Flow Control and Adapter Unit"</t>
  </si>
  <si>
    <t>Mr. Aquilino Melano, Inventor</t>
  </si>
  <si>
    <t>Blk.21, Road 42, West Floodway Planters, San Andres, Cainta, Rizal</t>
  </si>
  <si>
    <t xml:space="preserve">Production of FPRDI Exhibit and Information Materials for the San Pablo Women's Federation Technology Fair at DLSP at San Pablo City </t>
  </si>
  <si>
    <t>Dr. Romulo T. Aggangan</t>
  </si>
  <si>
    <t>FPRDI College, Los Baños, Laguna</t>
  </si>
  <si>
    <t>REPLACEMENT</t>
  </si>
  <si>
    <t>Seven projects of Marinduque State College (AM Cassava Polvoron Enterprise, Utilization of Mango in Jam, AI's Sweets, Production of Healthier Pastillas using Sweet Potato as Product Base, Healthy Snack Alternative Cassava Malungay Chips, Nutrient Rich Noodles, Utilization of Malungay for Chocovron)</t>
  </si>
  <si>
    <t>Marinduque State College</t>
  </si>
  <si>
    <t>Tanza, Boac, Marinduque</t>
  </si>
  <si>
    <t>Two-day Training for Invent School Program (ISP) in the Bicol Region</t>
  </si>
  <si>
    <t>Regional Center site, Rawis, Legazpi City</t>
  </si>
  <si>
    <t>ISP for secondary school in Bataan</t>
  </si>
  <si>
    <t>PSTC, Bataan</t>
  </si>
  <si>
    <t>2014-13</t>
  </si>
  <si>
    <t>DOST Visayas Cluster (Region 6,7,&amp;8)</t>
  </si>
  <si>
    <t>DOST Visayas Cluster</t>
  </si>
  <si>
    <t>Technology-Based Business Innovation and Incubation Symposium Workshop (TBI)</t>
  </si>
  <si>
    <t>Prof. Nestor O. Raneses</t>
  </si>
  <si>
    <t>UP Institute for Smaill-Scale Insdustries, E. Virata Hall, E.Jacinto Sreet, UP Campus Diliman, Quezon City</t>
  </si>
  <si>
    <t>2014-15</t>
  </si>
  <si>
    <t>Virgen Milagorsa University Foundation (VMUF)</t>
  </si>
  <si>
    <t>VMUF, Innovation and Technology Support Office, Pangasinan</t>
  </si>
  <si>
    <t>2014-16</t>
  </si>
  <si>
    <t>DOST's participation to the Philippine SME Business Expo (PhilSME)</t>
  </si>
  <si>
    <t xml:space="preserve">Mediacom Solutions Inc. </t>
  </si>
  <si>
    <t>Unit 288, Cattleya Building 235 Salcedo Street,  Legazpi Village, Makati</t>
  </si>
  <si>
    <t>ISP for Tertiary Schools in Region 2</t>
  </si>
  <si>
    <t>#2 Dalan na Paccurofon cor., Matunung St., Regional Government Center, Carig Sur, Tuguegarao, Cagayan</t>
  </si>
  <si>
    <t>2014-18</t>
  </si>
  <si>
    <t>PhilAAS Annual Convention: "Technology, Innovation, and Entrepreneurship"</t>
  </si>
  <si>
    <t>Philippine Association for the Advancement of Science (PhilAAS) c/o DOST-SEI</t>
  </si>
  <si>
    <t>Science Heritage Buidling, DOST Complex, Bicutan, Taguig City</t>
  </si>
  <si>
    <t>2014-19</t>
  </si>
  <si>
    <t>2014 Northern Luzon Cluster Science and Technology Fair</t>
  </si>
  <si>
    <t>Dalan na Pacocorofun cor., Matunong Street, Regional Government Center, Carig Sur, Tuguegarao City</t>
  </si>
  <si>
    <t>Fabrication of Prototype Model of Motorbike Gutter and Yard (Street) Sweeper</t>
  </si>
  <si>
    <t>Mr. Ernesto Pineda</t>
  </si>
  <si>
    <t xml:space="preserve">43 Swaziland Street, Better Living Subdivision, Paranaque </t>
  </si>
  <si>
    <t>DOST Visayas Cluster Science and Technology Fair</t>
  </si>
  <si>
    <t>S&amp;T Complex, Studion, Lahug, Cebu City</t>
  </si>
  <si>
    <t>Antique's Ginger Tea</t>
  </si>
  <si>
    <t>University of Antique-Sibalom, Antique</t>
  </si>
  <si>
    <t>Sibalom, Antique</t>
  </si>
  <si>
    <t>Sikap Buhay Entepreneurship and Cooperative Office</t>
  </si>
  <si>
    <t>Bagbag Multi-purpose Cooperative, Quezon City</t>
  </si>
  <si>
    <t>S&amp;T Interventions to Level UP SMEs to product quality thru GMP Certificaion under CAMPI in Region 1</t>
  </si>
  <si>
    <t>Technology Plus Product and Services Consultancy (TPPSC)</t>
  </si>
  <si>
    <t>Lot 16, B19 Apollos Street, Annex 35, Better Living Subd., Paranaque City</t>
  </si>
  <si>
    <t>S&amp;T Interventions to Level Up SMEs to Product Quality thru Food Safety Management System" under the CAMPI Program in Region 2</t>
  </si>
  <si>
    <t>2014-26</t>
  </si>
  <si>
    <t>S&amp;T Interventions to Level Up SMEs to Product Quality thru Food Safety Management System" under the CAMPI Program in Region IV-A</t>
  </si>
  <si>
    <t>2014-27</t>
  </si>
  <si>
    <t>Mindanao Cluster Science and Technology Fair</t>
  </si>
  <si>
    <t>DOST Region 11 and Minda DOST Cluster</t>
  </si>
  <si>
    <t>2014-28</t>
  </si>
  <si>
    <t>Ceremonial Awarding of Filed Patent/UM applications</t>
  </si>
  <si>
    <t>2014-29</t>
  </si>
  <si>
    <t>ISP for Secondary Students in MIMAROPA</t>
  </si>
  <si>
    <t>ISP for selected Secondary Schools in Pampanga</t>
  </si>
  <si>
    <t>Provincial S&amp;T Center, Pampanga</t>
  </si>
  <si>
    <t>2014-31</t>
  </si>
  <si>
    <t>ISP for the Students of the University of Antique (UA)</t>
  </si>
  <si>
    <t>DOST-Region 6, Antique Province</t>
  </si>
  <si>
    <t>2014-32</t>
  </si>
  <si>
    <t>ISO fir Western Visayas College of Science and Technology (WVCST) Iloilo Vity</t>
  </si>
  <si>
    <t>DOST-Region 6, Iloilo City</t>
  </si>
  <si>
    <t>2014-33</t>
  </si>
  <si>
    <t>Common Service Facilities for Squid and Fish Drying Project of LGU of Don Marcelino, Davao del Sur</t>
  </si>
  <si>
    <t>Corner Dasmarinas and Friendship Roads, SPMC compound, Bajada, Davao City</t>
  </si>
  <si>
    <t>10th National Biotechnology Week</t>
  </si>
  <si>
    <t>DOST-TAPI in cooperation with DOST IVA, FNRI, ITDI, NAST, NRCP, PCIEERD, PSHS, SEI, and STII</t>
  </si>
  <si>
    <t>2014-35</t>
  </si>
  <si>
    <t>Printing of NRCP Promotional Materials for the 10th National Biotechnology Week Celebration</t>
  </si>
  <si>
    <t>Dr.Carina G. Lao, Executive Director, NRCP</t>
  </si>
  <si>
    <t>2014-36</t>
  </si>
  <si>
    <t>8th Annual Research Awards</t>
  </si>
  <si>
    <t>Polytechnic University of the Philippine</t>
  </si>
  <si>
    <t>Office of teh Vice President for Research, Extension, Planning, and Development Center for Research and Development</t>
  </si>
  <si>
    <t>2014-37</t>
  </si>
  <si>
    <t>Ceremonial Award of Filed Patent/UM Applications</t>
  </si>
  <si>
    <t>2014-38</t>
  </si>
  <si>
    <t xml:space="preserve">Production of ITDI Technology Brochures as Tools for Knowledge Translation </t>
  </si>
  <si>
    <t>Rowena Cristina Guevara, OIC, ITDI</t>
  </si>
  <si>
    <t>Production of MIRDC Technology Brochure</t>
  </si>
  <si>
    <t>Asec. Robert O. Dizon, Asec. DOST, OIC, MIRDC</t>
  </si>
  <si>
    <t>2014-40</t>
  </si>
  <si>
    <t>Capacity Building Seminar-Workshop on Patent Drafting</t>
  </si>
  <si>
    <t>Esteban Abada High School</t>
  </si>
  <si>
    <t>Blumentritt Street, Sampaloc, Manila</t>
  </si>
  <si>
    <t>2014-42</t>
  </si>
  <si>
    <t xml:space="preserve">HP/HT Cremation Equipment </t>
  </si>
  <si>
    <t>Manuel Malonzo, Inventor</t>
  </si>
  <si>
    <t>105 Salvador Street, Victory Heights, Caloocan City</t>
  </si>
  <si>
    <t>Financial Assistance to Individual Inventors who participated in the 2014 NIW led by FIS</t>
  </si>
  <si>
    <t>Individual Inventor</t>
  </si>
  <si>
    <t>Continuation of the Project ," Establishment of Quality Management System Conforming to ISO 9001:2008 Standard for the Technology Application and Promotion Institute</t>
  </si>
  <si>
    <t>Technology Application andPromotion Institute</t>
  </si>
  <si>
    <t>DOST Compound, Taguig City</t>
  </si>
  <si>
    <t>Productivity Consultancy Services in Upgrading Farm Practices for 10 (ten) farms in Negros Occidental</t>
  </si>
  <si>
    <t xml:space="preserve">Negros Prawn Producers Cooperative </t>
  </si>
  <si>
    <t>Door 1 and 2 NEDF Building, 6th Street, Corner Lacson Street, Bacolod, 6100 Negros Occidental</t>
  </si>
  <si>
    <t>2013 Southern Luzon Cluster Science and Technology Fair and Exhibits</t>
  </si>
  <si>
    <t xml:space="preserve">2013 Mindanao Cluster Science and Technology Fair </t>
  </si>
  <si>
    <t>109 T. Carlo Extension, Butuan City</t>
  </si>
  <si>
    <t>2013 Northern Luzon Cluster Science and Technology Fair and Exhibits</t>
  </si>
  <si>
    <t>Km. 6 la trinidad, Benguet</t>
  </si>
  <si>
    <t>MIRDC Participation in the 2013 National Science and technology Week  (NSTW) Celebration</t>
  </si>
  <si>
    <t xml:space="preserve">Metlas Industry Research and Development Center (MIRDC) </t>
  </si>
  <si>
    <t>Wind Powered Turbine Electric Generator</t>
  </si>
  <si>
    <t>Ermildo R. Diamante</t>
  </si>
  <si>
    <t>Sandingan, Zamboanga Del Norte</t>
  </si>
  <si>
    <t>Upgrading the Capability of Vinhessa Food Processing and Marketing</t>
  </si>
  <si>
    <t>Maritess A. Villanueva</t>
  </si>
  <si>
    <t>Elm st., New Marikina Subd., San Roque Marikina City</t>
  </si>
  <si>
    <t>Portable Water Treatment Device</t>
  </si>
  <si>
    <t>2013-13</t>
  </si>
  <si>
    <t xml:space="preserve">*Increasing Production of Milkfish (Chanos Chanos), Mudcrab ( Scylla serreta) and Prawn ( Penaeus monodon) Production of West E.R.M Aqua Farm                                                                                                                                                                                                                      * Upgrading the Production Capacity if the Raul Aqua Farm Facility                                                                                                                                    * Upgrading Farm Productivity of Gera Piscary                 </t>
  </si>
  <si>
    <t>* Mr. Salustioano P. Milca                                                                                                                 * Mr. Raul Molina                                                                                                                              * Mr. Aniceto Rex D. Mancol</t>
  </si>
  <si>
    <t>* S.P Milca Aqua Farm, Brgy. Balud , Sta Margarita, Samar                                                                                                                               * Raul Aqua farm, Napuro, Sta. Margarita, Samar                                                                                                                                                * Gera Piscary, Brgy. Inoraguiao, Sta. Margarita, Samar</t>
  </si>
  <si>
    <t>2013-14</t>
  </si>
  <si>
    <t>Digitization of the Invetion Development Division's (IDD) Archive files</t>
  </si>
  <si>
    <t>2013-15</t>
  </si>
  <si>
    <t>Individual Booth Design, Consultancy, Supervision of Stage and Centerpiece Design Construction and Exhibit Display Documentation for the NSTW  2013</t>
  </si>
  <si>
    <t xml:space="preserve">Product Development and Design Center of the Philippines (PDDCP) </t>
  </si>
  <si>
    <t>Design Center Building CCP Complex, Roxas Blvrd, Pasay City</t>
  </si>
  <si>
    <t>2013-16</t>
  </si>
  <si>
    <t>Enhancement of Farm Facilities and Productivity of the Danny Aqua Farm</t>
  </si>
  <si>
    <t>Danilo A. Acangan</t>
  </si>
  <si>
    <t>Brgy. Inoraguiao, Sta Margarita Samar</t>
  </si>
  <si>
    <t>2013-17</t>
  </si>
  <si>
    <t>Increasing Production of Milkfish (Chanos Chanos), Mudcrab ( Scylla serreta) and Prawn ( Penaeus monodon) Production of West E.R.M Aqua Farm</t>
  </si>
  <si>
    <t>Elias R. Malagueno</t>
  </si>
  <si>
    <t>Sitio Tarosan, Brgy. Sondara, Sta. Margarita, Samar</t>
  </si>
  <si>
    <t>2013-18</t>
  </si>
  <si>
    <t>Improving the Productivity of Mr. Joel C. Jaropojop Farm through DOST -TAPi Venture Financing Program</t>
  </si>
  <si>
    <t>Joel C. Jaropojop</t>
  </si>
  <si>
    <t>Jaropojop Aqua Farm, Brgy. Palale Sta Margarita, Samar</t>
  </si>
  <si>
    <t>2013-19</t>
  </si>
  <si>
    <t>Upgrading Productivity and Product Quality of Pastel Deli Products</t>
  </si>
  <si>
    <t>Erwin D. Legaspi</t>
  </si>
  <si>
    <t>No. 50 A&amp;B. E.D Legaspi Building Liliac st. Hacienda Heights Village  Concepcion II, Marikina City</t>
  </si>
  <si>
    <t>2013-20</t>
  </si>
  <si>
    <t>Production of Interactive Tehcnology Exhibits for NSTW 2013</t>
  </si>
  <si>
    <t>Philippine Council for Industry, Energy and Emerging Technology Research and Development ( PCIEERD)</t>
  </si>
  <si>
    <t>2013- 21</t>
  </si>
  <si>
    <t>Visayas Cluster S&amp;T Fair and Exhibits</t>
  </si>
  <si>
    <t>DOST region VI</t>
  </si>
  <si>
    <t>2103-22</t>
  </si>
  <si>
    <t xml:space="preserve">A Table Form Support for Concrete Forming </t>
  </si>
  <si>
    <t>Frederick V. Erum</t>
  </si>
  <si>
    <t>Forming Access and Support, Inc. (FASI)                                                         DMCI Complex, Levi Mariano Avenue C-5 Highway Brgy. Ususan, Taguig City</t>
  </si>
  <si>
    <t>2013- 23</t>
  </si>
  <si>
    <t>CY 2013 Purchase Order Financing For TAP's handame Product</t>
  </si>
  <si>
    <t>Teresita A. Policarpio</t>
  </si>
  <si>
    <t>TAP's handmade Products, Brgy. Guingauan, Tanauan Leyte</t>
  </si>
  <si>
    <t>2013-24</t>
  </si>
  <si>
    <t>Request for Additional Funds for CY 2013 Regional Invention Contests and Exhibits (RICE) in Region VI</t>
  </si>
  <si>
    <t>2013-25</t>
  </si>
  <si>
    <t>DTTC</t>
  </si>
  <si>
    <t>Regional Investor's Fora on the Infusion of DOST RDIs and SUCs Technologies for Community Development</t>
  </si>
  <si>
    <t>Technology Application and Promotion Institute (TAPI) in Collaboration with the Regional Offices</t>
  </si>
  <si>
    <t>2013-26</t>
  </si>
  <si>
    <t>MPEX Level-Up Program Implementation in Region CALABARZON</t>
  </si>
  <si>
    <t>Calzado Management Consultancy</t>
  </si>
  <si>
    <t>64 Gallego st., Vista Verde Executive Village, Cainta Rizal</t>
  </si>
  <si>
    <t>2013- 27</t>
  </si>
  <si>
    <t>SeminaR-Workshop on Entrepreneurship and Financial Management for Business Start-Up</t>
  </si>
  <si>
    <t>Technical Education and Skills Development Authority (TESDA)</t>
  </si>
  <si>
    <t>East Service Road , South Luzon Expressway, Fort Bonifacio, Taguig City</t>
  </si>
  <si>
    <t>2013-28</t>
  </si>
  <si>
    <t>Hybrid Sex Reversed Tilapia Production of St. Mary's Aqua Farm-Phase II</t>
  </si>
  <si>
    <t>Ms. Lilia O. Leynes                                                                                                                        Propietress</t>
  </si>
  <si>
    <t>St. Mary's Aqua farm, #5 Purok 3, brgy. Bangyas, Ilaya, Calaluan, Laguna</t>
  </si>
  <si>
    <t>2013-29</t>
  </si>
  <si>
    <t>Enforcement and Collection of Deliquent IGF Accounts</t>
  </si>
  <si>
    <t>Technology Application and Promotion Institute-Legal Unit</t>
  </si>
  <si>
    <t>2013-30</t>
  </si>
  <si>
    <t>Capacity Building on Technology and Intellectual Property (IP) Valuation and Management for DOST Personnel Involved in R&amp;D Activities</t>
  </si>
  <si>
    <t>2013-31</t>
  </si>
  <si>
    <t xml:space="preserve">"I-charj Cellular Charger" Digital Coin-Operated Mobile Phone Battery Charger </t>
  </si>
  <si>
    <t>Engr. Aquilino A. Tubigan</t>
  </si>
  <si>
    <t>Exellcomms Enterprise, 1671 Unit P, 4th Floor Sisa cor. Makiling st., Sampaloc Manila</t>
  </si>
  <si>
    <t>2013-32</t>
  </si>
  <si>
    <t>Motorized Automatic Mixing and Cooking Machine (Patent Pending)</t>
  </si>
  <si>
    <t>Florencio S. Marcelo</t>
  </si>
  <si>
    <t xml:space="preserve">48 Bonifacaio st.,Rosario , Rodriguez, Rizal </t>
  </si>
  <si>
    <t>2013-33</t>
  </si>
  <si>
    <t>CAMPI Level-Up Program Implementation in Region CALABARZON</t>
  </si>
  <si>
    <t>AJV management Consultancy</t>
  </si>
  <si>
    <t>Blk 16, Lot15 Camella Homes, San Pedro Laguna</t>
  </si>
  <si>
    <t>4th Engineering and Sciences Research Conference and 2013 Annual Research Awards (2013 ARAW) and Young Inventors and Innovators Exhibit</t>
  </si>
  <si>
    <t>Prof.Antonio Velasco,Head, R&amp;D Center  College of Engineering, PUP</t>
  </si>
  <si>
    <t>PUP NDC Campus, Sta. Mesa, Manila</t>
  </si>
  <si>
    <t>Printing of FPRDI Brochures for Promotional Activities</t>
  </si>
  <si>
    <t>Romulo T. Aggangan, Director, FPRDI</t>
  </si>
  <si>
    <t>DOST-FPRDI College, Laguna</t>
  </si>
  <si>
    <t>International Food Exhibition (IFEX) 2013</t>
  </si>
  <si>
    <t>Center for International Trade Expositions and Mission (CITEM)</t>
  </si>
  <si>
    <t>Golden Shell Pavilion, Roxas Boulevard cor. Sen. Gil J. Puyat Ave., Pasay City</t>
  </si>
  <si>
    <t>Regional  Forum and Caravan  on Food Safety</t>
  </si>
  <si>
    <t>DOST-Regional 2</t>
  </si>
  <si>
    <t>#2 Daian na Paccorofun cor. Malunung Street Carig Sur, Tuguegarao City, Cagayan</t>
  </si>
  <si>
    <t>Publication of the Revised Criteria and Documentary Requirements for the Accreditation of Inventors' Organization</t>
  </si>
  <si>
    <t>National Printing Office and Manila Times</t>
  </si>
  <si>
    <t>Publication of the 2013 RICE rules and criteria</t>
  </si>
  <si>
    <t xml:space="preserve">National Printing Office </t>
  </si>
  <si>
    <t>Edsa cor. NIA northside Road, Diliman, Quezon City</t>
  </si>
  <si>
    <t>Printing of FPRDI Commerciable Technologies Brochures</t>
  </si>
  <si>
    <t>Dr. Romulo Aggangan, Director, FPRDI</t>
  </si>
  <si>
    <t>FPRDI College, Laguna</t>
  </si>
  <si>
    <t>ISP for Secondary Schools in MIMAROPA</t>
  </si>
  <si>
    <t>Production of Multi-Purpose Indigenous Electronic LED Lampshade</t>
  </si>
  <si>
    <t>Cagayan State University, Lasam, Cagayan</t>
  </si>
  <si>
    <t>Lasam, Cagayan</t>
  </si>
  <si>
    <t>Techbootcamp for Luzon and NCR ITSO: Commercializing IP Rights</t>
  </si>
  <si>
    <t>Intellectual Property Office Philippines</t>
  </si>
  <si>
    <t>Intellectual Property Center, 28 Upper McKinley Road, McKinley Hill, Town Tower, Fort Bonifacio, Taguig City</t>
  </si>
  <si>
    <t>2013-011</t>
  </si>
  <si>
    <t>2013 RICE in NCR</t>
  </si>
  <si>
    <t>DOST Complex, Bicutan, Taguig</t>
  </si>
  <si>
    <t>2013 RICE in MIMAROPA</t>
  </si>
  <si>
    <t>NSTW 2013 Overall Exhibit Creation and Centre Special Exhibit Design Setting</t>
  </si>
  <si>
    <t>DOST and Product Development and Design Center of the Philippines (PDDCP)</t>
  </si>
  <si>
    <t>DOST Participation to the Kabisig Philippine Government Expo and Trade Fair 2013</t>
  </si>
  <si>
    <t>Mr. Daniel C. Guilen, Chairman, Kaibisig People's Movement, Kabisig Mindanao Foundation, Inc., Ang Bahay ng Alumni, UP Diliman, Quezon City</t>
  </si>
  <si>
    <t>D'FOST Sweet Potato Wine</t>
  </si>
  <si>
    <t>Visayas State University (VSU)</t>
  </si>
  <si>
    <t>Visca, Baybay, Leyte</t>
  </si>
  <si>
    <t>Printing of Lamp Pinoy Brochures and Product Labels</t>
  </si>
  <si>
    <t>Mr. Romeo D. Opada, GM, CAPCOM Enterprises</t>
  </si>
  <si>
    <t>CAPCOM Enterprises, National Highway, Gusa, Cagayan de Oro City</t>
  </si>
  <si>
    <t>Concept and Design for NSTW 2013</t>
  </si>
  <si>
    <t>Prof. Leonardo C. Roseta, Dean, College of Arts, UP</t>
  </si>
  <si>
    <t>College of Fine Arts, University of the Philippines, Diliman, Quezon City</t>
  </si>
  <si>
    <t>Production of Bangus in Vegetable Oil</t>
  </si>
  <si>
    <t>Bulacan State University (BSU)</t>
  </si>
  <si>
    <t>Brgy., Matungaon, Bulakan, Bulacan</t>
  </si>
  <si>
    <t xml:space="preserve">Writeshop on Specification Writing </t>
  </si>
  <si>
    <t>2013-21</t>
  </si>
  <si>
    <t>DOST's Participation to the "Handog sa Pamilyang Filipino Jobs, Livelihood, Invenstment and Business Opportunities Expo 2013</t>
  </si>
  <si>
    <t>Mr. George A. Arriola, President, Pamilyang OFW-SME Network Foundation Inc.</t>
  </si>
  <si>
    <t>232 Basilan Sreet, Barangay Malamig, Mandaluyong City.</t>
  </si>
  <si>
    <t>2013-22</t>
  </si>
  <si>
    <t>Promotion of DOST's Projects and Services in the 2013 NSTW</t>
  </si>
  <si>
    <t>DOST-Region 4A</t>
  </si>
  <si>
    <t>Jamboree Road, Timugan, Los Baños, Laguna</t>
  </si>
  <si>
    <t>2013-23</t>
  </si>
  <si>
    <t>ISP for Secondary Schools in Region I</t>
  </si>
  <si>
    <t>DMMSU, CET Campus, San Fernando, La Union</t>
  </si>
  <si>
    <t>2013-24-adref</t>
  </si>
  <si>
    <t>Corporate Social Responsibility (CSR) Expo 2013</t>
  </si>
  <si>
    <t>League of Corporate Foundation (LCF)</t>
  </si>
  <si>
    <t>2013-025</t>
  </si>
  <si>
    <t>Philippine SME Business Expo 2013</t>
  </si>
  <si>
    <t xml:space="preserve">MediaCom Solution, Inc. </t>
  </si>
  <si>
    <t>Suite 288, Cattleya, Condominium, Building 235, Salcedo Street, Legazpi Village, Makati City</t>
  </si>
  <si>
    <t>Quezon CIty Filipino Inventor's Expo and Trade Fair</t>
  </si>
  <si>
    <t>Quezon City's Sikap Buhay Entrepreneurship and Cooperative Office (SBECO)</t>
  </si>
  <si>
    <t>2013-27</t>
  </si>
  <si>
    <t>Creative Art Directing Service for the Exhibition Wall, Registration Counterm Collatterals and other Graphic Needs for the NSTW 2013</t>
  </si>
  <si>
    <t>ISP  for Secondary Schools in Region 8</t>
  </si>
  <si>
    <t>Government Center, Candahug, Palo, Leyte</t>
  </si>
  <si>
    <t>PCAARD's NSTW 2013 Participation</t>
  </si>
  <si>
    <t>Philippine Council for Agriculture, Aquatic, and Natural Resources Research and Development</t>
  </si>
  <si>
    <t>Production of PCHRD Technology Flyers for NSTW 2013</t>
  </si>
  <si>
    <t>DOST-PCHRD</t>
  </si>
  <si>
    <t>Production of TRC Brochures for NSTW 2013</t>
  </si>
  <si>
    <t>DOST-TRC</t>
  </si>
  <si>
    <t>Jacinto II Building, EDSA, Guadalupe Nuevo, Makati City</t>
  </si>
  <si>
    <t>Production of ITDITechnolgy Brochures for NSTW 2013</t>
  </si>
  <si>
    <t>Fabrication of Display Cabinet for Use in the 2013 NSTW</t>
  </si>
  <si>
    <t>2013-34</t>
  </si>
  <si>
    <t xml:space="preserve">Production of FPRDI Information Materials for the 2013 </t>
  </si>
  <si>
    <t>2013-35</t>
  </si>
  <si>
    <t>Production of FNRI Techno Flyers/Brochures for NSTW 2013</t>
  </si>
  <si>
    <t>Dr. Mario V. Capanzana, Director</t>
  </si>
  <si>
    <t>2013-36</t>
  </si>
  <si>
    <t>Printing of STARBOOKS campaign Materials for NSTW 2013</t>
  </si>
  <si>
    <t>Dr. Raymond Liboro</t>
  </si>
  <si>
    <t>2013-37</t>
  </si>
  <si>
    <t>2-day Trainor's Training for ISP in the Bicol Region</t>
  </si>
  <si>
    <t>DOST-5</t>
  </si>
  <si>
    <t>2013-38</t>
  </si>
  <si>
    <t>Production of ASTI Technology Brochures</t>
  </si>
  <si>
    <t>2013-39</t>
  </si>
  <si>
    <t>Request for additional funds for 2013 RICE in Region 7</t>
  </si>
  <si>
    <t>Lahug S&amp;T Complex, Sudlon, Lahug, Cebu City</t>
  </si>
  <si>
    <t>2013-40</t>
  </si>
  <si>
    <t>Printing of PTRI Flyers for the National Science and Technolgy Week 2013</t>
  </si>
  <si>
    <t>2013-42</t>
  </si>
  <si>
    <t>2013 NRCP NSTW Publication of Promotional Material</t>
  </si>
  <si>
    <t>2013-43</t>
  </si>
  <si>
    <t>Additional Funding Support for MIRDC Participation to the Celebration of 2013 NSTW</t>
  </si>
  <si>
    <t>DOST-MIRDC</t>
  </si>
  <si>
    <t>2013-44</t>
  </si>
  <si>
    <t>Publication/ Printing of Scientific Career System and SCS newly Conferred Scientists Brochures for CY 2013 NSTW</t>
  </si>
  <si>
    <t>DOST-NAST</t>
  </si>
  <si>
    <t>2013-45</t>
  </si>
  <si>
    <t>Validation of Technology for Indetified GIA Community-based Projects in Eastern Visayas</t>
  </si>
  <si>
    <t>2013-46</t>
  </si>
  <si>
    <t>Technology Transfer for Livelihood Development of Agrarian Reform Communities in Barangay Sarmiento</t>
  </si>
  <si>
    <t>Dr. Abdulgalib Halud</t>
  </si>
  <si>
    <t>2013-47</t>
  </si>
  <si>
    <t>Request for additional funds for 2013 RICE in Region 1</t>
  </si>
  <si>
    <t>DMMMSU-MLU Campus City, San Fernando, La Union</t>
  </si>
  <si>
    <t>2013-48</t>
  </si>
  <si>
    <t>Validation of Technology for Indetified GIA Community-based Projects in Eastern Visayas: Adoption of DOST-FNRI Tech on Veggie Instant Cup Noodles and Establishment of its Processing Center</t>
  </si>
  <si>
    <t>2013-49</t>
  </si>
  <si>
    <t>Community-Based Project for Process and Product Improvement of Coco Wine, Cabucgayan, Biliran</t>
  </si>
  <si>
    <t>2013-50</t>
  </si>
  <si>
    <t>ISP for Secondary Schools in Region 3</t>
  </si>
  <si>
    <t>Diosdado Macapagalm Government Center, Maimpis City, San Fernando, Pampanga</t>
  </si>
  <si>
    <t>2013-51</t>
  </si>
  <si>
    <t>Printing of MIRDC Technology Brochures for CNC Plasma Cutter and Micro Cupola Furnace for the 2013 Regional Cluster Fairs</t>
  </si>
  <si>
    <t>2013-52</t>
  </si>
  <si>
    <t>62nd Annual Convention Nutrition and Functional Food for Health and Wealthness</t>
  </si>
  <si>
    <t>Philippine Association for the Advancement of Science (PhilAAS)</t>
  </si>
  <si>
    <t>2013-53</t>
  </si>
  <si>
    <t>DOST XI's Participation to the 22nd Mindanao Business Conference</t>
  </si>
  <si>
    <t>DOST-Region XI</t>
  </si>
  <si>
    <t>Davao Medical Center Compound cor. Friendship &amp; Dumanias Road, Bajada, Davao City</t>
  </si>
  <si>
    <t>2013-54</t>
  </si>
  <si>
    <t>Request for additional funds for 2013 RICE in Region III</t>
  </si>
  <si>
    <t>DOST-Region III</t>
  </si>
  <si>
    <t>2013-55</t>
  </si>
  <si>
    <t>IC Green Oil Enhancer</t>
  </si>
  <si>
    <t>Dennis Alvarez</t>
  </si>
  <si>
    <t>IC Green Global Technology Inc., #150 Amorsolo St., Legaspi Village, Brgy. San Lorenzo, Makati</t>
  </si>
  <si>
    <t>2013-56</t>
  </si>
  <si>
    <t>Testing and Validation of "Portable Water Treatment Device"</t>
  </si>
  <si>
    <t>1D Alley 14, Road 3, Project 5, Quezon City</t>
  </si>
  <si>
    <t>2013-58</t>
  </si>
  <si>
    <t>Request for additional funds for 2013 RICE in Region II</t>
  </si>
  <si>
    <t>#2 Dalan na Paccorofun cor Matunong Street, Regional Government Center, Carig Sur, Tuguegarao City, Cagayan</t>
  </si>
  <si>
    <t>2013-59</t>
  </si>
  <si>
    <t xml:space="preserve">PO Financing for Mallari's Nursery Furniture </t>
  </si>
  <si>
    <t>Mrs. Catherine Mallari</t>
  </si>
  <si>
    <t>Mallari's Nursery Furniture, Olongapo-Gapan, Lubao, Pampanga</t>
  </si>
  <si>
    <t>2013-60</t>
  </si>
  <si>
    <t>PO Financing for Aiza's Sweet Phase II</t>
  </si>
  <si>
    <t>Mrs. Lucia P. Miranda, Owner/Manager</t>
  </si>
  <si>
    <t>#401 Sto. Tomas, Sasmuan, Pampanga</t>
  </si>
  <si>
    <t>2013-61</t>
  </si>
  <si>
    <t>Entrepreneur and Franchise Expo 2014</t>
  </si>
  <si>
    <t>Mr. David Abrenilla, President &amp; Chief Executive Officer</t>
  </si>
  <si>
    <t>Mediacom Solutions, Inc., Suite 288, Cattleya Building, 235 Salcedo Street, Legazpi VIlalge, Makati City</t>
  </si>
  <si>
    <t>2013-62</t>
  </si>
  <si>
    <t>Green Zymo</t>
  </si>
  <si>
    <t>Raul Norbe</t>
  </si>
  <si>
    <t>Lot 16, Blk. 6, Phase 2, Carissa Homes, Bagtas, Tanza, Cavite</t>
  </si>
  <si>
    <t>2013-63</t>
  </si>
  <si>
    <t>Request of Additional funds for CY 2013 RICE in Region IX</t>
  </si>
  <si>
    <t>Petit Barracks, Zamboanga City</t>
  </si>
  <si>
    <t>CAPE</t>
  </si>
  <si>
    <t>CAPE Implementation in Region II</t>
  </si>
  <si>
    <t>#2 Dalan na Paccurofon cor. Matunong Street, Regional Government Center, Carig Sur, Tuguegarao City</t>
  </si>
  <si>
    <t>CAPE Implementation in Region VII</t>
  </si>
  <si>
    <t>Government Center, Candahug Palo, Leyte</t>
  </si>
  <si>
    <t>MPEX</t>
  </si>
  <si>
    <t>MPEX Implementation in Region VIII</t>
  </si>
  <si>
    <t>Fabrication of Heavy Duty Plastic Granulator and Brick Making Machine</t>
  </si>
  <si>
    <t xml:space="preserve">Engr. Bernabe M. Archeta </t>
  </si>
  <si>
    <t>B7, L6, P1 Maranao st. Dominique subd., Deparo, Caloocan City</t>
  </si>
  <si>
    <t>2012- 06</t>
  </si>
  <si>
    <t>STP</t>
  </si>
  <si>
    <r>
      <rPr>
        <sz val="10"/>
        <color theme="1"/>
        <rFont val="Arial"/>
      </rPr>
      <t>10,500,000(ST)3,780,000(TAI)Total:14,280,000</t>
    </r>
  </si>
  <si>
    <t>DOST Support Science and Technology Promotion in Trade and Exhibitions</t>
  </si>
  <si>
    <t>DOST Compound, General Santos Avenue, Bicutan, Taguig City</t>
  </si>
  <si>
    <t>Conduct of the Thematic Innovation Contest "National Energy and Environment Contest"</t>
  </si>
  <si>
    <t>2012- 08</t>
  </si>
  <si>
    <t>Conduct of the Northern Luzon Science and Technology Cluster Fair</t>
  </si>
  <si>
    <t>DOST Northern Luzon Cluster ( DOST Regions I, II, &amp; CAR</t>
  </si>
  <si>
    <t>CY 2012 Purchase Order Financing for TAP's Handmade Products</t>
  </si>
  <si>
    <t>Ms. Teresita A. Policarpio</t>
  </si>
  <si>
    <t>Brgy. Guingauan, Tanauan Leyte</t>
  </si>
  <si>
    <t>Purchase Order Financing for Aiza's Sweets</t>
  </si>
  <si>
    <t>Lucia P. Miranda</t>
  </si>
  <si>
    <t>#401 Sto. Tomas, Sasmuan , Pampanga City</t>
  </si>
  <si>
    <t>MPEX Implementation in Region I</t>
  </si>
  <si>
    <t>MPEX Implementation in CALABARZON</t>
  </si>
  <si>
    <t xml:space="preserve">DOST Region IV -CALABARZON </t>
  </si>
  <si>
    <t>Brgy. Timugan, Los Banos,Laguna</t>
  </si>
  <si>
    <t>2012-17</t>
  </si>
  <si>
    <t>Promotion of DOST's Technical Assistance and Services and the Consortia in the Regions in the 2012 National Science and Technology Week</t>
  </si>
  <si>
    <t>DOST Compound, Bicutan, Taguig City</t>
  </si>
  <si>
    <t>2012-18</t>
  </si>
  <si>
    <t>Upgrading of the Display and Exhibit Center in Support for the Promotion Filipino Inventions, Innovations and Researches</t>
  </si>
  <si>
    <t>2012-21</t>
  </si>
  <si>
    <t xml:space="preserve">Financial Assistance for SET-UP Project Assisted entitled: Upgrading Capability of Vinhessa Food Processing and Marketing </t>
  </si>
  <si>
    <t>#32 Elm st., New Marikina, Subd., San Roque, Marikina City</t>
  </si>
  <si>
    <t>2012-23</t>
  </si>
  <si>
    <t>Validation of the Sugarcane Crusher Improved by MIRDC for the Muscovado Sugar in Support to the Community Based Project in Magalang, Pampanga</t>
  </si>
  <si>
    <t>Dost building, Government Center, Maimpis, San Fernando, Pampanga City</t>
  </si>
  <si>
    <t>2012-24</t>
  </si>
  <si>
    <t>Senior Policy Makers Forum on Policy Analysis , Policy Formulation and Development of Policy Instruments for Promoting Renewable Energy Transfer and Adoption</t>
  </si>
  <si>
    <t>---</t>
  </si>
  <si>
    <t>2012-25</t>
  </si>
  <si>
    <t>Carlos Basilio Victor O. Reyes</t>
  </si>
  <si>
    <t>21 Graceful st., cor. Menchie st., BF Almanza subd., Las Pinas City</t>
  </si>
  <si>
    <t>2012-26</t>
  </si>
  <si>
    <t xml:space="preserve">2012 Visayas Cluster Science and Technology Fair/Exhibits </t>
  </si>
  <si>
    <t>2012-27</t>
  </si>
  <si>
    <t>INVESTORS' FORUM</t>
  </si>
  <si>
    <t xml:space="preserve">Investors' Fora on the Infusion of Technovation in the Regions </t>
  </si>
  <si>
    <t>Technology Resource Center</t>
  </si>
  <si>
    <t xml:space="preserve">Jacinta II Building, EDSA Guadalupe Nuevo, Makati City </t>
  </si>
  <si>
    <t>2012-28</t>
  </si>
  <si>
    <t>2012 Southern Luzon Cluster Science and Technology Fair                                                                                                                                 22-24 November 2012                                                                                                                                                                                  SM City Tarlac</t>
  </si>
  <si>
    <t>DOST Southern Luzon Cluster (Region III, IV-A, IV B, V, NCR)</t>
  </si>
  <si>
    <t>2012-29</t>
  </si>
  <si>
    <t>2012 Mindanao Cluster Science and Technology Fair</t>
  </si>
  <si>
    <t>MINDA-DOST ( Regions IX, X, XI, XII, CARAGA )</t>
  </si>
  <si>
    <t xml:space="preserve">KCC Mall, Lagao , General Santos City </t>
  </si>
  <si>
    <t>2012-31</t>
  </si>
  <si>
    <t>PROTOTYPE</t>
  </si>
  <si>
    <t>Fabrication of Twining, Twisting, Machines for the MSMEs</t>
  </si>
  <si>
    <t>Philippine Textile Research Institute</t>
  </si>
  <si>
    <t>, PTRI Building, General Santos Avenue, Bicutan, Taguig City</t>
  </si>
  <si>
    <t>2012- 32</t>
  </si>
  <si>
    <t>A Coin Operated Purified Water Dispensing Unit (Automatic Tubig Machine) ATM</t>
  </si>
  <si>
    <t>Teodulo G. Bergado</t>
  </si>
  <si>
    <t>#2 Sampaloc st.,Zone 1, Signal Village Taguig City</t>
  </si>
  <si>
    <t>2012-33</t>
  </si>
  <si>
    <t xml:space="preserve"> *Production of Organic Vegetables  (HVC) Using Vermicompost and Citronella in Coconut and Cacao Livestock Integrated Farming Systems                                       *Processing of Cacao Into Tablea, Cococa Nibs Trats, Cococa Drinks and Organic Fertilizer Out of Cacaco Pods </t>
  </si>
  <si>
    <t>Lal-lo Cagayan</t>
  </si>
  <si>
    <t>2012-34</t>
  </si>
  <si>
    <t>8th Meeting of the Technical Committee of the Asian and Pacific Centre for Transfer of Technology  (APCTT) cum Capacity Building Workshop on Innovation System Diagnosis and Strategy Development Approach: Best Practices</t>
  </si>
  <si>
    <t>Technology Application and Promotion Institute in Collaboration with DOST APCTT-UNESCAP</t>
  </si>
  <si>
    <t>2012-35</t>
  </si>
  <si>
    <t>Fabrication of a Commercial Prototype of the Computerized Pnuematic Target System for Firing Ranges</t>
  </si>
  <si>
    <t>Col. Ronnie S. Evangelista, PA Debuty regiment Commander</t>
  </si>
  <si>
    <t>Philippine Army, Fort Magsaysay, Palayan Nueva Ecija</t>
  </si>
  <si>
    <t>2012-36</t>
  </si>
  <si>
    <t>CAPE-EBESE Agri Program                                                                                                                                                                                Tanauan City, Province of Batangas</t>
  </si>
  <si>
    <t xml:space="preserve">Employers Confederation of the Philippines (ECOP) </t>
  </si>
  <si>
    <t>3rd Floor , ECC Building 355 Sen. Gil Puyat Avenue Makati City</t>
  </si>
  <si>
    <t>2012-37</t>
  </si>
  <si>
    <t xml:space="preserve">MPEX-EBESE Program Implementation in Luzon </t>
  </si>
  <si>
    <t>2012-38</t>
  </si>
  <si>
    <t>Rodolfo B. Biescas Sr.</t>
  </si>
  <si>
    <t>Blk 1, Lot 2, St. Jude Street  Multinational Village, Paranaque City</t>
  </si>
  <si>
    <t>2012-40</t>
  </si>
  <si>
    <t>Institutional Support for Trade  and Exhibitions of DOST Technologies and Services (ISTE) Program</t>
  </si>
  <si>
    <t>Technology Application and Promotion Institute as the Implementing Agency and Science and Technology Information Institute as the Monitoring Agency</t>
  </si>
  <si>
    <t>2012-41</t>
  </si>
  <si>
    <t>209 Centrum 2A, Home Centrum Green Subd., Mapulang Lupa, Valenzuela City</t>
  </si>
  <si>
    <t>2012-42</t>
  </si>
  <si>
    <t>Integrated Enterprise Resource Planning (ERP) Business Solution Package Using Cloud-Based Computing Technologies in the Power Distribution Sector</t>
  </si>
  <si>
    <t>Cheryl Marie Natividad Caballero</t>
  </si>
  <si>
    <t>Unit 1, UP-Ayala Technopark C.P Garcia Avenue Diliman, Quezon City</t>
  </si>
  <si>
    <t>2012-43</t>
  </si>
  <si>
    <t>MOTHER LIB</t>
  </si>
  <si>
    <t>Regional Invention Contests and Exhibitis(RICE)</t>
  </si>
  <si>
    <t>2012-44</t>
  </si>
  <si>
    <t>Seminar-Workshop on Entrepreneurship and Financial Management For Business Start-Up                                                                                                           Aparri School of Arts and Trades, Maura, Aparri , Cagayan</t>
  </si>
  <si>
    <t xml:space="preserve">Technical Education and Skills Development Auhtority (TESDA) </t>
  </si>
  <si>
    <t>TESDA Complex, East Service Road, Taguig City</t>
  </si>
  <si>
    <t>2012-46</t>
  </si>
  <si>
    <t xml:space="preserve">PO Financing for Fiber Mache Products </t>
  </si>
  <si>
    <t>7329 Orchards Street , Marcelo Green Village, Paranaque City</t>
  </si>
  <si>
    <t>2012-47</t>
  </si>
  <si>
    <t>Production and Commercialization of SP (Sweet Potato)</t>
  </si>
  <si>
    <t>Visayas State University</t>
  </si>
  <si>
    <t>Baybay, Leyte</t>
  </si>
  <si>
    <t>2012-01- ad referenda</t>
  </si>
  <si>
    <t xml:space="preserve">Training on Bleaching and Dyeing of Indigenous Fibers for the Handicraft Manufacturers in Aurora </t>
  </si>
  <si>
    <t xml:space="preserve">DOST Region III Diosdado Macapagal Government Center </t>
  </si>
  <si>
    <t xml:space="preserve">Maimpis City of San Fernando Pampanga </t>
  </si>
  <si>
    <t>2012-02- ad referenda</t>
  </si>
  <si>
    <t xml:space="preserve">Forum on Sustainable, Safe and Organic Food Production, Processing and Marketing Technologies </t>
  </si>
  <si>
    <t>J. V. Serina Street Cagayan de Oro City</t>
  </si>
  <si>
    <t>2012-03- ad referenda</t>
  </si>
  <si>
    <t xml:space="preserve">Publication of the 2011  RICE Regional Winners cum National Qualifiers </t>
  </si>
  <si>
    <t xml:space="preserve">Philippine Daily Inquirer </t>
  </si>
  <si>
    <t>2012-04- ad referenda</t>
  </si>
  <si>
    <t>DOST's Participation to the Kabisig Government Expo and Trade Fair 2012</t>
  </si>
  <si>
    <t>KABISIG PEOPLE'S MOVEMENT kabisig Mindanao Foumdation, Inc.</t>
  </si>
  <si>
    <t xml:space="preserve"> Green Weadows, Sto, Niño, Davao City</t>
  </si>
  <si>
    <t>2012-05 ad referenda</t>
  </si>
  <si>
    <t>11th International Expo on Worldwide Food and Beverages, Technology and Machinary (WOFEX 2012)</t>
  </si>
  <si>
    <t xml:space="preserve">Premier Events Plus Group, Inc. </t>
  </si>
  <si>
    <t xml:space="preserve">38, C Esteban Abada St. Loyola Heights, Quezon City, Philippines </t>
  </si>
  <si>
    <t>2012-06- ad referenda</t>
  </si>
  <si>
    <t xml:space="preserve">Workshop on Basic Communication Research for DOST S&amp;T Promoters </t>
  </si>
  <si>
    <t xml:space="preserve">DOST Compoun Bicutan, Taguig City </t>
  </si>
  <si>
    <t>2012-07- ad referenda</t>
  </si>
  <si>
    <t xml:space="preserve">DOST's Participation to the 5th Philippine International Food and Beverages Expo (PIFBEX) </t>
  </si>
  <si>
    <t>Trade Advertising Exhibitions and Conventions International, Inc. (Tradecon.Inc)</t>
  </si>
  <si>
    <t xml:space="preserve">Unit 206, WEB-JET Acropolis 88 E. Rodriguezm Jr, Avenue Libis, Quezon City </t>
  </si>
  <si>
    <t>2012-08- ad referenda</t>
  </si>
  <si>
    <t>Reproduction of Print Materials and Video Course on "Putting Your Business On-Line"</t>
  </si>
  <si>
    <t xml:space="preserve">Mr. Dennis L. Cunanan Director General Technology Resource Center </t>
  </si>
  <si>
    <t xml:space="preserve">EDSA, Guadalupe Makati City </t>
  </si>
  <si>
    <t>2012-09 ad referenda</t>
  </si>
  <si>
    <t xml:space="preserve">DOST's Participation tot he PhilSME Expo 2012 ( Philippines Small and Medium Enterprise: Direct Selliing, Retailing, Networking Franchise Expo 2012)  </t>
  </si>
  <si>
    <t>Ms.Jackie V. Guzman Marketing Associate Trade Advertising Exhibitions and Conventions  International, Inc. (TRADECON.INC.)</t>
  </si>
  <si>
    <t xml:space="preserve">Unit 206, web-jet Acropolis 88 E. Rodriguezm Jr, Avenue Libis, Quezon City </t>
  </si>
  <si>
    <t>2012-10- ad referenda</t>
  </si>
  <si>
    <t>Printing of Brochures and Tarpaulins for "Super Turbo Atomizer" and               "Gas Safety Regulator with Adjustable Flow Control"</t>
  </si>
  <si>
    <t>Mr. Arquilio Y. Malano, Sr.                                                                              Inventor/Maker</t>
  </si>
  <si>
    <t xml:space="preserve">69 A.M Almeda Street Pateros, Metro Manila </t>
  </si>
  <si>
    <t>2012-11- ad referenda</t>
  </si>
  <si>
    <t xml:space="preserve"> Conduct of the Northern Luzon Science and Technology Cluster Fair</t>
  </si>
  <si>
    <t>2012-12- ad referenda</t>
  </si>
  <si>
    <t xml:space="preserve">Silver Touch: hand in Hand to Growth and Development through Science and Technology Human Resources Development </t>
  </si>
  <si>
    <t>Science Education Intitute (SEI)</t>
  </si>
  <si>
    <t>DOST Compound Bicutan,Taguig City</t>
  </si>
  <si>
    <t>2012-13- ad referenda</t>
  </si>
  <si>
    <t xml:space="preserve">ITDI Exhibit Module for 2012 DOST National Science and Technology Fair </t>
  </si>
  <si>
    <t>2012-14- ad referenda</t>
  </si>
  <si>
    <t xml:space="preserve">Product of FPRDI Exhibit and Information Materials for the 2012 National Science and Technology Week Celebration </t>
  </si>
  <si>
    <t xml:space="preserve">Forest Products Research and Development Insitute (FPRDI) </t>
  </si>
  <si>
    <t>College, Laguna</t>
  </si>
  <si>
    <t>2012-15- ad referenda</t>
  </si>
  <si>
    <t xml:space="preserve">Exhibit Module for 2012 DOST National Science and Technology Fair </t>
  </si>
  <si>
    <t xml:space="preserve">Jacinta II Building, Guadalupe Nuevo EDSA, Makati City </t>
  </si>
  <si>
    <t>2012-16- ad referenda</t>
  </si>
  <si>
    <t xml:space="preserve">Investment Forum On Introduction of DOST Mature Technologies </t>
  </si>
  <si>
    <t>DOST Region III DOST Building Government Center</t>
  </si>
  <si>
    <t xml:space="preserve">Maimpis, San Fernando Pampanga </t>
  </si>
  <si>
    <t>2012-17- ad referenda</t>
  </si>
  <si>
    <t>Printing of Flyers, Leaflets and Tarpaulin for the invention entitled " Challenge 21"</t>
  </si>
  <si>
    <t xml:space="preserve">Mr. Leonardo Mejia Yu Inventor Global Pulse Challenges, Inc. </t>
  </si>
  <si>
    <t>2657 Jacobo Street Malate, Manila</t>
  </si>
  <si>
    <t>2012-18- ad referenda</t>
  </si>
  <si>
    <t xml:space="preserve">PCAARRD's NSTW 2012 Participation </t>
  </si>
  <si>
    <t>Philippines Council for Agriculture, Aquatic and Natural Resources Research and Development (PCAARRD)</t>
  </si>
  <si>
    <t>2012-19- ad referenda</t>
  </si>
  <si>
    <t xml:space="preserve">Printing of Brochures and Tarpaulins for: Handy Welding Machine Multi-Purpose Fruit Peeler Device </t>
  </si>
  <si>
    <t xml:space="preserve">1. Arquilio Y. Melano                                                                           2. Roquina B. Melano </t>
  </si>
  <si>
    <t xml:space="preserve">Blk-21 Rd42 West Floodway Planters, San Andres Cainta, Rizal </t>
  </si>
  <si>
    <t>2012-20- ad referenda</t>
  </si>
  <si>
    <t xml:space="preserve">PHIVOLCS NSTW Exhibits 2012 </t>
  </si>
  <si>
    <t xml:space="preserve">Philippine Institute of Volcanology and Seismology </t>
  </si>
  <si>
    <t xml:space="preserve">PHIVOLCS Building C.P Garcia Avenue  UP Diliman Quezon City </t>
  </si>
  <si>
    <t>2012-21- ad referenda</t>
  </si>
  <si>
    <t>ICTO In National Science and Technology Week 12</t>
  </si>
  <si>
    <t xml:space="preserve">Information and Communication Technology Office (ICTO) </t>
  </si>
  <si>
    <t xml:space="preserve">NCC Building Carlos P. Garcia Avenue  Diliman. Quezon City </t>
  </si>
  <si>
    <t>2012-22- ad referenda</t>
  </si>
  <si>
    <t xml:space="preserve">PTRI Exhibit for the 2012 National Science and Technology Week </t>
  </si>
  <si>
    <t>Philippine Textile Research Institute (PTRI)</t>
  </si>
  <si>
    <t xml:space="preserve">General Santos Avenue  Bicutan, Taguig City </t>
  </si>
  <si>
    <t>2012-23- ad referenda</t>
  </si>
  <si>
    <t>Science and technology Information Institute (STII)</t>
  </si>
  <si>
    <t>2012-24- ad referenda</t>
  </si>
  <si>
    <t xml:space="preserve">NAST Exhibit for National Science and Technology Week 2012 </t>
  </si>
  <si>
    <t xml:space="preserve">National Academy of Science and Technology (NAST) </t>
  </si>
  <si>
    <t>2012-25- ad referenda</t>
  </si>
  <si>
    <t xml:space="preserve">Implementation of ASTI Exhibit for the CY 2012 National Science and Technology Week </t>
  </si>
  <si>
    <t xml:space="preserve">Advance Science and Technology Institute (ASTI) </t>
  </si>
  <si>
    <t xml:space="preserve">ASTI Building C.P. Garcia Avenue  UP Technology Park UP Campus, Diliman </t>
  </si>
  <si>
    <t>2012-26- ad referenda</t>
  </si>
  <si>
    <t xml:space="preserve">MIRDC's Participation to the Celebration of the CY 2012 natinal Science &amp; Technology Week  </t>
  </si>
  <si>
    <t xml:space="preserve">Metals Industry Research &amp; Development Center                                MIRDC Compound </t>
  </si>
  <si>
    <t>2012-27- ad referenda</t>
  </si>
  <si>
    <t xml:space="preserve">PCIEERD''s Participation as Exhibitor in the CY 2012 National Science and Technology Week </t>
  </si>
  <si>
    <t xml:space="preserve">Philippine Council for Industry Energy and Emerging  Technology Research and Development (PCIEERD) </t>
  </si>
  <si>
    <t xml:space="preserve">4th &amp; 5th Levels Science Heritage  Building Science Community Complex General Santos Avenue Bicutan,Taguig City </t>
  </si>
  <si>
    <t>2012-28- ad referenda</t>
  </si>
  <si>
    <t xml:space="preserve">NRCP's  Participation to the 2012 National Science and Technology Week </t>
  </si>
  <si>
    <t xml:space="preserve">National Research Council of the Philippines </t>
  </si>
  <si>
    <t>2012-29- ad referenda</t>
  </si>
  <si>
    <t xml:space="preserve">"JPI" Innovated Firewood  Fuel </t>
  </si>
  <si>
    <t xml:space="preserve">Mr. Jaime P. Imbat </t>
  </si>
  <si>
    <t xml:space="preserve">#65 Cablong  Pozorrubio, Pangasinan </t>
  </si>
  <si>
    <t>2012-30- ad referenda</t>
  </si>
  <si>
    <t xml:space="preserve">PCHRD's Participation In the 2012 National Science and Technology Week </t>
  </si>
  <si>
    <t>Philippine Council for Health Research and Development  (PCHRD)</t>
  </si>
  <si>
    <t>Room 306, DOST Bldg. Science Community Complex Gen. Santos Avenue  Taguig City.</t>
  </si>
  <si>
    <t>2012-31- ad referenda</t>
  </si>
  <si>
    <t>DOST Participation to the Kabisig National Government Expo and Trade Fair 2012</t>
  </si>
  <si>
    <t xml:space="preserve">Kabisig People's Movement Green Meadows </t>
  </si>
  <si>
    <t xml:space="preserve">Sto. Nino, Tugbok District  Davao City </t>
  </si>
  <si>
    <t>2012-32- ad referenda</t>
  </si>
  <si>
    <t>Invent School Program (ISP) for Secondary Schools in MIMAROPA</t>
  </si>
  <si>
    <t>DOST Regional Office MIMAROPA</t>
  </si>
  <si>
    <t>DOST Complex, Bicutan Taguig City</t>
  </si>
  <si>
    <t>2012-33- ad referenda</t>
  </si>
  <si>
    <t xml:space="preserve">Production of Display Panels/ Posters for PNRI Participation to the 2012 National Science and Technology Week </t>
  </si>
  <si>
    <t>Philippine Nuclear Research  Institute (PNRI)</t>
  </si>
  <si>
    <t xml:space="preserve">Commonwealth Avenue Diliman, Quezon City </t>
  </si>
  <si>
    <t>2012-34- ad referenda</t>
  </si>
  <si>
    <t xml:space="preserve">Squash Sherbet Production Mango,                                                                         Guyabano &amp; Jackfruit Paste Production </t>
  </si>
  <si>
    <t xml:space="preserve">Cor. Jesu College </t>
  </si>
  <si>
    <t xml:space="preserve">Digos City, Davao del Sur </t>
  </si>
  <si>
    <t>2012-35- ad referenda</t>
  </si>
  <si>
    <t xml:space="preserve">Publication of the 2012 National Invention Contest Rules and Criteria </t>
  </si>
  <si>
    <t xml:space="preserve">EDSA cor. NPO Road Diliman, Queazon City </t>
  </si>
  <si>
    <t>2012-36- ad referenda</t>
  </si>
  <si>
    <t>Printing of DOST -PEZA Open TBI Flyers</t>
  </si>
  <si>
    <t xml:space="preserve">Ms. Ma Lourdes Maestro Incubator Manager OPEN TBI </t>
  </si>
  <si>
    <t xml:space="preserve">Opne TBI Building ASTI Compound U.P. Technology Park Complex C.P. Garcia Avenue, Diliman Quezon City </t>
  </si>
  <si>
    <t>2012-37- ad referenda</t>
  </si>
  <si>
    <t xml:space="preserve">Philippine Science High School System (PSHSS) Exhibit in the National Science and Technology Week 2012 </t>
  </si>
  <si>
    <t xml:space="preserve">Philippine Science High School System (PSHSS) </t>
  </si>
  <si>
    <t xml:space="preserve">Agham Road. Diliman Quezon City </t>
  </si>
  <si>
    <t>2012-38- ad referenda</t>
  </si>
  <si>
    <t>Broiler Production                                                                                                         *Administrative Cost</t>
  </si>
  <si>
    <t xml:space="preserve"> Laguna State Polytechnic Univeristy - Los Baños</t>
  </si>
  <si>
    <t>2012-39- ad referenda</t>
  </si>
  <si>
    <t xml:space="preserve">Fabrication and Production of FNRI and Information Materials for the 2012 National Science and Technology Week (NSTW) </t>
  </si>
  <si>
    <t xml:space="preserve">Food and Nutrition and Research Intitute (FNRI) </t>
  </si>
  <si>
    <t>2012-40- ad referenda</t>
  </si>
  <si>
    <t xml:space="preserve">2012 PAGASA-DOST NSTW Exhibit </t>
  </si>
  <si>
    <t xml:space="preserve">Philippine Atmospheric Geophysical &amp; Astronomical Services Administration  (PAGASA) </t>
  </si>
  <si>
    <t xml:space="preserve">PAGASA Science Garden Aghan Road, Quezon City </t>
  </si>
  <si>
    <t>2012-41- ad referenda</t>
  </si>
  <si>
    <t xml:space="preserve">Seminar on Patent/UM Registration Documentation and Patent Search using Patentscope </t>
  </si>
  <si>
    <t xml:space="preserve">Technology Application and Promotion Institute (TAPI) and The Project " Capacity Building and IP Protection for Technologies Generated by DOST RDIs and Network Institution' </t>
  </si>
  <si>
    <t>2012-42- ad referenda</t>
  </si>
  <si>
    <t>Supply of Labor and Materials for the Scale Model of the Automated Guideway Transit System (AGTS) and Water Hyacinth Harvester for the  NSTW 2012</t>
  </si>
  <si>
    <t xml:space="preserve">Department of Science and Technology (DOST) </t>
  </si>
  <si>
    <t xml:space="preserve">DOST Building General Santos Avenue Bicutan, Taguig City </t>
  </si>
  <si>
    <t>2012-43- ad referenda</t>
  </si>
  <si>
    <t>GREEN PHILIPPINE 2012                                                                                          SMX Convention Center Pasay City</t>
  </si>
  <si>
    <t xml:space="preserve">Global Link MP Events International, Inc. </t>
  </si>
  <si>
    <t>Unit 1003, Antel 2000 Corporate Center 121 Valero Street Salcedo Village, Makati City</t>
  </si>
  <si>
    <t>2012-44- ad referenda</t>
  </si>
  <si>
    <t xml:space="preserve">Smoked Fish Production Processing of Eucheuma sp.., Gelidiella sp. Gracillaria into Seaweed Noodles Production                                                                                                    Bitter Gourd Production Vermicomposting </t>
  </si>
  <si>
    <t xml:space="preserve">Marinduque State College </t>
  </si>
  <si>
    <t>2012-45- ad referenda</t>
  </si>
  <si>
    <t>2012-46- ad referenda</t>
  </si>
  <si>
    <t>Syensaya 2012-Talakayan Tungkol sa Kalusugan, Kamalayan at Kapaligiran (Mas Masaya sa Syensaya)</t>
  </si>
  <si>
    <t xml:space="preserve"> DOST IV-CALABARZON </t>
  </si>
  <si>
    <t xml:space="preserve">Jamboree Road, Timugan Los Banos, Laguna </t>
  </si>
  <si>
    <t>2012-47- ad referenda</t>
  </si>
  <si>
    <t xml:space="preserve">Printing of Version 791 Inc.'s Brochures </t>
  </si>
  <si>
    <t>Engr. Joper S. Bacani Head, Marketing Department Version 791, Incorporated</t>
  </si>
  <si>
    <t xml:space="preserve">DOST-PEZA Open TBI Bldg ASTI Compound U.P. Technology Park Diliman, Quezon City </t>
  </si>
  <si>
    <t>2012-48- ad referenda</t>
  </si>
  <si>
    <t xml:space="preserve">Launching of the APCTT's Renewable Energy Cooperation-Network for the Asia Pacific (RECAP)" </t>
  </si>
  <si>
    <t xml:space="preserve">Asian and Pacific Center forTransfer of Technology in cooperation with the Technology Application and Promotion Institute </t>
  </si>
  <si>
    <t>2012-49- ad referenda</t>
  </si>
  <si>
    <t xml:space="preserve">"TxtAlert" and "TextAlert HOME" </t>
  </si>
  <si>
    <t>Ms. Sharon A. Maraguinot Sales Director SPARKSCOM</t>
  </si>
  <si>
    <t xml:space="preserve">Unit 15 OTBI, Building DOST PEZA  ASTI Compound C.P. Garcia Avenue Diliman Quezon City  </t>
  </si>
  <si>
    <t>2012-50- ad referenda</t>
  </si>
  <si>
    <t xml:space="preserve">Financial Assistance for Project: "Improving the Productivity and Product Quality of Green Leaf Eco Bags" </t>
  </si>
  <si>
    <t>Ms. Zarah Jane D Juan                                                                        Owner                                                                                                  Green Leaf Eco Bag</t>
  </si>
  <si>
    <t xml:space="preserve">156 MFG Champaca Bldg. Amorsolo St. San Lorenzo, Makati CIty </t>
  </si>
  <si>
    <t>2012-51- ad referenda</t>
  </si>
  <si>
    <t>2012-52- ad referenda</t>
  </si>
  <si>
    <t xml:space="preserve">Business Matching Activity for  DOST-PEZA Open Technology Business Incubator (OPEN TBI) Incubatees </t>
  </si>
  <si>
    <t xml:space="preserve">Technology Research Center </t>
  </si>
  <si>
    <t>2012-53- ad referenda</t>
  </si>
  <si>
    <t>61st PhilAAS Annual Convention -" Smart Technologies for Global Competitiveness"</t>
  </si>
  <si>
    <t xml:space="preserve">Philippine Association for the Advancement of Science </t>
  </si>
  <si>
    <t xml:space="preserve">c/o  Science Education Institute Science Heritage Building DOST Complex Bicutan,Taguig City </t>
  </si>
  <si>
    <t>2012-54- ad referenda</t>
  </si>
  <si>
    <t>"FPRDI"-Stakeholders Consultative Meeting"</t>
  </si>
  <si>
    <t xml:space="preserve">Forest Products Reasearch and Development Institute </t>
  </si>
  <si>
    <t xml:space="preserve">                            College, Laguna </t>
  </si>
  <si>
    <t>2012-55- ad referenda</t>
  </si>
  <si>
    <t xml:space="preserve">Quezon City Filipino Inventors Expo and Fair </t>
  </si>
  <si>
    <t xml:space="preserve">Sikap Buhay Entrepreneurship  &amp; Cooperative Office -Bagbag Multi Purpose Cooperative </t>
  </si>
  <si>
    <t xml:space="preserve">Office of the Mayor Quezon City Hall                                         Quezon City </t>
  </si>
  <si>
    <t>2012-56- ad referenda</t>
  </si>
  <si>
    <t xml:space="preserve">Seminar-Workshop on the Valuation of Intellectual Property and Techniques on Licensing Technology Tranfer Arrangements </t>
  </si>
  <si>
    <t>Technology Application and Promotion Institute (TAPI) in cooperation with WIPO</t>
  </si>
  <si>
    <t>2012-57- ad referenda</t>
  </si>
  <si>
    <t xml:space="preserve">Printing of Flyers for BizAlliance Corporation's Product &amp; Services Innovations </t>
  </si>
  <si>
    <t xml:space="preserve">Engr. Josue B. Cabando                                                                           Business Development Manager </t>
  </si>
  <si>
    <t xml:space="preserve">DOST-PEZA Unit 15 Open TBI Building ASTI Compound UP Technology Park, Diliman Quezon City </t>
  </si>
  <si>
    <t>2012-58- ad referenda</t>
  </si>
  <si>
    <t xml:space="preserve">THE INNOVATION FORUM: Developing Researchers into Entrepreneurs </t>
  </si>
  <si>
    <t xml:space="preserve">Mindanao State University Iligan Institute of Technology </t>
  </si>
  <si>
    <t xml:space="preserve">A. Bonifacio Avenue Iligan City </t>
  </si>
  <si>
    <t>2012-59- ad referenda</t>
  </si>
  <si>
    <t xml:space="preserve">Provincial S&amp;T Center Compostela Valley Province DOST XI Provincial Government of Compostela Valley </t>
  </si>
  <si>
    <t>2012-60- ad referenda</t>
  </si>
  <si>
    <t>2012-61- ad referenda</t>
  </si>
  <si>
    <t>2012-62- ad referenda</t>
  </si>
  <si>
    <t xml:space="preserve">Preparation of Patent/UM Registration by the DOST and ITSO Patent Agents for Capability Development </t>
  </si>
  <si>
    <t>2012-63- ad referenda</t>
  </si>
  <si>
    <t>Refurbishment of DOST Regions Centerpriece</t>
  </si>
  <si>
    <t>REMARKS</t>
  </si>
  <si>
    <t>SUMMARY</t>
  </si>
  <si>
    <t xml:space="preserve">MR. JEMAR JUDE A. MARANGA
President and CEO
CODECHUM SOFTWARE SOLUTIONS INC.
+639959469610, jude@codechum.com, 753 Katipunan St., Tisa, Cebu City, Cebu, Philippines 6000
</t>
  </si>
  <si>
    <t xml:space="preserve">P4,500,000.00
(IGF)
</t>
  </si>
  <si>
    <t>DUON TECHNOLOGIES INCORPORATED</t>
  </si>
  <si>
    <t>SEC</t>
  </si>
  <si>
    <t>ALEXA’S ENGINEERING SERVICES</t>
  </si>
  <si>
    <t>DTI</t>
  </si>
  <si>
    <t>Rezbin Waste Technology Inc.</t>
  </si>
  <si>
    <t>TECHNICOM 2.0</t>
  </si>
  <si>
    <t>BioTerra Corp. (Halia)</t>
  </si>
  <si>
    <t>Moo-ving Forward with Philippine Mastitis Test</t>
  </si>
  <si>
    <t>Tarlac Agricultural University</t>
  </si>
  <si>
    <t>SUC</t>
  </si>
  <si>
    <t>Eco-Uling by Project Lily Inc.</t>
  </si>
  <si>
    <t>BAMBOO IMPACT LAB OPC</t>
  </si>
  <si>
    <t xml:space="preserve"> Prototype Enhancement and Testing of Village-level Sago Pith Extracting Machine</t>
  </si>
  <si>
    <t xml:space="preserve">Field Testing and Market Validation of Cost-Efficient Solar-Power Navigating Paddle Wheel Aerotor System for Grow Out Farming </t>
  </si>
  <si>
    <t xml:space="preserve">Genevieve P. Navales/Female
Project Leader, ScrapCycle PH
09952033203
</t>
  </si>
  <si>
    <t xml:space="preserve">Enhancing Manufacturing and Production Capacity through Raw Material Purchasing </t>
  </si>
  <si>
    <t>2023-04</t>
  </si>
  <si>
    <t xml:space="preserve">Ms. Melinda C. Medallo
Vice President/Marketing Head
Danilyn’s Enterprises, Inc.
</t>
  </si>
  <si>
    <t xml:space="preserve">Mr. Teotimo L. Reyes, Jr. President
Qualimeal Feedmills, Inc.
Banaybanay, San Vicente, Lipa City, Batangas
</t>
  </si>
  <si>
    <t>2023-51</t>
  </si>
  <si>
    <t>Purchase Order Financing Assistance for the Delivery of Packaging Materials of Beverage Products</t>
  </si>
  <si>
    <t>Mr. Jose Morante</t>
  </si>
  <si>
    <t xml:space="preserve">Mr. Reynaldo P. Sabit
Proprietor
</t>
  </si>
  <si>
    <t>Renzo Navarro Ducusin 
Project Leader
IOL, Inc.</t>
  </si>
  <si>
    <t xml:space="preserve">John Vincent Q. Gastanes
Project Zacchaeus Marketing Cooperative
</t>
  </si>
  <si>
    <t>RDI</t>
  </si>
  <si>
    <t>HEI</t>
  </si>
  <si>
    <t>Withdrawn applictation</t>
  </si>
  <si>
    <t>INVENTOR</t>
  </si>
  <si>
    <t>Under LANDBANK Evaluation</t>
  </si>
  <si>
    <t>GA</t>
  </si>
  <si>
    <t>Government Agency</t>
  </si>
  <si>
    <t>Mr. Varian Sherwin Chu</t>
  </si>
  <si>
    <t xml:space="preserve">Loreto B. Tolentino                                                                                                                      President                                                                                                                                        Cellokey Incorporated ( CI)                                                                                                   </t>
  </si>
  <si>
    <t>2019-69 ad ref</t>
  </si>
  <si>
    <t>2019-73 ad ref</t>
  </si>
  <si>
    <t>2019-74 ad ref</t>
  </si>
  <si>
    <t>2019-75 ad ref</t>
  </si>
  <si>
    <t>Pre-commercialization of Microwave Processed Pectin from Waste Calamansi Peels</t>
  </si>
  <si>
    <t>Dr. Concepcion P. Ponce</t>
  </si>
  <si>
    <t>Automated System to Monitor and Control the Ph and Electrical Conductivity of a Closed-Hydroponics Lettuce</t>
  </si>
  <si>
    <t>Prime Composite Prosthesis</t>
  </si>
  <si>
    <t>Dr. Eduardo R. Magdaluyo, Jr.</t>
  </si>
  <si>
    <t>Mr. Sergius Angelo Santos</t>
  </si>
  <si>
    <t>Fully repaid</t>
  </si>
  <si>
    <t>Piloting of the FPRDI Wine Barrel Technology</t>
  </si>
  <si>
    <t>Dr. Erlinda L. Mari
Change to Engr. Caesar Cuaresma</t>
  </si>
  <si>
    <t>Design and Development of an Improved  Manually Operated Carrot Seeder</t>
  </si>
  <si>
    <t>Engr. Marvin T. Valentin</t>
  </si>
  <si>
    <t>Design Review, Design Finalization, and Product Assessment of a Locally Fabricated Optical Aerosol Monitor</t>
  </si>
  <si>
    <t>Dr. Len Herald V. Lim</t>
  </si>
  <si>
    <t>Field and Market Testing of ILAWA: Renewable Power Generation from Traversible Waters using Recycled Anodic Material for Small Fishing/ Touring Vessels</t>
  </si>
  <si>
    <t>Dr. Drandreb Earl O. Juanico</t>
  </si>
  <si>
    <t>Production Process Optimization and Market Validation of Oyster Powder from Philippine Oyster (Crassostrea irredalel)</t>
  </si>
  <si>
    <t>Ms. Ernestina Peralta</t>
  </si>
  <si>
    <t>Design Optimization, Field Testing and Market Validation of A Dielectric Spectroscope for Evaluating Cacao Pod Maturity</t>
  </si>
  <si>
    <t>Engr. Ryann Alimuin</t>
  </si>
  <si>
    <t>Prototype Development of Natural Fiber-Thermoplastic Composites from Agricultural and Industrial Wastes for Industrial Applications</t>
  </si>
  <si>
    <t>Dr. Marissa Paglicawan</t>
  </si>
  <si>
    <t>Mr. Francis James Corpuz</t>
  </si>
  <si>
    <t>Mr. Ruel T. Amparo</t>
  </si>
  <si>
    <t>Commercial Production and Evaluation of fungal Entomopathogen Isaria fumosorosea as Bioinsecticide</t>
  </si>
  <si>
    <t>Dr. Ferdinand Arcala</t>
  </si>
  <si>
    <t>Product Improvement, Validation of Hypoglycemic Effect, Pilot Testing and Assessment of Business Potentials of the Developed Guava-based Probiotic Beverage Drink</t>
  </si>
  <si>
    <t>Ms. Jennifer Saguibo</t>
  </si>
  <si>
    <t>Mr. Stephen Larcia</t>
  </si>
  <si>
    <t>Piloting and Promotion of Village-Type Cacao By-products Processing Enterprise in Major Cacao Producing Areas (Cacao Village)</t>
  </si>
  <si>
    <t>Mr. Andres M. Tuates</t>
  </si>
  <si>
    <t>Prototype Development and Field Testing of Mosquito-Repellent Textile Product</t>
  </si>
  <si>
    <t>Ms. Evangeline Flor P. Manalang</t>
  </si>
  <si>
    <t>Portable Potable Water equipment for Disasters and Emergencies (PWEDE)</t>
  </si>
  <si>
    <t>Dr. Cherry Ringor</t>
  </si>
  <si>
    <t>Fabrication and Performance Evaluation of Abaca Fiber-Reinforced Composite for Boat Application</t>
  </si>
  <si>
    <t>Prototype Development of Low-Cost Semi-Automated Foam Shredder Equipment</t>
  </si>
  <si>
    <t>Ms. Melani B. Cabrera</t>
  </si>
  <si>
    <t>Optimization and Field Testing of a Proto-type Mechanical Cacao Sheller</t>
  </si>
  <si>
    <t>Dr. Jeffrey A. Lavarias</t>
  </si>
  <si>
    <t>Design Optimization of a Mechanical Carrot Washer cum Sorter Prior to Commercialization</t>
  </si>
  <si>
    <t>Engr. Melba D. Denson
Engr. Marlon N. Galad</t>
  </si>
  <si>
    <t>Optimization of the Design and Utilization of a Single-bed Potato Digger Prior to Commercialization</t>
  </si>
  <si>
    <t>Dr. Hellen F. Gavino
(Retired)
Engr. Galad</t>
  </si>
  <si>
    <t>Engr. Jose Rizaldy G. Harder</t>
  </si>
  <si>
    <t>The eHATID LGU: Transitioning through the Technology Transfer Process</t>
  </si>
  <si>
    <t>Dr. Dennis B. Batangan</t>
  </si>
  <si>
    <t>Universal Sensing Meter for Instruction and Laboratory Experiments (U-SMiLE)</t>
  </si>
  <si>
    <t>Dr. Joel T. De Castro</t>
  </si>
  <si>
    <t xml:space="preserve">Candy R. Lanzuela                                                                                        Managing Director                                                                                        Global Marketing and Construction Corporation                                 </t>
  </si>
  <si>
    <t xml:space="preserve">Automated Manufacturing of Melecular Diagnostic Kits </t>
  </si>
  <si>
    <t>Mr. Rodolfo Alfonso (Ryan) Sabio</t>
  </si>
  <si>
    <t xml:space="preserve">Development, Pilot Testing and Market Validation of an Industrial Grade Prototype of Smart Surface </t>
  </si>
  <si>
    <t>Dr. Nestor Michael C. Tiglao</t>
  </si>
  <si>
    <t>Pilot Testing of Fertility Tracking Tool in Selected Barangays in Iligan City</t>
  </si>
  <si>
    <t>Ms. Roselyn M. Butalid</t>
  </si>
  <si>
    <t>Field and Market Testing of a Cost-effective Camera Rig System for Monitoring of Fish Reef Biomass</t>
  </si>
  <si>
    <t>Dr. Prospero C. Naval</t>
  </si>
  <si>
    <t>Technology Piloting of the FPRDI Bamboo Flattening Equipment</t>
  </si>
  <si>
    <t>Ms. Carolyn Garcia</t>
  </si>
  <si>
    <t>Pilot Scale Testing and Technology Validation of Nanozeolite Processes</t>
  </si>
  <si>
    <t>Dr. Blessie Basilia/ Ms. Josie Celorico</t>
  </si>
  <si>
    <t>APPROVAL (GAA)</t>
  </si>
  <si>
    <t>TAPI Anniversary</t>
  </si>
  <si>
    <t>DOST-TAPI Stakeholder</t>
  </si>
  <si>
    <t>PGS Stage 2 Implementation</t>
  </si>
  <si>
    <t>Ms. Beatriz A. Paculan, President, and Mr. Nam Chang Ho, Chairman, both from KCH R&amp;D Corp</t>
  </si>
  <si>
    <t>STEM Appreciation Seminar Coinciding the Celebration of the 2025 International Day of Women and Girls in Science</t>
  </si>
  <si>
    <t>2025-05b</t>
  </si>
  <si>
    <t>APPROVED</t>
  </si>
  <si>
    <t>50TH Geneva International Exhibition of Inventions (IGF)</t>
  </si>
  <si>
    <t>Identified 2024 NICE Winner</t>
  </si>
  <si>
    <t>Commercialization of Power Up Combustor</t>
  </si>
  <si>
    <t>Mr. George De Guzman</t>
  </si>
  <si>
    <t>ENGR. REYNALDO RADEN ALDEPULLA
Proprietor</t>
  </si>
  <si>
    <t>2025-14</t>
  </si>
  <si>
    <t>Redsea Seafood Delights, Inc</t>
  </si>
  <si>
    <t>2025-15</t>
  </si>
  <si>
    <t>Gemstone Processing and Commercialization</t>
  </si>
  <si>
    <t>Everest Multi-Purpose Cooperative (EMPC)</t>
  </si>
  <si>
    <t>2025-16</t>
  </si>
  <si>
    <t>IBED I</t>
  </si>
  <si>
    <t>Commercialization of Mosquito Trap (UM No. 2-2012-000411)</t>
  </si>
  <si>
    <t>Filipino Inventors Research System Technology (FIRST), INC.</t>
  </si>
  <si>
    <t>Fabrication, and Installation of a 50W LED Flood Light Post with Integration of Small-scale Savonius-Type Helical Vertical Axis Wind Turbine	(VAWT) and Solar Panel</t>
  </si>
  <si>
    <t xml:space="preserve">Engr. Jose Luis L. Villalon
25 Mercury, Zytek-Riosa, Brgy. Pasong Tamo, 
Quezon City, 1107
louie.vdaliinnovations@gmail.com
+63 915 126 5571
</t>
  </si>
  <si>
    <t xml:space="preserve">Ms. Rowena Faith Armeniana Sucalit
4423 Montojo St. Tejeros, Makati City
weng747@yahoo.com
0916-777-8031
</t>
  </si>
  <si>
    <t xml:space="preserve"> Invent School™ Program Seminar-Workshop for Grade 11 Students from De La Salle University- Dasmariñas High School</t>
  </si>
  <si>
    <t>2025-24</t>
  </si>
  <si>
    <t>2024-01</t>
  </si>
  <si>
    <t>TAPI@37:Defying boundaries,celebrating victories,and sharing the glory in making history</t>
  </si>
  <si>
    <t>DOST-TAPI Stakeholders</t>
  </si>
  <si>
    <t>2024-02</t>
  </si>
  <si>
    <t>VENTURE FINANCING PROGRAM ASSISTANCE FOR SOYUZ FOOD INTERNATIONAL</t>
  </si>
  <si>
    <t>2024-03</t>
  </si>
  <si>
    <t>EXTENSION</t>
  </si>
  <si>
    <t>PILOT SCALE PRODUCTION OF UNVAS(UNAS CANVAS)</t>
  </si>
  <si>
    <t>JULIENNE STEPHANIE FABIE-AGAPIN</t>
  </si>
  <si>
    <t>2024-04</t>
  </si>
  <si>
    <t>MOTORIZED MULTI-PURPOSE MACHINE FOR GRATER AND SHREDDER</t>
  </si>
  <si>
    <t>MR. JOHNNY BANEZ</t>
  </si>
  <si>
    <t>2024-05</t>
  </si>
  <si>
    <t>NANO FOLDABLE CLUTCH</t>
  </si>
  <si>
    <t>MR.JAMES BRYAN CAMACHO</t>
  </si>
  <si>
    <t>2024-06</t>
  </si>
  <si>
    <t>2024-07</t>
  </si>
  <si>
    <t>MOTHER BUDGET</t>
  </si>
  <si>
    <t>CALL FOR PROPOSAL  CAMPAIGN FOR THE INVENTION AND TECHHNOPRENEURSHIP PROGRAM</t>
  </si>
  <si>
    <t xml:space="preserve">RDIS,STARTUPS,TECH-BASED MSMES,INVENTORS,DOST REGIONAL OFFICE, AND DOST-TAPI PARTNER </t>
  </si>
  <si>
    <t>2024-08</t>
  </si>
  <si>
    <t>2024-09</t>
  </si>
  <si>
    <t>2024-10</t>
  </si>
  <si>
    <t>2024-10a</t>
  </si>
  <si>
    <t>Raw Materials for Continous Disc Dryer</t>
  </si>
  <si>
    <t>Mr. Manuel P. Galut</t>
  </si>
  <si>
    <t>2024-11</t>
  </si>
  <si>
    <t>2024-12</t>
  </si>
  <si>
    <t>2024-15</t>
  </si>
  <si>
    <t>AMENDMENT</t>
  </si>
  <si>
    <t>Amendment of Resolution 2024-13 for the Participation in the 49th Geneva International Exhibition of Inventions</t>
  </si>
  <si>
    <t>IDENTIFIED DOST-TAPI NICE WINNER AND DOST-ATTECHED AGENCIES</t>
  </si>
  <si>
    <r>
      <rPr>
        <sz val="10"/>
        <color theme="1"/>
        <rFont val="Arial"/>
      </rPr>
      <t xml:space="preserve">MS. LINA T. CODILLA
</t>
    </r>
    <r>
      <rPr>
        <sz val="10"/>
        <color theme="1"/>
        <rFont val="Arial"/>
      </rPr>
      <t xml:space="preserve">B3, L5, Alta Tierra, Napolan, Pagadian City, 
Zamboanga Del Sur
09460668556
ltcodilla2018@gmail.com
</t>
    </r>
  </si>
  <si>
    <r>
      <rPr>
        <b/>
        <sz val="10"/>
        <color theme="1"/>
        <rFont val="Arial"/>
      </rPr>
      <t xml:space="preserve">ISTE Program,TIPD 
</t>
    </r>
    <r>
      <rPr>
        <sz val="10"/>
        <color theme="1"/>
        <rFont val="Arial"/>
      </rPr>
      <t>DOST-TAPI Bicutan, Taguig</t>
    </r>
  </si>
  <si>
    <t>2024-23</t>
  </si>
  <si>
    <t>PU</t>
  </si>
  <si>
    <t>Conduct of CY 2024 Mid-year Performance Review and Monitoring &amp; CY 2024 DOST-TAPI ExeCom Planning Workshop</t>
  </si>
  <si>
    <t>2024-24</t>
  </si>
  <si>
    <t>TAPI
(Sports Festival)</t>
  </si>
  <si>
    <t>Engagement of DOST-TAPI Employees to the CY 2024 DOST Sports Festival</t>
  </si>
  <si>
    <r>
      <rPr>
        <b/>
        <sz val="10"/>
        <color theme="1"/>
        <rFont val="Arial"/>
      </rPr>
      <t xml:space="preserve">Jonald Justine U. Itugot
</t>
    </r>
    <r>
      <rPr>
        <sz val="10"/>
        <color theme="1"/>
        <rFont val="Arial"/>
      </rPr>
      <t xml:space="preserve">Chief Executive Officer 
</t>
    </r>
    <r>
      <rPr>
        <b/>
        <sz val="10"/>
        <color theme="1"/>
        <rFont val="Arial"/>
      </rPr>
      <t>Cerebro Solutions, Inc.</t>
    </r>
  </si>
  <si>
    <r>
      <rPr>
        <b/>
        <sz val="10"/>
        <color theme="1"/>
        <rFont val="Arial"/>
      </rPr>
      <t xml:space="preserve">Marc Carlo Lijauco
</t>
    </r>
    <r>
      <rPr>
        <sz val="10"/>
        <color theme="1"/>
        <rFont val="Arial"/>
      </rPr>
      <t>President 
BizKit Technologies Inc.</t>
    </r>
  </si>
  <si>
    <r>
      <rPr>
        <b/>
        <sz val="10"/>
        <color theme="1"/>
        <rFont val="Arial"/>
      </rPr>
      <t xml:space="preserve">Julienne Fabie-Agapin
</t>
    </r>
    <r>
      <rPr>
        <sz val="10"/>
        <color theme="1"/>
        <rFont val="Arial"/>
      </rPr>
      <t>Lumbia District, Pagadian City
juliennestephanie.agapin@wmsu.edu.ph
09362660139</t>
    </r>
  </si>
  <si>
    <t>2024-37</t>
  </si>
  <si>
    <t>Market Validation of Motorized Multi-Purpose Grater and Shredder</t>
  </si>
  <si>
    <t>2024-32a</t>
  </si>
  <si>
    <t>Expanded Venture Financing Program (EVFP) Program</t>
  </si>
  <si>
    <t>2024-39</t>
  </si>
  <si>
    <t>Presidential Awardee of the 2024 National Invention Contest and Exhibits (NICE)</t>
  </si>
  <si>
    <t>2024 NICE 1st Prize Winners</t>
  </si>
  <si>
    <t xml:space="preserve">National Science and Technology Fair (NSTF) Thailand 2024 </t>
  </si>
  <si>
    <t>2024-46</t>
  </si>
  <si>
    <t>GAD Database and Gender Analysis Training for DOST-TAPI External Clients</t>
  </si>
  <si>
    <t>2024-49</t>
  </si>
  <si>
    <t xml:space="preserve">Calabash Bowl Production </t>
  </si>
  <si>
    <t>Richie Wagas
Wagas Crafts</t>
  </si>
  <si>
    <r>
      <rPr>
        <b/>
        <sz val="10"/>
        <color theme="1"/>
        <rFont val="Arial"/>
      </rPr>
      <t xml:space="preserve">Ms. Ralen Rose Gloria L. Malatbalat
</t>
    </r>
    <r>
      <rPr>
        <sz val="10"/>
        <color theme="1"/>
        <rFont val="Arial"/>
      </rPr>
      <t>COO, making.technology
Manufacturing Corporation</t>
    </r>
  </si>
  <si>
    <r>
      <rPr>
        <b/>
        <sz val="10"/>
        <color theme="1"/>
        <rFont val="Arial"/>
      </rPr>
      <t xml:space="preserve">Mr. Alphy C. Ferraren
</t>
    </r>
    <r>
      <rPr>
        <sz val="10"/>
        <color theme="1"/>
        <rFont val="Arial"/>
      </rPr>
      <t xml:space="preserve">Purok 4, Brgy.Gumaga, Libungan, North Cotabato 
bukid_31@yahoo.com
</t>
    </r>
    <r>
      <rPr>
        <b/>
        <sz val="10"/>
        <color theme="1"/>
        <rFont val="Arial"/>
      </rPr>
      <t>0970895069</t>
    </r>
  </si>
  <si>
    <r>
      <rPr>
        <b/>
        <sz val="10"/>
        <color theme="1"/>
        <rFont val="Arial"/>
      </rPr>
      <t xml:space="preserve">Mr. Alvin Phoebe Artemis A. Valdez
</t>
    </r>
    <r>
      <rPr>
        <sz val="10"/>
        <color theme="1"/>
        <rFont val="Arial"/>
      </rPr>
      <t>Interior Fidelidad Street, Barangay 1, Balayan, Batagas 4213
alvinphoebeartemis@gmail.com
+639918781878; +639916453232</t>
    </r>
  </si>
  <si>
    <t>CONCEPT</t>
  </si>
  <si>
    <r>
      <rPr>
        <sz val="10"/>
        <color theme="1"/>
        <rFont val="Arial"/>
      </rPr>
      <t>Mr. Melvin B. Luteb
Ampucao, Itogon, Benguet
09207160534/09926860643</t>
    </r>
    <r>
      <rPr>
        <b/>
        <sz val="10"/>
        <color theme="1"/>
        <rFont val="Arial"/>
      </rPr>
      <t xml:space="preserve">
</t>
    </r>
    <r>
      <rPr>
        <sz val="10"/>
        <color theme="1"/>
        <rFont val="Arial"/>
      </rPr>
      <t>luteb.melvin03@gmail.com</t>
    </r>
  </si>
  <si>
    <t>2024-66</t>
  </si>
  <si>
    <t>Conduct of DOST-TAPI CY 2025 Strategic Planning Workshop</t>
  </si>
  <si>
    <t>2024-69</t>
  </si>
  <si>
    <t>GAD Gender Mainstreaming Evaluation Framework (GMEF) Training</t>
  </si>
  <si>
    <r>
      <rPr>
        <b/>
        <sz val="10"/>
        <color theme="1"/>
        <rFont val="Arial"/>
      </rPr>
      <t xml:space="preserve">JONELLE H. TABLADA / Male
</t>
    </r>
    <r>
      <rPr>
        <sz val="10"/>
        <color theme="1"/>
        <rFont val="Arial"/>
      </rPr>
      <t xml:space="preserve">SOUTHEASTERN LEYTE STATEUNIVERSITY
</t>
    </r>
  </si>
  <si>
    <t>₱96,000.00</t>
  </si>
  <si>
    <t>2024-73</t>
  </si>
  <si>
    <t>18-day VAW Campaign</t>
  </si>
  <si>
    <t>DOST-TAPI Gender and Development Focal Point System (GFPS)</t>
  </si>
  <si>
    <t>2024-81</t>
  </si>
  <si>
    <t>DOST-TAPI CY 2025 Strategic Planning Workshop</t>
  </si>
  <si>
    <r>
      <rPr>
        <b/>
        <sz val="10"/>
        <color theme="1"/>
        <rFont val="Arial"/>
      </rPr>
      <t>Ms. Melinda C. Medallo</t>
    </r>
    <r>
      <rPr>
        <sz val="10"/>
        <color theme="1"/>
        <rFont val="Arial"/>
      </rPr>
      <t xml:space="preserve"> 
Vice President/Marketing Head
 </t>
    </r>
    <r>
      <rPr>
        <b/>
        <sz val="10"/>
        <color theme="1"/>
        <rFont val="Arial"/>
      </rPr>
      <t>Danilyn's Enterprises, Inc</t>
    </r>
    <r>
      <rPr>
        <sz val="10"/>
        <color theme="1"/>
        <rFont val="Arial"/>
      </rPr>
      <t>.</t>
    </r>
  </si>
  <si>
    <t>2023-12</t>
  </si>
  <si>
    <t>LIB</t>
  </si>
  <si>
    <t>Conduct of the 2023 Clusterized Regional Invention Contest and Exhibits (ClusterRICE)</t>
  </si>
  <si>
    <t>2023-08</t>
  </si>
  <si>
    <t xml:space="preserve">Zamboanga Peninsula Regional Science, Technology, and Innovation Week 2023
(ZamPen RSTW 2023)
</t>
  </si>
  <si>
    <t xml:space="preserve">2023 Regional Invention Contest and Exhibits
by Cluster (ClusteRICE) in Northern Luzon
</t>
  </si>
  <si>
    <t>2023-01</t>
  </si>
  <si>
    <t>DOST-TAPI Anniversary</t>
  </si>
  <si>
    <t>2023-02</t>
  </si>
  <si>
    <t>2023-03</t>
  </si>
  <si>
    <t>Approval of Request for Restructuring of the project, "TAPI PO for John N' Mico Food Products"</t>
  </si>
  <si>
    <t>Ms. Myrna M. Bustillo,JMFP</t>
  </si>
  <si>
    <t>2023-05</t>
  </si>
  <si>
    <t>(disapproved)</t>
  </si>
  <si>
    <t>2023-06</t>
  </si>
  <si>
    <t>ACU-n</t>
  </si>
  <si>
    <t>2023-07</t>
  </si>
  <si>
    <t>Termination of  the Project " Acquisition of Production Equipment to Eliminate Outsourcing and Upgrading Process" of Quickflames Metal Fabrication</t>
  </si>
  <si>
    <t>Lorenzo Caneza ,Quickflames Metal Fabrication</t>
  </si>
  <si>
    <t>2023-09</t>
  </si>
  <si>
    <t xml:space="preserve">Termination of the project “Purchase Order Financing for Philtech Boat Designs and Fabrications”
</t>
  </si>
  <si>
    <t xml:space="preserve">Mr. Ronald P. Pagsanghan
</t>
  </si>
  <si>
    <t>2023-10</t>
  </si>
  <si>
    <t>Termination of the Project "Chef Tobz RN Cakes and Pastries"</t>
  </si>
  <si>
    <t xml:space="preserve">Mr. Tirso Tubog
</t>
  </si>
  <si>
    <t>2023-11</t>
  </si>
  <si>
    <t xml:space="preserve"> DOST Regional Offices</t>
  </si>
  <si>
    <t>2023-13</t>
  </si>
  <si>
    <t>Termination of JAMERIKA</t>
  </si>
  <si>
    <t>134, 250</t>
  </si>
  <si>
    <t>2023-23</t>
  </si>
  <si>
    <t>Termination of the Project "HP/HT Cremation.."</t>
  </si>
  <si>
    <t>Mr. Manuel M. Malonzo</t>
  </si>
  <si>
    <t>2023-26</t>
  </si>
  <si>
    <t>WITHDRAWN</t>
  </si>
  <si>
    <t>VFP Vestrada for Vestrada Fasion Bags</t>
  </si>
  <si>
    <t>Vera L. Estrada</t>
  </si>
  <si>
    <t xml:space="preserve">Motorized Multi-Purpose Machine for Grater and Shredder </t>
  </si>
  <si>
    <t>2023-38</t>
  </si>
  <si>
    <t>STEP UP of SWA Technology of the PNRI (Science and Technology Enhancement Project for Upgrading of Potentials for Transfer of Super Water Absorbent Technology of the Philippines Nuclear Research Institute)</t>
  </si>
  <si>
    <t>Mr. Gregory Rasonable Ciocson
DOST-PNRI</t>
  </si>
  <si>
    <t xml:space="preserve">Engr. El Arby Eledia </t>
  </si>
  <si>
    <t xml:space="preserve">Market validation and packaging of Organic Coffee
</t>
  </si>
  <si>
    <t xml:space="preserve"> Mr. Gibsonjis Rosales</t>
  </si>
  <si>
    <t>2023-45</t>
  </si>
  <si>
    <t>Apple Cider Vinegar</t>
  </si>
  <si>
    <t>Double M</t>
  </si>
  <si>
    <t>2023-54</t>
  </si>
  <si>
    <t>QUADRO</t>
  </si>
  <si>
    <t>2023-56</t>
  </si>
  <si>
    <t>Ensuring Steady Supply Of Raw Pilinuts For Processing</t>
  </si>
  <si>
    <t>Mr. Joseph G. Lomibao, President</t>
  </si>
  <si>
    <t>2023-57</t>
  </si>
  <si>
    <t>Purchase Order Financing for Nanusci, Inc.</t>
  </si>
  <si>
    <t>Mr. Jarred Ladriere</t>
  </si>
  <si>
    <t>2023-59</t>
  </si>
  <si>
    <t>DOST-TAPI's CY 2024 Strategic Planning Workshop and Strategy Formulation through the Institute for Solidarity in Asia's )ISA) Philippine Governance System (PGS)</t>
  </si>
  <si>
    <t>2023-65</t>
  </si>
  <si>
    <t>LIB REALIGNMENT</t>
  </si>
  <si>
    <t>DOST-TAPI’s Culminating Event for its 2023 Call for Invention and Innovation Proposals</t>
  </si>
  <si>
    <t>TIPD-ACU</t>
  </si>
  <si>
    <t>Brand Guide Orientation and Mobile Photography Workshop</t>
  </si>
  <si>
    <r>
      <rPr>
        <b/>
        <sz val="10"/>
        <color theme="1"/>
        <rFont val="Arial"/>
      </rPr>
      <t xml:space="preserve">Renzo Navarro Ducusin 
</t>
    </r>
    <r>
      <rPr>
        <sz val="10"/>
        <color theme="1"/>
        <rFont val="Arial"/>
      </rPr>
      <t>Project Leader
IOL, Inc.</t>
    </r>
  </si>
  <si>
    <t>2023-82</t>
  </si>
  <si>
    <t>Honing Innovations, Research, Agreements and Negotiations of the Government-Funded Technologies (HIRANG) 2.0 Program</t>
  </si>
  <si>
    <t>TAPI-IBOD</t>
  </si>
  <si>
    <t>2023-85</t>
  </si>
  <si>
    <t xml:space="preserve">Ms. Irene D. Herrero of Francis Jacob’s Gourmet Foods </t>
  </si>
  <si>
    <t>approved for fin assistance on 14 June 2023 amounting to P1,996,038.00</t>
  </si>
  <si>
    <t>2023-86</t>
  </si>
  <si>
    <t>Deferment</t>
  </si>
  <si>
    <t>Venture Financing Program Assistance for Soyuz Food International, Inc.</t>
  </si>
  <si>
    <t>approved for financial assistance on 19 July 2023 amounting to P1,240,000.00</t>
  </si>
  <si>
    <r>
      <rPr>
        <b/>
        <sz val="10"/>
        <color theme="1"/>
        <rFont val="Arial"/>
      </rPr>
      <t xml:space="preserve">John Vincent Q. Gastanes
</t>
    </r>
    <r>
      <rPr>
        <sz val="10"/>
        <color theme="1"/>
        <rFont val="Arial"/>
      </rPr>
      <t>Project Zacchaeus Marketing Cooperative</t>
    </r>
    <r>
      <rPr>
        <b/>
        <sz val="10"/>
        <color theme="1"/>
        <rFont val="Arial"/>
      </rPr>
      <t xml:space="preserve">
</t>
    </r>
  </si>
  <si>
    <t>Awards and Recognition for DOST-TAPI's Internal and External Partners</t>
  </si>
  <si>
    <t>Additional Budget Technobyahe in Bohol Cum DOST-TAPI Milestone Event: Deed of Conveyance Signing Ceremony for JZ Jewelry Repair Shop</t>
  </si>
  <si>
    <t>Purchase Order Financing for Tropical Citrus Fresh Beverages , Inc</t>
  </si>
  <si>
    <r>
      <rPr>
        <sz val="10"/>
        <color theme="1"/>
        <rFont val="Arial"/>
      </rPr>
      <t xml:space="preserve">Loreto B. Tolentino                                                                                                                      President                                                                                                                                        Cellokey Incorporated ( </t>
    </r>
    <r>
      <rPr>
        <i/>
        <sz val="10"/>
        <color theme="1"/>
        <rFont val="Arial"/>
      </rPr>
      <t>C</t>
    </r>
    <r>
      <rPr>
        <sz val="10"/>
        <color theme="1"/>
        <rFont val="Arial"/>
      </rPr>
      <t xml:space="preserve">I)                                                                                                   </t>
    </r>
  </si>
  <si>
    <t>Portable Capsule Filler</t>
  </si>
  <si>
    <t>Dr. Richmond C. Santillan President / CEO</t>
  </si>
  <si>
    <t>Mr. Reynaldo B. Aresta</t>
  </si>
  <si>
    <t>2019-58 ad ref</t>
  </si>
  <si>
    <t>2019-59 ad ref</t>
  </si>
  <si>
    <t>2019-60 ad ref</t>
  </si>
  <si>
    <t>2019-61 ad ref</t>
  </si>
  <si>
    <t>2019-62 ad ref</t>
  </si>
  <si>
    <t>2019-63 ad ref</t>
  </si>
  <si>
    <t>2019-64 ad ref</t>
  </si>
  <si>
    <t>2019-65 ad ref</t>
  </si>
  <si>
    <t>2019-66 ad ref</t>
  </si>
  <si>
    <t xml:space="preserve">National Academy of Science and Technology Exhibit for the 2018 National Science and Technology Week </t>
  </si>
  <si>
    <r>
      <rPr>
        <b/>
        <sz val="10"/>
        <color theme="1"/>
        <rFont val="Arial"/>
      </rPr>
      <t>Candy R. Lanzuela</t>
    </r>
    <r>
      <rPr>
        <sz val="10"/>
        <color theme="1"/>
        <rFont val="Arial"/>
      </rPr>
      <t xml:space="preserve">                                                                                        Managing Director                                                                                        </t>
    </r>
    <r>
      <rPr>
        <b/>
        <sz val="10"/>
        <color theme="1"/>
        <rFont val="Arial"/>
      </rPr>
      <t xml:space="preserve">Global Marketing and Construction Corporation                                 </t>
    </r>
  </si>
  <si>
    <r>
      <rPr>
        <b/>
        <sz val="10"/>
        <color theme="1"/>
        <rFont val="Arial"/>
      </rPr>
      <t>Dr. Elsa R. Manarpaac</t>
    </r>
    <r>
      <rPr>
        <sz val="10"/>
        <color theme="1"/>
        <rFont val="Arial"/>
      </rPr>
      <t xml:space="preserve">                                                                                                                                                                                                                                                   President                                                                                                                                                                                                                                                                 </t>
    </r>
    <r>
      <rPr>
        <b/>
        <sz val="10"/>
        <color theme="1"/>
        <rFont val="Arial"/>
      </rPr>
      <t xml:space="preserve">Dr. Mirriam Banlawe </t>
    </r>
    <r>
      <rPr>
        <sz val="10"/>
        <color theme="1"/>
        <rFont val="Arial"/>
      </rPr>
      <t xml:space="preserve">                                                                                                                                                                                                                                                Dean, CET</t>
    </r>
  </si>
  <si>
    <r>
      <rPr>
        <b/>
        <sz val="10"/>
        <color theme="1"/>
        <rFont val="Arial"/>
      </rPr>
      <t xml:space="preserve">Dr. Georgina J. Bordaddo </t>
    </r>
    <r>
      <rPr>
        <sz val="10"/>
        <color theme="1"/>
        <rFont val="Arial"/>
      </rPr>
      <t xml:space="preserve">                                                                                                                                                                                                                                           SUC President III                                                                                                                                                                                                                                                            </t>
    </r>
    <r>
      <rPr>
        <b/>
        <sz val="10"/>
        <color theme="1"/>
        <rFont val="Arial"/>
      </rPr>
      <t xml:space="preserve">Joel Paulite Sadol  </t>
    </r>
    <r>
      <rPr>
        <sz val="10"/>
        <color theme="1"/>
        <rFont val="Arial"/>
      </rPr>
      <t xml:space="preserve">                                                                                                                                                                                                                                                     Study Leader</t>
    </r>
  </si>
  <si>
    <t>2014 CAMPI Program Implementation</t>
  </si>
  <si>
    <t>Mass Production of Speaker System  A Speaker Unit and A Speaker Assembly Using the Speaker Unit</t>
  </si>
  <si>
    <t>Health and Nutrition Clusters Participation in the 2014 National Science and Technology Week (NSTW) and Regional Cluster Fairs</t>
  </si>
  <si>
    <t>Celebrating Creativity, Innovation and Excellence through Science and Technology Human Resource Development</t>
  </si>
  <si>
    <t>Implementing Guidelines of TAPI Programs</t>
  </si>
  <si>
    <t xml:space="preserve">
DOST-TAPI</t>
  </si>
  <si>
    <t>Dr. Elsa R. Manarpaac President   Dr. Mirriam Banlawe Dean, CET</t>
  </si>
  <si>
    <t>IBOD Web-based Project Monitoring System (iWPMS)</t>
  </si>
  <si>
    <t>Investment and Business Operations Division, TAPI</t>
  </si>
  <si>
    <t>Integrated ERP Business Solution Package Using Cloud-Computing Technologies in the Power Distribution Sector</t>
  </si>
  <si>
    <t xml:space="preserve">
Ms. Cheryl Marie-Natividad Caballero</t>
  </si>
  <si>
    <t>Second Batch of Delinquent IGF Account cases to be Filed in Court</t>
  </si>
  <si>
    <t xml:space="preserve">
Dr. Georgina J. Bordado, SUC President III</t>
  </si>
  <si>
    <t>Digitization of the Invention Development Division's (IDD) Archive files</t>
  </si>
  <si>
    <t>Regional Invention Contests and Exhibits (RICE) with a Theme "Inventions and Innovations for Smarter Philippines"</t>
  </si>
  <si>
    <t>41st International Exhibition of Invention in Geneva, Switzerland on 10-14 April 2013</t>
  </si>
  <si>
    <t>Mr. Leonardo M. Yu</t>
  </si>
  <si>
    <t>2013 Mindanao Cluster Science and Technology Fair</t>
  </si>
  <si>
    <t>Product Development and Design Center of the Philippines (PDDCP)</t>
  </si>
  <si>
    <t>Production of Interactive Technology Exhibits for NSTW 2013</t>
  </si>
  <si>
    <r>
      <rPr>
        <sz val="10"/>
        <color theme="1"/>
        <rFont val="Arial"/>
      </rPr>
      <t>10,500,000(ST)3,780,000(TAI)Total:14,280,000</t>
    </r>
  </si>
  <si>
    <t>2023-87</t>
  </si>
  <si>
    <t>DOST-TAPI’s 37th ANNIVERSARY CELEBRATION</t>
  </si>
  <si>
    <t>2023-88</t>
  </si>
  <si>
    <t>Purchase Order Financing for Laguna Organic Farm and Products</t>
  </si>
  <si>
    <t xml:space="preserve">Amount of Investment </t>
  </si>
  <si>
    <t>Remarks</t>
  </si>
  <si>
    <t>Cong. District</t>
  </si>
  <si>
    <t>Signed Resolution</t>
  </si>
  <si>
    <t>Age</t>
  </si>
  <si>
    <t>Sex (Male or Female)</t>
  </si>
  <si>
    <t>Class</t>
  </si>
  <si>
    <t>Archive Link</t>
  </si>
  <si>
    <t>#18M Rufino St., Soriano Village, Phase 1, BF Homes, Parañaque City</t>
  </si>
  <si>
    <t xml:space="preserve">Aldepulla Industrial Oil Restoration Services &amp; Consultancy
2d Bldg.3 Limaco Comp. National Highway, Brgy. Platero Biñan City Laguna 4024 
(aior.apparatus@gmail.com) </t>
  </si>
  <si>
    <t xml:space="preserve">048 Quirino St., Kidapawan, Cotabato </t>
  </si>
  <si>
    <t xml:space="preserve">        </t>
  </si>
  <si>
    <t>2nd District</t>
  </si>
  <si>
    <t xml:space="preserve">The Institute will be celebrating its 37th Anniversary this CY 2023 on 30 January 2023 with the theme, "TAPI @ 37: Defying Boundaries, Celebrating Victories, and Sharing the Glory in Making History";
</t>
  </si>
  <si>
    <t>http://TAPI-BkSvr.quickconnect.to/sharing/95xbxVvp0</t>
  </si>
  <si>
    <t>726 City &amp; Land Mega Plaza Bldg., ADB Ave., cor. Garnet Road, Ortigas Center, Brgy., San Antonio Pasig City</t>
  </si>
  <si>
    <t>1st cong. district</t>
  </si>
  <si>
    <t xml:space="preserve">Ms. Helena H. Del Rosario, Managing Director of Soyuz Foods International Inc. (SFII) located at 726 City &amp; Land Mega Plaza Bldg., ADB Ave., cor. Garnet Road, Ortigas Center, Brgy., San Antonio, Pasig City was approved for financial assistance on 19 July 2023 for the project, "Venture Financing Program Assistance for Soyuz Food International, Inc." under the Venture Financing Program amounting to P1,240,000.00
The proponent requested for the deferment of its last BPI Check no. 1000038768 dated 08 December 2023 to 29 February 2024 due to the problems in the quality of calamansi puree that resulted in the cancellation of the August 2023 deliveries ande shipment of goods. </t>
  </si>
  <si>
    <t xml:space="preserve">Lumbia District Pagadian City </t>
  </si>
  <si>
    <t xml:space="preserve">Lumbia District </t>
  </si>
  <si>
    <t>Region IX</t>
  </si>
  <si>
    <t>Ms. Julienne Stephanie Fabie-Agapin of Lumbia District Pagadian City has submitted a proposal for the project, "Pilot scale production of unVAS (unas Canvas)" for possible funding assistance under the GALING Program, and the project was approved for funding assistance during the DOST-TAPI Executive Committee meeting on 14 June 2023</t>
  </si>
  <si>
    <t>http://TAPI-BkSvr.quickconnect.to/sharing/OIaamK2oO</t>
  </si>
  <si>
    <t>FEMALE</t>
  </si>
  <si>
    <t>Purok 6 Bonga, Bacacay Albay</t>
  </si>
  <si>
    <t xml:space="preserve">Mr. Johnny Bañez of Purok 6 Bonga, Bacacay Albay has submitted a proposal for the project, "Motorized Multi-Purpose Machine for Grater and Shredder" for possible funding assistance under the GALING Program, and the project was approved for funding assistance during the DOST-TAPI Executive Committee meeting on 14 June 2023;
The proponent is requesting an extension in the completion of the project "Technology Validation of Motorized Multi-Purpose Machine for Grater and Shredder";
</t>
  </si>
  <si>
    <t>http://TAPI-BkSvr.quickconnect.to/sharing/HAqHz0Juz</t>
  </si>
  <si>
    <t>MALE</t>
  </si>
  <si>
    <t xml:space="preserve"> 214A Pearl St., Cor. Emerald, Palmera 2 Subdivision, Taytay, Rizal</t>
  </si>
  <si>
    <t>CALABARZON</t>
  </si>
  <si>
    <t>Mr. James Bryan Camacho of 214A Pearl St., Cor. Emerald, Palmera 2 Subdivision, Taytay, Rizal has submitted a proposal for the project, "Nano Foldable Crutch" for possible funding assistance under the GALING Program and the project was approved for funding assistance during the DOST-TAPI Executive Committee meeting on 14 June 2023;</t>
  </si>
  <si>
    <t>http://TAPI-BkSvr.quickconnect.to/sharing/oWlYG4DnN</t>
  </si>
  <si>
    <t>Benguet, Baguio City</t>
  </si>
  <si>
    <t xml:space="preserve">DOST-TAPI is mandated to promote the commercialization of technologies and market the services of other operating units and agencies of the Department of Science and Technology (DOST);
Saint Louis University-Main Campus has submitted a request for the conduct of a face-to-face seminar-workshop for college students in Baguio City, Benguet on 26 January 2024;
</t>
  </si>
  <si>
    <t>http://TAPI-BkSvr.quickconnect.to/sharing/p92ZqnW8y</t>
  </si>
  <si>
    <t xml:space="preserve">DOST-TAPI provides financial assistance for technology packaging and promotion, technology-based enterprise development, productivity improvement and consultancy, invention development, and other technology transfer activities; "Further Forward" which aims to pivot pre-commercialization support for S&amp;T-based ventures, catering to private individual Filipino inventors, innovators, and business owners of S&amp;T-based solutions;
The goal of the campaign is to elevate proposal quality and enhance program outcomes, and leverage assistance programs for the benefit of more Filipino inventors and innovators;
</t>
  </si>
  <si>
    <t>http://TAPI-BkSvr.quickconnect.to/sharing/FNJjBW17d</t>
  </si>
  <si>
    <t>University Town, Musuan, Maramag, Bukidnon</t>
  </si>
  <si>
    <t>3rd cong. district</t>
  </si>
  <si>
    <t xml:space="preserve">DOST-TAPI's Invent School Program (ISP) involves the conduct of a seminar-workshop in private and public schools for the Elementary, Secondary, and Tertiary levels in cooperation with inventors' groups, LGUS and NGOs to stimulate the interest of the students/pupils for creativity and inventiveness and create awareness on Intellectual Property Rights (IPR), prototype development and commercialization of inventions;
</t>
  </si>
  <si>
    <t>http://TAPI-BkSvr.quickconnect.to/sharing/1mgofNoqg</t>
  </si>
  <si>
    <t>IIIST, Imus, Cavite</t>
  </si>
  <si>
    <t xml:space="preserve">Imus Institute of Science and Technology (IIST) has submitted a proposal for the conduct of a face-to-face Invent School Program (ISP) seminar-workshop for selected Junior and Senior High School students in IIIST, Imus, Cavite on February 20-21, 2024
</t>
  </si>
  <si>
    <t>http://TAPI-BkSvr.quickconnect.to/sharing/PabA7QBVM</t>
  </si>
  <si>
    <t>Purok 6, Sipi Bato, Catanduanes, 09950132661</t>
  </si>
  <si>
    <t xml:space="preserve">The invention is a compact setup of a traditional stripper designed to minimize the installation time compared to the traditional counterpart which take about a whole day of installation, it utilizes minimal stripping force with an improved stripping capacity.
</t>
  </si>
  <si>
    <t>http://TAPI-BkSvr.quickconnect.to/sharing/JKfqAUGPN</t>
  </si>
  <si>
    <t>93 Tolentino St., San Francisco Del Monte, Quezon City</t>
  </si>
  <si>
    <t>Mr. Galut, proponent discussed that there are changes in the design of the continous dryer, hence the funds released were not yet disbursed and changes in the specifications of the designs were based on the testing conducted on the first continious dryer fabricated.</t>
  </si>
  <si>
    <t>San Fernando, Pampanga</t>
  </si>
  <si>
    <t xml:space="preserve">The DOST-III PSTO-Pampanga has submitted a proposal for the conduct of a face-to-face Invent School Program (ISP) seminar-workshop for College students in the Selected Province of Pampanga on 13-14 March 2024;
</t>
  </si>
  <si>
    <t>http://TAPI-BkSvr.quickconnect.to/sharing/WAEH5fKHs</t>
  </si>
  <si>
    <t>Lipa City, Batangas</t>
  </si>
  <si>
    <t>6th cong. district</t>
  </si>
  <si>
    <t xml:space="preserve">The DOST PSTO-Batangas has submitted a proposal for the conduct of a face- to-face Invent School Program (ISP) seminar-workshop for High School students in Bolbok Integrated National High School, Lipa City, Batangas on 13-14 March 2024
</t>
  </si>
  <si>
    <t>http://TAPI-BkSvr.quickconnect.to/sharing/7zLhWbCKt</t>
  </si>
  <si>
    <r>
      <rPr>
        <sz val="10"/>
        <color theme="1"/>
        <rFont val="Arial"/>
      </rPr>
      <t xml:space="preserve">GIA-2,865,280
GAA-1,036,906
IGF-1,961,697.80
</t>
    </r>
    <r>
      <rPr>
        <b/>
        <sz val="10"/>
        <color theme="1"/>
        <rFont val="Arial"/>
      </rPr>
      <t>TOTAL:5,863,883.80</t>
    </r>
  </si>
  <si>
    <t>Palexpo, Geneva, Switzerland</t>
  </si>
  <si>
    <t>INT</t>
  </si>
  <si>
    <t xml:space="preserve">The International Exhibition of Inventions of Geneva (IEIG) is recognized as one of the top three events held in Geneva, Switzerland annually and is the world's leading annual event exclusively dedicated to invention wherein, inventors, researchers, and entrepreneurs come together to celebrate creativity and drive progress;
The 49th International Exhibition of Inventions Geneva (IEIG) will take place at Palexpo in Geneva, Switzerland on 17-21 April 2024;
the following significant undertakings were identified in relation to the participation in the activity:
• Addresses visibility gaps for Pinoy Inventions;
• Strategic networking for licensing and collaborative undertakings;
• Market expansion for economic growth;
• Public relations and cultural and technological showcase
The general objective of the participation is to showcase and promote Philippine-developed technologies and inventions on an international platform, fostering collaborations and market opportunities for technology transfer and commercialization
</t>
  </si>
  <si>
    <t>http://TAPI-BkSvr.quickconnect.to/sharing/4sKUWwIgb</t>
  </si>
  <si>
    <t xml:space="preserve">1st Road, Benin Lot 5, Pinsao Proper, Baguio City </t>
  </si>
  <si>
    <t>16th cong. district</t>
  </si>
  <si>
    <t xml:space="preserve">Mr. Glen M. Portugal of 1st Road, Benin Lot 5, Pinsao Proper, Baguio City has submitted a proposal for the project, "Improved Cocoon and Other Materials Dryer" for possible funding assistance under the GALING Program;
the proponent is an entrepreneur from Baguio City and a member of Filipino Inventors Society Cordillera Administrative Region (FISCAR) Inc;
</t>
  </si>
  <si>
    <t>http://TAPI-BkSvr.quickconnect.to/sharing/X2hw5smBC</t>
  </si>
  <si>
    <t xml:space="preserve">International Exhibition of Inventions of Geneva (IEIG) is recognized as one of the top three events held in Geneva, Switzerland annually and is the world's leading annual event exclusively dedicated to the invention wherein, inventors, researchers, and entrepreneurs come together to celebrate creativity and drive progress;
The 49th International Exhibition of Inventions Geneva (IEIG) will take place at Palexpo in Geneva, Switzerland on 17-21 April 2024
</t>
  </si>
  <si>
    <t>http://TAPI-BkSvr.quickconnect.to/sharing/TYAQTWVEB</t>
  </si>
  <si>
    <t>Sta. Elena, Marikina</t>
  </si>
  <si>
    <t xml:space="preserve">Marikina Polytechnic College has submitted a proposal for the conduct of a face-to-face Invent School Program (ISP) seminar-workshop for College Students in Marikina Polytechnic College on 23-24 April 2024
</t>
  </si>
  <si>
    <t>http://TAPI-BkSvr.quickconnect.to/sharing/n3pO6twYK</t>
  </si>
  <si>
    <r>
      <rPr>
        <sz val="10"/>
        <color theme="1"/>
        <rFont val="Arial"/>
      </rPr>
      <t xml:space="preserve">MS. LINA T. CODILLA
</t>
    </r>
    <r>
      <rPr>
        <sz val="10"/>
        <color theme="1"/>
        <rFont val="Arial"/>
      </rPr>
      <t xml:space="preserve">B3, L5, Alta Tierra, Napolan, Pagadian City, 
Zamboanga Del Sur
09460668556
ltcodilla2018@gmail.com
</t>
    </r>
  </si>
  <si>
    <t xml:space="preserve">B3, L5, Alta Tierra, Napolan, Pagadian City, Zamboanga Del Sur </t>
  </si>
  <si>
    <t>9th cong. district</t>
  </si>
  <si>
    <t xml:space="preserve">Ms. Lina T. Codilla of B3, L5, Alta Tierra, Napolan, Pagadian City, Zamboanga Del Sur has submitted a proposal for the project, "Technology Validation of Carrot Smoothies with Blue Ternate Flower Infusion" for possible funding assistance under the GALING Program;
J. H. Cerilles State College, Zamboanga City, and has a Bachelor's degree in Biology and Zoology, a Master's degree in Education, a Major in General Science, and a Master's degree in Public Administration;
</t>
  </si>
  <si>
    <t>http://TAPI-BkSvr.quickconnect.to/sharing/KEpwGJAoc</t>
  </si>
  <si>
    <r>
      <rPr>
        <sz val="10"/>
        <color theme="1"/>
        <rFont val="Arial"/>
      </rPr>
      <t xml:space="preserve">GIA-1,580,912.96
GAA-391,084.32
</t>
    </r>
    <r>
      <rPr>
        <b/>
        <sz val="10"/>
        <color theme="1"/>
        <rFont val="Arial"/>
      </rPr>
      <t>TOTAL: 1,971,997.28</t>
    </r>
  </si>
  <si>
    <t>Singapore Expo, Singapore</t>
  </si>
  <si>
    <t xml:space="preserve">WorldInvent Singapore 2024 is a cornerstone global innovation event that is set to happen on July 9th to 11th at the Singapore Expo which aims to bring together the brightest minds from around the world to showcase and discuss advancements in technology and innovation;
DOST-TAPI was honored by Mr. TAN Wei Kok's invitation to lead a Philippine delegation to World Invent Singapore 2024, emphasizing the event's focus on "Sustainovation: Progress For All Mankind"
</t>
  </si>
  <si>
    <t>http://TAPI-BkSvr.quickconnect.to/sharing/cfbi6Iu6h</t>
  </si>
  <si>
    <r>
      <rPr>
        <b/>
        <sz val="10"/>
        <color theme="1"/>
        <rFont val="Arial"/>
      </rPr>
      <t xml:space="preserve">ISTE Program,TIPD 
</t>
    </r>
    <r>
      <rPr>
        <sz val="10"/>
        <color theme="1"/>
        <rFont val="Arial"/>
      </rPr>
      <t>DOST-TAPI Bicutan, Taguig</t>
    </r>
  </si>
  <si>
    <t>GIA-1,307,000
GAA-1,810,000
IGF-1,720,000
IDAF-535,600
TOTAL:5,372,600</t>
  </si>
  <si>
    <t xml:space="preserve">DOST-TAPI is tasked to implement Republic Act No. 7459 otherwise known as the "Inventors and Invention Incentives Act of the Philippines" which provides assistance to Filipino inventors;
Whereas, in recognition of the indispensability of Filipino inventors in the development of technological capabilities and in the landscape of national economic development, the Institute conducts the National Invention Contest and Exhibits (NICE);
National Invention Contest and Exhibits (NICE) gives encouragement and recognition to inventors so that they would use their inventive capability by competing for cash rewards and be recognized for other forms of assistance and promotional support;
Whereas, as mandated by RA 7459, the National Invention Contest and Exhibits (NICE) is a competition open for inventors and researchers in the public and the private sectors;
</t>
  </si>
  <si>
    <t>http://TAPI-BkSvr.quickconnect.to/sharing/GWIjzt54B</t>
  </si>
  <si>
    <t>Calapan City Convention Center, Calapan CIty, Oriental Mindoro</t>
  </si>
  <si>
    <t>1st District</t>
  </si>
  <si>
    <t>Region IV-B</t>
  </si>
  <si>
    <r>
      <rPr>
        <sz val="10"/>
        <color theme="1"/>
        <rFont val="Arial"/>
      </rPr>
      <t xml:space="preserve">The activity's primary objective is to promote science educationliteracy and R7D and encourage technology adoption and commercializaion by showcasing products and services through the conduct of exhibits and recognize exemplary entrepreneurs, community-based enterprises, and communities in MIMAROPA through the Best Technopreneur Awards and Best CEST awards; 
The expected outputs of the activity are as follows:
</t>
    </r>
    <r>
      <rPr>
        <b/>
        <sz val="10"/>
        <color theme="1"/>
        <rFont val="Arial"/>
      </rPr>
      <t xml:space="preserve">A. Exhibits
</t>
    </r>
    <r>
      <rPr>
        <sz val="10"/>
        <color theme="1"/>
        <rFont val="Arial"/>
      </rPr>
      <t xml:space="preserve">1. inivte at least 15 DOST agencies to participate in the exhibits
2. Invite 6 MIMAROPA SUCs to exhibit
3. Feature at least 15 DOST-assisted products from the Region
4. Showcase at least 15 programs, services, and accom[plishments of DOST-MIMAROPA
</t>
    </r>
    <r>
      <rPr>
        <b/>
        <sz val="10"/>
        <color theme="1"/>
        <rFont val="Arial"/>
      </rPr>
      <t xml:space="preserve">B. Awards
</t>
    </r>
    <r>
      <rPr>
        <sz val="10"/>
        <color theme="1"/>
        <rFont val="Arial"/>
      </rPr>
      <t>1. Recognize 3 Best MSMEs under the Food Sector
2. Recognize 3 Best MSMEs under non-Food Sector
3. Recognize 3 Community-based enterprises</t>
    </r>
  </si>
  <si>
    <t>http://gofile.me/4xaew/Zyk31Nwn2</t>
  </si>
  <si>
    <t>Borongan City, Eastern Samar</t>
  </si>
  <si>
    <t xml:space="preserve">1st District </t>
  </si>
  <si>
    <t>The expected outputs of the project are for the student participants to be able to come up with creative outputs, use the steps for inventing or innovating ideas, appreciate  the importance of inventions, encouraged to avail of the pre-commercialization assistance of DOST-TAPI including the participation to the 2025 Regional Invention Contest and Exhibits (RICE) under the Creative Research for College Level Category (Sibol Award) and other Science-based competitions. 
The proposed target participants consist of selected first-year and second-year college students taking up Bachelor of Science (BS) in Computer Engineering and BS in Computer Science from the Eastern Samar State University Salcedo Campus.</t>
  </si>
  <si>
    <t>Puerto Princesa City</t>
  </si>
  <si>
    <t>3rd District</t>
  </si>
  <si>
    <r>
      <rPr>
        <sz val="10"/>
        <color theme="1"/>
        <rFont val="Arial"/>
      </rPr>
      <t>The ISP provides an opportunity for students/pupils not only to develop their creativity and potential but also to awaken their true ingenuity; the Program serves as a starting ground for Young Filipino inventors;
The</t>
    </r>
    <r>
      <rPr>
        <b/>
        <sz val="10"/>
        <color theme="1"/>
        <rFont val="Arial"/>
      </rPr>
      <t xml:space="preserve"> Puerto Princesa City National Science High School </t>
    </r>
    <r>
      <rPr>
        <sz val="10"/>
        <color theme="1"/>
        <rFont val="Arial"/>
      </rPr>
      <t xml:space="preserve">has submitted a proposal for the conduct of a face-to-face Invent School Program (ISP) seminar workshop for </t>
    </r>
    <r>
      <rPr>
        <b/>
        <sz val="10"/>
        <color theme="1"/>
        <rFont val="Arial"/>
      </rPr>
      <t>High School students of Puerto Princesa City National Science High School on May 20-21, 2024.</t>
    </r>
  </si>
  <si>
    <t>The objective of the Mid-Year Perfomance Review and Monitoring are as follows:
1. Reflect the first half of the year's physical and financial accomplishments versus the annual targets of all the major programs and services of DOST-TAPI;
2. Present recovery plans for the unmet first half of the year targets;if any;
3. Share plans and strategies to further achieve the Institute's targets for the second semester; and
4. Discuss other concerns,issues, and problemss encountered and provide suggestions/resolutions to resolve them;
The objectives of the DOSt-TAPI Executive Committee (ExeCom) Planning Workshop are as follows:
1. Assess the Institutes's physical and financial performance as of the 3rd quarter of the year;
2. Present recovery plans and strategies for the coming CY 2025;
4. Allocate the GIA budget per Division per program; and
5. Discuss other concerns, issues, snd problems encountered and provide suggestions/resolutions to resolve them;</t>
  </si>
  <si>
    <t>http://gofile.me/4xaew/igfcACUdK</t>
  </si>
  <si>
    <t>DOST Bicutan</t>
  </si>
  <si>
    <t>The activity was created by virtue of the DOST Special Order No. 248 in observance of the Rule XI (Employee Relations and Services) of the Omnibus Rules Implementing Book V of Executive Order No. 292 and Other Pertinent Civil Service Laws which encourage all heads of departments or agencies to conduct employee activities, such as athletics, and others as may fall into the social and recreational categories that are conducive to employee’s well-being. the CY 2024 
DOST-Wide Sports Festival is a joint initiative of the DOST and its attached agencies spearheaded by Dr. Diana L. Ignacio, DOST Assistant Secretary for Administrative and Legal Service and Chairperson of the Sports Festival Steering Committee</t>
  </si>
  <si>
    <t>http://gofile.me/4xaew/arGHlIJx1</t>
  </si>
  <si>
    <t>0014 Matthew St. Bahayan, Luinab Iligan City</t>
  </si>
  <si>
    <t>Lone district</t>
  </si>
  <si>
    <t xml:space="preserve">X </t>
  </si>
  <si>
    <t>The developed coco coir fiberboard using a bio-based adhesive, derive from vegetable oil and contatining reactive sites for further functionalization reactions.</t>
  </si>
  <si>
    <t>http://gofile.me/4xaew/IefCE6Sic</t>
  </si>
  <si>
    <r>
      <rPr>
        <b/>
        <sz val="10"/>
        <color theme="1"/>
        <rFont val="Arial"/>
      </rPr>
      <t xml:space="preserve">Jonald Justine U. Itugot
</t>
    </r>
    <r>
      <rPr>
        <sz val="10"/>
        <color theme="1"/>
        <rFont val="Arial"/>
      </rPr>
      <t xml:space="preserve">Chief Executive Officer 
</t>
    </r>
    <r>
      <rPr>
        <b/>
        <sz val="10"/>
        <color theme="1"/>
        <rFont val="Arial"/>
      </rPr>
      <t>Cerebro Solutions, Inc.</t>
    </r>
  </si>
  <si>
    <t>412-A Espiritu St., Brgy. 17-Kalapati, Cavite City</t>
  </si>
  <si>
    <t xml:space="preserve">The company's technology, Cerebro Plus, is a proprietary integrated school management system taht consolidates all key school operations into a single platform, offering pre-built digital lessons aligned with the DepEd's Matatag curriculum </t>
  </si>
  <si>
    <t>http://gofile.me/4xaew/a5l3K1Lhd</t>
  </si>
  <si>
    <t>16 Bronze Street, SSS Village, Brgy. Concepcion Dos, Marikina City</t>
  </si>
  <si>
    <t>2nd cong. district</t>
  </si>
  <si>
    <t>SeeYouDoc Corp. (SYD) is an e-health startup that provides digital healthcare solutions for patients, doctors, and medical organizations including public and private hospitals and rural health units.</t>
  </si>
  <si>
    <t>http://gofile.me/4xaew/kFYMUUOBR</t>
  </si>
  <si>
    <r>
      <rPr>
        <b/>
        <sz val="10"/>
        <color theme="1"/>
        <rFont val="Arial"/>
      </rPr>
      <t xml:space="preserve">Marc Carlo Lijauco
</t>
    </r>
    <r>
      <rPr>
        <sz val="10"/>
        <color theme="1"/>
        <rFont val="Arial"/>
      </rPr>
      <t>President 
BizKit Technologies Inc.</t>
    </r>
  </si>
  <si>
    <t>96 Burgos Street Pamplona Uno, Las Piñas City</t>
  </si>
  <si>
    <t>BizKit tecchnologies is an IT services and solutions that aims to enable organizations to navigate through their digital transformation and transform their businesses for tomorrow.</t>
  </si>
  <si>
    <t>Laoag City, Ilocos Norte</t>
  </si>
  <si>
    <t>Ilocos Region</t>
  </si>
  <si>
    <t>The project’s objective is to strengthen and foster STI Culture in Region 1 through the following activities:
1. Promote the DOST programs, projects and services through the activities of the RSTW;
2. Promote ready for deployment technologies that are funded and generated by the DOST system and the regional scientific communities, and enable localization and/or customization, as necessary;
3. Provide a venue for scientists, researchers, inventors, investors, businesses, and STI advocates including the media to meet and exchange ideas on the current STI developments and technological needs of the different industries; and
4. Increase awareness and appreciation of the public for Science and Technology programs, projects, and activities through conduct of various seminars, fora, and focused group discussions (FGDs);</t>
  </si>
  <si>
    <t>http://gofile.me/4xaew/Baol8rrRY</t>
  </si>
  <si>
    <t>1409 Corporate, 145 Mother Ignacia St., South Triangle, Quezon City</t>
  </si>
  <si>
    <t>4th cong. district</t>
  </si>
  <si>
    <t>HOCLOMAC is a portable, mobile, easy-to-use device that generates a hypochlorous disinfectant solution that is proven effective in killing bacteria and viruses.</t>
  </si>
  <si>
    <t>http://gofile.me/4xaew/KhUSbineb</t>
  </si>
  <si>
    <t>6th street, 1856 Hillside Village Subdivision, Brgy. Tuntungin-Putho, Los Banos Laguna</t>
  </si>
  <si>
    <t>IV - A</t>
  </si>
  <si>
    <t>The nutrio developed by Fullmight Agricultural Corp.  is a foliar biofertilizer enriched with beneficial mircoorganisms designed to enhance soil quality, health, and crop productivity.</t>
  </si>
  <si>
    <t>http://gofile.me/4xaew/t2uGPGV9Y</t>
  </si>
  <si>
    <t>Tacloban City</t>
  </si>
  <si>
    <t>The activity aims to showcase the multifaceted advancements in Science, Technology, and Innovation (STI) by featuring diverse initiatives from the Department of Science and Technology (DOST) and various sectors, and the event will foster knowledge exchange, promote collaboration, and ispire further development and utilization of STI for the region's progress and sustainable growth. 
The activity aims to 1.) showcase an array of DOST products, services, innovations and avilable technologies, 2.)highlight the identified DOST's new programs, 3) promote awareness of DOST-developed and supported technologies through the conduct of a Technology investment forum,highlight 10 technologies from identified DOST RDIs, 4.) recognized (9) DOST technology adopters, and 5.)spur interest in STI among Region VIII's youth through the conduct of one STEM  O lympiad and various S&amp;T interactive activities for  students.</t>
  </si>
  <si>
    <t>http://gofile.me/4xaew/pxCBDi4ig</t>
  </si>
  <si>
    <t>71A Congressional Ave. Bahay Toro, Quezon City, Second District, 1106</t>
  </si>
  <si>
    <t>Dr. Cris Edward Monjardin, Chief Technology Officer of WEHLO Resilience Technology Corporation Inc., has submitted a project proposal entitled, "Scale-Up Assistance for WEHLO Technologies, Inc. under E-VFP" for possible funding assistance under the Expanded Venture Financing Program (eVFP). WEHLO is a hydromet solutions company that provides hydrologic sensors designed to serve as decision support tools for local disaster risk reduction and management agencies.</t>
  </si>
  <si>
    <t>http://gofile.me/4xaew/BSc4rOB01</t>
  </si>
  <si>
    <t xml:space="preserve">DOST-TAPI
(FISCAR)
</t>
  </si>
  <si>
    <t>NCR (CAR)</t>
  </si>
  <si>
    <t xml:space="preserve">A series of lectures with demonstrations, group discussions, project design, and rough prototyping are among the activities to be conducted by the organization to meet the project’s objectives.
The expected outputs of the project are as follows:
1.Come up with at least five (5) collaborative inventions/innovations for IP protection through the assistance of DOST – TAPI;
2. At least ten (10) participants trained in using microcomputer to automate irrigation systems for vegetable garden;
3. A story board where the seminar attendees would apply what they learned during the Innovation Drive; and
4. Submit an updated roster of FISCAR, Inc. indicating names of participants/attendees who became new member from the activity.
</t>
  </si>
  <si>
    <t>DOST-RDI (NCR)</t>
  </si>
  <si>
    <t xml:space="preserve">The activity aims to connect the HIRANG 2.0 program participant with potential investors and partners by providing a venue for them to present their business cases, business plans, and strategies.
The project aims to achieve the following objectives;
1. Identify and invite potential inventors and partners;
2. Provide a venue for the pitching of spinoffs to potential investors and partners;
3. Forge partnership and linkages with potential investors 
4. Conduct a graduation ceremony for the researcher – employees who were able to complete the HIRANG 2.0 Program; and
5. Orient the participants on the benefits and the assistance coverage under the succeeding phases of the program.
</t>
  </si>
  <si>
    <r>
      <rPr>
        <b/>
        <sz val="10"/>
        <color theme="1"/>
        <rFont val="Arial"/>
      </rPr>
      <t xml:space="preserve">Julienne Fabie-Agapin
</t>
    </r>
    <r>
      <rPr>
        <sz val="10"/>
        <color theme="1"/>
        <rFont val="Arial"/>
      </rPr>
      <t>Lumbia District, Pagadian City
juliennestephanie.agapin@wmsu.edu.ph
09362660139</t>
    </r>
  </si>
  <si>
    <t>Lumbia District, Pagadian City</t>
  </si>
  <si>
    <t>Lumbia District</t>
  </si>
  <si>
    <t xml:space="preserve">Zamboanga Peninsula </t>
  </si>
  <si>
    <t>The technology "Unas Canvas" or UnVas" is a method of producing fibers from diried banana(Musa acuminata) leaves using dilute sodium carbonate solution wherein, its technical advantages include its simple process dsign, low-cost production, the abundance of raw materials, and can generate a wide-range of products including unVas, which is an art canvas that is made to accommodate acrylic and oil-based paints.</t>
  </si>
  <si>
    <t>The project aims to accelerate the commercialization and utilization of innovative technologies or inventions by providing the necessary financial support to start-ups, spin-offs, and graduates of the TECHNiCOM program and Startup Grant Fund (SGF).</t>
  </si>
  <si>
    <t>502-503 Jocfer Building, Commonwealth Ave., Quezon City</t>
  </si>
  <si>
    <t>Mr. Stephen L. Larcia, Chief Executive Officer of Hiraya Technology Solutions, Inc., has submitted a project proposal entitled, "Scale-up Operational Assistance to Hiraya Technology Solutions Inc., for possible funding assistance under the Expanded Venture Financing Program (eVFP).</t>
  </si>
  <si>
    <t>AI</t>
  </si>
  <si>
    <t xml:space="preserve">2nd Cong. District </t>
  </si>
  <si>
    <t>DOST-TAPIs project, Presendial Awardee of the 2024 National Invention Contest (NIC) will cater to the activity in line with the advised schedule and prefrence of President Marcos as relayed by the Office the President;
The following Awarded by President Marcos under the Republic Act No. 7459 Under ARTICLE II CASH REWARDS Sec. 4 Presidential Awards:
1. Outstanding Invention (Tuklas Award)
2. Outstanding Utility Model (Unlad Award) 
3. Outstanding Indusrial Design (Banghay Award)
4. Outstanding Creative Research (Likha Award for government and privately funded)</t>
  </si>
  <si>
    <t>The Institute implemented the Gawad Alunig x Dalumat campaign to raise awareness and further promote developments in the local innovation and entreprenuerial landscapes also, to establish organic engagement in the innovation ecosystem and provide leads connecting DOST-TAPI with qualified Filipino tech-based business and MSMEs, its target clients, to fulfill DOST's goal of linking its programs and services directly to the people.
The cmapaign is a nationwide journalism contest taht aims to highlight science from the ground as communicated by citizen journalists wherein, for 2024, the theme Small and Medium-sized Enterprises (MSMEs).</t>
  </si>
  <si>
    <t>Cordillera Administrative Region</t>
  </si>
  <si>
    <t>IFSU Main Campus, Lamut, Ifugaot</t>
  </si>
  <si>
    <t>The conduct of the event shall strengthen the engagement of the public with STI and improve the science culture thereby increasing appreciation of science, technology, and innovation in CAR, and as such, the following outputs are expected by the end of the project:
1. Conducted the CY 2024 Regional Science, Technology, and Innovation Week (RSTW) celebration in CAR.
2. Increased awareness of the public on the research and technologies developed by DOST and its partner agencies through the fulll implementation of STI Exhibits including Interactive Exhibits.
3. Developed partnerships with ir among the scientists, researchers, investors, and communicators.
4. Showcased the products developed by the MSMEs assisted by DOST in the region through the conduct of the Techno Bazaar.</t>
  </si>
  <si>
    <t>Davao City</t>
  </si>
  <si>
    <t>Poblacion District</t>
  </si>
  <si>
    <t>Ateneo de Davao University - School of Engineering and Architecture has submitted a proposal for the conduct of a face-to-face Invent School Program (ISP) seminar-workshop for High School Students of Ateneo de Davao University - School of Engineering and Architecture on 24-25 September 2024</t>
  </si>
  <si>
    <t>TAPI GIA - 266,000
TAPI GAA - 878,781</t>
  </si>
  <si>
    <t>DOST-TAPI NCR</t>
  </si>
  <si>
    <t>The activity is aligned with DOST-TAPI's mission to elevate Filipino innovation and underscored the global community's interest in our inventors' contributions.
The Philippines' participation through DOST-TAPI, shall showcase Philippine innovation globally, promote technology transfer, and foster international collaboration.
The participation's specific objectives are as follows:
1. Highlight identified DOST innovations and technologies in key areas aligned with NSTF's categories, demostrating the Philippines' commitment to addressing global challenges: and 
2. Establish and stregthen international partnerships for technology commercialization and collaboration.
The following expected outputs are expected to be realized:
1. Maximum of 9 innovations/technologies highlighted in the exhibition: and 
2. Engagement with atleast 3 startups, startup enablers, event participants, organizers, or relevant stakeholders.</t>
  </si>
  <si>
    <t>DOST - Bicutan, Taguig</t>
  </si>
  <si>
    <t>The project aims to establish an interactive and engaging Booth System that will serve as a focal point for showcasing cutting-edge scientific reserach, and technological innovations, and promoting collaboration among stakeholders during the RSTiW.
The project aims to achieve the following outputs:1.) Showcase a minimum of 20 diverse projets, technologies, and research findings with scientific technological advancements within the region, 2.) at least 20 potential partnerships  among researchers, industry experts, policy makers, and the public for collaborative projects, 3.) Attract and involve a minimum of 500 students in interactive  displays and hands-on activities, 4.) Showcase a minimum of 10 sustainable development  projects and innovations, 5.) Facilitate at least 2 networking opportunities  with stakeholders, 6.) Engage and educate a minimum of 1,000 visitors through interactive exhibits and displays, and 7.) Successfully implement strategies to translate at lest 20 complex scientific concepts into accessible and engaging content.</t>
  </si>
  <si>
    <t>The HIRANG 2.0 Program envisions the following:
1. Capacitate research employees to establish spin-off companies with proper knowledge of business establishment, marketing, sales, financial management, IP management, etc.
2. Equip participants with commercailization, business, and marketing strategies and IRL through mentoring, and consultancy services; and
3. Acquire knnowledge in the preparation of pitch  decks business portfolios or project proposals for funding to various DOST-TAPI programs of assistance.
The following activities shall be conducted to be able to achieve  the overall objective  of the Program: 1.) Investment and Business Development Seminars, 2.) Assessment of Investment  Readiness Level, 3.) Consultancy  Services, 4.) Mentoring, 5.) Business Portfolio Presentation, 6.) Assessment and Review, 7.) Investement Networking, and 7.) Business Registration.</t>
  </si>
  <si>
    <t>Charged to TAPI GAA</t>
  </si>
  <si>
    <t>The DOST-TAPI GFPS-TWG has submitted a proposal for the conduct of GAD Database and Gender Analysis Tranings for DOST-TAPI External Clients which aims to achieve the following objectives:
1. To encourage women inventors/innovators to participate in inventor related activities and leaderships.
2. To conduct one (1) day GAD-related training on GAD Database and Gender Analysis to increase understanding of gender and its importance in the context of innovation  and invention among training participants.
3. To show the significant contributions of women inventors and address the challenges they face due to gender biases; and
4. To promote and encourage the adoption of gender-sensitive paractices in the fields on invention and innovation, fostering a more inclusive environment.
The expected outputs of the activities are:
1. Two (2) GAD-related trainings for women inventors, women researchers and women entrepreneurs on GAD topics, namely on (1) GAD Database and (2) Gender Analysis: and 
2. At least twenty (20) women inventors, researchers and entrepreneurs participated in the training.
The target participants are the following:
1. At least twenty (20) women inventors/innovators,researchers, and entrepreneurs.
2. At least ten (10) TAPI GFPS Technocal Working Group
3. One (1) Resource Speaker</t>
  </si>
  <si>
    <t>The forum is targeted to be attended by a diverse group of stakeholders, including:
1. Government officials and policy makers who play crucial roles in crafting and implementing  climate policies.
2. Industry and business representatives who are at the forefront  of technology development and implementation;
3. Climate change experts and consultants who provide insights and advice on climate resilience and adaptation;
4. Scientist and researchers from various institutions dedicated to advancing climate technologies; and
5. Media preofessionals and journalist who will help amplify the discussions and outcomes of the forum.</t>
  </si>
  <si>
    <t>DOST -TAPI NCR</t>
  </si>
  <si>
    <t>2nd cong. District</t>
  </si>
  <si>
    <t>The Filipino Inventors Society Producers Cooperative (FISPC), one of the accredited invnetors' organizations of DOST-TAPI has submitted a project proposal entitled, "Filipino Inventors' Organization Gathering: A Meeting of Innovative Minds" for possible funding assistance;
The project envisions  the following:
1. Foster collaboration to bring together various accredited inventors organizations that may create opportunities and encourage  multi-organization collaboration.
2. Provide a platform to align the vision and mission of accredited inventors' organizations  that help each inventor understand their purpose.
3. Build and connect with each other towards arriving at a Joint National Invention Week for all inventors' organizations.
4. Create a Focal point system; and
5. Create a Committee for the NIW.</t>
  </si>
  <si>
    <t>F. Murillo St., Poblacion, Compostela, Cebu</t>
  </si>
  <si>
    <t>5th cong. district</t>
  </si>
  <si>
    <t>The proponent has failed to comply with the repayment terms for the funding assistance as indicated in the contact. The legal unit had a face to face meeting with the proponent at his kiosk iside SM City Cebu Seaside on 14 March 2023 wherein he exposed his willingness to enter into a compromise agreement but failed to provide  any proposal as to the repayment of the fnancial obligation.</t>
  </si>
  <si>
    <t>4000000 - repayment
1000000- grant</t>
  </si>
  <si>
    <t>3F enterprise Incubation room, national engineering center, Osmena Ave, UP Campus, Diliman, Quezon City</t>
  </si>
  <si>
    <t>CharM or charging in minutes, is a system for fast charging electric vehicles (EVs) that use lithuim-ion battery storage technology . The CharM provides an alternative charging strategy that eliminates the need for several hours to charge an electric vehicle.</t>
  </si>
  <si>
    <r>
      <rPr>
        <b/>
        <sz val="10"/>
        <color theme="1"/>
        <rFont val="Arial"/>
      </rPr>
      <t xml:space="preserve">Ms. Ralen Rose Gloria L. Malatbalat
</t>
    </r>
    <r>
      <rPr>
        <sz val="10"/>
        <color theme="1"/>
        <rFont val="Arial"/>
      </rPr>
      <t>COO, making.technology
Manufacturing Corporation</t>
    </r>
  </si>
  <si>
    <t>Unit 305, SP&amp;A Building 2, 51 Xavierville Avenue, 
Brgy. Loyola Heights, Quezon CIty</t>
  </si>
  <si>
    <t>The technology being requested for funding assistance is Versatile Instrumentation System for Science Education and Research, is a modem Lab-In-A-Box technology that aims to put modern science labaratories in every school and college by offering low-cost modern digital tools of learning to help equip labaratories and serve as a catalyst in inquiry-based and curiosity-driven learning in science.</t>
  </si>
  <si>
    <t>The conduct of the regional S&amp;T Fair focuses on technology innovation in support of micro, small, medium enterprises, the academe, and the other stakeholders through the conduct of various activities and promoting development in the region.</t>
  </si>
  <si>
    <r>
      <rPr>
        <b/>
        <sz val="10"/>
        <color theme="1"/>
        <rFont val="Arial"/>
      </rPr>
      <t xml:space="preserve">Mr. Alphy C. Ferraren
</t>
    </r>
    <r>
      <rPr>
        <sz val="10"/>
        <color theme="1"/>
        <rFont val="Arial"/>
      </rPr>
      <t xml:space="preserve">Purok 4, Brgy.Gumaga, Libungan, North Cotabato 
bukid_31@yahoo.com
</t>
    </r>
    <r>
      <rPr>
        <b/>
        <sz val="10"/>
        <color theme="1"/>
        <rFont val="Arial"/>
      </rPr>
      <t>0970895069</t>
    </r>
  </si>
  <si>
    <t>Purok 4, Brgy.Gumaga, Libungan, North Cotabato</t>
  </si>
  <si>
    <t xml:space="preserve">XII </t>
  </si>
  <si>
    <t>The USB Port with mounting holder generally comprises a USB and a protective casing accommodating the USB Port has made its male terminals being extended by extension wires soldered at the rear side of the protective casing.</t>
  </si>
  <si>
    <r>
      <rPr>
        <b/>
        <sz val="10"/>
        <color theme="1"/>
        <rFont val="Arial"/>
      </rPr>
      <t xml:space="preserve">Mr. Alvin Phoebe Artemis A. Valdez
</t>
    </r>
    <r>
      <rPr>
        <sz val="10"/>
        <color theme="1"/>
        <rFont val="Arial"/>
      </rPr>
      <t>Interior Fidelidad Street, Barangay 1, Balayan, Batagas 4213
alvinphoebeartemis@gmail.com
+639918781878; +639916453232</t>
    </r>
  </si>
  <si>
    <t>Interior Fidelidad Street, Barangay 1, Balayan, Batagas 4213</t>
  </si>
  <si>
    <t>The technology "IOT Arificial Intelligence-Based Dosing system in Greenhouse" is designed to automatically predict the precise volume of nutrient solution of pH adjusting liquids to add, based on water quality and the total tank or resevoir volume using a trained AI model to enhance adaptability.</t>
  </si>
  <si>
    <t>Topdac, Atok, Benguet</t>
  </si>
  <si>
    <t>Ms. Angelica A. Marcelino of Topdac, Atok, Benguet has submitted  a proposal for the project entitled, "Composting Machine with Rotary mixer" for possible funding assistance under the Concept Prototyping Program. The technology is a combination of shredder and composter that will make that composting period faster and usable in the Benguet Agri-Pinoy Trading Center (BAPTC).</t>
  </si>
  <si>
    <r>
      <rPr>
        <sz val="10"/>
        <color theme="1"/>
        <rFont val="Arial"/>
      </rPr>
      <t>Mr. Melvin B. Luteb
Ampucao, Itogon, Benguet
09207160534/09926860643</t>
    </r>
    <r>
      <rPr>
        <b/>
        <sz val="10"/>
        <color theme="1"/>
        <rFont val="Arial"/>
      </rPr>
      <t xml:space="preserve">
</t>
    </r>
    <r>
      <rPr>
        <sz val="10"/>
        <color theme="1"/>
        <rFont val="Arial"/>
      </rPr>
      <t>luteb.melvin03@gmail.com</t>
    </r>
  </si>
  <si>
    <t>Ampucao, Itogon, Benguet</t>
  </si>
  <si>
    <t>Mr. Melvin B. Luteb of Ampucao, Itogon Bengute has submitted a proposal for the project entitled, "Automated Air-reversible Agricultural Commodities Dryer" for possible funding assistance under the Concept Prototyping Program.</t>
  </si>
  <si>
    <t>Caraga State University</t>
  </si>
  <si>
    <t>CARAGA Region</t>
  </si>
  <si>
    <t>The innovation offers both economic and technical advantages over its cylindrical counterpart, the tedious manual extraction methods and with a rasping capacity of up to 210 kg/hr, it addresses the labor-intensive nature of pith extraction, enhancing traditional practices to achieve optimal operating conditions and maximize pith recovery.
The project aims to:
1. Fabricate the commercial model of a village-level sago pith extracting machine;
2. Pilot test and evaluate the technical performance of the scaled up machine on the field;
3. Establish performance data of the machine;
4. Perform market viability research of the machine; and
5. Transfer the technology to the identified cooperative who is willing and ready to adopt the machine;</t>
  </si>
  <si>
    <t>Development Office, Macapagal Drive, Pueblo De Oro Township, Cagayan de Oro City / 09175305742 / kasaka@aim.edu</t>
  </si>
  <si>
    <t>KASAKA's technology is an enhanced sap extrator and collector designed to transform coconut farming practices, particularly in coconut sap production. This technology has the potential to boost farmer's income, create diversified revenue streams, and enhance the industry's competitiveness in international markets.</t>
  </si>
  <si>
    <t>Charged under eVFP</t>
  </si>
  <si>
    <t>This project aims to provide support for spin-offs including the technology generators, researchers, research teams, or technology transfer or business develop officers of the DOST-RDI generated technologies in increasing their investment readiness through consultancy services, capacity building, and other forms of financial and/or technical assistance.</t>
  </si>
  <si>
    <t>5048 P. Burgos St. Poblacion, Makati City</t>
  </si>
  <si>
    <t xml:space="preserve">Collo is a powerful property management platform developed in response to common operational challenges, such as the manual handling of billing, inventory tracking and utilities management. </t>
  </si>
  <si>
    <t>The event serves as a platform where Filipino investors and entrepreneurs can inspire and be inspired, share their innovative solutions, and potentially forge partnership that will elevate their work to new heights, all in pursuit of prgress of mankind.</t>
  </si>
  <si>
    <t>The Halal Expo Ph 2024, a premier event in the Philippines, presents a unique opportunity to showcase the intersection of science, technology, and innovation with the Halal industry.</t>
  </si>
  <si>
    <t>119250 - TAPI Counterpart
71,750 - To be released to the proponent</t>
  </si>
  <si>
    <t>DOST Regional  Office I has submitted a proposal for the conduct of a face-to-face Invent School Program (ISP) seminar workshop for Elementary Pupils and High School Students in the Eastern Zone of Ilocos Norte.</t>
  </si>
  <si>
    <t>Purok 6 Bonga Bacacay, Albay</t>
  </si>
  <si>
    <t xml:space="preserve">The project proposal entitled "Motorized Multi-Purpose Machine for Grater and Shredder submitted by Mr. Johnny D.Banez. This aims to have a holistic approach of packaged assistance that will harmonize the pre-commercialization programs of DOST-TAPI's Invention Development Division (IDD), in particular, the Testing and Analyses, Industry-Based Invention Development (IBID). and Invention-Based Enterprise Development (IBED) Programs. </t>
  </si>
  <si>
    <t>2024 National Invention Week aims to promote and bring all the accredited Filipino investors organizations and all Filipino investors as a whole into one National Invention Week.</t>
  </si>
  <si>
    <t xml:space="preserve">Bicutan, Taguig </t>
  </si>
  <si>
    <t>The Strategic Planning Workshop aims to evaluate and enhance the Institute's programs and services through a comprehensive SWOT analysis.</t>
  </si>
  <si>
    <t>Las Vegas USA</t>
  </si>
  <si>
    <t>Consumer Electronics Show (CES 2025) to be held in Las Vegas, USA is an influential technology event in the world that provides a platform for breakthrough technologies, leading business brands, and global innovators to do business and meet new partners.</t>
  </si>
  <si>
    <t>Purok 6B, Bual Tulunan, North Cotabato</t>
  </si>
  <si>
    <t>It is a proposed project designed to tackle a significant challenge in the Philippines Agricultural sector, specifically addressing the issues faced by banana farmers by enabling early detection, identification, and classification of disease, while also providing customized solutions to help mitigate these challenges.</t>
  </si>
  <si>
    <t>DOST-TAPI Gender and Development Focal Point System (GFPS) promotes the use of Gender Sensivity and aims at developing a deeper understanding of the roles of women and men in society.</t>
  </si>
  <si>
    <r>
      <rPr>
        <b/>
        <sz val="10"/>
        <color theme="1"/>
        <rFont val="Arial"/>
      </rPr>
      <t xml:space="preserve">JONELLE H. TABLADA / Male
</t>
    </r>
    <r>
      <rPr>
        <sz val="10"/>
        <color theme="1"/>
        <rFont val="Arial"/>
      </rPr>
      <t xml:space="preserve">SOUTHEASTERN LEYTE STATEUNIVERSITY
</t>
    </r>
  </si>
  <si>
    <t>Sogod, Southern Leyte</t>
  </si>
  <si>
    <t>SOUTHEASTERN LEYTE STATE UNIVERSITY, Sogod Southern Leyte</t>
  </si>
  <si>
    <t>2nd. Cong. District</t>
  </si>
  <si>
    <t>VIII Eastern Visayas Region</t>
  </si>
  <si>
    <t>The project aims to improve market readiness of the Solar-Powered Self-Navigating Paddle Wheel Aerator System for grow-out farming through accreditation and actual deplyment toa t least one possible adopter within Region VI, VII, and VIII.
The project's objectives are as follows:
1. Fabricate a commercial model of a Solar-Powered Self-Navigating Paddle Wheel Aerator for aquaculture industries;
2. Conduct field tests and evaluate the performance of the sclaed version of the system;
3. Gather,analyze, and establish technical data of the scaled version of the system;
4. Apply the scaled version of the machine for testing and validation of agricultural machinery;
5. Conduct a cost analysis of the machine; and
6. Utilize research outputs</t>
  </si>
  <si>
    <t>Pasig</t>
  </si>
  <si>
    <t>Ms. Cristina Macaraig as the project leader of the project entitled, "Improvement and Pilot Testing of Alerto PH AI-as-a-Service" from WiredField Philippines Inc. has submitted a proposal for the said project for possible funding assistance under the TECHNiCOM Program. The said project focuses on creating safer Filipino communities. It connects smoke alarms, security systems, CCTV cameras, and health devices to local emergencies services.</t>
  </si>
  <si>
    <t>GIA - 2,498,430
GAA - 1,597,857.40
IGF - 1,387,696.80</t>
  </si>
  <si>
    <t xml:space="preserve">B10 L1 Panama Corner Brussels Streets, Carmel Heights Subdivision, Sampaloc III, Dasmarinas City, Cavite 4114 
buencidon@gmail.com
0945-961-6610
</t>
  </si>
  <si>
    <t>IV-A CALABARZON</t>
  </si>
  <si>
    <t>The technology is designed to prevent unauthorized boarding ships. Constructedly entirely from stainless steel, it ensures crew safety from storage to development and engagement. This aims to provide support in the development and improvement of TRL of ship anti-piracy fence endurance and to improve its technical viability and marketability.</t>
  </si>
  <si>
    <t>A 18 day VAW Campaign, free medical legal clinic and forum on VAW-related topics will be held on November 26 and December 12, 2024 organized by DOST-TAPI Gender and Development Focal Point System (GFPS).</t>
  </si>
  <si>
    <t>5048 P Burgos St, Poblacion, Makati, Metro Manila</t>
  </si>
  <si>
    <t>Market Testing of Online Residential Rental Marketplace for Filipino Students and Young Professionals is a market test and develop the instant booking transactions module in Dormy Ph.</t>
  </si>
  <si>
    <t xml:space="preserve">DOST -FPRDI, Narra Road, Foresty Campus, University of the Philippines Los Banos  (UPLB), College Laguna </t>
  </si>
  <si>
    <t>Expanded Intellectual Property (IP) Rights Assistance Program (E-IPRAP) is designed to facilitate the commercialization of DOST generated research products in foreign markets by ensuring their intellectual property, whether patents, utility models, industrial designs, or trademark, is protected and prepared for potential negotiations and challenges.</t>
  </si>
  <si>
    <t>TAPI - 34500
FBHO - 196,662.50</t>
  </si>
  <si>
    <t>Minuyan, Norzagaray, Bulacan</t>
  </si>
  <si>
    <t>Minuyan National High School has submitted a proposal conduct of a face-to-face Invent School Program (ISP) seminar workshop entitled, Invent School Program Seminar-Workshop for Grade 9-11 Students of Minuyan, Norzagaray, Bulacan on November 7-8, 2024</t>
  </si>
  <si>
    <t>Esperanza St. Poblacion 1, 4608 Basud Camarines Norte</t>
  </si>
  <si>
    <t>Basud National High School from Camarines Norte has submitted a proposal conduct of a face-to-face Invent School Program (ISP) seminar workshop entitled, Invent School Program Seminar-Workshop for Senior High School Studentd of Basud National High School.</t>
  </si>
  <si>
    <t>Martel Bldg. Verdon Parc, Unit 716 Ecoland Drive, Talomo, Bucana, Davao Del Sur, Davao City, 8000</t>
  </si>
  <si>
    <t>Lone District</t>
  </si>
  <si>
    <t>Davao Region XI</t>
  </si>
  <si>
    <t>The project represents a pioneering effort in the domain of food technology, focusing on the development of a fortified, powdered, plant-based milk using coconut as a base, and that will address a notable gap in existing literature and market offerings, contributing valuable insights into the production, fortification, and stabilization of plant-based milk alternatives.
The general objective of this project is to develop a good-tasting, nutritious, and stable FPCM prototype that mimics the flavor profile and mouthfeel of powdered dairy milk, specifically, the project will be divided into three studies with the following objectives: 1) Development of FPCM Formulation Prototype; 2) Market Validation of FPCM Prototype through Sensory Evaluation; and 3) Establishment of Shelf-Life of FPCM in Different Packaging Materials and Conditions</t>
  </si>
  <si>
    <t>DOON Transport Technologies Inc. Unit 302, 5048 P. Burgos Street, Draper Startup House for Entrepreneurs, Brgy. Poblacion, Makati City, Fourth District, NCR</t>
  </si>
  <si>
    <t>4th District</t>
  </si>
  <si>
    <t>By providing a platform that unlocks the untapped potential of privately owned cars and facilitating peer-to-peer car rentals, DOON aims to satisfy these needs by giving people without cars access to a range of vehicle options on demand.
The innovation offers Custom-made 24hr insurance package for hosts on its platform, nationwide roadside assistance and exclusive perks for their hosts, and offers various GPS packages for the best price from the market leader</t>
  </si>
  <si>
    <t>09952033203 (No address specified in the Reso) 
    NCR</t>
  </si>
  <si>
    <t>ScrapCycle presents a revolutionary solution to streamline scrap trading by offering a convenient mobile booking app connecting waste generators (households and businesses) directly with verified scrap collectors and junk shops. Despite being one of the top waste generators in Southeast Asia, the Philippines faces a low recycling rate of 5%, largely due to accessibility issues and lack of motivation.
ScrapCycle is a mobile app that enables users to easily book a scrap trading schedule at their address on the date and time they want which aims to address these challenges by providing a user-friendly platform that facilitates direct scrap trading, thereby promoting recycling and diverting a significant portion of waste from landfills</t>
  </si>
  <si>
    <t>This training program is designed to equip key decision-makers with the tools and methodologies to not only evaluate current programs but also to create forward-thinking strategies for program improvement, consolidation or deletion.</t>
  </si>
  <si>
    <t>Kl.1 Rizal St. Brgy. Washington, Surigao City</t>
  </si>
  <si>
    <t>1st district</t>
  </si>
  <si>
    <t>CG Machine Shop is a Micro Enterprise, founded in 2016 which specializes in gear repairs and metal fabrication services. With the current production area of 128 sqm and 12 manpower, the company can fabricate twenty-four (24) units of assorted major equipment annually and machining services</t>
  </si>
  <si>
    <t xml:space="preserve">CCIS, Makati City </t>
  </si>
  <si>
    <t>University of Makati - College of Computing and Information Sciences from the City of Makati has submitted a proposal for the conduct of a face-to-face Invent School Program (ISP) seminar-workshop entitled, "Invent School Program Seminar-Workshop for Selected BSIT and BSECE Students of University of Makati. The expected outputs of the project are for the student participants to be able to come up with creative outputs, use the steps for inventing or innovating ideas, appreciate the importance of inventions and innovations encourage to avail of the pre-commercialization assistance of DOST-TAPI.</t>
  </si>
  <si>
    <t>P-4, Binocaran, Malimono, Surigao del Norte</t>
  </si>
  <si>
    <t xml:space="preserve">The enterprise produces ready-to-eat squid products in different variants: original, hot and spicy, extra hot, sweet and spicy, and dried squid head hot and spicy. the proponent started her business during the COVID-19 pandemic when
Proponent noticed that local fishermen were struggling to sell their fresh catches due to logistics restrictions, she explored the opportunity by processing the fresh squid into a dried squid to prolong its shelf life.
Tonyts Food Products have on-going orders hence, the request for the financial assistance will help the company to fulfill the unserved POs from its clients. </t>
  </si>
  <si>
    <t>SMX Aura Convention Center Room 3</t>
  </si>
  <si>
    <t>Filipino Investors Society Producers Cooperative (FISPC), one of the accredited inventors organizations of DOST-TAPI has submitted a project proposal entitled, "Stakeholders Meeting and Discussion on the Proposed Revision of RA 7459 Implementing Rules and Regulations (IRR)" for possible funding assistance.</t>
  </si>
  <si>
    <t>DOST Compound Gen. Santos Ave. Bicutan, Taguig City</t>
  </si>
  <si>
    <t>DOST-TAPI implements the Investors Organization Accreditation Program which aims to accredit and recognize investors organizations throughout their activities pursuant to the Republic Act (R.A) No. 7459.</t>
  </si>
  <si>
    <r>
      <rPr>
        <b/>
        <sz val="10"/>
        <color theme="1"/>
        <rFont val="Arial"/>
      </rPr>
      <t>Ms. Melinda C. Medallo</t>
    </r>
    <r>
      <rPr>
        <sz val="10"/>
        <color theme="1"/>
        <rFont val="Arial"/>
      </rPr>
      <t xml:space="preserve"> 
Vice President/Marketing Head
 </t>
    </r>
    <r>
      <rPr>
        <b/>
        <sz val="10"/>
        <color theme="1"/>
        <rFont val="Arial"/>
      </rPr>
      <t>Danilyn's Enterprises, Inc</t>
    </r>
    <r>
      <rPr>
        <sz val="10"/>
        <color theme="1"/>
        <rFont val="Arial"/>
      </rPr>
      <t>.</t>
    </r>
  </si>
  <si>
    <t>B7 L19 Gladiola St., TS Cruz Subdivision, Almanza II, Las Piñas City 1751</t>
  </si>
  <si>
    <t>Ms. Melinda C. Medallo, Vice President / Marketing Head of Danilyn's Enterprises,. Inc., has submitted a project proposal entitled, "Purchase Order Financing for Danilyn's Enterprises, Inc - Phase II". for possible funding assistance under the Venture Financing Program (VFP). It is sucessful setup beneficiary and completed (3) assistance from DOST-NCR with the improvement of processing facility and modern equipment, and through the assistance, the company's production capacity increased while the production waste decreased resulting in increased sales.</t>
  </si>
  <si>
    <t>24 Detroit Street, Barangay Pinagkaisahan, Quezon City, Metro Manila 1111</t>
  </si>
  <si>
    <t>District 4</t>
  </si>
  <si>
    <t>The raw materials, which is the beans are locally and internationally sourced from nearby Metro Manila markets, and Vietnam and China respectively using the variant mongo labo in which the supply of beans is important as this highly affects the quality of lumpia produced. 
The main objectives of the project are to facilitate the production of 2,479 boxes of vegetable lumpiang togue to cater the purchase order of Zenith Foods Corporation (ZFC) for delivery on August, 2024, and help generate around P1.5M profit for Zenith Foods Corporation (ZFC) and help them achieve their business and CSR objectives which include providing livelihood to the community</t>
  </si>
  <si>
    <t>Mr. Patrick Roland C. De Guzman has submitted a project proposal entitled, "Marissa Turbine: Vertical-Axis Tidal Turbine" under the GALING Program. It is a tidal energy device designed to generate electricity using a vertical axis housed within a floating enclosure. It consists a mechanical gearbox and an electrical generator. As the turbine is submerged in water, the movement of rising and falling tides rotates the blades, producing energy.</t>
  </si>
  <si>
    <t>Purok 24, Narra Avenue, Brgy. Poblacion, Bayugan City, 
Agusan del Sur</t>
  </si>
  <si>
    <t>Mr. Noel B. Bacasnot, Chairman of CARAGA Adventists Multi-Purpose Cooperative (CAMPCO) has submitted a project proposal entitled, "Strategic Raw Material Sourcing to Boost Manufacturing Efficiency for CAMPCO" for possible funding assistance under the Venture Financing Program (VFP)</t>
  </si>
  <si>
    <t>Adopted the Recomm</t>
  </si>
  <si>
    <t>sector</t>
  </si>
  <si>
    <t>Project Details</t>
  </si>
  <si>
    <t>http://gofile.me/4xaew/p2YoZvYs7</t>
  </si>
  <si>
    <t>DOST-TAPI’s Anniversary celebration activities will highlight the Institute’s CY 2022 achievements, testimonials of selected DOST-TAPI beneficiaries, ceremonial signing, oath taking of new TAPIEA officers, and recognition of DOST-TAPI’s external and internal partners and stakeholders;</t>
  </si>
  <si>
    <t>http://gofile.me/4xaew/j5wq8quDk</t>
  </si>
  <si>
    <t xml:space="preserve">ACU-i will still be using the theme, “POSIBLE: Presenting Opportunities through Sustainable, Invention-Based and Leveled-up Endeavors” as its thematic approach in this year’s call for proposals for the Grants and Assistance to Leverage Innovations for National Growth (GALING) and promotion of the other inventorand invention-related programs of DOST-TAPI such as the Invent School Program, Intellectual Property Rights Assistance Program, Concept Prototyping Program and LANDBANK-TAPI Innovation and Technology (I-Tech) Lending Program;
</t>
  </si>
  <si>
    <t>http://gofile.me/4xaew/DCJhw6V0h</t>
  </si>
  <si>
    <t>#400 San Miguel, Mexico, Pampanga</t>
  </si>
  <si>
    <t>Y</t>
  </si>
  <si>
    <t>http://gofile.me/4xaew/uuVKpYgWz</t>
  </si>
  <si>
    <t>388 J&amp;M Bldg. Rizal Street , Legazpi City, Albay 4500</t>
  </si>
  <si>
    <t xml:space="preserve">The Project aims to:
a)To assemble, fabricate and deliver the Tsunami Alerting Station in the  Philippines, 2) Generate sales for the company amounting to P 600,000.00 upon installation  and delivery of the two (2) units of Tsunami Early Warning System (TEWS) to  serve the PO of City Government of Legazpi for delivery on 27 May 2023, 
b)To realize a net income of P85,130.00 from the PO of City Government of  Legazpi for two (2) units of Tsunami Early Warning System (TEWS), 
c)To generate and train at least two (2) additional employees in charge of the  installation of the TEWS, ) To ensure continuity of business with the City Government of Legazpi and  maintain good standing as a supplier of TEWs amongst targeted LGUs, and 
d)To serve the ongoing purchase orders for fabrication of TEWS and install the  units in the agreed tim
</t>
  </si>
  <si>
    <t>N</t>
  </si>
  <si>
    <t>http://gofile.me/4xaew/0h84uklcd</t>
  </si>
  <si>
    <t>ACU-n seeks to strengthen the Institute’s communication endeavors in delivering audience-centric key messages by integrating and utilizing all possible and appropriate media platforms, particularly targeting the non-inventor clients composed of startups, micro, small and medium entrepreneurs (MSME), student technopreneurs, and professional organizations</t>
  </si>
  <si>
    <t>http://gofile.me/4xaew/rwTKFv5Ma</t>
  </si>
  <si>
    <t>#21F Pasco Ave., Cruzada, Cmpd. Santolan, Pasig City</t>
  </si>
  <si>
    <t>http://gofile.me/4xaew/ohnsFfJJJ</t>
  </si>
  <si>
    <t>ISST/IRR Km. 39 Brgy. Biga II Aguinaldo Highway, Silang Cavite</t>
  </si>
  <si>
    <t>http://gofile.me/4xaew/RjDKMVGRj</t>
  </si>
  <si>
    <t>http://gofile.me/4xaew/ip9ocRp4I</t>
  </si>
  <si>
    <t>Purok Makuguihon, Upper Tallay, Damaguete City, Negros Oriental</t>
  </si>
  <si>
    <t xml:space="preserve">The proponent also failed to submit the liquidation documents such as Audited Financial Report, Narrative/Progress/Completion Report, and List of Equipment Purchased associated with the Project;
The proponent did not respond to the communications sent by DOST-TAPI relative to the replacement of PDCs with new format PDCs, and to any demand letters sent by the DOST-TAPI Legal Unit including the final demand letter dated 01 February 2023 for the payment of pending obligations and replacement of PDCs;
</t>
  </si>
  <si>
    <t>http://gofile.me/4xaew/KOBa5WJng</t>
  </si>
  <si>
    <t>Gawad Alunig x Dalumat Campaign will again be used for the promotional and marketing of 2023 Regional Invention Contest and Exhibits (RICE) that aims to generate awareness and leads on possible entries for the contest with the ISTE Program as implementor;</t>
  </si>
  <si>
    <t>http://gofile.me/4xaew/he2h8aJlV</t>
  </si>
  <si>
    <t>Regional Invention Contest and Exhibits (RICE) under the ISTE Program is a nationwide activity that recognizes the indispensability of Filipino inventors in the landscape of national economic development through appropriate platforms
Dubbed as ClusteRICE, is proposed to be conducted in five (5) regional clusters particullarly in NCR, North Luzon, South Luzon, Visayas, and Mindanao Clusters</t>
  </si>
  <si>
    <t>http://gofile.me/4xaew/HXr2WlyRC</t>
  </si>
  <si>
    <t>http://gofile.me/4xaew/mzwHuJc3Q</t>
  </si>
  <si>
    <t>Geneva, Switzerland</t>
  </si>
  <si>
    <t>http://gofile.me/4xaew/ybwwy39JS</t>
  </si>
  <si>
    <t>IV-B</t>
  </si>
  <si>
    <t>DOST Region IV-B has submitted a proposal for the conduct of the 2023 MIMAROPA Regional Science and Technology Week (RSTW) on 16-18 May 2023 at Boac, Marinduque</t>
  </si>
  <si>
    <t>http://gofile.me/4xaew/K8ZHbQCEP</t>
  </si>
  <si>
    <t>FISCAR has entered a Memorandum of Agreement (MOA) with the Smith Valley Agriculture Cooperative with the aim to encourage the said cooperative to patronize local technologies through the following FISCAR technologies:
Multipurpose Heat Recycling Dehydrator (UM 2-2018-00632) for the dehydration of their root crops and other products 
Improved Multi-Purpose Pressing Machine (UM 2-20190001595) for extracting juices or shaping compact mold</t>
  </si>
  <si>
    <t>http://gofile.me/4xaew/wakScw7Hn</t>
  </si>
  <si>
    <t>Romblon</t>
  </si>
  <si>
    <t>http://gofile.me/4xaew/miZVRnZyy</t>
  </si>
  <si>
    <t>Rapu-Rapu, Albay</t>
  </si>
  <si>
    <t>DOST Region V has submitted a proposal for the conduct of a face-to-face Invent School seminar workshop on 3 May 2023 for elementary students and 4-5 May 2023 for high school students in Rapu-Rapu, Alba</t>
  </si>
  <si>
    <t>http://gofile.me/4xaew/NMMIfaGil</t>
  </si>
  <si>
    <t>North Zone of Ilocos Norte</t>
  </si>
  <si>
    <t>The seminar-workshop is proposed to be conducted on May 29-31, 2023, May 29-30, 2023 for the High School Level and May 31, 2023 for the Elementary Level (two (2) batches) at the Bangui National High School, Bangui, Ilocos Norte for easy access of all participating pupils and teachers</t>
  </si>
  <si>
    <t>B7 L19 Gladiola St., TS Cruz Subdivision Almaza II, Las  Piñas</t>
  </si>
  <si>
    <t>The company is requesting DOST-TAPI for a possible funding assistance for the delivery of two (2) Purchase Orders issued by Rajojos Heritage Construction Corporation; this is the company’s first request for assistance to DOST-TAPI</t>
  </si>
  <si>
    <t>http://gofile.me/4xaew/u0kmkTSbP</t>
  </si>
  <si>
    <t>Masbate</t>
  </si>
  <si>
    <t>Whereas, the DOST Region V has submitted a proposal for the conduct of a virtual seminar-workshop Invent School Program (ISP) for elementary, high school and elementary students in Masbate</t>
  </si>
  <si>
    <t>http://gofile.me/4xaew/LdFcpydOE</t>
  </si>
  <si>
    <t>● Promote camaraderie and trust among members of the organization;
● Build team cohesion by breaking barriers in interpersonal relationships;
● Build interpersonal communication and enhance communications;
● Enhance self-discipline and appreciation of leadership by building mutual trust and confidence; and
● To acquire equipment like computers printer and scanners for autocad design for use and training of RIISI member</t>
  </si>
  <si>
    <t>http://gofile.me/4xaew/YyCyxMkcH</t>
  </si>
  <si>
    <t>The project became delinquent and was forwarded to DOST-TAPI’s Enforcement Unit due to non-payment of obligation, non-submission of liquidation documents, and eighteen (18) bounced checks</t>
  </si>
  <si>
    <t>http://gofile.me/4xaew/HWI1xKftm</t>
  </si>
  <si>
    <t>http://gofile.me/4xaew/22e3orMFQ</t>
  </si>
  <si>
    <t>http://gofile.me/4xaew/bpiXdOVFD</t>
  </si>
  <si>
    <t xml:space="preserve">#15 London cr. Moscow St., 
Greenland Ph1, Subd., Nangka, Marikina City
</t>
  </si>
  <si>
    <t>The company has served and continues to serve local and regional clients. Regular clients of the company are Authentic Wood Products and Exciting Gifts Goodies (EGG) which has branches and pop-up stores in different Ayala and SM Malls. While Natasha is their new client, the company are currently coordinating with the brand Parisian to supply their leather products.</t>
  </si>
  <si>
    <t>http://gofile.me/4xaew/ebn2H0lSQ</t>
  </si>
  <si>
    <t>#14 Harvard St., Jesus Dela Pena, Marikina City</t>
  </si>
  <si>
    <t>http://gofile.me/4xaew/00xEPlaWW</t>
  </si>
  <si>
    <t xml:space="preserve">Unit 1-C, 4423 Montojo St. Tejeros, Makati City </t>
  </si>
  <si>
    <t>http://gofile.me/4xaew/1bLveAgg2</t>
  </si>
  <si>
    <t>#14 Acacia St., Ceris Subdivision, Canlubang, Calamba City, Laguna</t>
  </si>
  <si>
    <t>http://gofile.me/4xaew/5JXkW89Fm</t>
  </si>
  <si>
    <t xml:space="preserve">Brgy. 183, Villamor, Pasay City /
Sitio Duhatan, Brgy. Laurel, Mabini, Batangas
</t>
  </si>
  <si>
    <t>http://gofile.me/4xaew/MUSAwgMcW</t>
  </si>
  <si>
    <t>1 Walnut Fairview, Quezon City</t>
  </si>
  <si>
    <t>http://gofile.me/4xaew/bET06xWCS</t>
  </si>
  <si>
    <t>214A Peart St., Cor. Emerald, Palmera 2 Subdivision Taytay, Rizal</t>
  </si>
  <si>
    <t>http://gofile.me/4xaew/9KcNecWJr</t>
  </si>
  <si>
    <t>http://gofile.me/4xaew/ByRMoojRq</t>
  </si>
  <si>
    <t>Lumbia District Pagadian City</t>
  </si>
  <si>
    <t>http://gofile.me/4xaew/MQECs3meh</t>
  </si>
  <si>
    <t xml:space="preserve">Km 6, Betag, La Trinidad, Benguet/
Lot 5, Benin, Pinsao Proper, 
Baguio City
</t>
  </si>
  <si>
    <t>http://gofile.me/4xaew/VBCmGi6ub</t>
  </si>
  <si>
    <t>http://gofile.me/4xaew/niDuzvOEe</t>
  </si>
  <si>
    <t>http://gofile.me/4xaew/FZyumPd2t</t>
  </si>
  <si>
    <t>http://gofile.me/4xaew/4ijQ6IhtH</t>
  </si>
  <si>
    <t>http://gofile.me/4xaew/0EZT9GYX8</t>
  </si>
  <si>
    <t>73 Mangga Street, Purok Sumulong Brgy. Dela Paz, Antipolo City</t>
  </si>
  <si>
    <t>http://gofile.me/4xaew/2gJUACC74</t>
  </si>
  <si>
    <t xml:space="preserve">Market validation and packaging of Organic
Coffee
</t>
  </si>
  <si>
    <t xml:space="preserve">Ms. Nanette D. Bilbao 
</t>
  </si>
  <si>
    <t>Caridad, Dumingag, 
Zamboanga del Sur
acadprogdir@gmail.com
09999922557</t>
  </si>
  <si>
    <t>http://gofile.me/4xaew/PjhOCv2P4</t>
  </si>
  <si>
    <t>Purok 3, Mambog, Botolan, Zambales 0919-994-0547 orliepanes@gmail.com</t>
  </si>
  <si>
    <t xml:space="preserve">P-1 San Juan, San Jose, Dinagat Islands
gibsonjisrosales@gmail.com
09661531394
</t>
  </si>
  <si>
    <t>http://gofile.me/4xaew/KSeuggZkS</t>
  </si>
  <si>
    <t>Mr. Jose Ingles
37-A Masikap st Brgy Pinyahan, Quezon City
inglesjosel3@gmail.com        
0998-762-266</t>
  </si>
  <si>
    <t>Batangas State University</t>
  </si>
  <si>
    <t>Brgy. Malasugui, Labo, Camarines Norte</t>
  </si>
  <si>
    <t>Loi Street, Cavinitan, Virac, Catanduanes</t>
  </si>
  <si>
    <t>the technology uses abaca core as one of the ingredients in making burger patties that can be considered to have more nutritional content than those commercial patties that can be bought in different supermarkets
the product of this study which is burger patty with abaca core is expected to help burger manufacturers in using less expensive, yet healthier and palatable patties on their burgers</t>
  </si>
  <si>
    <t>Maslog, Brgy. Balbagon, Mambajao, Camiguin</t>
  </si>
  <si>
    <t>257 Del Pilar St. Magdalena, Cabatuan, Isabela</t>
  </si>
  <si>
    <t>726 City and Land Mega Plaza Bldg., Adb. Avenue Garnet Road, Ortigas Center, Brgy San Antonio, Pasig City</t>
  </si>
  <si>
    <t>Welborne Industrial Park, Brgy Bancal Carmona, Cavite</t>
  </si>
  <si>
    <t xml:space="preserve">V. Weisz Synergy, Incorporated No. 13-B Sapphire Street, DBP Farm Road DBP Farm Subd. 
Pulang Lupa Dos, Las Piñas City
</t>
  </si>
  <si>
    <t xml:space="preserve">
J. Emmanuel Pastries (JEP)
178 Jacana St. RJ Villagem Haring, Canaman, 
Camarines Sur
</t>
  </si>
  <si>
    <t xml:space="preserve">Nanusci, Incorporated
 Bldg 2., 999 Cabangaan Pt. Cawag Subic Zambales, 2209
</t>
  </si>
  <si>
    <t xml:space="preserve">Ms. Mariecel A. Fuentes 
</t>
  </si>
  <si>
    <t>Brgy. San Pablo, Dumingag, Zamboanga del Sur</t>
  </si>
  <si>
    <t xml:space="preserve"> Mango Avenue Piapi, Dumaguete City, Negros Oriental 6200</t>
  </si>
  <si>
    <t>2023 TOTAL approved amount under GIA 
as of 19 July 2023</t>
  </si>
  <si>
    <t>TOTAL APPROVED</t>
  </si>
  <si>
    <t>VFP BUDGET</t>
  </si>
  <si>
    <t>MOOE: Financial Assistance</t>
  </si>
  <si>
    <t>PAP</t>
  </si>
  <si>
    <t>NEP</t>
  </si>
  <si>
    <t>Additional (Senate Adjustment)</t>
  </si>
  <si>
    <t>Total GIA 2024</t>
  </si>
  <si>
    <t>Technology Application, Promotion and Commercialization</t>
  </si>
  <si>
    <t>24,000</t>
  </si>
  <si>
    <t>Technology and Invention Development Assistance</t>
  </si>
  <si>
    <t>41,841</t>
  </si>
  <si>
    <t>2022 technicom</t>
  </si>
  <si>
    <t>coco sorbetes</t>
  </si>
  <si>
    <t>rte</t>
  </si>
  <si>
    <t>santorcas</t>
  </si>
  <si>
    <t>dan william</t>
  </si>
  <si>
    <t>btc lab kit</t>
  </si>
  <si>
    <t>GOVT</t>
  </si>
  <si>
    <t>RSTW</t>
  </si>
  <si>
    <t>lone district of Romblon</t>
  </si>
  <si>
    <t>2nd district of Albay</t>
  </si>
  <si>
    <t>North Zone of Ilocos Norte, - municipalities of Bangui, burgos, adams, and pagudpud</t>
  </si>
  <si>
    <t>1st district of Ilocos Norte</t>
  </si>
  <si>
    <t>Masbate - municipalities of San jacinto, Batuan, San pascual, esperanza (3rd), and cataingan (3rd)</t>
  </si>
  <si>
    <t xml:space="preserve">1st and 3rd district of Masbate </t>
  </si>
  <si>
    <t>1st district of Makati</t>
  </si>
  <si>
    <t>2nd district of Laguna</t>
  </si>
  <si>
    <t>2nd district of Batangas</t>
  </si>
  <si>
    <t>1st district of Rizal</t>
  </si>
  <si>
    <t>1st district of Albay</t>
  </si>
  <si>
    <t>1st district of Zamboanga del sur</t>
  </si>
  <si>
    <t>lone district of Baguio</t>
  </si>
  <si>
    <t xml:space="preserve">Batangas State University, </t>
  </si>
  <si>
    <t>6th district of Batangas</t>
  </si>
  <si>
    <t>DOST-PNRI, Diliman Quezon City</t>
  </si>
  <si>
    <t>2nd district of Quezon City</t>
  </si>
  <si>
    <t>1st district of Antipolo</t>
  </si>
  <si>
    <t>2nd district of Zambales</t>
  </si>
  <si>
    <t>lone district of dinagat island</t>
  </si>
  <si>
    <t>4th district of Quezon City</t>
  </si>
  <si>
    <t>Batangas State University, Lipa</t>
  </si>
  <si>
    <t>lone district of Catanduanes</t>
  </si>
  <si>
    <t>projects approved</t>
  </si>
  <si>
    <t>29 Gen Capinpin St., San Antonio, Pasig</t>
  </si>
  <si>
    <t xml:space="preserve">515 Emerald St., Nepa Subd., 
San Vicente, Biñan, Laguna
</t>
  </si>
  <si>
    <t>Purok 7, Barangay Communal, Buhangin District, Davao City</t>
  </si>
  <si>
    <t xml:space="preserve">Kajatian, Indanan, Sulu
farshaniasgali@gmail.com
09555980638 / 09057969659
</t>
  </si>
  <si>
    <t xml:space="preserve">1st district of Sulu </t>
  </si>
  <si>
    <t xml:space="preserve">17 Cavite Street, Bonifacio Village, Brgy. Pasong Tamo, Quezon City
   eleanor.olegario@gmail.com
09209129187
</t>
  </si>
  <si>
    <t>6th district of Quezon City</t>
  </si>
  <si>
    <t xml:space="preserve">Tetuan, Zamboanga City
   rodneyiebrolegonzales@gmail.com
09275808102
</t>
  </si>
  <si>
    <t>2nd district of Zamboanga City</t>
  </si>
  <si>
    <t>RICE/NICE</t>
  </si>
  <si>
    <t>331 San Isidro Village, Virac, Catanduanes</t>
  </si>
  <si>
    <t>lone district of catanduanes</t>
  </si>
  <si>
    <t>609 Malued St., Brgy Malued, Dagupan City, Pangasinan</t>
  </si>
  <si>
    <t>4th district of Pangasinan</t>
  </si>
  <si>
    <t># 331 San Isidro Village, Virac, Catanduanes	mamonettetugay@gmail.com
09198563327</t>
  </si>
  <si>
    <t>2023 TOTAL approved amount under GIA 
as of 22 September 2023</t>
  </si>
  <si>
    <t>TOTAL</t>
  </si>
  <si>
    <t>vfp</t>
  </si>
  <si>
    <t>hirang</t>
  </si>
  <si>
    <t>a</t>
  </si>
  <si>
    <t>Industry</t>
  </si>
  <si>
    <t>https://docs.google.com/document/d/1Qkv65DnUkfiGv4tBMWbGN4d_qhjLSHxU/edit?usp=share_link&amp;ouid=108396888121477022776&amp;rtpof=true&amp;sd=true</t>
  </si>
  <si>
    <t>http://gofile.me/4xaew/4FgvmJQ7d</t>
  </si>
  <si>
    <t>LU</t>
  </si>
  <si>
    <t>Promotion</t>
  </si>
  <si>
    <t>https://docs.google.com/document/d/1noqr8VLpQDVMIZmEo47szAAL0rBcMp5-/edit?usp=share_link&amp;ouid=108396888121477022776&amp;rtpof=true&amp;sd=true</t>
  </si>
  <si>
    <t>http://gofile.me/4xaew/Qlk8R4pRT</t>
  </si>
  <si>
    <t>https://drive.google.com/file/d/1bqU1ugBB4oO2vwXzawBH3QjsoPKcQqYh/view?usp=sharing</t>
  </si>
  <si>
    <t>http://gofile.me/4xaew/xqiKeulhk</t>
  </si>
  <si>
    <t>https://drive.google.com/file/d/1R1lkhObQLObKOnacxqZEcJL6ONrwmEoO/view?usp=share_link</t>
  </si>
  <si>
    <t>http://gofile.me/4xaew/bxkNTWqod</t>
  </si>
  <si>
    <t>Education</t>
  </si>
  <si>
    <t>http://gofile.me/4xaew/tvJkDnKsL</t>
  </si>
  <si>
    <t xml:space="preserve">Financial </t>
  </si>
  <si>
    <t xml:space="preserve"> 1,831, 800.00</t>
  </si>
  <si>
    <t>http://gofile.me/4xaew/8Tq6hmYn8</t>
  </si>
  <si>
    <t>https://drive.google.com/file/d/1ijOiC8yxqiDBjnTxBAEDm-mCbxMTq1cy/view?usp=share_link</t>
  </si>
  <si>
    <t>http://gofile.me/4xaew/7HjNO3XMy</t>
  </si>
  <si>
    <t>http://gofile.me/4xaew/ubA6QOD0h</t>
  </si>
  <si>
    <t>https://drive.google.com/file/d/1DCLyGKFuJzbU6iw2LtBZy8AdEy8tsLuA/view?usp=sharing</t>
  </si>
  <si>
    <t>http://gofile.me/4xaew/4JIuSos4q</t>
  </si>
  <si>
    <t>http://gofile.me/4xaew/cwJzQrC89</t>
  </si>
  <si>
    <t>http://gofile.me/4xaew/fBMKXcLVX</t>
  </si>
  <si>
    <t>http://gofile.me/4xaew/kVTtmDyFX</t>
  </si>
  <si>
    <t>http://gofile.me/4xaew/1mHb8uxMD</t>
  </si>
  <si>
    <t>Technology Computer</t>
  </si>
  <si>
    <t>https://drive.google.com/file/d/1XII12x9BIkyAqwjRhEkFoKQkAjpjtgwY/view?usp=share_link</t>
  </si>
  <si>
    <t>http://gofile.me/4xaew/AZD62GfAL</t>
  </si>
  <si>
    <t>63 Years old</t>
  </si>
  <si>
    <t>https://drive.google.com/file/d/1OYQmyw4kzKoB0GRvlTGAuzXMrR-RevjZ/view?usp=share_link</t>
  </si>
  <si>
    <t>http://gofile.me/4xaew/nJXbhrghe</t>
  </si>
  <si>
    <t>http://gofile.me/4xaew/snkQtTUTn</t>
  </si>
  <si>
    <t>Engineering</t>
  </si>
  <si>
    <t>https://drive.google.com/file/d/1F3QcILAPK7UlezzCXm2YfCy4xScxZ6Iz/view?usp=drive_link</t>
  </si>
  <si>
    <t>http://gofile.me/4xaew/aVhyUuxft</t>
  </si>
  <si>
    <t>DLSU</t>
  </si>
  <si>
    <t>https://drive.google.com/drive/folders/1n-PSGn8y6Io9Pf_08hiRlM1TI6acxTc0?usp=share_link</t>
  </si>
  <si>
    <t>http://gofile.me/4xaew/oVykDqgyM</t>
  </si>
  <si>
    <t>Ateneo De Manila</t>
  </si>
  <si>
    <t>The projects aims to prepare the Smart Low-cost Phototherapy Light System (LPLS) to be market-ready. the project aims to validate the problem &amp; needs of stakeholders; To test and validate the Low-cost Phototherapy Light System(LPLS); to build  capacities and ascertain the need and requirements for FDA approval; To comply with pre-commercialization requirements; to pitch to potential investors.</t>
  </si>
  <si>
    <t>https://docs.google.com/presentation/d/1M9Qh5YFzGASV4GufTIovqSlwhMcyEywc/edit?usp=share_link&amp;ouid=108396888121477022776&amp;rtpof=true&amp;sd=true</t>
  </si>
  <si>
    <t>http://gofile.me/4xaew/1ZzOtwuUx</t>
  </si>
  <si>
    <t>https://docs.google.com/presentation/d/1Ct2Ufan55pH1fZhQjxz4-GskxVQ7JVpQ/edit?usp=share_link&amp;ouid=108396888121477022776&amp;rtpof=true&amp;sd=true</t>
  </si>
  <si>
    <t>http://gofile.me/4xaew/Yw0RT4OZ0</t>
  </si>
  <si>
    <t>Environment</t>
  </si>
  <si>
    <t>https://docs.google.com/presentation/d/1IZ0mmAnxty-rV3DxLocjD9Axkx2USMOa/edit?usp=share_link&amp;ouid=108396888121477022776&amp;rtpof=true&amp;sd=true</t>
  </si>
  <si>
    <t>http://gofile.me/4xaew/iFahZZ0xz</t>
  </si>
  <si>
    <t>http://gofile.me/4xaew/SVxdyrvTp</t>
  </si>
  <si>
    <t>Food Process</t>
  </si>
  <si>
    <t>https://drive.google.com/file/d/1aV9DO7oN2HiZx_9UjqGRDlQfZgTIDtYd/view?usp=share_link</t>
  </si>
  <si>
    <t>http://gofile.me/4xaew/5fXSQjnbL</t>
  </si>
  <si>
    <t>http://gofile.me/4xaew/QeDqideKe</t>
  </si>
  <si>
    <t>http://gofile.me/4xaew/kxj7mAxUQ</t>
  </si>
  <si>
    <t>http://gofile.me/4xaew/bwAfwjVC2</t>
  </si>
  <si>
    <t>https://drive.google.com/file/d/10__WTGX8aKfRbdN6kgys0eBUTIocdftm/view?usp=share_link</t>
  </si>
  <si>
    <t>http://gofile.me/4xaew/EXmKqCL5x</t>
  </si>
  <si>
    <t>http://gofile.me/4xaew/aI5sC1IzI</t>
  </si>
  <si>
    <t>https://drive.google.com/file/d/1sT9NGoPg7mhF9vNjnMSNE17F_KKLNxpk/view?usp=share_link</t>
  </si>
  <si>
    <t>http://gofile.me/4xaew/JQU1OuJLi</t>
  </si>
  <si>
    <t>https://drive.google.com/file/d/12nNqKiauytc9DBAnpZYWN4AsuDxdjLnU/view?usp=share_link</t>
  </si>
  <si>
    <t>http://gofile.me/4xaew/uFttosQ4c</t>
  </si>
  <si>
    <t>https://docs.google.com/document/d/15Mm-EHfKkjv49KCKhfVqf-6j2jEL-cJW/edit?usp=share_link&amp;ouid=108396888121477022776&amp;rtpof=true&amp;sd=true</t>
  </si>
  <si>
    <t>http://gofile.me/4xaew/tYC5f0Vwl</t>
  </si>
  <si>
    <t>https://docs.google.com/document/d/10YxfwKIbjIjbOiZM7qfUH6qgyl8MI4Cs/edit?usp=share_link&amp;ouid=108396888121477022776&amp;rtpof=true&amp;sd=true</t>
  </si>
  <si>
    <t>http://gofile.me/4xaew/aG5eGIFdx</t>
  </si>
  <si>
    <t>https://drive.google.com/file/d/13HtBQkpQjT8nElD301zYR3TOgQDVJl3X/view?usp=share_link</t>
  </si>
  <si>
    <t>http://gofile.me/4xaew/nyshimZbc</t>
  </si>
  <si>
    <t>http://gofile.me/4xaew/pVPjNvrQr</t>
  </si>
  <si>
    <t>http://gofile.me/4xaew/r9YRFxOCg</t>
  </si>
  <si>
    <t>https://docs.google.com/document/d/1bTEBUAU0ST-etCdrgR9GMu9g1Ucx-am0/edit?usp=share_link&amp;ouid=108396888121477022776&amp;rtpof=true&amp;sd=true</t>
  </si>
  <si>
    <t>https://docs.google.com/document/d/1EgCeQpQPtMDYEzUeqVQKPR6zLsMAY5P3/edit?usp=share_link&amp;ouid=108396888121477022776&amp;rtpof=true&amp;sd=true</t>
  </si>
  <si>
    <t>http://gofile.me/4xaew/BAMJRIstZ</t>
  </si>
  <si>
    <t>Male</t>
  </si>
  <si>
    <t>http://gofile.me/4xaew/qiXvuC0HZ</t>
  </si>
  <si>
    <t>68 Years old</t>
  </si>
  <si>
    <t>https://docs.google.com/presentation/d/1znZMXjVXRvBNBTjyBYZUHrNXNuJavGH8/edit?usp=share_link&amp;ouid=108396888121477022776&amp;rtpof=true&amp;sd=true</t>
  </si>
  <si>
    <t>http://gofile.me/4xaew/dz6iFNePq</t>
  </si>
  <si>
    <t>Agriculture</t>
  </si>
  <si>
    <t>https://drive.google.com/file/d/1sxlMlwlpdQGTbpGtukZuMya5ATS1eiPL/view?usp=share_link</t>
  </si>
  <si>
    <t>http://gofile.me/4xaew/Vz3zxDv5p</t>
  </si>
  <si>
    <t>Service Sector</t>
  </si>
  <si>
    <t>https://docs.google.com/document/d/1V7_p9C6mtRPeXVRzXfOpSUNCO-3xLBJp/edit?usp=share_link&amp;ouid=108396888121477022776&amp;rtpof=true&amp;sd=true</t>
  </si>
  <si>
    <t>http://gofile.me/4xaew/CgvtDkEv2</t>
  </si>
  <si>
    <t>http://gofile.me/4xaew/SJWaLq7LJ</t>
  </si>
  <si>
    <t>https://drive.google.com/file/d/17bjtXhTYfBgiorum7TlhRZ1rc9tYldpp/view?usp=drive_link</t>
  </si>
  <si>
    <t>http://gofile.me/4xaew/gdQ3l7dGS</t>
  </si>
  <si>
    <t>https://drive.google.com/file/d/1ho9KCwiL0ibN61KRxhWzbLhkMQ4SfAyB/view?usp=share_link</t>
  </si>
  <si>
    <t>http://gofile.me/4xaew/BJLY78Ath</t>
  </si>
  <si>
    <t>http://gofile.me/4xaew/geMyPRsTw</t>
  </si>
  <si>
    <t>https://drive.google.com/file/d/1D1srn3ljvi0fXZxJOOz1idi1WRXs2oHR/view?usp=share_link</t>
  </si>
  <si>
    <t>http://gofile.me/4xaew/CI4xGheKx</t>
  </si>
  <si>
    <t>SUC/RDI</t>
  </si>
  <si>
    <t>https://drive.google.com/file/d/1EbTGv3VXwyw3i2aNHGsu80eL0xty9gGK/view?usp=drive_link</t>
  </si>
  <si>
    <t>http://gofile.me/4xaew/B0uizvMXd</t>
  </si>
  <si>
    <t>Region 5</t>
  </si>
  <si>
    <t>http://gofile.me/4xaew/buFgxUhGU</t>
  </si>
  <si>
    <t>https://docs.google.com/document/d/1QOKD5zVjCok2VREpONeiEM73_fBhA19p/edit?usp=share_link&amp;ouid=108396888121477022776&amp;rtpof=true&amp;sd=true</t>
  </si>
  <si>
    <t>http://gofile.me/4xaew/1C4Ku2kvC</t>
  </si>
  <si>
    <t>Health care Provider</t>
  </si>
  <si>
    <t>https://drive.google.com/file/d/12Sdxe-SggSZglylU0OxRi4DcVaRxNK9g/view?usp=share_link</t>
  </si>
  <si>
    <t>http://gofile.me/4xaew/xBReGsvV6</t>
  </si>
  <si>
    <t>Proposal</t>
  </si>
  <si>
    <t>http://gofile.me/4xaew/BwDU6J7al</t>
  </si>
  <si>
    <t>http://gofile.me/4xaew/NSJwwjwln</t>
  </si>
  <si>
    <t>http://gofile.me/4xaew/YlSGerLCp</t>
  </si>
  <si>
    <t>http://gofile.me/4xaew/fs1isbibh</t>
  </si>
  <si>
    <t>https://drive.google.com/file/d/1D8TdMQp9BS83-ubV88x2hvgFBtdowh1h/view?usp=share_link</t>
  </si>
  <si>
    <t>http://gofile.me/4xaew/Pg39i8WU3</t>
  </si>
  <si>
    <t>Enggineering</t>
  </si>
  <si>
    <t>http://gofile.me/4xaew/6qMxcp1qt</t>
  </si>
  <si>
    <t>Financial</t>
  </si>
  <si>
    <t>Region 3</t>
  </si>
  <si>
    <t>https://drive.google.com/file/d/1x1tqW3_LCGNn8MNDEac3EB6pCMigJ0H-/view?usp=share_link</t>
  </si>
  <si>
    <t>http://gofile.me/4xaew/Tn5ngrbcI</t>
  </si>
  <si>
    <t>Food Processing</t>
  </si>
  <si>
    <t>https://drive.google.com/file/d/1mQLYk-hAJjukO1ag4SmZRB8utGKqWPmi/view?usp=drive_link</t>
  </si>
  <si>
    <t>http://gofile.me/4xaew/DT0iDvU2i</t>
  </si>
  <si>
    <t>http://gofile.me/4xaew/xjakNsupq</t>
  </si>
  <si>
    <t>http://gofile.me/4xaew/fN3lFWUuc</t>
  </si>
  <si>
    <t>Female</t>
  </si>
  <si>
    <t>http://gofile.me/4xaew/4px7A5Eji</t>
  </si>
  <si>
    <t>https://drive.google.com/file/d/1HYwXolHiQQEDvCACd57Y9e9KLhsJybgy/view?usp=drive_link</t>
  </si>
  <si>
    <t>http://gofile.me/4xaew/AammMhrQr</t>
  </si>
  <si>
    <t>EDUCATION</t>
  </si>
  <si>
    <t>http://gofile.me/4xaew/DZIiekPVV</t>
  </si>
  <si>
    <t>Region 8</t>
  </si>
  <si>
    <t>DOST RO</t>
  </si>
  <si>
    <t>http://gofile.me/4xaew/NmKbl1JeE</t>
  </si>
  <si>
    <t>http://gofile.me/4xaew/0bG8gPFY8</t>
  </si>
  <si>
    <t>Policy</t>
  </si>
  <si>
    <t>http://gofile.me/4xaew/ktwJxrUaO</t>
  </si>
  <si>
    <t>http://gofile.me/4xaew/d9DXOpDNN</t>
  </si>
  <si>
    <t>http://gofile.me/4xaew/bGhKPmijy</t>
  </si>
  <si>
    <t>Region 4A</t>
  </si>
  <si>
    <t>http://gofile.me/4xaew/L8qbUamz2</t>
  </si>
  <si>
    <t>https://drive.google.com/file/d/1_wFduN4nuHQ4DUQ80CAtdFGdXyTbgi4s/view?usp=drive_link</t>
  </si>
  <si>
    <t>http://gofile.me/4xaew/akRQ8vyRw</t>
  </si>
  <si>
    <t>http://gofile.me/4xaew/WLiWXZJSL</t>
  </si>
  <si>
    <t>Region 7</t>
  </si>
  <si>
    <t>https://drive.google.com/file/d/1F04pusUE84JPtUdmwWRfnbRXDJGI2gA6/view?usp=drive_link</t>
  </si>
  <si>
    <t>http://gofile.me/4xaew/BMI0Q9gpU</t>
  </si>
  <si>
    <t>http://gofile.me/4xaew/47xpLjHMw</t>
  </si>
  <si>
    <t>http://gofile.me/4xaew/YT8QWQlKO</t>
  </si>
  <si>
    <t>http://gofile.me/4xaew/jfG1EF99c</t>
  </si>
  <si>
    <t>http://gofile.me/4xaew/Nv3ndJaHK</t>
  </si>
  <si>
    <t>Resolution</t>
  </si>
  <si>
    <t>Artist</t>
  </si>
  <si>
    <t>Region 6</t>
  </si>
  <si>
    <t>SUC/SEI</t>
  </si>
  <si>
    <t>http://gofile.me/4xaew/sR8VSodZa</t>
  </si>
  <si>
    <t>https://drive.google.com/file/d/1YC5l7q77aGOFOgNGuVe2mWsRPfAbimMz/view?usp=drive_link</t>
  </si>
  <si>
    <t>http://gofile.me/4xaew/3Zj43dagQ</t>
  </si>
  <si>
    <t>http://gofile.me/4xaew/uoPNLlydK</t>
  </si>
  <si>
    <t>https://drive.google.com/file/d/1RQYgxGnbW_BbkmJCAs0Yp33p7lllNXHC/view?usp=drive_link</t>
  </si>
  <si>
    <t>http://gofile.me/4xaew/gUj9ZCufG</t>
  </si>
  <si>
    <t>https://drive.google.com/file/d/1PsHt4GdLwJjZkGzebM6gJKLGUzvlUj_s/view?usp=drive_link</t>
  </si>
  <si>
    <t>http://gofile.me/4xaew/Q9qezXvbb</t>
  </si>
  <si>
    <t>Manufacturing and Production</t>
  </si>
  <si>
    <t>https://drive.google.com/file/d/1UH0ACQnupJyH-xn1B2Rg1dgAiynMm5ij/view?usp=drive_link</t>
  </si>
  <si>
    <t>http://gofile.me/4xaew/uWHuXxw6C</t>
  </si>
  <si>
    <t>Technology- non- computer</t>
  </si>
  <si>
    <t>https://drive.google.com/file/d/1PqCwyZGFzdYq_FIFZIIWiiVE1yzp1ohP/view?usp=drive_link</t>
  </si>
  <si>
    <t>http://gofile.me/4xaew/6Xp72w1rF</t>
  </si>
  <si>
    <t>https://drive.google.com/file/d/1AYhWrM4tUzG1NizVZ8Fg5erPAl_-nqkf/view?usp=drive_link</t>
  </si>
  <si>
    <t>Region 4B</t>
  </si>
  <si>
    <t>https://drive.google.com/file/d/1eUvwMnEMRpLRCqP9bxhC_lhO2amvVMU-/view?usp=drive_link</t>
  </si>
  <si>
    <t>http://gofile.me/4xaew/4X2Hvp5nK</t>
  </si>
  <si>
    <t>http://gofile.me/4xaew/5alFFzctr</t>
  </si>
  <si>
    <t>http://gofile.me/4xaew/iMjcORrN3</t>
  </si>
  <si>
    <t>https://drive.google.com/file/d/17ZfjYtAwL9lExaiX8aAlK30XjJ3_kM0X/view?usp=drive_link</t>
  </si>
  <si>
    <t>http://gofile.me/4xaew/5QGrqEbh1</t>
  </si>
  <si>
    <t>Region 10</t>
  </si>
  <si>
    <t>https://drive.google.com/file/d/1gY7ZnfqY4cHEjDyj9SO7Ov1iJtHuYqWu/view?usp=drive_link</t>
  </si>
  <si>
    <t>https://drive.google.com/file/d/1ab8PyFtI-9FHzxxiVsizEv2BS68cuZT7/view?usp=drive_link</t>
  </si>
  <si>
    <t>https://drive.google.com/file/d/1Mi-XISYbR_cApIJ8y17shuk3vsNuqAkH/view?usp=drive_link</t>
  </si>
  <si>
    <t>http://gofile.me/4xaew/Dpr1GzXGq</t>
  </si>
  <si>
    <t>http://gofile.me/4xaew/T1oPwqbC0</t>
  </si>
  <si>
    <t>http://gofile.me/4xaew/fbGUmjnKk</t>
  </si>
  <si>
    <t>http://gofile.me/4xaew/69pwRyJb1</t>
  </si>
  <si>
    <t>https://drive.google.com/file/d/17N4gwZgZ3lXc-kLdmrCcvFLK2JOurvFy/view?usp=drive_link</t>
  </si>
  <si>
    <t>http://gofile.me/4xaew/RjIQDDRSW</t>
  </si>
  <si>
    <t>https://drive.google.com/file/d/1e59XPcyryOYy6jHxuqnBL2gHnZn5Uz9j/view?usp=drive_link</t>
  </si>
  <si>
    <t>http://gofile.me/4xaew/pMggvoYBu</t>
  </si>
  <si>
    <t>https://drive.google.com/file/d/1vsXbEuSLI038FHlAoio-6Ijjy1mqeQOM/view?usp=drive_link</t>
  </si>
  <si>
    <t>http://gofile.me/4xaew/MkDprXOdo</t>
  </si>
  <si>
    <t>http://gofile.me/4xaew/I0r6ibWq8</t>
  </si>
  <si>
    <t>Region 4‑A</t>
  </si>
  <si>
    <t>https://drive.google.com/file/d/1Obm8xKkjpkSw7IsYiaihvb2WWivA5SQX/view?usp=drive_link</t>
  </si>
  <si>
    <t>http://gofile.me/4xaew/wF6AJdHQS</t>
  </si>
  <si>
    <t>https://drive.google.com/file/d/1PiUkwsfG6QGdyIbIP05YPr8CaVwkhl-U/view?usp=drive_link</t>
  </si>
  <si>
    <t>http://gofile.me/4xaew/qPTlxR8E1</t>
  </si>
  <si>
    <t>https://drive.google.com/file/d/14GCeDtmo1PFInGkPlBXl6__L92fibGV0/view?usp=drive_link</t>
  </si>
  <si>
    <t>http://gofile.me/4xaew/hYrbJDmdu</t>
  </si>
  <si>
    <t>Technology- non- Computer</t>
  </si>
  <si>
    <t>https://drive.google.com/file/d/19jUeM0-kNSlF-zo7iZTQhD-8bAxYhsPK/view?usp=share_link</t>
  </si>
  <si>
    <t>http://gofile.me/4xaew/Gxio4V81f</t>
  </si>
  <si>
    <t>https://drive.google.com/file/d/1d9t1Hf2T87gUBqnKoMKbIdUIQQ7Pq5iJ/view?usp=drive_link</t>
  </si>
  <si>
    <t>http://gofile.me/4xaew/s9aUh99Kl</t>
  </si>
  <si>
    <t>https://drive.google.com/file/d/1eD4K6qFYRlXBBdT9fPtHgHnb-HFxmmfB/view?usp=drive_link</t>
  </si>
  <si>
    <t xml:space="preserve">Resolution No. </t>
  </si>
  <si>
    <t>SEX (Male of Female)</t>
  </si>
  <si>
    <t>Project Brief</t>
  </si>
  <si>
    <t>http://gofile.me/4xaew/FX6dtuJWr</t>
  </si>
  <si>
    <t>http://gofile.me/4xaew/9lxWekwrl</t>
  </si>
  <si>
    <t>http://gofile.me/4xaew/ghEVVvcC4</t>
  </si>
  <si>
    <t>http://gofile.me/4xaew/7qmbjBhqQ</t>
  </si>
  <si>
    <t>http://gofile.me/4xaew/Wp5PLpZXm</t>
  </si>
  <si>
    <t>http://gofile.me/4xaew/L8JphdR5y</t>
  </si>
  <si>
    <t>Ideation and Protection</t>
  </si>
  <si>
    <t>https://drive.google.com/drive/folders/1S71cFrHAY75k4zTHWwPpNk33WvpYFApQ?fbclid=IwAR0sHr_Ud9eOP7_1sgGKE4LJZzlUFVAoOXSXDRrhguvwhXzWHt5euwg7iPk</t>
  </si>
  <si>
    <t>http://gofile.me/4xaew/CMsXAsuG8</t>
  </si>
  <si>
    <t>http://gofile.me/4xaew/UlnSGTUaa</t>
  </si>
  <si>
    <t>http://gofile.me/4xaew/R4aRBMQFL</t>
  </si>
  <si>
    <t>http://gofile.me/4xaew/uivKsiJM2</t>
  </si>
  <si>
    <t>http://gofile.me/4xaew/IRvvEFLgB</t>
  </si>
  <si>
    <t>Inventor/Private</t>
  </si>
  <si>
    <t>https://drive.google.com/drive/folders/13b-7PgJfZewELjn1gn2XvZ37bV6gqExx?fbclid=IwAR0sHr_Ud9eOP7_1sgGKE4LJZzlUFVAoOXSXDRrhguvwhXzWHt5euwg7iPk</t>
  </si>
  <si>
    <t>http://gofile.me/4xaew/aAKYdfmDD</t>
  </si>
  <si>
    <t>http://gofile.me/4xaew/LZCnelZQB</t>
  </si>
  <si>
    <t>Agricultural Engineering</t>
  </si>
  <si>
    <t>MSME/Private</t>
  </si>
  <si>
    <t>http://gofile.me/4xaew/uVFd1f7ye</t>
  </si>
  <si>
    <t>http://gofile.me/4xaew/7HLNAs2MU</t>
  </si>
  <si>
    <t>Food Production</t>
  </si>
  <si>
    <t>http://gofile.me/4xaew/HjUvAIzDr</t>
  </si>
  <si>
    <t>http://gofile.me/4xaew/aMwCqbhUV</t>
  </si>
  <si>
    <t>http://gofile.me/4xaew/3xJsXHOeK</t>
  </si>
  <si>
    <t>Regional Office</t>
  </si>
  <si>
    <t>https://drive.google.com/file/d/1UGYfjiZa72NaG6Go9ZUdENGAne7wKD1L/view?usp=share_link</t>
  </si>
  <si>
    <t>http://gofile.me/4xaew/77A4CgsdO</t>
  </si>
  <si>
    <t>https://drive.google.com/file/d/1A14RvMVjWLTKXnhr61ebnIkCoxqrcV_l/view?usp=share_link</t>
  </si>
  <si>
    <t>http://gofile.me/4xaew/hn3ZbMa7w</t>
  </si>
  <si>
    <t>BSU Compund, Km. 6, La Trinidad Bnguet</t>
  </si>
  <si>
    <t>regional Office</t>
  </si>
  <si>
    <t>https://drive.google.com/drive/folders/1YYYvTCNHTK2dm0p2bmmbLX6UWTmgJLjD?fbclid=IwAR0sHr_Ud9eOP7_1sgGKE4LJZzlUFVAoOXSXDRrhguvwhXzWHt5euwg7iPk</t>
  </si>
  <si>
    <t>http://gofile.me/4xaew/6od2MHkJW</t>
  </si>
  <si>
    <t>Jose Zurbito Sr. Elementary School, Amancio Elementary School and Masbate National Comprehensive  High School, City of Masbate.</t>
  </si>
  <si>
    <t>http://gofile.me/4xaew/K12Rkn3aQ</t>
  </si>
  <si>
    <t xml:space="preserve"> 22,200,00</t>
  </si>
  <si>
    <t>https://drive.google.com/file/d/1DntiRIqc3geFJEOpKbUIg8noqA8SGANi/view?usp=share_link</t>
  </si>
  <si>
    <t>http://gofile.me/4xaew/zlePLSOVJ</t>
  </si>
  <si>
    <t>Central Visayas</t>
  </si>
  <si>
    <t>http://gofile.me/4xaew/eE5EsD59J</t>
  </si>
  <si>
    <t>http://gofile.me/4xaew/2YxoOtR3d</t>
  </si>
  <si>
    <t>https://drive.google.com/drive/folders/1BxrN7cnsBiZRzd6m5DKruhbuWcrAh5Z8?fbclid=IwAR0sHr_Ud9eOP7_1sgGKE4LJZzlUFVAoOXSXDRrhguvwhXzWHt5euwg7iPk</t>
  </si>
  <si>
    <t>http://gofile.me/4xaew/wr5jotLqA</t>
  </si>
  <si>
    <t>Agricultural processing</t>
  </si>
  <si>
    <t>https://drive.google.com/drive/folders/1tY5N4fmCNp5yHLTc0j3oQd5AgE4axKRN?fbclid=IwAR0sHr_Ud9eOP7_1sgGKE4LJZzlUFVAoOXSXDRrhguvwhXzWHt5euwg7iPk</t>
  </si>
  <si>
    <t>http://gofile.me/4xaew/KNMWrrq21</t>
  </si>
  <si>
    <t>Private Organization</t>
  </si>
  <si>
    <t>https://drive.google.com/drive/folders/1MPf8712f_8Tri7Hqww77MbAlgLGj26nJ?fbclid=IwAR0sHr_Ud9eOP7_1sgGKE4LJZzlUFVAoOXSXDRrhguvwhXzWHt5euwg7iPk</t>
  </si>
  <si>
    <t>http://gofile.me/4xaew/CZ2xzW1T6</t>
  </si>
  <si>
    <t>https://drive.google.com/drive/folders/1IqItPoN9Kj2D6EBLtI7sZjZIseEdjI7j?fbclid=IwAR0sHr_Ud9eOP7_1sgGKE4LJZzlUFVAoOXSXDRrhguvwhXzWHt5euwg7iPk</t>
  </si>
  <si>
    <t>http://gofile.me/4xaew/DoZW3temu</t>
  </si>
  <si>
    <t>Region I</t>
  </si>
  <si>
    <t>https://drive.google.com/drive/folders/16N_QWTqz4PSZtbj2A_pq_pygCFTUgr2E?fbclid=IwAR0sHr_Ud9eOP7_1sgGKE4LJZzlUFVAoOXSXDRrhguvwhXzWHt5euwg7iPk</t>
  </si>
  <si>
    <t>http://gofile.me/4xaew/7Tu3J84y5</t>
  </si>
  <si>
    <t>https://drive.google.com/drive/folders/10lI141ylMzB4AnJdqf20ViGH6xw5RVIc?fbclid=IwAR0sHr_Ud9eOP7_1sgGKE4LJZzlUFVAoOXSXDRrhguvwhXzWHt5euwg7iPk</t>
  </si>
  <si>
    <t>http://gofile.me/4xaew/Xp7WeIJKA</t>
  </si>
  <si>
    <t>private</t>
  </si>
  <si>
    <t>https://drive.google.com/drive/folders/1Dwm_boc3TA2_W500hVj0kRWsE0xiPuUx?fbclid=IwAR0sHr_Ud9eOP7_1sgGKE4LJZzlUFVAoOXSXDRrhguvwhXzWHt5euwg7iPk</t>
  </si>
  <si>
    <t>http://gofile.me/4xaew/AWlg1xgjd</t>
  </si>
  <si>
    <t>https://drive.google.com/file/d/1JsO9PmDK2LhaLIQ-fM-NpUBMfWylAq-e/view?usp=sharing</t>
  </si>
  <si>
    <t>http://gofile.me/4xaew/BwZ7vxwsA</t>
  </si>
  <si>
    <t>http://gofile.me/4xaew/AvHEnuZYe</t>
  </si>
  <si>
    <t>http://gofile.me/4xaew/22ILUUNVV</t>
  </si>
  <si>
    <t>http://gofile.me/4xaew/CfV3cvDZx</t>
  </si>
  <si>
    <t>Food Production Engineering</t>
  </si>
  <si>
    <t>Technology Commercialization</t>
  </si>
  <si>
    <t>Regional Center Site, Rawis, Legazpi City, Albay, Bicol</t>
  </si>
  <si>
    <t>https://drive.google.com/drive/folders/1Q8haZuQvCudMqsvtJp0h5umHfGMxtQYv?fbclid=IwAR0sHr_Ud9eOP7_1sgGKE4LJZzlUFVAoOXSXDRrhguvwhXzWHt5euwg7iPk</t>
  </si>
  <si>
    <t>http://gofile.me/4xaew/RB94w2urm</t>
  </si>
  <si>
    <t>https://drive.google.com/drive/folders/1TyXo3Dlaz_E21dKg_5fgTBnGh_8xcKkB?fbclid=IwAR0sHr_Ud9eOP7_1sgGKE4LJZzlUFVAoOXSXDRrhguvwhXzWHt5euwg7iPk</t>
  </si>
  <si>
    <t>http://gofile.me/4xaew/gWoAReHLg</t>
  </si>
  <si>
    <t>http://gofile.me/4xaew/J2TpiiRiF</t>
  </si>
  <si>
    <t>http://gofile.me/4xaew/hgH5jziup</t>
  </si>
  <si>
    <t>http://gofile.me/4xaew/ansejz5tX</t>
  </si>
  <si>
    <t>http://gofile.me/4xaew/m0ZHHjVld</t>
  </si>
  <si>
    <t>Palo Leyte</t>
  </si>
  <si>
    <t>https://drive.google.com/drive/folders/1526w1eR63SS_p-0nrPMLNWuY-l57DjKu?fbclid=IwAR0sHr_Ud9eOP7_1sgGKE4LJZzlUFVAoOXSXDRrhguvwhXzWHt5euwg7iPk</t>
  </si>
  <si>
    <t>http://gofile.me/4xaew/lpMuubVJ6</t>
  </si>
  <si>
    <t>http://gofile.me/4xaew/g9HwOKXcl</t>
  </si>
  <si>
    <t>http://gofile.me/4xaew/l9VkQvqT3</t>
  </si>
  <si>
    <t>https://drive.google.com/file/d/1M8m7bFv7tdj1EWupGANJrOJ8TWUhw8gU/view?usp=sharing</t>
  </si>
  <si>
    <t>http://gofile.me/4xaew/XGN2eUmNB</t>
  </si>
  <si>
    <t>OD</t>
  </si>
  <si>
    <t>http://gofile.me/4xaew/C3YLNvRhk</t>
  </si>
  <si>
    <t>https://drive.google.com/drive/folders/1nGrnjlyEa_Covpoln-MTwnRpLCH6-yY-?fbclid=IwAR0sHr_Ud9eOP7_1sgGKE4LJZzlUFVAoOXSXDRrhguvwhXzWHt5euwg7iPk</t>
  </si>
  <si>
    <t>http://gofile.me/4xaew/p0DINDiDF</t>
  </si>
  <si>
    <t>Province of Davao de Oro</t>
  </si>
  <si>
    <t>http://gofile.me/4xaew/rklQGzlzP</t>
  </si>
  <si>
    <t>http://gofile.me/4xaew/EXkPIe7b0</t>
  </si>
  <si>
    <t>http://gofile.me/4xaew/yeLk6dw8A</t>
  </si>
  <si>
    <t xml:space="preserve">Health </t>
  </si>
  <si>
    <t>http://gofile.me/4xaew/oDXs0QndG</t>
  </si>
  <si>
    <t>http://gofile.me/4xaew/2jpSVe7k6</t>
  </si>
  <si>
    <t>Private/MSME</t>
  </si>
  <si>
    <t>http://gofile.me/4xaew/7lI4FDf5E</t>
  </si>
  <si>
    <t>Frozen Goods</t>
  </si>
  <si>
    <t>http://gofile.me/4xaew/ZY3UmorNm</t>
  </si>
  <si>
    <t>Scientific</t>
  </si>
  <si>
    <t>http://gofile.me/4xaew/0p5KOGanQ</t>
  </si>
  <si>
    <t>R</t>
  </si>
  <si>
    <t>http://gofile.me/4xaew/XlWWviEl7</t>
  </si>
  <si>
    <t>Food Processing/Packaging</t>
  </si>
  <si>
    <t>http://gofile.me/4xaew/hgbgK7da0</t>
  </si>
  <si>
    <t>Bicutan Taguig</t>
  </si>
  <si>
    <t>http://gofile.me/4xaew/hzVFmjaba</t>
  </si>
  <si>
    <t>https://drive.google.com/drive/folders/1A_jrIBUSAuHvPa4MUDnilt6gGPxLCw8N?fbclid=IwAR0sHr_Ud9eOP7_1sgGKE4LJZzlUFVAoOXSXDRrhguvwhXzWHt5euwg7iPk</t>
  </si>
  <si>
    <t>http://gofile.me/4xaew/VCQiOSCTC</t>
  </si>
  <si>
    <t>Region II</t>
  </si>
  <si>
    <t>https://drive.google.com/drive/folders/1eoetnsOSD-JC7C3-85z8RltcJPPe0dsb?fbclid=IwAR0sHr_Ud9eOP7_1sgGKE4LJZzlUFVAoOXSXDRrhguvwhXzWHt5euwg7iPk</t>
  </si>
  <si>
    <t>http://gofile.me/4xaew/XK0sDDbNo</t>
  </si>
  <si>
    <t>Academe</t>
  </si>
  <si>
    <t>http://gofile.me/4xaew/n04PqHmBA</t>
  </si>
  <si>
    <t>https://drive.google.com/drive/folders/1sYphBNhG9FYo7COrWlXFEeUWUq-_Kqol?fbclid=IwAR0sHr_Ud9eOP7_1sgGKE4LJZzlUFVAoOXSXDRrhguvwhXzWHt5euwg7iPk</t>
  </si>
  <si>
    <t>http://gofile.me/4xaew/jfa59QAXy</t>
  </si>
  <si>
    <t>http://gofile.me/4xaew/FEpACfFBL</t>
  </si>
  <si>
    <t>http://gofile.me/4xaew/lqOcVVMMu</t>
  </si>
  <si>
    <t>http://gofile.me/4xaew/242uZ0OhR</t>
  </si>
  <si>
    <t>http://gofile.me/4xaew/HOVqR7IOF</t>
  </si>
  <si>
    <t>Brgy. Don Luis, San Jose Batangas</t>
  </si>
  <si>
    <t>https://drive.google.com/drive/folders/1f33qk28egqMQEf9BMfm9oOPEOn9OcL-k?fbclid=IwAR0sHr_Ud9eOP7_1sgGKE4LJZzlUFVAoOXSXDRrhguvwhXzWHt5euwg7iPk</t>
  </si>
  <si>
    <t>http://gofile.me/4xaew/9yM8qyPGf</t>
  </si>
  <si>
    <t>Technology Development</t>
  </si>
  <si>
    <t>http://gofile.me/4xaew/nRZR0kOiE</t>
  </si>
  <si>
    <t>http://gofile.me/4xaew/2QcpVKFq5</t>
  </si>
  <si>
    <t>http://gofile.me/4xaew/mKisO8Wr8</t>
  </si>
  <si>
    <t>http://gofile.me/4xaew/lIYIsvxc4</t>
  </si>
  <si>
    <t>http://gofile.me/4xaew/LtIvzytyt</t>
  </si>
  <si>
    <t>http://gofile.me/4xaew/ulQmqA8TA</t>
  </si>
  <si>
    <t>2 FEMALE/ 1 MALE</t>
  </si>
  <si>
    <t>http://gofile.me/4xaew/JrMMETtGV</t>
  </si>
  <si>
    <t>http://gofile.me/4xaew/28WK930au</t>
  </si>
  <si>
    <t>Agricultural Enginnering</t>
  </si>
  <si>
    <t>https://drive.google.com/file/d/1IHk3cTQ06j8DPXARuZfCj-44ty30cozB/view?usp=share_link</t>
  </si>
  <si>
    <t>http://gofile.me/4xaew/f8egMV0sr</t>
  </si>
  <si>
    <t>http://gofile.me/4xaew/FaRWFs9Xe</t>
  </si>
  <si>
    <t>http://gofile.me/4xaew/5iw1om8wd</t>
  </si>
  <si>
    <t>https://drive.google.com/drive/folders/1yOTxApu38-QOsM5UvTUlOUFWRlCvvuCw?fbclid=IwAR0sHr_Ud9eOP7_1sgGKE4LJZzlUFVAoOXSXDRrhguvwhXzWHt5euwg7iPk</t>
  </si>
  <si>
    <t>http://gofile.me/4xaew/9Ul1jLomy</t>
  </si>
  <si>
    <t>http://gofile.me/4xaew/v4Z9QoOkP</t>
  </si>
  <si>
    <t>http://gofile.me/4xaew/iqGLo4eBL</t>
  </si>
  <si>
    <t>http://gofile.me/4xaew/irroHsdQS</t>
  </si>
  <si>
    <t>http://gofile.me/4xaew/fcDt7SjmL</t>
  </si>
  <si>
    <t>http://gofile.me/4xaew/c8gA3JkZO</t>
  </si>
  <si>
    <t>http://gofile.me/4xaew/R2gJ4VcUc</t>
  </si>
  <si>
    <t>http://gofile.me/4xaew/4cUqDBsJC</t>
  </si>
  <si>
    <t>https://drive.google.com/file/d/1l64c_fP_JXMAh1U7p1jvKGOvZj8QqA2N/view?usp=share_link</t>
  </si>
  <si>
    <t>http://gofile.me/4xaew/wns22lkGu</t>
  </si>
  <si>
    <t>Promotions</t>
  </si>
  <si>
    <t xml:space="preserve">Agricultural </t>
  </si>
  <si>
    <t xml:space="preserve">Type </t>
  </si>
  <si>
    <t xml:space="preserve">Sector </t>
  </si>
  <si>
    <t>Approved Resolution</t>
  </si>
  <si>
    <t>http://gofile.me/4xaew/ctO778j4B</t>
  </si>
  <si>
    <t>( P 1,480,00.00-IGF)
( P 4,489,000.00-TAPI-GIA)</t>
  </si>
  <si>
    <t>http://gofile.me/4xaew/DnQlmf0Cf</t>
  </si>
  <si>
    <t>Food Manufacturing</t>
  </si>
  <si>
    <t>http://gofile.me/4xaew/LhqE1sxtg</t>
  </si>
  <si>
    <t>http://gofile.me/4xaew/WQoyp1oZl</t>
  </si>
  <si>
    <t>http://gofile.me/4xaew/BjNPNijhp</t>
  </si>
  <si>
    <t>http://gofile.me/4xaew/49u35UvcX</t>
  </si>
  <si>
    <t>Private/MSMES</t>
  </si>
  <si>
    <t>http://gofile.me/4xaew/C60C6ViFq</t>
  </si>
  <si>
    <t>Cosmetics</t>
  </si>
  <si>
    <t>Private MSME</t>
  </si>
  <si>
    <t>http://gofile.me/4xaew/sKPUkEYt9</t>
  </si>
  <si>
    <t xml:space="preserve">Chemical </t>
  </si>
  <si>
    <t>http://gofile.me/4xaew/o339UHZZ4</t>
  </si>
  <si>
    <t>Health</t>
  </si>
  <si>
    <t>http://gofile.me/4xaew/qOvaL2rBz</t>
  </si>
  <si>
    <r>
      <rPr>
        <sz val="10"/>
        <color theme="1"/>
        <rFont val="Arial"/>
      </rPr>
      <t xml:space="preserve">Loreto B. Tolentino                                                                                                                      President                                                                                                                                        Cellokey Incorporated ( </t>
    </r>
    <r>
      <rPr>
        <i/>
        <sz val="10"/>
        <color theme="1"/>
        <rFont val="Arial"/>
      </rPr>
      <t>C</t>
    </r>
    <r>
      <rPr>
        <sz val="10"/>
        <color theme="1"/>
        <rFont val="Arial"/>
      </rPr>
      <t xml:space="preserve">I)                                                                                                   </t>
    </r>
  </si>
  <si>
    <t>http://gofile.me/4xaew/YvLO828Jj</t>
  </si>
  <si>
    <t>Services</t>
  </si>
  <si>
    <t>http://gofile.me/4xaew/fmlHXStZE</t>
  </si>
  <si>
    <t>http://gofile.me/4xaew/LM0q7k1mZ</t>
  </si>
  <si>
    <t>http://gofile.me/4xaew/nYjU9kIM4</t>
  </si>
  <si>
    <t>TECH  DEV</t>
  </si>
  <si>
    <t>Arts</t>
  </si>
  <si>
    <t>Privates</t>
  </si>
  <si>
    <t>Metal/Engineering</t>
  </si>
  <si>
    <t>Clothing</t>
  </si>
  <si>
    <t>http://gofile.me/4xaew/YrQ7fqVB7</t>
  </si>
  <si>
    <t>http://gofile.me/4xaew/vIbZMNebh</t>
  </si>
  <si>
    <t>Seafood MAnufacturing</t>
  </si>
  <si>
    <t>http://gofile.me/4xaew/q1XZ9xGnQ</t>
  </si>
  <si>
    <t>http://gofile.me/4xaew/5dJvhCnHg</t>
  </si>
  <si>
    <t>Metal and Engineering</t>
  </si>
  <si>
    <t>http://gofile.me/4xaew/XfyXPYiNP</t>
  </si>
  <si>
    <t>http://gofile.me/4xaew/MPvzuB7xR</t>
  </si>
  <si>
    <t>http://gofile.me/4xaew/reyNwd2io</t>
  </si>
  <si>
    <t>Food</t>
  </si>
  <si>
    <t>http://gofile.me/4xaew/DXsK69oxz</t>
  </si>
  <si>
    <t>http://gofile.me/4xaew/Icjrh0D0H</t>
  </si>
  <si>
    <t>http://gofile.me/4xaew/znPtgfCmw</t>
  </si>
  <si>
    <t>Infrastructure</t>
  </si>
  <si>
    <t>http://gofile.me/4xaew/y7WVJNtdN</t>
  </si>
  <si>
    <t>http://gofile.me/4xaew/dxn0nhylp</t>
  </si>
  <si>
    <t>Agricultural Processing</t>
  </si>
  <si>
    <t>http://gofile.me/4xaew/lauadXYut</t>
  </si>
  <si>
    <t xml:space="preserve">Handricrafts </t>
  </si>
  <si>
    <t>http://gofile.me/4xaew/PRjeN80yR</t>
  </si>
  <si>
    <t>http://gofile.me/4xaew/lV8o17iiT</t>
  </si>
  <si>
    <t>http://gofile.me/4xaew/w6pHwJMND</t>
  </si>
  <si>
    <t>Chemical manufacturers</t>
  </si>
  <si>
    <t>http://gofile.me/4xaew/YD1BiUwg8</t>
  </si>
  <si>
    <t>http://gofile.me/4xaew/90Y7X6dO9</t>
  </si>
  <si>
    <t>http://gofile.me/4xaew/8KDlPFYpu</t>
  </si>
  <si>
    <t>Food processing</t>
  </si>
  <si>
    <t>http://gofile.me/4xaew/jt910mbqZ</t>
  </si>
  <si>
    <t>Signed Reso</t>
  </si>
  <si>
    <t>http://gofile.me/4xaew/lABLuqFR6</t>
  </si>
  <si>
    <t>http://gofile.me/4xaew/PN1B07QcR</t>
  </si>
  <si>
    <t>Private-MSME</t>
  </si>
  <si>
    <t>http://gofile.me/4xaew/j4tl0Rg5K</t>
  </si>
  <si>
    <t>http://gofile.me/4xaew/HHJeFddlm</t>
  </si>
  <si>
    <t>http://gofile.me/4xaew/pawtlAdrc</t>
  </si>
  <si>
    <t>http://gofile.me/4xaew/2bh7Zyzgf</t>
  </si>
  <si>
    <t>http://gofile.me/4xaew/4rVUYcq0N</t>
  </si>
  <si>
    <t>http://gofile.me/4xaew/z6dUcXH5c</t>
  </si>
  <si>
    <t>http://gofile.me/4xaew/t8wCYj5iG</t>
  </si>
  <si>
    <t>http://gofile.me/4xaew/vGTKuSMUQ</t>
  </si>
  <si>
    <t>http://gofile.me/4xaew/ZZ2ZOwp8U</t>
  </si>
  <si>
    <t>http://gofile.me/4xaew/192t1w52w</t>
  </si>
  <si>
    <t>http://gofile.me/4xaew/jlDBIWV1u</t>
  </si>
  <si>
    <t>http://gofile.me/4xaew/AhKOzZCvc</t>
  </si>
  <si>
    <t>http://gofile.me/4xaew/EfehtgslC</t>
  </si>
  <si>
    <t>http://gofile.me/4xaew/ZSdWbzMr4</t>
  </si>
  <si>
    <t>http://gofile.me/4xaew/f6bIHw3Pe</t>
  </si>
  <si>
    <t>http://gofile.me/4xaew/biksY3CUH</t>
  </si>
  <si>
    <t>http://gofile.me/4xaew/jhGaWnOGl</t>
  </si>
  <si>
    <t>http://gofile.me/4xaew/t0RpcS9r3</t>
  </si>
  <si>
    <t>http://gofile.me/4xaew/45Lb8PxW2</t>
  </si>
  <si>
    <t>Innovation</t>
  </si>
  <si>
    <t>http://gofile.me/4xaew/MsACcG7mS</t>
  </si>
  <si>
    <t>http://gofile.me/4xaew/dPxvGvoSH</t>
  </si>
  <si>
    <t>http://gofile.me/4xaew/L3aShf813</t>
  </si>
  <si>
    <t>http://gofile.me/4xaew/sfzN5QPYk</t>
  </si>
  <si>
    <t>http://gofile.me/4xaew/5y1zDUB0E</t>
  </si>
  <si>
    <t>http://gofile.me/4xaew/LPy5LdBuM</t>
  </si>
  <si>
    <t>http://gofile.me/4xaew/WKs7LQ8qE</t>
  </si>
  <si>
    <t>http://gofile.me/4xaew/1YTISCPBu</t>
  </si>
  <si>
    <t>http://gofile.me/4xaew/7Kckq5LP8</t>
  </si>
  <si>
    <t>http://gofile.me/4xaew/KZciNCyGV</t>
  </si>
  <si>
    <t>Pre-Commercialization</t>
  </si>
  <si>
    <t>http://gofile.me/4xaew/VXM0HE41S</t>
  </si>
  <si>
    <t>http://gofile.me/4xaew/GqtEVaSKk</t>
  </si>
  <si>
    <t>http://gofile.me/4xaew/zLtlCD3Xl</t>
  </si>
  <si>
    <t>http://gofile.me/4xaew/8HXknmk1l</t>
  </si>
  <si>
    <t>http://gofile.me/4xaew/c9nPTLcTe</t>
  </si>
  <si>
    <t>http://gofile.me/4xaew/FhiMtR7Hz</t>
  </si>
  <si>
    <t>http://gofile.me/4xaew/BiCcvzrbe</t>
  </si>
  <si>
    <t>http://gofile.me/4xaew/doFeisDBG</t>
  </si>
  <si>
    <t>http://gofile.me/4xaew/WygIWFPVQ</t>
  </si>
  <si>
    <t>http://gofile.me/4xaew/mPwLNFzN0</t>
  </si>
  <si>
    <t>http://gofile.me/4xaew/3DxCVEJCp</t>
  </si>
  <si>
    <t>http://gofile.me/4xaew/X6GeA1CbW</t>
  </si>
  <si>
    <t>http://gofile.me/4xaew/t7c7dGpY6</t>
  </si>
  <si>
    <t>http://gofile.me/4xaew/qNH8F5aFh</t>
  </si>
  <si>
    <t>http://gofile.me/4xaew/hMwK7pFLx</t>
  </si>
  <si>
    <t>http://gofile.me/4xaew/88UPlCDcF</t>
  </si>
  <si>
    <t>http://gofile.me/4xaew/EpcQgKQJE</t>
  </si>
  <si>
    <t>http://gofile.me/4xaew/KhrMgVK7d</t>
  </si>
  <si>
    <t>http://gofile.me/4xaew/KoL6utYAp</t>
  </si>
  <si>
    <t>http://gofile.me/4xaew/Vm1p7YhQe</t>
  </si>
  <si>
    <t>http://gofile.me/4xaew/hBtqjOGc7</t>
  </si>
  <si>
    <t>http://gofile.me/4xaew/mIEHxxXwY</t>
  </si>
  <si>
    <t>http://gofile.me/4xaew/XFQlVplwl</t>
  </si>
  <si>
    <t>http://gofile.me/4xaew/fYwoYzwDM</t>
  </si>
  <si>
    <t>http://gofile.me/4xaew/5LGt6akOC</t>
  </si>
  <si>
    <t>http://gofile.me/4xaew/k5iKkw5VI</t>
  </si>
  <si>
    <t>http://gofile.me/4xaew/Vi9vQvY3h</t>
  </si>
  <si>
    <t>http://gofile.me/4xaew/B5PUA0wGb</t>
  </si>
  <si>
    <t>http://gofile.me/4xaew/kW2Lgx9YQ</t>
  </si>
  <si>
    <t>http://gofile.me/4xaew/ToHjcrV22</t>
  </si>
  <si>
    <t>http://gofile.me/4xaew/IgrkXmYNh</t>
  </si>
  <si>
    <t>http://gofile.me/4xaew/Avtmvl6cJ</t>
  </si>
  <si>
    <t>http://gofile.me/4xaew/lYD3Hn5IM</t>
  </si>
  <si>
    <t>http://gofile.me/4xaew/Rz3EuDSR6</t>
  </si>
  <si>
    <t>http://gofile.me/4xaew/54bOnSjqp</t>
  </si>
  <si>
    <t>http://gofile.me/4xaew/XPPg0wbYH</t>
  </si>
  <si>
    <t>http://gofile.me/4xaew/RZqWpgYgs</t>
  </si>
  <si>
    <t>http://gofile.me/4xaew/majL1hFwM</t>
  </si>
  <si>
    <r>
      <rPr>
        <sz val="10"/>
        <color theme="1"/>
        <rFont val="Arial"/>
      </rPr>
      <t xml:space="preserve">116,927.00                                               9,480.57 (admin cost)                                        </t>
    </r>
    <r>
      <rPr>
        <b/>
        <sz val="10"/>
        <color theme="1"/>
        <rFont val="Arial"/>
      </rPr>
      <t>TOTAL:  126,407.57</t>
    </r>
  </si>
  <si>
    <t>http://gofile.me/4xaew/daTc2hRxx</t>
  </si>
  <si>
    <t>http://gofile.me/4xaew/BysuErOtT</t>
  </si>
  <si>
    <t>http://gofile.me/4xaew/z8XzR8UQv</t>
  </si>
  <si>
    <t>http://gofile.me/4xaew/b4lv8AlHy</t>
  </si>
  <si>
    <t>http://gofile.me/4xaew/R0GMfOllT</t>
  </si>
  <si>
    <t>http://gofile.me/4xaew/ailfC5TfX</t>
  </si>
  <si>
    <t>http://gofile.me/4xaew/zXKj4B7JW</t>
  </si>
  <si>
    <t>http://gofile.me/4xaew/VJrpsUhWC</t>
  </si>
  <si>
    <t>http://gofile.me/4xaew/DiEk9WxM4</t>
  </si>
  <si>
    <t>http://gofile.me/4xaew/aBOabADcF</t>
  </si>
  <si>
    <t>http://gofile.me/4xaew/laDFyTRzo</t>
  </si>
  <si>
    <t>http://gofile.me/4xaew/oXlSHuqW3</t>
  </si>
  <si>
    <t>http://gofile.me/4xaew/2gax4y5ve</t>
  </si>
  <si>
    <t>http://gofile.me/4xaew/zbYjLlGxj</t>
  </si>
  <si>
    <t>http://gofile.me/4xaew/JFIrAN9pL</t>
  </si>
  <si>
    <t>http://gofile.me/4xaew/9hKGXL1yY</t>
  </si>
  <si>
    <t>http://gofile.me/4xaew/myhaVbeVv</t>
  </si>
  <si>
    <t>http://gofile.me/4xaew/REXdi3PqW</t>
  </si>
  <si>
    <t>http://gofile.me/4xaew/bVMEO5FT2</t>
  </si>
  <si>
    <t>http://gofile.me/4xaew/r1hdReXjV</t>
  </si>
  <si>
    <t>http://gofile.me/4xaew/SikboaLqm</t>
  </si>
  <si>
    <t>http://gofile.me/4xaew/qoG1jXtk4</t>
  </si>
  <si>
    <t>http://gofile.me/4xaew/tUkmF8r5D</t>
  </si>
  <si>
    <t>http://gofile.me/4xaew/Y15lMESXM</t>
  </si>
  <si>
    <t>http://gofile.me/4xaew/DbSwIPifr</t>
  </si>
  <si>
    <t>http://gofile.me/4xaew/A8RSP9ADf</t>
  </si>
  <si>
    <t>http://gofile.me/4xaew/1CAPpmnfG</t>
  </si>
  <si>
    <t>http://gofile.me/4xaew/CE8nYNhPO</t>
  </si>
  <si>
    <t>http://gofile.me/4xaew/ZfK1ZnaFP</t>
  </si>
  <si>
    <t>http://gofile.me/4xaew/cwpWRfGtw</t>
  </si>
  <si>
    <r>
      <rPr>
        <sz val="10"/>
        <color theme="1"/>
        <rFont val="Arial"/>
      </rPr>
      <t>The financial assistance is for DOST III's request for the f</t>
    </r>
    <r>
      <rPr>
        <b/>
        <sz val="10"/>
        <color theme="1"/>
        <rFont val="Arial"/>
      </rPr>
      <t>abrication/rental of exhibit booth/venue</t>
    </r>
    <r>
      <rPr>
        <sz val="10"/>
        <color theme="1"/>
        <rFont val="Arial"/>
      </rPr>
      <t xml:space="preserve"> for the 2019 Regional Science and Technology Week (RSTW) chargeable against the Institutional Support for Trade and Exhibitions (ISTE) Program.
</t>
    </r>
  </si>
  <si>
    <t>http://gofile.me/4xaew/nPM4FtZz0</t>
  </si>
  <si>
    <r>
      <rPr>
        <sz val="10"/>
        <color theme="1"/>
        <rFont val="Arial"/>
      </rPr>
      <t xml:space="preserve">The financial assistance is for DOST V's request for the </t>
    </r>
    <r>
      <rPr>
        <b/>
        <sz val="10"/>
        <color theme="1"/>
        <rFont val="Arial"/>
      </rPr>
      <t>fabrication and installation of booth/technology exhibits</t>
    </r>
    <r>
      <rPr>
        <sz val="10"/>
        <color theme="1"/>
        <rFont val="Arial"/>
      </rPr>
      <t xml:space="preserve"> for the 2019 Regional Science and Technology Week (RSTW) chargeable against the Institutional Support for Trade and Exhibitions (ISTE) Program.
</t>
    </r>
  </si>
  <si>
    <t>http://gofile.me/4xaew/XGK2EnGkQ</t>
  </si>
  <si>
    <r>
      <rPr>
        <sz val="10"/>
        <color theme="1"/>
        <rFont val="Arial"/>
      </rPr>
      <t xml:space="preserve">The financial assistance Is for DOST VIII's request for the </t>
    </r>
    <r>
      <rPr>
        <b/>
        <sz val="10"/>
        <color theme="1"/>
        <rFont val="Arial"/>
      </rPr>
      <t>exhibit fabrication</t>
    </r>
    <r>
      <rPr>
        <sz val="10"/>
        <color theme="1"/>
        <rFont val="Arial"/>
      </rPr>
      <t xml:space="preserve"> for the 2019 Regional Science and Technology Week (RSTW) chargeable against the Institutional Support for Trade and Exhibitions (ISTE) Program.
</t>
    </r>
  </si>
  <si>
    <t>http://gofile.me/4xaew/XCPsE4NAX</t>
  </si>
  <si>
    <r>
      <rPr>
        <sz val="10"/>
        <color theme="1"/>
        <rFont val="Arial"/>
      </rPr>
      <t>The financial assistance is for</t>
    </r>
    <r>
      <rPr>
        <b/>
        <sz val="10"/>
        <color theme="1"/>
        <rFont val="Arial"/>
      </rPr>
      <t xml:space="preserve"> DOST II's </t>
    </r>
    <r>
      <rPr>
        <sz val="10"/>
        <color theme="1"/>
        <rFont val="Arial"/>
      </rPr>
      <t>request for the design and fabrication of exhibit booths for the  2019 RSTW chargeable against the Institutional Support for Trade and Exhbitions (ISTE) Program.</t>
    </r>
  </si>
  <si>
    <t>http://gofile.me/4xaew/hlNQvjZ6M</t>
  </si>
  <si>
    <r>
      <rPr>
        <sz val="10"/>
        <color theme="1"/>
        <rFont val="Arial"/>
      </rPr>
      <t xml:space="preserve">The financail assistance is for </t>
    </r>
    <r>
      <rPr>
        <b/>
        <sz val="10"/>
        <color theme="1"/>
        <rFont val="Arial"/>
      </rPr>
      <t>DOST-MIMAROPA's</t>
    </r>
    <r>
      <rPr>
        <sz val="10"/>
        <color theme="1"/>
        <rFont val="Arial"/>
      </rPr>
      <t xml:space="preserve"> request for the fabrication/rental of exhibit booth for the 2019 Regional Science and Technology (RSTW) chargeable against the Institutional Support for Trade Exhibitions (ISTE) Program.</t>
    </r>
  </si>
  <si>
    <t>http://gofile.me/4xaew/wwe15PTRn</t>
  </si>
  <si>
    <r>
      <rPr>
        <sz val="10"/>
        <color theme="1"/>
        <rFont val="Arial"/>
      </rPr>
      <t xml:space="preserve">The financial assistance is for </t>
    </r>
    <r>
      <rPr>
        <b/>
        <sz val="10"/>
        <color theme="1"/>
        <rFont val="Arial"/>
      </rPr>
      <t>DOST Region VI's</t>
    </r>
    <r>
      <rPr>
        <sz val="10"/>
        <color theme="1"/>
        <rFont val="Arial"/>
      </rPr>
      <t xml:space="preserve"> request for the fabrication and rental of booth for the 2019 National Science and Technology Week (NSTW) chargeable against the Institutional Support for Trade and Exhibitions  (ISTE) Program.</t>
    </r>
  </si>
  <si>
    <t>http://gofile.me/4xaew/H1HlFT4rC</t>
  </si>
  <si>
    <r>
      <rPr>
        <sz val="10"/>
        <color theme="1"/>
        <rFont val="Arial"/>
      </rPr>
      <t xml:space="preserve">The financial assistance is for </t>
    </r>
    <r>
      <rPr>
        <b/>
        <sz val="10"/>
        <color theme="1"/>
        <rFont val="Arial"/>
      </rPr>
      <t>DOST Region X's</t>
    </r>
    <r>
      <rPr>
        <sz val="10"/>
        <color theme="1"/>
        <rFont val="Arial"/>
      </rPr>
      <t xml:space="preserve"> request for the fabrication of exhibit materials and rental of venue for the 2019 Regional Science and Technology Week (RSTW) chargeable against the Institutional Support for Trade and Exhibitions (ISTE) Program.</t>
    </r>
  </si>
  <si>
    <t>http://gofile.me/4xaew/4pVKc1A18</t>
  </si>
  <si>
    <t>http://gofile.me/4xaew/pDp7EL4WJ</t>
  </si>
  <si>
    <t>http://gofile.me/4xaew/smz1hVXFl</t>
  </si>
  <si>
    <t>http://gofile.me/4xaew/BMLp80ZtK</t>
  </si>
  <si>
    <t>http://gofile.me/4xaew/rw4XuikzQ</t>
  </si>
  <si>
    <t>http://gofile.me/4xaew/x6JUv4BU2</t>
  </si>
  <si>
    <t>http://gofile.me/4xaew/xcVvyMogy</t>
  </si>
  <si>
    <t>http://gofile.me/4xaew/E49ykHemw</t>
  </si>
  <si>
    <t>http://gofile.me/4xaew/9m8jubLid</t>
  </si>
  <si>
    <t xml:space="preserve">Engineering </t>
  </si>
  <si>
    <t>http://gofile.me/4xaew/cYS7qPon4</t>
  </si>
  <si>
    <t>http://gofile.me/4xaew/RhCcBGvH7</t>
  </si>
  <si>
    <t>http://gofile.me/4xaew/sXXtAH4Hn</t>
  </si>
  <si>
    <t>http://gofile.me/4xaew/SDz2CB9Le</t>
  </si>
  <si>
    <t>http://gofile.me/4xaew/sBDQyTlcL</t>
  </si>
  <si>
    <t>http://gofile.me/4xaew/mae8GK8F6</t>
  </si>
  <si>
    <t>http://gofile.me/4xaew/mDhaSweuO</t>
  </si>
  <si>
    <t>http://gofile.me/4xaew/u9ZFsvpv6</t>
  </si>
  <si>
    <t>http://gofile.me/4xaew/ynWPmWcZx</t>
  </si>
  <si>
    <t>http://gofile.me/4xaew/IdknkbA4V</t>
  </si>
  <si>
    <t>http://gofile.me/4xaew/oO1sRIm4n</t>
  </si>
  <si>
    <t>http://gofile.me/4xaew/yw3eAd9fA</t>
  </si>
  <si>
    <t>http://gofile.me/4xaew/CS6Hc0zk9</t>
  </si>
  <si>
    <t>http://gofile.me/4xaew/am2DzbrWF</t>
  </si>
  <si>
    <t>http://gofile.me/4xaew/UArSN7mqg</t>
  </si>
  <si>
    <t>http://gofile.me/4xaew/dWK8NNVeu</t>
  </si>
  <si>
    <t>http://gofile.me/4xaew/seAM2sf9h</t>
  </si>
  <si>
    <t>http://gofile.me/4xaew/94kv4EEzm</t>
  </si>
  <si>
    <t>http://gofile.me/4xaew/5wGN5J1eC</t>
  </si>
  <si>
    <t>http://gofile.me/4xaew/qAkGMv32o</t>
  </si>
  <si>
    <t>http://gofile.me/4xaew/GEWWTQrPr</t>
  </si>
  <si>
    <t>http://gofile.me/4xaew/JWe0XufiA</t>
  </si>
  <si>
    <t>http://gofile.me/4xaew/FT737xTzM</t>
  </si>
  <si>
    <t>http://gofile.me/4xaew/E0kt94o2S</t>
  </si>
  <si>
    <t>http://gofile.me/4xaew/QRH0MiaWo</t>
  </si>
  <si>
    <t>http://gofile.me/4xaew/iBwy3CX5t</t>
  </si>
  <si>
    <t>http://gofile.me/4xaew/AtW45ykjo</t>
  </si>
  <si>
    <t>http://gofile.me/4xaew/j50euCIsb</t>
  </si>
  <si>
    <t>http://gofile.me/4xaew/QR4JczjMM</t>
  </si>
  <si>
    <t>http://gofile.me/4xaew/FRVB0p56e</t>
  </si>
  <si>
    <t>http://gofile.me/4xaew/x48ruc6fi</t>
  </si>
  <si>
    <t>http://gofile.me/4xaew/EB9zgt926</t>
  </si>
  <si>
    <t>http://gofile.me/4xaew/Ebh9B10To</t>
  </si>
  <si>
    <t>http://gofile.me/4xaew/znclnw8Xq</t>
  </si>
  <si>
    <t>http://gofile.me/4xaew/bQ6BdM2ec</t>
  </si>
  <si>
    <t>http://gofile.me/4xaew/kEIvHalt5</t>
  </si>
  <si>
    <t>government</t>
  </si>
  <si>
    <t>http://gofile.me/4xaew/nj9ssrwVu</t>
  </si>
  <si>
    <t>http://gofile.me/4xaew/csQCPipda</t>
  </si>
  <si>
    <t>http://gofile.me/4xaew/9Ar9m1Oa0</t>
  </si>
  <si>
    <r>
      <rPr>
        <sz val="10"/>
        <color theme="1"/>
        <rFont val="Arial"/>
      </rPr>
      <t>The</t>
    </r>
    <r>
      <rPr>
        <b/>
        <sz val="10"/>
        <color theme="1"/>
        <rFont val="Arial"/>
      </rPr>
      <t xml:space="preserve"> Revised Implementing Guidelines of the Venture Financing Program (VFP)</t>
    </r>
    <r>
      <rPr>
        <sz val="10"/>
        <color theme="1"/>
        <rFont val="Arial"/>
      </rPr>
      <t xml:space="preserve"> was last presented during the TAPI Executive Committee (ExeCom) Meeting on 07 August 2019. The comments/suggestions of the TAPI ExeCom Members are already incorporated.</t>
    </r>
  </si>
  <si>
    <t>http://gofile.me/4xaew/5RX722iJo</t>
  </si>
  <si>
    <t>http://gofile.me/4xaew/zPXdKk0sC</t>
  </si>
  <si>
    <t>http://gofile.me/4xaew/Nt0yGNJvd</t>
  </si>
  <si>
    <t>http://gofile.me/4xaew/T155RnJk2</t>
  </si>
  <si>
    <t>http://gofile.me/4xaew/QzsudHYv1</t>
  </si>
  <si>
    <t>Agriculture and Engineering</t>
  </si>
  <si>
    <t>Description</t>
  </si>
  <si>
    <t>http://gofile.me/4xaew/cem2U6mnU</t>
  </si>
  <si>
    <t>http://gofile.me/4xaew/dW9QVhyrV</t>
  </si>
  <si>
    <t>http://gofile.me/4xaew/COl9gc5QZ</t>
  </si>
  <si>
    <t>http://gofile.me/4xaew/0RobFTTao</t>
  </si>
  <si>
    <t>http://gofile.me/4xaew/5g0pWVWvo</t>
  </si>
  <si>
    <t>http://gofile.me/4xaew/x7OZI8qmV</t>
  </si>
  <si>
    <t>http://gofile.me/4xaew/YKxnHzdjZ</t>
  </si>
  <si>
    <t>http://gofile.me/4xaew/IAd8PfUr9</t>
  </si>
  <si>
    <t>http://gofile.me/4xaew/pJ8J0ILEX</t>
  </si>
  <si>
    <t>http://gofile.me/4xaew/Votbj1IjA</t>
  </si>
  <si>
    <t>http://gofile.me/4xaew/SXSDS4MpM</t>
  </si>
  <si>
    <t>http://gofile.me/4xaew/86nBVj3uz</t>
  </si>
  <si>
    <t>http://gofile.me/4xaew/gAKn3qCgl</t>
  </si>
  <si>
    <t>http://gofile.me/4xaew/Dg0ylNYtD</t>
  </si>
  <si>
    <t>http://gofile.me/4xaew/fJVotv3BM</t>
  </si>
  <si>
    <t>http://gofile.me/4xaew/aFrKeBt1o</t>
  </si>
  <si>
    <t>http://gofile.me/4xaew/b90XvEnuO</t>
  </si>
  <si>
    <t>http://gofile.me/4xaew/BRThuuatY</t>
  </si>
  <si>
    <t>http://gofile.me/4xaew/Kbgoqe54h</t>
  </si>
  <si>
    <t>http://gofile.me/4xaew/QHYJgD130</t>
  </si>
  <si>
    <t>http://gofile.me/4xaew/IWLWOfBuI</t>
  </si>
  <si>
    <t>http://gofile.me/4xaew/oQ072k9Pf</t>
  </si>
  <si>
    <t>http://gofile.me/4xaew/Oe7owZAw6</t>
  </si>
  <si>
    <t>http://gofile.me/4xaew/ik3yYd0xy</t>
  </si>
  <si>
    <t>http://gofile.me/4xaew/OzATTiQZ8</t>
  </si>
  <si>
    <t>http://gofile.me/4xaew/srmdF1WKg</t>
  </si>
  <si>
    <t>http://gofile.me/4xaew/T31fgtZYr</t>
  </si>
  <si>
    <t>http://gofile.me/4xaew/quxXZU50y</t>
  </si>
  <si>
    <t>http://gofile.me/4xaew/qQqAGKqgC</t>
  </si>
  <si>
    <t>http://gofile.me/4xaew/J4QjdZdMC</t>
  </si>
  <si>
    <t>http://gofile.me/4xaew/pF17D9y5T</t>
  </si>
  <si>
    <t>http://gofile.me/4xaew/VsnxL31us</t>
  </si>
  <si>
    <t>http://gofile.me/4xaew/hwsHUqNjj</t>
  </si>
  <si>
    <t>http://gofile.me/4xaew/kIIWwUP3F</t>
  </si>
  <si>
    <t>http://gofile.me/4xaew/fXZHrtT4e</t>
  </si>
  <si>
    <t>http://gofile.me/4xaew/hLWN536iu</t>
  </si>
  <si>
    <t>http://gofile.me/4xaew/kLj4nQKul</t>
  </si>
  <si>
    <t>http://gofile.me/4xaew/UVvgXg8CJ</t>
  </si>
  <si>
    <t>http://gofile.me/4xaew/qk28NmyEs</t>
  </si>
  <si>
    <t>http://gofile.me/4xaew/UAY7wSMPd</t>
  </si>
  <si>
    <t>http://gofile.me/4xaew/ZCWb8HiOq</t>
  </si>
  <si>
    <t>http://gofile.me/4xaew/teujh7gEj</t>
  </si>
  <si>
    <t>http://gofile.me/4xaew/jw6HDsUxS</t>
  </si>
  <si>
    <t>http://gofile.me/4xaew/6BqstOW2r</t>
  </si>
  <si>
    <t>http://gofile.me/4xaew/pvm67R24d</t>
  </si>
  <si>
    <t>http://gofile.me/4xaew/V8X1dDF4B</t>
  </si>
  <si>
    <t>http://gofile.me/4xaew/g8uJinBDd</t>
  </si>
  <si>
    <t>http://gofile.me/4xaew/yJt5VUY1H</t>
  </si>
  <si>
    <t>http://gofile.me/4xaew/QpUxi6am0</t>
  </si>
  <si>
    <t>http://gofile.me/4xaew/5VCau6d5w</t>
  </si>
  <si>
    <t>http://gofile.me/4xaew/h5tXOfD0a</t>
  </si>
  <si>
    <t>http://gofile.me/4xaew/3a8St432u</t>
  </si>
  <si>
    <t>World Trade Center, Pasay City</t>
  </si>
  <si>
    <t>http://gofile.me/4xaew/OeW0LwMl0</t>
  </si>
  <si>
    <t>http://gofile.me/4xaew/L10bLmFY0</t>
  </si>
  <si>
    <t>http://gofile.me/4xaew/7twjE9S85</t>
  </si>
  <si>
    <t>http://gofile.me/4xaew/SUtWGYKe7</t>
  </si>
  <si>
    <t>Technology Computers</t>
  </si>
  <si>
    <t>http://gofile.me/4xaew/oiXukv1Jp</t>
  </si>
  <si>
    <t>http://gofile.me/4xaew/2BjQeA8l9</t>
  </si>
  <si>
    <t>http://gofile.me/4xaew/foIPkmBhc</t>
  </si>
  <si>
    <t>http://gofile.me/4xaew/TelkcRwrJ</t>
  </si>
  <si>
    <t>http://gofile.me/4xaew/SklOr9Cgo</t>
  </si>
  <si>
    <t>http://gofile.me/4xaew/QiYVtAAQc</t>
  </si>
  <si>
    <t>http://gofile.me/4xaew/bCoX4qqhl</t>
  </si>
  <si>
    <t>http://gofile.me/4xaew/IYYeBN2pT</t>
  </si>
  <si>
    <t>http://gofile.me/4xaew/mDOPhQLwm</t>
  </si>
  <si>
    <t>http://gofile.me/4xaew/OBHEsVAk7</t>
  </si>
  <si>
    <t>http://gofile.me/4xaew/YVpi4tUdJ</t>
  </si>
  <si>
    <t>http://gofile.me/4xaew/ooSZCCZYV</t>
  </si>
  <si>
    <t>http://gofile.me/4xaew/uy3nSulV4</t>
  </si>
  <si>
    <t>http://gofile.me/4xaew/We9SMV5wx</t>
  </si>
  <si>
    <t>http://gofile.me/4xaew/T80UjLqyb</t>
  </si>
  <si>
    <t>http://gofile.me/4xaew/cNUdsYvJ9</t>
  </si>
  <si>
    <t>http://gofile.me/4xaew/Yjme5JcPx</t>
  </si>
  <si>
    <t>http://gofile.me/4xaew/aRTrgJhMJ</t>
  </si>
  <si>
    <t>http://gofile.me/4xaew/mANTm4CF2</t>
  </si>
  <si>
    <t>http://gofile.me/4xaew/TNL4hLbUU</t>
  </si>
  <si>
    <t>Technology-non-computer</t>
  </si>
  <si>
    <t>http://gofile.me/4xaew/2jKHrEcTl</t>
  </si>
  <si>
    <t>http://gofile.me/4xaew/sHvn1e26v</t>
  </si>
  <si>
    <t>http://gofile.me/4xaew/JcnoX8c3S</t>
  </si>
  <si>
    <t>http://gofile.me/4xaew/6cOUwUoOw</t>
  </si>
  <si>
    <t>Bio-Technology</t>
  </si>
  <si>
    <t>http://gofile.me/4xaew/nrCq1nEFe</t>
  </si>
  <si>
    <t>http://gofile.me/4xaew/QkxTTyHrv</t>
  </si>
  <si>
    <t>http://gofile.me/4xaew/cEDLxMSOk</t>
  </si>
  <si>
    <t>http://gofile.me/4xaew/BriRrRXSE</t>
  </si>
  <si>
    <t>http://gofile.me/4xaew/3r2qT9am9</t>
  </si>
  <si>
    <t>http://gofile.me/4xaew/sMprkiN3Y</t>
  </si>
  <si>
    <t>http://gofile.me/4xaew/BqE3lUfKy</t>
  </si>
  <si>
    <t>http://gofile.me/4xaew/OCw9tk2pO</t>
  </si>
  <si>
    <t>http://gofile.me/4xaew/XFltxuX4W</t>
  </si>
  <si>
    <t>http://gofile.me/4xaew/2rhADL65S</t>
  </si>
  <si>
    <t>http://gofile.me/4xaew/FTaPatPeP</t>
  </si>
  <si>
    <t>http://gofile.me/4xaew/W6escF5jW</t>
  </si>
  <si>
    <t>http://gofile.me/4xaew/YsgOCRx3V</t>
  </si>
  <si>
    <t>http://gofile.me/4xaew/kqGz4NFyC</t>
  </si>
  <si>
    <t>http://gofile.me/4xaew/wKPm95fqo</t>
  </si>
  <si>
    <t>http://gofile.me/4xaew/q3bZegvX8</t>
  </si>
  <si>
    <t>http://gofile.me/4xaew/x2eBpbzo2</t>
  </si>
  <si>
    <t>http://gofile.me/4xaew/K7qjwiWo2</t>
  </si>
  <si>
    <t>http://gofile.me/4xaew/KYaARcrf3</t>
  </si>
  <si>
    <t>http://gofile.me/4xaew/ggGXUtRGK</t>
  </si>
  <si>
    <t>http://gofile.me/4xaew/ZAh8ARDG1</t>
  </si>
  <si>
    <t>http://gofile.me/4xaew/Zy7OOXkGr</t>
  </si>
  <si>
    <t>http://gofile.me/4xaew/yaX98dwLx</t>
  </si>
  <si>
    <t>http://gofile.me/4xaew/0y8zU1ur6</t>
  </si>
  <si>
    <t>http://gofile.me/4xaew/XxchOXZpm</t>
  </si>
  <si>
    <t>http://gofile.me/4xaew/L3fYfK6Bf</t>
  </si>
  <si>
    <t>http://gofile.me/4xaew/WX75yta5l</t>
  </si>
  <si>
    <t>http://gofile.me/4xaew/pUy4o6A9i</t>
  </si>
  <si>
    <t>http://gofile.me/4xaew/FHYvFBC68</t>
  </si>
  <si>
    <t>http://gofile.me/4xaew/Tp3pTYF9H</t>
  </si>
  <si>
    <t>http://gofile.me/4xaew/SPTj4sav2</t>
  </si>
  <si>
    <t>http://gofile.me/4xaew/59twrE8ip</t>
  </si>
  <si>
    <t>http://gofile.me/4xaew/1EVGZfI7S</t>
  </si>
  <si>
    <t>http://gofile.me/4xaew/FLH8QaOHc</t>
  </si>
  <si>
    <t>http://gofile.me/4xaew/2eF8a8u2t</t>
  </si>
  <si>
    <t>http://gofile.me/4xaew/TKDcznOdC</t>
  </si>
  <si>
    <t>http://gofile.me/4xaew/Blz42HXYJ</t>
  </si>
  <si>
    <t>http://gofile.me/4xaew/s6uh68cWl</t>
  </si>
  <si>
    <t>http://gofile.me/4xaew/nIhE8QHle</t>
  </si>
  <si>
    <t>http://gofile.me/4xaew/qIbBVYo5G</t>
  </si>
  <si>
    <t>City of Batac, Province of Ilocos Norte</t>
  </si>
  <si>
    <t>http://gofile.me/4xaew/NCWeqCkBG</t>
  </si>
  <si>
    <t>http://gofile.me/4xaew/s5SmNYBqR</t>
  </si>
  <si>
    <t>http://gofile.me/4xaew/HCVyCGM3H</t>
  </si>
  <si>
    <t>http://gofile.me/4xaew/K1KHtvVfE</t>
  </si>
  <si>
    <t>http://gofile.me/4xaew/Djh7niW6N</t>
  </si>
  <si>
    <t>http://gofile.me/4xaew/Bl9e0S3sE</t>
  </si>
  <si>
    <t>http://gofile.me/4xaew/CjgGagZn0</t>
  </si>
  <si>
    <t>http://gofile.me/4xaew/9Rrt59spI</t>
  </si>
  <si>
    <t>http://gofile.me/4xaew/Yjiz9RkWT</t>
  </si>
  <si>
    <t>http://gofile.me/4xaew/6W0uNsoHX</t>
  </si>
  <si>
    <t>http://gofile.me/4xaew/jS1S9gPLm</t>
  </si>
  <si>
    <t>http://gofile.me/4xaew/9lHSpCdeT</t>
  </si>
  <si>
    <t>Region X</t>
  </si>
  <si>
    <t>http://gofile.me/4xaew/u8xRpp3IK</t>
  </si>
  <si>
    <t>http://gofile.me/4xaew/vKlWngdwX</t>
  </si>
  <si>
    <t>http://gofile.me/4xaew/h8F1u9sMF</t>
  </si>
  <si>
    <t>http://gofile.me/4xaew/kx1TxZ5Ux</t>
  </si>
  <si>
    <t xml:space="preserve">Male                                                                                                                                                                                                                                            Male  </t>
  </si>
  <si>
    <t>http://gofile.me/4xaew/FiOg5TidU</t>
  </si>
  <si>
    <t>http://gofile.me/4xaew/z7xm3Hu4d</t>
  </si>
  <si>
    <t>http://gofile.me/4xaew/boBlxEkBl</t>
  </si>
  <si>
    <t>http://gofile.me/4xaew/8dI20sJ9r</t>
  </si>
  <si>
    <t>http://gofile.me/4xaew/P29lFIpXP</t>
  </si>
  <si>
    <t>http://gofile.me/4xaew/93kretbAe</t>
  </si>
  <si>
    <t>MIMAROPA</t>
  </si>
  <si>
    <t>http://gofile.me/4xaew/AriGxm6aF</t>
  </si>
  <si>
    <t>http://gofile.me/4xaew/fpydTHott</t>
  </si>
  <si>
    <t>http://gofile.me/4xaew/FQMkBK0nk</t>
  </si>
  <si>
    <t>http://gofile.me/4xaew/W16Gjhbo3</t>
  </si>
  <si>
    <t>http://gofile.me/4xaew/byYe7pDZ7</t>
  </si>
  <si>
    <t>Region XIII</t>
  </si>
  <si>
    <t>http://gofile.me/4xaew/YxWfXjl5y</t>
  </si>
  <si>
    <t>http://gofile.me/4xaew/75BVB0hPt</t>
  </si>
  <si>
    <t>http://gofile.me/4xaew/u9OOe1wcg</t>
  </si>
  <si>
    <t>http://gofile.me/4xaew/q1D62EPDA</t>
  </si>
  <si>
    <t>Technology- Computers</t>
  </si>
  <si>
    <t>http://gofile.me/4xaew/omp4PVSzy</t>
  </si>
  <si>
    <t>Enineering</t>
  </si>
  <si>
    <t>ARMM</t>
  </si>
  <si>
    <t>http://gofile.me/4xaew/VQPspkSgW</t>
  </si>
  <si>
    <t>http://gofile.me/4xaew/nGLodmZs8</t>
  </si>
  <si>
    <t>http://gofile.me/4xaew/Y0U2KmZpy</t>
  </si>
  <si>
    <t>http://gofile.me/4xaew/v5Ta1CbSc</t>
  </si>
  <si>
    <t>http://gofile.me/4xaew/RtCsTtftV</t>
  </si>
  <si>
    <t>http://gofile.me/4xaew/P19IJAIrp</t>
  </si>
  <si>
    <t>http://gofile.me/4xaew/vGd7Lh9vc</t>
  </si>
  <si>
    <t>http://gofile.me/4xaew/Q8Qq5yNvW</t>
  </si>
  <si>
    <t>http://gofile.me/4xaew/lRuvExBV3</t>
  </si>
  <si>
    <t>http://gofile.me/4xaew/ER7EUfEND</t>
  </si>
  <si>
    <t>http://gofile.me/4xaew/eT3Qq8ya3</t>
  </si>
  <si>
    <t>http://gofile.me/4xaew/ZKjTID9cv</t>
  </si>
  <si>
    <t>Region XII</t>
  </si>
  <si>
    <t>http://gofile.me/4xaew/rRuhhKVYn</t>
  </si>
  <si>
    <t>http://gofile.me/4xaew/6RCUvtKOL</t>
  </si>
  <si>
    <t>http://gofile.me/4xaew/XXWxwEaqV</t>
  </si>
  <si>
    <t>http://gofile.me/4xaew/Dho5TiY0J</t>
  </si>
  <si>
    <t>http://gofile.me/4xaew/wGDqRwOOY</t>
  </si>
  <si>
    <t>http://gofile.me/4xaew/MlkiSP2WM</t>
  </si>
  <si>
    <t>http://gofile.me/4xaew/5A8XxIprN</t>
  </si>
  <si>
    <t>http://gofile.me/4xaew/csFpnaohg</t>
  </si>
  <si>
    <t>http://gofile.me/4xaew/YtVRDF23V</t>
  </si>
  <si>
    <t>Robotics</t>
  </si>
  <si>
    <t>http://gofile.me/4xaew/ymBr6aKTw</t>
  </si>
  <si>
    <t>http://gofile.me/4xaew/9vpuZT9dJ</t>
  </si>
  <si>
    <t>http://gofile.me/4xaew/k0r7j1Gd2</t>
  </si>
  <si>
    <t>http://gofile.me/4xaew/DcC9rNvca</t>
  </si>
  <si>
    <t>http://gofile.me/4xaew/KxTEraYqA</t>
  </si>
  <si>
    <t>http://gofile.me/4xaew/WjfZ6WFSR</t>
  </si>
  <si>
    <t>http://gofile.me/4xaew/XMj3kaw9z</t>
  </si>
  <si>
    <t>http://gofile.me/4xaew/BOU6C1VT8</t>
  </si>
  <si>
    <t>DOST agency</t>
  </si>
  <si>
    <t>http://gofile.me/4xaew/uZju8xcWs</t>
  </si>
  <si>
    <t>http://gofile.me/4xaew/6Vdk2Ym3m</t>
  </si>
  <si>
    <t>Technology-non-cumputer</t>
  </si>
  <si>
    <t>http://gofile.me/4xaew/toGqNhwOv</t>
  </si>
  <si>
    <t>http://gofile.me/4xaew/YbstOi3fi</t>
  </si>
  <si>
    <t>http://gofile.me/4xaew/HFczXM3RM</t>
  </si>
  <si>
    <t>http://gofile.me/4xaew/BXosPky3q</t>
  </si>
  <si>
    <t>http://gofile.me/4xaew/FpJaIaytc</t>
  </si>
  <si>
    <t>http://gofile.me/4xaew/8jHAIEz9T</t>
  </si>
  <si>
    <t>http://gofile.me/4xaew/gSYS2df65</t>
  </si>
  <si>
    <t>http://gofile.me/4xaew/Z9AKqk6Jm</t>
  </si>
  <si>
    <t>Government Organization</t>
  </si>
  <si>
    <t>http://gofile.me/4xaew/OFMUmXc9W</t>
  </si>
  <si>
    <t xml:space="preserve">Government </t>
  </si>
  <si>
    <t>http://gofile.me/4xaew/oInU0VK7G</t>
  </si>
  <si>
    <t>http://gofile.me/4xaew/oQTqGESJd</t>
  </si>
  <si>
    <t>http://gofile.me/4xaew/mc31V5YVy</t>
  </si>
  <si>
    <t>http://gofile.me/4xaew/ipmBylYY5</t>
  </si>
  <si>
    <t>http://gofile.me/4xaew/iS3hiD3x0</t>
  </si>
  <si>
    <t>http://gofile.me/4xaew/bleTH8tm6</t>
  </si>
  <si>
    <t>http://gofile.me/4xaew/DNTLNFxqp</t>
  </si>
  <si>
    <t>http://gofile.me/4xaew/8wbrmOWNd</t>
  </si>
  <si>
    <t>Organization</t>
  </si>
  <si>
    <t>http://gofile.me/4xaew/SYfXfqzpL</t>
  </si>
  <si>
    <t>http://gofile.me/4xaew/rq7x5HRGK</t>
  </si>
  <si>
    <t>http://gofile.me/4xaew/eziqgGsn9</t>
  </si>
  <si>
    <t>http://gofile.me/4xaew/8XOuGRt9s</t>
  </si>
  <si>
    <t>http://gofile.me/4xaew/WQNryXCHu</t>
  </si>
  <si>
    <t>Description of Technology</t>
  </si>
  <si>
    <t>SEX (MALE or FEMALE)</t>
  </si>
  <si>
    <t>Allocation</t>
  </si>
  <si>
    <t>http://gofile.me/4xaew/zco2Y1MbG</t>
  </si>
  <si>
    <t>Region IV</t>
  </si>
  <si>
    <t>http://gofile.me/4xaew/DFLnZKP79</t>
  </si>
  <si>
    <t>http://gofile.me/4xaew/2XAZWRXgG</t>
  </si>
  <si>
    <t>http://gofile.me/4xaew/4mA7dcmTW</t>
  </si>
  <si>
    <t>http://gofile.me/4xaew/wWO1avfWv</t>
  </si>
  <si>
    <t>http://gofile.me/4xaew/6PyJkHgmS</t>
  </si>
  <si>
    <t>http://gofile.me/4xaew/03CG0pxyb</t>
  </si>
  <si>
    <t>http://gofile.me/4xaew/KAagqWV3H</t>
  </si>
  <si>
    <t>http://gofile.me/4xaew/HWGfohslP</t>
  </si>
  <si>
    <t>http://gofile.me/4xaew/CB5222uk3</t>
  </si>
  <si>
    <t>http://gofile.me/4xaew/PEYelupkD</t>
  </si>
  <si>
    <t>http://gofile.me/4xaew/BbP4GDVjU</t>
  </si>
  <si>
    <t>http://gofile.me/4xaew/uaihGaXUQ</t>
  </si>
  <si>
    <t>http://gofile.me/4xaew/NaDHcd0kL</t>
  </si>
  <si>
    <t>http://gofile.me/4xaew/bVllQ2hQT</t>
  </si>
  <si>
    <t>http://gofile.me/4xaew/IGasxPMS9</t>
  </si>
  <si>
    <t>http://gofile.me/4xaew/KDABXpuet</t>
  </si>
  <si>
    <t>http://gofile.me/4xaew/mcuvjn8Sz</t>
  </si>
  <si>
    <t>http://gofile.me/4xaew/vGFLHfEiT</t>
  </si>
  <si>
    <t>http://gofile.me/4xaew/DTisLdgz6</t>
  </si>
  <si>
    <t>http://gofile.me/4xaew/XSg2vCCmz</t>
  </si>
  <si>
    <t>http://gofile.me/4xaew/SnNiobeW3</t>
  </si>
  <si>
    <t>http://gofile.me/4xaew/5fkirbldv</t>
  </si>
  <si>
    <t>http://gofile.me/4xaew/xVK3zjNBt</t>
  </si>
  <si>
    <t>http://gofile.me/4xaew/ItIvgfkcd</t>
  </si>
  <si>
    <t>http://gofile.me/4xaew/Tq47na3jZ</t>
  </si>
  <si>
    <t>http://gofile.me/4xaew/eo2Z7mulw</t>
  </si>
  <si>
    <t>Communication</t>
  </si>
  <si>
    <t>http://gofile.me/4xaew/d60oll4Gx</t>
  </si>
  <si>
    <t>http://gofile.me/4xaew/GMZrW5a4s</t>
  </si>
  <si>
    <t>http://gofile.me/4xaew/YLgLjiBm7</t>
  </si>
  <si>
    <t>http://gofile.me/4xaew/YMXjPcuUx</t>
  </si>
  <si>
    <t>http://gofile.me/4xaew/5cLK4V1ZC</t>
  </si>
  <si>
    <t>http://gofile.me/4xaew/I2IH0HWbt</t>
  </si>
  <si>
    <t>http://gofile.me/4xaew/XAq5tt1gH</t>
  </si>
  <si>
    <t>http://gofile.me/4xaew/wsAz8xSL9</t>
  </si>
  <si>
    <t>http://gofile.me/4xaew/oaWVP95M7</t>
  </si>
  <si>
    <t>http://gofile.me/4xaew/1GRpC6VML</t>
  </si>
  <si>
    <t>http://gofile.me/4xaew/avBwW1GeG</t>
  </si>
  <si>
    <t>http://gofile.me/4xaew/P1BCbshJk</t>
  </si>
  <si>
    <t>http://gofile.me/4xaew/gBEOfVWP4</t>
  </si>
  <si>
    <t>http://gofile.me/4xaew/kJ0ORpkje</t>
  </si>
  <si>
    <t>http://gofile.me/4xaew/n7lO3Pqsv</t>
  </si>
  <si>
    <r>
      <rPr>
        <sz val="10"/>
        <color theme="1"/>
        <rFont val="Arial"/>
      </rPr>
      <t xml:space="preserve"> P 50,000
P 50,000
P50,000
P 50,000
P 50,000
P 50,000
P  50,000
P 50,000
P 45,000
P 49,970
P 47,000
P 50,000
</t>
    </r>
    <r>
      <rPr>
        <b/>
        <sz val="10"/>
        <color theme="1"/>
        <rFont val="Arial"/>
      </rPr>
      <t>TOTAL: P 791,970</t>
    </r>
  </si>
  <si>
    <t>http://gofile.me/4xaew/iPnb9wO31</t>
  </si>
  <si>
    <t>http://gofile.me/4xaew/tJuwoDTbi</t>
  </si>
  <si>
    <t>http://gofile.me/4xaew/kKFdnYhuK</t>
  </si>
  <si>
    <t>http://gofile.me/4xaew/6UB1SxfEu</t>
  </si>
  <si>
    <t>http://gofile.me/4xaew/uyZOqzLBV</t>
  </si>
  <si>
    <t xml:space="preserve"> 330,000
190,000</t>
  </si>
  <si>
    <t>http://gofile.me/4xaew/FVFgyhUCF</t>
  </si>
  <si>
    <t xml:space="preserve"> 712, 468.76</t>
  </si>
  <si>
    <t>http://gofile.me/4xaew/CheAXCC8a</t>
  </si>
  <si>
    <t>http://gofile.me/4xaew/EBkz5n0jL</t>
  </si>
  <si>
    <t>http://gofile.me/4xaew/m4p5OQtza</t>
  </si>
  <si>
    <t>http://gofile.me/4xaew/Cj2WpxZyU</t>
  </si>
  <si>
    <t xml:space="preserve">P 1,535,432 (Financial Assistance)
P 126,500,000 (Grant MOOE)
P 1,408,932 (with Repayment)
P 338,973.88 (Total payments made)
P 1,019,958.12 ( Remaining Balance) </t>
  </si>
  <si>
    <t>http://gofile.me/4xaew/iQlBvCX6Y</t>
  </si>
  <si>
    <t>http://gofile.me/4xaew/b0KYNH6mh</t>
  </si>
  <si>
    <t>Commercialization</t>
  </si>
  <si>
    <t>P 900,320 (P 480,00 to be released ot DOST VII)</t>
  </si>
  <si>
    <t>http://gofile.me/4xaew/AzsY2dm33</t>
  </si>
  <si>
    <t>region III</t>
  </si>
  <si>
    <t>http://gofile.me/4xaew/A58W89fCc</t>
  </si>
  <si>
    <t>http://gofile.me/4xaew/xxJXzrlBX</t>
  </si>
  <si>
    <t>http://gofile.me/4xaew/fshM8Cx35</t>
  </si>
  <si>
    <t>http://gofile.me/4xaew/00JUvnxg6</t>
  </si>
  <si>
    <t>Technical</t>
  </si>
  <si>
    <t>http://gofile.me/4xaew/s5SJIQUqs</t>
  </si>
  <si>
    <t>http://gofile.me/4xaew/VzeRJs0oM</t>
  </si>
  <si>
    <t>http://gofile.me/4xaew/cjur0txWP</t>
  </si>
  <si>
    <t>P 1,015,000 DOST-GIA
P 72,000 FOB PCAARD</t>
  </si>
  <si>
    <t>http://gofile.me/4xaew/nkGLiXXYW</t>
  </si>
  <si>
    <r>
      <rPr>
        <sz val="10"/>
        <color theme="1"/>
        <rFont val="Arial"/>
      </rPr>
      <t xml:space="preserve">P 1,276, 450.00 TAPI-GIA
P 39,800,000 FOB PCAARD
</t>
    </r>
    <r>
      <rPr>
        <b/>
        <sz val="10"/>
        <color theme="1"/>
        <rFont val="Arial"/>
      </rPr>
      <t>TOTAL: P 1,316,250</t>
    </r>
  </si>
  <si>
    <t>http://gofile.me/4xaew/l0mMalL8n</t>
  </si>
  <si>
    <t>P 169,240 (P 82,000 to be released to DOST XII)</t>
  </si>
  <si>
    <t>http://gofile.me/4xaew/1pNokuHaI</t>
  </si>
  <si>
    <t>http://gofile.me/4xaew/MyGjElTlt</t>
  </si>
  <si>
    <t>http://gofile.me/4xaew/fuoKcQtvr</t>
  </si>
  <si>
    <t>http://gofile.me/4xaew/KaDseKtL2</t>
  </si>
  <si>
    <t>http://gofile.me/4xaew/y4N9HdLvG</t>
  </si>
  <si>
    <t>Business</t>
  </si>
  <si>
    <t>http://gofile.me/4xaew/iAOqTYtbk</t>
  </si>
  <si>
    <t>http://gofile.me/4xaew/lZ3e3fCqT</t>
  </si>
  <si>
    <t>P 241,450.00 (147,850 to be realeased to TAU)</t>
  </si>
  <si>
    <t>http://gofile.me/4xaew/apMiCyjgu</t>
  </si>
  <si>
    <t>http://gofile.me/4xaew/94NN5ogt6</t>
  </si>
  <si>
    <t>http://gofile.me/4xaew/Bj6x98ksq</t>
  </si>
  <si>
    <t>http://gofile.me/4xaew/8vt4njjIb</t>
  </si>
  <si>
    <t>http://gofile.me/4xaew/7dlg9FpJ9</t>
  </si>
  <si>
    <t>http://gofile.me/4xaew/E6JdoGbzC</t>
  </si>
  <si>
    <t>http://gofile.me/4xaew/7C7ani7AA</t>
  </si>
  <si>
    <t>http://gofile.me/4xaew/RTxTuZ1AF</t>
  </si>
  <si>
    <r>
      <rPr>
        <sz val="10"/>
        <color theme="1"/>
        <rFont val="Arial"/>
      </rPr>
      <t xml:space="preserve">P 606,511.20 </t>
    </r>
    <r>
      <rPr>
        <b/>
        <sz val="10"/>
        <color theme="1"/>
        <rFont val="Arial"/>
      </rPr>
      <t xml:space="preserve">PS
</t>
    </r>
    <r>
      <rPr>
        <sz val="10"/>
        <color theme="1"/>
        <rFont val="Arial"/>
      </rPr>
      <t xml:space="preserve">P 350,000.00 </t>
    </r>
    <r>
      <rPr>
        <b/>
        <sz val="10"/>
        <color theme="1"/>
        <rFont val="Arial"/>
      </rPr>
      <t>MODE
TOTAL: P 956,511.20</t>
    </r>
  </si>
  <si>
    <t>Mr. Jose S. Aldea signified interest to avail of the prototype assistance and he requested for an acutual visit of the technical experts from DOST and TAPI however theses there are no available experts in the Region that can evaluate theworkability of his proposal. Experts from the Department of Energy and the Central Philippines University were trapped. An inter Agency TEC was creatded for this purpose composed of experts from DOE, Central Philippine University and TAPI.</t>
  </si>
  <si>
    <t>http://gofile.me/4xaew/5nnf2DttE</t>
  </si>
  <si>
    <t>http://gofile.me/4xaew/S2N8baBYx</t>
  </si>
  <si>
    <t>REDDOPAC is a chemical that can remove air pollutants in water and waste water, The objective of the test is to verify i sit can remove water pollutants and waste water related problems Mr. Cajegas claimed that it remove BOD,COO, oile grease , color turbidity, TSS handness surfacants, heavy metals, cyanide, etc.</t>
  </si>
  <si>
    <t>http://gofile.me/4xaew/QgMntUcOA</t>
  </si>
  <si>
    <t>The original schedule of the ISP Seminar-Workshop was last 12-13 December 2016, however, the activity was cancelled due to conflict of schedule with another activity. The activity was approved on November 3,2016.</t>
  </si>
  <si>
    <t>http://gofile.me/4xaew/FFN2uGWp9</t>
  </si>
  <si>
    <t>The original schedule of the ISP Seminar-Workshop was last 8-9 December 2016, however, the activity was cancelled due to conflict of schedule with another activity. The activity was approved on November 11,2016.</t>
  </si>
  <si>
    <t>http://gofile.me/4xaew/Mma6NS474</t>
  </si>
  <si>
    <t xml:space="preserve">The "Philippine Internal Entreprenuer Conference and Expo 2017 is an event where local and international businesses from start-ups to full blown &amp; sucessful entreprenuers will be showcasing their unique produtcs, servixces and businesses to attarct buyers, retailers and encourage more Filipinos to be entreprenuers as well. TAPI's participation will enable to connect interact and introduce technologies developed by the Department. </t>
  </si>
  <si>
    <t>http://gofile.me/4xaew/hUEzaLsku</t>
  </si>
  <si>
    <t>The proposed Invent School Program (ISP) Seminar-Workshop for College Students shall be held at the New Era University. Aside from the New Era University, other schools in Quezonn City, Manila, Mandaluyong, Malabon and Valenzuela City will be invited to participate in the said acitivty.</t>
  </si>
  <si>
    <t>http://gofile.me/4xaew/GO3NCgn9s</t>
  </si>
  <si>
    <t>The proposed Invent School Program (ISP) Seminar-Workshop for College Students shall be held at the COE AVR, Bulacan State University. Aside from the Bulucan State University (BSU) other schools in Bulacan and Pampanga will be invited to participate in the said activtiy</t>
  </si>
  <si>
    <t>http://gofile.me/4xaew/x2uwhfu0T</t>
  </si>
  <si>
    <t xml:space="preserve">Allocation </t>
  </si>
  <si>
    <t>The League of Municipalities of the Philippines (LMP) will set-up a one stop action center for all National Government Agencies that will participate in the event where the attending mayors may consult and seek assistance on the respective NGAS. The exhibit aims to promote the programs and services of the DOST to Local Government Officials.</t>
  </si>
  <si>
    <t>http://gofile.me/4xaew/rRIEyPSqM</t>
  </si>
  <si>
    <t>The brochures will feature Infographics on weight management and non-communicable diseases such as:
- Overweight and Obesity
- Cardiovascular Diseases
- Cancer
- Chronic Kidney Disease
- Gout</t>
  </si>
  <si>
    <t>http://gofile.me/4xaew/pqhk02zLP</t>
  </si>
  <si>
    <t>The patent pending invention relates generally to the field of fuel induction system for internal combustion engines more specifically to an aero- dynamic fuel nozzle construction for use in a carburator. It is do-it-yourself (DIY) upgrade part for current motorcycle carburators which will be installed without alerting the engine's internal mechanism.</t>
  </si>
  <si>
    <t>http://gofile.me/4xaew/qMh5ryk4K</t>
  </si>
  <si>
    <t>The positive reults of the ETV tests, specially in the exhaist emmission, the device will contribute in the pollution-causing carbon emmissions from vehicles.</t>
  </si>
  <si>
    <t>http://gofile.me/4xaew/Tk8p2LAlJ</t>
  </si>
  <si>
    <t>The brochures will feature research-based nutritional diet on weight management and non-communicable diseases, Target audience of the promotion materials are people requiring health and nutrition attention, including professionals, students, government workers mothers and other walks of life.</t>
  </si>
  <si>
    <t>http://gofile.me/4xaew/56KiEqxsr</t>
  </si>
  <si>
    <t>The Department of Food Science &amp; Technology conducted a market research to determine the market potential of chevon products developed at the Central Luzon University (CLSU). Based on the study conducted, 61% of the consumers would buy the products due to its lower cholesterol level compared to other meals. Thus, the processed chevon products have clear market potential With the increasing demand for chevon, there is a need to develop a wide selection of processed chevon products to satisfy the demand of innovative local delicacies.</t>
  </si>
  <si>
    <t>http://gofile.me/4xaew/fKuwImwEn</t>
  </si>
  <si>
    <t>The DOST's participation to the activity will promote awareness and appreciation on the advances in research and development in Food Processing and the available DOST programs and services foe SMEs in the Food Sector.</t>
  </si>
  <si>
    <t>http://gofile.me/4xaew/4K8Vvwwek</t>
  </si>
  <si>
    <t>The Romblon State Univeristy promotes inventiveness and innovation among its students. With the combined efforts of TAPI and DOST MIMAROPA, the posibility of pursuing such activity become a reality. Lectures are organized and a two-day seminar workshop shall be conducted designed to open the mined of the student on the importance of developing creativity and invention development.</t>
  </si>
  <si>
    <t>http://gofile.me/4xaew/Vbl9QtRL8</t>
  </si>
  <si>
    <t>The Department of Trade &amp; Industry - Center for International Trade &amp; Expositions and Missions (CITEM) seek the support of the Department of Science and Technology to conduct a Technology Forum to discuss DOST's program of assistance to the IFEX 2017 participants such as entrepreneurs, investors, buyers, suppliers and merchants from the food industry sectors. TAPI has been tasked to coordinate with CITEM to implement the technology exhibit and forum.</t>
  </si>
  <si>
    <t>http://gofile.me/4xaew/w2aQGU8pM</t>
  </si>
  <si>
    <t>In support for the "Science for Change Program", the DOST Region IX is set to conduct "Science for Change (S4C)" Festival in key locations in the region. S4C is a consolidated effort of the regional office to bring down the S&amp;T products and services to the communities. The concept is inspired by a "fiesta" or a community festival where local folks are gathered in one common area to celebrate and actively participate in other beneficial activities.</t>
  </si>
  <si>
    <t>http://gofile.me/4xaew/STSNjbbgd</t>
  </si>
  <si>
    <t xml:space="preserve">In December 2014, TAPI through PSTC Pampanga has conducted Invent School Program (ISP) Seminar-Workshop for four (4) schools. For CY 2017, the PSTC Pampanga is proposing to conduct ISP with five (5) new target schools. The proposed ISP Seminar-Workshop is to be conducted at the DOST Region III Conference Room on September 2017.
</t>
  </si>
  <si>
    <t>http://gofile.me/4xaew/08r01Dmpw</t>
  </si>
  <si>
    <t>In 2016, two (2) successful implementation of Invent School Program were held in Davao City which caters College students in Digos City and High School students in Mati, Davao City. For CY 2017, the target participants are the students and teachers from the public and private High Schools located in the Municipality of Sta. Cruz, Davao del Sur. The proposed venue of the Seminar-Workshop is at the Sta. Cruz National High School, Davao del Sur.</t>
  </si>
  <si>
    <t>http://gofile.me/4xaew/oXj9pgFca</t>
  </si>
  <si>
    <t>This year DOST-NCR is expecting more entries and are confident that they will surpass RICE-NCR's 2015's 300 entries from 78 schools, organizations and research agencies distributed in the six categories of the competition. Due to the increase in the cost of booth rental for 100 booths amounting to P250,000, additional funding is requested to cover the expenses for the booth rental.</t>
  </si>
  <si>
    <t>http://gofile.me/4xaew/4AlY7ZDKn</t>
  </si>
  <si>
    <t>The 17th Conference Council of Asia will be held on 14-16 June 2017 at the Philippine International Convention Center (PICC) in line with the theme, "Science, Technology and Innovation for Inclusive Development". The event will involve parallel symposia and poster presentations on the various areas of science, technology, research and innovation. The event will be participated by members of the SCA composed of thirty-one (31) scientific organizations from eighteen countries/regions.</t>
  </si>
  <si>
    <t>http://gofile.me/4xaew/5q2cIx2Xx</t>
  </si>
  <si>
    <t>The Philippine Small Medium Enterprise (PhilSME) Business Expo 2017 is the leading trade show promoting Small and Medium Enterprises (SMEs) in the Philippines. PhilSME is a two-day event that will provide information on the innovations &amp; trends presented in an interactive programs composed of seminars, fora, workshops and product presentations and other activities that provide growth opportunities to SMEs. Through TAPI's participation, TAPI will able to showcase its programs and services relevant to SMES.</t>
  </si>
  <si>
    <t>http://gofile.me/4xaew/4EZXQf1Nr</t>
  </si>
  <si>
    <t>The "Green Eco-Toilet System (GETS) is a utility model, an economical toilet system adopted to be installed inside a typical bathroom with a shower, a toilet bowl and a lavatory. It is placed underneath the floor just below the bathroom's shower head with a detachable container that collects the shower water. The financial assistance will cover the cost of the raw materials for twenty five (25) units of the GETS for Pilot Production and Market Testing.</t>
  </si>
  <si>
    <t>http://gofile.me/4xaew/vhyuLqAxw</t>
  </si>
  <si>
    <t>The request for realignment of the Line-Item Budget is to reallocate the funds to purchase the types of fish currently available in the community and the cost of the spices to be used in drying.</t>
  </si>
  <si>
    <t>http://gofile.me/4xaew/jVQvtparZ</t>
  </si>
  <si>
    <t xml:space="preserve">The request has been deliberated during the TAPI EXECOM Meeting on 18 September 2015. The EXECOM recommended that the product invention should undergo evaluation through Testing and Laboratory Analyses. DOST-MIRDC and the Bureau of Philippine Standards were requested for appropriate testing for the cylinder breaker. DOST-MIRDC recommended to subject Mr. Miguel's product to Compression Test, Hardness Test and Chemical Analysis.
</t>
  </si>
  <si>
    <t>http://gofile.me/4xaew/Xnb43OHJE</t>
  </si>
  <si>
    <t>Regiion IV-B</t>
  </si>
  <si>
    <t>The SLCDO is a community based organization organized in 2014 which caters to 400 local members composed of farmers, indigenous people, fisherfolks, women and small business owners. It was in 2015 that the organization ventured into agricultural based processing specifically in banana chips processing since Saba Banana is abundantly grown in the municipality. SLCDO sees the potential of the saba banana processing project that could benefit the livelihood of the banana farmers.</t>
  </si>
  <si>
    <t>http://gofile.me/4xaew/pr9NXuQnY</t>
  </si>
  <si>
    <t>The Inventors' Forum aims to provide an avenue for inventors to presen their ideas to a select group of technical and economic panel of experts who could help provide directions for the revision and/or improvement of the concept.</t>
  </si>
  <si>
    <t>http://gofile.me/4xaew/faWgSWrsc</t>
  </si>
  <si>
    <t>The utility model is an improvement of the self-sustaining device with four bearings and two rods. An Inventors' Forum was held on 06 January 2017 at the Capiz State University for the said Utility Model wherein the Inter-Agency Technical Evaluation recommended for a flexural analysis by the DOST MIRDC. It is also recommended for a fabrication of the crude working prototype in collaboration with PSTC-Capiz and Capiz State University to determine Mr. Aldea's concept.</t>
  </si>
  <si>
    <t>http://gofile.me/4xaew/Ogi8DpWoO</t>
  </si>
  <si>
    <t>The Invent School Program caters only to High School and College Students nationwide. As part of the innovation of the program, a module for elementary pupils was developed in cooperation with SEI and writers from the UP Marine Science Institute. Twelve (12) modules were developed by the writers that are more interactive and should stimulate the student's creativity and ingenuity at an early age. The ISP for elementary was already endorsed by the Science Education Institute (SEI) for pilot testing prior for full implementation.</t>
  </si>
  <si>
    <t>http://gofile.me/4xaew/GMQhAzMta</t>
  </si>
  <si>
    <t xml:space="preserve">TAPI launched the project, "Prosecution, Enforcement, Collection of All TAPI Cases, CY 2017 with the aim to file complaints in court against any persons/inventors under obligation to TAPI that has become delinquent or ripe for judicial action. The project includes allocation for the conduct of training, thus, this Legal Forum. The Forum is aimed at raising awareness of the importance of the timely filing and enforcement of the TAPI's right of action and to help the PMs in ascertaining whether the case is ripe for judicial action.
Write to
</t>
  </si>
  <si>
    <t>http://gofile.me/4xaew/YH67mJqdj</t>
  </si>
  <si>
    <t>The PNRI has been undertaking various public information dissemination activities to promote the beneficial applications of nuclear technology and PNRI's specialized nuclear services which can be availed by the various sectors and the general public. The PNRI's technology flyers has been. very effective in generating awareness and interest of the people regarding the Institute's services and the applications of nuclear technology in various fields.</t>
  </si>
  <si>
    <t>http://gofile.me/4xaew/XKiWFwu2Z</t>
  </si>
  <si>
    <t>The invention is a boat structured being defined by double walled upper and lower sections each having buoyant core. It has pair of hulls being interconnected by a bridging member that forms the deck of the structure and a pluralty of air chambers. The inventor is requesting for financial assistance to fabricate a commercial prototype of the Unsinkable Porta Boat (UPB) to be used as a demo unit in exhibitions/fairs.</t>
  </si>
  <si>
    <t>http://gofile.me/4xaew/yW33fWFty</t>
  </si>
  <si>
    <t>DOST Region II proposed the conduct of the Invent School Program in the following venues: Nueva Viscaya (NVSU Bayombong) and in Quirino (Quirino State Univeristy) to be held on august 2017.</t>
  </si>
  <si>
    <t>http://gofile.me/4xaew/10cRoNc5W</t>
  </si>
  <si>
    <t>DOST Region II proposed the conduct of the Invent School Program in the following venues: Isable (ISU Cauayan Campus) and in Cagayan (CSU Andrews Campus) to be held on august 2017.</t>
  </si>
  <si>
    <t>http://gofile.me/4xaew/KcDiw2bUW</t>
  </si>
  <si>
    <t>Mr. Roberto M. Catubig is requesting for financial assistance under Testinng and Laboratory Analyses Assistance Program for his product, "Vegetables and Cereals Food Drink". Mr. Catubig is also requesting for possible tests that can be perfomed by the Food and Nutrition Research Institute (FNRI) for the labeling of his product. The "Vegetables and Cereals Food Drink" was also approved for patenting under the Intellectual Property Rights (IPR) Assistance Program.</t>
  </si>
  <si>
    <t>http://gofile.me/4xaew/C9mlTZJ1s</t>
  </si>
  <si>
    <t>The conduct og the Invent School Program (ISP) wil stimulate the students's creative mind and will be a great help in the pursuit of producing inventors among engineering graduates. Since the University is offering an engineering curriculum, their objective is to produce engineers with inventive minds.</t>
  </si>
  <si>
    <t>http://gofile.me/4xaew/aSnMHAoNI</t>
  </si>
  <si>
    <t>The information materials will be distributed to visitors and interested technology adaptors of FPRDI during the 2017 National Science and Technology Week (NSTW), Regional NSTW Celebrations and promotional activities.</t>
  </si>
  <si>
    <t>http://gofile.me/4xaew/PPyUBbbfb</t>
  </si>
  <si>
    <t>Mr. Manuel R. Dono is requesting for financial assistance in the publication of the Filippino Inventors and Inventions Directory. The project is part of the Invention Development Division's promotional assistance in preparation for the 2018 National Invention Contest and Exhibits (NICE) and at the same time use the opportunity to promote the programs of assistance for inventors.</t>
  </si>
  <si>
    <t>http://gofile.me/4xaew/sPW5q3qcE</t>
  </si>
  <si>
    <t>In July 2011, TAPI has conducted Invent School Program Seminar-Workshop ibn Dipolog City for College Students. It is then high time to conduct another set of Invent School  for College Studnets in Zamboaga del Sur.</t>
  </si>
  <si>
    <t>http://gofile.me/4xaew/sMCBaMuTw</t>
  </si>
  <si>
    <t xml:space="preserve"> PROMO</t>
  </si>
  <si>
    <t>PhilAAST will hold the "International Conference on Research Translation and 66th PhilAAST Annual Convention" with the theme "Translating Research into Policy nad Practice" on19-20 September 2017 at Hotel Jen, Roxa Blvd. The two day event will highlight the mobilization of research beyond the laboratory and conference hall into a setting where it will be implemented as a basis for policies and practices.</t>
  </si>
  <si>
    <t>http://gofile.me/4xaew/ISyIQdWuq</t>
  </si>
  <si>
    <t>The inventor is requesting for financial assistance under the Testing Assistance Program for his patent-pending technolgy to undergo the Environmental Technolohy Verification (ETV) test from the Industrial Technology Development Institute (ITDI). The objrctive of the test is to verfiy if the paten-pending invention can reduce fuel consumption and smoke emmission.</t>
  </si>
  <si>
    <t>http://gofile.me/4xaew/RCX3WTKtN</t>
  </si>
  <si>
    <t>The New Era University is an institution with a goal to become a Research University. Annually, thre University holds Science Fair which is an avenue for showcasing the science projects and research outputs of students and faculty that contribute for the development of science and technology. Early this year, NEU conducted ISP for College students. This time, the conduct of the ISP is for the Integrated School which includes Grade 7-12 from various schools in Quezon City.</t>
  </si>
  <si>
    <t>http://gofile.me/4xaew/rSlJ6HOMK</t>
  </si>
  <si>
    <t>In 2016, TAPI through DOST Region I has conducted Invent School Program Seminar-Workshop in Ilocos Norte. Now, DOST I is proposing Invent School Seminar-Workshop in the province of Ilocos Sur. The Seminar-Workshop will coincide with the Regional Science and Technology Week (RSTW) Celebration cum S&amp;T Caravan that will be held on October 2-6, 2017 in Candon City, Ilocos Sur.</t>
  </si>
  <si>
    <t>http://gofile.me/4xaew/M5gHMXvbq</t>
  </si>
  <si>
    <t>The funding assistance was approved amounting to P30,000 through Ad Referendun No. 2017-43. The additional fund amounting to P12,000 shall be used to defray the food expenses due to the increase number of participants in the said Invent School Program Seminar-Workshop.</t>
  </si>
  <si>
    <t>http://gofile.me/4xaew/qxkpj7D1g</t>
  </si>
  <si>
    <t>The conduct of the Invent school Program Seminar-Workshop willl be the first time in Tagum City. There would be two (2) batches of seminar-workshop to be conducted in coordication with DOST Region XI and DepEd, Tagum City Division.</t>
  </si>
  <si>
    <t>http://gofile.me/4xaew/F2RW2JGB1</t>
  </si>
  <si>
    <t>The event is an opportunity to focus regional attention on the contribution of science and technology  to natio nal development and to give recognition and appreciation to outstanding accomplishments and personalities in science and technology.</t>
  </si>
  <si>
    <t>http://gofile.me/4xaew/CG0kIguD2</t>
  </si>
  <si>
    <t>The proponent is requesting for a two month extension on the refund schedule to allow ample time to address the issues on the equipment with their supplier and at the same time for the supplier to fix the equipment to enable Quickflames Metal Fabrication to ulitize the equipment. The request for restructuring of refund schedule is approved to start the repayment from 31 August 2017 to 30 October 2017.</t>
  </si>
  <si>
    <t>http://gofile.me/4xaew/kiA3SuDd5</t>
  </si>
  <si>
    <t>The inventor is requesting for testing assistance for his Utility Model entitled "Fuel Saving System for Internal Combustion Engine" to validate the claims that Hymax can: 1. Increase the power of engine because of high compressio; 2. Increase fuel savings by 10% up to 25% for gasoline and 30% up to 35% foor diesel; and 3. Attain higher emmisions by 60% up to 90%.</t>
  </si>
  <si>
    <t>http://gofile.me/4xaew/fn2qDLsCA</t>
  </si>
  <si>
    <t>The student-beneficiaries conducted further study on the improvement on the management practices of the CLSU Mushroom Center's developed technology using rice starw based substrate formulations.</t>
  </si>
  <si>
    <t>http://gofile.me/4xaew/xYfW3t5OA</t>
  </si>
  <si>
    <t>The inventor is requesting for testing assistance for his patent pending device of which one of its application is a fuel saver and anti-pollution device. The objective of  the ETV is to validate the claims that the Alkaline Fuel Cell can: 1. Reduce smoke emissions and 2. Increase fuel savings.</t>
  </si>
  <si>
    <t>http://gofile.me/4xaew/42acdmWX1</t>
  </si>
  <si>
    <t xml:space="preserve">The Philippine Chamber of Commerce and Industry will have its premier event, the 43rd Philppine Business Conference that provides a platform for policymakers, Industry Leaders, the academe and development partners to dialogue on issues affecting business and economy and promotes the growth of the enterprise in the country. TAPI's participation will showcase DOST-generated technologies including its programs and services relevant to SME's </t>
  </si>
  <si>
    <t>http://gofile.me/4xaew/2M2rQ9izs</t>
  </si>
  <si>
    <t>According to Mr. David, 80% of the project has been completed but the Wheel Balancer (Hunter) has not been purchased/ delivered till they move to their new warehouse. Another constraints is the signing of the Contract of Agreement with a Japanese Industrial Partner that did pushed through. The inventor is requesting for restructuring his loan repay. ment schedules for another (30) days on the settlement of two (2) unpaid quarters.</t>
  </si>
  <si>
    <t>http://gofile.me/4xaew/8ldzCOqtW</t>
  </si>
  <si>
    <t>Owning a tradename with IPOHIL is a significant milestone for the Invent School Program (ISP). The registered tradename "INVENT SCHOOL" was registered with IPOPHIL under ten (10) Nice Classification (NCL) classes. TAPI is then given the sole ownership of the mark hence, can exclude others from using the mark without its permssion.</t>
  </si>
  <si>
    <t>http://gofile.me/4xaew/gn30whidU</t>
  </si>
  <si>
    <t>The Invent School Program is a two day workshop-seminar with an average of forty (40) participants composed of 1 teacher and 2-4 students per school. This is usually done in cooperation with the DepEd, Academe, LGUs, NGOs to provide opportunity for students to recognize their ingenuity and serve as a starting ground for future young Filipino inventors and scientist.</t>
  </si>
  <si>
    <t>http://gofile.me/4xaew/gfhBLKLRw</t>
  </si>
  <si>
    <t>The Invent School Program for elementary level is a half day workshop-seminar with an average of forty (40) partcipants composed of 1 teacher and pupils coming from the same school or different. This is usually done in cooperation with DepEd, Academe, LGUs and NGOs to provide  opportunity for students to recognize their ingenuity and serve as a starting ground for future young Filipino inventors and scientist.</t>
  </si>
  <si>
    <t>http://gofile.me/4xaew/uZ97EOS8f</t>
  </si>
  <si>
    <t>CHMSC is an institution of higher learning committed to engage in development oriented research on its vision to be a leading institution for excellence, competence and leadership in science and technology. The seminar-workshop is an avenue for the college's endeavors of producing quality graduates that will be future contirbutors in the indutries where they will thrive soon.</t>
  </si>
  <si>
    <t>http://gofile.me/4xaew/YoHCwKBbP</t>
  </si>
  <si>
    <t>http://gofile.me/4xaew/F2V2oNUNs</t>
  </si>
  <si>
    <t>Pursuant to President Proclamation 1414 series of 2007 the last week of November of every year is declared as "National Biotechnology Week". It  is on this period that opportunities from the Biotechnology sectore will be provided to highlight its contributions to national development. This year's theme "Angat and Masa at Magsasaka sa Limang K ng Bioteknolohiya", the 13th National Biotechnology Week will be holding a week long exhibit that will showcase biotechnology related products and services.</t>
  </si>
  <si>
    <t>In carrying out its mandate of assisiting the small and medium scale indutries in the country, the University of the Philippines Institute for Small Scale Industries (UPISSI) is organizing the ISSI's 1st MSME Conference with the theme "MSME and Nation-Building". The conference wil bring practioners, policy makers and academics to gather to discuss and share their on-going research, case studies, policy papers and scholarly wokrs related to Micro, Small and Medium Enterprises.</t>
  </si>
  <si>
    <t>http://gofile.me/4xaew/vdXikepzi</t>
  </si>
  <si>
    <t>The invention relates to a controllable lowering means for items or materials situated in elevated places. The object of this invention is to provide a device used for lowering means that is simple in construction and easy to operate and maintain. The inventor claims that his invention has a reliable and controlling means that ensure safe descent of the loads and his technology does not need electricity or fuel to run the device.</t>
  </si>
  <si>
    <t>http://gofile.me/4xaew/ZRXMMFSI0</t>
  </si>
  <si>
    <t>The Utility Model generally relates to power plants but more specifically to an air hydro plant that combines the pressure coming from air and water to run a water turbine connected to a dynamo or generator to generate electrical power.</t>
  </si>
  <si>
    <t>http://gofile.me/4xaew/n14npAOok</t>
  </si>
  <si>
    <t>Proposals coming from the Private Universities and Colleges shall be considered for the Prototype Development Assistance' component which are worth assisting. Under the Eligibility Requirements of the Implementing Guidelines of the program to read as: "The proponent can be any of the following": State Universities and Colleges SUCS) and Higher Educational Institutions (HEIs) without IP."</t>
  </si>
  <si>
    <t>http://gofile.me/4xaew/LvzZ5FArl</t>
  </si>
  <si>
    <t>The Mengal Women Organization Inc. is an all women org. estblished in 2016 with 700 members. The org, saw the limportance of science and technology intervention in the advancement of the economic dev. of the municipality through proper and efficient utilization of their natural resources primarily in agriculture produce. With the MLGU of Echague, the org. sought the assistance of TAPI's STARDEV Program in the provision of accessible and viable technologies, raw materials, packaging materials, small tools and equipment for the establishment of livelihood project.</t>
  </si>
  <si>
    <t>http://gofile.me/4xaew/te4EyJsDl</t>
  </si>
  <si>
    <t>2017-68- ad referenda</t>
  </si>
  <si>
    <t>The request for testing assistance was approved by TAPI Execom via Ad Referendum 2017-38 dated 14 July 2017 amounting to P28,250.00, however, FNRI informed TAPI that the moisture analysis and saturated fat analysis coud not be performed on the product because the equipment used for these analyses are currently unserviceable. However, the moisture and saturated fat analyses was referred by FNRI to STD-ITDI through the ONELAB Referral System.</t>
  </si>
  <si>
    <t>http://gofile.me/4xaew/k5LAthWcr</t>
  </si>
  <si>
    <t xml:space="preserve">The National Inventors' Week is celebrated every year to highlight the Filipino inventors' greatest inventions, innovations and creative ideas that can open doors of opportunities for would-be inventors, researchers, students and the general public whose talents, skills and passion to create new products and technology-based ideas are just waiting to be explored.
</t>
  </si>
  <si>
    <t>http://gofile.me/4xaew/XvDuvAxLl</t>
  </si>
  <si>
    <t>The project is TAPI's support for the implementation of the CAMPI Program in Region 3 covering two (2) farms in Pampanga and these were endorsed by DOST Region 3. The firms &amp; initial interventions were identified as Organic &amp; GAP alignment/certification by DOST-PSTC Pampanga. DOST Region 3 has identified Agricons Consultants to conduct the consultancy services for the following firms: Diaspora and Agapita Farms located at Sta. Barbara, Bacolor, Pampanga.</t>
  </si>
  <si>
    <t>http://gofile.me/4xaew/WEF0MAnWz</t>
  </si>
  <si>
    <t>The realignment will not enntail additional cost from TAPI.</t>
  </si>
  <si>
    <t>http://gofile.me/4xaew/39nBHnez5</t>
  </si>
  <si>
    <t>The Metals Industry Research &amp; Development Center (MIRDC) is the sole government entity directly supporting the metals and engineering industry with services designed to enhance its competitive advantage. MIRDC ois requesting for assistance in printing of brochures of their locally developed technologies for continous promotion.</t>
  </si>
  <si>
    <t>http://gofile.me/4xaew/dXDQ2YMVx</t>
  </si>
  <si>
    <t xml:space="preserve">Program </t>
  </si>
  <si>
    <t>SEX(MALE or FEMALE)</t>
  </si>
  <si>
    <t>http://gofile.me/4xaew/jGBMq71Yo</t>
  </si>
  <si>
    <t>http://gofile.me/4xaew/z5Eghvyl5</t>
  </si>
  <si>
    <t>http://gofile.me/4xaew/9H4kju3yA</t>
  </si>
  <si>
    <t>http://gofile.me/4xaew/TwB6PzvDy</t>
  </si>
  <si>
    <t>http://gofile.me/4xaew/wHAKVa1SA</t>
  </si>
  <si>
    <t>http://gofile.me/4xaew/NDAMGV2yG</t>
  </si>
  <si>
    <t>http://gofile.me/4xaew/21ECM3Je8</t>
  </si>
  <si>
    <t>http://gofile.me/4xaew/ukmG1oWa6</t>
  </si>
  <si>
    <t>http://gofile.me/4xaew/LJoO478mc</t>
  </si>
  <si>
    <t>http://gofile.me/4xaew/ayK63OAly</t>
  </si>
  <si>
    <t>http://gofile.me/4xaew/SkBdnO3VV</t>
  </si>
  <si>
    <t>http://gofile.me/4xaew/6UYNBdZMJ</t>
  </si>
  <si>
    <t>http://gofile.me/4xaew/fcQZ9Do4l</t>
  </si>
  <si>
    <t>http://gofile.me/4xaew/8AZ3C5llk</t>
  </si>
  <si>
    <t>http://gofile.me/4xaew/9GsZFMWEN</t>
  </si>
  <si>
    <t>http://gofile.me/4xaew/nUacDyjux</t>
  </si>
  <si>
    <t>http://gofile.me/4xaew/NNWfnj6fr</t>
  </si>
  <si>
    <t>http://gofile.me/4xaew/jKLxLFZic</t>
  </si>
  <si>
    <t>http://gofile.me/4xaew/atXngpnG5</t>
  </si>
  <si>
    <t>http://gofile.me/4xaew/etJ1hou58</t>
  </si>
  <si>
    <t>http://gofile.me/4xaew/Jgzl57e5F</t>
  </si>
  <si>
    <t>http://gofile.me/4xaew/VOY1IYApR</t>
  </si>
  <si>
    <t>http://gofile.me/4xaew/50G17ZnjN</t>
  </si>
  <si>
    <t>http://gofile.me/4xaew/9mz9lRThr</t>
  </si>
  <si>
    <t>http://gofile.me/4xaew/7RvA69Hro</t>
  </si>
  <si>
    <t>http://gofile.me/4xaew/fNSunKQrr</t>
  </si>
  <si>
    <t>http://gofile.me/4xaew/rUfjohwCc</t>
  </si>
  <si>
    <t>http://gofile.me/4xaew/RMQDmECnq</t>
  </si>
  <si>
    <t>http://gofile.me/4xaew/0mYb96OgK</t>
  </si>
  <si>
    <t>http://gofile.me/4xaew/ke7K9fceD</t>
  </si>
  <si>
    <t>http://gofile.me/4xaew/8gBbaOee0</t>
  </si>
  <si>
    <t>http://gofile.me/4xaew/2NQZh3YlW</t>
  </si>
  <si>
    <t>http://gofile.me/4xaew/jlmxVoluR</t>
  </si>
  <si>
    <t>http://gofile.me/4xaew/Pwev0S8ES</t>
  </si>
  <si>
    <t>http://gofile.me/4xaew/D2zgIlJXw</t>
  </si>
  <si>
    <t>http://gofile.me/4xaew/C4NcSMaSD</t>
  </si>
  <si>
    <t>http://gofile.me/4xaew/89GWAP1YW</t>
  </si>
  <si>
    <t>http://gofile.me/4xaew/h2m7k0Jx0</t>
  </si>
  <si>
    <t>http://gofile.me/4xaew/oxNrzdb0j</t>
  </si>
  <si>
    <t>http://gofile.me/4xaew/jBlECsAV3</t>
  </si>
  <si>
    <t>http://gofile.me/4xaew/bk9b9CZ4c</t>
  </si>
  <si>
    <t>http://gofile.me/4xaew/lW4ktPjV2</t>
  </si>
  <si>
    <t>http://gofile.me/4xaew/OnL7CaZmO</t>
  </si>
  <si>
    <t>http://gofile.me/4xaew/grzvXVzlz</t>
  </si>
  <si>
    <t>http://gofile.me/4xaew/YXfVQPEcx</t>
  </si>
  <si>
    <t>http://gofile.me/4xaew/ODJzzfE1T</t>
  </si>
  <si>
    <t>http://gofile.me/4xaew/KSE52fgGx</t>
  </si>
  <si>
    <t>http://gofile.me/4xaew/CfvkJ1lDA</t>
  </si>
  <si>
    <t>http://gofile.me/4xaew/i8aATIx0G</t>
  </si>
  <si>
    <t>http://gofile.me/4xaew/lfR8Ad7d2</t>
  </si>
  <si>
    <t>http://gofile.me/4xaew/oYEx1LV3t</t>
  </si>
  <si>
    <t>http://gofile.me/4xaew/3Y6AtKuiQ</t>
  </si>
  <si>
    <t>http://gofile.me/4xaew/hMcPpwssD</t>
  </si>
  <si>
    <t>http://gofile.me/4xaew/ZtJpm56vU</t>
  </si>
  <si>
    <t>http://gofile.me/4xaew/A2jc9mrFO</t>
  </si>
  <si>
    <t>http://gofile.me/4xaew/43TVD9sCm</t>
  </si>
  <si>
    <t>http://gofile.me/4xaew/jymYj3cvG</t>
  </si>
  <si>
    <t>http://gofile.me/4xaew/jy3s0FHwC</t>
  </si>
  <si>
    <t>http://gofile.me/4xaew/JAi9llzv7</t>
  </si>
  <si>
    <t>http://gofile.me/4xaew/3Pkx202cn</t>
  </si>
  <si>
    <t>http://gofile.me/4xaew/jEyI3VX7X</t>
  </si>
  <si>
    <t>http://gofile.me/4xaew/HwgjBe88z</t>
  </si>
  <si>
    <t>http://gofile.me/4xaew/VPWz09Qyi</t>
  </si>
  <si>
    <t>http://gofile.me/4xaew/QiqXrxk61</t>
  </si>
  <si>
    <t>http://gofile.me/4xaew/q5mLtYyWI</t>
  </si>
  <si>
    <t>http://gofile.me/4xaew/1J5Jzc5eE</t>
  </si>
  <si>
    <t>http://gofile.me/4xaew/xUy3b1i99</t>
  </si>
  <si>
    <t>http://gofile.me/4xaew/EI3IfjzBu</t>
  </si>
  <si>
    <t>http://gofile.me/4xaew/ZTcvux5rL</t>
  </si>
  <si>
    <t>http://gofile.me/4xaew/x3RPmQuXl</t>
  </si>
  <si>
    <t>http://gofile.me/4xaew/9Al1V6y2W</t>
  </si>
  <si>
    <t>http://gofile.me/4xaew/nwO9aBC8G</t>
  </si>
  <si>
    <t>http://gofile.me/4xaew/Lg52VXHOo</t>
  </si>
  <si>
    <t>http://gofile.me/4xaew/koCTttJzB</t>
  </si>
  <si>
    <t>http://gofile.me/4xaew/sm4fomz9g</t>
  </si>
  <si>
    <t>http://gofile.me/4xaew/IGpefn0dR</t>
  </si>
  <si>
    <t>http://gofile.me/4xaew/X67Z89mo1</t>
  </si>
  <si>
    <t>http://gofile.me/4xaew/xgHbJY1is</t>
  </si>
  <si>
    <t>http://gofile.me/4xaew/0gSMyFxeX</t>
  </si>
  <si>
    <t>http://gofile.me/4xaew/b9fZxvvX4</t>
  </si>
  <si>
    <t>http://gofile.me/4xaew/crTy6sDMf</t>
  </si>
  <si>
    <t>http://gofile.me/4xaew/JogzhSy6e</t>
  </si>
  <si>
    <t>http://gofile.me/4xaew/tXdUs4fth</t>
  </si>
  <si>
    <t>http://gofile.me/4xaew/LiNibayNf</t>
  </si>
  <si>
    <t>http://gofile.me/4xaew/ELeWUCAnS</t>
  </si>
  <si>
    <t>http://gofile.me/4xaew/mfH3jvdA5</t>
  </si>
  <si>
    <t>http://gofile.me/4xaew/3YLHDP0hx</t>
  </si>
  <si>
    <t>http://gofile.me/4xaew/3UAgZH2T7</t>
  </si>
  <si>
    <t>http://gofile.me/4xaew/FGgSOrDmX</t>
  </si>
  <si>
    <t>http://gofile.me/4xaew/JlRHi3XEe</t>
  </si>
  <si>
    <t>http://gofile.me/4xaew/50u3VbKbM</t>
  </si>
  <si>
    <t>http://gofile.me/4xaew/8AZv8AZZr</t>
  </si>
  <si>
    <t>Region IV-A (CALABARZON)</t>
  </si>
  <si>
    <t>http://gofile.me/4xaew/KB5hz2GUm</t>
  </si>
  <si>
    <t>http://gofile.me/4xaew/KVAMbLZQy</t>
  </si>
  <si>
    <t>Region IV-B (MIMAROPA)</t>
  </si>
  <si>
    <t>http://gofile.me/4xaew/FwQARtI0j</t>
  </si>
  <si>
    <t>http://gofile.me/4xaew/KnHQl0IEk</t>
  </si>
  <si>
    <t>http://gofile.me/4xaew/BHDgVFaMa</t>
  </si>
  <si>
    <t>http://gofile.me/4xaew/h060tKX0c</t>
  </si>
  <si>
    <t>http://gofile.me/4xaew/9r26a1fM6</t>
  </si>
  <si>
    <t>http://gofile.me/4xaew/iIUpayv7S</t>
  </si>
  <si>
    <t>http://gofile.me/4xaew/qBCXx1yVH</t>
  </si>
  <si>
    <t>http://gofile.me/4xaew/8HoUTUmzV</t>
  </si>
  <si>
    <t>http://gofile.me/4xaew/HKlZlMk9r</t>
  </si>
  <si>
    <t>http://gofile.me/4xaew/PX8wdLSHW</t>
  </si>
  <si>
    <t>http://gofile.me/4xaew/HBZFk9SLR</t>
  </si>
  <si>
    <t>http://gofile.me/4xaew/x1EEvfetp</t>
  </si>
  <si>
    <t>http://gofile.me/4xaew/yOuKN3XFX</t>
  </si>
  <si>
    <t>http://gofile.me/4xaew/UZC9lDktJ</t>
  </si>
  <si>
    <t>http://gofile.me/4xaew/2NhaBTDKy</t>
  </si>
  <si>
    <t>http://gofile.me/4xaew/d1EEqmH1S</t>
  </si>
  <si>
    <t>http://gofile.me/4xaew/qKt14YF6x</t>
  </si>
  <si>
    <t>http://gofile.me/4xaew/W3co87AJx</t>
  </si>
  <si>
    <t>http://gofile.me/4xaew/VbkZsFoJq</t>
  </si>
  <si>
    <t>http://gofile.me/4xaew/oo0TRxglj</t>
  </si>
  <si>
    <t>http://gofile.me/4xaew/1qVauXUQq</t>
  </si>
  <si>
    <t>http://gofile.me/4xaew/ybpHRHUcY</t>
  </si>
  <si>
    <t>http://gofile.me/4xaew/ER9VZCzEw</t>
  </si>
  <si>
    <t>http://gofile.me/4xaew/DCOf86oqP</t>
  </si>
  <si>
    <t>http://gofile.me/4xaew/0qmqsPRF5</t>
  </si>
  <si>
    <t>http://gofile.me/4xaew/ZApNxLrlC</t>
  </si>
  <si>
    <t>http://gofile.me/4xaew/mc5C3Bvp1</t>
  </si>
  <si>
    <t>http://gofile.me/4xaew/dvRStlb8q</t>
  </si>
  <si>
    <t>http://gofile.me/4xaew/SUWt4cqmF</t>
  </si>
  <si>
    <t>Region XVIII</t>
  </si>
  <si>
    <t>http://gofile.me/4xaew/zNxoQLgAE</t>
  </si>
  <si>
    <t>http://gofile.me/4xaew/GalbIYZdz</t>
  </si>
  <si>
    <t>http://gofile.me/4xaew/AcopbkJEt</t>
  </si>
  <si>
    <t>http://gofile.me/4xaew/jweW0lVBS</t>
  </si>
  <si>
    <t>http://gofile.me/4xaew/OjTgDxBna</t>
  </si>
  <si>
    <t>http://gofile.me/4xaew/BY57PBXxu</t>
  </si>
  <si>
    <t>http://gofile.me/4xaew/CKZACMQ52</t>
  </si>
  <si>
    <t>http://gofile.me/4xaew/K5ps9jeqz</t>
  </si>
  <si>
    <t>http://gofile.me/4xaew/lH7sSX4O4</t>
  </si>
  <si>
    <t>http://gofile.me/4xaew/slPmv0L9I</t>
  </si>
  <si>
    <t>Manufacturing and Peoduction</t>
  </si>
  <si>
    <t>http://gofile.me/4xaew/HgcRggo3H</t>
  </si>
  <si>
    <t>http://gofile.me/4xaew/q3PAgESf2</t>
  </si>
  <si>
    <t>http://gofile.me/4xaew/0NrJrq1nX</t>
  </si>
  <si>
    <t>http://gofile.me/4xaew/p02hDMnIs</t>
  </si>
  <si>
    <t>http://gofile.me/4xaew/VMjfljQ2f</t>
  </si>
  <si>
    <t>http://gofile.me/4xaew/tM86jAN4L</t>
  </si>
  <si>
    <t>http://gofile.me/4xaew/4xGtU3yL3</t>
  </si>
  <si>
    <t>http://gofile.me/4xaew/KV0wjLPUv</t>
  </si>
  <si>
    <t>http://gofile.me/4xaew/JizncJRQ5</t>
  </si>
  <si>
    <t>http://gofile.me/4xaew/uHqYSDnva</t>
  </si>
  <si>
    <t>http://gofile.me/4xaew/cGQfdZJae</t>
  </si>
  <si>
    <t>http://gofile.me/4xaew/ozQFZ9R67</t>
  </si>
  <si>
    <t>http://gofile.me/4xaew/6gLAAoAvc</t>
  </si>
  <si>
    <t>http://gofile.me/4xaew/EtA6v8swD</t>
  </si>
  <si>
    <t>http://gofile.me/4xaew/BswDRCLVX</t>
  </si>
  <si>
    <t>http://gofile.me/4xaew/X5xVoXg02</t>
  </si>
  <si>
    <t>http://gofile.me/4xaew/wuvF3YlMO</t>
  </si>
  <si>
    <t>http://gofile.me/4xaew/p4cFJ1jn0</t>
  </si>
  <si>
    <t>http://gofile.me/4xaew/Y0k6lWpYl</t>
  </si>
  <si>
    <t>http://gofile.me/4xaew/9dRCrT6D2</t>
  </si>
  <si>
    <t>http://gofile.me/4xaew/PLGfQAKMG</t>
  </si>
  <si>
    <t>http://gofile.me/4xaew/jZxXWIkAK</t>
  </si>
  <si>
    <t>http://gofile.me/4xaew/mBbEkqOsX</t>
  </si>
  <si>
    <t>http://gofile.me/4xaew/GPMIDon8M</t>
  </si>
  <si>
    <t>http://gofile.me/4xaew/FcQfF7WdP</t>
  </si>
  <si>
    <t>http://gofile.me/4xaew/4pyfdswzh</t>
  </si>
  <si>
    <t>http://gofile.me/4xaew/XwbRsoqop</t>
  </si>
  <si>
    <t>http://gofile.me/4xaew/dPusW7f1F</t>
  </si>
  <si>
    <t>Finanacial</t>
  </si>
  <si>
    <r>
      <rPr>
        <b/>
        <sz val="10"/>
        <color theme="1"/>
        <rFont val="Arial"/>
      </rPr>
      <t>Candy R. Lanzuela</t>
    </r>
    <r>
      <rPr>
        <sz val="10"/>
        <color theme="1"/>
        <rFont val="Arial"/>
      </rPr>
      <t xml:space="preserve">                                                                                        Managing Director                                                                                        </t>
    </r>
    <r>
      <rPr>
        <b/>
        <sz val="10"/>
        <color theme="1"/>
        <rFont val="Arial"/>
      </rPr>
      <t xml:space="preserve">Global Marketing and Construction Corporation                                 </t>
    </r>
  </si>
  <si>
    <t>http://gofile.me/4xaew/iCOOGBP0J</t>
  </si>
  <si>
    <t>http://gofile.me/4xaew/djHtnAhDe</t>
  </si>
  <si>
    <t>http://gofile.me/4xaew/7fwQrZdy4</t>
  </si>
  <si>
    <t>http://gofile.me/4xaew/dbynculrz</t>
  </si>
  <si>
    <t>http://gofile.me/4xaew/Z6S89u827</t>
  </si>
  <si>
    <t>http://gofile.me/4xaew/X0ozG6Ucj</t>
  </si>
  <si>
    <t>http://gofile.me/4xaew/b43osrlTX</t>
  </si>
  <si>
    <t>http://gofile.me/4xaew/RS2P9L0gD</t>
  </si>
  <si>
    <t>http://gofile.me/4xaew/UMJw82ytq</t>
  </si>
  <si>
    <t>http://gofile.me/4xaew/uqXPK32P1</t>
  </si>
  <si>
    <t>Technology-non-Computer</t>
  </si>
  <si>
    <t>http://gofile.me/4xaew/wjnhMUHUv</t>
  </si>
  <si>
    <t>http://gofile.me/4xaew/4zFeK0rsJ</t>
  </si>
  <si>
    <t>http://gofile.me/4xaew/biLtRGY0E</t>
  </si>
  <si>
    <t>http://gofile.me/4xaew/nMX3AGtMO</t>
  </si>
  <si>
    <t>http://gofile.me/4xaew/FwLaVMGbG</t>
  </si>
  <si>
    <t>http://gofile.me/4xaew/PooRdbNPR</t>
  </si>
  <si>
    <t>http://gofile.me/4xaew/Q1vE71rKJ</t>
  </si>
  <si>
    <t>http://gofile.me/4xaew/RgYfb4lNC</t>
  </si>
  <si>
    <t>http://gofile.me/4xaew/Au9BJgs4c</t>
  </si>
  <si>
    <t>http://gofile.me/4xaew/limQaR021</t>
  </si>
  <si>
    <t>http://gofile.me/4xaew/FKLu0ynVI</t>
  </si>
  <si>
    <t>http://gofile.me/4xaew/mIPTQ6cEK</t>
  </si>
  <si>
    <t xml:space="preserve">Male and Female  </t>
  </si>
  <si>
    <t>http://gofile.me/4xaew/pxxMvvMY6</t>
  </si>
  <si>
    <t>http://gofile.me/4xaew/tsN5wEJZM</t>
  </si>
  <si>
    <t>http://gofile.me/4xaew/RTPfL4Oej</t>
  </si>
  <si>
    <t>http://gofile.me/4xaew/CV0vfasRN</t>
  </si>
  <si>
    <t>http://gofile.me/4xaew/01ry62DAp</t>
  </si>
  <si>
    <t>http://gofile.me/4xaew/4N9RJGEDx</t>
  </si>
  <si>
    <t>http://gofile.me/4xaew/s8ffE9jRF</t>
  </si>
  <si>
    <t>http://gofile.me/4xaew/o99X02uvV</t>
  </si>
  <si>
    <t>Bio-technology</t>
  </si>
  <si>
    <t>http://gofile.me/4xaew/4L84eJwqP</t>
  </si>
  <si>
    <t>http://gofile.me/4xaew/uVzuh01NB</t>
  </si>
  <si>
    <t>http://gofile.me/4xaew/qjmqwSwcl</t>
  </si>
  <si>
    <t>http://gofile.me/4xaew/liucjbJBq</t>
  </si>
  <si>
    <t>http://gofile.me/4xaew/2RfEeGREy</t>
  </si>
  <si>
    <t>http://gofile.me/4xaew/pRLigi76f</t>
  </si>
  <si>
    <t>http://gofile.me/4xaew/9UDBpEUrH</t>
  </si>
  <si>
    <t>http://gofile.me/4xaew/IIPL7Jgrx</t>
  </si>
  <si>
    <t>http://gofile.me/4xaew/lhdPngLuj</t>
  </si>
  <si>
    <t>http://gofile.me/4xaew/jOd6C2lhG</t>
  </si>
  <si>
    <t>http://gofile.me/4xaew/lwbutpDD6</t>
  </si>
  <si>
    <t>http://gofile.me/4xaew/iKu3vhKqM</t>
  </si>
  <si>
    <t>http://gofile.me/4xaew/xwAFBZMiS</t>
  </si>
  <si>
    <t>http://gofile.me/4xaew/ATnBfF5Kl</t>
  </si>
  <si>
    <t>http://gofile.me/4xaew/F764pk5SP</t>
  </si>
  <si>
    <t>http://gofile.me/4xaew/A0ONqOpFC</t>
  </si>
  <si>
    <t>http://gofile.me/4xaew/HxBg17Ud2</t>
  </si>
  <si>
    <t>http://gofile.me/4xaew/h6QDIpJ3a</t>
  </si>
  <si>
    <t>http://gofile.me/4xaew/7q2QPbnr3</t>
  </si>
  <si>
    <t>http://gofile.me/4xaew/jeoLNwkDC</t>
  </si>
  <si>
    <t>http://gofile.me/4xaew/rvXgsfiUE</t>
  </si>
  <si>
    <t>http://gofile.me/4xaew/CNPNYjdrX</t>
  </si>
  <si>
    <r>
      <rPr>
        <sz val="10"/>
        <color theme="1"/>
        <rFont val="Arial"/>
      </rPr>
      <t>The 65th PhilAAST Convention will be held in Manila on 22-23 September 2016 in conjunction with the 8th ASIAHORC's Joint Symposium with the theme</t>
    </r>
    <r>
      <rPr>
        <b/>
        <sz val="10"/>
        <color theme="1"/>
        <rFont val="Arial"/>
      </rPr>
      <t xml:space="preserve"> "Impact of the Changing Environment and Global Health"</t>
    </r>
    <r>
      <rPr>
        <sz val="10"/>
        <color theme="1"/>
        <rFont val="Arial"/>
      </rPr>
      <t>. The activity will feature 5 technical sessions on: health resilience to climate change, health disaster risk management, vector borne disease and climate change, environmental stressors in diseases and promoting health while mitigating climate change.</t>
    </r>
  </si>
  <si>
    <t>http://gofile.me/4xaew/cbFh9pLy2</t>
  </si>
  <si>
    <r>
      <rPr>
        <sz val="10"/>
        <color theme="1"/>
        <rFont val="Arial"/>
      </rPr>
      <t xml:space="preserve">As part of PTRI's participation in the upcomong 2016 National Science and Technology Week (NSTW), the Institute will showcase its products and services in a lifestyle concept, </t>
    </r>
    <r>
      <rPr>
        <b/>
        <sz val="10"/>
        <color theme="1"/>
        <rFont val="Arial"/>
      </rPr>
      <t>"Live and Dye Happy"</t>
    </r>
    <r>
      <rPr>
        <sz val="10"/>
        <color theme="1"/>
        <rFont val="Arial"/>
      </rPr>
      <t xml:space="preserve">. In addition, PTRI will also conduct a forum that will highlight </t>
    </r>
    <r>
      <rPr>
        <b/>
        <sz val="10"/>
        <color theme="1"/>
        <rFont val="Arial"/>
      </rPr>
      <t>Upscaling the Production and Application of Philippine Natural Dyes</t>
    </r>
    <r>
      <rPr>
        <sz val="10"/>
        <color theme="1"/>
        <rFont val="Arial"/>
      </rPr>
      <t xml:space="preserve"> as one of the core projects under the Revitalization of the Philippine Textile and Garment Industries thru Science &amp; Technology Program.</t>
    </r>
  </si>
  <si>
    <t>http://gofile.me/4xaew/2aQ110MIw</t>
  </si>
  <si>
    <t>http://gofile.me/4xaew/ltl3F9iO8</t>
  </si>
  <si>
    <t>http://gofile.me/4xaew/8bWTO6gMT</t>
  </si>
  <si>
    <t>http://gofile.me/4xaew/JtOZcXYF2</t>
  </si>
  <si>
    <t>http://gofile.me/4xaew/LrQKAHCGA</t>
  </si>
  <si>
    <t>http://gofile.me/4xaew/EfDmZN6Wr</t>
  </si>
  <si>
    <t>http://gofile.me/4xaew/UJQCXk8jC</t>
  </si>
  <si>
    <t>http://gofile.me/4xaew/mVIk56S03</t>
  </si>
  <si>
    <t>http://gofile.me/4xaew/GEmt82gqd</t>
  </si>
  <si>
    <t>http://gofile.me/4xaew/DRegF3ae3</t>
  </si>
  <si>
    <t>http://gofile.me/4xaew/Jdy6KuZbZ</t>
  </si>
  <si>
    <t>http://gofile.me/4xaew/7TF7LfKK5</t>
  </si>
  <si>
    <t>http://gofile.me/4xaew/6fqBr3blm</t>
  </si>
  <si>
    <r>
      <rPr>
        <sz val="10"/>
        <color theme="1"/>
        <rFont val="Arial"/>
      </rPr>
      <t xml:space="preserve">As a </t>
    </r>
    <r>
      <rPr>
        <b/>
        <sz val="10"/>
        <color theme="1"/>
        <rFont val="Arial"/>
      </rPr>
      <t>"Haven of Excellence"</t>
    </r>
    <r>
      <rPr>
        <sz val="10"/>
        <color theme="1"/>
        <rFont val="Arial"/>
      </rPr>
      <t xml:space="preserve"> in the field of Science and Research Education, the Regional Science Education is committed in developing their learner's creativity and scientific habits which can surely help teachers make Science and Technology fun and enjoyable to the students.</t>
    </r>
  </si>
  <si>
    <t>http://gofile.me/4xaew/6hhu3LQ4A</t>
  </si>
  <si>
    <t>http://gofile.me/4xaew/6e52KxJqF</t>
  </si>
  <si>
    <t>http://gofile.me/4xaew/GJsqJwWTI</t>
  </si>
  <si>
    <t>http://gofile.me/4xaew/VRKTcAZ0A</t>
  </si>
  <si>
    <t>http://gofile.me/4xaew/DRsXEagc3</t>
  </si>
  <si>
    <t>http://gofile.me/4xaew/GNwJALv2w</t>
  </si>
  <si>
    <r>
      <rPr>
        <sz val="10"/>
        <color theme="1"/>
        <rFont val="Arial"/>
      </rPr>
      <t xml:space="preserve">Eighteen (18) Fisheries students will implement the project by further development of the CLSU's tilapia postharvest enterprise management called Tilanggit. It is a combination of two (2) postharvest processes which is salting and drying. Tilanggit is similar to danggit, however, the project will use tilapia instead of rabbitfish. However, the term "tilanggit" was already a registered trademark, thus, the students will use </t>
    </r>
    <r>
      <rPr>
        <b/>
        <sz val="10"/>
        <color theme="1"/>
        <rFont val="Arial"/>
      </rPr>
      <t>Tila-ding</t>
    </r>
    <r>
      <rPr>
        <sz val="10"/>
        <color theme="1"/>
        <rFont val="Arial"/>
      </rPr>
      <t xml:space="preserve"> (short for Tilapiang-daing).</t>
    </r>
  </si>
  <si>
    <t>http://gofile.me/4xaew/aBZ6XtCke</t>
  </si>
  <si>
    <t>http://gofile.me/4xaew/tEeyMIDgd</t>
  </si>
  <si>
    <t>http://gofile.me/4xaew/hMzyIrjfp</t>
  </si>
  <si>
    <t>http://gofile.me/4xaew/4CpDa18pK</t>
  </si>
  <si>
    <t>http://gofile.me/4xaew/tlLPixudF</t>
  </si>
  <si>
    <r>
      <rPr>
        <sz val="10"/>
        <color theme="1"/>
        <rFont val="Arial"/>
      </rPr>
      <t xml:space="preserve">The forum could further enhance the inventors` awareness on entrepreneurship and financial management. The Forum was organized in celebration of the </t>
    </r>
    <r>
      <rPr>
        <b/>
        <sz val="10"/>
        <color theme="1"/>
        <rFont val="Arial"/>
      </rPr>
      <t>National  Inventors Week (NIW)</t>
    </r>
    <r>
      <rPr>
        <sz val="10"/>
        <color theme="1"/>
        <rFont val="Arial"/>
      </rPr>
      <t xml:space="preserve"> on 14-18 November 2016 at the DOST Compound, Bicutan, Taguig City.</t>
    </r>
  </si>
  <si>
    <t>http://gofile.me/4xaew/t8qn4bZrd</t>
  </si>
  <si>
    <t>http://gofile.me/4xaew/FhjUQVb9d</t>
  </si>
  <si>
    <r>
      <rPr>
        <sz val="10"/>
        <color theme="1"/>
        <rFont val="Arial"/>
      </rPr>
      <t>MIRDC is requesting for assistance in printing of promotional materials of A</t>
    </r>
    <r>
      <rPr>
        <b/>
        <sz val="10"/>
        <color theme="1"/>
        <rFont val="Arial"/>
      </rPr>
      <t>utomated Guideway Transit and Hybrid Electric Road Train</t>
    </r>
    <r>
      <rPr>
        <sz val="10"/>
        <color theme="1"/>
        <rFont val="Arial"/>
      </rPr>
      <t xml:space="preserve"> for continous promotion of the MIRDC- developed technologies. During the 2016 NSTW, MIRDC has distributed promotional materials to their guest and visitors, among which are the AGT and Hybrid Electric Road Train.</t>
    </r>
  </si>
  <si>
    <t>http://gofile.me/4xaew/f8rp5qqpu</t>
  </si>
  <si>
    <t>Manufacturing and Productuion</t>
  </si>
  <si>
    <t>http://gofile.me/4xaew/vAGNznRVy</t>
  </si>
  <si>
    <t>MIMAROPA Region</t>
  </si>
  <si>
    <t>http://gofile.me/4xaew/2cKFem81S</t>
  </si>
  <si>
    <t>http://gofile.me/4xaew/jRdEIOcWH</t>
  </si>
  <si>
    <r>
      <rPr>
        <sz val="10"/>
        <color theme="1"/>
        <rFont val="Arial"/>
      </rPr>
      <t>The 12th National Biotechnology Week Celebration's theme</t>
    </r>
    <r>
      <rPr>
        <b/>
        <sz val="10"/>
        <color theme="1"/>
        <rFont val="Arial"/>
      </rPr>
      <t xml:space="preserve"> "Bioteknolohiya: Kaagapay ng Mamayan sa Kaunlaran"</t>
    </r>
    <r>
      <rPr>
        <sz val="10"/>
        <color theme="1"/>
        <rFont val="Arial"/>
      </rPr>
      <t xml:space="preserve"> with the Tagline: </t>
    </r>
    <r>
      <rPr>
        <i/>
        <sz val="10"/>
        <color theme="1"/>
        <rFont val="Arial"/>
      </rPr>
      <t>"Yakapin ang pagbabago, Biotek na tayo!"</t>
    </r>
    <r>
      <rPr>
        <sz val="10"/>
        <color theme="1"/>
        <rFont val="Arial"/>
      </rPr>
      <t xml:space="preserve"> The DOST's plan of activities includes the conduct of Science and Technology Forum, Biotech IEC and Technology Exhibition. Part of the activity is the Technology Showcase and IP Forum to be facilitated by DOST-TAPI on 22 November 2016.</t>
    </r>
  </si>
  <si>
    <t>http://gofile.me/4xaew/rLapovn3N</t>
  </si>
  <si>
    <t>http://gofile.me/4xaew/xtWXpoHK5</t>
  </si>
  <si>
    <t>http://gofile.me/4xaew/Yyrwy2xhw</t>
  </si>
  <si>
    <t>http://gofile.me/4xaew/4xXXqKlUT</t>
  </si>
  <si>
    <t>http://gofile.me/4xaew/O5Yqa0ei2</t>
  </si>
  <si>
    <t>http://gofile.me/4xaew/shRD7aiGm</t>
  </si>
  <si>
    <t>http://gofile.me/4xaew/Qv3QfyNBw</t>
  </si>
  <si>
    <t>http://gofile.me/4xaew/Xzs2tnClH</t>
  </si>
  <si>
    <t>http://gofile.me/4xaew/hfaJFtSMt</t>
  </si>
  <si>
    <t>http://gofile.me/4xaew/PpCcwJkl9</t>
  </si>
  <si>
    <t>http://gofile.me/4xaew/r8wxRwSl1</t>
  </si>
  <si>
    <t>http://gofile.me/4xaew/9AnkNfavV</t>
  </si>
  <si>
    <t>http://gofile.me/4xaew/VU4t4X1Qd</t>
  </si>
  <si>
    <r>
      <rPr>
        <sz val="10"/>
        <color theme="1"/>
        <rFont val="Arial"/>
      </rPr>
      <t xml:space="preserve">There are orders from bus and truck companies of the </t>
    </r>
    <r>
      <rPr>
        <b/>
        <sz val="10"/>
        <color theme="1"/>
        <rFont val="Arial"/>
      </rPr>
      <t>Improved Gasifier</t>
    </r>
    <r>
      <rPr>
        <sz val="10"/>
        <color theme="1"/>
        <rFont val="Arial"/>
      </rPr>
      <t>, the results of the test could help in the commercialization effort of the inventor. If the test results are favorable, it will contribute in the reduction of pollution-causing carbon emissions from vehicles.</t>
    </r>
  </si>
  <si>
    <t>http://gofile.me/4xaew/g9zAibLQB</t>
  </si>
  <si>
    <t>http://gofile.me/4xaew/LQh4CIfJ4</t>
  </si>
  <si>
    <t>http://gofile.me/4xaew/IPS19m1fI</t>
  </si>
  <si>
    <t>SEX (Male or Female)</t>
  </si>
  <si>
    <t>NCR – National Capital Region</t>
  </si>
  <si>
    <t>http://gofile.me/4xaew/Q4Y5mmNH2</t>
  </si>
  <si>
    <t>http://gofile.me/4xaew/TWgAEdvhs</t>
  </si>
  <si>
    <t>http://gofile.me/4xaew/twVfUsljA</t>
  </si>
  <si>
    <t>http://gofile.me/4xaew/nwzjpjCte</t>
  </si>
  <si>
    <t>http://gofile.me/4xaew/MUxcaeR5s</t>
  </si>
  <si>
    <t>http://gofile.me/4xaew/D2lzLwTi5</t>
  </si>
  <si>
    <t xml:space="preserve">Teresita A. Policarpio
Owner/Manager
TAPs Handmade Products </t>
  </si>
  <si>
    <t>Region VIII – Eastern Visayas</t>
  </si>
  <si>
    <t>http://gofile.me/4xaew/PQKhL0dw2</t>
  </si>
  <si>
    <t>http://gofile.me/4xaew/lKXfVrv0k</t>
  </si>
  <si>
    <t xml:space="preserve">1. Aniceto Rex D. Mancol
2. Salustiano P. Milca
3. Raul Molina
4. Danilo A. Acangan </t>
  </si>
  <si>
    <t xml:space="preserve">Amount Aroved    Amount aid                                                                  1. 628,275.00                                                                                                       2. 312,068.36            52,011.93                                                             3. 247,100.00            41,183.33                                                             4. 486,612.20            81,102.03                                                                         </t>
  </si>
  <si>
    <t>http://gofile.me/4xaew/eMIGZB3V4</t>
  </si>
  <si>
    <t>1. Male
2.Male
3. Male
4. Male</t>
  </si>
  <si>
    <t>http://gofile.me/4xaew/GFjQnX7cM</t>
  </si>
  <si>
    <t xml:space="preserve">Amount Approved    Amount Paid                                                                  1. 628,275.00                                                                                                       2. 312,068.36            52,011.93                                                             3. 247,100.00            41,183.33                                                             4. 486,612.20            81,102.03                                                                         </t>
  </si>
  <si>
    <t>http://gofile.me/4xaew/srBBZSBZf</t>
  </si>
  <si>
    <t>http://gofile.me/4xaew/jfGfHVhXG</t>
  </si>
  <si>
    <t>http://gofile.me/4xaew/gHygCyCpH</t>
  </si>
  <si>
    <t>http://gofile.me/4xaew/4GM8w4nBZ</t>
  </si>
  <si>
    <t>http://gofile.me/4xaew/xDCNKwEvf</t>
  </si>
  <si>
    <t>http://gofile.me/4xaew/ppdMr55jz</t>
  </si>
  <si>
    <t>http://gofile.me/4xaew/N0OQURuc7</t>
  </si>
  <si>
    <t>http://gofile.me/4xaew/q5A03uLDq</t>
  </si>
  <si>
    <t>http://gofile.me/4xaew/Oq1axk0HM</t>
  </si>
  <si>
    <t>http://gofile.me/4xaew/s6lwQoEOZ</t>
  </si>
  <si>
    <t xml:space="preserve"> 672, 777.28</t>
  </si>
  <si>
    <t>http://gofile.me/4xaew/2GD9NQuxA</t>
  </si>
  <si>
    <t>http://gofile.me/4xaew/apHnlDdF3</t>
  </si>
  <si>
    <t>http://gofile.me/4xaew/QqABXvo8Y</t>
  </si>
  <si>
    <t>http://gofile.me/4xaew/V2SknIJGu</t>
  </si>
  <si>
    <t>http://gofile.me/4xaew/wAU61VDIb</t>
  </si>
  <si>
    <t>http://gofile.me/4xaew/PTAElNebQ</t>
  </si>
  <si>
    <t>http://gofile.me/4xaew/EEhtzFT2a</t>
  </si>
  <si>
    <t>http://gofile.me/4xaew/VqYKnRki2</t>
  </si>
  <si>
    <t>SMX Covention Center, Pasay City</t>
  </si>
  <si>
    <t>http://gofile.me/4xaew/7OTs1DlYf</t>
  </si>
  <si>
    <t>http://gofile.me/4xaew/Jj9i5sPPK</t>
  </si>
  <si>
    <t>http://gofile.me/4xaew/KX95Fl0i5</t>
  </si>
  <si>
    <t>http://gofile.me/4xaew/Tx1dCoIOv</t>
  </si>
  <si>
    <t>http://gofile.me/4xaew/lStYtz0ub</t>
  </si>
  <si>
    <t>http://gofile.me/4xaew/LnrGbPkh7</t>
  </si>
  <si>
    <t>http://gofile.me/4xaew/rO681IovF</t>
  </si>
  <si>
    <t>http://gofile.me/4xaew/Clx9Ds8DW</t>
  </si>
  <si>
    <t>Region VII – Central Visayas</t>
  </si>
  <si>
    <t>http://gofile.me/4xaew/bTNV6xBLY</t>
  </si>
  <si>
    <t>http://gofile.me/4xaew/O1OtV57yO</t>
  </si>
  <si>
    <t>http://gofile.me/4xaew/f3eFnRTqo</t>
  </si>
  <si>
    <t>http://gofile.me/4xaew/ylPbb83PV</t>
  </si>
  <si>
    <t>http://gofile.me/4xaew/y2EIx1mrN</t>
  </si>
  <si>
    <t>http://gofile.me/4xaew/uqO6rULaw</t>
  </si>
  <si>
    <t>http://gofile.me/4xaew/p9Z3P2ib5</t>
  </si>
  <si>
    <t>http://gofile.me/4xaew/JFSSmlXch</t>
  </si>
  <si>
    <t>http://gofile.me/4xaew/W1aOyRSii</t>
  </si>
  <si>
    <t>http://gofile.me/4xaew/1tSvgY3eG</t>
  </si>
  <si>
    <t>Region 6,7,8</t>
  </si>
  <si>
    <t>http://gofile.me/4xaew/RHu9OrlaH</t>
  </si>
  <si>
    <t>http://gofile.me/4xaew/sT1ysM1x1</t>
  </si>
  <si>
    <r>
      <rPr>
        <sz val="10"/>
        <color theme="1"/>
        <rFont val="Arial"/>
      </rPr>
      <t xml:space="preserve"> 420,000(to be released to DOST-VIII )                                                                       534,000 ( to be aid directly to Cargo Forwarder)                                                  </t>
    </r>
    <r>
      <rPr>
        <b/>
        <sz val="10"/>
        <color theme="1"/>
        <rFont val="Arial"/>
      </rPr>
      <t>TOTAL:  954,000</t>
    </r>
  </si>
  <si>
    <t>Region 1,2, CAR</t>
  </si>
  <si>
    <t>http://gofile.me/4xaew/VWOFKpOEK</t>
  </si>
  <si>
    <t>http://gofile.me/4xaew/jmGnYlEn0</t>
  </si>
  <si>
    <r>
      <rPr>
        <sz val="10"/>
        <color theme="1"/>
        <rFont val="Arial"/>
      </rPr>
      <t xml:space="preserve"> 400,000 (to be released to DOST-I )                                                       175,000 (to be aid directly to Cargo Forwarder)                                           </t>
    </r>
    <r>
      <rPr>
        <b/>
        <sz val="10"/>
        <color theme="1"/>
        <rFont val="Arial"/>
      </rPr>
      <t>TOTAL: 575,000</t>
    </r>
  </si>
  <si>
    <t>Region 3,5,NCR, CALABARZON, &amp; MIMAROPA</t>
  </si>
  <si>
    <t>http://gofile.me/4xaew/3iZDaSShp</t>
  </si>
  <si>
    <t>http://gofile.me/4xaew/I1Ggb7AG0</t>
  </si>
  <si>
    <r>
      <rPr>
        <sz val="10"/>
        <color theme="1"/>
        <rFont val="Arial"/>
      </rPr>
      <t xml:space="preserve"> 600,000 ( to be released to DOST IV-B)                                                                  200,000 ( to be aid directly to Cargo Forwarder )                                             </t>
    </r>
    <r>
      <rPr>
        <b/>
        <sz val="10"/>
        <color theme="1"/>
        <rFont val="Arial"/>
      </rPr>
      <t>TOTAL:  800,000</t>
    </r>
  </si>
  <si>
    <t>Region II – Cagayan Valley</t>
  </si>
  <si>
    <t>http://gofile.me/4xaew/uTbUHmE0C</t>
  </si>
  <si>
    <t>http://gofile.me/4xaew/EBVd3RDKw</t>
  </si>
  <si>
    <t>375,000 (175,000 to be released to DOST -II)</t>
  </si>
  <si>
    <t>http://gofile.me/4xaew/ZhYKHEc9l</t>
  </si>
  <si>
    <t>http://gofile.me/4xaew/4TKese5J9</t>
  </si>
  <si>
    <t>http://gofile.me/4xaew/BAFvCfy9U</t>
  </si>
  <si>
    <t>http://gofile.me/4xaew/7iEeWzoYS</t>
  </si>
  <si>
    <t>Region CAR</t>
  </si>
  <si>
    <t>http://gofile.me/4xaew/4RPdSWVG1</t>
  </si>
  <si>
    <t>http://gofile.me/4xaew/0L2QS5T4B</t>
  </si>
  <si>
    <t>RA 7459</t>
  </si>
  <si>
    <t>http://gofile.me/4xaew/ySvjDfIlg</t>
  </si>
  <si>
    <t>http://gofile.me/4xaew/EWDhBNU6E</t>
  </si>
  <si>
    <t>http://gofile.me/4xaew/DzjLqlH6c</t>
  </si>
  <si>
    <t>http://gofile.me/4xaew/tMgO7GoOg</t>
  </si>
  <si>
    <t>http://gofile.me/4xaew/OivW1sLew</t>
  </si>
  <si>
    <t>http://gofile.me/4xaew/GD1F0K9yu</t>
  </si>
  <si>
    <t>http://gofile.me/4xaew/TEA4SXbaK</t>
  </si>
  <si>
    <t>http://gofile.me/4xaew/bVUP8i9XQ</t>
  </si>
  <si>
    <t>http://gofile.me/4xaew/cT3oDRzlU</t>
  </si>
  <si>
    <t>http://gofile.me/4xaew/Zwny1nEAl</t>
  </si>
  <si>
    <t>http://gofile.me/4xaew/GLrmK9IIS</t>
  </si>
  <si>
    <t>http://gofile.me/4xaew/XY9eYD72e</t>
  </si>
  <si>
    <t>http://gofile.me/4xaew/y5Wqpcgpq</t>
  </si>
  <si>
    <t>http://gofile.me/4xaew/BQfOJ7VDu</t>
  </si>
  <si>
    <t>http://gofile.me/4xaew/xPhVqjHLL</t>
  </si>
  <si>
    <t>http://gofile.me/4xaew/kw68PMJKP</t>
  </si>
  <si>
    <t>http://gofile.me/4xaew/zWe0Hsb2A</t>
  </si>
  <si>
    <t>http://gofile.me/4xaew/7whj8TxI6</t>
  </si>
  <si>
    <t>http://gofile.me/4xaew/5w8FtK3r3</t>
  </si>
  <si>
    <t>http://gofile.me/4xaew/SRX2v8NPt</t>
  </si>
  <si>
    <t>http://gofile.me/4xaew/R7mtT6I4A</t>
  </si>
  <si>
    <t>http://gofile.me/4xaew/bH9Au9XW8</t>
  </si>
  <si>
    <t xml:space="preserve"> Environment</t>
  </si>
  <si>
    <t>http://gofile.me/4xaew/A8lYVMwgT</t>
  </si>
  <si>
    <t>http://gofile.me/4xaew/ewNOP1Kkg</t>
  </si>
  <si>
    <t>http://gofile.me/4xaew/H2LFSRUkI</t>
  </si>
  <si>
    <t>http://gofile.me/4xaew/VKGsgehRs</t>
  </si>
  <si>
    <t>http://gofile.me/4xaew/hhC3KjkCy</t>
  </si>
  <si>
    <t>http://gofile.me/4xaew/FCDdmORxY</t>
  </si>
  <si>
    <t>http://gofile.me/4xaew/q9hWXYsDG</t>
  </si>
  <si>
    <t>http://gofile.me/4xaew/zdfsBywmV</t>
  </si>
  <si>
    <t>http://gofile.me/4xaew/nPy6F7vMK</t>
  </si>
  <si>
    <t>http://gofile.me/4xaew/uHG9Cy5iy</t>
  </si>
  <si>
    <t>http://gofile.me/4xaew/piVsZV6RJ</t>
  </si>
  <si>
    <t>http://gofile.me/4xaew/q5gYWqPIO</t>
  </si>
  <si>
    <t>http://gofile.me/4xaew/D0PsmOkR4</t>
  </si>
  <si>
    <t>http://gofile.me/4xaew/crGNui0YN</t>
  </si>
  <si>
    <t>http://gofile.me/4xaew/tx2lHva4W</t>
  </si>
  <si>
    <t>http://gofile.me/4xaew/oCM0EnumA</t>
  </si>
  <si>
    <t>http://gofile.me/4xaew/ynpKborxl</t>
  </si>
  <si>
    <t>http://gofile.me/4xaew/MK1tZ4ASu</t>
  </si>
  <si>
    <t xml:space="preserve"> 483, 315.00</t>
  </si>
  <si>
    <t>http://gofile.me/4xaew/INoX5fURs</t>
  </si>
  <si>
    <t>http://gofile.me/4xaew/21EJr4KXe</t>
  </si>
  <si>
    <t>http://gofile.me/4xaew/0udk42ive</t>
  </si>
  <si>
    <t>http://gofile.me/4xaew/zdpwAdVH8</t>
  </si>
  <si>
    <t>http://gofile.me/4xaew/9xarfpUDs</t>
  </si>
  <si>
    <t>http://gofile.me/4xaew/bP6bcY59J</t>
  </si>
  <si>
    <t>http://gofile.me/4xaew/nXnWNblCk</t>
  </si>
  <si>
    <t>http://gofile.me/4xaew/fjDtD0QMn</t>
  </si>
  <si>
    <t>http://gofile.me/4xaew/kffVPQPKF</t>
  </si>
  <si>
    <t>http://gofile.me/4xaew/Xba0miqZD</t>
  </si>
  <si>
    <t>http://gofile.me/4xaew/2MAkkO6Rs</t>
  </si>
  <si>
    <t>http://gofile.me/4xaew/lobmh5ZkQ</t>
  </si>
  <si>
    <t>http://gofile.me/4xaew/3FhwklodM</t>
  </si>
  <si>
    <t>http://gofile.me/4xaew/X5muiTntI</t>
  </si>
  <si>
    <t>http://gofile.me/4xaew/Rty7pIJ8z</t>
  </si>
  <si>
    <t>http://gofile.me/4xaew/fbdbC3moe</t>
  </si>
  <si>
    <t>http://gofile.me/4xaew/rTlrEkuFW</t>
  </si>
  <si>
    <t>http://gofile.me/4xaew/Xdq7J1kwA</t>
  </si>
  <si>
    <t>http://gofile.me/4xaew/WeHSIf51J</t>
  </si>
  <si>
    <t>http://gofile.me/4xaew/NTrbcOCKT</t>
  </si>
  <si>
    <t>http://gofile.me/4xaew/CXkGYwZZn</t>
  </si>
  <si>
    <t>http://gofile.me/4xaew/gDGdo3Tl9</t>
  </si>
  <si>
    <t>http://gofile.me/4xaew/PJ87qwB1z</t>
  </si>
  <si>
    <t>http://gofile.me/4xaew/e4pYqAYCv</t>
  </si>
  <si>
    <t>The event will showcase entrepreneurs running start-up business and expanding franchise business. Participation in this  event will enable DOST to showcase its program of assistance for business operations.</t>
  </si>
  <si>
    <t>http://gofile.me/4xaew/fnjV5goss</t>
  </si>
  <si>
    <t>Mr. Masesar is requesting for his invention to undergo vehicle testing at the UP Vehicle Research and Testing Laboratory (UPVRTL). The objective of the test is to verify the claim of the inventor that his device improves engine performance and eliminates smoke emisssion.</t>
  </si>
  <si>
    <t>http://gofile.me/4xaew/bNHIjif3M</t>
  </si>
  <si>
    <t>Region IV‑A – CALABARZON</t>
  </si>
  <si>
    <t>The "Prepaid Vendo Platform" is a service type of business to address the arising needs on the prepaid reloading process in the country: It is an automated prepaid loading machine wherein it can be set-up and accessed anywhere, 24 hours a day and 7 days a week which is ideal for late night and emergency prepaid reloading needs.</t>
  </si>
  <si>
    <t>http://gofile.me/4xaew/3NFa8wlzH</t>
  </si>
  <si>
    <t>The brochures and tarpaulins will be displayed and distributed to customers and the buying public during the Thailand's Inventors' Day.</t>
  </si>
  <si>
    <t>http://gofile.me/4xaew/m4W7OeglF</t>
  </si>
  <si>
    <t>To continue the recognition &amp; encouragement provided to the inventors, DOST- MIMAROPA is proposing for two (2) Invent School Program Seminar Workshop to cover the provinces of Marinduque and Romblon.</t>
  </si>
  <si>
    <t>http://gofile.me/4xaew/OTV9QVpyf</t>
  </si>
  <si>
    <t xml:space="preserve">                 
Unit 288 Cattleya Building 235 Salcedo Street, Legaspi Village Makati City 
</t>
  </si>
  <si>
    <t xml:space="preserve">The Philippine Small Medium Enterprise (PhilSME) Business Expo 2015 is a perfect venue among the business enterprises to showcase their different product innovation and technologies.         </t>
  </si>
  <si>
    <t>http://gofile.me/4xaew/lbklY3cag</t>
  </si>
  <si>
    <r>
      <rPr>
        <sz val="10"/>
        <color theme="1"/>
        <rFont val="Arial"/>
      </rPr>
      <t xml:space="preserve">The flyer tickets and posters will be displayed/distributed to customers/ buying public during the </t>
    </r>
    <r>
      <rPr>
        <b/>
        <sz val="10"/>
        <color theme="1"/>
        <rFont val="Arial"/>
      </rPr>
      <t>"Science Nation Tour".</t>
    </r>
  </si>
  <si>
    <t>http://gofile.me/4xaew/UBCu5VpRh</t>
  </si>
  <si>
    <t>The project was proposed by DOST Region XI in collaboration with the Philippine Women's College of Davao as a means to validate and promote the DOST developed technologies.</t>
  </si>
  <si>
    <t>http://gofile.me/4xaew/F8f7JElt2</t>
  </si>
  <si>
    <t>The conduct of the SETUP Summit will highlight the importance of Science, Technology and Innovations in preparation for the ASEAN integration and a bid for developing SmatTer MSMEs. The SETUP Summit will also feature the best products from the 5 priority sectors on food Processing, Furniture, Metals &amp; Engineering, GHD, Pharmaceutical and Herbal products.</t>
  </si>
  <si>
    <t>http://gofile.me/4xaew/NrYKLaCi8</t>
  </si>
  <si>
    <t>The request for additional funding shall be used to augment the expenses for the venue/booth rental.</t>
  </si>
  <si>
    <t>http://gofile.me/4xaew/HbRUdaY2P</t>
  </si>
  <si>
    <t>The "Kabisig Philippine Government Expo and Trade Fair 2005" is a yearly one stop information and trade exhibit which aims to facilitate, coordinate and monitor the implementation of government programs and projects. This year's theme is "Matuwid na Daan, Tatahakin Hanggang sa Katapusan."</t>
  </si>
  <si>
    <t>http://gofile.me/4xaew/yActfpvXn</t>
  </si>
  <si>
    <r>
      <rPr>
        <sz val="10"/>
        <color theme="1"/>
        <rFont val="Arial"/>
      </rPr>
      <t xml:space="preserve">TAPI Execom approved the budget for the prosecution, enforcement and collection of all TAPI cases last January 26, 2015 amounting to P744,000, however the honorarium to OSG Lawyers handling the case of </t>
    </r>
    <r>
      <rPr>
        <b/>
        <sz val="10"/>
        <color theme="1"/>
        <rFont val="Arial"/>
      </rPr>
      <t>Declaratory Relief and Damages</t>
    </r>
    <r>
      <rPr>
        <sz val="10"/>
        <color theme="1"/>
        <rFont val="Arial"/>
      </rPr>
      <t xml:space="preserve"> filed by Mr. Gonzalo O. Catan has not been incorporated.</t>
    </r>
  </si>
  <si>
    <t>http://gofile.me/4xaew/hUanlHuwu</t>
  </si>
  <si>
    <t>The request is for the publication of the following TIPD Program Guidelines to the Official Gazette:
1. Technology-Based Enterprise Development (TBED)
2. Technology Investment Forum and Training (TIFT)
3. Promotion Materials Assistance Program (PMAP)</t>
  </si>
  <si>
    <t>http://gofile.me/4xaew/tgS8iKL6M</t>
  </si>
  <si>
    <t>DOST Region XI proposes the activity in coordination with Nabunturan National Comprehensive High School as the host school and venue for the activity to be held on 11-13 August 2015</t>
  </si>
  <si>
    <t>http://gofile.me/4xaew/3NieNQ0g0</t>
  </si>
  <si>
    <t>The Department of Science and Technology will be conducting Science Nation Tour, a national road show covering all 17 regions
in the Philippines that will rub from March to November of this year. The activities are:
-SETUP Summit, S &amp; T Commercial Exhibits, S &amp; T Fora, Project Visits to DOST SETUP Assisted Projects, Career Guidance and 
Leadership Training for the Youth, Zumba Fitness Exercise and, Launching of DOST II Projetcs with partner agencies.</t>
  </si>
  <si>
    <t>http://gofile.me/4xaew/Gh4132jWA</t>
  </si>
  <si>
    <t>The project was endorsed by DOST Region VIII and in collaboration with the Leyte Normal University (LNU). It is an improvement within their Food Laboratory for the project implementation. It is also planned that the technology will be transferred to the families living in Barangay Libas and Taa in Sogod, Southern Leyte as a source of their livelihood.</t>
  </si>
  <si>
    <t>http://gofile.me/4xaew/fOlgsu1Tl</t>
  </si>
  <si>
    <t>Region XI – Davao Region</t>
  </si>
  <si>
    <t>The request for additional funds shall be used for the rental of the booth systems and venue for the exhibits including supplies and materials needed in the preparation for the activity.</t>
  </si>
  <si>
    <t>http://gofile.me/4xaew/qEqR6fGTH</t>
  </si>
  <si>
    <t>The flyers will be distributed to customers/buying public during participation in trade fairs and exhibitions while the posters will be displayed in the MIMAROPA as well as in Metro Manila area.</t>
  </si>
  <si>
    <t>Region III – Central Luzon</t>
  </si>
  <si>
    <t>The conduct of the Invent School Program (ISP) in Region III shall be in conjunction with the holding of the 2015 Regional Invention Contests &amp; Exhibits (RICE) on 25-27 August 2015.</t>
  </si>
  <si>
    <t>http://gofile.me/4xaew/HO2wWprRz</t>
  </si>
  <si>
    <t>The Materials Science Division (MSD) of the Industrial Technology Development Institute will be holding the 1st Philippine Nano Day 2015 on July 1, 2015 with the theme, "NANOTECHNOLOGY for every JUAN" featuring the following activities:                                            (1) scientific forum                                                                                                                           (2) state of the art equipment workshop                                                                                              (3) nanotechnology product exhibit</t>
  </si>
  <si>
    <t>http://gofile.me/4xaew/mMAVlzOqR</t>
  </si>
  <si>
    <r>
      <rPr>
        <sz val="10"/>
        <color theme="1"/>
        <rFont val="Arial"/>
      </rPr>
      <t xml:space="preserve">The proposed project is the implementation of CAMPI Program in Region XI.                                                                                                                                   </t>
    </r>
    <r>
      <rPr>
        <b/>
        <sz val="10"/>
        <color theme="1"/>
        <rFont val="Arial"/>
      </rPr>
      <t>Rookies Fruit Preserves Corporation</t>
    </r>
    <r>
      <rPr>
        <sz val="10"/>
        <color theme="1"/>
        <rFont val="Arial"/>
      </rPr>
      <t xml:space="preserve"> has been identified as the beneficiary for CAMPI. The company has been in existence for 18 years and expanded its plant structure. As a requirement for GMP Certification there is a need to improve their policies, work instructions, process control and SSOP's.</t>
    </r>
  </si>
  <si>
    <t>http://gofile.me/4xaew/1GYRFLj6t</t>
  </si>
  <si>
    <t xml:space="preserve">The brochures will aid in the promotion of MIRDC-developed technologies to their target market and possible technology adaptors.
</t>
  </si>
  <si>
    <t>http://gofile.me/4xaew/3BQeS7OUq</t>
  </si>
  <si>
    <r>
      <rPr>
        <sz val="10"/>
        <color theme="1"/>
        <rFont val="Arial"/>
      </rPr>
      <t>The Round Table Discussion's expected output is to come up with a harmonized</t>
    </r>
    <r>
      <rPr>
        <b/>
        <sz val="10"/>
        <color theme="1"/>
        <rFont val="Arial"/>
      </rPr>
      <t xml:space="preserve"> Guidelines for the Technology Transfer and Commercialization Protocol in the Operation of Food Processing Center in the Region.</t>
    </r>
  </si>
  <si>
    <t>http://gofile.me/4xaew/neSKIW5Cz</t>
  </si>
  <si>
    <t>The conduct of an Invent School Program (ISP) in Anao, Tarlac shall cover high schools within the project area as well as nearby towns.</t>
  </si>
  <si>
    <t>http://gofile.me/4xaew/MUp9r9hhk</t>
  </si>
  <si>
    <r>
      <rPr>
        <sz val="10"/>
        <color theme="1"/>
        <rFont val="Arial"/>
      </rPr>
      <t>PHILAAST is holding this two-day activity with the theme:</t>
    </r>
    <r>
      <rPr>
        <i/>
        <sz val="10"/>
        <color theme="1"/>
        <rFont val="Arial"/>
      </rPr>
      <t xml:space="preserve"> "International- ization of S&amp;T Education"</t>
    </r>
    <r>
      <rPr>
        <sz val="10"/>
        <color theme="1"/>
        <rFont val="Arial"/>
      </rPr>
      <t xml:space="preserve"> in conjunction with 64th PHILAAST Annual Convention.</t>
    </r>
  </si>
  <si>
    <t>http://gofile.me/4xaew/1Vc98LFex</t>
  </si>
  <si>
    <t>These projects were conceived to promote the locally developed technologies on Food Processing Equipment fabricated by MIRDC. The projects also support the High Impact Technology Solutions (HITS) of DOST.</t>
  </si>
  <si>
    <t>http://gofile.me/4xaew/i18FvY6Mt</t>
  </si>
  <si>
    <t>The proposed project will cover the fabrication of a paper fuelled grill for market testing to the target users. The project will significantly contribute to solving waste paper such as old newspaper, magazine and other paper materials' disposal through useful ways and means without affecting the environment.</t>
  </si>
  <si>
    <t>http://gofile.me/4xaew/QLH0HlTZe</t>
  </si>
  <si>
    <t>http://gofile.me/4xaew/tgK4HVsyL</t>
  </si>
  <si>
    <t>http://gofile.me/4xaew/WHqZJ7sDF</t>
  </si>
  <si>
    <t xml:space="preserve">The leak sealing valve provide means for automatically locking the damage wheel brake assembly and allows the remaining undamaged wheel brake assemblies to function. This will ensure safe travel of the vehicle since the remaining undamaged brake assemblies are still functioning.
</t>
  </si>
  <si>
    <t>http://gofile.me/4xaew/iHyDr8QwA</t>
  </si>
  <si>
    <t>The Undergraduate Student Research Competition is an activity conducted annually by FNRI during the FNRI Seminar Series. The activity is an avenue for students to present their researches among a disciplinary group of participants composed of nutritionist-dieticians, food technologists food industry partners, researchers, local legislators, program planners, teachers and students.</t>
  </si>
  <si>
    <t>The Pinggang Pinoy Cooking Challenge is one of the activities on the 41st FNRI Seminar Series on Food and Nutrition
Researchers and S&amp;T activities.</t>
  </si>
  <si>
    <t>http://gofile.me/4xaew/qSKYNtHfR</t>
  </si>
  <si>
    <t>STARBOOKS is a flagship project of DOST's STII. It is a user-friendly digital library of science and technology (S&amp;T) information which does not require Internet. It contains S&amp;T information in various formats-text, video and audio from the local and international sources. Also available in STARBOOKS are videos on livelihood for individuals seeking business opportunities, journals and investigatory materials.</t>
  </si>
  <si>
    <t>http://gofile.me/4xaew/fs4CF87ZP</t>
  </si>
  <si>
    <r>
      <rPr>
        <sz val="10"/>
        <color theme="1"/>
        <rFont val="Arial"/>
      </rPr>
      <t>DOST Region is implementing the</t>
    </r>
    <r>
      <rPr>
        <b/>
        <sz val="10"/>
        <color theme="1"/>
        <rFont val="Arial"/>
      </rPr>
      <t xml:space="preserve"> "Community Empowerment thru Science &amp; Technology (CEST)</t>
    </r>
    <r>
      <rPr>
        <sz val="10"/>
        <color theme="1"/>
        <rFont val="Arial"/>
      </rPr>
      <t>.One of the interventions is the conduct of the Invent School Program for all the high schools in the municipality of Aguilar, Pangasinan. Target participants are selected students and teachers from Gaudencio Dumlao HS, Enrico T. Prado NHS, Tamac Integrated School, Aguilar Integrated School, Zaratan Educational Institute, Inc., Bocboc East NHS and Aguilar Catholic School.</t>
    </r>
  </si>
  <si>
    <t>http://gofile.me/4xaew/Hb5QogSPr</t>
  </si>
  <si>
    <t>The proposed project is the implementation of CAMPI Program in Region III. The consultancy engagement will focus on provision of technical assistance leading to Organic Alignment/Certification of the 2 farms.</t>
  </si>
  <si>
    <t>http://gofile.me/4xaew/WKYRUmieR</t>
  </si>
  <si>
    <t>2015-36- ad referenda</t>
  </si>
  <si>
    <t>The request for realignment of the Line-item Budget of the DOST VII RSTL is to utilize the savings amounting to P34,008 to purchase one (1) unit dehumidifier to be use to control the relative humidity of the Calibration Laboratory as a requirement for ISO/IEC 17025 Laboratory Accreditation.</t>
  </si>
  <si>
    <t>http://gofile.me/4xaew/CbtnTmNkc</t>
  </si>
  <si>
    <t>The flyers and posters will be displayed/given/distributed to customers/buying public during the "South Luzon Cluster S&amp;T Fair
and Exhibits" on 17-19 August 2015.</t>
  </si>
  <si>
    <t>http://gofile.me/4xaew/wGeP1cf1D</t>
  </si>
  <si>
    <t>Region X – Northern Mindanao</t>
  </si>
  <si>
    <t>The main purpose of the S&amp;T Forum is to introduce DOST services, producrts and technologies and programs of DOST that would benefit the Chamber members and selected business affliated individuals.</t>
  </si>
  <si>
    <t>http://gofile.me/4xaew/DvlY5sCI4</t>
  </si>
  <si>
    <t>The 11th National Biotechnology Week Celebration is anchored on the theme "Bioteknolohiya: Kaagapay ng Mamamayan para sa Pambansang Kaunlaran." The event will be held on 23-27 November 2015 at SM Dasmarinas, Cavite Event Center. Planned activities includes Scince and Technology Forum, Research and Career Orientation, Workshop, Press Conference, Biotech IEC and Technology Exhibition.</t>
  </si>
  <si>
    <t>http://gofile.me/4xaew/O8D5TScYm</t>
  </si>
  <si>
    <t>Region XII – SOCCSKSARGEN</t>
  </si>
  <si>
    <t>The DOST ARMM will hold its National Science and Technology Week on October 6-8, 2015 at Al-Nor Convention Center, Cotabato City. The posters will be displayed/distributed to customers/buying public to promote the activities of the event.</t>
  </si>
  <si>
    <t>http://gofile.me/4xaew/nqSDRbxcn</t>
  </si>
  <si>
    <r>
      <rPr>
        <sz val="10"/>
        <color theme="1"/>
        <rFont val="Arial"/>
      </rPr>
      <t xml:space="preserve">DOST III is endorsing </t>
    </r>
    <r>
      <rPr>
        <b/>
        <sz val="10"/>
        <color theme="1"/>
        <rFont val="Arial"/>
      </rPr>
      <t>RPO Fine Foods Corporation</t>
    </r>
    <r>
      <rPr>
        <sz val="10"/>
        <color theme="1"/>
        <rFont val="Arial"/>
      </rPr>
      <t xml:space="preserve"> which was identified from previously MPEX/SETUP assisted SMEs in Region III. Based on the current productivity status of the firm, the consultancy engagement will focus on </t>
    </r>
    <r>
      <rPr>
        <i/>
        <sz val="10"/>
        <color theme="1"/>
        <rFont val="Arial"/>
      </rPr>
      <t>GMP Alignment/Certification</t>
    </r>
    <r>
      <rPr>
        <sz val="10"/>
        <color theme="1"/>
        <rFont val="Arial"/>
      </rPr>
      <t xml:space="preserve"> that will make them competitive in the local and export market.</t>
    </r>
  </si>
  <si>
    <t>http://gofile.me/4xaew/d1UqZvjrj</t>
  </si>
  <si>
    <r>
      <rPr>
        <sz val="10"/>
        <color theme="1"/>
        <rFont val="Arial"/>
      </rPr>
      <t xml:space="preserve">DOST III is endorsing </t>
    </r>
    <r>
      <rPr>
        <b/>
        <sz val="10"/>
        <color theme="1"/>
        <rFont val="Arial"/>
      </rPr>
      <t>Charisma Nature Farm</t>
    </r>
    <r>
      <rPr>
        <sz val="10"/>
        <color theme="1"/>
        <rFont val="Arial"/>
      </rPr>
      <t xml:space="preserve"> which was identified from previously CAPE/SETUP assisted SMEs in Region III. Based on the current productivity status of the farm, the consultancy engagement will focus on </t>
    </r>
    <r>
      <rPr>
        <i/>
        <sz val="10"/>
        <color theme="1"/>
        <rFont val="Arial"/>
      </rPr>
      <t>Organic Agriculture Alignment/Certification</t>
    </r>
    <r>
      <rPr>
        <sz val="10"/>
        <color theme="1"/>
        <rFont val="Arial"/>
      </rPr>
      <t xml:space="preserve"> that will make them competitive in the market.</t>
    </r>
  </si>
  <si>
    <t>http://gofile.me/4xaew/Kn0E1UkCw</t>
  </si>
  <si>
    <t>The brochures will showcase valuable technology breakthroughs for the benefits of regional constituents.</t>
  </si>
  <si>
    <t>http://gofile.me/4xaew/uvoqmihtY</t>
  </si>
  <si>
    <t>The Expo and Trade Fair is a 5-day marketing event that will showcase commercially-viable inventive ideas, products and processes of Filipino inventors. Leading to this marketing event will be a series of capacity-building support interventions to ensure successful participation of the inventor in the Expo. It will likewise snowcase student's special events such as S&amp;T Demonstration and Robotics.</t>
  </si>
  <si>
    <t>http://gofile.me/4xaew/z7CzmiIRr</t>
  </si>
  <si>
    <t>The target participants to this two-day seminar-workshop are selected students and teachers from secondary schools in General Santos City. This would be the second time ISP would be conducted in Region XII. The last ISP was conducted on 13-14 March 2012 in Koronadal City, South Cotabato.</t>
  </si>
  <si>
    <t>http://gofile.me/4xaew/lQYPOZ16N</t>
  </si>
  <si>
    <t>The proponent is requesting for financial assistance under the Invention Testing and Laboratory Analysis Assistance Program. He is also requesting for patenting assistance, however, the Program recommends that the product first undergo microbial test and test for the presence of heavy metals to prove that it is safe for human consumption.</t>
  </si>
  <si>
    <t>http://gofile.me/4xaew/C12vTxSEZ</t>
  </si>
  <si>
    <t>Food Proces</t>
  </si>
  <si>
    <t xml:space="preserve">The activity aims to inspire scientists, engineers and researchers to channel their scientific experimentation and innovation activities towards contributing to the economic growth of the country and social welfare of the poor and vulnerable Filipinos.
</t>
  </si>
  <si>
    <t>http://gofile.me/4xaew/IMQQylKuc</t>
  </si>
  <si>
    <t>TAPI has already provided DOST-MIMAROPA a financial assistance of P145,946 to cover the expenses for the said activity. Considering that the 2015 RICE coincides with the conduct of the Southern Luzon Cluster Fair, the cost of the venue was covered by the said event. In case of the booth system, the contractor's qoutation was P100,000 for the 54 participating entries. They are requesting for additional funds to cover expenses for the booth rental.</t>
  </si>
  <si>
    <t>http://gofile.me/4xaew/x0neibOqp</t>
  </si>
  <si>
    <t>In view of the need to properly plan and organize the Regional Invention Contests and Exhibits (RICE) and to cater the needs of the prospective participating entries, P25,000 additional budget is being recommended for the RICE implementation.</t>
  </si>
  <si>
    <t>http://gofile.me/4xaew/zeUgNAwPS</t>
  </si>
  <si>
    <t xml:space="preserve">The target participants to this three-day seminar-workshops are students from secondary public and private schools in Anao, Tarlac on 9-11 June 2015 and in San Fernando, Pampanga on 25-27 August 2015, respectively. This would also be the first time ISP will be conducted in Nueva Ecija at the Central Luzon State University, Munoz, Nueva Ecija on 9-11 November 2015 and on 18-20 November 2015 at the Nueva Ecija University of Science and Technology, Cabanatuan. </t>
  </si>
  <si>
    <t>http://gofile.me/4xaew/hhF6pUZhQ</t>
  </si>
  <si>
    <t>The forum is one of the highlights of the MFI Anniversary celebrations. An exhibit-fair on vertical and urban edible gardening shall be complemented by a forum. Innovators will be invited to showcase and launch products and services in urban and vertical agriculture.</t>
  </si>
  <si>
    <t>http://gofile.me/4xaew/WrMzQfNKE</t>
  </si>
  <si>
    <t>PUP-Lopez is the sole mushroom producer in the municipality of Lopez, thus there is no competitor when it comes to mushroom production. The project will utilize the university's tissue culture laboratory, mushroom growing house and other equipment needed for mushroom production.</t>
  </si>
  <si>
    <t>http://gofile.me/4xaew/OTqTNoFLA</t>
  </si>
  <si>
    <t>Region V – Bicol Region</t>
  </si>
  <si>
    <t>CFL remover and installer has the advantages among the previous innovation like clamping the base of the CFLs rather than the glass part of the lamps without breaking, putting safely nets attach to the clamp for securing the CFLs from falling to the ground after removing. It also includes a lighting means defined by a plurality of light emtting diodes which serves as a guide for replacing and installing even to the dark areas.</t>
  </si>
  <si>
    <t>http://gofile.me/4xaew/otivvJLJP</t>
  </si>
  <si>
    <t>The proposed project is for the implementation of the CAMPI Program in Region VII covering two (2) firms in Cebu. The firms were endorsed and recommended by DOST VII and have been identified for GMP Alignment/Certification and Waste Management System Installation.</t>
  </si>
  <si>
    <t>http://gofile.me/4xaew/XqL066m8N</t>
  </si>
  <si>
    <t>The proposed project is for the continuous implementation of the CAMPI Program in Region III covering two (2) firms in Pampanga for GMP Alignment in compliance with GMP Alignment Certification requirements.</t>
  </si>
  <si>
    <t>http://gofile.me/4xaew/AuxToZ4lK</t>
  </si>
  <si>
    <t>The proposed project is to conduct a mini conference with selected media people in coordination with STII to inform the public about the inventors who have received assistance and use the information to create a positive image for TAPI and the Department of Science and Technology (DOST).</t>
  </si>
  <si>
    <t>http://gofile.me/4xaew/qEmraVivW</t>
  </si>
  <si>
    <t>1. "Athan's Organic Hot Pepper
2. "A&amp;J's Organic Coconut Sa Vinegar"</t>
  </si>
  <si>
    <t xml:space="preserve"> 54, 820.70</t>
  </si>
  <si>
    <r>
      <rPr>
        <sz val="10"/>
        <color theme="1"/>
        <rFont val="Arial"/>
      </rPr>
      <t xml:space="preserve">The project will use the </t>
    </r>
    <r>
      <rPr>
        <b/>
        <sz val="10"/>
        <color theme="1"/>
        <rFont val="Arial"/>
      </rPr>
      <t>Organic Farming System</t>
    </r>
    <r>
      <rPr>
        <sz val="10"/>
        <color theme="1"/>
        <rFont val="Arial"/>
      </rPr>
      <t xml:space="preserve"> in the production of hot peppers. Organic fertilizers such as Indigenous Microorganism, Fish Amino Acid, Fermented Plant and Fruit Juice, Oriental Herbal Medicine and Calcium Phosphate protects the environment and public health. </t>
    </r>
    <r>
      <rPr>
        <b/>
        <sz val="10"/>
        <color theme="1"/>
        <rFont val="Arial"/>
      </rPr>
      <t>Conversion of coconut sap into natural vinegar</t>
    </r>
    <r>
      <rPr>
        <sz val="10"/>
        <color theme="1"/>
        <rFont val="Arial"/>
      </rPr>
      <t xml:space="preserve"> involves simple fermentation without chemical additives and pastuerization.</t>
    </r>
  </si>
  <si>
    <t>http://gofile.me/4xaew/XNByDwowk</t>
  </si>
  <si>
    <t xml:space="preserve"> 83, 912.91</t>
  </si>
  <si>
    <t>Six (6) BS Agriculture students will implement the project to learn more about swine raising through actual and/or hands-on production. The project will be housed in NORSU Bajumpandan Campus in Dumaguete City. The production will include the fattening of hogs for slaughter starting from weaning piglets up to finishing stage within 101 days of production cycle.</t>
  </si>
  <si>
    <t>http://gofile.me/4xaew/3YzyK6UAc</t>
  </si>
  <si>
    <t>The request is for financial assistance to defray the cost of exhibit booth systems incurred during the 2015 National Inventors' Week held last 14-18 December 2015 at Walter Mart, Sucat, Paranaque City. The financial assistance will be released to the booth contractor, McEmpire Corporation.</t>
  </si>
  <si>
    <t>http://gofile.me/4xaew/CXOEXTfoX</t>
  </si>
  <si>
    <t>Approved Date</t>
  </si>
  <si>
    <t>Signed Reso/Adref</t>
  </si>
  <si>
    <t>http://gofile.me/4xaew/r31bnsZoi</t>
  </si>
  <si>
    <t>http://gofile.me/4xaew/H8FFvxuFc</t>
  </si>
  <si>
    <t>http://gofile.me/4xaew/26NwVmMEt</t>
  </si>
  <si>
    <t>http://gofile.me/4xaew/FgpkMt0ge</t>
  </si>
  <si>
    <t>http://gofile.me/4xaew/4Dv4B37vC</t>
  </si>
  <si>
    <t>http://gofile.me/4xaew/DxpG8dWuz</t>
  </si>
  <si>
    <t xml:space="preserve"> 880,971                                                                     (147 units @ 5,993)                                                              116,000</t>
  </si>
  <si>
    <t>http://gofile.me/4xaew/dFInX6X6S</t>
  </si>
  <si>
    <t>http://gofile.me/4xaew/2kyQvz1wC</t>
  </si>
  <si>
    <t>http://gofile.me/4xaew/wXyqi7q8C</t>
  </si>
  <si>
    <t>http://gofile.me/4xaew/nWPFbamEg</t>
  </si>
  <si>
    <t>http://gofile.me/4xaew/XYsoZENK8</t>
  </si>
  <si>
    <t>http://gofile.me/4xaew/11ZevryeL</t>
  </si>
  <si>
    <t>http://gofile.me/4xaew/wmQ5qWwe1</t>
  </si>
  <si>
    <t>http://gofile.me/4xaew/GTpEDHHdK</t>
  </si>
  <si>
    <t>http://gofile.me/4xaew/3k6PwKrLm</t>
  </si>
  <si>
    <t xml:space="preserve"> 494, 491</t>
  </si>
  <si>
    <t>http://gofile.me/4xaew/4IxMaSeDl</t>
  </si>
  <si>
    <t>http://gofile.me/4xaew/4toA7H4jq</t>
  </si>
  <si>
    <t>http://gofile.me/4xaew/3UXccVuwK</t>
  </si>
  <si>
    <t xml:space="preserve"> 69,958.99 (to be released by TAI to DOST VII)                      250,041.01 (to be released transferred by DOST VI to DOST VII)                                                                Total:  320,000</t>
  </si>
  <si>
    <t>Pilot Plant and Prototype Assistance Program</t>
  </si>
  <si>
    <t>http://gofile.me/4xaew/XbNutlwYs</t>
  </si>
  <si>
    <t>Prom</t>
  </si>
  <si>
    <t>http://gofile.me/4xaew/3zsEJDlLz</t>
  </si>
  <si>
    <r>
      <rPr>
        <sz val="10"/>
        <color theme="1"/>
        <rFont val="Arial"/>
      </rPr>
      <t xml:space="preserve"> 400,000 (To be Released to DOST Region V)                 400,000 (to be aid directly to Cargo Forwarder    </t>
    </r>
    <r>
      <rPr>
        <b/>
        <sz val="10"/>
        <color theme="1"/>
        <rFont val="Arial"/>
      </rPr>
      <t>Total:  800,000</t>
    </r>
  </si>
  <si>
    <t>http://gofile.me/4xaew/vSv6FbWIi</t>
  </si>
  <si>
    <t>http://gofile.me/4xaew/YsTobFARk</t>
  </si>
  <si>
    <t>http://gofile.me/4xaew/VHFE83DbB</t>
  </si>
  <si>
    <t>http://gofile.me/4xaew/S0zKVwYCK</t>
  </si>
  <si>
    <r>
      <rPr>
        <b/>
        <sz val="10"/>
        <color theme="1"/>
        <rFont val="Arial"/>
      </rPr>
      <t>Dr. Elsa R. Manarpaac</t>
    </r>
    <r>
      <rPr>
        <sz val="10"/>
        <color theme="1"/>
        <rFont val="Arial"/>
      </rPr>
      <t xml:space="preserve">                                                                                                                                                                                                                                                   President                                                                                                                                                                                                                                                                 </t>
    </r>
    <r>
      <rPr>
        <b/>
        <sz val="10"/>
        <color theme="1"/>
        <rFont val="Arial"/>
      </rPr>
      <t xml:space="preserve">Dr. Mirriam Banlawe </t>
    </r>
    <r>
      <rPr>
        <sz val="10"/>
        <color theme="1"/>
        <rFont val="Arial"/>
      </rPr>
      <t xml:space="preserve">                                                                                                                                                                                                                                                Dean, CET</t>
    </r>
  </si>
  <si>
    <t>Region VI – Western Visayas</t>
  </si>
  <si>
    <t>2014- 29A</t>
  </si>
  <si>
    <t>http://gofile.me/4xaew/Hf3GL0hHH</t>
  </si>
  <si>
    <t>Table Lectern</t>
  </si>
  <si>
    <t>Alfredo M. Luzuriaga</t>
  </si>
  <si>
    <t>2054 Locsin, Sud., Maroroy Daraga, Albay</t>
  </si>
  <si>
    <t>2014-29B</t>
  </si>
  <si>
    <t>http://gofile.me/4xaew/FUUCzWVuJ</t>
  </si>
  <si>
    <t>Improved Compound Microscope</t>
  </si>
  <si>
    <t>Gregorio G. Carballo</t>
  </si>
  <si>
    <t>Blk 27 Lot 84, El Pueblo Subd., Brgy. Km. 37, Caypombo Sta. Maria Bulacan</t>
  </si>
  <si>
    <t>http://gofile.me/4xaew/Qersiey6f</t>
  </si>
  <si>
    <t>http://gofile.me/4xaew/TVkkOz8JS</t>
  </si>
  <si>
    <t>http://gofile.me/4xaew/iWlHc3iqX</t>
  </si>
  <si>
    <t>http://gofile.me/4xaew/MwMjEw2U0</t>
  </si>
  <si>
    <t>http://gofile.me/4xaew/8SgjemFFP</t>
  </si>
  <si>
    <t>2014- 38</t>
  </si>
  <si>
    <t>http://gofile.me/4xaew/STfPUQ8hB</t>
  </si>
  <si>
    <t>Technology Non Computer</t>
  </si>
  <si>
    <t>http://gofile.me/4xaew/ULKKqApCM</t>
  </si>
  <si>
    <t>TBED-prototype</t>
  </si>
  <si>
    <t>http://gofile.me/4xaew/QRymnyY5G</t>
  </si>
  <si>
    <r>
      <rPr>
        <b/>
        <sz val="10"/>
        <color theme="1"/>
        <rFont val="Arial"/>
      </rPr>
      <t xml:space="preserve">Dr. Georgina J. Bordaddo </t>
    </r>
    <r>
      <rPr>
        <sz val="10"/>
        <color theme="1"/>
        <rFont val="Arial"/>
      </rPr>
      <t xml:space="preserve">                                                                                                                                                                                                                                           SUC President III                                                                                                                                                                                                                                                            </t>
    </r>
    <r>
      <rPr>
        <b/>
        <sz val="10"/>
        <color theme="1"/>
        <rFont val="Arial"/>
      </rPr>
      <t xml:space="preserve">Joel Paulite Sadol  </t>
    </r>
    <r>
      <rPr>
        <sz val="10"/>
        <color theme="1"/>
        <rFont val="Arial"/>
      </rPr>
      <t xml:space="preserve">                                                                                                                                                                                                                                                     Study Leader</t>
    </r>
  </si>
  <si>
    <t>Female                                                                                                                                                             Male</t>
  </si>
  <si>
    <t>http://gofile.me/4xaew/fUagC5gg5</t>
  </si>
  <si>
    <t>Fabrication of a Small Mobile Decorticator Machine</t>
  </si>
  <si>
    <t xml:space="preserve">Idelfonso A. Tallada </t>
  </si>
  <si>
    <t>Blk 7,Lot23, Phase 4,Dahila st.,Sta.Cecilia Village,Brgy. Parian Calamba City</t>
  </si>
  <si>
    <t>http://gofile.me/4xaew/UCKBVjOAP</t>
  </si>
  <si>
    <t>http://gofile.me/4xaew/nXYeoa4kg</t>
  </si>
  <si>
    <r>
      <rPr>
        <sz val="10"/>
        <color theme="1"/>
        <rFont val="Arial"/>
      </rPr>
      <t xml:space="preserve">1.  475,000                                                                                                                                                      2.  494,400                                                                                                                                                3.  302,000                                                                                                                                                     </t>
    </r>
    <r>
      <rPr>
        <b/>
        <sz val="10"/>
        <color theme="1"/>
        <rFont val="Arial"/>
      </rPr>
      <t>TOTAL:  1,271,400</t>
    </r>
  </si>
  <si>
    <t>2014-45</t>
  </si>
  <si>
    <t>http://gofile.me/4xaew/GLtiJhOwq</t>
  </si>
  <si>
    <t>Water Fuel Converter System</t>
  </si>
  <si>
    <t>Antonio Y. Teves</t>
  </si>
  <si>
    <t>126 Dr. E Maciano Road, Brgy. taclobo, Dumaguete City</t>
  </si>
  <si>
    <t>http://gofile.me/4xaew/BVZZsZ8xT</t>
  </si>
  <si>
    <t>http://gofile.me/4xaew/Ub1b8LEz7</t>
  </si>
  <si>
    <t>http://gofile.me/4xaew/UZVesDYKJ</t>
  </si>
  <si>
    <t>http://gofile.me/4xaew/xpnoGaS4L</t>
  </si>
  <si>
    <t>http://gofile.me/4xaew/c6Gyjasq7</t>
  </si>
  <si>
    <t>http://gofile.me/4xaew/4ffdqLMd0</t>
  </si>
  <si>
    <t>http://gofile.me/4xaew/ijFAWpZxd</t>
  </si>
  <si>
    <t xml:space="preserve"> 958,103 (17 Units @ 56,359)</t>
  </si>
  <si>
    <t>http://gofile.me/4xaew/E2gfhOW9M</t>
  </si>
  <si>
    <t>Information Technology</t>
  </si>
  <si>
    <t>MSMEs</t>
  </si>
  <si>
    <t>Knowledge Management</t>
  </si>
  <si>
    <t>Inventor</t>
  </si>
  <si>
    <t>Academia</t>
  </si>
  <si>
    <t>Region I – Ilocos Region</t>
  </si>
  <si>
    <t>Private Org</t>
  </si>
  <si>
    <t>http://gofile.me/4xaew/SzQV1VcYs</t>
  </si>
  <si>
    <t>Government-DOST</t>
  </si>
  <si>
    <t>Pilot Production</t>
  </si>
  <si>
    <t>http://gofile.me/4xaew/U1fvOUxZK</t>
  </si>
  <si>
    <t>2014-41</t>
  </si>
  <si>
    <t>Establishment of a Food Processing Center in MSU-GSC</t>
  </si>
  <si>
    <t>Atty. Abdurrahman T. Cancan, Chancellor, MSY</t>
  </si>
  <si>
    <t>Mindanao State University (MSU), General Santos City, Tambler, General Santos City</t>
  </si>
  <si>
    <t>http://gofile.me/4xaew/kHh1wFRf5</t>
  </si>
  <si>
    <t>NICE/RICE</t>
  </si>
  <si>
    <t>http://gofile.me/4xaew/IvfC5H6XA</t>
  </si>
  <si>
    <t>http://gofile.me/4xaew/DLB8A5EIL</t>
  </si>
  <si>
    <t xml:space="preserve"> 386,800.00 (10 farms)</t>
  </si>
  <si>
    <t>http://gofile.me/4xaew/3VP1IwZf1</t>
  </si>
  <si>
    <t>http://gofile.me/4xaew/0QlbAiEjQ</t>
  </si>
  <si>
    <t>http://gofile.me/4xaew/Brvq1trtK</t>
  </si>
  <si>
    <t>http://gofile.me/4xaew/gJZjW4NWU</t>
  </si>
  <si>
    <t>http://gofile.me/4xaew/xrVKb1xvO</t>
  </si>
  <si>
    <t>http://gofile.me/4xaew/fe03E9krW</t>
  </si>
  <si>
    <t xml:space="preserve"> 570,315.20                                                              42,773.65 (7.6% Adm. cost)                         Total:  613,088.85</t>
  </si>
  <si>
    <t>http://gofile.me/4xaew/Tc8v0Un7e</t>
  </si>
  <si>
    <t>Testing and Analysis Program</t>
  </si>
  <si>
    <t>http://gofile.me/4xaew/A8p2HQtwd</t>
  </si>
  <si>
    <t>http://gofile.me/4xaew/WpSASFjR8</t>
  </si>
  <si>
    <t xml:space="preserve">Increasing Production of Milkfish (Chanos Chanos), Mudcrab ( Scylla serreta) and Prawn ( Penaeus monodon) Production of West E.R.M Aqua Farm
Upgrading the Production Capacity if the Raul Aqua Farm Facility
Upgrading Farm Productivity of Gera Piscary                 </t>
  </si>
  <si>
    <t xml:space="preserve">*  312,068.36                                                                                                           * 247,100.00                                                                                                             * 628,275.00                                                                                                            Total: 1,187,443.36 </t>
  </si>
  <si>
    <t>http://gofile.me/4xaew/BcCH7GNnZ</t>
  </si>
  <si>
    <t>http://gofile.me/4xaew/kFTh1wHW7</t>
  </si>
  <si>
    <t>http://gofile.me/4xaew/vNW5KOYQn</t>
  </si>
  <si>
    <t>http://gofile.me/4xaew/z0tMaW9Fw</t>
  </si>
  <si>
    <t>http://gofile.me/4xaew/T9rlps8md</t>
  </si>
  <si>
    <t>http://gofile.me/4xaew/3xFTK7goR</t>
  </si>
  <si>
    <t>http://gofile.me/4xaew/ZkMR4YQwK</t>
  </si>
  <si>
    <t>http://gofile.me/4xaew/dXnIQaitc</t>
  </si>
  <si>
    <t>http://gofile.me/4xaew/3H4T04Hh3</t>
  </si>
  <si>
    <t>http://gofile.me/4xaew/TTyhCjs0z</t>
  </si>
  <si>
    <t>Financial and Investment</t>
  </si>
  <si>
    <t>http://gofile.me/4xaew/NlmehssFY</t>
  </si>
  <si>
    <t>http://gofile.me/4xaew/yFw6WsvFF</t>
  </si>
  <si>
    <t>CAMPI LEVEL-UP</t>
  </si>
  <si>
    <t>http://gofile.me/4xaew/0wwR8LQSC</t>
  </si>
  <si>
    <t>http://gofile.me/4xaew/jYiFE4rKn</t>
  </si>
  <si>
    <t>http://gofile.me/4xaew/PkyOraHhb</t>
  </si>
  <si>
    <t>http://gofile.me/4xaew/iWP3agHDW</t>
  </si>
  <si>
    <t>http://gofile.me/4xaew/pwDXX3yNZ</t>
  </si>
  <si>
    <r>
      <rPr>
        <sz val="10"/>
        <color theme="1"/>
        <rFont val="Arial"/>
      </rPr>
      <t xml:space="preserve"> 261,200.00 (MDS Trust TECHNICOM)                                                                                                  99,400.00 (TAI-GIA)                                                                                                                               </t>
    </r>
    <r>
      <rPr>
        <b/>
        <sz val="10"/>
        <color theme="1"/>
        <rFont val="Arial"/>
      </rPr>
      <t>Total:  360,600</t>
    </r>
  </si>
  <si>
    <t>http://gofile.me/4xaew/zHcIkBRpL</t>
  </si>
  <si>
    <t>176 Units @  5676 (  996,976)</t>
  </si>
  <si>
    <t>http://gofile.me/4xaew/1N0JKdEon</t>
  </si>
  <si>
    <t xml:space="preserve"> 109,500 .00</t>
  </si>
  <si>
    <t xml:space="preserve"> 109,500 .00 (  54,750/unit x 2)</t>
  </si>
  <si>
    <t>http://gofile.me/4xaew/AdbPmxArs</t>
  </si>
  <si>
    <t>proponent should be IDD</t>
  </si>
  <si>
    <t>exhibit participation</t>
  </si>
  <si>
    <t>http://gofile.me/4xaew/9KUuuY8W1</t>
  </si>
  <si>
    <t>Private Individual</t>
  </si>
  <si>
    <t>Restructuring</t>
  </si>
  <si>
    <t>Expansion of Broiler Project using controlled Cooling System</t>
  </si>
  <si>
    <t>Dr. Ruben C. Sevilleja, President and Dr. Edgar A. Orden, Deputy Director</t>
  </si>
  <si>
    <t>Central Luzon State University, Science City, Munoz</t>
  </si>
  <si>
    <t>Arts and Crafts</t>
  </si>
  <si>
    <t>Pilot</t>
  </si>
  <si>
    <t>BARMM – Bangsamoro Autonomous Region in Muslim Mindanao</t>
  </si>
  <si>
    <t>Testing and Analyses</t>
  </si>
  <si>
    <t>Microbiology</t>
  </si>
  <si>
    <t>Region IX – Zamboanga Peninsula</t>
  </si>
  <si>
    <t>Division</t>
  </si>
  <si>
    <t>http://gofile.me/4xaew/ptYtvONnY</t>
  </si>
  <si>
    <t xml:space="preserve"> 872,700.00 (20 farms)</t>
  </si>
  <si>
    <t>http://gofile.me/4xaew/G4VIdC0v0</t>
  </si>
  <si>
    <t>http://gofile.me/4xaew/UNKx2D0dz</t>
  </si>
  <si>
    <t>http://gofile.me/4xaew/F0m36woa1</t>
  </si>
  <si>
    <r>
      <rPr>
        <sz val="10"/>
        <color theme="1"/>
        <rFont val="Arial"/>
      </rPr>
      <t xml:space="preserve"> 692,000 .00 (lastic Granulator)
584,000.00 (Brick Making Machine)
</t>
    </r>
    <r>
      <rPr>
        <b/>
        <sz val="10"/>
        <color theme="1"/>
        <rFont val="Arial"/>
      </rPr>
      <t>Total:  1,276,000.00</t>
    </r>
  </si>
  <si>
    <t>http://gofile.me/4xaew/mRRB0SH2O</t>
  </si>
  <si>
    <r>
      <rPr>
        <sz val="10"/>
        <color theme="1"/>
        <rFont val="Arial"/>
      </rPr>
      <t xml:space="preserve"> 10,500,000 ( ST)                                                                           3,780,000 (TAI)                                                                                  </t>
    </r>
    <r>
      <rPr>
        <b/>
        <sz val="10"/>
        <color theme="1"/>
        <rFont val="Arial"/>
      </rPr>
      <t>Total: 14, 280,000</t>
    </r>
  </si>
  <si>
    <r>
      <rPr>
        <sz val="10"/>
        <color theme="1"/>
        <rFont val="Arial"/>
      </rPr>
      <t xml:space="preserve">10,500,000 ( ST)
3,780,000 (TAI)
</t>
    </r>
    <r>
      <rPr>
        <b/>
        <sz val="10"/>
        <color theme="1"/>
        <rFont val="Arial"/>
      </rPr>
      <t>Total: 14, 280,000</t>
    </r>
  </si>
  <si>
    <t>http://gofile.me/4xaew/KB0OfBYx6</t>
  </si>
  <si>
    <t xml:space="preserve"> 276,000 (TAI)                                                                                   2,000,000 (DOST)</t>
  </si>
  <si>
    <t>http://gofile.me/4xaew/bEmchN457</t>
  </si>
  <si>
    <t>DOST Northern Luzon Cluster (DOST Regions I, II, &amp; CAR)</t>
  </si>
  <si>
    <t>http://gofile.me/4xaew/qDcX3ypqA</t>
  </si>
  <si>
    <t>http://gofile.me/4xaew/Pyg1Fl9W8</t>
  </si>
  <si>
    <t>http://gofile.me/4xaew/GG5IdkUiF</t>
  </si>
  <si>
    <t xml:space="preserve"> 240,018. 59</t>
  </si>
  <si>
    <t>http://gofile.me/4xaew/5PiL7cu91</t>
  </si>
  <si>
    <t xml:space="preserve"> 442,700.00 (10 firms)</t>
  </si>
  <si>
    <t>http://gofile.me/4xaew/rwgXQ5lkz</t>
  </si>
  <si>
    <t>Region IV CALABARZON</t>
  </si>
  <si>
    <t>http://gofile.me/4xaew/J4xpY7yrV</t>
  </si>
  <si>
    <t>Region NCR</t>
  </si>
  <si>
    <t>http://gofile.me/4xaew/mb27UOAQY</t>
  </si>
  <si>
    <t>http://gofile.me/4xaew/32txQLlu0</t>
  </si>
  <si>
    <t>http://gofile.me/4xaew/JpGk79Jgj</t>
  </si>
  <si>
    <t>http://gofile.me/4xaew/t74R5vTPy</t>
  </si>
  <si>
    <t>http://gofile.me/4xaew/KkDfVzrLl</t>
  </si>
  <si>
    <t>http://gofile.me/4xaew/cZ5Jbi8SD</t>
  </si>
  <si>
    <t>Technology-non computer</t>
  </si>
  <si>
    <t>http://gofile.me/4xaew/XCqqeo4Kw</t>
  </si>
  <si>
    <t>Inventors' Fora Program</t>
  </si>
  <si>
    <t>http://gofile.me/4xaew/eClPCp9CV</t>
  </si>
  <si>
    <t>http://gofile.me/4xaew/SVfWHU16p</t>
  </si>
  <si>
    <t>http://gofile.me/4xaew/5R1zYclYQ</t>
  </si>
  <si>
    <t>http://gofile.me/4xaew/EAUx7DmVl</t>
  </si>
  <si>
    <t>http://gofile.me/4xaew/7njRpCDru</t>
  </si>
  <si>
    <t>http://gofile.me/4xaew/RbVt39Hly</t>
  </si>
  <si>
    <t xml:space="preserve"> 683, 200.00</t>
  </si>
  <si>
    <r>
      <rPr>
        <sz val="10"/>
        <color theme="1"/>
        <rFont val="Arial"/>
      </rPr>
      <t xml:space="preserve"> 466,600.00 (2 Units @ 233,300)
216,600.00 (2 units @ 108,300)
</t>
    </r>
    <r>
      <rPr>
        <b/>
        <sz val="10"/>
        <color theme="1"/>
        <rFont val="Arial"/>
      </rPr>
      <t>Total:  683, 200.00</t>
    </r>
  </si>
  <si>
    <t>http://gofile.me/4xaew/dmryB6OaD</t>
  </si>
  <si>
    <t>Agricultural</t>
  </si>
  <si>
    <r>
      <rPr>
        <sz val="10"/>
        <color theme="1"/>
        <rFont val="Arial"/>
      </rPr>
      <t xml:space="preserve">33,150.00
35,568.00
</t>
    </r>
    <r>
      <rPr>
        <b/>
        <sz val="10"/>
        <color theme="1"/>
        <rFont val="Arial"/>
      </rPr>
      <t>Total:  68,718.00</t>
    </r>
  </si>
  <si>
    <t>http://gofile.me/4xaew/3QayITEFr</t>
  </si>
  <si>
    <t>http://gofile.me/4xaew/BJk1LJPFG</t>
  </si>
  <si>
    <t>http://gofile.me/4xaew/tlWXAYaFg</t>
  </si>
  <si>
    <t xml:space="preserve"> 800,000 ( @ 2 units 400,000)</t>
  </si>
  <si>
    <t>http://gofile.me/4xaew/XZZBWnymL</t>
  </si>
  <si>
    <t xml:space="preserve"> 247,000.00 (27 farmer beneficiaries)</t>
  </si>
  <si>
    <t>http://gofile.me/4xaew/0CepgiUGz</t>
  </si>
  <si>
    <t xml:space="preserve"> 820,000 (20 firms in Luzon)</t>
  </si>
  <si>
    <t>http://gofile.me/4xaew/p3xx76msg</t>
  </si>
  <si>
    <t>http://gofile.me/4xaew/iY9JjaHot</t>
  </si>
  <si>
    <r>
      <rPr>
        <sz val="10"/>
        <color theme="1"/>
        <rFont val="Arial"/>
      </rPr>
      <t xml:space="preserve"> 6,700,000.00
7,700,000.00
</t>
    </r>
    <r>
      <rPr>
        <b/>
        <sz val="10"/>
        <color theme="1"/>
        <rFont val="Arial"/>
      </rPr>
      <t>Total: 14,400,000.00</t>
    </r>
  </si>
  <si>
    <t>http://gofile.me/4xaew/ZmJaaOitz</t>
  </si>
  <si>
    <t>http://gofile.me/4xaew/0Rr15jMAt</t>
  </si>
  <si>
    <t>Technology-computers</t>
  </si>
  <si>
    <t>http://gofile.me/4xaew/FvodIJuG6</t>
  </si>
  <si>
    <r>
      <rPr>
        <sz val="10"/>
        <color theme="1"/>
        <rFont val="Arial"/>
      </rPr>
      <t xml:space="preserve"> 4,600,440.00 (DOST-GIA)
1,830,000.00 (TAI-GIA)
</t>
    </r>
    <r>
      <rPr>
        <b/>
        <sz val="10"/>
        <color theme="1"/>
        <rFont val="Arial"/>
      </rPr>
      <t>Total: 6,430,440.00</t>
    </r>
  </si>
  <si>
    <t>http://gofile.me/4xaew/f6pm1awrj</t>
  </si>
  <si>
    <t xml:space="preserve"> 123,400.00 (er diem of TAI  staff included)</t>
  </si>
  <si>
    <t>http://gofile.me/4xaew/mz6kbJr2B</t>
  </si>
  <si>
    <t>http://gofile.me/4xaew/QG8EmD6Ym</t>
  </si>
  <si>
    <t>The request for the realignment of the Line- Item Budget for the use of the unexpended balance shall be used to augment the cost of the remaining trainings to be Implemented in February 2012</t>
  </si>
  <si>
    <t>The Technology Forum is expected to provide technical information or knowledge to all the participants on the various technologies that are supportive in producing. processing and marketing of safe, nutritious and wholesome food products especially to the SMEs in Region X.</t>
  </si>
  <si>
    <t>http://gofile.me/4xaew/ZQUxzgnNj</t>
  </si>
  <si>
    <t>Publication of the 2011 RICE Regional Winners cum National Qualifiers for wider dissemination, documentation and promotion</t>
  </si>
  <si>
    <t>http://gofile.me/4xaew/zQ4kRzyGE</t>
  </si>
  <si>
    <t>The Kabisig Government Expo and Trade Fair is an annual fair celebration created by virtue of Presendential Proclomation No. 650 and re-issued by his Excellency, Preseident Benigno Aquino III to facilitate. coordinate and monitor the implementaion of government programs and projects.</t>
  </si>
  <si>
    <t>http://gofile.me/4xaew/grbLmEt37</t>
  </si>
  <si>
    <t>The activity aims to provide basic commmunication research skills to information officers and promotion managers which they can use in enchancing the communication-related activities of the DOST.</t>
  </si>
  <si>
    <t>DOST's exhibits will feature the High Impact Technology Solutions (HITS) in food including technologies related to wellness and DOST programs of assistance.</t>
  </si>
  <si>
    <t xml:space="preserve">Reproduction of Business Guides, TLIDS Brochures, Course Schedules, Ads Forms, Video Course on Putting Your Business On-Line
</t>
  </si>
  <si>
    <t>Participation fee of DOST for the 3 day event consisting of two (2) 2x3 booths.</t>
  </si>
  <si>
    <t>The request for additional funding shall be used for the Interactive Exhibits to further improve the understanding and appreciation of the youth on science particularly on how the principles of science work.</t>
  </si>
  <si>
    <t>http://gofile.me/4xaew/izM2cGylA</t>
  </si>
  <si>
    <t>Conceptualization, Fabrication &amp; Installation of Exhibit Printing of Brochures</t>
  </si>
  <si>
    <t>Fabrication of Exhibit Module Printing of Technology Brochures/ Flyers</t>
  </si>
  <si>
    <t>Design of Exhibit Booth and Production of Exhibit Materials
Production of Information Materials on Featured FPRDI Technologies</t>
  </si>
  <si>
    <t>Fabrication of Exhibit Module Printing of Technology Brochures</t>
  </si>
  <si>
    <t>The activity is a good venue to showcase the DOST Mature Technologies that will suit the specific require- ments of SMEs and to promote and strengthen partnerships and linkages among stakeholders</t>
  </si>
  <si>
    <t>Funds charge-able to TAPI-GIA</t>
  </si>
  <si>
    <t>Fabrication of Panels, Printing of Publications.</t>
  </si>
  <si>
    <t>Fabrications of Exhibit, Labor/service fees for carpentry</t>
  </si>
  <si>
    <t xml:space="preserve">Professional Services and Fabrication of PTRI Exhibit Concept &amp; Packaging, Conversion of fabrics into apparels/sewing
Printing of leaflets
Write to
</t>
  </si>
  <si>
    <t xml:space="preserve">As the information and marketing arm of the Department of Science and Technology (DOST) and the national repository of science and technology data, STII O continuously develops creative solutions and partnerships in promoting science and technology. Thus, making S&amp;T information readily available to its clients and other interested publics.
This year's concept is to present STII's information services and delivery mechanisms highlighting the 30 years of S&amp;T Post, roll-out of STARBOOKS, and the services of science.ph, and the continuing campaign for Juan Time, The New Filipino Time using the traditional, self-standing and transportable exhibit panels and electronic media.
</t>
  </si>
  <si>
    <t>Contract Services for Exhibit Design, Conceptual- ization and Fabrication of the Exhibit
Printing of Information
Materials</t>
  </si>
  <si>
    <t>Exhibit Design, Fabrication/ Refurbishing of existing exhibit system, additional banners and display systems and installation services
Technology Brochures</t>
  </si>
  <si>
    <t xml:space="preserve">Fabrication of Backdrop Panels
Printing of Various Flyers/ Brochures
</t>
  </si>
  <si>
    <t xml:space="preserve">Fabrication of Exhibit Module/Panels
Printing of Expenses for Brochures
</t>
  </si>
  <si>
    <t xml:space="preserve">Fabrication of Backdrop Panels &amp; Lay-out of Posters
Lay-out and Printing of Various Flyers/ Brochures
</t>
  </si>
  <si>
    <t xml:space="preserve">The inventor is requesting for financial assistance under the Testing and Analyses Assistance Program. The objective of the test is to validate the claims of the invemtor that his product can produce enormous amount of heat and have longer burning time.
Write to
</t>
  </si>
  <si>
    <t>Commissioned work for Exhibit , Printing of Flyers</t>
  </si>
  <si>
    <t>DOST 's participation will focus on showing relevant and informative materials about DOST technologies, programs, activities and services</t>
  </si>
  <si>
    <t>http://gofile.me/4xaew/peGpBFFIO</t>
  </si>
  <si>
    <t>The Invent School shall be conduted on 19-20 June 2012 at Bansud National HighSchool in Oriental Mindoro.</t>
  </si>
  <si>
    <t>Dispaly Panels &amp; Posters (layout/design, printing lamination and spotlights) Printing of Technology flyers.</t>
  </si>
  <si>
    <t xml:space="preserve"> 81,347.40.00</t>
  </si>
  <si>
    <t>Seed capital to cover the operating expenses for the implementation of the projects under the DATBED Program</t>
  </si>
  <si>
    <t>http://gofile.me/4xaew/dMDpJiXEa</t>
  </si>
  <si>
    <t>The rules and criteria will be published in the Official Gazette of the National Printing Office.</t>
  </si>
  <si>
    <t>The flyers will create and reinforce awareness of the Open TBI's available and affordable work areas with physical security and maintenance as well as secretariat support including virtual incubation services for non-resident incubatees.</t>
  </si>
  <si>
    <t>Fabrication expense of 8 display panels
Printing expense of 1,500 pcs. of brochures</t>
  </si>
  <si>
    <t>Region IV‑A</t>
  </si>
  <si>
    <t>Fabrication of exhibit materials
Printing of techno-flyers/ brochures</t>
  </si>
  <si>
    <t xml:space="preserve">The Seminar aims to develop an in-house capability in patent drafting. </t>
  </si>
  <si>
    <t>http://gofile.me/4xaew/HNyV3OzYP</t>
  </si>
  <si>
    <t>Fabrication of Exhibit (Supplies and materials)</t>
  </si>
  <si>
    <t>To feature environmentally sound technologies, products and services developed by the DOST and its partners and enhance technology transfer and commercialization of DOST- generated technologies and to build-up new linkages.</t>
  </si>
  <si>
    <t xml:space="preserve">MIMAROPA Region </t>
  </si>
  <si>
    <t xml:space="preserve">Seed capital to cover the operating expenses for the implementation of the projects under the DATBED Program
</t>
  </si>
  <si>
    <t>EMPTY</t>
  </si>
  <si>
    <t xml:space="preserve">Promotion of the Version 791, Inc.'s products and services during the 2012 NSTW Celebration; create public awareness and increase the company's sales and profits.
</t>
  </si>
  <si>
    <t>RECAP is conceptualized and developed by APCTT as an institutional mechanism to facilitate cooperation on renewable energy technology development, transfer and adoption among member countries in the Asia-Pacific Region.</t>
  </si>
  <si>
    <t>http://gofile.me/4xaew/9pDozTWxZ</t>
  </si>
  <si>
    <t>Technology - non -computer</t>
  </si>
  <si>
    <t>Funding support for the printing of flyers of the innovations"TxtAlert" and "TxtAlert Home"</t>
  </si>
  <si>
    <t xml:space="preserve"> 612, 375.27</t>
  </si>
  <si>
    <t>Release of financial assistance under PO Financing Facility of Venture Financing Program amounting to P612.375.27 in favor of Green Leaf Eco Bags to be refunded in three (3) months amounting to P204, 125.09/mo. exclusive of three (3) months grace period from the release of funds</t>
  </si>
  <si>
    <t>The business matching activity is a good venue to showcase technologies developed by incubatees and to market their products and services to prospective clients in Region III.</t>
  </si>
  <si>
    <t>The activity is a good venue to promote the interaction and networking of scientists from different disciplines towards global competitive- ness. It will also introduce the roadmaps &amp; disseminate information on applications of the emerging/smart technologies.</t>
  </si>
  <si>
    <t>The Consultative Meeting will focus on the FPRDI-DOST Medium Term Development Plan for the Forest-Based Industries (2012-2016) which will cover scenarios in selected forest products industries and strategies in support of the MTDP 2012- 2016</t>
  </si>
  <si>
    <t xml:space="preserve">The Expo &amp; Trade fair is a 5 day marketing event that will showcase commercialy viable inventive ideas, products  and processes of Filipino investors. </t>
  </si>
  <si>
    <t xml:space="preserve">The requests for realignment of the Line-Item Budget shall cover other expenses such as honorarium and transportation of the resource speakers from the Licensing Executive Society of the Philippines. </t>
  </si>
  <si>
    <t>http://gofile.me/4xaew/N1hfVjn5x</t>
  </si>
  <si>
    <t>The company is involved in the generation &amp; promotion of innovation such as PBX Telephony System, Structure Cabling/ System Integration, Software Development, among others.</t>
  </si>
  <si>
    <t>The innovation forum is conceived as a platform to inform and challenge researchers from Mindanao to become major players in the transformation of knowledge into economically viable innovations fofr the marketplace.</t>
  </si>
  <si>
    <t>http://gofile.me/4xaew/kFomYUNaH</t>
  </si>
  <si>
    <t>The Seminar-Workshop will help awaken young people's interest in creativity and inventiveness and also provides the students awareness on basic intellectual property rights and how to protect them and serves as a training ground for future young Filipino inventors.</t>
  </si>
  <si>
    <t>http://gofile.me/4xaew/7DpAqWeX1</t>
  </si>
  <si>
    <t>The proposed activity would provide hands-on training to the Patent Agents from DOST and the Innovation Technology Support Office(ITSO) network but more importantly to the Patent Agents who recently passed the Patent Agent Qualifying Examination (PAQE).</t>
  </si>
  <si>
    <t>http://gofile.me/4xaew/GWTbZxggP</t>
  </si>
  <si>
    <t>Request for additional funding for the refurbishment of DOST Regions Centerpiece for the conduct of the 2012 Southern Luzon Cluster Fair scheduled on Novermber 22-24, 2012 at the Waltermart, Pampanga.</t>
  </si>
  <si>
    <t>Project brief</t>
  </si>
  <si>
    <t>http://gofile.me/4xaew/7aOuuBbKP</t>
  </si>
  <si>
    <t xml:space="preserve">SEDNA AIRE Solar-Assisted Aircon </t>
  </si>
  <si>
    <t xml:space="preserve">Felix Richard A.Cordova </t>
  </si>
  <si>
    <t>2F Timog building, 28 Eugenio Lopez St., Q.C</t>
  </si>
  <si>
    <t>Academic/Prototype Development Assistance Program</t>
  </si>
  <si>
    <t>http://gofile.me/4xaew/4jJV9ig6N</t>
  </si>
  <si>
    <t>Development of Personal Watercraft  (PWC) as an Emergency Response Equipment during Calamities  (floods and Typhoons)</t>
  </si>
  <si>
    <t>Ricardo F. Orge                                                                                                                                                                                                                                    Supvg. Sc. Research Specialist                                                                                                                                                                                                     PHILRICE</t>
  </si>
  <si>
    <t>Muñoz, Nueva Ecija</t>
  </si>
  <si>
    <t>https://drive.google.com/file/d/1ZjEEmmm837nfYeT3rhOMxz4nkgp5lvll/view?usp=drive_link</t>
  </si>
  <si>
    <t>TBED assistance program</t>
  </si>
  <si>
    <t>http://gofile.me/4xaew/8hRUCErYU</t>
  </si>
  <si>
    <t>Technology Commercialization of the Production of shelf stable Unsweetend Calamansi Extract</t>
  </si>
  <si>
    <t>Soyuz Foods International Inc.</t>
  </si>
  <si>
    <t>Unit 726, Mega Plaza Building, ADB Avenue cor Gamet Road, Ortigas Center, Pasig City</t>
  </si>
  <si>
    <t>https://drive.google.com/file/d/1_OrCTCQe1j7KkKNRi2DsjjujJigALz3q/view?usp=drive_link</t>
  </si>
  <si>
    <t>Inventors' Forum Program</t>
  </si>
  <si>
    <t>http://gofile.me/4xaew/Qw7sVPgPd</t>
  </si>
  <si>
    <t xml:space="preserve">Forum on Innovation and Entrepreneurship for global Competititveness </t>
  </si>
  <si>
    <t xml:space="preserve">PhilDev Multisectoral Alliance for Science and Technology </t>
  </si>
  <si>
    <t>Unit 201-B, 2nd flr Bonaventure Plaza, Ortigas Avenue, Greenhills,, San Juan, 1503 Metro Manila</t>
  </si>
  <si>
    <t>https://drive.google.com/file/d/1hZmnmHL5AgLCjg6fHsct1UIcb-NEp6ZX/view?usp=drive_link</t>
  </si>
  <si>
    <t>http://gofile.me/4xaew/HhLUCwvex</t>
  </si>
  <si>
    <t>Valuation of Intellectual Property/Techniques For Negotation and Licensing Agreements</t>
  </si>
  <si>
    <t>TAPI in collaboration with Licensing Executive Society (LES) Philippines</t>
  </si>
  <si>
    <t>c/o Fortun Narvasa &amp; Salazar, 23F Multinational Bancorporation Centre, 6805 Ayala Ave, Makati</t>
  </si>
  <si>
    <t>https://drive.google.com/file/d/1N0qfSLzivmG6q1mASgm3CBuAxi81RGzx/view?usp=drive_link</t>
  </si>
  <si>
    <t>http://gofile.me/4xaew/tEvu1fOnp</t>
  </si>
  <si>
    <t>Construction of a 3,000 Board foot Capacity Lumber Kiln Drying Facility</t>
  </si>
  <si>
    <t>Arlene C. Takaesu</t>
  </si>
  <si>
    <t>Plaridel Subd., 4, Bayan Luma 7, Imus Cavite</t>
  </si>
  <si>
    <t>https://drive.google.com/file/d/1WvvfScOrkKC7UxhhQyBdfcVoTtyFQxyi/view?usp=drive_link</t>
  </si>
  <si>
    <t>http://gofile.me/4xaew/rTpk3YXCr</t>
  </si>
  <si>
    <t>Process Upgrading for Motor Works</t>
  </si>
  <si>
    <t>Abraham G. Balicha</t>
  </si>
  <si>
    <t>Brgy. Pagdalagan Su, Bauang, La Union</t>
  </si>
  <si>
    <t>https://drive.google.com/file/d/14cDev39Wr361yE-G-T_U7i9IVc0Xd-bb/view?usp=drive_link</t>
  </si>
  <si>
    <t>2011-13</t>
  </si>
  <si>
    <t>http://gofile.me/4xaew/T81wxlebv</t>
  </si>
  <si>
    <t>Establishment of Innovation and Technology Support Office (ITSO) at TAPI</t>
  </si>
  <si>
    <t>https://drive.google.com/file/d/1FdfRVcz3Jze8Zpn539wZtFHLwiTsMJQ2/view?usp=drive_link</t>
  </si>
  <si>
    <t>2011-14</t>
  </si>
  <si>
    <t>DTTP</t>
  </si>
  <si>
    <t>http://gofile.me/4xaew/Acac1ZWq8</t>
  </si>
  <si>
    <t>Training of Trainors Workshop on Planning and Implementing Technology Transfer Projects</t>
  </si>
  <si>
    <t>https://drive.google.com/file/d/1rRWhIRLPRNUgPCpSllkFaHkCQg7ITj-l/view?usp=drive_link</t>
  </si>
  <si>
    <t>2011-15</t>
  </si>
  <si>
    <t>http://gofile.me/4xaew/DcoN2pqR8</t>
  </si>
  <si>
    <t>Coffee Roaster Machine</t>
  </si>
  <si>
    <t>https://drive.google.com/file/d/1hCtUhAvdMbdgatzsk7r9KyN79Z7JbIyv/view?usp=drive_link</t>
  </si>
  <si>
    <t>2011-16</t>
  </si>
  <si>
    <t>http://gofile.me/4xaew/jdUQBlmsk</t>
  </si>
  <si>
    <t>2nd Filipinnovation Award For Technology-Based Start Up Companies</t>
  </si>
  <si>
    <t>DOST-PES</t>
  </si>
  <si>
    <t>https://drive.google.com/file/d/1J_99sdSnsKJijASr0mavzTx7cWxj675d/view?usp=drive_link</t>
  </si>
  <si>
    <t>2011-19</t>
  </si>
  <si>
    <t>http://gofile.me/4xaew/ZKop9c3eZ</t>
  </si>
  <si>
    <t xml:space="preserve">Technopreneurship  through Production and Nursery Management and Disease- Free Banana Seedlings </t>
  </si>
  <si>
    <t xml:space="preserve">Nueva Vizcaya State University </t>
  </si>
  <si>
    <t>Bayombong, Nueva Vizcaya</t>
  </si>
  <si>
    <t>https://drive.google.com/file/d/1zUjwhdJUFSbqPKnPh3OEoJVvvlqDvpg1/view?usp=drive_link</t>
  </si>
  <si>
    <t>2011-20</t>
  </si>
  <si>
    <t>http://gofile.me/4xaew/M2dRICC8h</t>
  </si>
  <si>
    <t>1. Production of Crackers from Cassava, Squash and Mungbean                                                                                                                       2. Utilization of Gabing San Fernando for Flour and Cookies Production</t>
  </si>
  <si>
    <t>https://drive.google.com/file/d/1uEk1Dz0SdMIv1wga-MjMqErydlswOJJp/view?usp=drive_link</t>
  </si>
  <si>
    <r>
      <rPr>
        <sz val="10"/>
        <color theme="1"/>
        <rFont val="Arial"/>
      </rPr>
      <t xml:space="preserve"> 36,927.00                                                                                           46,496.00                                                                                       </t>
    </r>
    <r>
      <rPr>
        <b/>
        <sz val="10"/>
        <color theme="1"/>
        <rFont val="Arial"/>
      </rPr>
      <t>Total:  83,423.00</t>
    </r>
  </si>
  <si>
    <t>2011-21</t>
  </si>
  <si>
    <t>http://gofile.me/4xaew/TayXmjJCS</t>
  </si>
  <si>
    <t xml:space="preserve">Implementation of  the Manufacturing Productivity Extension (MPEX) Program in Region III </t>
  </si>
  <si>
    <t>DOST Building, Government Center, Maimpis San Fernando Pampanga</t>
  </si>
  <si>
    <t>https://drive.google.com/file/d/1qCfE3aUNDMnBvFiCZuZihjf9PmdHgMgk/view?usp=drive_link</t>
  </si>
  <si>
    <t xml:space="preserve"> 639,800 (15 firms)</t>
  </si>
  <si>
    <t>2011-22</t>
  </si>
  <si>
    <t>http://gofile.me/4xaew/uVnyNbjhr</t>
  </si>
  <si>
    <t>Consultancy for Agricultural Productivity Enhancement Program (CAPE) in Region III</t>
  </si>
  <si>
    <t>https://drive.google.com/file/d/1ooObijn3zWVE87vllMW-MsT4aHyf25D2/view?usp=drive_link</t>
  </si>
  <si>
    <t>2011-23</t>
  </si>
  <si>
    <t>http://gofile.me/4xaew/sAqtEcxwJ</t>
  </si>
  <si>
    <t>Cloud Computing, Virtualization and Wireless Broadband Infrastructure in Underserved and Unserved Areas of Commmunication in Metropolitan Cebu and Cebu Province</t>
  </si>
  <si>
    <t>Engr. Gregg Santiago M. Tecson</t>
  </si>
  <si>
    <t xml:space="preserve">Colorado Street, Newton Estate Pardo, Cebu City </t>
  </si>
  <si>
    <t>https://drive.google.com/file/d/1zjXw52gTO-i3CLN-NJ09T8n1ieJmDRvd/view?usp=drive_link</t>
  </si>
  <si>
    <t>2011-24</t>
  </si>
  <si>
    <t>http://gofile.me/4xaew/oQ3MXVwic</t>
  </si>
  <si>
    <t xml:space="preserve">Working Capital Financing and Upgrading the Capabiity for the Expansion of Sunlight Food Corporation </t>
  </si>
  <si>
    <t xml:space="preserve">Engr. Crispin R. Muyong Jr. </t>
  </si>
  <si>
    <t xml:space="preserve"> 620,624. 52</t>
  </si>
  <si>
    <t>Blk 7, Lot 16, Tanguile street  Fortune, Makati City</t>
  </si>
  <si>
    <t>https://drive.google.com/file/d/1YJCrO9Z_55fvgRqkBebPrtrw8TO5jXZl/view?usp=drive_link</t>
  </si>
  <si>
    <t>2011-25</t>
  </si>
  <si>
    <t>http://gofile.me/4xaew/3zFpiBpud</t>
  </si>
  <si>
    <t>Implementation of the MPEX Program in MIMAROPA Region</t>
  </si>
  <si>
    <t>DOST Complez, Bicutan, Taguig City</t>
  </si>
  <si>
    <t>https://drive.google.com/file/d/1ADsw18WepMt8RHb6zj8V99uxLsa0bZjW/view?usp=drive_link</t>
  </si>
  <si>
    <t>2011-26</t>
  </si>
  <si>
    <t>http://gofile.me/4xaew/cXkmGEgqI</t>
  </si>
  <si>
    <t>Expansion Project on Woodworks Kiln Dried Products</t>
  </si>
  <si>
    <t xml:space="preserve">Ricardo D. Taloboc </t>
  </si>
  <si>
    <t>Bajenting Drive, Estrada 5th St., Digos, Davao Del Sur</t>
  </si>
  <si>
    <t>https://drive.google.com/file/d/1Z860UARJY3Q1f4tmVAkPo7QmaAR_vsaU/view?usp=drive_link</t>
  </si>
  <si>
    <t>2011-27</t>
  </si>
  <si>
    <t>http://gofile.me/4xaew/xfb8gQgHl</t>
  </si>
  <si>
    <t>Improving Productivity and Product Quality of Pingloy Enterprise</t>
  </si>
  <si>
    <t>Edna Estoperez</t>
  </si>
  <si>
    <t>#1 Atis St. cor. Gold Street , Paradise, Malanday , Marikina City</t>
  </si>
  <si>
    <t>https://drive.google.com/file/d/1cZjrmZ95vQXTWXpqC30_JxS5FD4SFQyl/view?usp=drive_link</t>
  </si>
  <si>
    <t>2011-28</t>
  </si>
  <si>
    <t>http://gofile.me/4xaew/PqNXR7z07</t>
  </si>
  <si>
    <t>Implementation of CAPE Program in MIMAROPA Region</t>
  </si>
  <si>
    <t>DOST Complex, Bicutan, Taguig City</t>
  </si>
  <si>
    <t>https://drive.google.com/file/d/1HasOJ6nkThWS01sQnThi2ZS3dfq5KlZQ/view?usp=drive_link</t>
  </si>
  <si>
    <t>2011-29</t>
  </si>
  <si>
    <t>http://gofile.me/4xaew/cluwRV9Lq</t>
  </si>
  <si>
    <t>Feedlot Cattle Production and Marketing</t>
  </si>
  <si>
    <t>https://drive.google.com/file/d/1KmizeRiRPcREjP-npQM7d7UZ6hnah3Wf/view?usp=drive_link</t>
  </si>
  <si>
    <t>2011-30</t>
  </si>
  <si>
    <t>IF</t>
  </si>
  <si>
    <t>http://gofile.me/4xaew/AMeZ95j7u</t>
  </si>
  <si>
    <t>Regional Forum and Caravan on Food Safety</t>
  </si>
  <si>
    <t>Nursery Compound, Tuguegarao Cagayan</t>
  </si>
  <si>
    <t>https://drive.google.com/file/d/1J58IR6Sd3VSDcxameN_klyFKR05kYkUu/view?usp=drive_link</t>
  </si>
  <si>
    <t>2011-31</t>
  </si>
  <si>
    <t>http://gofile.me/4xaew/D358wWuw2</t>
  </si>
  <si>
    <t>Production of A-Audio Speakers</t>
  </si>
  <si>
    <t>Anthony Leuterio</t>
  </si>
  <si>
    <t>Commercial Bldg., Unit 9-A Isabelle Garden Homes E. Rodriguez Avenue, Moonwalk Paranaque City</t>
  </si>
  <si>
    <t>https://drive.google.com/file/d/1svcZwUOS-W8Tqh4xE_XmUUAlaHmay7n8/view?usp=drive_link</t>
  </si>
  <si>
    <t>2011-32</t>
  </si>
  <si>
    <t>http://gofile.me/4xaew/iOaMO53Rl</t>
  </si>
  <si>
    <t>Financial Assistance for the Applications for Patent and Registration of Utility Models</t>
  </si>
  <si>
    <t>Various Inventors/Makers</t>
  </si>
  <si>
    <t>https://drive.google.com/file/d/1b8CAC2sxGH79n9EPQhRXw0fdM_3zSl1R/view?usp=drive_link</t>
  </si>
  <si>
    <t>2011-33</t>
  </si>
  <si>
    <t>http://gofile.me/4xaew/NNOjDvlJE</t>
  </si>
  <si>
    <t>21 Grateful St., cor. Menchie Street BF Almanza Subd., Las Pinas City</t>
  </si>
  <si>
    <t>https://drive.google.com/file/d/12sA7lOXv8nKdAhhAaEubCiGIGMPkr3ju/view?usp=drive_link</t>
  </si>
  <si>
    <t xml:space="preserve"> 678,784.00 ( @ 135, 756.80 for 5 units)</t>
  </si>
  <si>
    <t>2011-01- ad referenda</t>
  </si>
  <si>
    <t xml:space="preserve">Hydrogasifier Device </t>
  </si>
  <si>
    <t xml:space="preserve">Mr. Roberto V. Celis                                                                                        Inventor </t>
  </si>
  <si>
    <t xml:space="preserve">21 Gold St, SSS Marikina City </t>
  </si>
  <si>
    <t xml:space="preserve">          NCR</t>
  </si>
  <si>
    <t>Request for financial assistance for the testing of the device to be conducted by UP Vehicle Research and Testing Lab. (UPVTRL), Quezon City.</t>
  </si>
  <si>
    <t>https://drive.google.com/file/d/1rT7UF85qHq7nJfk-GZ-WLwhnQOJlTj0R/view?usp=drive_link</t>
  </si>
  <si>
    <t>2011-02- ad referenda</t>
  </si>
  <si>
    <t xml:space="preserve">Mass Production of rice Thresher and Biomass Stove (SuperKalan) </t>
  </si>
  <si>
    <t xml:space="preserve">Mr. Danilo M. Mosuela                                                                              Vice President of Marketing of Natomo Manufacturing </t>
  </si>
  <si>
    <t xml:space="preserve">Brgy.Ubbog,Bangar La Union </t>
  </si>
  <si>
    <t xml:space="preserve">       Region I</t>
  </si>
  <si>
    <t>The request for the Restructuring of the Refund Schedule was due to the delay in the release of funds to the proponent only last December 2010. The restructuring will not entail additional budget from TAPI. The deferment of refund is from January to April 2011 and will start the amortization on May 2011.</t>
  </si>
  <si>
    <t>https://drive.google.com/file/d/1Fy1wYFW2Dojs-YSWddJH4Q2yg3FDwgIF/view?usp=drive_link</t>
  </si>
  <si>
    <t>2011-03- ad referenda</t>
  </si>
  <si>
    <t xml:space="preserve">Application of DLC Handicraft to Avail of Purchase Order Financing Program </t>
  </si>
  <si>
    <t xml:space="preserve">Mr. Magdaleno C. Dagaas                                                                            Owner/Manager                                                                          DLC Handicraft </t>
  </si>
  <si>
    <t xml:space="preserve"> 237, 050.00</t>
  </si>
  <si>
    <t xml:space="preserve">Nahaong, Libagon, Southern Leyte </t>
  </si>
  <si>
    <t xml:space="preserve">     Region VIII </t>
  </si>
  <si>
    <t>Release of financial assistance under Venture Financing Program for the application of DLC Handicraft amounting to P237,050.00 to be remitted for two months amounting to P118,525.00/mo.</t>
  </si>
  <si>
    <t>https://drive.google.com/file/d/1PLtGxJvK03YwQfpYqRVxNS0GKzakO_Xg/view?usp=drive_link</t>
  </si>
  <si>
    <t>2011-04- ad referenda</t>
  </si>
  <si>
    <t>Seminar on Food Hygiene and Safety for Sanitary Inspectors in Region X</t>
  </si>
  <si>
    <t xml:space="preserve">DOST Region X                                                                                       J. R. Borja Memorial Hospital </t>
  </si>
  <si>
    <t xml:space="preserve">Compound Carmen, Cagayan de Oro City </t>
  </si>
  <si>
    <t xml:space="preserve">      Region X</t>
  </si>
  <si>
    <t>The Seminar was funded Through DTTC Program amounting to P56,000.00 held last 8-9 December 2010 and released an unexpended balance amounting to P14,177.25.</t>
  </si>
  <si>
    <t>https://drive.google.com/file/d/1YCdvQTQFFiyPcdmsxY-Ky7g-WueVXaUM/view?usp=drive_link</t>
  </si>
  <si>
    <t>2011-05- ad referenda</t>
  </si>
  <si>
    <t>2011-06- ad referenda</t>
  </si>
  <si>
    <t>2011-07- ad referenda</t>
  </si>
  <si>
    <t>DOST Participation to the Kabisig National Government Expo.and Trade Fair 2011</t>
  </si>
  <si>
    <t xml:space="preserve">Mr. Daniel C. Guillen                                                                                      Chairman/President Kabisig Mindanao Foundation, Inc. </t>
  </si>
  <si>
    <t xml:space="preserve">Champaca Street Green Meadows, Sto . Nino Davao City </t>
  </si>
  <si>
    <t>DOST's participation will focus on showing relevant and informative materials about DOST technologies, programs, activities and services.</t>
  </si>
  <si>
    <t>https://drive.google.com/file/d/1vfVr2xaGSgNgwLwb7VoacGJ8vQU6lQyX/view?usp=drive_link</t>
  </si>
  <si>
    <t>2011-08- ad referenda</t>
  </si>
  <si>
    <t xml:space="preserve">Publication of the 2011 Regional Invention Contests Rules and Criteria </t>
  </si>
  <si>
    <t xml:space="preserve">Philippine Star </t>
  </si>
  <si>
    <t>The rules and criteria for the conduct of the Regional Invention Contests and Exhibits will be published in the Official Gazette of the National Printing Office and in the newspaper of wide circulation.</t>
  </si>
  <si>
    <t>https://drive.google.com/file/d/1wbojJsJXP2IvsiZC8rvWFbhRBTvsDbmC/view?usp=drive_link</t>
  </si>
  <si>
    <t>2011-09- ad referenda</t>
  </si>
  <si>
    <t xml:space="preserve">Trainors Training Course on Creativity, Invention and Innovation </t>
  </si>
  <si>
    <t xml:space="preserve">The Likhaan Group, Inc. </t>
  </si>
  <si>
    <t xml:space="preserve"> 20.098.21</t>
  </si>
  <si>
    <t>DOES NOT HAVE DESCRIPTION</t>
  </si>
  <si>
    <t>https://drive.google.com/file/d/1U4A5XHTlSlxCEFIpJN8YSshY_TSMvP_K/view?usp=drive_link</t>
  </si>
  <si>
    <t>2011-10- ad referenda</t>
  </si>
  <si>
    <t xml:space="preserve">Development of Personal Watercraft (PWC) as an emergency response equipment during calamities (floods and typhoons) </t>
  </si>
  <si>
    <t>Ricardo F. Orge Supervising Science Research Specialist Philippine Rice Research Inst.</t>
  </si>
  <si>
    <t xml:space="preserve">Maligaya, Science City of Munoz Nueva Ecija </t>
  </si>
  <si>
    <t>2011-11- ad referenda</t>
  </si>
  <si>
    <t>I-charj-Cellular-Charger</t>
  </si>
  <si>
    <t>Engr. Aquilio A. Tubigan, Jr.                                                                         Inventor/Gen. Manager Exellcomms Enterprises</t>
  </si>
  <si>
    <t>1671 Unit P 4th Floor, Sisa cor. Makiling Sts, Sampaloc Mla.</t>
  </si>
  <si>
    <t>Request for restructuring of 1st payment from September 26, 2010 to March 30, 2011 and succeeding months until February 28, 2014.</t>
  </si>
  <si>
    <t>https://drive.google.com/file/d/1hpNbwKVs91Tb9avjV27IWj9pdNbeABMi/view?usp=drive_link</t>
  </si>
  <si>
    <t>2011-12- ad referenda</t>
  </si>
  <si>
    <t xml:space="preserve">Upgrading the Capability and Equipment for the Expansion of Sunlight Foods Corporation </t>
  </si>
  <si>
    <t>Engr. Crispin R. Muyrong, Jr. Vice President/Plant Manager Sunlight Foods Corporation.</t>
  </si>
  <si>
    <t xml:space="preserve">Blk, 7 Lot 16 Tanguile St. La Colina Subd, Fortune Marikina </t>
  </si>
  <si>
    <t>The request for the Restructuring of the Refund Schedule was due to the delay in the release of funds to the proponent which was only released in full last 06 April 2011. The restructuring will not entail additional budget from TAPI. The deferment of refund is from January to April 2011 and will start the amortization on May 2011.</t>
  </si>
  <si>
    <t>https://drive.google.com/file/d/1QDd18QKpzCYRiVgDP-A_BWNTPUqtBHpG/view?usp=drive_link</t>
  </si>
  <si>
    <t>2011-13- ad referenda</t>
  </si>
  <si>
    <t xml:space="preserve">Training Needs Assessment (TNA) for Invenstors through Focus Group Discussion </t>
  </si>
  <si>
    <t>TAPI as the Implementing Agency in cooperatin with STII</t>
  </si>
  <si>
    <t>https://drive.google.com/file/d/1NbnalgvKyadwVS-SjmBIJynDyTdwyNSv/view?usp=drive_link</t>
  </si>
  <si>
    <t>2011-14- ad referenda</t>
  </si>
  <si>
    <t xml:space="preserve">Establishment of Quality Management System Conforming to ISO 9001: 2008 Standard for the Technology Application and Promotion Insitute </t>
  </si>
  <si>
    <t>TAPI as the Implementing Agency in cooperatin with MIRDC</t>
  </si>
  <si>
    <t>The project would start May 3-5, 2011 with an Orientation Seminar and MIRDC would provide the assistance until TAPI becomes ISO 9001:2008 Certified.</t>
  </si>
  <si>
    <t>https://drive.google.com/file/d/1CPdhA8PNflYoPbbcJRLZXLT_pR2HNH4x/view?usp=drive_link</t>
  </si>
  <si>
    <t>2011-15- ad referenda</t>
  </si>
  <si>
    <t xml:space="preserve">15th National Scout Jamboree May 26-31,2011 PSC-APR Mt, Makiling Los Banos, Laguna </t>
  </si>
  <si>
    <t xml:space="preserve">Boy Scouts of the Philippines </t>
  </si>
  <si>
    <t>DOST participation will focus on showing the relevant and informative materials about its programs and projects which will help promote an effective and efficient innovation system towards the adoption and utilization of inventions, innovations and services.</t>
  </si>
  <si>
    <t>https://drive.google.com/file/d/1ymemqxS1dEVRpqiHfRYLNvRxG-PK4HXi/view?usp=drive_link</t>
  </si>
  <si>
    <t>2011-16- ad referenda</t>
  </si>
  <si>
    <t xml:space="preserve">Establishment of a Steam-Type Lumber Dryer for Furniture Production </t>
  </si>
  <si>
    <t>Mr. Abelardo Tinio VP for Operations Akka Wood, Inc.</t>
  </si>
  <si>
    <t>Recommending the approval of the request for the restructuring of the Schedule of Refund of the past due account in eleven (11) months amounting to P5.000/mo except for the last payment which is P3.917. The refund will start on April 30, 2011.</t>
  </si>
  <si>
    <t>https://drive.google.com/file/d/1YwehQXYZMSy8o84Gqn2xXpjzglkNtw3X/view?usp=drive_link</t>
  </si>
  <si>
    <t>2011-17- ad referenda</t>
  </si>
  <si>
    <t xml:space="preserve"> Trainors Training on Creativity, Invention and Innovation for DOST CALABARZON </t>
  </si>
  <si>
    <t xml:space="preserve">DEPARTMENT OF SCIENCE AND TECHNOLOGY CALABARZON </t>
  </si>
  <si>
    <t xml:space="preserve">Los Banos, Laguna </t>
  </si>
  <si>
    <t>Trainors' Training Program on Creativity, Invention and Innovation.</t>
  </si>
  <si>
    <t>https://drive.google.com/file/d/1CemnKf7mXF9bfgqd4atn7T8uEF4XovLe/view?usp=drive_link</t>
  </si>
  <si>
    <t>2011-18- ad referenda</t>
  </si>
  <si>
    <t xml:space="preserve">CEBU BUSINESS MONTH 2011 A Roadmap of Entrepreneurial Success Exhibition &amp; Conference </t>
  </si>
  <si>
    <t xml:space="preserve">Cebu Chamber of Commerce and Industry CCCI Center cor. Commerce &amp; Industry Street North Reclamation Area </t>
  </si>
  <si>
    <t xml:space="preserve">Cebu, City </t>
  </si>
  <si>
    <t>The Exhibition aims to showcase a wide array of innovative products/services best solutions and latest technologies that will inspire. assist and guide local businesses in crafting a sttrategic roadmap for growth through innovation and expansion to bring their businesses to the next level.</t>
  </si>
  <si>
    <t>https://drive.google.com/file/d/1s384SY18zlGR9kRvu1WKXEoIaxwDg7qC/view?usp=drive_link</t>
  </si>
  <si>
    <t>2011-19- ad referenda</t>
  </si>
  <si>
    <t>2011 Regional Invention Contests and Exhibits (RICE) in Region VII</t>
  </si>
  <si>
    <t xml:space="preserve">Gov. Manuel Cuenco Avenue Banilad, Cebu City </t>
  </si>
  <si>
    <t>The additional funds shall be use to augment the costs of the booth and venue rental for 2011 RICE in Region VII.</t>
  </si>
  <si>
    <t>https://drive.google.com/file/d/1sC_b4dyAbNKF9jGEIswmJyzoApyO_QQT/view?usp=drive_link</t>
  </si>
  <si>
    <t>2011-20- ad referenda</t>
  </si>
  <si>
    <t xml:space="preserve">  Forum on Program of Assistance to Inventors and Intellectual Property Rights (IPR)</t>
  </si>
  <si>
    <t xml:space="preserve">DOST Region X                                                                                                J. R. Borja Memorial Hospital </t>
  </si>
  <si>
    <r>
      <rPr>
        <sz val="10"/>
        <color rgb="FF000000"/>
        <rFont val="Arial"/>
        <scheme val="minor"/>
      </rPr>
      <t xml:space="preserve">The conduct of the three (3) day Forum is a component activity of </t>
    </r>
    <r>
      <rPr>
        <b/>
        <sz val="10"/>
        <color rgb="FF000000"/>
        <rFont val="Arial"/>
        <scheme val="minor"/>
      </rPr>
      <t>2011 RICE</t>
    </r>
    <r>
      <rPr>
        <sz val="10"/>
        <color rgb="FF000000"/>
        <rFont val="Arial"/>
        <scheme val="minor"/>
      </rPr>
      <t xml:space="preserve"> in Region X.</t>
    </r>
  </si>
  <si>
    <t>https://drive.google.com/file/d/1_vR2cMffAuTpUbKmpjkrmOaoO9qxH4Pc/view?usp=drive_link</t>
  </si>
  <si>
    <t>2011-21- ad referenda</t>
  </si>
  <si>
    <t>2011 Regional Invention Contests and Exhibits (RICE) Region IX</t>
  </si>
  <si>
    <t>DOST Region IX Pettit Barracks</t>
  </si>
  <si>
    <t xml:space="preserve">Zamboanga  City </t>
  </si>
  <si>
    <t>The request for additional funding shall be used to augment the costs of the booth rental.</t>
  </si>
  <si>
    <t>https://drive.google.com/file/d/1iHJLrv1Dxhzb-Gkm69wfaOb_UQjyOoqZ/view?usp=drive_link</t>
  </si>
  <si>
    <t>2011-23- ad referenda</t>
  </si>
  <si>
    <t>Promoting of SET-UP assisted Projects in the Regions in the 2011 National Science and Technology Week.</t>
  </si>
  <si>
    <t>DOST office of the Regional Operations ( DOST RO)</t>
  </si>
  <si>
    <t>The project will showcase successful SET-UP adoptors from all the regional offices. It will not only encourage more people to apply for SET-UP assistance but will also promote the main technologies and resources from the respective region.</t>
  </si>
  <si>
    <t>https://drive.google.com/file/d/1ExUCjCxyl5o9V0uBGuRU_5oDUu2rc_dC/view?usp=drive_link</t>
  </si>
  <si>
    <t>2011-24- ad referenda</t>
  </si>
  <si>
    <t>Global Networking to Meel Global Challenges</t>
  </si>
  <si>
    <t xml:space="preserve">Philippine Association for the advancement of Science, Inc. (PHILAAS) c/o Industrial Technology Development Institute   </t>
  </si>
  <si>
    <t xml:space="preserve">DOST Compound General Santos Avenue Taguig City </t>
  </si>
  <si>
    <t>The activity is a two day conference that covers topics on climate change. biodiversity, food security. energy security, research integrity and public understanding of science.</t>
  </si>
  <si>
    <t>https://drive.google.com/file/d/1La0kSO-AAal8MvTRs6admfPOin3JwRL_/view?usp=drive_link</t>
  </si>
  <si>
    <t>2011-25- ad referenda</t>
  </si>
  <si>
    <t>2011 Regional Invention Contests and Exhibits (RICE) in Region V</t>
  </si>
  <si>
    <t xml:space="preserve">DOST Region V </t>
  </si>
  <si>
    <t xml:space="preserve">Regional Center Site Rawis, Legaspi City </t>
  </si>
  <si>
    <t>The request for additional fund is to augment the promotion/ publicity, honoraria for evaluators, booth/venue rental and stage décor expenses.</t>
  </si>
  <si>
    <t>https://drive.google.com/file/d/1s9HuOnBfrreP0XIoHD7q9eFZZGw81Jsx/view?usp=drive_link</t>
  </si>
  <si>
    <t>2011-26- ad referenda</t>
  </si>
  <si>
    <t xml:space="preserve"> 2011 Regional Invention Contests and Exhibits </t>
  </si>
  <si>
    <t xml:space="preserve">Government Center, Candahug Palo, Leyte </t>
  </si>
  <si>
    <t xml:space="preserve">The request for additional funding shall be used to augment for the booth, venue and other facilities expenses.
</t>
  </si>
  <si>
    <t>https://drive.google.com/file/d/16M2cwAOGX5hwb1--z6vWsZHQJzWL7o3C/view?usp=drive_link</t>
  </si>
  <si>
    <t>2011-27- ad referenda</t>
  </si>
  <si>
    <t xml:space="preserve">Rotary Grain Dryer </t>
  </si>
  <si>
    <t xml:space="preserve">Mr. Bormeo G. Madonza                                                                                                                                                                                         Inventor                                                                                              c/o Filipino Inventors Society </t>
  </si>
  <si>
    <t xml:space="preserve">3rd Floor ATI Bldg, Elliptical Road, QC Testing Institution:     AMTEC UPLB </t>
  </si>
  <si>
    <t>Request of AMTEC for the purchase of palay, 15 bags (50kg/bag) @ P16/kg for the testing of Mr. Modanza's dryer in PHILMech, Muñoz, Nueva Ecija.</t>
  </si>
  <si>
    <t>https://drive.google.com/file/d/153BFF_pCIpbiILoPdF-ZsxxlzxXb1mc6/view?usp=drive_link</t>
  </si>
  <si>
    <t>2011-28- ad referenda</t>
  </si>
  <si>
    <t xml:space="preserve">Training Needs Assessments for Inventors through Focus Group Discussion </t>
  </si>
  <si>
    <t xml:space="preserve">TAPI-Implementing Agency                                                                        STII-Cooperating Agency </t>
  </si>
  <si>
    <t>Requestfor the realignment of the Line-Item-Budget of the project.</t>
  </si>
  <si>
    <t>https://drive.google.com/file/d/1OVZtX3IO-QctPIJNaK3x7lp13-xKm_Wm/view?usp=drive_link</t>
  </si>
  <si>
    <t>2011-29- ad referenda</t>
  </si>
  <si>
    <t xml:space="preserve">Syensaya 2011- Talakayan Tungkol sa Teknolohiyang-Pangkabuhayan </t>
  </si>
  <si>
    <t>Virginia R.Cadenas, PhD                                                               Vice Chancellor for Community Affairs &amp; Chair of Syensya 2011</t>
  </si>
  <si>
    <t xml:space="preserve">University of the Philippines, Los Banos </t>
  </si>
  <si>
    <t>Techno-Forum is one of the components of the activity which is a knowledge sharing event on appropriate technologies among farmers, fisher folks, businessmen, entrepreneurs, researchers and other experts led by PCAMRRD</t>
  </si>
  <si>
    <t>https://drive.google.com/file/d/1yNiBAaTn_leam_-V2E-1INZEOJqLHA4M/view?usp=drive_link</t>
  </si>
  <si>
    <t>2011-30- ad referenda</t>
  </si>
  <si>
    <t>Printing of TRC Technology Brochure for the DOST Expo Science 2011"</t>
  </si>
  <si>
    <t>Mr.Glenn B. Santos                                                                                    Director TRC</t>
  </si>
  <si>
    <t xml:space="preserve">TRC Building, J. Abad Santos St. Little Baguio, San Juan City </t>
  </si>
  <si>
    <t>Printing of TRC brochures highlighting flagship programs and services to promote technology transfer.</t>
  </si>
  <si>
    <t>https://drive.google.com/file/d/18qD0Ro7v4R76I21lQd4W8p5wUc-15VDr/view?usp=drive_link</t>
  </si>
  <si>
    <t>2011-31- ad referenda</t>
  </si>
  <si>
    <t>Printing of PTRI Tehnology Flyers for the DOST Expo Science 2011</t>
  </si>
  <si>
    <t>Dr. Carlos C. Tomboc                                                                                     Director IV CESO II PTRI</t>
  </si>
  <si>
    <t xml:space="preserve">Gen. Santos Avenue Bicutan, Taguig City </t>
  </si>
  <si>
    <t>Printing of technology flyer on "Naturally Dyed Cotton Fabric Against Bacteria".</t>
  </si>
  <si>
    <t>https://drive.google.com/file/d/14-qhRUfe9VP2_A6CquYhK9GdaT68KZtF/view?usp=drive_link</t>
  </si>
  <si>
    <t>2011-32- ad referenda</t>
  </si>
  <si>
    <t>Printing of PCAMRD Technology Flyers for the DOST Expo Science 2011</t>
  </si>
  <si>
    <t xml:space="preserve">Dr. Cesario R. Pagdilao                                                                  Director PCAMRD </t>
  </si>
  <si>
    <t xml:space="preserve">Jamboree Road, Brgy, Timugan, Los Banos Laguna </t>
  </si>
  <si>
    <t>Printing of PCAMRD technology flyers on: Natural Ball Clay Tech- nology, Dired Sea Hare Egg Strings as Food Supplement, Enhanced Underwater Inspection Robot.</t>
  </si>
  <si>
    <t>https://drive.google.com/file/d/1XSiKIi4aCxbEp3lP82LLkZuQB7I3ZMsK/view?usp=drive_link</t>
  </si>
  <si>
    <t>2011-33- ad referenda</t>
  </si>
  <si>
    <t>Printing of MIRDC Technology Brochures for the DOST Expo Science 2011</t>
  </si>
  <si>
    <t xml:space="preserve"> Engr. Arthur Lucas D Cruz Executive Director Metals Industry Research and Development Center MIRDC</t>
  </si>
  <si>
    <t xml:space="preserve">Printing of 3,000 copies of brochures/flyers on Spin Casting Technology Furniture Wrought Iron Technology, and Non- Cyanid Copper and Gold Electroplating Technology.
</t>
  </si>
  <si>
    <t>https://drive.google.com/file/d/1qRaTmtp6BNDPGaiUL9Pv7cGdnOdi5krk/view?usp=drive_link</t>
  </si>
  <si>
    <t>2011-34- ad referenda</t>
  </si>
  <si>
    <t xml:space="preserve">DOST CARAGA CSU Campus, Ampayon </t>
  </si>
  <si>
    <t>2011-35- ad referenda</t>
  </si>
  <si>
    <t xml:space="preserve">2011 Regional Invention Contests and Exhibits (RICE) in CARAGA Region </t>
  </si>
  <si>
    <t xml:space="preserve">Butuan City </t>
  </si>
  <si>
    <t>The request for additional funding shall be used to augment for the rental  expenses for booth, venue, and other facilities.</t>
  </si>
  <si>
    <t>https://drive.google.com/file/d/1KI5rdFS4uJ3GXOaLmI5FuaKDE5XXPerH/view?usp=drive_link</t>
  </si>
  <si>
    <t>2011-36- ad referenda</t>
  </si>
  <si>
    <t xml:space="preserve">Fabrication and Publication of Human Resources Development Entrepreneurship and Excellence in S&amp;T Booth </t>
  </si>
  <si>
    <t xml:space="preserve"> Technology Resouce Center (TRC) </t>
  </si>
  <si>
    <t xml:space="preserve">TRC Building #103 J. Abad Santor cor. Lopez Jaena St. Little Baguio, San Juan City </t>
  </si>
  <si>
    <t>https://drive.google.com/file/d/1im0F_QcnDDVQ8bXTb4oYbgo1ytXpvUAb/view?usp=drive_link</t>
  </si>
  <si>
    <t>2011-37- ad referenda</t>
  </si>
  <si>
    <t>NUVIMAX</t>
  </si>
  <si>
    <t xml:space="preserve">  Perlito G  Cabauatan                                                                               Inventor </t>
  </si>
  <si>
    <t>255 National Road, Bayongbong Nueva Viscaya 3700</t>
  </si>
  <si>
    <t>Request for financial assistance for the testing of the device to be conducted by UP Vehicle Research and Testing Lab (UPVTRL), Quezon City.</t>
  </si>
  <si>
    <t>https://drive.google.com/file/d/15vFBztJ48Ufa1tO3rANNwZSEaZFHM6y5/view?usp=drive_link</t>
  </si>
  <si>
    <t>2011-38- ad referenda</t>
  </si>
  <si>
    <t>2011-39- ad referenda</t>
  </si>
  <si>
    <t xml:space="preserve">2011 Regional Invention Contests and Exhibits in Region I  </t>
  </si>
  <si>
    <t xml:space="preserve">DOST Region I                                                                                DMMMSU-MLU Campus </t>
  </si>
  <si>
    <t xml:space="preserve">San Fernado City, La Union </t>
  </si>
  <si>
    <t xml:space="preserve">Region I </t>
  </si>
  <si>
    <t>The request for additional funding shall be used to augment for the rent of venue and other facilities expenses</t>
  </si>
  <si>
    <t>https://drive.google.com/file/d/1hBxKX9FoC_dvwe0QBqabbcTT7dkZQkaj/view?usp=drive_link</t>
  </si>
  <si>
    <t>2011-40- ad referenda</t>
  </si>
  <si>
    <t>Broiler Production Using Lagundi as a Source of Antibiotic-Phase II Broiler Production Using Lagundi as a Source of Antibiotics- Phase II</t>
  </si>
  <si>
    <t xml:space="preserve">Harold Jay G. Antonio                                                                              Rey Tutop </t>
  </si>
  <si>
    <t xml:space="preserve"> 50,950.00                                                                               50,950.00</t>
  </si>
  <si>
    <t>Seed capital to cover the operating expenses for the implementation of the projects under Stage II of SETUP- DATBED.</t>
  </si>
  <si>
    <t>https://drive.google.com/file/d/1wJTiHB7vxyCKdhDB1oY9K0qzXs0JhKkG/view?usp=drive_link</t>
  </si>
  <si>
    <t>2011-41- ad referenda</t>
  </si>
  <si>
    <t>2011 Regional Invention Contest and Exhibits (RICE) in Region II</t>
  </si>
  <si>
    <t>Nursery Compound Tuguegarao, Cagayan</t>
  </si>
  <si>
    <t>The request for additional funding shall be used to augment the rental for the booth system, venue and other facilities.</t>
  </si>
  <si>
    <t>https://drive.google.com/file/d/1UmLtZAbfBC1e9WtXLnNv1r6AmGefSTHd/view?usp=drive_link</t>
  </si>
  <si>
    <t>2011-42- ad referenda</t>
  </si>
  <si>
    <t>2011 Regional Invention Contest and Exhibits (RICE) in NCR</t>
  </si>
  <si>
    <t xml:space="preserve">DOST NCR                                                                                                 DOST Complex </t>
  </si>
  <si>
    <t>The request for additional funding shall be used to augment the rental expenses for the  booth system and other facilities.</t>
  </si>
  <si>
    <t>https://drive.google.com/file/d/1aGvnMbh54CmjPglJb_feu7hL5I1B7na8/view?usp=drive_link</t>
  </si>
  <si>
    <t>2011-43- ad referenda</t>
  </si>
  <si>
    <t xml:space="preserve">Forum on DOST Mature Technologies </t>
  </si>
  <si>
    <t xml:space="preserve">Technology Application and Promotion Institute DOST Compound </t>
  </si>
  <si>
    <t xml:space="preserve">  Gen. Santos Avenue, Taguig City </t>
  </si>
  <si>
    <t>The Forum expects to introduce and elevate discussion on the mature technologies of DOST. It will widen information dissemination of the mature technologies for ROS for promotion and commecialization to potential adoptors and generators.</t>
  </si>
  <si>
    <t>https://drive.google.com/file/d/1E4DpmXu4tbsE-5kHRAI93t3XqgkYOXFM/view?usp=drive_link</t>
  </si>
  <si>
    <t>2011-44- ad referenda</t>
  </si>
  <si>
    <t>"DOST-wide Consultation on the Proposed Guidelines on Intellectual Property (IP) Valuation,  Commercialization and Information Sharing "</t>
  </si>
  <si>
    <t xml:space="preserve">Department of Science and Technology in the collaboration with the Department of Trade and Industry and the Intellectual Property Office of the Philippines  </t>
  </si>
  <si>
    <t>The proposed guidelines shall be presented to DOST constituents involved in technology generation, transfer &amp; commercialization. The activity is also envisioned as a springboard for the creation of DOST-wide IP Policy as a GFA and an RDI, in consonance with the provisions of RA 10055.</t>
  </si>
  <si>
    <t>https://drive.google.com/file/d/19xP5Cc6bCJrYLXhSG5_e0dnNe_CdToEF/view?usp=drive_link</t>
  </si>
  <si>
    <t>2011-45- ad referenda</t>
  </si>
  <si>
    <t xml:space="preserve">Two-day Seminar Workshop for the Invent School Program in Region V </t>
  </si>
  <si>
    <t xml:space="preserve">Department of Science and Technology Regional Office No. V </t>
  </si>
  <si>
    <t xml:space="preserve">Rawis Legaspi City </t>
  </si>
  <si>
    <t xml:space="preserve">Region V </t>
  </si>
  <si>
    <t>Invent School:
Batch 1
(12-13 October 2011)
Batch II
(23-24 November 2011)</t>
  </si>
  <si>
    <t>https://drive.google.com/file/d/1jOjS8Hjpmmt3br2b00SX2zDW-pU4y0DY/view?usp=drive_link</t>
  </si>
  <si>
    <t>2011-46- ad referenda</t>
  </si>
  <si>
    <t xml:space="preserve">Seminar-workshop on the Valuation of Intellectual Property and Techniques on Licensing and Technology Transfer Arrangements </t>
  </si>
  <si>
    <t xml:space="preserve">TAPI in collaboration with Licensing Executive Society (LES) Philippines </t>
  </si>
  <si>
    <t>Request for the realignment of the project Line-Item Budget because the venue was change due to typhoon "Pedring" the seminar-workshop which was attended by forty six (46) participants coming from Research and Development Institutes, DOST officials, Legas Society of the Philippines and ITSO Managers from the State Colleges and Universities who are currently involved or plans to undertake IP management and Technology Transfer in their respective offices last 29-30 September 2011
at the Asian Institute of Management Conference Center, Makati City.</t>
  </si>
  <si>
    <t>https://drive.google.com/file/d/1tvac8fdRveSzkh1yK97leDElJOjlpJ6C/view?usp=drive_link</t>
  </si>
  <si>
    <t>2011-47- ad referenda</t>
  </si>
  <si>
    <t>2011 Regional Inventional Contest and Exhibits (RICE) in Region IV-A</t>
  </si>
  <si>
    <t xml:space="preserve">DOST Regional Office IV-A CALABARZON </t>
  </si>
  <si>
    <t>Barangay Timugan Los Banos, Laguna</t>
  </si>
  <si>
    <t>Regiona IV-A</t>
  </si>
  <si>
    <t>The request for additional funds shall be used to augment for booth system rent.</t>
  </si>
  <si>
    <t>https://drive.google.com/file/d/1BYtKddTEp2jccpdYOggUo8ltYX3Dw4sE/view?usp=drive_link</t>
  </si>
  <si>
    <t>2011-48- ad referenda</t>
  </si>
  <si>
    <t xml:space="preserve">Forum on Creativity, Invention and Innovation under the Invent School Program </t>
  </si>
  <si>
    <t xml:space="preserve"> Department of Science and Technology Regional Office No.XI</t>
  </si>
  <si>
    <t xml:space="preserve">Davao City </t>
  </si>
  <si>
    <t>Invent School Program in cooperation with USEP-ITSO.</t>
  </si>
  <si>
    <t>https://drive.google.com/file/d/1fNMS-_yhhQs-onWt2pwG0WC14WdP3x2h/view?usp=drive_link</t>
  </si>
  <si>
    <t>2011-49- ad referenda</t>
  </si>
  <si>
    <t xml:space="preserve">Printing of DOST Starbooks Campaign Materials                                               DOST STARBOOKS </t>
  </si>
  <si>
    <t>Mr. Raymund E. Liboro                                                                             Director STII</t>
  </si>
  <si>
    <t>Printing of STII's DOST Starbooks Flyers (1,000 copies) .</t>
  </si>
  <si>
    <t>https://drive.google.com/file/d/16teqkniKekRhQGcGyxcK2-aMs6t2oujr/view?usp=drive_link</t>
  </si>
  <si>
    <t>2011-50- ad referenda</t>
  </si>
  <si>
    <t>2011-51- ad referenda</t>
  </si>
  <si>
    <t xml:space="preserve">LEAP 2021 (Leading Through Technology, Enabling Innovation, Advancing Quality Standards and Promoting Productivity Growth) </t>
  </si>
  <si>
    <t xml:space="preserve">Institute For Small-Scale Industries </t>
  </si>
  <si>
    <t xml:space="preserve">University of the Philppines E. Virata Hall, UP Diliman Quezon City </t>
  </si>
  <si>
    <t>The S&amp;T Forum would highlight advances in research and techniques as well as the application of Biotechnology in bio- remediation.</t>
  </si>
  <si>
    <t>https://drive.google.com/file/d/1qENcQHRDBC7fqWehkoNdA0pcTPyHgnfh/view?usp=drive_link</t>
  </si>
  <si>
    <t>2011-52- ad referenda</t>
  </si>
  <si>
    <t>S&amp;T Forum for DOST's Participation in the 7th National Biotechnology Week</t>
  </si>
  <si>
    <t xml:space="preserve">Philippine Coucil for Industry, Energy and Emerging Technology Research and Development </t>
  </si>
  <si>
    <t xml:space="preserve">4th &amp; 5th Levels, Science and Heritage Bldg. Science Community Complex Bicutan, Taguig City </t>
  </si>
  <si>
    <t>The event will not only present trends, issues and development but will persuade and inspire more Filipinos to engage in entreneurship/ technopreneurship.</t>
  </si>
  <si>
    <t>https://drive.google.com/file/d/1kYT3SohK-1hUJQCjJdmwmLu-USHrsPxY/view?usp=drive_link</t>
  </si>
  <si>
    <t>2011-53- ad referenda</t>
  </si>
  <si>
    <t>2011-54- ad referenda</t>
  </si>
  <si>
    <t>2011-55- ad referenda</t>
  </si>
  <si>
    <t xml:space="preserve">Regional Forum and Caravan on Food Safety </t>
  </si>
  <si>
    <t xml:space="preserve">DOST Region II                                                                                      Nursery Compound </t>
  </si>
  <si>
    <t xml:space="preserve">Tuguegarao,cagayan </t>
  </si>
  <si>
    <t>Breakdown:
Honoraria: 7,500
Accomodation and PerDiem: 9,000
Gasoline: 3,000
Supplies and Materials: 10,000</t>
  </si>
  <si>
    <t>https://drive.google.com/file/d/1_xaR_46q8AuXoAIC2qYFyubgqTiAbhQ0/view?usp=drive_link</t>
  </si>
  <si>
    <t>2011-56- ad referenda</t>
  </si>
  <si>
    <t xml:space="preserve">Invent School Program (ISP) in Cavite </t>
  </si>
  <si>
    <t>Department of Science and Technology Regional Office No. IV-A</t>
  </si>
  <si>
    <t>The Forum aims to expand the consultancy services of the DOST Food Safety Team in Region II through the conduct of Technology Forum and Caravan.</t>
  </si>
  <si>
    <t>https://drive.google.com/file/d/11WHFD2HK7kGVqQttTba36Bn0L2azqfEe/view?usp=drive_link</t>
  </si>
  <si>
    <t>2011-57- ad referenda</t>
  </si>
  <si>
    <t xml:space="preserve">Cattle Fattening </t>
  </si>
  <si>
    <t xml:space="preserve">Mr. Jaymark J. Juan </t>
  </si>
  <si>
    <t xml:space="preserve"> 33, 690.00</t>
  </si>
  <si>
    <t xml:space="preserve">Marcos, Ilocos Norte </t>
  </si>
  <si>
    <t>Differment of the first payment of refund of the financial assistance from June 2009 to January 2010.</t>
  </si>
  <si>
    <t>https://drive.google.com/file/d/14rtgT0cnKSaN17TtRQaGVj9zQRDJcJDL/view?usp=drive_link</t>
  </si>
  <si>
    <t>2011-58- ad referenda</t>
  </si>
  <si>
    <t xml:space="preserve">Expansion of Tissue Culture Laboratory Seedling Nursery for the Promotion and Commertialization of In-Vitro Technology  </t>
  </si>
  <si>
    <t>Magalang, Pampanga</t>
  </si>
  <si>
    <t>Deferment of the payment of refund of the remaining balance until January 2011 including capitalized penalties and charges since January 2002 to November 2009.</t>
  </si>
  <si>
    <t>https://drive.google.com/file/d/1fGIdd2oIEcgfb4r4FXhx89vQUBeMnCuZ/view?usp=drive_link</t>
  </si>
  <si>
    <t>2011-59- ad referenda</t>
  </si>
  <si>
    <t>Goat Raising, Hog Fattening, Crab Fattening</t>
  </si>
  <si>
    <t xml:space="preserve">Occidental Mindoro National College (OMNC) </t>
  </si>
  <si>
    <t xml:space="preserve">San Jose Occidental Mindoro </t>
  </si>
  <si>
    <t>Realignment of Line-Item Budget for the Hog Fattening and Goat Raising project under Stage I of SETUP-DATBED.</t>
  </si>
  <si>
    <t>https://drive.google.com/file/d/1NbmDVFsH5D32dUeYnUHEGruSBTKPah29/view?usp=drive_link</t>
  </si>
  <si>
    <t>2011-60- ad referenda</t>
  </si>
  <si>
    <t>Hybrid Sex Reversed Tilapia Fingerling Production of St.,Mary's Farm.</t>
  </si>
  <si>
    <t>Ms. Lilia D. Leynes                                                                                       Proprietress St Mary's Aquafarm</t>
  </si>
  <si>
    <t xml:space="preserve">San Antonio, Bay, Laguna </t>
  </si>
  <si>
    <t>The request for the Re-alignment of LIB and Restructuring of the Refund Schedule was due to the effect of typhoon "Ondoy" that devastated the farm and the re-alignment will increase the number of tilapia breeders to recover from the calamity to maximize the operation. The restructuring and re-alignment of LIB will not entail additional budget from TAPI. The deferment of refund from June 2010 to January 2011 was due to the typhoon that struck not only the CALABARZON but the whole Central Luzon.</t>
  </si>
  <si>
    <t>https://drive.google.com/file/d/1fuA6mpE9mnNZ19YWsecIYLHCxfWYe7dy/view?usp=drive_link</t>
  </si>
  <si>
    <t>2011-61- ad referenda</t>
  </si>
  <si>
    <t>2011-62- ad referenda</t>
  </si>
  <si>
    <t>Upgrading of R.M. Dimaandal Woodcraft Corporation</t>
  </si>
  <si>
    <t xml:space="preserve">Engr. Rogelio M. Dimaandal                                                                     Proprietor, Dimaandal Woodcraft Corporation </t>
  </si>
  <si>
    <t xml:space="preserve">Caritan Norte, Atulayan Boundary, Tuguegarao City </t>
  </si>
  <si>
    <t xml:space="preserve">Region II </t>
  </si>
  <si>
    <t>The request for the Restructuring of the Refund Schedule was due to the delay in the release of funds to proponent only  last July 06, 2009. 
The restructuring will not email additional budget from TAPI. The deferment of refund is from January to July 2010. Six months delayed of funds released from TAPI to DOST Region II.</t>
  </si>
  <si>
    <t>https://drive.google.com/file/d/1Da54OuJO0m02UnLyqqR2ZQ0V-X8lzmKQ/view?usp=drive_link</t>
  </si>
  <si>
    <t>Resolution/Memo/Adref Title</t>
  </si>
  <si>
    <t>http://gofile.me/4xaew/hNo4piJQa</t>
  </si>
  <si>
    <t>https://drive.google.com/file/d/1jC74KhZ7Nq-2ss5T8JNnG8Z1HeSx2tIP/view?usp=drive_link</t>
  </si>
  <si>
    <t>P 98,914.53 (US$ 2,145)</t>
  </si>
  <si>
    <t>Allocating Tapi-Gia Funds for CY 2012 Priority Projects</t>
  </si>
  <si>
    <t>Gas Saving Device and Method of Dissociating Water</t>
  </si>
  <si>
    <t>21 Gold Street , SSS Village, Marikina City</t>
  </si>
  <si>
    <t>http://gofile.me/4xaew/r5oh8lwIP</t>
  </si>
  <si>
    <t>https://drive.google.com/file/d/1aS1vxe6wE9129IRs-5NNRXLYzVATz2N9/view?usp=drive_link</t>
  </si>
  <si>
    <t>P 740,500.00                                                                                     P 740,500.00                                                                                     P 720,500.00                                                                                   P 830,500.00                                                                                      Total: P 3,032,000.00</t>
  </si>
  <si>
    <t>Allocating IDAF and IGF Funds for CY 2010 Priority Projects</t>
  </si>
  <si>
    <t>2010 Regional Invention Contests and Exhibits</t>
  </si>
  <si>
    <t>DOST Region XI                                                                                                        DOST Region I                                                                                                     DOST Region III                                                                                                    DOST Region VII</t>
  </si>
  <si>
    <t>http://gofile.me/4xaew/whcuvIMYY</t>
  </si>
  <si>
    <t>https://drive.google.com/file/d/1qdKpib2-wrNLoDTXUUsVjbIyhsENdBPl/view?usp=drive_link</t>
  </si>
  <si>
    <t>P 314,424. 85</t>
  </si>
  <si>
    <t>Approval for the Request For Change of Exhibition Venue</t>
  </si>
  <si>
    <t>INPEX Invention and New Product Position 16-18 June 2010 Monroeville Convention Center</t>
  </si>
  <si>
    <t>Dr. Antonio F. Mateo</t>
  </si>
  <si>
    <t>36 Alma Jose street, Zabarte Road, Caloocan City</t>
  </si>
  <si>
    <t>http://gofile.me/4xaew/mE9i8jVQm</t>
  </si>
  <si>
    <t>https://drive.google.com/file/d/1jW3agTe5S9YhMROId3kKqY6zRv8cbRhH/view?usp=drive_link</t>
  </si>
  <si>
    <t>P 950,000.00</t>
  </si>
  <si>
    <t>Allocating DOST-GIA Funds for CY 2010 Priority Projects</t>
  </si>
  <si>
    <t>Southern Luzon Regional Cluster Science and Technology Fair 2010</t>
  </si>
  <si>
    <t>DOST Region IV-B  (MIMAROPA)</t>
  </si>
  <si>
    <t>Kasarinlan St, Taguig, Metro Manila</t>
  </si>
  <si>
    <t>http://gofile.me/4xaew/d6U6oxeAG</t>
  </si>
  <si>
    <t>https://drive.google.com/file/d/1ut9rt5RjpMTsUEtzMOZx0LTpBV7HKkyw/view?usp=drive_link</t>
  </si>
  <si>
    <t>P 65,000.00                                                                                        P 50,000.00                                                                                           P 60,000.00                                                                                           P 70,000.00                                                                                          P 60,000.00                                                                                           P 60,000.00                                                                                       P 60,000.00                                                                                         P 75,000.00                                                                                       Total:  P500,000.00</t>
  </si>
  <si>
    <t>2010 National Science and Technology Fair and Exhibits</t>
  </si>
  <si>
    <t xml:space="preserve">PHILVOCS                                                                                                             NAST                                                                                                                      PTRI                                                                                                                   MIRDC                                                                                                                        FNRI                                                                                                                PCIERD                                                                                                          PCAMRD                                                                                                                              NRCP              </t>
  </si>
  <si>
    <t>http://gofile.me/4xaew/FJQ5VGRyt</t>
  </si>
  <si>
    <t>https://drive.google.com/file/d/1MTUs3_wEK2aW6GYgcv3t0BcpNrF930sv/view?usp=drive_link</t>
  </si>
  <si>
    <t>P 150,000.00</t>
  </si>
  <si>
    <t>Materials Library Special Setting Traveling Exhibits for S&amp;T Cluster Fair and Other Techno Trade Exhibits</t>
  </si>
  <si>
    <t>Gov. Manuel Cuenco Avenue , Banilad, Cebu City</t>
  </si>
  <si>
    <t>http://gofile.me/4xaew/lccuaQ3tn</t>
  </si>
  <si>
    <t>https://drive.google.com/file/d/14K4MSrW_veMThC1nc9E00ADBrSfd50_r/view?usp=drive_link</t>
  </si>
  <si>
    <t>P 1,015,000.00</t>
  </si>
  <si>
    <t>6th Northern Luzon Cluster Science and Technology Fair and Exhibits</t>
  </si>
  <si>
    <t>Northern Luzon Cluster ( DOST CAR region I &amp; II)</t>
  </si>
  <si>
    <t>http://gofile.me/4xaew/KTlAtyJxh</t>
  </si>
  <si>
    <t>https://drive.google.com/file/d/1ykhtONZ9WAtMki2hBJafS--vWCpu8jXg/view?usp=drive_link</t>
  </si>
  <si>
    <t>P 1,214,000.00</t>
  </si>
  <si>
    <t>VIsayas Regional Cluster S&amp;T Fair and Exhibits</t>
  </si>
  <si>
    <t>DOST Regions VI,VII,VIII</t>
  </si>
  <si>
    <t>http://gofile.me/4xaew/kG1cKGJns</t>
  </si>
  <si>
    <t>https://drive.google.com/file/d/1-Pz074jAFf7aQfQPdygua-BxmwMAGU3c/view?usp=drive_link</t>
  </si>
  <si>
    <t>P 490, 120.00</t>
  </si>
  <si>
    <t>Mass Production of Rice Threshers and Biomass Stove (Superkalan)</t>
  </si>
  <si>
    <t>Narciso P. Mosuela</t>
  </si>
  <si>
    <t>Brgy, Ubbog, Bangar, La Union</t>
  </si>
  <si>
    <t>2010-15</t>
  </si>
  <si>
    <t>http://gofile.me/4xaew/JrB4Z4OoG</t>
  </si>
  <si>
    <t>https://drive.google.com/file/d/1Oxor7NW9MSKV5i2Lge0S3V3IqqJ6kEqY/view?usp=drive_link</t>
  </si>
  <si>
    <t>P 1,005,000.00</t>
  </si>
  <si>
    <t>Technology Exposition and Fairs Program</t>
  </si>
  <si>
    <t>Mindanao Regional Cluster S&amp;T Fair and Exhibits</t>
  </si>
  <si>
    <t>J.R Borja Memorial Hospital Compound  Carmen, Cagayan De Oro</t>
  </si>
  <si>
    <t>2010-16</t>
  </si>
  <si>
    <t>http://gofile.me/4xaew/CwX7pkY9x</t>
  </si>
  <si>
    <t>https://drive.google.com/file/d/1bPwLY8UxX5DfOjWrrFmqQVpIeF5-RFGS/view?usp=drive_link</t>
  </si>
  <si>
    <t>P 1,645,500.00</t>
  </si>
  <si>
    <t>Upgrading the capability and Equipment for the Expansion of Sunlight Food Corporation</t>
  </si>
  <si>
    <t xml:space="preserve">Sunlight Food Corporation </t>
  </si>
  <si>
    <t>Tanguile Street, La Colina Subd., Fortune, Marikina City</t>
  </si>
  <si>
    <t>2010-17</t>
  </si>
  <si>
    <t>http://gofile.me/4xaew/6EfOx5m6t</t>
  </si>
  <si>
    <t>https://drive.google.com/file/d/1DvvcRxuFnCWnOBaH5QzHHgOhgmRhwrXJ/view?usp=drive_link</t>
  </si>
  <si>
    <t>P 476,650.00</t>
  </si>
  <si>
    <t>Application of TAP's Handmade Product</t>
  </si>
  <si>
    <t>2010-18</t>
  </si>
  <si>
    <t>http://gofile.me/4xaew/2aNuoXGD8</t>
  </si>
  <si>
    <t>https://drive.google.com/file/d/1TZS6AC1VQf9QhesjD-Z_gFNcG0xxpNIQ/view?usp=drive_link</t>
  </si>
  <si>
    <r>
      <rPr>
        <sz val="10"/>
        <color theme="1"/>
        <rFont val="Arial"/>
      </rPr>
      <t xml:space="preserve">P 212,000.00 (TAPI-GIA)                                                                        P 599,800.00 ( DOST-SET-UP)                                                         </t>
    </r>
    <r>
      <rPr>
        <b/>
        <sz val="10"/>
        <color theme="1"/>
        <rFont val="Arial"/>
      </rPr>
      <t>Total: 811,800.00</t>
    </r>
  </si>
  <si>
    <t>Allocating Tapi-Gia and Dost-Set-Up Funds for CY 2012 Priority Projects</t>
  </si>
  <si>
    <t>MPEX Program Implementation in Region VII</t>
  </si>
  <si>
    <t>DOST VII</t>
  </si>
  <si>
    <t>Gov. Manuel Cuenco Avenue, Banilad, Cebu City</t>
  </si>
  <si>
    <t>2010-19</t>
  </si>
  <si>
    <t>http://gofile.me/4xaew/xmFRT2EPI</t>
  </si>
  <si>
    <t>https://drive.google.com/file/d/1O5TSLsXtM4X66kR40PYdxw6aeWHSeiVK/view?usp=drive_link</t>
  </si>
  <si>
    <t>P 811,800.00 ( DOST SET-UP)</t>
  </si>
  <si>
    <t>Allocating DOST-SET-UP Funds for CY 2012 Priority Projects</t>
  </si>
  <si>
    <t>MPEX Program Implementation in Region VIII (20 firms)</t>
  </si>
  <si>
    <t>Government Center, Candahug , Palo, Leyte</t>
  </si>
  <si>
    <t>2010-20</t>
  </si>
  <si>
    <t>http://gofile.me/4xaew/hqHG7w8cY</t>
  </si>
  <si>
    <t>https://drive.google.com/file/d/1OJ_I5CTMFfNKQziblch0aGB3I2V8yfqj/view?usp=drive_link</t>
  </si>
  <si>
    <t>CAPE Program Implementation in Region VI (20 firms)</t>
  </si>
  <si>
    <t>DOST VI</t>
  </si>
  <si>
    <t>2010-23</t>
  </si>
  <si>
    <t>http://gofile.me/4xaew/YH4W9mT4K</t>
  </si>
  <si>
    <t>https://drive.google.com/file/d/1OyRJ-5AWN3GliSUcMQDfn0EwxA6MFNdQ/view?usp=drive_link</t>
  </si>
  <si>
    <r>
      <rPr>
        <sz val="10"/>
        <color theme="1"/>
        <rFont val="Arial"/>
      </rPr>
      <t xml:space="preserve">P 2,948,500.00 ( DOST-GIA)                                                              P 1,025,748.00 ( TAPI-GIA)                                                              </t>
    </r>
    <r>
      <rPr>
        <b/>
        <sz val="10"/>
        <color theme="1"/>
        <rFont val="Arial"/>
      </rPr>
      <t>Total: P 3,974, 248.00</t>
    </r>
  </si>
  <si>
    <t>2010 National Invention Contest and Exhibits</t>
  </si>
  <si>
    <t>2010-24</t>
  </si>
  <si>
    <t>http://gofile.me/4xaew/wXn59jw9J</t>
  </si>
  <si>
    <t>https://drive.google.com/file/d/1KtmPd2YLgWpD0q-2msDlbMt1wvBvPywD/view?usp=drive_link</t>
  </si>
  <si>
    <t>P 265,950.00</t>
  </si>
  <si>
    <t>Trainers Training Course on Creativity Invention and Innovation</t>
  </si>
  <si>
    <t>The LIkhaan Group, Inc.</t>
  </si>
  <si>
    <t>Quezon City Academy Campus, 144 E. De los Santos Avenue, Quezon City</t>
  </si>
  <si>
    <t>2010-25</t>
  </si>
  <si>
    <t>http://gofile.me/4xaew/J1LJRPGw8</t>
  </si>
  <si>
    <t>https://drive.google.com/file/d/1abZhe0m7bcr5TQYY0nEpo4xrKLvQvZHM/view?usp=drive_link</t>
  </si>
  <si>
    <t>P 2,122, 394.00</t>
  </si>
  <si>
    <t>CAPE &amp; DTTC</t>
  </si>
  <si>
    <t xml:space="preserve">Training and Productivity Consultancy Services for the World Fish Program on "Comprehensive Aquaculture Development and Technical Assistance </t>
  </si>
  <si>
    <t>The World Fish Center</t>
  </si>
  <si>
    <t>Philippine Country Office, SEARCA Building College, Laguna</t>
  </si>
  <si>
    <t>2010-01- ad referenda</t>
  </si>
  <si>
    <t>P 179,400.00</t>
  </si>
  <si>
    <t>Ad Referenda</t>
  </si>
  <si>
    <t>Trainings to Capacitate Support/Partner Institutions and SET-UP Beneficiaries of DOST Region VIII</t>
  </si>
  <si>
    <t>2010-02- ad referenda</t>
  </si>
  <si>
    <t>https://drive.google.com/file/d/1pYGjPB_VXAE2LB5g5V4TYqsgzTaeLK0U/view?usp=drive_link</t>
  </si>
  <si>
    <t>P 44,509.00</t>
  </si>
  <si>
    <t xml:space="preserve">Seminar-Workshop on Technical Inputs: CP Assessment Protocols for Region X's CPAT Members </t>
  </si>
  <si>
    <t>This is a follow up activity on the "Forum on Various Cleaner Production Technologies for SME's Productivity Improvement".</t>
  </si>
  <si>
    <t xml:space="preserve">DOST Region X                                                                                  J.R. Borja Memorial Hospital </t>
  </si>
  <si>
    <t xml:space="preserve">Compound Carmen Cagayan de Oro City </t>
  </si>
  <si>
    <t>2010-03- ad referenda</t>
  </si>
  <si>
    <t>https://drive.google.com/file/d/1l_okounc9WgyvYkt1vWcLoF3ZdXT1TAW/view?usp=drive_link</t>
  </si>
  <si>
    <t>P 570,000.00</t>
  </si>
  <si>
    <t xml:space="preserve">I-charj-Cellular Phone Charger </t>
  </si>
  <si>
    <t>Pilot Production of the invention under the Invention-Based Enterprise Development.</t>
  </si>
  <si>
    <t xml:space="preserve">Mr. Arquilio Tubigan, Jr. XELLComm Enterprises </t>
  </si>
  <si>
    <t>1671 E- Sisa Street Sampaloc, Manila</t>
  </si>
  <si>
    <t>Technology Non- Computers</t>
  </si>
  <si>
    <t xml:space="preserve">NCR  </t>
  </si>
  <si>
    <t>2010-04- ad referenda</t>
  </si>
  <si>
    <t>https://drive.google.com/file/d/1Q5dS9FESOKiwTvZEZKCJ2JEoY6vBKFhG/view?usp=drive_link</t>
  </si>
  <si>
    <t>P 54,000</t>
  </si>
  <si>
    <t xml:space="preserve">Prototyping of Multipurpose Chopper </t>
  </si>
  <si>
    <r>
      <rPr>
        <sz val="10"/>
        <color theme="1"/>
        <rFont val="Arial"/>
      </rPr>
      <t xml:space="preserve">The Financial assistance was released to the proponent in December 2007 for the fabrication of the mechanized chopper.
</t>
    </r>
    <r>
      <rPr>
        <b/>
        <sz val="10"/>
        <color theme="1"/>
        <rFont val="Arial"/>
      </rPr>
      <t>Disbursement</t>
    </r>
    <r>
      <rPr>
        <sz val="10"/>
        <color theme="1"/>
        <rFont val="Arial"/>
      </rPr>
      <t xml:space="preserve"> amounting to </t>
    </r>
    <r>
      <rPr>
        <b/>
        <sz val="10"/>
        <color theme="1"/>
        <rFont val="Arial"/>
      </rPr>
      <t>50,444</t>
    </r>
    <r>
      <rPr>
        <sz val="10"/>
        <color theme="1"/>
        <rFont val="Arial"/>
      </rPr>
      <t xml:space="preserve"> and </t>
    </r>
    <r>
      <rPr>
        <b/>
        <sz val="10"/>
        <color theme="1"/>
        <rFont val="Arial"/>
      </rPr>
      <t>UB</t>
    </r>
    <r>
      <rPr>
        <sz val="10"/>
        <color theme="1"/>
        <rFont val="Arial"/>
      </rPr>
      <t xml:space="preserve"> amounting to </t>
    </r>
    <r>
      <rPr>
        <b/>
        <sz val="10"/>
        <color theme="1"/>
        <rFont val="Arial"/>
      </rPr>
      <t>3,556</t>
    </r>
    <r>
      <rPr>
        <sz val="10"/>
        <color theme="1"/>
        <rFont val="Arial"/>
      </rPr>
      <t xml:space="preserve"> with a</t>
    </r>
    <r>
      <rPr>
        <b/>
        <sz val="10"/>
        <color theme="1"/>
        <rFont val="Arial"/>
      </rPr>
      <t xml:space="preserve"> Total Project Cost</t>
    </r>
    <r>
      <rPr>
        <sz val="10"/>
        <color theme="1"/>
        <rFont val="Arial"/>
      </rPr>
      <t xml:space="preserve"> amounting to </t>
    </r>
    <r>
      <rPr>
        <b/>
        <sz val="10"/>
        <color theme="1"/>
        <rFont val="Arial"/>
      </rPr>
      <t>P54,000.</t>
    </r>
  </si>
  <si>
    <t xml:space="preserve">University of Northern Philippines </t>
  </si>
  <si>
    <t xml:space="preserve">Vigan, Ilocos Sur </t>
  </si>
  <si>
    <t>2010-05- ad referenda</t>
  </si>
  <si>
    <t>2010-06- ad referenda</t>
  </si>
  <si>
    <t>2010-07- ad referenda</t>
  </si>
  <si>
    <t>2010-08- ad referenda</t>
  </si>
  <si>
    <t>2010-09- ad referenda</t>
  </si>
  <si>
    <t>https://drive.google.com/file/d/1T4orXHxYsFNe2_JRqQQNZYu6x4jp9riz/view?usp=drive_link</t>
  </si>
  <si>
    <t>P 157,500.00</t>
  </si>
  <si>
    <t xml:space="preserve">Training of Local Experts in the Region for MPEX Consulting </t>
  </si>
  <si>
    <t>The training program aims to enhance the technical capabilities of prospective consultants for MPEX Program and create awareness on DOST mature technologies for better complementation of efforts in improving the productivity of identified firm beneficianes in the Region.</t>
  </si>
  <si>
    <t xml:space="preserve">DOST CALABARZON </t>
  </si>
  <si>
    <t>2010-10- ad referenda</t>
  </si>
  <si>
    <t>https://drive.google.com/file/d/18CEhWJhXhEcpdhjEXrip3PWmSlu9gVRs/view?usp=drive_link</t>
  </si>
  <si>
    <t>P 200,000.00</t>
  </si>
  <si>
    <t xml:space="preserve">Manpower Development and Enhancement Program for GTH Sector in Cebu </t>
  </si>
  <si>
    <t>The training aims to develop and enhance the capabilities of the GTH companies attuned to the changing world of manufacturing operations leading to an improvement in productivity and competitiveness.</t>
  </si>
  <si>
    <t xml:space="preserve">Gov. Manuel Cuenco Avenue Banilad, Cebu </t>
  </si>
  <si>
    <t>2010-11- ad referenda</t>
  </si>
  <si>
    <t>https://drive.google.com/file/d/13cS2vyEBLExJ-enefdPHYDG27MxyxEA3/view?usp=drive_link</t>
  </si>
  <si>
    <t>P 41,000.00</t>
  </si>
  <si>
    <t>Forum on Micro-Hydropower Technology for Agro-Ecotourism and Altenative Energy for Communities</t>
  </si>
  <si>
    <t>A good venue to promote technologies that will address the needs for micro- hydropower implementation and to enable the public to be aware of the benefits of the micro-hydropower technology.</t>
  </si>
  <si>
    <t xml:space="preserve">DOST IV CALABARZON </t>
  </si>
  <si>
    <t xml:space="preserve">Jamboree Road, Brgy. Timugan Los Banos, Laguna </t>
  </si>
  <si>
    <t>2010-12- ad referenda</t>
  </si>
  <si>
    <t>https://drive.google.com/file/d/1ojAsdR614cxUCAzhJgLRMb0jyeDWju13/view?usp=drive_link</t>
  </si>
  <si>
    <t>P 25,000.00</t>
  </si>
  <si>
    <t>GOLD-GF ESR</t>
  </si>
  <si>
    <t>Request for financial assistance for the invention to be tested at the UP Vehicle Research and Testing Laboratory.</t>
  </si>
  <si>
    <t xml:space="preserve">Mr. Fernando M. Guinto                                                                          Inventor </t>
  </si>
  <si>
    <t xml:space="preserve">  #10 Bonifacio St. Pagbilao, Quezon </t>
  </si>
  <si>
    <t>2010-13- ad referenda</t>
  </si>
  <si>
    <t>https://drive.google.com/file/d/1zo5uY0LIEfBtovkp_QynNWnyGZyo8Kj9/view?usp=drive_link</t>
  </si>
  <si>
    <t>P 420,000.00</t>
  </si>
  <si>
    <t>Fabrication and Production of Exhibit Materials.</t>
  </si>
  <si>
    <t>1. Science Education Institute (SEI) 2. Philippine National Research Institute (PNRI) 3.Advanced Science  and Technology Institute (ASTI) 4. Industrial Technology Development Institute (ITDI) 5.Philippine Science High School 6. Forest Products Research and Development Institute (FPRDI) 7. Science  and Technology Information Institute (STII)</t>
  </si>
  <si>
    <t>2010-14- ad referenda</t>
  </si>
  <si>
    <t>https://drive.google.com/file/d/15kHuzY0h43Qm_C6Y4lWbLMUC3JL164g0/view?usp=drive_link</t>
  </si>
  <si>
    <t>P 706,158</t>
  </si>
  <si>
    <t>MPEX Implementation in Region II</t>
  </si>
  <si>
    <t>The Project is the implementation of MPEX Program covering 10 firms.</t>
  </si>
  <si>
    <t>Dr. Urdujah A. Tejeda                                                                              Regional Director DOST II</t>
  </si>
  <si>
    <t xml:space="preserve">Nursery Compound Tuguegarao City, Cagayan </t>
  </si>
  <si>
    <t>2010-15- ad referenda</t>
  </si>
  <si>
    <t>https://drive.google.com/file/d/1E2dtDFthTKIRfQXVPfnfGmHkfOlp_Z97/view?usp=drive_link</t>
  </si>
  <si>
    <t xml:space="preserve">P 611,800                                              P 611,800                                                                                        P 411,000                                          P 611,800                                                                                  </t>
  </si>
  <si>
    <t xml:space="preserve">CAPE Implementation in DOST II CAPE Implementation in DOST MIMAROPA CAPE Implementation in DOST CAR CAPE Implementation in DOST CARAGA </t>
  </si>
  <si>
    <t>CAPE implementation covering 15 farms in Region II.
CAPE implementation covering 15 farms in MIMAROPA.
CAPE implementation covering 15 farms in CAR.
CAPE implementation covering 15 farms in CARAGA.</t>
  </si>
  <si>
    <t xml:space="preserve">DOST-II,  DOST- MIMAROPA, DOST-CAR, DOST-CARAGA </t>
  </si>
  <si>
    <t xml:space="preserve">Nursery Compound Tuguegarao City, Cagayan,  Compound, Bicutan Taguig City,  La Trinidad, Benguet, NORMISIST Campus, Ampayon Butuan </t>
  </si>
  <si>
    <t>2010-16- ad referenda</t>
  </si>
  <si>
    <t>https://drive.google.com/file/d/1GaH0IXCXKWpUKZiVuakOY2UkfeaQwJu-/view?usp=drive_link</t>
  </si>
  <si>
    <t>P 702, 800</t>
  </si>
  <si>
    <t xml:space="preserve">MPEX Implementation in Region III </t>
  </si>
  <si>
    <t>The MPEX Program improves the productivity and level of competitiveness of an existing exporter-manufacturer.
MSME's in the regions and to identify strategies for improving the productivity of SMEs with an increase of at least 35 percent (35%) in overall productivity.</t>
  </si>
  <si>
    <t>DOST III</t>
  </si>
  <si>
    <t>2010-17- ad referenda</t>
  </si>
  <si>
    <t>https://drive.google.com/file/d/1-rEmgYBGBOnqkzYFfA1mL8LotcQIetw_/view?usp=drive_link</t>
  </si>
  <si>
    <t xml:space="preserve">BlackGold SAVER Nitrous OxyHydrogen Air/Fuel Booster </t>
  </si>
  <si>
    <t>Request for financial assistance for the invention to be tested at the UP Vehicle Research anf Testing Laboratory.</t>
  </si>
  <si>
    <t xml:space="preserve">Mr. June A. Yasol                                                                                  Inventor </t>
  </si>
  <si>
    <t xml:space="preserve">P-6 Cairo Extension Multinational Village Moonwalk II, Paranaque  City </t>
  </si>
  <si>
    <t>2010-18- ad referenda</t>
  </si>
  <si>
    <t>https://drive.google.com/file/d/1dG7pl0BWWIUOqu2F6wp2_Ufgq4r_iGKp/view?usp=drive_link</t>
  </si>
  <si>
    <t>P 18,000.00</t>
  </si>
  <si>
    <t xml:space="preserve">Prototype Development of Electronic Blackboard (Touch Interface) </t>
  </si>
  <si>
    <t>Financial Assistance to cover the fabrication of a touch screen blackboard to be used during classroom lectures and discussions.                                                                                                                                                  Chargeable againts TAPI- GIA</t>
  </si>
  <si>
    <t xml:space="preserve">DOST NCR DOST Compound </t>
  </si>
  <si>
    <t>2010-19- ad referenda</t>
  </si>
  <si>
    <t>https://drive.google.com/file/d/1l137_9H55hB0-qczxtBwAp9kM9s-PVWr/view?usp=drive_link</t>
  </si>
  <si>
    <t>P 33,500.00</t>
  </si>
  <si>
    <t xml:space="preserve">Technical Training on ITDI-DOST Bioreactor Technology DOST III Technical Staff and LGU Partners  </t>
  </si>
  <si>
    <t>To equip the participants with the necessary knowledge and skills for the smooth operation of the LGU-managed bioreactor facilities.</t>
  </si>
  <si>
    <t xml:space="preserve">DOST Region III DOST Building, Government Center </t>
  </si>
  <si>
    <t>2010-20- ad referenda</t>
  </si>
  <si>
    <t>https://drive.google.com/file/d/1pPP9HyxDNCatTZ0_aZ_jrXiW3IjDSLWU/view?usp=drive_link</t>
  </si>
  <si>
    <t>P 70,000.00</t>
  </si>
  <si>
    <t xml:space="preserve">Fabrication and Publication of TRC's Exhibit Materials for the 2010 National Science and Technology Fair and Exhibits </t>
  </si>
  <si>
    <t xml:space="preserve">Technology Resource Center TRC Building </t>
  </si>
  <si>
    <t xml:space="preserve">#103 J. Abad Santos cor, Lopez Jaena Street, Little Baguio, San Juan City </t>
  </si>
  <si>
    <t>2010-21- ad referenda</t>
  </si>
  <si>
    <t>https://drive.google.com/file/d/1EX2rVScH76_YaaYYJ8PEb7Ts-_P3JZ9Z/view?usp=drive_link</t>
  </si>
  <si>
    <t>P 90,000.00</t>
  </si>
  <si>
    <t xml:space="preserve">Fabrication and Publication of DOST VII's Exhibit Materials for the 2010 National Science and Technology Fair and Exhibits </t>
  </si>
  <si>
    <t>DOST Visayas Cluster (DOST Region VI,VII and VIII)</t>
  </si>
  <si>
    <t>2010-22- ad referenda</t>
  </si>
  <si>
    <t>https://drive.google.com/file/d/1cy4x83r4VKSTEDFZFjKQZ7MRZ6t35zjh/view?usp=drive_link</t>
  </si>
  <si>
    <t>P 75,000.00</t>
  </si>
  <si>
    <t xml:space="preserve">Fabrication and Publication of DOST X's Exhibit Materials for the 2010 National Science and Technology Fair and Exhibits </t>
  </si>
  <si>
    <t xml:space="preserve">DOST Region X </t>
  </si>
  <si>
    <t>J.R. Borja Memorial Hospital Compound Carmen, Cagayan de Oro City</t>
  </si>
  <si>
    <t>2010-23- ad referenda</t>
  </si>
  <si>
    <t>https://drive.google.com/file/d/17NdCr779aDBAHqTupNu3Ypelx7XCl4VX/view?usp=drive_link</t>
  </si>
  <si>
    <t>P 510,000.00</t>
  </si>
  <si>
    <t xml:space="preserve">Exposition &amp; Conference on Environmentally Sound Technologies </t>
  </si>
  <si>
    <t>The activity will serve as DOST's contribution in the celebration of the Philippine Environment Month. It will showcase environmentally sound technologies developed by DOST and its partners.</t>
  </si>
  <si>
    <t xml:space="preserve">DOST Region VII </t>
  </si>
  <si>
    <t>2010-24- ad referenda</t>
  </si>
  <si>
    <t>https://drive.google.com/file/d/171S9Go0qbBdr1k16RWoAC73DHWmIlkTO/view?usp=drive_link</t>
  </si>
  <si>
    <t>P 80,000                                                  P 80,000</t>
  </si>
  <si>
    <t xml:space="preserve">Fabrication and Publication of Exhibit Materials for the 2010 National Science and Technology Fair and Exhibits </t>
  </si>
  <si>
    <t>Philippines Atmospheric, Geophysical &amp; Astronomical Services Administration (PAGASA) Philippine Council for Agriculture, Forestry and Natural Resources Research and Development  (PCARRD)</t>
  </si>
  <si>
    <t>2010-25- ad referenda</t>
  </si>
  <si>
    <t>https://drive.google.com/file/d/1_IN0Pc6hG1pIbmOz0os6UMgcV3Q_fyY2/view?usp=drive_link</t>
  </si>
  <si>
    <t>P 830,500.00</t>
  </si>
  <si>
    <t>2010 Visayas Island Invenstors Contest and Exhibits (VICE)</t>
  </si>
  <si>
    <t>The activity is part of the 2010 Regional Invention Contests and Exhibits.</t>
  </si>
  <si>
    <t xml:space="preserve">Magsaysay Village La Paz, Ilo-Ilo City </t>
  </si>
  <si>
    <t xml:space="preserve">Region VI </t>
  </si>
  <si>
    <t>2010-26- ad referenda</t>
  </si>
  <si>
    <t>2010-27- ad referenda</t>
  </si>
  <si>
    <t>https://drive.google.com/file/d/1x07zlGAbt5J-t1lXK3aGtfwJXGc5MbYJ/view?usp=drive_link</t>
  </si>
  <si>
    <t>Fabrication and Publication  of PCHRD's Exhibits Materials for the 2010 National Science and Technology Fair and Exhibits</t>
  </si>
  <si>
    <t xml:space="preserve">3/F DOST Main Building Compound General Santos Avenue Taguig City </t>
  </si>
  <si>
    <t>2010-28- ad referenda</t>
  </si>
  <si>
    <t>https://drive.google.com/file/d/177VEx0_D0TZbeqFcPsg1-OcBpdnQOmN2/view?usp=drive_link</t>
  </si>
  <si>
    <t>P 3,100,000</t>
  </si>
  <si>
    <t xml:space="preserve">Machining Technology Upgrading through the Acqusition of Computer Numerically Controlled (CNC) Vertical Machining Center for the production of Metal Parts and Components of FAG Machine Shop and  Services Co. </t>
  </si>
  <si>
    <t>The request for the Restructuring of the Refund Schedule is due to the delay in the released of funds to FAG Machine Shop.
The proponent already paid the 1st remittance last March 2010. The 2nd payment would be made of June 2010.</t>
  </si>
  <si>
    <t>Engr. Felix A. Gabiana                                                                                                                          General Manager/Owner                                                                 FAG Machine Shop and Services Co.</t>
  </si>
  <si>
    <t xml:space="preserve">Canduman, Madaue City </t>
  </si>
  <si>
    <t>2010-29- ad referenda</t>
  </si>
  <si>
    <t>https://drive.google.com/file/d/1KZdZWOLQB82sMdowi39nInYH-x46f-IY/view?usp=drive_link</t>
  </si>
  <si>
    <t xml:space="preserve"> P 263,810 </t>
  </si>
  <si>
    <t xml:space="preserve">Organic Banana Fruit Production, Organic Fertilizer Manufacture and Marketing Enterprise,  Muchroom Production, Coconut-Livestock Integrated Production Enterprise-Open Range Typem Organic Range Type Organic Chicken Production ( 220 Bird Module) </t>
  </si>
  <si>
    <t>Seed capital for the purchase of operating expenses for the implementation of the projects under Stage I of SETUP-DATBED.</t>
  </si>
  <si>
    <t>2010-30- ad referenda</t>
  </si>
  <si>
    <t>https://drive.google.com/file/d/1ABIRVkwF2RuTF67CMDiWvoFtuo-krLQX/view?usp=drive_link</t>
  </si>
  <si>
    <t>P 314,800</t>
  </si>
  <si>
    <t xml:space="preserve">MPEX Implementation in Region I </t>
  </si>
  <si>
    <t>The Project is the implementation of MPEX Program covering 7 firms.</t>
  </si>
  <si>
    <t xml:space="preserve"> Dr. Elsa R. Chan                                                                                   Regional Director DOST I </t>
  </si>
  <si>
    <t xml:space="preserve">DMMSU-CET Campus San Fernando, La Union </t>
  </si>
  <si>
    <t>2010-31- ad referenda</t>
  </si>
  <si>
    <t>2010-32- ad referenda</t>
  </si>
  <si>
    <t>2010-33- ad referenda</t>
  </si>
  <si>
    <t>2010-34- ad referenda</t>
  </si>
  <si>
    <t>https://drive.google.com/file/d/1vGwsFaURGttxuZSZp0IruqY8EiYl5lf5/view?usp=drive_link</t>
  </si>
  <si>
    <t>P 135,700.00</t>
  </si>
  <si>
    <t xml:space="preserve">Motorbike Gutter and Yard (Street) Sweeper </t>
  </si>
  <si>
    <t>Request for financial assistance for the upgrading of the
commercial model of the invention.</t>
  </si>
  <si>
    <t xml:space="preserve"> Engr. Ernesto G. Pineda                                                                              Inventor </t>
  </si>
  <si>
    <t xml:space="preserve">43 Swaziland Street, Better Living Paranaque City </t>
  </si>
  <si>
    <t>2010-35- ad referenda</t>
  </si>
  <si>
    <t>https://drive.google.com/file/d/1onCtt6lglGbv7Hm3aJryzqVXO1nsbxlg/view?usp=drive_link</t>
  </si>
  <si>
    <t>P 98,179.57</t>
  </si>
  <si>
    <t xml:space="preserve">Publication of Regional Cluster Rules and Criteria </t>
  </si>
  <si>
    <t>Publication of the rules and criteria in the Official Gazette of the National Printing Office and also in a newspaper of wide circulation.</t>
  </si>
  <si>
    <t>National Printing Office                                                                                 Philippine Star</t>
  </si>
  <si>
    <t>Communications</t>
  </si>
  <si>
    <t>2010-36- ad referenda</t>
  </si>
  <si>
    <t>P 411,800</t>
  </si>
  <si>
    <t>CAPE Implementation in DOST- CAR</t>
  </si>
  <si>
    <t>CAPE implementation covering 10 farms in CAR Region.</t>
  </si>
  <si>
    <t xml:space="preserve">  DOST-CAR </t>
  </si>
  <si>
    <t xml:space="preserve">km. 6 La Trinidad, Benguet </t>
  </si>
  <si>
    <t>2010-37- ad referenda</t>
  </si>
  <si>
    <t>https://drive.google.com/file/d/1wp6aZkbm3S3FaiBPs1oZDzP-VsfCZY9w/view?usp=drive_link</t>
  </si>
  <si>
    <t>P 45,000.00</t>
  </si>
  <si>
    <t xml:space="preserve">Coconut Flour and Virgin Coconut Oil Production </t>
  </si>
  <si>
    <t>Seed capital for the purchase of operating expenses for the implementation of the projects under Stage I of SETUP- DATBED.</t>
  </si>
  <si>
    <t xml:space="preserve">Cagayan State University </t>
  </si>
  <si>
    <t xml:space="preserve">Cagayan </t>
  </si>
  <si>
    <t>2010-38- ad referenda</t>
  </si>
  <si>
    <t>https://drive.google.com/file/d/1fBFEr6IvFL-nShmVzF1dJocXOfLKw8Bv/view?usp=drive_link</t>
  </si>
  <si>
    <t>P 21,200.00</t>
  </si>
  <si>
    <t xml:space="preserve">Training on Bleacing and Dyeing of Indigenous Fibers for the Handicraft Manufacturers in Aurora </t>
  </si>
  <si>
    <t>The training aims to provide SMEs who are into handicraft manufacturing business in Aurora, with appropriate knowledge on the concepts, principles and methods of bleaching and dyeing technologies to improve the competitiveness and marketability of their products.</t>
  </si>
  <si>
    <t xml:space="preserve">Nursery Compound Tuguegarao,  Cagayan </t>
  </si>
  <si>
    <t>2010-39- ad referenda</t>
  </si>
  <si>
    <t>https://drive.google.com/file/d/1kpvjrl7k60rz5hwXQQPrNetCzQfo-PI6/view?usp=drive_link</t>
  </si>
  <si>
    <t>P 41,000</t>
  </si>
  <si>
    <t xml:space="preserve">Print of PTRI Technology Flyers </t>
  </si>
  <si>
    <t>Printing of 20,000 copies of tech flyers (4 kinds) 5,000 copies per kind for distribution during 2010 NSTW and to various DOST Expositions and Fairs.</t>
  </si>
  <si>
    <t xml:space="preserve"> Dr. Carlos T. Tomboc Director Phil. Textile Research Institute </t>
  </si>
  <si>
    <t>Technology Non Computures</t>
  </si>
  <si>
    <t>2010-40- ad referenda</t>
  </si>
  <si>
    <t>https://drive.google.com/file/d/19DqjNdHQdtAXwgSkH6Uj7CyvOjG0BOfZ/view?usp=drive_link</t>
  </si>
  <si>
    <t xml:space="preserve">P 40,000 </t>
  </si>
  <si>
    <t xml:space="preserve">Printing of PNRI Technology Flyers on Nuclear Technology Applications </t>
  </si>
  <si>
    <t>Printing of 6,000 copies of flyers/brochures on Institute nuclear technology applications (agriculture/ food, health, industry &amp; environment) for use during national and reg'l S&amp;T cluster fairs in 2010.</t>
  </si>
  <si>
    <t xml:space="preserve"> Dr. Corazon B. Bernido                                                                            Director Phil. Nuclear Research Institute </t>
  </si>
  <si>
    <t>2010-41- ad referenda</t>
  </si>
  <si>
    <t>2010-42- ad referenda</t>
  </si>
  <si>
    <t>https://drive.google.com/file/d/11fqUUUQlg8oUdDX2WIkp2m1fuFTHHI0D/view?usp=drive_link</t>
  </si>
  <si>
    <t>P 61,200 P 12,000 P 66,610                      P 45,000 P 240,000</t>
  </si>
  <si>
    <t>Seed capital to cover the operating expenses for the implementation of the projects under Stage I of SETUP-DATBED.</t>
  </si>
  <si>
    <t>2010-43- ad referenda</t>
  </si>
  <si>
    <t>https://drive.google.com/file/d/1KCcuZqMwYPLTn5W_p1zkZg-zhjKAGi1K/view?usp=drive_link</t>
  </si>
  <si>
    <t xml:space="preserve">Communicating the Philippine Technology Transfer Act of 2009 and its Implementing Rules and Regulations to Stakeholders </t>
  </si>
  <si>
    <t>A good venue to promote the Technology Transfer Act and its Implementing Rules and Regulations (IRR).</t>
  </si>
  <si>
    <t xml:space="preserve">Philippine Council for Agriculture, Forestry and Natural Resources Research and Development (PCARRD) </t>
  </si>
  <si>
    <t>2010-44- ad referenda</t>
  </si>
  <si>
    <t>https://drive.google.com/file/d/1DpmhUNSenR2Suy2PlxDz0BY0u8eYfZ0S/view?usp=drive_link</t>
  </si>
  <si>
    <t>P 439,540.00</t>
  </si>
  <si>
    <t xml:space="preserve">Establishment of A Pilot Plant for Vegetable-Based Noodles </t>
  </si>
  <si>
    <t xml:space="preserve">Mr. Ricardo L Sargan                                                                                Proprietor Sanctis Foods Enterprise </t>
  </si>
  <si>
    <t xml:space="preserve">Blk. 69, Lot 19,Tibi Street Purok 5, Upper Bicutan Bicutan, Taguig City </t>
  </si>
  <si>
    <t>2010-45- ad referenda</t>
  </si>
  <si>
    <t>2010-46- ad referenda</t>
  </si>
  <si>
    <t>2010-47- ad referenda</t>
  </si>
  <si>
    <t>2010-48- ad referenda</t>
  </si>
  <si>
    <t>2010-49- ad referenda</t>
  </si>
  <si>
    <t>2010-50- ad referenda</t>
  </si>
  <si>
    <t>2010-51- ad referenda</t>
  </si>
  <si>
    <t>https://drive.google.com/file/d/1IMounkTLe5wVUWNvLJ1ZmwfuBO55QdJW/view?usp=drive_link</t>
  </si>
  <si>
    <t>P 68,917</t>
  </si>
  <si>
    <t>We are recommending approval of the request for the restructuring of the Schedule of Refund of the past due account in seven (7) months amounting to P9,845/mo except for the last payment which is P9,847. The refund will start on September 2010.</t>
  </si>
  <si>
    <t>Mr. Abelardo Tinio Vp for Operations Akka Wood, Inc.</t>
  </si>
  <si>
    <t>2010-52- ad referenda</t>
  </si>
  <si>
    <t>2010-53- ad referenda</t>
  </si>
  <si>
    <t>https://drive.google.com/file/d/1L4Rm9bLT1On_t7LSLQ4IRxE9f2uHEWTM/view?usp=drive_link</t>
  </si>
  <si>
    <t>P 40,000.00</t>
  </si>
  <si>
    <t xml:space="preserve">Printing of ITDI Technology Brochures </t>
  </si>
  <si>
    <t>Printing of ITDI Technology Brochures for 2010 NSTW and Regional Cluster Fairs.</t>
  </si>
  <si>
    <t xml:space="preserve">Dr. Nuna E. Almanzor Director Industrial Technology development Institute </t>
  </si>
  <si>
    <t>2010-54- ad referenda</t>
  </si>
  <si>
    <t>https://drive.google.com/file/d/1ZqnFf-V8VI-PR35CJGSn5UZMe7YEgZ_6/view?usp=drive_link</t>
  </si>
  <si>
    <t>P 40,000</t>
  </si>
  <si>
    <t xml:space="preserve">Printing of ASTI Technology Brochures </t>
  </si>
  <si>
    <t>Printing of ASTI Technology Brochures for 2010 NSTW and Regional Cluster Fairs.</t>
  </si>
  <si>
    <t xml:space="preserve"> Engr. Dennis F. Villorente                                                                          Director Advance Science and Technology Insitute</t>
  </si>
  <si>
    <t xml:space="preserve">U.P Techno Park, U.P. Campus Diliman, QC </t>
  </si>
  <si>
    <t>2010-55- ad referenda</t>
  </si>
  <si>
    <t>https://drive.google.com/file/d/1xhsnIgOSZxrg7SllF_ehS-OnYPHU0EBe/view?usp=drive_link</t>
  </si>
  <si>
    <t xml:space="preserve">Printing of MIRDC  Technology Brochures </t>
  </si>
  <si>
    <t>Printing of MIRDC Technology Brochures for 2010 NSTW and Regional Cluster Fairs.</t>
  </si>
  <si>
    <t xml:space="preserve">Arthur Lucas D. Cruz Executive Director Metals Industry Research and Development Institute  </t>
  </si>
  <si>
    <t>2010-56- ad referenda</t>
  </si>
  <si>
    <t>https://drive.google.com/file/d/1fuDzGruclimDPCjowzmMKN-ItYafFyvX/view?usp=drive_link</t>
  </si>
  <si>
    <t>P 85,000</t>
  </si>
  <si>
    <t>Printing of FPRDI Technology Brochures</t>
  </si>
  <si>
    <t>Printing of 3,000 copies of FPRDI Technology Brochures for 2010 NSTW and Regional Cluster S&amp;T Fairs</t>
  </si>
  <si>
    <t xml:space="preserve">Dr. Romulo Z. Aggangan Director IV Forest Products Research and Development Institute </t>
  </si>
  <si>
    <t>College Los Banos, Laguna</t>
  </si>
  <si>
    <t>2010-57- ad referenda</t>
  </si>
  <si>
    <t>https://drive.google.com/file/d/1K-pkogfn-E-tQaLUkM-NP9bKaB0nx4ee/view?usp=drive_link</t>
  </si>
  <si>
    <t>P 74, 172.00</t>
  </si>
  <si>
    <t xml:space="preserve">Seminar on Woodworking Machine Operation and Maintenance </t>
  </si>
  <si>
    <t>DOST III's request for the utilization of the unexpected balance (UB) of the DTTC-assisted project amounting to P4,172.00 to cover the additional training cost of the Seminar. A two-day training on woodworking machine operation to acquaint the owners of the Woodinspirations Crafts, Inc. and its workers with the different woodworking machines, its operations and maintenance.</t>
  </si>
  <si>
    <t xml:space="preserve">DOST Region III                                                                                        Government Center </t>
  </si>
  <si>
    <t xml:space="preserve">Maimpis San Fernando, Pampanga </t>
  </si>
  <si>
    <t>2010-58- ad referenda</t>
  </si>
  <si>
    <t>2010-59- ad referenda</t>
  </si>
  <si>
    <t>2010-60- ad referenda</t>
  </si>
  <si>
    <t>https://drive.google.com/file/d/1g8jtOfwQUlKflZU1J89g67Vn3aY_fRoa/view?usp=drive_link</t>
  </si>
  <si>
    <t xml:space="preserve">P 73, 090.00          P 73, 090.00                             P 73, 090.00 </t>
  </si>
  <si>
    <t xml:space="preserve">Utilization of Papaya and Coconut into Cupcakes, Utilization of Squash into Cupcakes and Bread, Utilization of Sweet Potato for the Product of Camote Sticks, Camote Tops Cordial and Camote Tops de Yema  </t>
  </si>
  <si>
    <t>Seed capital for the operating expenses for the implementation of the projects under Stage I of SETUP-DATBED.</t>
  </si>
  <si>
    <t xml:space="preserve">Marinduque State College (MSC) </t>
  </si>
  <si>
    <t xml:space="preserve">Tanza, Boac, Marinduque </t>
  </si>
  <si>
    <t>2010-61- ad referenda</t>
  </si>
  <si>
    <t>https://drive.google.com/file/d/1G5jsa6dqfzQRJFIZwoN2FdJxT04TbRXd/view?usp=drive_link</t>
  </si>
  <si>
    <t>P 18,100.00</t>
  </si>
  <si>
    <t xml:space="preserve">Skills Training on Resin-Bonded Artwares </t>
  </si>
  <si>
    <t>The general objective of the training is to conduct a complete module on resin-bonded artwares with fiber glass and mould making.</t>
  </si>
  <si>
    <t xml:space="preserve">DOST Region III </t>
  </si>
  <si>
    <t xml:space="preserve">PSTC-Pampanga </t>
  </si>
  <si>
    <t>2010-62- ad referenda</t>
  </si>
  <si>
    <t>https://drive.google.com/file/d/1oeh-uOvMT3-P1Yd_72jLvxLzfaM7CuOj/view?usp=drive_link</t>
  </si>
  <si>
    <t>P 31,200.00</t>
  </si>
  <si>
    <t>Invent School Program for Secondary Schools in Region 1</t>
  </si>
  <si>
    <t>A two-day seminar workshop to be held in conjunction with the Northern Luzon Cluster Invention and Exhibits on 13-17 September 2010, Ilocos Norte.</t>
  </si>
  <si>
    <t>Department of Science and Technology Region 1                                 DMMMSU-CLU</t>
  </si>
  <si>
    <t>Campus P.O. Box 117 City of San Fernando, La Union</t>
  </si>
  <si>
    <t>2010-63- ad referenda</t>
  </si>
  <si>
    <t>https://drive.google.com/file/d/1-X6oH1GeWghdwQp28v-fqixGnUvwI0Wg/view?usp=drive_link</t>
  </si>
  <si>
    <t xml:space="preserve">Printing of TRCTechnology Brochures  </t>
  </si>
  <si>
    <t>Printing of TRC Technology Brochres for 2010 NSTW and Regional Cluster Fairs.</t>
  </si>
  <si>
    <t xml:space="preserve"> Mr. Dennis L Cunanan                                                                              Director General Technology Research Center </t>
  </si>
  <si>
    <t xml:space="preserve">103 J Abad Santos. St, Little Baguio, San Juan City </t>
  </si>
  <si>
    <t>2010-64- ad referenda</t>
  </si>
  <si>
    <t>https://drive.google.com/file/d/16C10s8wZegexjRlJ78OB6tLHLu0X9Dk9/view?usp=drive_link</t>
  </si>
  <si>
    <t>P 739,700.00</t>
  </si>
  <si>
    <t xml:space="preserve">2010 Regional Invention Contests and Exhibits Southern Luzon Regional Cluster Invention Contests and Exhibits </t>
  </si>
  <si>
    <t>Regional Invention Contest and Exhibits, dated September 6–8, 2010 at the Pacific Mall, Legaspi City.</t>
  </si>
  <si>
    <t xml:space="preserve">DOST Region V               DOST Region IV CALABARZON                                                                                   DOST Region IV MIMAROPA </t>
  </si>
  <si>
    <t>2010-65- ad referenda</t>
  </si>
  <si>
    <t>https://drive.google.com/file/d/1HJkOGL6kTE1arHcd6ca1o1YrX0OtzjiU/view?usp=drive_link</t>
  </si>
  <si>
    <t>P65,000                                                    P 35,000</t>
  </si>
  <si>
    <t>"Hydronic Generator and " Spin90"</t>
  </si>
  <si>
    <t>The financial assistance amounting to P65,000 and P35,000 respectively shall cover for the materials and labor expenses.</t>
  </si>
  <si>
    <t>Mr. Benjamin T Apsay</t>
  </si>
  <si>
    <t xml:space="preserve">Poblacio District 3 McArthur,Leyte </t>
  </si>
  <si>
    <t>2010-66- ad referenda</t>
  </si>
  <si>
    <t>2010-67- ad referenda</t>
  </si>
  <si>
    <t>https://drive.google.com/file/d/1HkAWNFuM5IqJHBOUefK_HD2Menkt0mbm/view?usp=drive_link</t>
  </si>
  <si>
    <t>P 350,000.00</t>
  </si>
  <si>
    <t xml:space="preserve">2009 Visayas Island Invention Contests and Exhibits (2009 VICE) </t>
  </si>
  <si>
    <t xml:space="preserve">DOST Region VI has requested for the transfer of the unexpended balance from DOST Region VII for the augmentation of the expenses for smooth implementation of the 2010 Visayas Island Invention Contests and Exhibits.
</t>
  </si>
  <si>
    <t xml:space="preserve">Gov.Manuel Cuenco Avenue Banilad, Cebu City </t>
  </si>
  <si>
    <t>2010-68- ad referenda</t>
  </si>
  <si>
    <t>https://drive.google.com/file/d/1ye5t7hOykJGY645O_B2ZMKeP9OcVpxvH/view?usp=drive_link</t>
  </si>
  <si>
    <t xml:space="preserve">P 5,000 + P 3,000(transportation) </t>
  </si>
  <si>
    <t>Request for financial assistance for the Society invention to be tested lliptical at the Agricultural Machinery Testing and Evaluation Center (AMTEC).</t>
  </si>
  <si>
    <t xml:space="preserve">Mr. Bormeo G. Modanza                                                                          Inventor c/o Filipino inventors Society </t>
  </si>
  <si>
    <t>3rd Floor ATI Builing, Elliptical Road, Quezon City</t>
  </si>
  <si>
    <t>2010-69- ad referenda</t>
  </si>
  <si>
    <t>2010-70- ad referenda</t>
  </si>
  <si>
    <t>https://drive.google.com/file/d/14D_L2g1eIhFzT0kr0xl7TnepIFrYHzn_/view?usp=drive_link</t>
  </si>
  <si>
    <t xml:space="preserve">  P 100,000</t>
  </si>
  <si>
    <t>2010 Joint Centrral Luzon and NCR Invention Contests and Exhibits</t>
  </si>
  <si>
    <t>The additional funding assistance is to augment for "Travel, Per Diem and Freight Expenses of the Participants".</t>
  </si>
  <si>
    <t xml:space="preserve">DOST Building Government Center Maimpis, San Fernando Pampanga City </t>
  </si>
  <si>
    <t xml:space="preserve">Region III </t>
  </si>
  <si>
    <t>2010-71- ad referenda</t>
  </si>
  <si>
    <t>2010-72- ad referenda</t>
  </si>
  <si>
    <t>https://drive.google.com/file/d/1NfF8rVfoFvTvgwJgA4ENeR7O88l1ieMb/view?usp=drive_link</t>
  </si>
  <si>
    <t>P 154,560.00</t>
  </si>
  <si>
    <t xml:space="preserve">EXIST Exhibit Systems Technology Corporation </t>
  </si>
  <si>
    <t>Award of Contract for the Supply of Exhibit Booth System for the 2010 Southern Luzon Cluster Invention Contests and Exhibits.</t>
  </si>
  <si>
    <t>#36-A, Amang Rodriguez Ave. Rosario Pasig City Metro Manila</t>
  </si>
  <si>
    <t>2010-73- ad referenda</t>
  </si>
  <si>
    <t>https://drive.google.com/file/d/1-eIaIeHhu6Fun7-c9JF3YOHyqt3iAri9/view?usp=drive_link</t>
  </si>
  <si>
    <t>P15,000.00</t>
  </si>
  <si>
    <t>"Blockbuster Car Immobilizer</t>
  </si>
  <si>
    <t>The assistance is for the production/assembly of thirty (30) units of the device.</t>
  </si>
  <si>
    <t xml:space="preserve">Mr, Panfilo Famador                                                                                       Inventor </t>
  </si>
  <si>
    <t xml:space="preserve">91-A Central Kalayaan Brgy, Balagbag Pasay City </t>
  </si>
  <si>
    <t>2010-74- ad referenda</t>
  </si>
  <si>
    <t>https://drive.google.com/file/d/1A8isG_rv3dt8Aj_q9R7Kf9DuY205tIlE/view?usp=drive_link</t>
  </si>
  <si>
    <t>P 42,000</t>
  </si>
  <si>
    <t xml:space="preserve">Technology Fora Series 1. Climate Change Impacts: Challenges &amp; Opportunities 2. Techno-Demo on Spin Casting and Decorative Electroplating ( Non-Cyanide, Brush Plating &amp; Anodizing Plating)3. Policy Environment for Innovation </t>
  </si>
  <si>
    <t>Through these lecture series and technology City forum, the technology generators, experts and potential adoptors will meet thus, facilitating transfer of technologies.</t>
  </si>
  <si>
    <t xml:space="preserve">J.V.  Serina Street Carmen, Cagayan de Oro City </t>
  </si>
  <si>
    <t>Technology non Computers</t>
  </si>
  <si>
    <t xml:space="preserve">Region X </t>
  </si>
  <si>
    <t>2010-75- ad referenda</t>
  </si>
  <si>
    <t>https://drive.google.com/file/d/1VyA8Onkx6-vDeWOC0SI1PHu2JEcLte9H/view?usp=drive_link</t>
  </si>
  <si>
    <t>P 42, 633.91</t>
  </si>
  <si>
    <t xml:space="preserve">Prototype Fabrication of Heat Pump Dryer for Multi-Commodoty Application </t>
  </si>
  <si>
    <t>The proponent is requesting for the use of UB for the purchase of additional materials and labor for the improvement of of the performance of the prototype with a Total Project Cost - P214,647.00, Disbursements 171,933.09 and UB amounting to P 42,633.91.</t>
  </si>
  <si>
    <t xml:space="preserve">Mariano Marcos State University </t>
  </si>
  <si>
    <t>Batac, Ilocos Norte</t>
  </si>
  <si>
    <t>2010-76- ad referenda</t>
  </si>
  <si>
    <t>2010-77- ad referenda</t>
  </si>
  <si>
    <t>https://drive.google.com/file/d/1ZL6thbNDHOzzEsJJCBHM36AaPucolbhP/view?usp=drive_link</t>
  </si>
  <si>
    <t>P 14, 015.00</t>
  </si>
  <si>
    <t xml:space="preserve">Improve All Weather Lambaklad </t>
  </si>
  <si>
    <t>Request for Patenting Assistance for Improved All Weather Lambaklad, a fish trap net provided with a catching box and leader
positioned and shaped to entrapped the moving school of fishes.</t>
  </si>
  <si>
    <t xml:space="preserve">Enriquerto R. Galera </t>
  </si>
  <si>
    <t xml:space="preserve">Brgy. 8. Pambujan Northern Samar </t>
  </si>
  <si>
    <t>Ennironment</t>
  </si>
  <si>
    <t>2010-78- ad referenda</t>
  </si>
  <si>
    <t>https://drive.google.com/file/d/17k40JsZzh_JFWpKHn93I788FG2X5mmf9/view?usp=drive_link</t>
  </si>
  <si>
    <t>P 16,818.00</t>
  </si>
  <si>
    <t xml:space="preserve">"SALFAN" </t>
  </si>
  <si>
    <t>Request for Patenting Assistance for SALFAN, a fan driven by a spring wound motor, rather than the traditional electric
motor.</t>
  </si>
  <si>
    <t xml:space="preserve">Ramon A. Salva </t>
  </si>
  <si>
    <t xml:space="preserve">Purok 7, Sta. Teresa Dalahican, Lucena City </t>
  </si>
  <si>
    <t>2010-79- ad referenda</t>
  </si>
  <si>
    <t>https://drive.google.com/file/d/1qPCEkS_H8q3Bn4CfFFilAzN_0o-exKay/view?usp=drive_link</t>
  </si>
  <si>
    <t>P 12,000.00</t>
  </si>
  <si>
    <t xml:space="preserve">Invent School Introductory Program </t>
  </si>
  <si>
    <t>Reimbursement of Expenses incurred for the conduct of Training Workshop on Invent School Introductory Program (ISIP),
25 May 2010.</t>
  </si>
  <si>
    <t>Insitute for Creativity and Inventiveness Inc.</t>
  </si>
  <si>
    <t>2010-80- ad referenda</t>
  </si>
  <si>
    <t>2010-81- ad referenda</t>
  </si>
  <si>
    <t>https://drive.google.com/file/d/1FGR_f54TX083A5e1G7nHM2_sS7n39Feo/view?usp=drive_link</t>
  </si>
  <si>
    <t>P 30,000</t>
  </si>
  <si>
    <t xml:space="preserve">Intensify Technology Transfer and Information Dissimination Through Production of Promotional Materials </t>
  </si>
  <si>
    <t>Production &amp; Printing of Product Catalog/Brochures for the DOST-VIII SET-UP Beneficiaries.</t>
  </si>
  <si>
    <t>Engr. Edgardo M. Esparancilla Regional Directory DOST Regional Office No.VIII</t>
  </si>
  <si>
    <t xml:space="preserve">Govt.Center Candaug Palo, Leyte </t>
  </si>
  <si>
    <t>2010-82- ad referenda</t>
  </si>
  <si>
    <t>2010-83- ad referenda</t>
  </si>
  <si>
    <t>2010-84- ad referenda</t>
  </si>
  <si>
    <t>2010-85- ad referenda</t>
  </si>
  <si>
    <t>2010-86- ad referenda</t>
  </si>
  <si>
    <t>https://drive.google.com/file/d/1kBQjXr6HylKNilxeKk12OFeE8ge9HjKs/view?usp=drive_link</t>
  </si>
  <si>
    <t>P 14,015.00</t>
  </si>
  <si>
    <t>Freecious Wind Turbine</t>
  </si>
  <si>
    <t>Request for Patenting Assistance for Freecious Wind Turbine.</t>
  </si>
  <si>
    <t>Mr. Fernando C. De Luna, Sr.</t>
  </si>
  <si>
    <t xml:space="preserve">90 Greenheights Avenue Green Heights Village San Isidro Sucat, Paranaque City </t>
  </si>
  <si>
    <t>2010-87- ad referenda</t>
  </si>
  <si>
    <t>2010-88- ad referenda</t>
  </si>
  <si>
    <t>2010-89- ad referenda</t>
  </si>
  <si>
    <t>2010-90- ad referenda</t>
  </si>
  <si>
    <t>https://drive.google.com/file/d/1B_NYYF6dYpFtXMSKu6hqTH3-9P4SvhVm/view?usp=drive_link</t>
  </si>
  <si>
    <t>P 50,000</t>
  </si>
  <si>
    <t>Technology Promotion Activity in Support of S.ex in the City 2010 (Software and Exhibition Conference)</t>
  </si>
  <si>
    <t>The event constitutes exhibit of software and application technologies with business matching. The event shall showcase what DOST has to offer to local software developers in Davao City.</t>
  </si>
  <si>
    <t xml:space="preserve">DOST Region XI                                                                                         Davao Medical Center </t>
  </si>
  <si>
    <t xml:space="preserve">Compound Bajada, Davao City </t>
  </si>
  <si>
    <t>2010-91- ad referenda</t>
  </si>
  <si>
    <t>2010-92- ad referenda</t>
  </si>
  <si>
    <t>https://drive.google.com/file/d/1-UYwlAn2sd51K0UAsD1MyKLdIP5n2_97/view?usp=drive_link</t>
  </si>
  <si>
    <t>P 8,500</t>
  </si>
  <si>
    <t>S9 Micro-Biotech Engine Oil</t>
  </si>
  <si>
    <t>Request for financial assistance for the invention to be tested by ETV.</t>
  </si>
  <si>
    <t>Sarlo R Gentapan                                                                                        Inventor Chun hae Food Processor</t>
  </si>
  <si>
    <t xml:space="preserve">Km. 9, Saadvedra Village Matina Pangi, Davao City </t>
  </si>
  <si>
    <t>2010-93- ad referenda</t>
  </si>
  <si>
    <t>2010-94- ad referenda</t>
  </si>
  <si>
    <t>2010-95- ad referenda</t>
  </si>
  <si>
    <t>2010-96- ad referenda</t>
  </si>
  <si>
    <t>2010-97- ad referenda</t>
  </si>
  <si>
    <t>2010-98- ad referenda</t>
  </si>
  <si>
    <t>https://drive.google.com/file/d/13ToPzq07kMEZj0FjOyvLwfbOmGbZwEOY/view?usp=drive_link</t>
  </si>
  <si>
    <t>Intensification of the Implementation of Technology Promotions and Transfer in Region 8 Through the Conduct of Technology Transfer Fora</t>
  </si>
  <si>
    <t>The request for extension is from November 2010 to December 2010 due to conflict of schedules with their partner, DOST VII.</t>
  </si>
  <si>
    <t xml:space="preserve">DOST Region VIII                                                                                    Government Center </t>
  </si>
  <si>
    <t xml:space="preserve">Candahug, Palo Leyte </t>
  </si>
  <si>
    <t>2010-99-ad referenda</t>
  </si>
  <si>
    <t>https://drive.google.com/file/d/1XHw_VuSXYqYKkt9ELl_gZAayeG1uxplu/view?usp=sharing</t>
  </si>
  <si>
    <t>P 550,072</t>
  </si>
  <si>
    <t xml:space="preserve">Upgrading of the Calibration Laboratory  of the Department of Science and Technology Regional Office Number 7- Regional Standards and Testing Laboratory ( DOST 7 RSTL) In Support to the Manufacturing Industries of Central Visayas  </t>
  </si>
  <si>
    <t>Realignment of Financial Assistance Released under TAPI's Venture Financing Program to acquire additional equipment for the continuity of the project.</t>
  </si>
  <si>
    <t xml:space="preserve">Engr. Rene Burt N. Llanto                                                                     Regional Director </t>
  </si>
  <si>
    <t xml:space="preserve">DOST Region VII, Gov Manuel Cuenco Ave. Banilad, Cebu City </t>
  </si>
  <si>
    <t>Allocating Tapi-Gia for CY 2009 Priority Projects</t>
  </si>
  <si>
    <t>LSPU Rice Seed Production Project: LSPU as a major Rice Seed Producer of Laguna Using In- Breeding Techniques</t>
  </si>
  <si>
    <t>http://gofile.me/4xaew/il6ooFSgf</t>
  </si>
  <si>
    <t>https://drive.google.com/file/d/1sILm1Ee7cJRF1sAaqCb_UlD7HKpJgx1S/view?usp=drive_link</t>
  </si>
  <si>
    <t>Laguna State Polytechnic University (LSPU)</t>
  </si>
  <si>
    <t>38M6+6VQ, Cosico Ave, San Pablo City, 4000 Laguna                                                                                                                                         Siniloan Campus</t>
  </si>
  <si>
    <t>P 250,000.00</t>
  </si>
  <si>
    <t>SET UP DATBED</t>
  </si>
  <si>
    <t>CAPE Program Implementation in Regions VI and VIII</t>
  </si>
  <si>
    <t>http://gofile.me/4xaew/GVNvqdgQt</t>
  </si>
  <si>
    <t>https://drive.google.com/file/d/1C_bZsi9JKt12lD17wJjP5a9C2NMQI2c9/view?usp=drive_link</t>
  </si>
  <si>
    <t>DOST VI                                                                                                                                         DOST VIII</t>
  </si>
  <si>
    <r>
      <rPr>
        <sz val="10"/>
        <color theme="1"/>
        <rFont val="Arial"/>
      </rPr>
      <t xml:space="preserve">P1,143,440.00 (DOST SET-UP)
P 1,265, 984.00 (TAPi-GIA)
</t>
    </r>
    <r>
      <rPr>
        <b/>
        <sz val="10"/>
        <color theme="1"/>
        <rFont val="Arial"/>
      </rPr>
      <t>Total: P 2,409,424.00</t>
    </r>
  </si>
  <si>
    <t>Allocating Tapi-Gia Funds for CY 2009 Priority Projects</t>
  </si>
  <si>
    <t>MPEX Program Implementation in  Regions VI and VIII</t>
  </si>
  <si>
    <t>http://gofile.me/4xaew/v5QIshBCd</t>
  </si>
  <si>
    <t>https://drive.google.com/file/d/1pS5938VztamCcAAPD6Lxt-WM6Dky_7VD/view?usp=drive_link</t>
  </si>
  <si>
    <r>
      <rPr>
        <sz val="10"/>
        <color theme="1"/>
        <rFont val="Arial"/>
      </rPr>
      <t xml:space="preserve">P 1,818,984.oo (TAPI-GIA)                                                                                          P 866,940.00 (DOST SET-UP)                                                                                    </t>
    </r>
    <r>
      <rPr>
        <b/>
        <sz val="10"/>
        <color theme="1"/>
        <rFont val="Arial"/>
      </rPr>
      <t>Total: P 2,685,924.00</t>
    </r>
  </si>
  <si>
    <t>MPEX-EBESE Program Implementation In Luzon and Mindanao</t>
  </si>
  <si>
    <t>http://gofile.me/4xaew/hIoJ9Fhh0</t>
  </si>
  <si>
    <t>https://drive.google.com/file/d/1BfBVJHqOqv58uB-E3QfpIb1VhH600Arg/view?usp=drive_link</t>
  </si>
  <si>
    <t xml:space="preserve">ECOP- Institute of Productivity and Competitiveness </t>
  </si>
  <si>
    <t>BCC Building, 355 Sen. Gil J. Puyat Ave, Makati, 1209 Metro Manila</t>
  </si>
  <si>
    <t>P 2,610,000.00</t>
  </si>
  <si>
    <t>http://gofile.me/4xaew/m55zN4gzH</t>
  </si>
  <si>
    <t>https://drive.google.com/file/d/1JDika8tzemrcx1_VvXr-8YXyZCBkxV4w/view?usp=drive_link</t>
  </si>
  <si>
    <t>Engr. Omar Yapchiongco</t>
  </si>
  <si>
    <t>OHY Enterprises, Longos, Balagtas, Bulacan</t>
  </si>
  <si>
    <t>P 605,937.00</t>
  </si>
  <si>
    <t>Academe/Industry Prototype Development Assistance Program</t>
  </si>
  <si>
    <t>Hyper Torque Fuel Saving Device</t>
  </si>
  <si>
    <t>http://gofile.me/4xaew/qZEPxpblO</t>
  </si>
  <si>
    <t>https://drive.google.com/file/d/1ED54n54SelTT3C6qpmljdnSjXOPk0-VZ/view?usp=drive_link</t>
  </si>
  <si>
    <t>Anthony G. Leuterio</t>
  </si>
  <si>
    <t>217 M.L Quezon Street, Lower Bicutan, Taguig City</t>
  </si>
  <si>
    <t>Assistance to Inventors-Testing Assistance Program</t>
  </si>
  <si>
    <t>Comprehensive Livelihood and Emergency Employment Program (CLEEP)</t>
  </si>
  <si>
    <t>http://gofile.me/4xaew/kgdVuRhdj</t>
  </si>
  <si>
    <t>https://drive.google.com/file/d/1ZnIyjSBLsE9TtFPjkScshJgUyOHFiW2D/view?usp=drive_link</t>
  </si>
  <si>
    <t>TAPI Employees Association, Inc.</t>
  </si>
  <si>
    <t>P 500,000.00</t>
  </si>
  <si>
    <t>Livelihood Program for NCR</t>
  </si>
  <si>
    <t>Intensification of the Implementation of Technology Promotions and Transfer in Region VIII Through the Conduct of Technology Investment Fora</t>
  </si>
  <si>
    <t>http://gofile.me/4xaew/y7HdlI8dk</t>
  </si>
  <si>
    <t>https://drive.google.com/file/d/1Faa1D2zeIuVZVvz1SURQY3hVWx7F1SOi/view?usp=drive_link</t>
  </si>
  <si>
    <t xml:space="preserve">DOST Region VIII </t>
  </si>
  <si>
    <t>P 316,000.00</t>
  </si>
  <si>
    <t>ITFP</t>
  </si>
  <si>
    <t>Technical Training Programs For Micro Small and Medium Enterprises in the National Capital Region</t>
  </si>
  <si>
    <t>http://gofile.me/4xaew/8ZMHSKpSz</t>
  </si>
  <si>
    <t>https://drive.google.com/file/d/1pULaHhGeKQiJ76kE40T70SpzidqWqwgi/view?usp=drive_link</t>
  </si>
  <si>
    <t>P 200,335.00</t>
  </si>
  <si>
    <t>Trainers' Training For the Adoption of DOST-CALABARZON's Biogas Technology</t>
  </si>
  <si>
    <t>http://gofile.me/4xaew/4PmKFQ0on</t>
  </si>
  <si>
    <t>https://drive.google.com/file/d/1ezGklwuJsZq_YvLeEIhkdS5OGG1ObhNX/view?usp=drive_link</t>
  </si>
  <si>
    <t>DOST Regional Office IV, Brgy. Timugan, Los Banos Laguna</t>
  </si>
  <si>
    <t>P 100,000.00</t>
  </si>
  <si>
    <t>Training on Mass and Small Volume Calibration of LGUs</t>
  </si>
  <si>
    <t>http://gofile.me/4xaew/BDZALWl8l</t>
  </si>
  <si>
    <t>https://drive.google.com/file/d/1wsasnEq2F8RXi6SX2L9HVTTaLdGlO5wB/view?usp=drive_link</t>
  </si>
  <si>
    <t xml:space="preserve"> DOST-CALABARZON                                                                                                                    ITDI- DOST                                                                                                                                           LSPU-Regional Metrology Center</t>
  </si>
  <si>
    <t>P 120,000.00</t>
  </si>
  <si>
    <t>MPEX Implementation in DOST MIMAROPA</t>
  </si>
  <si>
    <t>http://gofile.me/4xaew/vomrKgKKW</t>
  </si>
  <si>
    <t>https://drive.google.com/file/d/1sXN65aHusjw0nmhzvTELyfja_kRCqQpB/view?usp=drive_link</t>
  </si>
  <si>
    <t>DOST MIMAROPA                                                                                                                         DOST Region IV</t>
  </si>
  <si>
    <t>Brgy., Timugan, Los Banos, Laguna</t>
  </si>
  <si>
    <t>P 948,636.00</t>
  </si>
  <si>
    <t>2009-13</t>
  </si>
  <si>
    <t>CAP Implementation in DOST II</t>
  </si>
  <si>
    <t>http://gofile.me/4xaew/Mip5Hy4MD</t>
  </si>
  <si>
    <t>https://drive.google.com/file/d/1S0Beusxsy5QP1AUvgpykA5q8PYIwIjn5/view?usp=drive_link</t>
  </si>
  <si>
    <t>Nursery Compound, Tuguegarao, Cagayan</t>
  </si>
  <si>
    <t>P 1,501,636.00</t>
  </si>
  <si>
    <t>2009-14</t>
  </si>
  <si>
    <t>Capability Building for Cleaner Production Assessors in Support of SET-UP in region VI</t>
  </si>
  <si>
    <t>http://gofile.me/4xaew/bN9oq3zH0</t>
  </si>
  <si>
    <t>https://drive.google.com/file/d/1dlEOQ0Cf82QuQ6q0mB30XMeRCYojy40K/view?usp=drive_link</t>
  </si>
  <si>
    <t>P 131,450.00</t>
  </si>
  <si>
    <t>2009-15</t>
  </si>
  <si>
    <t>Coconut Wine Making</t>
  </si>
  <si>
    <t>http://gofile.me/4xaew/Wuy4oRNTG</t>
  </si>
  <si>
    <t>https://drive.google.com/file/d/1jplicxseeJaeHGZoAJRfFI6XDKwtevcz/view?usp=drive_link</t>
  </si>
  <si>
    <t>Cabugcayan National School of Agriculture and Technology (CNSAT)</t>
  </si>
  <si>
    <t>Cabugcayan, Biliran, Leyte</t>
  </si>
  <si>
    <t>P 47,924.00</t>
  </si>
  <si>
    <t>2009-16</t>
  </si>
  <si>
    <t>Visayas Regional S&amp;T Fair</t>
  </si>
  <si>
    <t>http://gofile.me/4xaew/zpE4V5tRx</t>
  </si>
  <si>
    <t>https://drive.google.com/file/d/1b14j-CQ2VkPZwteL1lmysIUS-IRy9vW9/view?usp=drive_link</t>
  </si>
  <si>
    <t>P 1,174,000.00</t>
  </si>
  <si>
    <t>Technology Exposition/Fair Program</t>
  </si>
  <si>
    <t>2009-17</t>
  </si>
  <si>
    <t xml:space="preserve">Northern Luzon Regional Cluster  S&amp;T Fair </t>
  </si>
  <si>
    <t>http://gofile.me/4xaew/sTwmVKEkg</t>
  </si>
  <si>
    <t>https://drive.google.com/file/d/1zrnIPR0wNppZ6RH6LxpwSV2HxTECBiOg/view?usp=drive_link</t>
  </si>
  <si>
    <t>DMMSU, CET Campus, San Fernando, La union</t>
  </si>
  <si>
    <t>P 1,000,000.00</t>
  </si>
  <si>
    <t>2009-18</t>
  </si>
  <si>
    <t>" Hyper Torque" Fuel Saver,Power Booster and Emission reducer for Internal Combustion Engines</t>
  </si>
  <si>
    <t>http://gofile.me/4xaew/QGbfKnAXe</t>
  </si>
  <si>
    <t>https://drive.google.com/file/d/1s2c3ZCWrHMirfBYoHTZF89YyAJmITXnw/view?usp=drive_link</t>
  </si>
  <si>
    <t>217 M.L Quezon Street, Zone 3, Lower Bicutan, Taguig City</t>
  </si>
  <si>
    <t>P 8,500.00</t>
  </si>
  <si>
    <t>Testing Assistance Program</t>
  </si>
  <si>
    <t>2009-19</t>
  </si>
  <si>
    <t>http://gofile.me/4xaew/sTieujFbi</t>
  </si>
  <si>
    <t>https://drive.google.com/file/d/1ko3GRjKfLzdu2T0Jik6kGO0RUp9CpJri/view?usp=drive_link</t>
  </si>
  <si>
    <t>Km. 6 La Trinidad , Benguet</t>
  </si>
  <si>
    <t>P 860,000.00</t>
  </si>
  <si>
    <t>2009-20</t>
  </si>
  <si>
    <t>Augmentation of Working Capital for the Operation of Calamansi Juice Production</t>
  </si>
  <si>
    <t>http://gofile.me/4xaew/unXCa8hqD</t>
  </si>
  <si>
    <t>https://drive.google.com/file/d/1QNmMtv9NtYTPluyZiu9TQ5PDVAn1-Lhl/view?usp=drive_link</t>
  </si>
  <si>
    <t xml:space="preserve">Zambo Tropical Foods ( ZTF) </t>
  </si>
  <si>
    <t>J. Ruste Drive , Sta. Maria, Zamboanga City</t>
  </si>
  <si>
    <t>P 904, 135.47</t>
  </si>
  <si>
    <t>2009-24</t>
  </si>
  <si>
    <t>2009 National Invention Contest and Exhibits (NICE)</t>
  </si>
  <si>
    <t>http://gofile.me/4xaew/DfGw9wfD6</t>
  </si>
  <si>
    <t>https://drive.google.com/file/d/1m0hL2EoJSvHQOHhzJKzcd1u4DcVEZ1op/view?usp=drive_link</t>
  </si>
  <si>
    <r>
      <rPr>
        <sz val="10"/>
        <color rgb="FF000000"/>
        <rFont val="Arial"/>
      </rPr>
      <t xml:space="preserve">P 2,568,341.00 (TAPI-GIA)                                                                                       P 1,091,000.00 (IGF) </t>
    </r>
    <r>
      <rPr>
        <b/>
        <sz val="10"/>
        <color rgb="FF000000"/>
        <rFont val="Arial"/>
      </rPr>
      <t xml:space="preserve">                                                                                      Total: P 3,659,341.00</t>
    </r>
  </si>
  <si>
    <t>2009-01-ad referenda</t>
  </si>
  <si>
    <t>Patenting /Registration of " Turbo Gas Saver"</t>
  </si>
  <si>
    <t>Patenting/Registration Assistance</t>
  </si>
  <si>
    <t>https://drive.google.com/file/d/1lx6dpx6QgPfJ6a_rh1kD07AsCiUanYlv/view?usp=drive_link</t>
  </si>
  <si>
    <t>Josefito O. Monterola</t>
  </si>
  <si>
    <t xml:space="preserve">Block 4, Lot 24 - A Orient Street Interville # Subdivision Novaliches, Caloocan City </t>
  </si>
  <si>
    <t>P 11,115.00</t>
  </si>
  <si>
    <t>2009-02-ad referenda</t>
  </si>
  <si>
    <t>Patenting /Registration 1. Laminated Seamless Bamboo Floorboards                 2. A Machine for Making Crushed Bamboo Sheets</t>
  </si>
  <si>
    <t>https://drive.google.com/file/d/1bBY_rgs2aDuqHKwP1QZ0BAF1SR8fvFXp/view?usp=sharing</t>
  </si>
  <si>
    <t xml:space="preserve">Segundino V. Foronda and                                                                           Edward Allan A. Foronda </t>
  </si>
  <si>
    <t xml:space="preserve">D. Lantican Street, Jubileevile Subdivision Masaya, Bay Laguna </t>
  </si>
  <si>
    <t>P 22,230.00</t>
  </si>
  <si>
    <t>2009-03-ad referenda</t>
  </si>
  <si>
    <t xml:space="preserve">Patenting /Registration                                                                                             " Reciprocating Pump, Hydraulic Operated" </t>
  </si>
  <si>
    <t>https://drive.google.com/file/d/1N40UwoxTuQGlbBtWy2DXnvOcu0uLXmb9/view?usp=drive_link</t>
  </si>
  <si>
    <t>Jeremias G. Sevilla</t>
  </si>
  <si>
    <t xml:space="preserve">29 President Quezon Rosario, Pasig City </t>
  </si>
  <si>
    <t>2009-04-ad referenda</t>
  </si>
  <si>
    <t>Patenting /Registration " Multi- Purpose Stove/Oven with Built-in Convector and Rota-Aire Grill</t>
  </si>
  <si>
    <t>https://drive.google.com/file/d/16hRONBqG9nZseV_SmrPQlZawKpNpLVHN/view?usp=drive_link</t>
  </si>
  <si>
    <t>Danter P Orbe and Frederick K. Kingad</t>
  </si>
  <si>
    <t xml:space="preserve">63- D Libis Nadurata, Caloocan City </t>
  </si>
  <si>
    <t>2009-05-ad referenda</t>
  </si>
  <si>
    <t xml:space="preserve">PHILAAST 58th Annual Convention </t>
  </si>
  <si>
    <t>The Annual convention with the theme "Recent Advances in Philippine Science &amp; Technology" aims to discuss recent advances in science &amp; technology and formulate strategies/innovations to help us become internationally competitive.</t>
  </si>
  <si>
    <t>https://drive.google.com/file/d/1pmp6E7xOBvbkyWvdMx-hmGhbw7SHH2AI/view?usp=drive_link</t>
  </si>
  <si>
    <t xml:space="preserve">  Dr. Ponciano M. Halos President The Philippine Association  for the Advancement of Science and Technology, Inc (PHILAAST)</t>
  </si>
  <si>
    <t>P 113,897.00</t>
  </si>
  <si>
    <t>2009-06-ad referenda</t>
  </si>
  <si>
    <t xml:space="preserve">Forum on Various Cleaner Production Technologies for SMEs Productivity Improvement </t>
  </si>
  <si>
    <t>The activity is envisioned to disseminate and transfer available technologies on cleaner production particularly to SMEs in Northern Mindanao.</t>
  </si>
  <si>
    <t>https://drive.google.com/file/d/10XsYuD5N2KuZAx9y8jQJIZ9eW4vZFADz/view?usp=drive_link</t>
  </si>
  <si>
    <t xml:space="preserve">J.R. Borja Memorial Hospital Compound, Carmen Cagayan de Oro City </t>
  </si>
  <si>
    <t>P 88,000.00</t>
  </si>
  <si>
    <t>2009-07-ad referenda</t>
  </si>
  <si>
    <t>Patenting of " Village Level Bio-fermenting Machine</t>
  </si>
  <si>
    <t>Patenting Assistance</t>
  </si>
  <si>
    <t>https://drive.google.com/file/d/1s-hBeGKbUcPbg3_4nVCKiLWm0RBUzWYp/view?usp=drive_link</t>
  </si>
  <si>
    <t xml:space="preserve">Dr. Guillermo S. Rillon, Jr </t>
  </si>
  <si>
    <t>Tarlac College of Agriculture Malacampa, Camiling,Tarlac</t>
  </si>
  <si>
    <t>2009-08-ad referenda</t>
  </si>
  <si>
    <t>Regional Cluster Science and Technology Fair ' 09</t>
  </si>
  <si>
    <t>Fabrication/ refurbishing of exhibit materials and printing materials and printing of technology flyers.</t>
  </si>
  <si>
    <t>https://drive.google.com/file/d/1nfZd8_4knVaMV7jVB6vGZit66_zoD9ua/view?usp=drive_link</t>
  </si>
  <si>
    <t>Visayas Cluster a. DOST Region VIII (Tacloban) b. DOST Region VI (Bacolod) Mindanao Cluster a. DOST- CARAGA b. DOST Region XI (DAVAO) Northen Luzon Cluster a. DOST Region I ( Pangasinan) b. DOST-CAR ( Baguio) Southern Luzon Cluster a. DOST -IVA (Sta. Rosa Laguna b. DOST Region V (Naga)</t>
  </si>
  <si>
    <t>P 60,000</t>
  </si>
  <si>
    <t>2009-09-ad referenda</t>
  </si>
  <si>
    <t xml:space="preserve"> Technoforum on Technologies for the Development of Rootcrop-Based Bio-Ethanol </t>
  </si>
  <si>
    <t>The Forum was conducted last 26 March 2008 with TAPI's assistance amounting to P22,000.00</t>
  </si>
  <si>
    <t>https://drive.google.com/file/d/1ui6RfUkftwlO9d1OJn88vTtPjkZ5x3Xp/view?usp=drive_link</t>
  </si>
  <si>
    <t xml:space="preserve">Government Center Candahug,Palo,Leyte </t>
  </si>
  <si>
    <t>P 22,000.00</t>
  </si>
  <si>
    <t>2009-10-ad referenda</t>
  </si>
  <si>
    <t>Training on MPEX Consulting in Region XII</t>
  </si>
  <si>
    <t>The training program aims to enhance the technical capabilities of prospective consultants fro MPEX program and to create awareness on DOST mature technologies for better complementation of efforts in improving the prouctivity the productivity of identified firm beneficiaries in the region.</t>
  </si>
  <si>
    <t>https://drive.google.com/file/d/1WDQ-uik_S8rCmPWZZDiQ3lzitcYnvl-S/view?usp=drive_link</t>
  </si>
  <si>
    <t>P 78,750.00</t>
  </si>
  <si>
    <t>2009-11-ad referenda</t>
  </si>
  <si>
    <t xml:space="preserve">2009 Science and Technology Fair </t>
  </si>
  <si>
    <t>Fabrication of the exhibit panels</t>
  </si>
  <si>
    <t>https://drive.google.com/file/d/1xFGHrB0jOa-avz5kWPuoA0KQtLvlTDaa/view?usp=drive_link</t>
  </si>
  <si>
    <t xml:space="preserve">DOST- NCR                                                                                                DOST Compound </t>
  </si>
  <si>
    <t xml:space="preserve">General Santos Avenue Bicutan, Taguig City </t>
  </si>
  <si>
    <t>2009-12-ad referenda</t>
  </si>
  <si>
    <t xml:space="preserve">"Seminar-Workshop on Problem Solving Techniques for Total Quality Management"  </t>
  </si>
  <si>
    <t>To familiarize the DOST Regionals Officers with the different problem- solving tools and techniques to effectively implement the Total Quality Management Program.</t>
  </si>
  <si>
    <t>https://drive.google.com/file/d/1ZmUMmyOmFrycvIMAvIR7LDCRR753Q5hT/view?usp=drive_link</t>
  </si>
  <si>
    <t>P 222, 795.00</t>
  </si>
  <si>
    <t>2009-13-ad referenda</t>
  </si>
  <si>
    <t>Visayas Regional Cluster S&amp;T Fair, Mindanao Regional Cluster S&amp;T Fair, Southern Luzon Regional Cluster S&amp;T Fair</t>
  </si>
  <si>
    <t>Conduct of the Regional Cluster Science and Technology Fair 2009</t>
  </si>
  <si>
    <t>https://drive.google.com/file/d/1cr2wjiXoRhX6YPghTve3bQul4oZ5MGUq/view?usp=drive_link</t>
  </si>
  <si>
    <t>DOST Region VIII, DOST Region XI ,                                                                DOST Region IV-A</t>
  </si>
  <si>
    <t>Government Center Candahug,Palo,Leyte, Davao Medical Center Cpd. bajada, Davao City, CALABARZON DOST Region V</t>
  </si>
  <si>
    <t>P 973,000.00    P1,030,000.00                        P 805,000.00</t>
  </si>
  <si>
    <t>2009-14-ad referenda</t>
  </si>
  <si>
    <t xml:space="preserve">Fabrication of TAPI Exhibit Materials for NSTW 2009 </t>
  </si>
  <si>
    <t>Fabrication of exhibit materials showcasing TAPI's programs/services</t>
  </si>
  <si>
    <t>https://drive.google.com/file/d/1kTHjtIT_P6WOaXJDWya4-AGXGYebhmvo/view?usp=drive_link</t>
  </si>
  <si>
    <t>P 60,000.00</t>
  </si>
  <si>
    <t>2009-15-ad referenda</t>
  </si>
  <si>
    <t xml:space="preserve">Capability Building on Project Management for DOST  Regional Offices in Support of SET-UP Implementation </t>
  </si>
  <si>
    <t>To improve the capability of the DOST Regional Offices in Project Management</t>
  </si>
  <si>
    <t>https://drive.google.com/file/d/1dWwycSCbJHoRGAHu-YRwDl99ENs1RVt2/view?usp=drive_link</t>
  </si>
  <si>
    <t xml:space="preserve">DOST Region VI </t>
  </si>
  <si>
    <t xml:space="preserve">Magsaysay Village, La Paz Ilo-Ilo City </t>
  </si>
  <si>
    <t>P 760,360.00</t>
  </si>
  <si>
    <t>2009-16-ad referenda</t>
  </si>
  <si>
    <t>Publication of the 2009 rules and Criteria for the 2009 National Invention contest</t>
  </si>
  <si>
    <t>Publication of the Rules and Criteria including entry forms for the 2009 National Invention Contest in the Official Gazette for wider dissemination, transparency and documentation.</t>
  </si>
  <si>
    <t>https://drive.google.com/file/d/1QkATVsA6CcprK59NhEEKqDYB70HckFKz/view?usp=drive_link</t>
  </si>
  <si>
    <t xml:space="preserve">EDSA corner  NPO Road Diliman, Quezon City </t>
  </si>
  <si>
    <t>P 6, 141. 75</t>
  </si>
  <si>
    <t>2009-17-ad referenda</t>
  </si>
  <si>
    <t>Publication of the 2009 Rules and Criteria for the Regional Cluster Invention Contest for NCR and Regions III, IV-A and IV-B</t>
  </si>
  <si>
    <t>Publication of the Rules and Criteria for the 2009 Regional Cluster Invention Contest for NCR and Regions III, IV-A and IV-B in the Philippine Star for wider dissemination, transparency and documentation.</t>
  </si>
  <si>
    <t>https://drive.google.com/file/d/1J_zAgAL4O0LO5376F4tei0DuNExAUB4I/view?usp=drive_link</t>
  </si>
  <si>
    <t xml:space="preserve">The Philippine Star </t>
  </si>
  <si>
    <t>STAR Group Building Roberto Oca( Formerly 13th ) corner Railroad Streets Port Area, Manila</t>
  </si>
  <si>
    <t>P 22,848.00</t>
  </si>
  <si>
    <t>2009-18-ad referenda</t>
  </si>
  <si>
    <t>" Training on Financial Management for MSMEs in Region III</t>
  </si>
  <si>
    <t>The training will be conducted for two days in each of the provinces of Region I - Ilocos Norte, Ilocos Sur, La Union and Pangasinan.</t>
  </si>
  <si>
    <t>https://drive.google.com/file/d/12MRsAiFmvZoCxsQJxb7qpPCAesu8cKmc/view?usp=drive_link</t>
  </si>
  <si>
    <t xml:space="preserve">DOST Region I </t>
  </si>
  <si>
    <t>DMMSU, CET Campus San fernando, La Union</t>
  </si>
  <si>
    <t>P 106,230.00</t>
  </si>
  <si>
    <t>2009-19-ad referenda</t>
  </si>
  <si>
    <t xml:space="preserve">" Seminar on Wood-working Machine Operation and Maintenance" </t>
  </si>
  <si>
    <t>The request is for the use of the unexpended balance of t he DTTC-assisted project in "Training on Finishing (Special Effects Coating System)"</t>
  </si>
  <si>
    <t>https://drive.google.com/file/d/1jtpCmH10uTSVIylgxXWSwg_FrTXrV1U8/view?usp=drive_link</t>
  </si>
  <si>
    <t xml:space="preserve">Government  Center Maimpis, San Fernando Pampanga </t>
  </si>
  <si>
    <t>P 7,411.43</t>
  </si>
  <si>
    <t>2009-20-ad referenda</t>
  </si>
  <si>
    <t>" Water Hyacinth Skills Training "</t>
  </si>
  <si>
    <t>The project aims to produce and provide skills in weaving techniques of water hyacith to the residents/ farmers in Victoria and La Paz, Tarlac.</t>
  </si>
  <si>
    <t>https://drive.google.com/file/d/1Rh2k1RqOY958HHgPqt1aJ5uhL596kA_3/view?usp=sharing</t>
  </si>
  <si>
    <t xml:space="preserve">  Government  Center Maimpis, San Fernando Pampanga </t>
  </si>
  <si>
    <t>P 50,000.00</t>
  </si>
  <si>
    <t>2009-21-ad referenda</t>
  </si>
  <si>
    <t xml:space="preserve">Tranining on Brush Plating Technology </t>
  </si>
  <si>
    <t>https://drive.google.com/file/d/1fVt6AruRLPrej0j5svQGJKOaqAsvAsUD/view?usp=drive_link</t>
  </si>
  <si>
    <t>P 21,379.00</t>
  </si>
  <si>
    <t>2009-22-ad referenda</t>
  </si>
  <si>
    <t>2009-23-ad referenda</t>
  </si>
  <si>
    <t>"Regional Forum on the Renewed Perspective (Prospects) for the Makapuno Industry"</t>
  </si>
  <si>
    <t>To present the status, issues/concerns and prospects of the makapuno industry in national/regional perspective.</t>
  </si>
  <si>
    <t>https://drive.google.com/file/d/1LNcAje4bc9tnLWIQxljBejVcQBEFEtnt/view?usp=drive_link</t>
  </si>
  <si>
    <t xml:space="preserve">DOST IV-A CALABARZON </t>
  </si>
  <si>
    <t>Jamboree Road, Timugan Los Banos, Laguna</t>
  </si>
  <si>
    <t>P 57,000.00</t>
  </si>
  <si>
    <t>2009-24-ad referenda</t>
  </si>
  <si>
    <t xml:space="preserve">" Cleaner Production Assessor's Training In Region VIII" </t>
  </si>
  <si>
    <t>To develop potential assessors of Cleaner Production and equip them with the knowledge, skills and techniques in conducting a Cleaner Production assessment in Region 8</t>
  </si>
  <si>
    <t>https://drive.google.com/file/d/1XfRWFVFlLpY05EEIDrsaXtLF1GQe2u7W/view?usp=drive_link</t>
  </si>
  <si>
    <t>Government Center Candahug,Palo,Leyte</t>
  </si>
  <si>
    <t>P 212,500.00</t>
  </si>
  <si>
    <t>2009-25-ad referenda</t>
  </si>
  <si>
    <t xml:space="preserve">Production of Organic Fertilizer </t>
  </si>
  <si>
    <t>The project involves the prodction of organic fertilizer using the Integrated Pest Management's (IPM) technology.</t>
  </si>
  <si>
    <t>https://drive.google.com/file/d/1hOIFrrgH0SxA9GWW2bVVNW4xOTdNoL6A/view?usp=drive_link</t>
  </si>
  <si>
    <t>Mr. Raymundo T. Isug Chairman Technologies Associatioj of Mindoro Occidental Community Base Alternative for Rural Recovery and Empowerment Inc. (TEAMCARE, Inc.)</t>
  </si>
  <si>
    <t>P 300,000.00</t>
  </si>
  <si>
    <t>2009-26-ad referenda</t>
  </si>
  <si>
    <t xml:space="preserve">Development of Website/Inventory Management System for fashion Accessories Production </t>
  </si>
  <si>
    <t>Release of financial Assistance under TAPI Venture Financing Asisstance Program for the development of Website/Inventory Management System to be remitted on a monthly basis amounting to P16,500 for the period of 2 years.</t>
  </si>
  <si>
    <t>https://drive.google.com/file/d/18Lg7ztWjyC_UVsIq2S_ha4DKPkW6J2rx/view?usp=drive_link</t>
  </si>
  <si>
    <t xml:space="preserve">Ms. Carol Cunningham Managing Director, Dam Good Stuff, Inc. </t>
  </si>
  <si>
    <t>Brgy. San Roque, San Miguel, Pangasinan</t>
  </si>
  <si>
    <t>P 395,000.00</t>
  </si>
  <si>
    <t>2009-27-ad referenda</t>
  </si>
  <si>
    <t>2009-28-ad referenda</t>
  </si>
  <si>
    <t xml:space="preserve">Training on Bio-Ethanol Production Suing the MIRDC-Design Coco Sap Still </t>
  </si>
  <si>
    <t>The general objective of the training is to conduct the training on the operation of the MIRDC-designed coco sap distillation still for bio-ethanol.</t>
  </si>
  <si>
    <t>https://drive.google.com/file/d/1E1uIzV6ONoaQm_CGz_3k6o-DVPzULkYv/view?usp=drive_link</t>
  </si>
  <si>
    <t xml:space="preserve">DOST MIMAROPA </t>
  </si>
  <si>
    <t xml:space="preserve">DOST Complex Bicutan, Taguig City </t>
  </si>
  <si>
    <t>P 39,000.00</t>
  </si>
  <si>
    <t>2009-29-ad referenda</t>
  </si>
  <si>
    <t>Deferment of the first payment of refund of the financial assiatance.</t>
  </si>
  <si>
    <t>https://drive.google.com/file/d/1hjrsiHcubOAvPAPrIUOswZ2rHp1GeYWw/view?usp=drive_link</t>
  </si>
  <si>
    <t xml:space="preserve">Mr. Ireneo C. Pascual  Bhoy's Livestocks Trading </t>
  </si>
  <si>
    <t>P 33,690.00</t>
  </si>
  <si>
    <t>2009-30-ad referenda</t>
  </si>
  <si>
    <t>CAPE program Implementation In Region III</t>
  </si>
  <si>
    <t>CAPE program Implementation covering 20 farms In Region III</t>
  </si>
  <si>
    <t>https://drive.google.com/file/d/1t-CetPFoCkQKpIoIURpU0BJHv9j2p9Wx/view?usp=drive_link</t>
  </si>
  <si>
    <t xml:space="preserve">  Government  Center Bngy.Maimpis, City of San Fernando Pampanga </t>
  </si>
  <si>
    <t>P999,650</t>
  </si>
  <si>
    <t>2009-31-ad referenda</t>
  </si>
  <si>
    <t>Printing of promotional leaflets and taroaulins for the invention" CYLINDER MASONRY BREAKER with IPO Reg. No. 1-2007-000012</t>
  </si>
  <si>
    <t>https://drive.google.com/file/d/1PMee1k9900M2Dx1fhNQR3gYa2q2K6ml4/view?usp=drive_link</t>
  </si>
  <si>
    <t xml:space="preserve">Josel C. Miguel c/o Worker Town Handtools </t>
  </si>
  <si>
    <t xml:space="preserve">109 Rosa St. Twinville Subd. Nangka, Marikina City </t>
  </si>
  <si>
    <t>P 11,250</t>
  </si>
  <si>
    <t>2009-32-ad referenda</t>
  </si>
  <si>
    <t xml:space="preserve">Hog Fattening  100 Heads Broiler Production </t>
  </si>
  <si>
    <t>Graduation of the school under Stage 1 of SETUP-DATBED Program.</t>
  </si>
  <si>
    <t>https://drive.google.com/file/d/1ACKP9QildpoI9uA01MNI6iMzdibS5AXt/view?usp=drive_link</t>
  </si>
  <si>
    <t>Aklan State University</t>
  </si>
  <si>
    <t xml:space="preserve">Banga, Aklan </t>
  </si>
  <si>
    <t>P 425,613.00</t>
  </si>
  <si>
    <t>2009-33-ad referenda</t>
  </si>
  <si>
    <t>MSC Oyster Muchroom for Mal Pao and Nutri Siomai Production, Cassava Mondo Chips Production, Squash Polvoron,                                                                                                         Pastillas and Yema Tart Production,  Improvement of Packaging of Bagoong and Patis Production</t>
  </si>
  <si>
    <t>Seed captial for the purchase of operating expenses for the implemention of the projects under Stage 1 of SETUP-DATBED.</t>
  </si>
  <si>
    <t>https://drive.google.com/file/d/1xjhpnTNCmdkcOyp9OJfALIDtCa7aExy7/view?usp=drive_link</t>
  </si>
  <si>
    <t>Marinduque State College (MSC)</t>
  </si>
  <si>
    <t>P 111, 015.00 P 33,800.00                                       P 46,495.00 P 27,960.00</t>
  </si>
  <si>
    <t>2009-34-ad referenda</t>
  </si>
  <si>
    <t>Printing of Technology Handbook MANAGEMENT OF NATIVE BEES TRIGONA SPP., APIS CERENA, APIS DORSATA</t>
  </si>
  <si>
    <t>The project involves the production and printing of 500 copies of technology handbook/manual for apiary (beekeping) tehcnology specifically on native bees for the benefit of various stakeholders.</t>
  </si>
  <si>
    <t>https://drive.google.com/file/d/1lqhhiHkA0RVuHsUsASuzEs3-VFRB07-u/view?usp=drive_link</t>
  </si>
  <si>
    <t>Dr. Cleofas R. Cervancia Professor and Coordination UPLB Bee Program National center of Excellence for Bee Research and Devt.</t>
  </si>
  <si>
    <t>UPLB, College, Los Banos Laguna</t>
  </si>
  <si>
    <t>2009-35-ad referenda</t>
  </si>
  <si>
    <t>Promotion of 2009 National Invention Contest and Exhibits (2009 NICE) thru Newspaper Supplement</t>
  </si>
  <si>
    <t>Full Page Black and White Advertisement in the Manila Bulletin on November 16,2009 (Monday)</t>
  </si>
  <si>
    <t>https://drive.google.com/file/d/1o-6LpOzufxlc8kLH_CmU3WLjqeAyqDWA/view?usp=drive_link</t>
  </si>
  <si>
    <t xml:space="preserve">Science and Technology Information Institute </t>
  </si>
  <si>
    <t>P 145,000.00</t>
  </si>
  <si>
    <t>2009-36-ad referenda</t>
  </si>
  <si>
    <t xml:space="preserve">Expansion of WPU Internet Facilities </t>
  </si>
  <si>
    <t>The Re-alignment of the line-item-budget and utilization of the Unexpended Balance (UB) amounting yo P151,113.00 for the purchase of other neede equipment to expand and upgrade the existing service capacity of WPU's internet facilities.The use of the unexpended balance will not entail additonal budget from TAPI.</t>
  </si>
  <si>
    <t>https://drive.google.com/file/d/1cojFXB65cck6aG52pqAlUghXU5LVc7mw/view?usp=drive_link</t>
  </si>
  <si>
    <t>Mr. ConceptoB. Magay, President, WPU</t>
  </si>
  <si>
    <t>Aborlan, Palawan</t>
  </si>
  <si>
    <t>P 1,391,375</t>
  </si>
  <si>
    <t>Technology-Computers</t>
  </si>
  <si>
    <t>2009-37-ad referenda</t>
  </si>
  <si>
    <t xml:space="preserve">Augmentation of Working Capital for the Operation of Calamansi Juice Production </t>
  </si>
  <si>
    <t>The request for the Restructuring of the Refund Schedule is due to the delay in the release of funds to proponent. The proponent will start the refund on January 2010 instead of December 2009.</t>
  </si>
  <si>
    <t>https://drive.google.com/file/d/1R05Xk0ClCcVH_Sx1RwqZH3ogjNkBiD-D/view?usp=drive_link</t>
  </si>
  <si>
    <t>Ms. Fe M. Hau                                                                                          Owner/ Manager Zambo Tropical Foods</t>
  </si>
  <si>
    <t xml:space="preserve">J.Ruste Drive, Sta. maria, Zamboanga City </t>
  </si>
  <si>
    <t xml:space="preserve">Region IX </t>
  </si>
  <si>
    <t>2009-38-ad referenda</t>
  </si>
  <si>
    <t>Establishment of an Accelerated Shelf-Life Evaluation Services in Region- X</t>
  </si>
  <si>
    <t>Financial Assiatance provided P726,434.44, Utilize amount P716,581.93, Savings amounting to P9,85.51 to sustain the salary of the staff assigned in the shelf-life laboratory. Considering all equipment specified in the LIB were already purchased and used in the operation of the center. The use of the unexpended balance will not entail additional budget from TAPI.</t>
  </si>
  <si>
    <t>https://drive.google.com/file/d/1dMPxUU3359lDyaUeMteH4HgTgFKPOYez/view?usp=drive_link</t>
  </si>
  <si>
    <t>DOST-X RSTC, Carmen</t>
  </si>
  <si>
    <t xml:space="preserve">Cagayan de Oro City </t>
  </si>
  <si>
    <t>P 9,852.21</t>
  </si>
  <si>
    <t xml:space="preserve">  </t>
  </si>
  <si>
    <t>Resolution Title</t>
  </si>
  <si>
    <t xml:space="preserve">Allocating Tapi-Gia Funds For CY 2008 Priority Projects </t>
  </si>
  <si>
    <t>Invent School Program for Out of School Youths</t>
  </si>
  <si>
    <t>http://gofile.me/4xaew/t9NE1pBzI</t>
  </si>
  <si>
    <t>https://drive.google.com/file/d/1ZyhxhC9j4CxR5khRqfdt9Re7uWCsZo49/view?usp=drive_link</t>
  </si>
  <si>
    <t xml:space="preserve">WIAPI c/o APPROTECH ASIA </t>
  </si>
  <si>
    <t>G/F Philippine Development Center, Magallanes cor. Real Streets</t>
  </si>
  <si>
    <t>P 147,900.00</t>
  </si>
  <si>
    <t>Allocating Funds for CY 2008 Priority Projects</t>
  </si>
  <si>
    <t>Technical Assistance Support for SET-UP Implementation</t>
  </si>
  <si>
    <t>http://gofile.me/4xaew/I2rlt4pG3</t>
  </si>
  <si>
    <t>https://drive.google.com/file/d/1J-Twktf3KhbSy8_ZQ-0sEG2MTn7gO1rG/view?usp=drive_link</t>
  </si>
  <si>
    <t>P 15,210,424.00</t>
  </si>
  <si>
    <t>2007 National Inventors' Week Celebration</t>
  </si>
  <si>
    <t>http://gofile.me/4xaew/wozbegWgL</t>
  </si>
  <si>
    <t>https://drive.google.com/file/d/1Qy5Etm-9CDZIe2cRhc_ghkmfZgfswxrN/view?usp=drive_link</t>
  </si>
  <si>
    <t xml:space="preserve">Filipino Inventors Society, Inc. </t>
  </si>
  <si>
    <t>TAPI Building , DOST Compound, Bicutan, Taguig City</t>
  </si>
  <si>
    <t>P 20,000.00</t>
  </si>
  <si>
    <t>Allocating Tapi-Gia Funds For CY 2008 Priority Projects</t>
  </si>
  <si>
    <t xml:space="preserve">Inventors' Regional Consultation Cum Industry Matching </t>
  </si>
  <si>
    <t>http://gofile.me/4xaew/uKSFfif3A</t>
  </si>
  <si>
    <t>https://drive.google.com/file/d/19-0imbdUQOskwxu9l0p_3nLC6Mbf-dbm/view?usp=drive_link</t>
  </si>
  <si>
    <t>DOST Regional Offices ( CAR, V,VII and XII)</t>
  </si>
  <si>
    <t>National Workshop on Technology Management for Publicity Funded Universities and Research Institutions</t>
  </si>
  <si>
    <t>http://gofile.me/4xaew/pgMSJ5vED</t>
  </si>
  <si>
    <t>https://drive.google.com/file/d/1M4GDcJmDtdsWaj1RpQucjFTii5ipn2Y0/view?usp=drive_link</t>
  </si>
  <si>
    <t>Implementing Agency - TAPI
Cooperating/ Collaborating Agency - WIPO Singapore</t>
  </si>
  <si>
    <t>P 388,000</t>
  </si>
  <si>
    <t>KALAMATA: A source Book of Weave Designs, Volume II</t>
  </si>
  <si>
    <t>http://gofile.me/4xaew/9WUPJ36pI</t>
  </si>
  <si>
    <t>https://drive.google.com/file/d/1ck3RFl79YRFwrZUG0cPa4d6E_qNLGLnk/view?usp=drive_link</t>
  </si>
  <si>
    <t>P 180,000.00</t>
  </si>
  <si>
    <t>2008-ASEAN S&amp;T Celebration and 19th DOST Annual S&amp;T Fair</t>
  </si>
  <si>
    <t>http://gofile.me/4xaew/OJzNuSatT</t>
  </si>
  <si>
    <t>https://drive.google.com/file/d/1NxkBazcI3Ctx1NiuVFycMBKVhX4QsoQb/view?usp=drive_link</t>
  </si>
  <si>
    <t>DOST Councils, RDIs Service Institutes and Regional Clusters</t>
  </si>
  <si>
    <t>P 5,436,200.00</t>
  </si>
  <si>
    <t>Orientation-Seminar on TAPI Programs</t>
  </si>
  <si>
    <t>http://gofile.me/4xaew/s5YqzCzPS</t>
  </si>
  <si>
    <t>https://drive.google.com/file/d/1TGq3vtr8x0H8Si0-8KmQ2C37FNgOrmhG/view?usp=drive_link</t>
  </si>
  <si>
    <t>P 17,000</t>
  </si>
  <si>
    <t>Refrigerant Recovery Machine</t>
  </si>
  <si>
    <t>http://gofile.me/4xaew/gKrVtDUKL</t>
  </si>
  <si>
    <t>https://drive.google.com/file/d/1xjsSsQV7eKvojsbrQsQ3m8r5iUDTPoSE/view?usp=drive_link</t>
  </si>
  <si>
    <t>University of Northern Phils.</t>
  </si>
  <si>
    <t>Vigan City</t>
  </si>
  <si>
    <t>P 71,135.00</t>
  </si>
  <si>
    <t xml:space="preserve">2008 National Science &amp; Technology Fair / 8th ASEAN Science and Technology Fair </t>
  </si>
  <si>
    <t>http://gofile.me/4xaew/bHPkMQN6f</t>
  </si>
  <si>
    <t>https://drive.google.com/file/d/1EFMZgFQEHYkoIZz19g25C4dKpkj4O8bk/view?usp=drive_link</t>
  </si>
  <si>
    <t>PHILVOCS
MIRDC
NAST
PSHS
PCARRD
Northern Luzon Cluster</t>
  </si>
  <si>
    <r>
      <rPr>
        <sz val="10"/>
        <color theme="1"/>
        <rFont val="Arial"/>
      </rPr>
      <t xml:space="preserve">P 150,000.00
P 300,000.00
P 50,000.00
P 150,000.00
P 160,000.00
P 50,000.00
</t>
    </r>
    <r>
      <rPr>
        <b/>
        <sz val="10"/>
        <color theme="1"/>
        <rFont val="Arial"/>
      </rPr>
      <t>Total: P 860,000.00</t>
    </r>
  </si>
  <si>
    <t>Roadshow of DOST -Assisted Projects in the National Capital Region (NCR)</t>
  </si>
  <si>
    <t>http://gofile.me/4xaew/BIseDiuNL</t>
  </si>
  <si>
    <t>https://drive.google.com/file/d/1CJ4nNalA1B3NAz6UbTUuGnDyHwvQLa50/view?usp=drive_link</t>
  </si>
  <si>
    <t>2008 National Science and Technology Fair/ASEAN Science and Technology</t>
  </si>
  <si>
    <t>http://gofile.me/4xaew/7NXa1ozvO</t>
  </si>
  <si>
    <t>https://drive.google.com/file/d/1pZFkMwTv1mS3-AFKQkstIOYPk_5ZJTm4/view?usp=drive_link</t>
  </si>
  <si>
    <t>NAST</t>
  </si>
  <si>
    <t>2008-13</t>
  </si>
  <si>
    <t>DOST CARAGA Regional NSTW Celebration</t>
  </si>
  <si>
    <t>http://gofile.me/4xaew/p4jNgIQ9A</t>
  </si>
  <si>
    <t>https://drive.google.com/file/d/1aDBUtdHFg70n0_AIpX-vhQ4JLVdPiG3B/view?usp=drive_link</t>
  </si>
  <si>
    <t>450 Balbarino Subdivision Butuan City</t>
  </si>
  <si>
    <r>
      <rPr>
        <sz val="10"/>
        <color theme="1"/>
        <rFont val="Arial"/>
      </rPr>
      <t>P 9,700</t>
    </r>
    <r>
      <rPr>
        <b/>
        <sz val="10"/>
        <color theme="1"/>
        <rFont val="Arial"/>
      </rPr>
      <t xml:space="preserve"> ( Investor's Forum)
</t>
    </r>
    <r>
      <rPr>
        <sz val="10"/>
        <color theme="1"/>
        <rFont val="Arial"/>
      </rPr>
      <t xml:space="preserve">P 9,000 </t>
    </r>
    <r>
      <rPr>
        <b/>
        <sz val="10"/>
        <color theme="1"/>
        <rFont val="Arial"/>
      </rPr>
      <t>(STEVPP)
 Total: P 18,700</t>
    </r>
  </si>
  <si>
    <t>2008-14</t>
  </si>
  <si>
    <t>DOST Region VIII Regional NSTW Celebration</t>
  </si>
  <si>
    <t>http://gofile.me/4xaew/PiQTaKl6A</t>
  </si>
  <si>
    <t>https://drive.google.com/file/d/1moci0s3nkUtvPMBH4-Dx6jfhCCl1a0ei/view?usp=drive_link</t>
  </si>
  <si>
    <t>Government Center Candahug, Pawing Palo, Leyte</t>
  </si>
  <si>
    <r>
      <rPr>
        <sz val="10"/>
        <color theme="1"/>
        <rFont val="Arial"/>
      </rPr>
      <t xml:space="preserve">P 20,000 </t>
    </r>
    <r>
      <rPr>
        <b/>
        <sz val="10"/>
        <color theme="1"/>
        <rFont val="Arial"/>
      </rPr>
      <t xml:space="preserve">(IF)                                                                                                               </t>
    </r>
    <r>
      <rPr>
        <sz val="10"/>
        <color theme="1"/>
        <rFont val="Arial"/>
      </rPr>
      <t xml:space="preserve">P 15,000 </t>
    </r>
    <r>
      <rPr>
        <b/>
        <sz val="10"/>
        <color theme="1"/>
        <rFont val="Arial"/>
      </rPr>
      <t xml:space="preserve">(STEVPP) </t>
    </r>
    <r>
      <rPr>
        <sz val="10"/>
        <color theme="1"/>
        <rFont val="Arial"/>
      </rPr>
      <t xml:space="preserve">                                                                                                                </t>
    </r>
    <r>
      <rPr>
        <b/>
        <sz val="10"/>
        <color theme="1"/>
        <rFont val="Arial"/>
      </rPr>
      <t>Total: P35,000</t>
    </r>
  </si>
  <si>
    <t>IF &amp; STEVPP</t>
  </si>
  <si>
    <t>2008-15</t>
  </si>
  <si>
    <t>http://gofile.me/4xaew/2L7D9UMga</t>
  </si>
  <si>
    <t>https://drive.google.com/file/d/1d5v091_OPYgkINmLvl3PHz1I66eTSFgh/view?usp=drive_link</t>
  </si>
  <si>
    <t>2008-18</t>
  </si>
  <si>
    <t>CAPE Implementation in the DOST Regional Offices</t>
  </si>
  <si>
    <t>http://gofile.me/4xaew/G0nTfs8zr</t>
  </si>
  <si>
    <t>https://drive.google.com/file/d/1jypHTxO8mVqPn7zq21oTHOim9HWqU2sS/view?usp=drive_link</t>
  </si>
  <si>
    <t>DOST II                                                                                                                                            DOST MIMAROPA                                                                                                                                 DOST V                                                                                                                                              DOST VI                                                                                                                                         DOST VII                                                                                                                                            DOST VIII</t>
  </si>
  <si>
    <r>
      <rPr>
        <sz val="10"/>
        <color theme="1"/>
        <rFont val="Arial"/>
      </rPr>
      <t xml:space="preserve">P 998,590.00 (SET-UP) 
 P 796,590.00 (TAPI-GIA)
P 847,090.00 (TAPI-GIA)
P 1,049,090.00 (SET-UP)
P 544,090.00 (TAPI-GIA)
P 544,090.00 (SET-UP)
</t>
    </r>
    <r>
      <rPr>
        <b/>
        <sz val="10"/>
        <color theme="1"/>
        <rFont val="Arial"/>
      </rPr>
      <t>Total: 4,779,540</t>
    </r>
  </si>
  <si>
    <t>2008-19</t>
  </si>
  <si>
    <t xml:space="preserve">MPEX Implementation In The DOST Regional Offices </t>
  </si>
  <si>
    <t>http://gofile.me/4xaew/4w4GOXcuq</t>
  </si>
  <si>
    <t>https://drive.google.com/file/d/1RoWN0Q5i8OIhIVt4_UIref66QfhLFs_z/view?usp=drive_link</t>
  </si>
  <si>
    <t>DOST II                                                                                                                                            DOST V                                                                                                                                          DOST VI                                                                                                                                        DOST VIII</t>
  </si>
  <si>
    <r>
      <rPr>
        <sz val="10"/>
        <color theme="1"/>
        <rFont val="Arial"/>
      </rPr>
      <t xml:space="preserve">P 383,500.00 (TAPI-GIA)
P 544,150.00 (DOST-GIA)
P 796,650 (TAPI-GIA)
P 554,150.00 (DOST-GIA)
</t>
    </r>
    <r>
      <rPr>
        <b/>
        <sz val="10"/>
        <color theme="1"/>
        <rFont val="Arial"/>
      </rPr>
      <t>Total: P 2,268,450.00</t>
    </r>
  </si>
  <si>
    <t>2008-21</t>
  </si>
  <si>
    <t xml:space="preserve">Establishment of Satellite Packaging Center </t>
  </si>
  <si>
    <t>http://gofile.me/4xaew/0TJ8pr4Vc</t>
  </si>
  <si>
    <t>https://drive.google.com/file/d/1N3gHsOft1dI5zstWCbpk5jZOPNODvAgh/view?usp=drive_link</t>
  </si>
  <si>
    <t>Engr. Rene Burt N. Llanto</t>
  </si>
  <si>
    <t>DOST Region VII, Gov. Manuel Cuenco Ave., Banilad Cebu City</t>
  </si>
  <si>
    <t>2008-22</t>
  </si>
  <si>
    <t>4th Northern Luzon Cluster Science and Technology Fair</t>
  </si>
  <si>
    <t>http://gofile.me/4xaew/reDYdWrCU</t>
  </si>
  <si>
    <t>https://drive.google.com/file/d/1r_UIjX5W-RCl5fDATCmLc67sIKzGjyIv/view?usp=drive_link</t>
  </si>
  <si>
    <t>DOST CAR
DOST I
DOST II</t>
  </si>
  <si>
    <t>P 950,000</t>
  </si>
  <si>
    <t>2008-23</t>
  </si>
  <si>
    <t>DOST 50th Anniversary Visayas S&amp;T Cluster Fair/Exhibit</t>
  </si>
  <si>
    <t>http://gofile.me/4xaew/KoHOGh3yc</t>
  </si>
  <si>
    <t>https://drive.google.com/file/d/1KysN34jlc4DqXFngFOQ7nsGybmfE9P7U/view?usp=drive_link</t>
  </si>
  <si>
    <t>DOST Visayas Cluster ( Regions VI, VII, VIII)</t>
  </si>
  <si>
    <t xml:space="preserve">P 1,637,500.00 </t>
  </si>
  <si>
    <t>2008-24</t>
  </si>
  <si>
    <t>Accelerated Program for the Commercialization of Veggie Noodlwa in the Regions</t>
  </si>
  <si>
    <t>http://gofile.me/4xaew/ZBjdhIEtb</t>
  </si>
  <si>
    <t>https://drive.google.com/file/d/1iDxHFsfS2gDFUqaqwW-Xm_Lt45qZLSbK/view?usp=drive_link</t>
  </si>
  <si>
    <r>
      <rPr>
        <sz val="10"/>
        <color rgb="FF000000"/>
        <rFont val="Arial"/>
      </rPr>
      <t>P 377,000</t>
    </r>
    <r>
      <rPr>
        <b/>
        <sz val="10"/>
        <color rgb="FF000000"/>
        <rFont val="Arial"/>
      </rPr>
      <t xml:space="preserve"> (STEVPP)
</t>
    </r>
    <r>
      <rPr>
        <sz val="10"/>
        <color rgb="FF000000"/>
        <rFont val="Arial"/>
      </rPr>
      <t>P 354,000</t>
    </r>
    <r>
      <rPr>
        <b/>
        <sz val="10"/>
        <color rgb="FF000000"/>
        <rFont val="Arial"/>
      </rPr>
      <t xml:space="preserve"> (IF)
Total: 731,000</t>
    </r>
  </si>
  <si>
    <t>2008-24A</t>
  </si>
  <si>
    <t>Fabrication of a Prototype for Dried Pineapple Processing Equipment</t>
  </si>
  <si>
    <t>http://gofile.me/4xaew/W77KTWuf3</t>
  </si>
  <si>
    <t>https://drive.google.com/file/d/1LN6oI0td5AdZTUpEFpuT16zgoTq_DMSQ/view?usp=drive_link</t>
  </si>
  <si>
    <t>2008-26</t>
  </si>
  <si>
    <t>Expansion of the Broiler Project Using Controller Cooling System</t>
  </si>
  <si>
    <t>http://gofile.me/4xaew/vbbu1pSdp</t>
  </si>
  <si>
    <t>https://drive.google.com/file/d/1Udq9QBHdT-4PqE2xCplOT3u9-2cEr1jf/view?usp=drive_link</t>
  </si>
  <si>
    <t xml:space="preserve">University Business Affairs Program Central Luzon State University </t>
  </si>
  <si>
    <t>Science City of Munoz, Nueva Ecija</t>
  </si>
  <si>
    <t>P 1,945,690</t>
  </si>
  <si>
    <t>2008- 27</t>
  </si>
  <si>
    <t>CAPE Implementation in Region III</t>
  </si>
  <si>
    <t>http://gofile.me/4xaew/O1MyZyknQ</t>
  </si>
  <si>
    <t>https://drive.google.com/file/d/1H_feDgK9iwOl6xddOf4osttY87_gEWxX/view?usp=drive_link</t>
  </si>
  <si>
    <t>Government Center Brgy. Maimpis City of San Fernando, Pampanga</t>
  </si>
  <si>
    <t>P 1,049,090 (SET-UP Funds)</t>
  </si>
  <si>
    <t>2008- 28</t>
  </si>
  <si>
    <t>MPEX Implementation in Region III</t>
  </si>
  <si>
    <t>http://gofile.me/4xaew/8OIodTnLb</t>
  </si>
  <si>
    <t>https://drive.google.com/file/d/10msTftlT-m76G4AXe7wzlHn5ws54mC2c/view?usp=drive_link</t>
  </si>
  <si>
    <t>GOvernment Center Brgy. Maimpis City of San Fernando, Pampanga</t>
  </si>
  <si>
    <r>
      <rPr>
        <sz val="10"/>
        <color theme="1"/>
        <rFont val="Arial"/>
      </rPr>
      <t xml:space="preserve">P 195,750.00 (SET-UP)
P 600,900.00 ( TAPI-GIA)
</t>
    </r>
    <r>
      <rPr>
        <b/>
        <sz val="10"/>
        <color theme="1"/>
        <rFont val="Arial"/>
      </rPr>
      <t>Total: P 796,650.00</t>
    </r>
  </si>
  <si>
    <t>2008-29</t>
  </si>
  <si>
    <t>Cleaner Production System for the Regional Volumetric Calibration Center (RVCC): A support to the Oil Industry in Southern Tagalog</t>
  </si>
  <si>
    <t>http://gofile.me/4xaew/gh7uPiOtZ</t>
  </si>
  <si>
    <t>https://drive.google.com/file/d/1otT9UskAkblnavuENXvVN5LxKGCH0rwo/view?usp=drive_link</t>
  </si>
  <si>
    <t>DOST CALABARZON</t>
  </si>
  <si>
    <t>2008-31</t>
  </si>
  <si>
    <t>Hybrid Sex Reversed Tilapia Fingerling Production of St. Mary's Farm</t>
  </si>
  <si>
    <t>http://gofile.me/4xaew/yVXKVGjlk</t>
  </si>
  <si>
    <t>https://drive.google.com/file/d/1Kl8DsL0gtdIW0S7iy5kzdE3lrc8xDBZj/view?usp=drive_link</t>
  </si>
  <si>
    <t>St. Mary's Aqua farm</t>
  </si>
  <si>
    <t>San Antonio Bay Laguna</t>
  </si>
  <si>
    <t>P 849,000.00</t>
  </si>
  <si>
    <t>2008- 32</t>
  </si>
  <si>
    <t xml:space="preserve">Machining Technology Upgrading through the Acquisition of computer Numerically Controlled (CNC) Vertical Machining Center for the Production of Metal Parts and Components of FAG Machine Shop and Services Co. </t>
  </si>
  <si>
    <t>http://gofile.me/4xaew/VajvYYd5e</t>
  </si>
  <si>
    <t>https://drive.google.com/file/d/1iGRGMQ_-LhwgqKpTjY7Yrkot53qOYDOG/view?usp=drive_link</t>
  </si>
  <si>
    <t xml:space="preserve">Engr. Felix A. Gabiana </t>
  </si>
  <si>
    <t>Canduman, Mandaue City</t>
  </si>
  <si>
    <t>P 3,100,000.00</t>
  </si>
  <si>
    <t>2008-33</t>
  </si>
  <si>
    <t>Conversion of Used Cooking Oil Into Biofuel Product</t>
  </si>
  <si>
    <t>http://gofile.me/4xaew/QRGdWEPTp</t>
  </si>
  <si>
    <t>https://drive.google.com/file/d/1nnVGWNwIP9m-RnmjpxM7q1y7UXrFpEva/view?usp=drive_link</t>
  </si>
  <si>
    <t>Emiliano F. Quitlol</t>
  </si>
  <si>
    <t>Green Village, Belisario, Brgy. San Antonio, Agdao Davao City</t>
  </si>
  <si>
    <t>P 700,176.00</t>
  </si>
  <si>
    <t>2008-34</t>
  </si>
  <si>
    <t xml:space="preserve">MindaDOST Cluster Science and Technology Fair </t>
  </si>
  <si>
    <t>http://gofile.me/4xaew/I60lyQqXG</t>
  </si>
  <si>
    <t>https://drive.google.com/file/d/1jXcDTberqiyXQtPONICtYxXNDRPpIdn1/view?usp=drive_link</t>
  </si>
  <si>
    <t>Minda DOST Cluster (Regions IX, X, XI, XII, ARMM, CARAGA)</t>
  </si>
  <si>
    <t>P 1,400,000.00</t>
  </si>
  <si>
    <t>2008- 35</t>
  </si>
  <si>
    <t xml:space="preserve">Training on MPEX Conusulting </t>
  </si>
  <si>
    <t>http://gofile.me/4xaew/myRQpwWIX</t>
  </si>
  <si>
    <t>https://drive.google.com/file/d/1uTlZyAQeYN8cItN7Cj4Rdrso3yIXLJ5l/view?usp=drive_link</t>
  </si>
  <si>
    <t>DOST region VIII</t>
  </si>
  <si>
    <t>Government Center Candahug Palo, Leyte</t>
  </si>
  <si>
    <t>P 74,100.00</t>
  </si>
  <si>
    <t>2008- 36</t>
  </si>
  <si>
    <t>Training of MPEX Program in region VI</t>
  </si>
  <si>
    <t>http://gofile.me/4xaew/QE4ABhGIz</t>
  </si>
  <si>
    <t>https://drive.google.com/file/d/1Ikw4PiAspqjFXmQQlFx2zF4t5A5_XfGa/view?usp=drive_link</t>
  </si>
  <si>
    <t>Magsaysay Village, La Paz, IloIlo City</t>
  </si>
  <si>
    <t>P 332,750.00</t>
  </si>
  <si>
    <t>2008-37</t>
  </si>
  <si>
    <t>2009 Mindanao Inventors Contest and Exposition</t>
  </si>
  <si>
    <t>http://gofile.me/4xaew/0zlZkKe8J</t>
  </si>
  <si>
    <t>https://drive.google.com/file/d/10Wo10mp9N08kQaWdWDPKqpXzjO2cwoRI/view?usp=drive_link</t>
  </si>
  <si>
    <t>Davao Medical Center Compound, Bajada, Davao City</t>
  </si>
  <si>
    <t>2008-40</t>
  </si>
  <si>
    <t>Eco-Products International Fair 2009 SMX Convention Center</t>
  </si>
  <si>
    <t>http://gofile.me/4xaew/DcLMlq8YU</t>
  </si>
  <si>
    <t>https://drive.google.com/file/d/11fPu6gkfaby0fcCk3kE6up1n-UNqbrN1/view?usp=drive_link</t>
  </si>
  <si>
    <t>Eric G. Ngo</t>
  </si>
  <si>
    <t>712 Quadrillion Mansion N Domingo Street San Juan Metro Manila</t>
  </si>
  <si>
    <t xml:space="preserve">P 120,000.00 </t>
  </si>
  <si>
    <t>2008-01-ad referenda</t>
  </si>
  <si>
    <t>Publication &amp; Dissemination of the Directory of Creative Woemn Researchers and Patent Holders from 1958 to 2005</t>
  </si>
  <si>
    <t>https://drive.google.com/file/d/1AwHruxhm3TGr0OMj7fpMgeF9uDXpxO-5/view?usp=drive_link</t>
  </si>
  <si>
    <t>Ms. Feri G Lumampao
President  Women Invention Association of the Philippines, Inc. (WIAPI) c/o APPROTECH ASIA</t>
  </si>
  <si>
    <t>Publication of the Directory of Creative Women Researcheres and Patent Holders from 1958 to 2005</t>
  </si>
  <si>
    <t>G/F Phil. Social Dev. center Magallanes cor. Real Streets Intramuros, Manila</t>
  </si>
  <si>
    <t>P 49,000</t>
  </si>
  <si>
    <t>2008-02-ad referenda</t>
  </si>
  <si>
    <t>Patenting/Registration  of:                                                                                                                                                                                                                                                                           1. Biomass-Fired Coffee Roasting System 2. Portable Biogas Digester 3. Anaerobic Filter baffled Reactor (AFBR) 4. Nanocomposite from Recycled Polycarbonate and Treated Clay</t>
  </si>
  <si>
    <t>https://drive.google.com/file/d/16CfvSIMqRy8qqSvIkB4g2FhNzHpY6kyZ/view?usp=drive_link</t>
  </si>
  <si>
    <t>P 44,460.00</t>
  </si>
  <si>
    <t>2008-03-ad referenda</t>
  </si>
  <si>
    <t xml:space="preserve">Enhancing Creative and Innovative Body and Mind Activities for a Healthy, Productive and Meaningful  Life through Reach Out and Read and Body Wellness Program </t>
  </si>
  <si>
    <t>https://drive.google.com/file/d/1OmoKQ07H4jYdJcx_5cJqPdCbkrnCdlfU/view?usp=drive_link</t>
  </si>
  <si>
    <t>Seminar on Reach Out and Read, Body Wellness and organization of volunteers and body wellness practioners.</t>
  </si>
  <si>
    <t>P 30,500.00</t>
  </si>
  <si>
    <t>2008-04-ad referenda</t>
  </si>
  <si>
    <t xml:space="preserve">Technoforum on Technologies for the Development of Root-crop Based Bio-ethanol </t>
  </si>
  <si>
    <t>https://drive.google.com/file/d/1jZtf9tHjxgQPSFE-itbNUKwRNUjbhjhX/view?usp=drive_link</t>
  </si>
  <si>
    <t xml:space="preserve">Visayas State University- Philippine Root Crop Research and Training Center </t>
  </si>
  <si>
    <t>Conduct of Techno forum on Technologies for the Development of Root Crop-based Bio-ethanol during the  PRRTC 31st  Anniversary Celebration.</t>
  </si>
  <si>
    <t>Baybay City, Leyte</t>
  </si>
  <si>
    <t>P 22,000</t>
  </si>
  <si>
    <t>2008-05-ad referenda</t>
  </si>
  <si>
    <t xml:space="preserve">Patenting/registration of Hollow Block Making Machine </t>
  </si>
  <si>
    <t>https://drive.google.com/file/d/1YcVKHgCNBX6-mO7M3P4C_zNknzktF9LB/view?usp=drive_link</t>
  </si>
  <si>
    <t xml:space="preserve">Francis I. Rivera </t>
  </si>
  <si>
    <t xml:space="preserve">142 Villa Street Malaking Pulo. Tanaunan City Batangas </t>
  </si>
  <si>
    <t>2008-06-ad referenda</t>
  </si>
  <si>
    <t xml:space="preserve">  1st Regional Convention for Tropical Wines, Distilled Spirits and Carbonated  Drinks (TWCB) Industry </t>
  </si>
  <si>
    <t>https://drive.google.com/file/d/1PgjQuWl6kxVOI1GpNOVIiE85DxQNLJH7/view?usp=drive_link</t>
  </si>
  <si>
    <t>Dr. Alexander R. Madrigal                                                                      Regional Director DOST Region IV</t>
  </si>
  <si>
    <t>Conduct of the 1st Regional Convention for tropical wines, distilled spirits and carbonated drinks industry.</t>
  </si>
  <si>
    <t>P 39,800.00</t>
  </si>
  <si>
    <t>2008-07-ad referenda</t>
  </si>
  <si>
    <t xml:space="preserve">Patenting/Registration of:                                                                                              1. Universal Barrel Bolt                                                                                                                   2. Tilapia Cream Soup </t>
  </si>
  <si>
    <t>https://drive.google.com/file/d/1jFzqdMIUmd47ivv_ifNVdqUE1kQQV4bF/view?usp=drive_link</t>
  </si>
  <si>
    <t xml:space="preserve">Arnel B. Medina                                                                                             Dr. Perlita Tiburcio </t>
  </si>
  <si>
    <t xml:space="preserve">P-4 Nagsiya, Sto. Domingo Albay                                                            Nueva Viscaya State University </t>
  </si>
  <si>
    <t>P 11,115.00                                                     P 11,115.00</t>
  </si>
  <si>
    <t>2008-08-ad referenda</t>
  </si>
  <si>
    <t xml:space="preserve">Jathropa Oil Diesel Composition </t>
  </si>
  <si>
    <t>https://drive.google.com/file/d/1z8Jwx8zBthOT7rC9BFwmnOR8pE_z_gJV/view?usp=drive_link</t>
  </si>
  <si>
    <t xml:space="preserve">Lorenzo L. Cunanan </t>
  </si>
  <si>
    <t>Testing Assistance under IDAF-RA 7459</t>
  </si>
  <si>
    <t xml:space="preserve">33 Kamagong Road Pillar Village, Las Pinas City </t>
  </si>
  <si>
    <t>P 8,361.66</t>
  </si>
  <si>
    <t>2008-09-ad referenda</t>
  </si>
  <si>
    <t>Health and Wealth Through Filipino Inventions and Innovations: Focus on Mentoring Youth Through  Inventiveness and Entrepreneurship System (MY TIES)</t>
  </si>
  <si>
    <t>https://drive.google.com/file/d/1weiVl1tngrmeQJ4_69WG7BaNeHL4Dvy3/view?usp=drive_link</t>
  </si>
  <si>
    <t xml:space="preserve">    Dr. Sonia Y. De Leon                                                                                President  Women in Science and Technoloy Foundation (WISTF)</t>
  </si>
  <si>
    <t>Launching of WISTF Program on Mentoring Youth Through Inventiveness and Entreprenuership (MY TIES)</t>
  </si>
  <si>
    <t>2008-10-ad referenda</t>
  </si>
  <si>
    <t xml:space="preserve">Patenting/ Registration of: 1. Disposable Drinking Cup 2. Rain Gutter Downspout Declogger </t>
  </si>
  <si>
    <t>https://drive.google.com/file/d/1sQGA527RekpTfCDTfcktk_gKZckzeXjv/view?usp=drive_link</t>
  </si>
  <si>
    <t xml:space="preserve">Virgilio L. Malang                                                                                         Jamin E. Espiritu </t>
  </si>
  <si>
    <t xml:space="preserve">8 Adelfa Street Tahanan Village Paranaque City </t>
  </si>
  <si>
    <t>P 26,133.00</t>
  </si>
  <si>
    <t>2008-11-ad referenda</t>
  </si>
  <si>
    <t>CAPE Implementstion in Region I</t>
  </si>
  <si>
    <t>https://drive.google.com/file/d/1-6aQ36tLY82GKyCn9Q2j0YO-TIecGwRf/view?usp=drive_link</t>
  </si>
  <si>
    <t>CAPE implementation covering 15 farms in Regon 1</t>
  </si>
  <si>
    <t xml:space="preserve">DMMDU-CET Campus San Fernando, La Union </t>
  </si>
  <si>
    <t>P 796,590.00</t>
  </si>
  <si>
    <t>2008-12-ad referenda</t>
  </si>
  <si>
    <t>NODAL MPEX Implementation in Region VII</t>
  </si>
  <si>
    <t>https://drive.google.com/file/d/1V-iywccCg3s_jYXWMJHQVyzc9cbPE_0I/view?usp=drive_link</t>
  </si>
  <si>
    <t xml:space="preserve"> Engr. Rene Burt N. Llanto                                                                                                  Regional Director DOST Region VII </t>
  </si>
  <si>
    <t>The project is the implementation of MPEX Program in Region VII to benefit 20 SMEs in the Central Visayas The 20 manufacturing firms are from gifts and holiday decors (GHD). Fashion accessories, food processing and metal working sectors.</t>
  </si>
  <si>
    <t xml:space="preserve">Gov. Manuel Cuenco Avenue Banilad. Cebu City </t>
  </si>
  <si>
    <t>P 1,049,150.00</t>
  </si>
  <si>
    <t>2008-13-ad referenda</t>
  </si>
  <si>
    <t xml:space="preserve">MPEX Implementation in Region XII and ARMM </t>
  </si>
  <si>
    <t>https://drive.google.com/file/d/1rm9mC1IRl2WQ9koivvm4TRR6RWxK7lPP/view?usp=drive_link</t>
  </si>
  <si>
    <t xml:space="preserve">Dr. Zenaida Hadji- Raof Laidan                                                                   Regional Director </t>
  </si>
  <si>
    <t>MPEX implementation in Region XII and ARMM to benefit 12 firms.</t>
  </si>
  <si>
    <t xml:space="preserve">DOST Region XII Regional Government Center Cotabato City </t>
  </si>
  <si>
    <t>P 645,150.00</t>
  </si>
  <si>
    <t>2008-14-ad referenda</t>
  </si>
  <si>
    <t>cAPE Implementstion in Region I</t>
  </si>
  <si>
    <t>https://drive.google.com/file/d/1uoa_cpZ2EEl7IHnzKW-EXaG_5gH3RjRc/view?usp=drive_link</t>
  </si>
  <si>
    <t xml:space="preserve"> Ms. Elsa R. Chan                                                                                  Officer-in-Charge Office of the Regional Director </t>
  </si>
  <si>
    <t>MPEX implementation in Region 1 to benefit 16 firms.</t>
  </si>
  <si>
    <t>DOST Region I DMMMSU-MLU Campus City of San fernando, La Union</t>
  </si>
  <si>
    <t>P 847,150.00</t>
  </si>
  <si>
    <t>2008-15-ad referenda</t>
  </si>
  <si>
    <t>2008-16-ad referenda</t>
  </si>
  <si>
    <t xml:space="preserve">Enhancement of Moondish  Foods Corporation's Environmental Compliance </t>
  </si>
  <si>
    <t>https://drive.google.com/file/d/1L-SX6D0i7kySuBp4UYCb2eIJbmZUyStT/view?usp=drive_link</t>
  </si>
  <si>
    <t>Ana Renee D. Manrique Vice President, Moondish Foods Corporations</t>
  </si>
  <si>
    <t>Re-alignment of line-item budget (LIB) amounting to P1,010,390.00</t>
  </si>
  <si>
    <t xml:space="preserve">71-B KKK Bonded Warehouse, DBP Ave. FTI Complex Taguig City </t>
  </si>
  <si>
    <t>P 1,010,390.00</t>
  </si>
  <si>
    <t>2008-17-ad referenda</t>
  </si>
  <si>
    <t xml:space="preserve">Printing of Tarpaulins &amp; Leaflets of Invention re: participation to the INPEX- Invention and NEw Product Exposition </t>
  </si>
  <si>
    <t>https://drive.google.com/file/d/1VlXxq_A49NNOyBQVRqhhCnlKY-nh790l/view?usp=drive_link</t>
  </si>
  <si>
    <t xml:space="preserve">Dr. Antonio F. MAteo President  AMECOS INNOVATIONS, INC. </t>
  </si>
  <si>
    <t>Promo Collateral Assistance (tarpaulins and Leaflets) for Dr. Antonio F. Mateo's participation to the INPEX Invention and New Product Exposition on 11-14 June 2008 at Pittsburgh, USA</t>
  </si>
  <si>
    <t xml:space="preserve">2F Alma Jose Street Zabarte Road, Caloocan City </t>
  </si>
  <si>
    <t>P 18,300.00</t>
  </si>
  <si>
    <t>Manufaturing and Production</t>
  </si>
  <si>
    <t>2008-18-ad referenda</t>
  </si>
  <si>
    <t xml:space="preserve">1. Motorcycle Driven Mini Firetruck                                                                      2. Motorcycle Driven Mobile Advertising Device </t>
  </si>
  <si>
    <t>https://drive.google.com/file/d/1tdntdjL5BRBle1bHoSw8nEZ89KixPZpx/view?usp=drive_link</t>
  </si>
  <si>
    <t xml:space="preserve">Antonio M. Andres, Sr. </t>
  </si>
  <si>
    <t>Reimbursement of filing fees for patent applications.</t>
  </si>
  <si>
    <t xml:space="preserve">331 Abraham Street Palar Village. Brgy. Southside Makati City </t>
  </si>
  <si>
    <t>P 3,636.00</t>
  </si>
  <si>
    <t>2008-19-ad referenda</t>
  </si>
  <si>
    <t>Request for the approval of payment for the services of DANEX  signs, Inc. for Installation of booth system for the 2008 NSTW 8th ASTW</t>
  </si>
  <si>
    <t>https://drive.google.com/file/d/1MXU2o9UTXPQZedNsLbaDFN3c8iRBf6UX/view?usp=drive_link</t>
  </si>
  <si>
    <t xml:space="preserve">DANEX signs, Inc. </t>
  </si>
  <si>
    <t>vto Tech Fair Fund.</t>
  </si>
  <si>
    <t xml:space="preserve">1869 P. Domingo Street Makati City </t>
  </si>
  <si>
    <t>P 357,572.00</t>
  </si>
  <si>
    <t>2008-20-ad referenda</t>
  </si>
  <si>
    <t>TAPI's share for the publication of a special Manila Bulletin supplement on the DOST 50th Anniversary  and 2008 Nationnal Science and Technology Week/8th ASEA Science and Technology Week.</t>
  </si>
  <si>
    <t>https://drive.google.com/file/d/1kViQpSnkaCDIjFGtoqO1x4M1avq1pEKS/view?usp=drive_link</t>
  </si>
  <si>
    <t>Exhibit ASIA, Inc.</t>
  </si>
  <si>
    <t>Chargeable to Tech Fair Fund.</t>
  </si>
  <si>
    <t xml:space="preserve">2nd and 3rd Floor, Macalinao Building 162 kanlaon St. Sta Mesa Heights  Quezon City </t>
  </si>
  <si>
    <t>2008-21-ad referenda</t>
  </si>
  <si>
    <t>PHILIPPINE BUSINESS SETUP EXPO</t>
  </si>
  <si>
    <t>https://drive.google.com/file/d/11conG5k8-3oSuT9sgih46S08IqQoKn7X/view?usp=drive_link</t>
  </si>
  <si>
    <t xml:space="preserve">TECHNOLOGY RESOURCE CENTER </t>
  </si>
  <si>
    <t>Financial Assistance to cover the downpayment of venue rental Chargeable againts DOST-GIA</t>
  </si>
  <si>
    <t xml:space="preserve">Little Baguio, San Juan City </t>
  </si>
  <si>
    <t>2008-22-ad referenda</t>
  </si>
  <si>
    <t>Laboratory  Testing of the Portable Water Treatment Device/System</t>
  </si>
  <si>
    <t>https://drive.google.com/file/d/1QF8OcrfuGtMCtd6Rnzvj8JiEFNlc1H0P/view?usp=drive_link</t>
  </si>
  <si>
    <t xml:space="preserve"> Ernesto A. Labuntog </t>
  </si>
  <si>
    <t>Laboratory Testing Assistance under IDAF RA 7459</t>
  </si>
  <si>
    <t xml:space="preserve">I-D Alley 14, road 3 Project 6, Quezon City </t>
  </si>
  <si>
    <t>P 29,750.00</t>
  </si>
  <si>
    <t>2008-23-ad referenda</t>
  </si>
  <si>
    <t xml:space="preserve">Shanghai Rolls,   Fresh,    Sausage,  Meat Ball,                                                         Embutido, Siomai,Tocino, Pork Patty, Pork Tapa </t>
  </si>
  <si>
    <t>https://drive.google.com/file/d/1bs9FtiRO-XmmDv1NL8WPavc3Aa0nkf5_/view?usp=drive_link</t>
  </si>
  <si>
    <t xml:space="preserve">University of Southeastern Philippines </t>
  </si>
  <si>
    <t>Full commercial operation of the projects.</t>
  </si>
  <si>
    <t xml:space="preserve">Tagum City, Davao del Norte </t>
  </si>
  <si>
    <t>P 58,197.56</t>
  </si>
  <si>
    <t>2008-24-ad referenda</t>
  </si>
  <si>
    <t xml:space="preserve">Realignment of the LIB for the project entitled "Roadshow of DOST-Assisted Projects in the National Capital Region" </t>
  </si>
  <si>
    <t>https://drive.google.com/file/d/1fiF4FSK_KIfMCtOTx3-kJBTtXYrVmOGa/view?usp=drive_link</t>
  </si>
  <si>
    <t>Chargeable against TAPI-GIA Investors Forum</t>
  </si>
  <si>
    <t>2008-25-ad referenda</t>
  </si>
  <si>
    <t>https://drive.google.com/file/d/1MCPfNw5Ca-UOVAYElkZ6YN6I-fBXyihd/view?usp=drive_link</t>
  </si>
  <si>
    <t>2008-26-ad referenda</t>
  </si>
  <si>
    <t xml:space="preserve">Strethening and Technology Upgrading of the MSU-IIT Bamboo Technology Resource Center </t>
  </si>
  <si>
    <t>https://drive.google.com/file/d/1pGFNlgvkV4sDnBdJP4-cktaHAuTffj5O/view?usp=drive_link</t>
  </si>
  <si>
    <t>Prof. MArcelo P. Salazar Chancellor, MSU-IIT</t>
  </si>
  <si>
    <t>Utilization of the Savings/ Unexpended Balance (UB) amounting to P111,244.00 for the purchase of other needed equipment for the operations of BTRC. The use of the unexpended balance will not entail additional budget from TAPI.</t>
  </si>
  <si>
    <t xml:space="preserve">IlliganCampus, Iligan City </t>
  </si>
  <si>
    <t>P 111,244</t>
  </si>
  <si>
    <t>2008-27-ad referenda</t>
  </si>
  <si>
    <t xml:space="preserve">Provincial S&amp;T Forum on Biogas  and Environmental Protection and Management </t>
  </si>
  <si>
    <t>https://drive.google.com/file/d/1Udd5jlkZzCR37W84_DaDA1H9OKbtek8f/view?usp=drive_link</t>
  </si>
  <si>
    <t>Dr. Alexander R. Madrigal                                                                           Regional Director  DOST Region IV-A</t>
  </si>
  <si>
    <t>A one-day forum high-lighting the biogas technology including assessment of some biogas projects in the province.</t>
  </si>
  <si>
    <t>P 27,500.00</t>
  </si>
  <si>
    <t xml:space="preserve">CALABARZON Region </t>
  </si>
  <si>
    <t>2008-28-ad referenda</t>
  </si>
  <si>
    <t xml:space="preserve">CAPE Implementaion in DOST  Region CAR </t>
  </si>
  <si>
    <t>https://drive.google.com/file/d/1ju3h904vYkP5OcxnVsFAgU0KLdjZ2vr4/view?usp=drive_link</t>
  </si>
  <si>
    <t xml:space="preserve">DOST- CAR </t>
  </si>
  <si>
    <t>CAPE implementation covering 10 farms in CAR</t>
  </si>
  <si>
    <t>P 544,090</t>
  </si>
  <si>
    <t xml:space="preserve">CAR Region </t>
  </si>
  <si>
    <t>2008-29-ad referenda</t>
  </si>
  <si>
    <t xml:space="preserve">Fabrication of Exhibits Materials for the 2008 ASEAN Science and Technology Week Celebration and the DOST Annual S&amp;T Fair </t>
  </si>
  <si>
    <t>https://drive.google.com/file/d/1sO_MHaOqqAGPJDD8a802J9ahYnL8vtIF/view?usp=drive_link</t>
  </si>
  <si>
    <t xml:space="preserve">Food and Nutrition Research Institute (FNRI) </t>
  </si>
  <si>
    <t>Request for reallignment of the line-item budget approved earlier for the fabrication of FNR's exhibit materials for the 2008 NSTW/ASEAN S &amp; T Week Celebration</t>
  </si>
  <si>
    <t xml:space="preserve">DOST Compound , General Santos Avenue, Bicutan Taguig City </t>
  </si>
  <si>
    <t>P 340,000.00</t>
  </si>
  <si>
    <t>2008-30-ad referenda</t>
  </si>
  <si>
    <t xml:space="preserve">Improved Productivity of the Furniture, Food Processing and Custom Jewelry/ Fashion Accessories Industries in Kalinga </t>
  </si>
  <si>
    <t>https://drive.google.com/file/d/1rf09DxlrFAWWdxSC8UDYy_AwsBfLuYM5/view?usp=drive_link</t>
  </si>
  <si>
    <t xml:space="preserve">    DR. BEN D. LADILAD                                                                                Regional Director </t>
  </si>
  <si>
    <t>The project is the implementation of MPEX Program in CAR to benefit 11 SMED in kalinga. The 11 firms are from Furniture, Food Processing and Costume Jewelry/ Fashion Accessories.</t>
  </si>
  <si>
    <t>DOST -CAR  La Trinidad, Benguet</t>
  </si>
  <si>
    <t>P 594,650</t>
  </si>
  <si>
    <t>2008-31-ad referenda</t>
  </si>
  <si>
    <t>Kalamata: A Source Book of weave Designs Volume II</t>
  </si>
  <si>
    <t>https://drive.google.com/file/d/1xig2viHOJv1UCkgcdHJ5SmRfFUI8z65K/view?usp=drive_link</t>
  </si>
  <si>
    <t xml:space="preserve">Dr. Carlos C. Tomboc                                                                              Director Philippine Textile Research  Institute </t>
  </si>
  <si>
    <t>Purchase of items for the "Handbook on Pretreatment and Dyeing of Indigenous Materials for World Class Products", Vol.II</t>
  </si>
  <si>
    <t xml:space="preserve">Gen. Santos Avenue Bicutan,Taguig City </t>
  </si>
  <si>
    <t>P 19,105.00</t>
  </si>
  <si>
    <t>2008-32-ad referenda</t>
  </si>
  <si>
    <t>Financial assistance to cover expenses for the payment of professional services inccured for the layout and design of the space provided by STII during the 2008 ASEAN Science and Technology Week Celebration/ 19th DOST Annual S&amp;T Fair</t>
  </si>
  <si>
    <t>https://drive.google.com/file/d/1aVp-Bhmgq4Sw9nTiW1spZNc0tYCZxqmH/view?usp=drive_link</t>
  </si>
  <si>
    <t xml:space="preserve">Office of the Assistant Secretary </t>
  </si>
  <si>
    <t>Chargeable to Tech Fair Fund - TAPI-GIA</t>
  </si>
  <si>
    <t>2008-33-ad referenda</t>
  </si>
  <si>
    <t>Request for the approval of payment to  Dannex Signs, Inc. for the additional expenses incurred during the 2008 NSTW/8th ASTW</t>
  </si>
  <si>
    <t>https://drive.google.com/file/d/1WPmYnBFEBP3noY_bO18JgNXncb1nNpX-/view?usp=drive_link</t>
  </si>
  <si>
    <t xml:space="preserve">DANEX Signs, Inc. </t>
  </si>
  <si>
    <t xml:space="preserve">1869 P. Dom ingo Street Makati City </t>
  </si>
  <si>
    <t>P 55,717.76</t>
  </si>
  <si>
    <t>2008-34-ad referenda</t>
  </si>
  <si>
    <t>2008-35-ad referenda</t>
  </si>
  <si>
    <t>2008-36-ad referenda</t>
  </si>
  <si>
    <t xml:space="preserve">Filling Fees for Patent Application/Registration: 1. Car Cover (with Advertising  Media) 2.  ar Shade Advertising  Media 3. High Capacity  Transport Vehiclem 4. Fire Escape System </t>
  </si>
  <si>
    <t>https://drive.google.com/file/d/1h6mnmK72ckQXiiiHLXumEHbi_XQyfcRP/view?usp=drive_link</t>
  </si>
  <si>
    <t xml:space="preserve">Antonio M. Andres, Sr.                                                                                 c/o Wolrd Class Printing and Packaging </t>
  </si>
  <si>
    <t>Reimbursement of filing fees for patent applications/registrations.</t>
  </si>
  <si>
    <t xml:space="preserve"> 21 Francisco Street Malinta, Valenzuela City </t>
  </si>
  <si>
    <t>P9,544.50</t>
  </si>
  <si>
    <t>2008-37-ad referenda</t>
  </si>
  <si>
    <t xml:space="preserve">Kabibisg Government expo and Trade Fair 2008 on September 4-7, 2008 at the Megatrade Hall 2, SM Megamall, Mandaluyong City </t>
  </si>
  <si>
    <t>https://drive.google.com/file/d/1nGbEh1u3UPuC4abQ7wCMwAuyV2TnFdmf/view?usp=drive_link</t>
  </si>
  <si>
    <t xml:space="preserve">Kabisig Mindanao Foundation,Inc. </t>
  </si>
  <si>
    <t>Payment for 2 booths-reserved that costs Php 25,000/booth.</t>
  </si>
  <si>
    <t>P50,000.00</t>
  </si>
  <si>
    <t>2008-38-ad referenda</t>
  </si>
  <si>
    <t>2008-39-ad referenda</t>
  </si>
  <si>
    <t>Patenting of "Incubator"</t>
  </si>
  <si>
    <t>https://drive.google.com/file/d/1Hk4J06VlPKv3FxqD3oIcARaoMAmrsV7q/view?usp=drive_link</t>
  </si>
  <si>
    <t xml:space="preserve">Mardinio P. Azores </t>
  </si>
  <si>
    <t xml:space="preserve">209 Centrum 2A Home Centrum Green Village, Subd. Mapulang  Lupa, Valenzuela City </t>
  </si>
  <si>
    <t>2008-40-ad referenda</t>
  </si>
  <si>
    <t xml:space="preserve">DOST VIII Regional Science and Technology Week Celebration </t>
  </si>
  <si>
    <t>https://drive.google.com/file/d/1nstUh1iOeXkGW3cgZAz6KtnZa2oDaqTf/view?usp=drive_link</t>
  </si>
  <si>
    <t xml:space="preserve">DOST VIII </t>
  </si>
  <si>
    <t>Realignment of funding assistance for the project, "DOST VIII Regional Science and Technology Week Celebration.</t>
  </si>
  <si>
    <t>Government Center Candahug, pawing Palo, Leyte</t>
  </si>
  <si>
    <t>P 35,000.00</t>
  </si>
  <si>
    <t>2008-41-ad referenda</t>
  </si>
  <si>
    <t>Driver Assistant Unit</t>
  </si>
  <si>
    <t>https://drive.google.com/file/d/1HQQjsnvYhpuahfqQAo-moVPBFoQdjp_u/view?usp=drive_link</t>
  </si>
  <si>
    <t xml:space="preserve">Ricardo V. Borromeo </t>
  </si>
  <si>
    <t>Fabrication of a working model of the Driver Assistant Unit to a public utility bus and to public jeepney for performance testing and acceptability.</t>
  </si>
  <si>
    <t xml:space="preserve">Sitio Gulod, km,- 39 Pulong Buhangin  Sta. Maria Bulacan </t>
  </si>
  <si>
    <t>P 9,000.00</t>
  </si>
  <si>
    <t>2008-42-ad referenda</t>
  </si>
  <si>
    <t xml:space="preserve">Development of An Improved Commercial Model Banana Chipper </t>
  </si>
  <si>
    <t>https://drive.google.com/file/d/1C3sabW7firzb1yWtdGXqFAGcd_1xrwp-/view?usp=drive_link</t>
  </si>
  <si>
    <t xml:space="preserve">Western Philippine  University </t>
  </si>
  <si>
    <t>Prototype of equipment that will upgrade the production capability of the banana-chip producing SMEs</t>
  </si>
  <si>
    <t>P 55,280.00</t>
  </si>
  <si>
    <t>2008-43-ad referenda</t>
  </si>
  <si>
    <t xml:space="preserve">Patenting /Registration of "Sipag Kalan" </t>
  </si>
  <si>
    <t>https://drive.google.com/file/d/1mC6UgEHRib0CEfRBQIQdf9HK0430h5Tx/view?usp=drive_link</t>
  </si>
  <si>
    <t>Agaton C.Milagroso</t>
  </si>
  <si>
    <t>Patenting/ Registration Assistance</t>
  </si>
  <si>
    <t xml:space="preserve">054 Purok 1 Barangay Balite Malolos, Bulacan </t>
  </si>
  <si>
    <t>2008-44-ad referenda</t>
  </si>
  <si>
    <t xml:space="preserve">Funding support for Filing and other fees at IPO four(4) paen and five(5) utility model registration application </t>
  </si>
  <si>
    <t>https://drive.google.com/file/d/1chURRL5H5NpOKaaURcF8pLlvPbINH2Du/view?usp=drive_link</t>
  </si>
  <si>
    <t xml:space="preserve">Dr. Antonio F. Mateo                                                                             AMECOS INNOVATIONS </t>
  </si>
  <si>
    <t>Payment of Fling Fees for Applications for Patent and Registration of Utility Models.</t>
  </si>
  <si>
    <t xml:space="preserve"> AMECOS Building 36 Alma Jose Street Zabarte Road Caloocan City </t>
  </si>
  <si>
    <t>P 14,847.00</t>
  </si>
  <si>
    <t>2008-45-ad referenda</t>
  </si>
  <si>
    <t xml:space="preserve">Motorcycle  Driven Mobile  Advertising Device </t>
  </si>
  <si>
    <t>https://drive.google.com/file/d/1MC6Ep8brDL9iCBjQCsrxlFS-x2SlSenm/view?usp=drive_link</t>
  </si>
  <si>
    <t xml:space="preserve">Antonio M. Andes, Sr.                                                                              c/o world Class Printing abd Packaging </t>
  </si>
  <si>
    <t>Use of the Invention "Motorcycle Driven Mobile Ad Device" for the 2008 National Inventors Week promotion campaign.</t>
  </si>
  <si>
    <t xml:space="preserve">21 Francisco Street Malinta, Valenzuela City </t>
  </si>
  <si>
    <t>P 29,600.00</t>
  </si>
  <si>
    <t>2008-46-ad referenda</t>
  </si>
  <si>
    <t>https://drive.google.com/file/d/1MEQCoIyHvsd9tYNllgfzmOcpVPRTDbLQ/view?usp=drive_link</t>
  </si>
  <si>
    <t>2008-47-ad referenda</t>
  </si>
  <si>
    <t xml:space="preserve">2008 National Inventors Week (NIW) Celebration </t>
  </si>
  <si>
    <t>https://drive.google.com/file/d/1PXDCbQGcFID2KMU7OG17EACrgp6n_5Du/view?usp=drive_link</t>
  </si>
  <si>
    <t>TAPI In cooperation with Inventors' Organizations</t>
  </si>
  <si>
    <t>Sources of funds
TAPI-GIA: 2,289,910.00
IGF: 1,120,000.00</t>
  </si>
  <si>
    <t>P 3,409,910</t>
  </si>
  <si>
    <t>2008-48-ad referenda</t>
  </si>
  <si>
    <t xml:space="preserve">2008 South Luzon cluster S &amp; T Fair </t>
  </si>
  <si>
    <t>https://drive.google.com/file/d/1rScq_0hwkfOnCekvF4TWVdf4YrYGaY2U/view?usp=drive_link</t>
  </si>
  <si>
    <t xml:space="preserve">SOUTH LUZON CLUSTER </t>
  </si>
  <si>
    <t>Financial Assistance for the project entitled "2008 South Luzon Cluster Science &amp; Technology Fair" Chargeable against Techfair.</t>
  </si>
  <si>
    <t>P1,405,000.00</t>
  </si>
  <si>
    <t>2008-49-ad referenda</t>
  </si>
  <si>
    <t>Fisheries Technology Forum</t>
  </si>
  <si>
    <t>https://drive.google.com/file/d/1LI4JbHQER72fOP5rM3Q7w6DMJruSmE6H/view?usp=drive_link</t>
  </si>
  <si>
    <t xml:space="preserve">Samar State University </t>
  </si>
  <si>
    <t>The Forum is one of the activities during the 3rd Fisheries Congress in Eastern Visayas and Conference of the Philippine Society of Lactic Acid Bacteria, Inc.</t>
  </si>
  <si>
    <t xml:space="preserve">Catbalogan City </t>
  </si>
  <si>
    <t>P 20,400.00</t>
  </si>
  <si>
    <t>2008-50-ad referenda</t>
  </si>
  <si>
    <t xml:space="preserve">Forum on Bio-Business Enterprises as Part of the Activity of the Biotechnology Week </t>
  </si>
  <si>
    <t>https://drive.google.com/file/d/1hSWvay2ORa1Oe3IeFRVQUftDJWLLcPgx/view?usp=drive_link</t>
  </si>
  <si>
    <t>Philippine Council for Industry &amp; Energy Research &amp; Development (PCIERD)</t>
  </si>
  <si>
    <t>The Forum is in connection with the upcoming 4th National Biotechnology Week on 22-28 November 2008.</t>
  </si>
  <si>
    <t xml:space="preserve">DOST Compound , Bicutan Taguig City </t>
  </si>
  <si>
    <t>P 55,000.00</t>
  </si>
  <si>
    <t>2008-51-ad referenda</t>
  </si>
  <si>
    <t xml:space="preserve">Development of An Improved Commercial - Model Cashew Sheller </t>
  </si>
  <si>
    <t>https://drive.google.com/file/d/1DbmVEA7mUnod0jhZOLEwMiD9Mrl3LvvY/view?usp=drive_link</t>
  </si>
  <si>
    <t xml:space="preserve">Western Philippine University </t>
  </si>
  <si>
    <t>Fabrication of a prototype low-cost and efficient commercial-model cashew sheller</t>
  </si>
  <si>
    <t xml:space="preserve">Aborlan, Palawan </t>
  </si>
  <si>
    <t>P 44, 165.00</t>
  </si>
  <si>
    <t>2008-52-ad referenda</t>
  </si>
  <si>
    <t xml:space="preserve">Promotions of 2008 National Inventors Week Celebration through Newspaper Supplement </t>
  </si>
  <si>
    <t>https://drive.google.com/file/d/1IDYLmos5WwrBlSH1YVQ4wifRsKm4xNRf/view?usp=drive_link</t>
  </si>
  <si>
    <t>Full Page Black and White Advertisement in the Manila Bulletin on November 17,2008</t>
  </si>
  <si>
    <t>P 146,000.00</t>
  </si>
  <si>
    <t>2008-53-ad referenda</t>
  </si>
  <si>
    <t>2008 National Biotechnology Week on 23-28 November 2008 at the UP-ISSI, Diliman, Quezon City</t>
  </si>
  <si>
    <t>https://drive.google.com/file/d/1Ja6ePUz2SeVFkdkaFUFSWYcI33W4Wx7J/view?usp=drive_link</t>
  </si>
  <si>
    <t>LIB for TAPI's participation to the 2008 National Biotechnology Week.</t>
  </si>
  <si>
    <t>2008-54-ad referenda</t>
  </si>
  <si>
    <t xml:space="preserve">Forum on Marine Science in the Philippines </t>
  </si>
  <si>
    <t>https://drive.google.com/file/d/1yEJTnqO7zuU5M42S6bTPPHTH5IRCSWQn/view?usp=drive_link</t>
  </si>
  <si>
    <t xml:space="preserve">Dr. J.H. Primavera                                                                                  Pew Fellow and Scientist Emerita Aquaculture Department Southeast Asian Fisheries Development Center </t>
  </si>
  <si>
    <t>The Forum aims to evaluate the status of the Philippine Marine Science and the significant achievements including gaps and missteps.</t>
  </si>
  <si>
    <t xml:space="preserve">Tigbauan, Iloilo City </t>
  </si>
  <si>
    <t>2008-55-ad referenda</t>
  </si>
  <si>
    <t xml:space="preserve">Upgrading of R.M. Dimaandal Woodcraft Corporation </t>
  </si>
  <si>
    <t>https://drive.google.com/file/d/12Mj7oMfqV5cCJAN_fQWc4nQGpg6UaA6A/view?usp=drive_link</t>
  </si>
  <si>
    <t>Engr. Rogelio M. Dimaandal                                                                  Owner/Manager  Dimaandal Woodcraft Corp.</t>
  </si>
  <si>
    <t>To improve the competitiveness of R.M. Dimaandal Woodcraftt through upgrading of production technology and enchancement of product quality.</t>
  </si>
  <si>
    <t xml:space="preserve">Caritan-Norte-Atulayan Boundary Tuguegarao, Cagayan </t>
  </si>
  <si>
    <t>P687,300.00</t>
  </si>
  <si>
    <t>2008-56-ad referenda</t>
  </si>
  <si>
    <t xml:space="preserve">4th Northern Luzon Cluster Science and Technology Fair </t>
  </si>
  <si>
    <t>https://drive.google.com/file/d/14Lr6-6gVIN1LmyKdlt_Ft7mwSOMvlt7i/view?usp=drive_link</t>
  </si>
  <si>
    <t>Request for additonal funding for the conduct of 4th Northern Luzon Cluster Fair held last 6- 11 October 2008 at CCT Gymnasium, Tuguegarao, Cagayan.</t>
  </si>
  <si>
    <t xml:space="preserve">Bagay Road, Nursery compound, Tuguegarao City, Cagayan </t>
  </si>
  <si>
    <t>P150,000.00</t>
  </si>
  <si>
    <t>2008-57-ad referenda</t>
  </si>
  <si>
    <t xml:space="preserve">Establishment of Integrated Coconut fiber processing Project in the Bicol Region </t>
  </si>
  <si>
    <t>https://drive.google.com/file/d/1prEm-nbaUgCmox9v4cgYvkcem6ZVkw1k/view?usp=drive_link</t>
  </si>
  <si>
    <t xml:space="preserve">Engr. Justino R. Arboleda                                                                        President , Juboken Enterprises </t>
  </si>
  <si>
    <t>The request for the Restructing of the Refund Schedule is to give time for the beneficiary to recover losses from its previous operation and to maximize its production to meet the objectives of the project. The restructuring will not entail additional budget from TAPI. The deferment of refund is from June to November 2008. The proponent has already submitted fourteen (14) postdated checks to comply woth our requirements to facilitate approval on the request.</t>
  </si>
  <si>
    <t xml:space="preserve">168 Quirino Highway, Baesa, quezon City </t>
  </si>
  <si>
    <t>P1, 702,250.00</t>
  </si>
  <si>
    <t>2008-58-ad referenda</t>
  </si>
  <si>
    <t xml:space="preserve">Establishment of Shelf Life and Upgrading of Nutrients Content Determination Capability </t>
  </si>
  <si>
    <t>https://drive.google.com/file/d/1ixRVMvEa3SQQ9lFPZck8gqMvMg32q-Y2/view?usp=drive_link</t>
  </si>
  <si>
    <t>Dr. Mariano C. De Jesus                                                                         President, Bulacan State University (BSU) BSU-DOST Food Testing Laboratory</t>
  </si>
  <si>
    <t>The request for the extension of project duration for one year and the start of refund to July 2009 due to the delay in the purchase of fat extractor and to give time for BSU to maximaze its operation. The requesr will not entail additonal budget from TAPI. The deferment of refund is from 31 Ju;y 2008 to 31 July 2009.</t>
  </si>
  <si>
    <t xml:space="preserve">102 Carpio hall, BSU Campus, Maloos, Bulacan </t>
  </si>
  <si>
    <t>P 2,512,675.80</t>
  </si>
  <si>
    <t>2008-59-ad referenda</t>
  </si>
  <si>
    <t xml:space="preserve">Materials Innovation Program for Furniture, GHD and Fashion Accessories Industry In Central Visayas </t>
  </si>
  <si>
    <t>https://drive.google.com/file/d/1ttRD_4ou89gW-Hz_Kg29E5hBU9bR5kVf/view?usp=drive_link</t>
  </si>
  <si>
    <t>Rene Burt N. Llanto                                                                                      Regional Director DOST Region VII</t>
  </si>
  <si>
    <t>The project os a collaboration of the leading export industries in the region, the academe and DOST Region VII to develop new materials from local souces as well as from other countires to make the industry more competitive.</t>
  </si>
  <si>
    <t xml:space="preserve">Goc.Manuel Cuenco Avenue Banilad, Cebu City </t>
  </si>
  <si>
    <t>P 325,600.00</t>
  </si>
  <si>
    <t>2008-60-ad referenda</t>
  </si>
  <si>
    <t>Training on Finishing (Special Effects Coating System)</t>
  </si>
  <si>
    <t>https://drive.google.com/file/d/1SkcjBPSnIP1VBnqedZl_8bk-NFKPiZQ3/view?usp=drive_link</t>
  </si>
  <si>
    <t>The course introduces participants to the basic steps to be followed in preparation of special effects finishings.</t>
  </si>
  <si>
    <t xml:space="preserve">DOST Building,  Government Center Maimpis City of San Fernando Pampanga </t>
  </si>
  <si>
    <t>P 23,500.00</t>
  </si>
  <si>
    <t>2008-61-ad referenda</t>
  </si>
  <si>
    <t xml:space="preserve">Water Hyacinth Skills Training (Bags and Baskets) </t>
  </si>
  <si>
    <t>https://drive.google.com/file/d/1BCzsnBYTJCy-IvYaXp1-XhVirVt4tWUB/view?usp=drive_link</t>
  </si>
  <si>
    <t>The project aims to introduce and provide skills in weaving techniques of water hyacinth to the residents/ farmers in Victoiria and Lapaz, Tarlac.</t>
  </si>
  <si>
    <t xml:space="preserve"> DOST Building, Government Center Maimpis City of San Fernando Pampanga </t>
  </si>
  <si>
    <t>2008-62-ad referenda</t>
  </si>
  <si>
    <t xml:space="preserve">"Capability Building for DOST VI Technical Staff and PSTCs on Feasibility Study Preparation in Support of SET-UP Implementation </t>
  </si>
  <si>
    <t>https://drive.google.com/file/d/1dsJqidc6Y0WpycLmVBoIr54BpMlxFE1t/view?usp=drive_link</t>
  </si>
  <si>
    <t>The project is a two-day training on the preparation of feasibility study whose objectives are to improve the capability of DOST VI in the preparation of feasibility studies and to establish a pool of personnel equipped with feasibility study preparation skills.</t>
  </si>
  <si>
    <t>P 106,200.00</t>
  </si>
  <si>
    <t>2008-63-ad referenda</t>
  </si>
  <si>
    <t xml:space="preserve">Technology Invenstment Forum on Embroidery </t>
  </si>
  <si>
    <t>https://drive.google.com/file/d/1TGS8S90hMzVWESKoUL8phNTu2iO_VD9O/view?usp=drive_link</t>
  </si>
  <si>
    <t xml:space="preserve">DOST Region IV </t>
  </si>
  <si>
    <t>A half day forum high- lighting the embroidery technologies which includes designing and stitching methods, designing &amp; transferring designs (CAD) and dyeing.</t>
  </si>
  <si>
    <t xml:space="preserve">Jamboree Road, Barangay Timugan Los Banos, Laguna </t>
  </si>
  <si>
    <t>2008-64-ad referenda</t>
  </si>
  <si>
    <t>Capability Building for SMEs, LGUs and Academe for the Provinces of Camiguin and Mimamis Oriental cum  Training on webpage Design and Development using JOOMLA</t>
  </si>
  <si>
    <t>https://drive.google.com/file/d/1n7BDLcE7U-55ed6ovMuVjdhbQBGbU-oH/view?usp=drive_link</t>
  </si>
  <si>
    <t>A six-day-capability building for SMEs, LGUS and Academe cum training on webpage design and development using JOOMLA open source software</t>
  </si>
  <si>
    <t>Near J.R. Borja City Hospital Carmen, Cagayan de Oro 9000</t>
  </si>
  <si>
    <t>P 98,000</t>
  </si>
  <si>
    <t>Technology-non-computers</t>
  </si>
  <si>
    <t>2008-65-ad referenda</t>
  </si>
  <si>
    <t xml:space="preserve">Patenting/Registration                                                                                  1. Development of New Energy Adaptor (NEA) Gadget                                            2. Development of the Energy a Facilitated Adaptor (EFA) Gadget </t>
  </si>
  <si>
    <t>https://drive.google.com/file/d/1X2ny8JkM23RGZrOmgks83pPCau0H5c_4/view?usp=drive_link</t>
  </si>
  <si>
    <t xml:space="preserve">DOST Compound General Santos Avenue Bisutan, Taguig City </t>
  </si>
  <si>
    <t>2008-66-ad referenda</t>
  </si>
  <si>
    <t xml:space="preserve">Broiler Production    Milkfish Feed Production                                                              El Costes Fish Sausage </t>
  </si>
  <si>
    <t>https://drive.google.com/file/d/1EjM8DiSFK49qmBHN_pQVp2gCCzGnHHFp/view?usp=drive_link</t>
  </si>
  <si>
    <t xml:space="preserve">Mindanao State University </t>
  </si>
  <si>
    <t>Seed capital (for the operating expenses) for the student- beneficianes of MSU-GSC</t>
  </si>
  <si>
    <t xml:space="preserve">General Santos City Campus General Santos City </t>
  </si>
  <si>
    <t>P 179,899.05
P 210,812.50
P 127,075.00</t>
  </si>
  <si>
    <t>2008-67-ad referenda</t>
  </si>
  <si>
    <t>Training of the Matigsalug Manobo Youth on the Traditional Cotton Weaving Technology for Sustainable Preservation of Indigenous Knowledge System</t>
  </si>
  <si>
    <t>https://drive.google.com/file/d/1USaLQD_hql7LCrw2Xb-YOOwKoutU2PXl/view?usp=drive_link</t>
  </si>
  <si>
    <t>The training aims to benefit the Matigsalug - Manobo Youth of Kalagangan, San Fernando, Bukidnon with the desired outcome of preserving the traditional indigenous cotton weaving technologies of the tribe.</t>
  </si>
  <si>
    <t xml:space="preserve">Near J.R. Borja City Hospital Carmen, Cagayan de Oro </t>
  </si>
  <si>
    <t>P 42,800.00</t>
  </si>
  <si>
    <t>2008-68-ad referenda</t>
  </si>
  <si>
    <t xml:space="preserve">Symposium on Various Transport Packaging Technologies </t>
  </si>
  <si>
    <t>https://drive.google.com/file/d/1XyyarGaU5jGSyFUUEsR1N2p1OwhrSSuD/view?usp=drive_link</t>
  </si>
  <si>
    <t>Conduct of a technology symposium/forum on
various transport packaging technologies in and outside the country.</t>
  </si>
  <si>
    <t>P 51,500.00</t>
  </si>
  <si>
    <t>2008-69-ad referenda</t>
  </si>
  <si>
    <t xml:space="preserve">Training on BambooTreatment and Finishing Techniques </t>
  </si>
  <si>
    <t>https://drive.google.com/file/d/1PGpJd8OpkfrhK_HwqYuPntrArFxjgUrR/view?usp=drive_link</t>
  </si>
  <si>
    <t>Gain knowledge and technical know-how on bamboo treatment and finishing techniques.</t>
  </si>
  <si>
    <t>Near J.R. Borja City Hospital Carmen, Cagayan de Oro</t>
  </si>
  <si>
    <t>P 33,600.00</t>
  </si>
  <si>
    <t>2008-70-ad referenda</t>
  </si>
  <si>
    <t>Skills Training on Embryo Culture of Macapuno Plant and Processing Macapuno</t>
  </si>
  <si>
    <t>https://drive.google.com/file/d/10jEZvwLsKzi_8OCFYFGkHUXOyct27gEG/view?usp=drive_link</t>
  </si>
  <si>
    <t xml:space="preserve">To acquire knowledge and skills on the tissue culture of macapuno plant.
</t>
  </si>
  <si>
    <t>2008-71-ad referenda</t>
  </si>
  <si>
    <t>Patenting/Registration of Hammermill</t>
  </si>
  <si>
    <t>https://drive.google.com/file/d/1O5fKpyq5Cay78eJ8ckMbM8jd1MlHWwx1/view?usp=drive_link</t>
  </si>
  <si>
    <t>Edgardo S. Virina</t>
  </si>
  <si>
    <t>157 Rizal Avenue Barangay West Poblacion Riza, Laguna</t>
  </si>
  <si>
    <t>2008-72-ad referenda</t>
  </si>
  <si>
    <t>Testing Assistance for the invention entiled "Electronic fuel Economizer for Internal Combustion Engine"</t>
  </si>
  <si>
    <t>https://drive.google.com/file/d/1wcSFORU7Y21sDXDIliAAvoxBzdp5Xv4I/view?usp=drive_link</t>
  </si>
  <si>
    <t>Perlito G. Cabauatan                                                                                Patricio R. Cabauatan</t>
  </si>
  <si>
    <t>Availed of the ETV Program of ITDI to validate the merits of the invention</t>
  </si>
  <si>
    <t>225 National Road Bayambong, Nueva Vizcaya</t>
  </si>
  <si>
    <t>P 28,225.00</t>
  </si>
  <si>
    <t>2008-73-ad referenda</t>
  </si>
  <si>
    <t>Patenting/Registration of                                                                                              1. Process of Producing Red wines Using Purple- Fleshed Sweet Potato and Yam as Source of Anthocyanins 2. Strawberry Runner Production Thru Tissue Culture 3. Production of Mutant Spathodlottis Plants by Gamma Irradiation of Different Planting materials 4. Propagation of VSP6 Sweet Potato</t>
  </si>
  <si>
    <t>https://drive.google.com/file/d/1fxWwnSjeqlNQBRvDH9aovtD_UAbjmCOs/view?usp=drive_link</t>
  </si>
  <si>
    <t xml:space="preserve">Philippine Council for Agriculture , Forestry and Natural Resources Research and Development (PCARRD) </t>
  </si>
  <si>
    <t>P 60,460.00</t>
  </si>
  <si>
    <t>2008-74-ad referenda</t>
  </si>
  <si>
    <t>CAPE Implementation in DOST MIMAROPA</t>
  </si>
  <si>
    <t>https://drive.google.com/file/d/1NsLS9gfmeii9X_nNx7uF321yuEr4Y9wN/view?usp=drive_link</t>
  </si>
  <si>
    <t xml:space="preserve">DOST-MIMAROPA </t>
  </si>
  <si>
    <t>CAPE Implementation covering 15 farms in MIMAROPA</t>
  </si>
  <si>
    <t>P 796,590</t>
  </si>
  <si>
    <t>Summary of Approved Projects based on Reso (as of May 2023)</t>
  </si>
  <si>
    <t>1st Sem Target</t>
  </si>
  <si>
    <t>no. of approved projects</t>
  </si>
  <si>
    <t>Total Amount</t>
  </si>
  <si>
    <r>
      <rPr>
        <b/>
        <sz val="10"/>
        <color theme="1"/>
        <rFont val="Arial"/>
      </rPr>
      <t xml:space="preserve">ISP </t>
    </r>
    <r>
      <rPr>
        <i/>
        <sz val="10"/>
        <color theme="1"/>
        <rFont val="Arial"/>
      </rPr>
      <t>(per region)</t>
    </r>
  </si>
  <si>
    <t>Recent Approvals</t>
  </si>
  <si>
    <t>for submission of revised LIB</t>
  </si>
  <si>
    <t>http://gofile.me/4xaew/niUK4WyyB</t>
  </si>
  <si>
    <t xml:space="preserve">Allocating TAPI-GIA Funds for CY 2007 Priority Projects </t>
  </si>
  <si>
    <t>Shallow Draft Boat</t>
  </si>
  <si>
    <t>Aselo Moncada</t>
  </si>
  <si>
    <t>P 130,000.00</t>
  </si>
  <si>
    <t>Techinical</t>
  </si>
  <si>
    <t>https://drive.google.com/file/d/1SYfkIhQFXCP0D4nngFScJPYZvk5V-0k7/view?usp=drive_link</t>
  </si>
  <si>
    <t>2007- 02</t>
  </si>
  <si>
    <t>http://gofile.me/4xaew/eKx7kHUyL</t>
  </si>
  <si>
    <t>Allocating TAPI-GIA Funds for CY 2007 Priority Projects</t>
  </si>
  <si>
    <t>Establishment of the Central Luzon Information Network (CLISNET)</t>
  </si>
  <si>
    <t>Regional Gov't. Center Park, Main Road Diosdado Macapagal Regional Center, San Fernando, 2000 Pampanga</t>
  </si>
  <si>
    <t>DOTCOM</t>
  </si>
  <si>
    <t>https://drive.google.com/file/d/1x7ipeNDxv_9CrjnbdsotZhxKPaOHMDIE/view?usp=drive_link</t>
  </si>
  <si>
    <t>2007- 03</t>
  </si>
  <si>
    <t>http://gofile.me/4xaew/A4nz1P1ts</t>
  </si>
  <si>
    <t>Establishment of Accelerated Shelf-life Evaluation Service in region X</t>
  </si>
  <si>
    <t>Upgrading of Laboratory Testing Centers Program</t>
  </si>
  <si>
    <t>https://drive.google.com/file/d/1F6dEmjdjcNoOH10t0AyLv37OnnYgCK7U/view?usp=drive_link</t>
  </si>
  <si>
    <t>http://gofile.me/4xaew/ass5roN89</t>
  </si>
  <si>
    <t>Low Sugar Preservative-Free Dehydrated Fruit Processing Plant</t>
  </si>
  <si>
    <t>Sunshine Fresh Food International Corporation</t>
  </si>
  <si>
    <t>5G JL Millenium Bldg., Don Jose Avila Corner Don Gil Garcia Sts., Capitol Site 6000</t>
  </si>
  <si>
    <t>https://drive.google.com/file/d/1WYJ2GZghJI1WwlSHnNeNSZd57Cm6nCV7/view?usp=drive_link</t>
  </si>
  <si>
    <t>http://gofile.me/4xaew/8P5aelxtE</t>
  </si>
  <si>
    <t>MPEX Noding</t>
  </si>
  <si>
    <t>DOST III                                                                                                                                            DOST VI                                                                                                                                            DOST VII</t>
  </si>
  <si>
    <r>
      <rPr>
        <sz val="10"/>
        <color theme="1"/>
        <rFont val="Arial"/>
      </rPr>
      <t xml:space="preserve">P 769,162.50
P 769,162.52
 P 1,531,875.00
</t>
    </r>
    <r>
      <rPr>
        <b/>
        <sz val="10"/>
        <color theme="1"/>
        <rFont val="Arial"/>
      </rPr>
      <t>Total: 3,070,200.00</t>
    </r>
  </si>
  <si>
    <t>https://drive.google.com/file/d/1WMWWQKUbfYrNUSYWQbXtzxh65o0lK0mD/view?usp=drive_link</t>
  </si>
  <si>
    <t>http://gofile.me/4xaew/dunh6ugKT</t>
  </si>
  <si>
    <t>Consultancy for Agricultural Productivity Enhancement (CAPE)</t>
  </si>
  <si>
    <t>DOST Region VI (NODE)</t>
  </si>
  <si>
    <r>
      <rPr>
        <sz val="10"/>
        <color theme="1"/>
        <rFont val="Arial"/>
      </rPr>
      <t xml:space="preserve">P 1,900,000.00 (MOOE)
P 142,500.00 (Admin Cost)
</t>
    </r>
    <r>
      <rPr>
        <b/>
        <sz val="10"/>
        <color theme="1"/>
        <rFont val="Arial"/>
      </rPr>
      <t>Total: 2,042,500.00</t>
    </r>
  </si>
  <si>
    <t>https://drive.google.com/file/d/1nxp-hMuYn2xzLATRjl-C8ouRt3bCoiG7/view?usp=drive_link</t>
  </si>
  <si>
    <t>http://gofile.me/4xaew/umREfZaNj</t>
  </si>
  <si>
    <t>Cattle Fattening Using Concentrates and Urea Molasses Mineral Block                                                                                                                              Broiler Production Using Lagundi ( Vitex Negundo) As Source of Antibiotics</t>
  </si>
  <si>
    <t>Mariano Marcos State University (MMSU)</t>
  </si>
  <si>
    <t>3H54+79R, City of Batac, 2906 Ilocos Norte</t>
  </si>
  <si>
    <r>
      <rPr>
        <sz val="10"/>
        <color theme="1"/>
        <rFont val="Arial"/>
      </rPr>
      <t xml:space="preserve">P 412,110.00
P 106,600
</t>
    </r>
    <r>
      <rPr>
        <b/>
        <sz val="10"/>
        <color theme="1"/>
        <rFont val="Arial"/>
      </rPr>
      <t>Total: P 508,710</t>
    </r>
  </si>
  <si>
    <t>https://drive.google.com/file/d/1d56Y20ewhWC6SH1sUBCJaygJNcbfIYsL/view?usp=drive_link</t>
  </si>
  <si>
    <t>http://gofile.me/4xaew/M0Zk60Uog</t>
  </si>
  <si>
    <t>Enhancenment of Moonfish Food Corporation's Environmental Compliance</t>
  </si>
  <si>
    <t>Ana Renee D. Manrique</t>
  </si>
  <si>
    <t>77-B KKK Bonded Warehouse DBP Avenue, FTi Complex Taguig City</t>
  </si>
  <si>
    <t>P 1,010,390</t>
  </si>
  <si>
    <t>VFEST</t>
  </si>
  <si>
    <t>https://drive.google.com/file/d/1JhNWkl3QSngmJOcO9LrUl2t9EvdiE0Rt/view?usp=drive_link</t>
  </si>
  <si>
    <t>http://gofile.me/4xaew/Z5sOOqnbI</t>
  </si>
  <si>
    <t xml:space="preserve">Animal Feedmilling Establishment </t>
  </si>
  <si>
    <t>Kabalikat Para sa Diyos At Bayan Multipurpose Cooperative</t>
  </si>
  <si>
    <t>CX2J+7P5, JP Rizal St, Odiongan, 5505 Romblon</t>
  </si>
  <si>
    <t>P 511,000</t>
  </si>
  <si>
    <t>https://drive.google.com/file/d/1dj-hpOFTE3pASQEAbnf1xPoKlGei1nfk/view?usp=drive_link</t>
  </si>
  <si>
    <t>http://gofile.me/4xaew/prS1k1cxH</t>
  </si>
  <si>
    <t>MPEX in region XII</t>
  </si>
  <si>
    <t xml:space="preserve">Covenant Consultants International, Inc. </t>
  </si>
  <si>
    <t>440, City Land Pasong Tamo Tower, 2210, Chino Roces Avenue, Pio del Pilar, Makati, 1200 Metro Manila</t>
  </si>
  <si>
    <t>P 2,232,800</t>
  </si>
  <si>
    <t>https://drive.google.com/file/d/13eTk6gOxVWBpYAS-J9ZMNlm4YM1QyyL9/view?usp=drive_link</t>
  </si>
  <si>
    <t>http://gofile.me/4xaew/13xUezjZY</t>
  </si>
  <si>
    <t>Allocating TAPI-GIA funds for CY 2006 Priority Projects</t>
  </si>
  <si>
    <t>Commercial Production of Instant Salabat</t>
  </si>
  <si>
    <t>DOST IV</t>
  </si>
  <si>
    <t>Los Banos, Laguns</t>
  </si>
  <si>
    <t>P 5,865</t>
  </si>
  <si>
    <t>https://drive.google.com/file/d/1Rszuss6ium5RcOEY_chBZNfOD9Zw2njH/view?usp=drive_link</t>
  </si>
  <si>
    <t>http://gofile.me/4xaew/fblQ9nWVw</t>
  </si>
  <si>
    <t>Approval of Request for Extension of One (1) Year Grace Period and Loan Term of Two (2) Years</t>
  </si>
  <si>
    <t xml:space="preserve">Herbal Products from Philippine Narra Tree </t>
  </si>
  <si>
    <t>Virgilio V. Ecarma</t>
  </si>
  <si>
    <t>ECARMA Health Options, Betterliving, Paranaque City</t>
  </si>
  <si>
    <t>P 6,887,539.56</t>
  </si>
  <si>
    <t>https://drive.google.com/file/d/1eToWeBggAob261tM5uk5Kn-znVGB22we/view?usp=drive_link</t>
  </si>
  <si>
    <t>http://gofile.me/4xaew/CmRXeJJVf</t>
  </si>
  <si>
    <t>Go Negosyo Entrepreneurship Summit and Expo February 23-25 2006 Market, Market Global City, Taguig</t>
  </si>
  <si>
    <t>Various Payees</t>
  </si>
  <si>
    <t>Taguig City</t>
  </si>
  <si>
    <r>
      <rPr>
        <sz val="10"/>
        <color theme="1"/>
        <rFont val="Arial"/>
      </rPr>
      <t xml:space="preserve">P 193,660
P 93,740
</t>
    </r>
    <r>
      <rPr>
        <b/>
        <sz val="10"/>
        <color theme="1"/>
        <rFont val="Arial"/>
      </rPr>
      <t>Total: P 287,400</t>
    </r>
  </si>
  <si>
    <t>https://drive.google.com/file/d/1bB15eEr6K1jsRCg_AzFJAZQvy1oQ6YWh/view?usp=drive_link</t>
  </si>
  <si>
    <t>http://gofile.me/4xaew/mFqrsWNuk</t>
  </si>
  <si>
    <t>Allocationg IDAF-7459 Funds for CY 2006 Priority Projects</t>
  </si>
  <si>
    <t xml:space="preserve">Pilot Manufacturing of Improved Compound Microscope </t>
  </si>
  <si>
    <t>Gregorio Carballo Jr.</t>
  </si>
  <si>
    <t>Pulong Buhangin Km. 16 Sta. Maria, Bulacan</t>
  </si>
  <si>
    <t>Actual cost on the Acquisition of production equipment</t>
  </si>
  <si>
    <t>https://drive.google.com/file/d/1DBT5-g_r5JdDZf_Zi3lb1hPe-2v-90W7/view?usp=drive_link</t>
  </si>
  <si>
    <t>http://gofile.me/4xaew/seoQtRLHr</t>
  </si>
  <si>
    <t>Forum on National Innovation System for the Industry and Energy Sectors in the Phils
06-07 March 2006
Philvocs Bldg., Diliman, Q.C</t>
  </si>
  <si>
    <t>PCIERD DOST</t>
  </si>
  <si>
    <t>P 140,000</t>
  </si>
  <si>
    <t>https://drive.google.com/file/d/1X3vKW6AnbDWKgDze3PkiGDoK4g9FRSUT/view?usp=drive_link</t>
  </si>
  <si>
    <t>http://gofile.me/4xaew/iVRWqWBsR</t>
  </si>
  <si>
    <t>Approval of the Request for Deferment of First Payment of Financial Assistance For the Projects "Establishment of Satellite Packaging Testing Center" and "Establishment of Microbial Shelf-Life Testing Facility and Upgrading of Nutrition Labeling Capability in support to the DOST SME Technology Upgrading Program (SET-UP) in Central Visayas" of DOST VII RSTC Under Laboratory Upgrading Program</t>
  </si>
  <si>
    <t>Establishment of Satellite Packaging Testing Center
Establishment of Microbial Shelf-Life Testing Facility and Upgrading of Nutrition Labeling Capability in support to the DOST SME Technology Upgrading Program (SET-UP) in Central Visayas</t>
  </si>
  <si>
    <t>DOST Region VII ( Regional Science Technology Center)</t>
  </si>
  <si>
    <t>P 3,200,000.00 (approved in 09 Dec. 2004)
P 1,139,349.00 ( approved in 09 Dec. 2003)</t>
  </si>
  <si>
    <t>Laboratory Upgrading Program</t>
  </si>
  <si>
    <t>https://drive.google.com/file/d/1AA35_sGZAJrrr8j2VdhQ70CAUUk6fpv1/view?usp=drive_link</t>
  </si>
  <si>
    <t>http://gofile.me/4xaew/kWjteKprD</t>
  </si>
  <si>
    <t>Approval of the Request for Deferment of First Payment for Seventeen (17) Months Refund of Financial Assistance for the Project " Establishment of an Accelerated Shelf-Life Evaluation Service in Region X" Under Laboratory Upgrading Program</t>
  </si>
  <si>
    <t>Establishment of an Accelerated Shelf-Life Evaluation Service in Region X</t>
  </si>
  <si>
    <t>DOST region X</t>
  </si>
  <si>
    <t>P 726,434.44</t>
  </si>
  <si>
    <t>https://drive.google.com/file/d/1OIGE1sLinxRs7vS6nbJcdafUjb78n6Q1/view?usp=drive_link</t>
  </si>
  <si>
    <t>2006-14</t>
  </si>
  <si>
    <t>http://gofile.me/4xaew/fpqNDnFCl</t>
  </si>
  <si>
    <t>Improved Extensive Shrimp Culture Mass Prouction of Milkfish Fingerlings for Sea Cages and Improved Shrimp Culture Techniques Using Probiotics Reservoir with Green Water</t>
  </si>
  <si>
    <t xml:space="preserve">Rosy L. Janeo                                                                                                                                                                                                                                                             Valeriano L. Corre Jr.        </t>
  </si>
  <si>
    <t>Female                                                                                                                                 Male</t>
  </si>
  <si>
    <t>Univeristy of the Philippines in the Visayas Foundation, Inc.                                                                                                                             UVP MIAG-AO Campus, Iloilo City , Iloilo 5023, PHL</t>
  </si>
  <si>
    <t>P 105,745.60</t>
  </si>
  <si>
    <t>https://drive.google.com/file/d/1ElxWnEDHEXC_J0soZVKPIyLhOpYm0qq_/view?usp=drive_link</t>
  </si>
  <si>
    <t>2006-21</t>
  </si>
  <si>
    <t>http://gofile.me/4xaew/TtYCHvbRu</t>
  </si>
  <si>
    <t xml:space="preserve">Approval of Release of Last Tranche of Funds for the Project , "FS Preparation on Production and Commercialization of PDL Handloom and their Marketable Fabrics </t>
  </si>
  <si>
    <t>Preparation of FS for the Production and Commercialization of PDL Handlooms and Their Marketable Fabrics</t>
  </si>
  <si>
    <t>Polis and Studies Peak</t>
  </si>
  <si>
    <t>UP Campus, Diliman, Quezon City</t>
  </si>
  <si>
    <t>P 8,195.00 ( payment for the last Tranche)</t>
  </si>
  <si>
    <t>https://drive.google.com/file/d/1-I8nVsfezjaOwLygb_P5NYfMhYkvcsvY/view?usp=drive_link</t>
  </si>
  <si>
    <t>2006-25</t>
  </si>
  <si>
    <t>http://gofile.me/4xaew/lQKUWjTSR</t>
  </si>
  <si>
    <t xml:space="preserve">Forum on Global Businesses From Market-Driven Technologies and Researchers </t>
  </si>
  <si>
    <t>P 412,000 (estimated budget)</t>
  </si>
  <si>
    <t>https://drive.google.com/file/d/1IhGC1JUr4G0rsBD5OomCzj3p2OSsNVTF/view?usp=drive_link</t>
  </si>
  <si>
    <t>2006-26</t>
  </si>
  <si>
    <t>http://gofile.me/4xaew/X4LUtD6tp</t>
  </si>
  <si>
    <t>SET-UP DATBED at cabugcayan National Highschool of Arts and Trades</t>
  </si>
  <si>
    <t>Cabugcayan National High School of Arts and Trades</t>
  </si>
  <si>
    <t>FHGH+8RV, Cabucgayan, Biliran</t>
  </si>
  <si>
    <t>P 47,924.07</t>
  </si>
  <si>
    <t>https://drive.google.com/file/d/1hw29wZH5XmKqvfyt7p5dOQVo-ZUW3jV8/view?usp=drive_link</t>
  </si>
  <si>
    <t>2006-34</t>
  </si>
  <si>
    <t>http://gofile.me/4xaew/Bkv4uOus4</t>
  </si>
  <si>
    <t>Pinoy Technopreneur School-On-Air Radio Program</t>
  </si>
  <si>
    <t xml:space="preserve">LetsGo Foundation </t>
  </si>
  <si>
    <t>2/F AIM Conference Center Manila, Legazpi Village, Makati City</t>
  </si>
  <si>
    <r>
      <rPr>
        <sz val="10"/>
        <color theme="1"/>
        <rFont val="Arial"/>
      </rPr>
      <t xml:space="preserve">P 77,000 (TAPI-GIA)
P 233,157 (UNESCO)
</t>
    </r>
    <r>
      <rPr>
        <b/>
        <sz val="10"/>
        <color theme="1"/>
        <rFont val="Arial"/>
      </rPr>
      <t>Total: P 310,157</t>
    </r>
  </si>
  <si>
    <t>Technology Promotion Program</t>
  </si>
  <si>
    <t>https://drive.google.com/file/d/1ImKMv4cbxyFvkxlHQt46Wxr5CzDkP6k0/view?usp=drive_link</t>
  </si>
  <si>
    <t>2006-37</t>
  </si>
  <si>
    <t>http://gofile.me/4xaew/a6ihhFQ3L</t>
  </si>
  <si>
    <t>Allocating TAPI-GIA funds for the Conduct of 2006 Annual S&amp;T Fair</t>
  </si>
  <si>
    <t>Fabrication of Exhibit Materials for the 2006 NSTW and Annual S&amp;T Fair</t>
  </si>
  <si>
    <t>DOST Agencies and Clusters</t>
  </si>
  <si>
    <t>P 1,150,000.00 (23 agencies/clusters @ P 50,000 each)</t>
  </si>
  <si>
    <t>Technology Fair Program</t>
  </si>
  <si>
    <t>https://drive.google.com/file/d/1mOwg6ozbo3tqazyf8nlQHCiGWD-oTWpO/view?usp=drive_link</t>
  </si>
  <si>
    <t>2006-38</t>
  </si>
  <si>
    <t>http://gofile.me/4xaew/DbDOVqi6q</t>
  </si>
  <si>
    <t>Approval for Realignment of the Line-Item Budget for the Project, "Upgrading of DOST V Regional S&amp;T Laboratory"</t>
  </si>
  <si>
    <t>Upgrading of DOST V Regional S&amp;T Laboratory</t>
  </si>
  <si>
    <t>P 128,319.79</t>
  </si>
  <si>
    <t>Laboratory Network Upgrading Program</t>
  </si>
  <si>
    <t>https://drive.google.com/file/d/1dULC9prwHERA-EWm0Qga4TxaNCu0aLMl/view?usp=drive_link</t>
  </si>
  <si>
    <t>2006-39</t>
  </si>
  <si>
    <t>http://gofile.me/4xaew/29pEHbVv3</t>
  </si>
  <si>
    <t>Approval for the Conduct of the 1st Outstanding Young Scientists National Convention Forum</t>
  </si>
  <si>
    <t>1st Outstanding Young Scientists National Convention Forum</t>
  </si>
  <si>
    <t>P 80,000</t>
  </si>
  <si>
    <t>2006-40</t>
  </si>
  <si>
    <t>http://gofile.me/4xaew/JYBa3Otej</t>
  </si>
  <si>
    <t>Approval for the Donation of the Equipment to Camiguin Polytechnic State College</t>
  </si>
  <si>
    <t>Establishment af a Pilot Pineapple Dehydration Center</t>
  </si>
  <si>
    <t>Camiguin Polytechnic State College (CPSC)</t>
  </si>
  <si>
    <t>National Hwy, Catarman, Camiguin</t>
  </si>
  <si>
    <t>https://drive.google.com/file/d/1VFQ--XB7EUGteJG43OAnJWUfjuqAbpul/view?usp=drive_link</t>
  </si>
  <si>
    <t>2006-41</t>
  </si>
  <si>
    <t>http://gofile.me/4xaew/sM0AodYFA</t>
  </si>
  <si>
    <t>Approval for the Extension of the Project "Productivity Enhancement of Fruit Crops in Batangas"</t>
  </si>
  <si>
    <t>Productivity Enhancement of Fruit Crops in Batangas</t>
  </si>
  <si>
    <t>PARRFI                                                                                                                                         Dr. Domingo E. Angeles                                                                                                                    Ms. Digna Narvacan</t>
  </si>
  <si>
    <t>Male and Female</t>
  </si>
  <si>
    <t>https://drive.google.com/file/d/1TwYk3KzCo8xcQ-rJZVu321wLndImgFE-/view?usp=drive_link</t>
  </si>
  <si>
    <t>2006- 42</t>
  </si>
  <si>
    <t>http://gofile.me/4xaew/vc0H89jHy</t>
  </si>
  <si>
    <t xml:space="preserve">Approval for the Deferment of First Payment For another Two Months and Extension of the Project Duration </t>
  </si>
  <si>
    <t>https://drive.google.com/file/d/1lrrWy09HWy3q7bR7GCOvw14QZgIDPSqz/view?usp=drive_link</t>
  </si>
  <si>
    <t>2006-43</t>
  </si>
  <si>
    <t>http://gofile.me/4xaew/MoXB01180</t>
  </si>
  <si>
    <t>Approval for the Request for Realignment of Line-Item Budget</t>
  </si>
  <si>
    <t>Strethening and Technology Upgrading of the MSU-ITT Bamboo Technology Resource Center</t>
  </si>
  <si>
    <t>https://drive.google.com/file/d/1cZx9sGlftbZP0Cv7-I1gwNPfdUlXqfCc/view?usp=drive_link</t>
  </si>
  <si>
    <t>2006-44</t>
  </si>
  <si>
    <t>http://gofile.me/4xaew/dKrRXPpkS</t>
  </si>
  <si>
    <t>Approval for the Request of the Philippine Emerging Start-Ups Open (PESO) , Inc.</t>
  </si>
  <si>
    <t>Business Concept Forum For Researchers and Scientists</t>
  </si>
  <si>
    <t>P 71, 850</t>
  </si>
  <si>
    <t>2006-49</t>
  </si>
  <si>
    <t>http://gofile.me/4xaew/agbaiAUcz</t>
  </si>
  <si>
    <t>Approval For the Line-Item-Budget of the Project "Pilot Manufacturing of Improved Compound Microscope ", Pilot Plant Assistance Program Chargeable Against IDAF-RA 7459 Funds</t>
  </si>
  <si>
    <t>P 354,300.00</t>
  </si>
  <si>
    <t>Pilot Plant Program</t>
  </si>
  <si>
    <t>https://drive.google.com/file/d/12X2A-Nf84x2OkjcK18SziA3v8CS9r9Ju/view?usp=drive_link</t>
  </si>
  <si>
    <t>2006-51</t>
  </si>
  <si>
    <t>http://gofile.me/4xaew/40rcpfa7z</t>
  </si>
  <si>
    <t xml:space="preserve">Inventika 2006 International Show of Inventions Bucharest Romania </t>
  </si>
  <si>
    <t>Dr. Virgilio L. Malang</t>
  </si>
  <si>
    <t>Humana Pharmaceuticals, 117 Humabon St.,Brgy. San Antonio Sucat Paranaque</t>
  </si>
  <si>
    <t>P 101,210.36</t>
  </si>
  <si>
    <t>https://drive.google.com/file/d/156CfEYjU_8HnXIE9fk4N8kMVQdYpgxLM/view?usp=drive_link</t>
  </si>
  <si>
    <t>2006-52</t>
  </si>
  <si>
    <t>http://gofile.me/4xaew/5cbeVx71L</t>
  </si>
  <si>
    <t>SET-UP DATBED at Eastern Visayas State University (EVSU)</t>
  </si>
  <si>
    <t>Eastern Visayas State University</t>
  </si>
  <si>
    <t>6XRW+3W9, Salazar St, Downtown, Tacloban City, Leyte</t>
  </si>
  <si>
    <t>P 191,350.00</t>
  </si>
  <si>
    <t>https://drive.google.com/file/d/1Bgr4bV95FEEaPOG9wOl2LVp6gUKSofdi/view?usp=drive_link</t>
  </si>
  <si>
    <t>2006-55</t>
  </si>
  <si>
    <t>http://gofile.me/4xaew/Wzv5ZwNq1</t>
  </si>
  <si>
    <t>Approval of request for use of savings and Realignment of the Line-Item-Budget for the Project, "Expansion of WPU Internet Facility " INn Region IV-B</t>
  </si>
  <si>
    <t>Expansion of WPU Internet Facility</t>
  </si>
  <si>
    <t>Western Philippines University                                                                                                       DOST Region IV-B</t>
  </si>
  <si>
    <t>https://drive.google.com/file/d/1RdbxCtqicZHhwI6CRTp8JldRnbtWgesY/view?usp=drive_link</t>
  </si>
  <si>
    <t>2006-56</t>
  </si>
  <si>
    <t>http://gofile.me/4xaew/1ZUQiCwBd</t>
  </si>
  <si>
    <t>Approval for Patenting Assistance of ITDI Technologies under Intellectual Property support Program for Technicom</t>
  </si>
  <si>
    <t>Patenting of eight (8) ITDI Technologies</t>
  </si>
  <si>
    <t>ITDI-DOST</t>
  </si>
  <si>
    <t>Bicutan, Taguig City, Metro Manila</t>
  </si>
  <si>
    <t>P 120,144.00</t>
  </si>
  <si>
    <t>IP-TECHNICOM</t>
  </si>
  <si>
    <t>https://drive.google.com/file/d/1RrWOFsI8E8ZBPnqRw1-WIuufCw7BT8Mg/view?usp=drive_link</t>
  </si>
  <si>
    <t>2006-57</t>
  </si>
  <si>
    <t>http://gofile.me/4xaew/rKJSdOKUf</t>
  </si>
  <si>
    <t>Manpower Development Activities on Food Safety and Quality to Support the Industry in Region 7</t>
  </si>
  <si>
    <t>Maryvel S. Sabellano</t>
  </si>
  <si>
    <t>P 200,400</t>
  </si>
  <si>
    <t>https://drive.google.com/file/d/1lfJgDI1kAEW90TNgZX5mrAS5-SQMSUzw/view?usp=drive_link</t>
  </si>
  <si>
    <t>2006-60</t>
  </si>
  <si>
    <t>http://gofile.me/4xaew/GX9onQGG3</t>
  </si>
  <si>
    <t xml:space="preserve">National Inventors Week (NIW) </t>
  </si>
  <si>
    <t>PTTC, Roxas Blvd., Pasay City</t>
  </si>
  <si>
    <r>
      <rPr>
        <sz val="10"/>
        <color theme="1"/>
        <rFont val="Arial"/>
      </rPr>
      <t xml:space="preserve">P 1,651,664.00 (TAPI-GIA)
P 690,000.00 (IGF)
</t>
    </r>
    <r>
      <rPr>
        <b/>
        <sz val="10"/>
        <color theme="1"/>
        <rFont val="Arial"/>
      </rPr>
      <t>Total: P 2,341,664.00</t>
    </r>
  </si>
  <si>
    <t>https://drive.google.com/file/d/18kVu4MgbvO9A1q0qV_bFdExP1WHNmKV_/view?usp=drive_link</t>
  </si>
  <si>
    <t>2006-61</t>
  </si>
  <si>
    <t>http://gofile.me/4xaew/UcPg2jFE8</t>
  </si>
  <si>
    <t xml:space="preserve">Technology Investment Forum for DOST Developed and Supported Technologies </t>
  </si>
  <si>
    <t>P 131,500</t>
  </si>
  <si>
    <t>Technology Investors Forum</t>
  </si>
  <si>
    <t>https://drive.google.com/file/d/1C9vzacfwBppKZ6TQws2-2iTzAIwyJVri/view?usp=drive_link</t>
  </si>
  <si>
    <t>2006-67</t>
  </si>
  <si>
    <t>http://gofile.me/4xaew/UIedkju98</t>
  </si>
  <si>
    <t>Approval of the Requests for Change of Fund Allocation</t>
  </si>
  <si>
    <t>Performance Evaluation of the Therapeutic Benefits Derived from the PTRI -Developed Therapeutic Handloom (Phase II Clinical Testing/Evaluation</t>
  </si>
  <si>
    <t>PTRI-DOST</t>
  </si>
  <si>
    <t>P 216,000</t>
  </si>
  <si>
    <t>PDAP</t>
  </si>
  <si>
    <t>https://drive.google.com/file/d/1VDDzlWt8eGAHedX3msc_sVF3ECAfz4Bd/view?usp=drive_link</t>
  </si>
  <si>
    <t>2006-70</t>
  </si>
  <si>
    <t>http://gofile.me/4xaew/XCVlBr4B4</t>
  </si>
  <si>
    <t>Noding of MPEX in Region IV</t>
  </si>
  <si>
    <t>DOST Region IV</t>
  </si>
  <si>
    <t>P 892,250.00</t>
  </si>
  <si>
    <t>https://drive.google.com/file/d/1rxUn9Uop8UxbrnfA95kMhY70lYo5N95M/view?usp=drive_link</t>
  </si>
  <si>
    <t>2006-71</t>
  </si>
  <si>
    <t>http://gofile.me/4xaew/UWyUcJtsR</t>
  </si>
  <si>
    <t>https://drive.google.com/file/d/1TndL4S-CzFmpKtX1eYGdU9uDJai6snqx/view?usp=drive_link</t>
  </si>
  <si>
    <t>2006-73</t>
  </si>
  <si>
    <t>http://gofile.me/4xaew/Y1T0nSOt8</t>
  </si>
  <si>
    <t>Establishiment of Pilot Plant for Pilinut Processing, Techno Demonstration and Servicing Projects</t>
  </si>
  <si>
    <t>Bicol University College of Agriculture and Forestry</t>
  </si>
  <si>
    <t>Guinobatan, Albay</t>
  </si>
  <si>
    <t>P 774,000</t>
  </si>
  <si>
    <t>https://drive.google.com/file/d/17Q4cjj_5MESnIQRXLlUFTSi1t1ld0lkV/view?usp=drive_link</t>
  </si>
  <si>
    <t>2006-74</t>
  </si>
  <si>
    <t>http://gofile.me/4xaew/IqffQPYIv</t>
  </si>
  <si>
    <t>Upgrading of the Cottage Industry Technology Center Jewelry Training Center, Establishment of a Phil. Assaying and Hallmarking Laboratory</t>
  </si>
  <si>
    <t>CITC-DTi</t>
  </si>
  <si>
    <t>P 1,402,000</t>
  </si>
  <si>
    <t xml:space="preserve">Laboratory Upgrading Assistance Program </t>
  </si>
  <si>
    <t>https://drive.google.com/file/d/11fUKubPdcYSjCOJSjzMSDdLFEoTUx4-3/view?usp=drive_link</t>
  </si>
  <si>
    <t>http://gofile.me/4xaew/k09UjQMzz</t>
  </si>
  <si>
    <t>Allocating TAPI-GIA Funds for CY 2005 Priority Projects</t>
  </si>
  <si>
    <t>Prototype Development cum Testing of a Rotary-Type Arrowroot Dryer</t>
  </si>
  <si>
    <t xml:space="preserve">PSTC-Marinduque/DOST-IV </t>
  </si>
  <si>
    <t>Jamboree Road , Los Banos, Laguna</t>
  </si>
  <si>
    <t>P 184,000.00</t>
  </si>
  <si>
    <t xml:space="preserve">Prototype Development Assistance Program </t>
  </si>
  <si>
    <t>https://drive.google.com/file/d/18YXCDtpd41QOHeySYdbTxxdzqLayI5H5/view?usp=drive_link</t>
  </si>
  <si>
    <t>http://gofile.me/4xaew/RlWBXKUhr</t>
  </si>
  <si>
    <t>Upgrade of Management , Design and Production Skills of the Fashion Jewelry Industry</t>
  </si>
  <si>
    <t>FAME Foundations Phils., Inc.                                                                                                           Janet U, Chua</t>
  </si>
  <si>
    <t xml:space="preserve">DOST Compound , Lahug, Cebu City </t>
  </si>
  <si>
    <t>P 412,700</t>
  </si>
  <si>
    <t>https://drive.google.com/file/d/101_K0EvzIIgI3AzaeFDwVvpcc66wQFUJ/view?usp=drive_link</t>
  </si>
  <si>
    <t>http://gofile.me/4xaew/tIR4CVhtl</t>
  </si>
  <si>
    <t>Project Termination and Refund of Remaining Balance under DATBED Program</t>
  </si>
  <si>
    <t>Bangus Production Enterprise of Mindoro State College of Agriculture and technology</t>
  </si>
  <si>
    <t>Mindoro State College of Agriculture and Technology</t>
  </si>
  <si>
    <t>Labasan, Bongabong, Oriental Mindoro</t>
  </si>
  <si>
    <t>P 179,150.00 (approved last april 2000)                                                                  P 131,494.91 (losses incurred)                                                                               Total: P 47,655.09 (balance for refund)</t>
  </si>
  <si>
    <t>https://drive.google.com/file/d/12kZ_sxoEMZKof-8K12Hn0jyGJx-AlZsg/view?usp=drive_link</t>
  </si>
  <si>
    <t>http://gofile.me/4xaew/XMqX1Lqv0</t>
  </si>
  <si>
    <t>IP- Related Business Development Service (BDS) Hubs</t>
  </si>
  <si>
    <t>Technology Management Foundation Inc.,                                                                                     Prof. Edison D. Cruz</t>
  </si>
  <si>
    <t>U.P Diliman, Quezon City</t>
  </si>
  <si>
    <t>P 168,500</t>
  </si>
  <si>
    <t>https://drive.google.com/file/d/1160VD0C81-k5Png5aNNx3mSO1uXcEsEo/view?usp=drive_link</t>
  </si>
  <si>
    <t>http://gofile.me/4xaew/cQGeOMKGr</t>
  </si>
  <si>
    <t>Upgrading of Coco Coir Processing Machines for the Coconut Industry</t>
  </si>
  <si>
    <t>MIRDC-DOST</t>
  </si>
  <si>
    <t>Bicutan, Taguig Metro Manila</t>
  </si>
  <si>
    <t>P 489,000</t>
  </si>
  <si>
    <t>Prototype Development Assistance Program</t>
  </si>
  <si>
    <t>https://drive.google.com/file/d/1JGzrz83OliIZTQ2TJQpMJnu1tQpUZjQO/view?usp=drive_link</t>
  </si>
  <si>
    <t>http://gofile.me/4xaew/41L7Sg9JB</t>
  </si>
  <si>
    <t xml:space="preserve"> Approval of Additional Funding Request on Prototpye Development Assistance Project</t>
  </si>
  <si>
    <r>
      <rPr>
        <sz val="10"/>
        <color theme="1"/>
        <rFont val="Arial"/>
      </rPr>
      <t xml:space="preserve">P 16,000 (additional request)                                                                                 P 184,000 ( approved last 11 January 2005)                                                             </t>
    </r>
    <r>
      <rPr>
        <b/>
        <sz val="10"/>
        <color theme="1"/>
        <rFont val="Arial"/>
      </rPr>
      <t>Total: P 200,000</t>
    </r>
  </si>
  <si>
    <t>https://drive.google.com/file/d/1DRw5zLzVi9c4oqjNj3bv-gkD-TITNrwv/view?usp=drive_link</t>
  </si>
  <si>
    <t>http://gofile.me/4xaew/95wxX3WWt</t>
  </si>
  <si>
    <t>Approval of Budget of TAPI  Annual Procurement Plan For Cy 2005</t>
  </si>
  <si>
    <t>2005 TAPI Annual Procurement Plan</t>
  </si>
  <si>
    <t>P 510,000</t>
  </si>
  <si>
    <t>https://drive.google.com/file/d/1tizhnQqm1XOWH8LUclrs4V5GAlDeeima/view?usp=drive_link</t>
  </si>
  <si>
    <t>2005-13</t>
  </si>
  <si>
    <t>http://gofile.me/4xaew/gm2eVUNOE</t>
  </si>
  <si>
    <t>Pond Culture of Prawn, Milkfish, and Mudcrab</t>
  </si>
  <si>
    <t>Prof. Gerome Genodepa                                                                                                                            Dr. Romeo D. Fortes</t>
  </si>
  <si>
    <t>University of the Phil. in the Visayas</t>
  </si>
  <si>
    <t>P 96,879</t>
  </si>
  <si>
    <t>https://drive.google.com/file/d/1Y3OqRJEO0rc7dLdbar3j4d9Xfw1VoFIL/view?usp=drive_link</t>
  </si>
  <si>
    <t>2005-14</t>
  </si>
  <si>
    <t>http://gofile.me/4xaew/FOC77NmPm</t>
  </si>
  <si>
    <t>MIlkfish Production</t>
  </si>
  <si>
    <t xml:space="preserve">Prof. Valeriano L. Corre </t>
  </si>
  <si>
    <t>P 181,796</t>
  </si>
  <si>
    <t>https://drive.google.com/file/d/1e48OM0gZQqsz-aSXDEKRSa79oGItJAtO/view?usp=drive_link</t>
  </si>
  <si>
    <t>2005-18</t>
  </si>
  <si>
    <t>http://gofile.me/4xaew/8XtB94vls</t>
  </si>
  <si>
    <t>Approval of Request for Additional Funding for the Project "Performance Evaluation of Arrowroot Processing Equipment"</t>
  </si>
  <si>
    <t>Proj. No. PRO-05-02 Perforamnce Evaluation of Arrowroot Processing Equipment</t>
  </si>
  <si>
    <t>P 4,500</t>
  </si>
  <si>
    <t>https://drive.google.com/file/d/1VivR0bVb9YqMF7yhetWkw1U6bzno9hoj/view?usp=drive_link</t>
  </si>
  <si>
    <t>2005-19</t>
  </si>
  <si>
    <t>http://gofile.me/4xaew/EXi3OJjkL</t>
  </si>
  <si>
    <t>Project No. ILP05001 Philippine Agriculture 2020: Strategy for Food Security Competitiiveness and Sustainability</t>
  </si>
  <si>
    <t>National Academy of Science and Technology                                                                 NAST-DOST                                                                                                                                      Luningning Samarita</t>
  </si>
  <si>
    <t>P 315,000 (P35,000 x 9 ISPs)*                                                                                    P 40,000 (Travel Expenses)                                                                                      Total: P 355,000</t>
  </si>
  <si>
    <t>https://drive.google.com/file/d/16ClCgwLc5Tbq071iVXs53GzqBHxLinx8/view?usp=drive_link</t>
  </si>
  <si>
    <t>2005-20</t>
  </si>
  <si>
    <t>http://gofile.me/4xaew/BDOaQ1L0U</t>
  </si>
  <si>
    <t>Project No. STF05002 Centerpiece Exhibits for the 2005 Technology Fair</t>
  </si>
  <si>
    <t>(for bidding)</t>
  </si>
  <si>
    <t>P 350,000</t>
  </si>
  <si>
    <t>https://drive.google.com/file/d/1YjzihjcBrwPG0XAHZMyYrzd1aaM5H3Jp/view?usp=drive_link</t>
  </si>
  <si>
    <t>2005-21</t>
  </si>
  <si>
    <t>http://gofile.me/4xaew/Vot4q5RpR</t>
  </si>
  <si>
    <t>Approval for Realignment of the Line-Item-Budget Under RA 7459</t>
  </si>
  <si>
    <t>Forum and Roundtable Discussions on Establishing Intellectual Property Related Business Development Services (IP-BDS) Hubs in the ASEAN</t>
  </si>
  <si>
    <t xml:space="preserve">Edison D. Cruz                                                                                                                                               Technology Management Foundation, Inc. </t>
  </si>
  <si>
    <t>https://drive.google.com/file/d/11r4yKtUxWrNzYvTCfDV6WMjem8h_-0cU/view?usp=drive_link</t>
  </si>
  <si>
    <t>2005-23</t>
  </si>
  <si>
    <t>http://gofile.me/4xaew/H4q5UvCM5</t>
  </si>
  <si>
    <t>Performance Evaluation of the Therapeutic Benefits Derived from the PTRI Developed Therapeutic Handloom (Phase II)</t>
  </si>
  <si>
    <t>Gen. Santos Ave.,Bicutan, Taguig, M.M</t>
  </si>
  <si>
    <t>P 143,200</t>
  </si>
  <si>
    <t>https://drive.google.com/file/d/1JKBuz5Jmv5ubdwhiaMz43mQquhnZeb6Q/view?usp=drive_link</t>
  </si>
  <si>
    <t>2005-27</t>
  </si>
  <si>
    <t>http://gofile.me/4xaew/57vf1lMvM</t>
  </si>
  <si>
    <t xml:space="preserve">MPEX Implementation in Ilocos Norte &amp; Ilocos Sur </t>
  </si>
  <si>
    <t xml:space="preserve">Agro-Industrial Management and Consultancy, Inc., (AIMCON) </t>
  </si>
  <si>
    <t>1167 Don Chino Roces , Ave., Makati City</t>
  </si>
  <si>
    <t>P 532,673.00</t>
  </si>
  <si>
    <t>https://drive.google.com/file/d/1WMyNNLjSIWlcixcAfSUhmKErJtfh7Rla/view?usp=drive_link</t>
  </si>
  <si>
    <t>2005-28</t>
  </si>
  <si>
    <t>http://gofile.me/4xaew/1Zm6Z69Wo</t>
  </si>
  <si>
    <t>Improved Rearing Techniques For Black Tiger Shrimp Using the Closed/Semi-Closed System</t>
  </si>
  <si>
    <t>Eugene Bagayo                                                                                                                                  Roselyn Usero                                                                                                                                Negros Prawn Producers Marketing Coop., Inc. (NPPMCI)</t>
  </si>
  <si>
    <t>Male                                                                                                                                      Female</t>
  </si>
  <si>
    <t>MXQ6+3VX, JTL Building, North Drive, Bacolod, 6100 Negros Occidental</t>
  </si>
  <si>
    <t>P 280, 000</t>
  </si>
  <si>
    <t>https://drive.google.com/file/d/18tQ6zmxu7IiB5K9r66T0Ct4GVGv1Oi4W/view?usp=drive_link</t>
  </si>
  <si>
    <t>2005-29</t>
  </si>
  <si>
    <t>http://gofile.me/4xaew/ipbWfuwOp</t>
  </si>
  <si>
    <t>Best Exhibits Awards</t>
  </si>
  <si>
    <t>To be Selected during the NSTW -Tech Fair Proper</t>
  </si>
  <si>
    <t>Tech Fair Program</t>
  </si>
  <si>
    <t>https://drive.google.com/file/d/1IpvtXICaQpwAHYjKV8dBAz0I9leW2xXb/view?usp=drive_link</t>
  </si>
  <si>
    <t>2005-31</t>
  </si>
  <si>
    <t>http://gofile.me/4xaew/YMMGsdRII</t>
  </si>
  <si>
    <t xml:space="preserve">Greenhouse System ( Hydroponics) </t>
  </si>
  <si>
    <t>Quezon National Agricultural School (QNAS)</t>
  </si>
  <si>
    <t xml:space="preserve">Malicboy, Pagbilao, Quezon </t>
  </si>
  <si>
    <t>P 609,984</t>
  </si>
  <si>
    <t>https://drive.google.com/file/d/1hbJ6r4uAxM-QgVHJP_2FUnFdQTG-hMTc/view?usp=drive_link</t>
  </si>
  <si>
    <t>2005-34</t>
  </si>
  <si>
    <t>http://gofile.me/4xaew/AwzOeOsy7</t>
  </si>
  <si>
    <t>Approval of the Request for Realignment of Line-Item-Budget of Laboratory Upgrading Project in Region IV</t>
  </si>
  <si>
    <t>Enhancement of Standards and Testing Services to Support the Priority Industries in Southern Tagalog (Phase 2)</t>
  </si>
  <si>
    <t>DOST IV Regional Standards and Testing Center</t>
  </si>
  <si>
    <t>P 2,675,058 (released last 27 sept. 2004)                                                                           P 250, 882.40 ( savings incurred approved for realignment)</t>
  </si>
  <si>
    <t>Laboratory Upgrading Progam</t>
  </si>
  <si>
    <t>https://drive.google.com/file/d/1GnBkyxW9HRDsVfCyqb5VG5A82V-8usOU/view?usp=drive_link</t>
  </si>
  <si>
    <t>2005-37</t>
  </si>
  <si>
    <t>http://gofile.me/4xaew/URhBQmULu</t>
  </si>
  <si>
    <t>Bicol SME One-Stop Technology Center</t>
  </si>
  <si>
    <t xml:space="preserve">Metro Naga Chamber of Commerce and Industry </t>
  </si>
  <si>
    <t>2/F Velasco Building , Panganiban Drive, Naga City</t>
  </si>
  <si>
    <t>P 815,000</t>
  </si>
  <si>
    <t>https://drive.google.com/file/d/14ROoBB-VJeFCj89inXCJC0FrGqtjb8xB/view?usp=drive_link</t>
  </si>
  <si>
    <t>2005-39</t>
  </si>
  <si>
    <t>http://gofile.me/4xaew/YUEEWcoiG</t>
  </si>
  <si>
    <t>Visayas Invention Contest                                                                                                                                                                                               21-23 October 2005                                                                                                                                                                                                                SM City Cebu Atrium Rotunda</t>
  </si>
  <si>
    <t>Gov. Manuel Cuenco, Banilad, Cebu City</t>
  </si>
  <si>
    <t>https://drive.google.com/file/d/1H5O1HjMyZNaFt-DjpuTh_jSHB8avHqAK/view?usp=drive_link</t>
  </si>
  <si>
    <t>2005-40</t>
  </si>
  <si>
    <t>http://gofile.me/4xaew/ePoDtMFtW</t>
  </si>
  <si>
    <t>2005-42</t>
  </si>
  <si>
    <t>http://gofile.me/4xaew/2ohU18RSV</t>
  </si>
  <si>
    <t>Change of Projects of Southern Leyte State University (SLSU) and MIsamis Oriental State College of Agriculture and Technology (MOSCAT) Under SET-UP DATBED Program</t>
  </si>
  <si>
    <t xml:space="preserve">1. Milkfish (Bangus) Production in Cage                                                                                                                                                                              2. Carrots Production and Cattle Feed Fattening </t>
  </si>
  <si>
    <t>1. Southern Leyte State University                                                                                               2. MOSCAT</t>
  </si>
  <si>
    <t xml:space="preserve">1. Bontoc Campus Southern Leyte                                                                                                                                                                      2. Claveria, Misamis Oriental </t>
  </si>
  <si>
    <t>1. P 169, 895                                                                                                             2. P 164, 450</t>
  </si>
  <si>
    <t>https://drive.google.com/file/d/1ATgMwvqGYPtS_hId8Tv1UR9H7CAMBpXo/view?usp=drive_link</t>
  </si>
  <si>
    <t>2005-44</t>
  </si>
  <si>
    <t>http://gofile.me/4xaew/ZqUcV146Y</t>
  </si>
  <si>
    <t xml:space="preserve">Upgrading/Expansion of Facilities and Capabilities of the DOST I Regional </t>
  </si>
  <si>
    <t>P 1,937,305.65</t>
  </si>
  <si>
    <t>Laboratory Networking Program</t>
  </si>
  <si>
    <t>https://drive.google.com/file/d/1xWtuRV45gx2NW1rW34-gn8pzgFZDkw1p/view?usp=drive_link</t>
  </si>
  <si>
    <t>2005-45</t>
  </si>
  <si>
    <t>http://gofile.me/4xaew/c10xFORoc</t>
  </si>
  <si>
    <t>Upgrading of DOST V Laboratory</t>
  </si>
  <si>
    <t>DOST V Regional Standards and Testing Center</t>
  </si>
  <si>
    <t>P 500,000</t>
  </si>
  <si>
    <t>https://drive.google.com/file/d/1nJlbkCR1ipDr00ElrXq2qIL8DBhYbo7f/view?usp=drive_link</t>
  </si>
  <si>
    <t>2005-46</t>
  </si>
  <si>
    <t>http://gofile.me/4xaew/npVJSMbvw</t>
  </si>
  <si>
    <t>Establishment of Shelf Life Testing Facility and Upgrading of Nutrient Content Determination Capability</t>
  </si>
  <si>
    <t>Bulacan State University/ DOST Food Testing Laboratory</t>
  </si>
  <si>
    <t>P 2,512, 675.80</t>
  </si>
  <si>
    <t>https://drive.google.com/file/d/1B1D_gVZ6mbGX5Ko0iz0PqRPJ7bwHUw6v/view?usp=drive_link</t>
  </si>
  <si>
    <t>2005-48</t>
  </si>
  <si>
    <t>http://gofile.me/4xaew/BuYV1jMF0</t>
  </si>
  <si>
    <t>Allocating TAPI-GIA Funds for CY 2005 NIW Celebration</t>
  </si>
  <si>
    <t xml:space="preserve">Luzon Invention Contest </t>
  </si>
  <si>
    <t>TAPI-DOST</t>
  </si>
  <si>
    <t>Bicutan, Taguig M.M</t>
  </si>
  <si>
    <t>P 530,755</t>
  </si>
  <si>
    <t>https://drive.google.com/file/d/1e_243-F4-BolGGl3tHp95VPNXtkWPPf2/view?usp=drive_link</t>
  </si>
  <si>
    <t>2005-49</t>
  </si>
  <si>
    <t>http://gofile.me/4xaew/8wrtClFfq</t>
  </si>
  <si>
    <t>1. Fabrication of Additional 100 Sets of Exhibit Panel for Invention Fairs                                                                                                                             2. Reconditioning and Repainting of Existing 100 Panels</t>
  </si>
  <si>
    <t>1. P 187,000                                                                                                             2. 40,000</t>
  </si>
  <si>
    <t>https://drive.google.com/file/d/1Hs59DEA0OtzLiUZ1RT_GXWMmLCJGtOqk/view?usp=drive_link</t>
  </si>
  <si>
    <t>2005-52</t>
  </si>
  <si>
    <t>http://gofile.me/4xaew/HZYWSgQnq</t>
  </si>
  <si>
    <t>Approval for the Use of TAPI's Former Canteen</t>
  </si>
  <si>
    <t>Improvement of Packaging Technology of Philippine Food Products in the Regions</t>
  </si>
  <si>
    <t>Packaging R&amp;D                                                                                                                     Center (PRDC)                                                                                                                              ITDI DOST</t>
  </si>
  <si>
    <t>https://drive.google.com/file/d/1rQ3icl4S-w1DBVxJi___RwiqedtsiCH3/view?usp=drive_link</t>
  </si>
  <si>
    <t>2005-53</t>
  </si>
  <si>
    <t>http://gofile.me/4xaew/YDMmq8i1d</t>
  </si>
  <si>
    <t>Approval of Additional Funding</t>
  </si>
  <si>
    <t>P 212,500.00                                                                                                              P 100,000</t>
  </si>
  <si>
    <t>https://drive.google.com/file/d/1hSsYiSZm-vlLO4NBbWRa9L8_4BY5harV/view?usp=drive_link</t>
  </si>
  <si>
    <t>2005-55</t>
  </si>
  <si>
    <t>http://gofile.me/4xaew/1oAURN29J</t>
  </si>
  <si>
    <t>Introduction of Heavy Duty Processing Machines in the Fish Processing Industry of Balanga,Bataan</t>
  </si>
  <si>
    <t>Amanda T. Battad</t>
  </si>
  <si>
    <t>Puerto Rivas, Balanga City</t>
  </si>
  <si>
    <t>P 352,000</t>
  </si>
  <si>
    <t>https://drive.google.com/file/d/1EZKYkZ5hmyihrvBdhmmFRYorcv9HX418/view?usp=drive_link</t>
  </si>
  <si>
    <t>2005-57</t>
  </si>
  <si>
    <t>http://gofile.me/4xaew/5WyHwpgjn</t>
  </si>
  <si>
    <t>Approval of the Request for Realignment of Line-Item-Budget of the Project "MPEX Noding in Region III"</t>
  </si>
  <si>
    <t>MPEX Noding Implementation in region III ( 20 SMEs Beneficiaries)</t>
  </si>
  <si>
    <t>P 840,004</t>
  </si>
  <si>
    <t>https://drive.google.com/file/d/13uRy_B-9I0xwLrCki-lqbu3wYu2v5D7x/view?usp=drive_link</t>
  </si>
  <si>
    <t>2005-60</t>
  </si>
  <si>
    <t>http://gofile.me/4xaew/abpCmkJ9c</t>
  </si>
  <si>
    <t xml:space="preserve">Consulatation Forum and Workshop </t>
  </si>
  <si>
    <t xml:space="preserve">DOST XI </t>
  </si>
  <si>
    <t>Bajada, Davao City</t>
  </si>
  <si>
    <t>P 88,200</t>
  </si>
  <si>
    <t>https://drive.google.com/file/d/1aVJU5QRb8QmJe2NXGHQd6httspIubns2/view?usp=drive_link</t>
  </si>
  <si>
    <t>2005-63</t>
  </si>
  <si>
    <t>http://gofile.me/4xaew/zFYwOFxrY</t>
  </si>
  <si>
    <t>Technology Business Incubator For ICT-Based SMEs in Region 8</t>
  </si>
  <si>
    <t>Palo, Leyter</t>
  </si>
  <si>
    <t>P 1,791,191.40</t>
  </si>
  <si>
    <t>https://drive.google.com/file/d/1woM2DT9UkZxX-Df-sF58nmwgkp9_P8l1/view?usp=drive_link</t>
  </si>
  <si>
    <t>2005-65</t>
  </si>
  <si>
    <t>http://gofile.me/4xaew/fUvJKmUKE</t>
  </si>
  <si>
    <t>Approval for the Request for use of Savings and Realignment of the Line-Item-Budget of the Project, "Establishment of a Microbial Shelf-Life Testing Facility and Upgrading of Nutrition Labeling Capability in Support to the DOST SMEs TEchnology Upgrading Program (SET-UP) In Central Visayas</t>
  </si>
  <si>
    <t>Establishment of a Microbial Shelf-Life Testing Facility and Upgrading of Nutrition Labeling Capability in Support to the DOST SMEs TEchnology Upgrading Program (SET-UP) In Central Visayas</t>
  </si>
  <si>
    <t>DOST Region VII                                                                                                                              Regional S&amp;T Center</t>
  </si>
  <si>
    <t>P 144,159</t>
  </si>
  <si>
    <t>https://drive.google.com/file/d/1eSnRZjO7C437L5L0gMjXM99X8QPJHJeG/view?usp=drive_link</t>
  </si>
  <si>
    <t>2005-67</t>
  </si>
  <si>
    <t>http://gofile.me/4xaew/2A4REhhRb</t>
  </si>
  <si>
    <t>Gen. Santos Ave.,Bicutan, Taguig City</t>
  </si>
  <si>
    <t>https://drive.google.com/file/d/1a4cjaOkN2QpvZwZhDLq2AOvd6st2_R3L/view?usp=drive_link</t>
  </si>
  <si>
    <t>2005-70</t>
  </si>
  <si>
    <t>http://gofile.me/4xaew/5AZxXNk6r</t>
  </si>
  <si>
    <t xml:space="preserve">Approval of the Request for Deferment of Monthly Refund of Financial Assistance of the Project " Establishment of Southern Tagalog Information Sharing Network (STIS net)" of RITECC IV Under DOTCOM Program'" </t>
  </si>
  <si>
    <t>Establishment of Southern Tagalog Information Sharing Network (STIS net)" of RITECC IV Under DOTCOM Program</t>
  </si>
  <si>
    <t>RITECC IV c/o DOST IV</t>
  </si>
  <si>
    <t>P 806, 860</t>
  </si>
  <si>
    <t>https://drive.google.com/file/d/1omi2mZVrMuWiO20QkwJgCCNcxl3dO3Bk/view?usp=drive_link</t>
  </si>
  <si>
    <t>2005-71</t>
  </si>
  <si>
    <t>http://gofile.me/4xaew/0pzVSWm5g</t>
  </si>
  <si>
    <t>Panganiban Drive, Naga City</t>
  </si>
  <si>
    <t>https://drive.google.com/file/d/1qen4FLYSi5uA9A5lMRQ47M4YTnG-eFwU/view?usp=drive_link</t>
  </si>
  <si>
    <t>2005-73</t>
  </si>
  <si>
    <t>http://gofile.me/4xaew/ckInXlpCk</t>
  </si>
  <si>
    <t>Approval for Termination of the Project and Reversion of Financial Assistance Under Pilot Plant Assistance Program</t>
  </si>
  <si>
    <t>Cassava Processing</t>
  </si>
  <si>
    <t>Manolo Fortich Multi-Purpose Cooperative</t>
  </si>
  <si>
    <t>Bukidnon</t>
  </si>
  <si>
    <t>P 170,000</t>
  </si>
  <si>
    <t>https://drive.google.com/file/d/1wv5IVeaS5zwrIt7ARDHw0J37SgV-ILbQ/view?usp=drive_link</t>
  </si>
  <si>
    <t>2005-76</t>
  </si>
  <si>
    <t>http://gofile.me/4xaew/6v7E5Leaa</t>
  </si>
  <si>
    <t>Establishment of Southern Tagalog Information Sharing Network (STIS net)</t>
  </si>
  <si>
    <t>CLIERDEC Foundation Inc., RITECC c/o DOST III</t>
  </si>
  <si>
    <t>P 830,000</t>
  </si>
  <si>
    <t>https://drive.google.com/file/d/14CpJNOjDFEsaXhPjV3ltk51ChG63A8wk/view?usp=drive_link</t>
  </si>
  <si>
    <t>2005-80</t>
  </si>
  <si>
    <t>http://gofile.me/4xaew/7eqBdBbk7</t>
  </si>
  <si>
    <t>Expansion of Western Philippines University (WPU) Internet Facility</t>
  </si>
  <si>
    <t>Western Philippines University</t>
  </si>
  <si>
    <t>San Juan, Aborlan, Palawan</t>
  </si>
  <si>
    <t>P 1, 391,375</t>
  </si>
  <si>
    <t>https://drive.google.com/file/d/1n7zegjDzQAeLwZTBFXAFRrJvbR1Zbgtm/view?usp=drive_link</t>
  </si>
  <si>
    <t>2005-01-ad referenda</t>
  </si>
  <si>
    <t>2nd cycle of MPEX-ECOPS Big Enterprises-Small Enterprise Productivity Improvement Program (EBESE)</t>
  </si>
  <si>
    <t>Request for ad referendum regarding the evaluation of the proposed MPEX-ECOP's Big Enterprise Productivity Improvement Program (EBESE) engagement covering seventy (70) SMEs IN Metro Manila and Cebu City submitted by Employer's Confederation of the Philippines (ECOP).</t>
  </si>
  <si>
    <t>Employers Confederation of the Philippines (ECOP)</t>
  </si>
  <si>
    <t xml:space="preserve">Makati City </t>
  </si>
  <si>
    <t>P 2,934.120</t>
  </si>
  <si>
    <t>https://drive.google.com/file/d/15f7lLGIhxFe4GalGdk4TNImrHwt7u4i0/view?usp=drive_link</t>
  </si>
  <si>
    <t>2005-02-ad referenda</t>
  </si>
  <si>
    <t>Invention Exhibits at Manila Hotel (31st Business Conference and Expo)</t>
  </si>
  <si>
    <t>Request for allocation of the financial assistance for the Inventions Exhibits (31st Business Conference and Expo) at the Manila Hotel on 10-13 October 2005 due to time constraints and volume work in the preparation.</t>
  </si>
  <si>
    <t xml:space="preserve">Various Inventors Organization </t>
  </si>
  <si>
    <t>P 198,000</t>
  </si>
  <si>
    <t>https://drive.google.com/file/d/1dIGTTgr1UYswQ9c5iOArOOQLuFfptMQv/view?usp=drive_link</t>
  </si>
  <si>
    <t>2005-03-ad referenda</t>
  </si>
  <si>
    <t xml:space="preserve">Mindanao Island Invention Exhibit and Consultation Workshop </t>
  </si>
  <si>
    <t>Fund allocation amounting to P165,550 for the conduct of "Mindanao Island Invention Exhibit and Consultation Workshop".</t>
  </si>
  <si>
    <t>MaindaDost c/o DOST XI</t>
  </si>
  <si>
    <t>https://drive.google.com/file/d/14ejgeY4zKd9aVFce-A1UjI822RbpLApk/view?usp=drive_link</t>
  </si>
  <si>
    <t>2005-04-ad referenda</t>
  </si>
  <si>
    <t>MPEX Implementation in Region XII</t>
  </si>
  <si>
    <t>Ad referendum request regarding the evaluation of the proposed MPEX engagement covering twenty (20) SMEs in Region XII and Digos City to be undertaken by Covenant Consultants International, Inc. (CCI).</t>
  </si>
  <si>
    <t>Covenant Consultants International, Inc.</t>
  </si>
  <si>
    <t>Makati City</t>
  </si>
  <si>
    <t>P 1,147,125.00</t>
  </si>
  <si>
    <t>https://drive.google.com/file/d/1QWtipq1agOXBJUuR1fe0hmrGnMOrkaRE/view?usp=drive_link</t>
  </si>
  <si>
    <t xml:space="preserve">   </t>
  </si>
  <si>
    <t xml:space="preserve">                         </t>
  </si>
  <si>
    <t>Resolution No.</t>
  </si>
  <si>
    <t>2004-32</t>
  </si>
  <si>
    <t>http://gofile.me/4xaew/3m7Oe0457</t>
  </si>
  <si>
    <t>https://drive.google.com/file/d/1bEZz-QiJv6PYHNIwX6k7VN6PGVOA3scY/view?usp=drive_link</t>
  </si>
  <si>
    <t>Allocating RA 7459 Funds for CY 2004 Priority Projects</t>
  </si>
  <si>
    <t>Filipino Inventions and Innovations Centrum</t>
  </si>
  <si>
    <t xml:space="preserve">Carlita Rex-Doran </t>
  </si>
  <si>
    <t>Fairview, Quezon City</t>
  </si>
  <si>
    <t>P 30,000 (Travel Expenses)</t>
  </si>
  <si>
    <t>2004-35</t>
  </si>
  <si>
    <t>http://gofile.me/4xaew/0GpwBgtgw</t>
  </si>
  <si>
    <t>https://drive.google.com/file/d/1Uh4MZCmr2Gdsmgx1VkWI1tbniIS5ZAbY/view?usp=drive_link</t>
  </si>
  <si>
    <t>Allocating Dost-Gia Funds for CY 2004 Priority Projects</t>
  </si>
  <si>
    <t>Seminar Workshop on Packaging and Labeling of Food and Non-Food Products</t>
  </si>
  <si>
    <t>Ma. Delia M. Morados                                                                                                                       Regional Director                                                                                                                      DOST Region XI</t>
  </si>
  <si>
    <t>P 19,000</t>
  </si>
  <si>
    <t>2004-52</t>
  </si>
  <si>
    <t>http://gofile.me/4xaew/2YJR0Rpj0</t>
  </si>
  <si>
    <t>https://drive.google.com/file/d/12BHjTD-ffbMAAGOR_ji4oMV7uoICCnDS/view?usp=drive_link</t>
  </si>
  <si>
    <t>Allocating Tapi-Gia Funds for CY 2004 Priority Projects</t>
  </si>
  <si>
    <t>Improved Rearing Techniques for Improved Production of Milkfish and Prawn (Negros Occidental)</t>
  </si>
  <si>
    <t>Roselyn Usero</t>
  </si>
  <si>
    <t>Negros Prawn Producers Marketing Coop., Inc., Bacolod City</t>
  </si>
  <si>
    <t>P 224,675</t>
  </si>
  <si>
    <t>2004-73</t>
  </si>
  <si>
    <t>http://gofile.me/4xaew/47hymXuFU</t>
  </si>
  <si>
    <t>https://drive.google.com/file/d/1-XZNRYs7kMenUI0astfB2BolhSEiYYlM/view?usp=drive_link</t>
  </si>
  <si>
    <t>Patient Side - Turning Hospital Bed</t>
  </si>
  <si>
    <t>Yasmin E. Espiritu</t>
  </si>
  <si>
    <t>Humana Pharmaceuticals, 7418 Santillian St., Makati City</t>
  </si>
  <si>
    <t>P 127,340</t>
  </si>
  <si>
    <t>2004-74</t>
  </si>
  <si>
    <t>http://gofile.me/4xaew/oqf5HSBV1</t>
  </si>
  <si>
    <t>https://drive.google.com/file/d/1d-MkmvzJiCZVewX6SFH3c6VKTi-4ZYim/view?usp=drive_link</t>
  </si>
  <si>
    <t>P 127,341</t>
  </si>
  <si>
    <t>2004-94</t>
  </si>
  <si>
    <t>https://drive.google.com/file/d/1bP56e4uETKwcxX_73B4vvrqHGwVqKeMr/view?usp=drive_link</t>
  </si>
  <si>
    <t>Establishment of a Manpower Development Program at the Cebu Costume Jewelry Center for Metal Jewelry Design and Prototype Development</t>
  </si>
  <si>
    <t xml:space="preserve">Janet U. Chua                                                                                                                          FAME Foundation Phils., Inc. </t>
  </si>
  <si>
    <t>108 Benavidez Street, Legazpi Village, Makati, 1229 Metro Manila</t>
  </si>
  <si>
    <t>P 566,580</t>
  </si>
  <si>
    <t>http://gofile.me/4xaew/4Bj7d2LdN</t>
  </si>
  <si>
    <t>https://drive.google.com/file/d/1N_8VwmXlUc7n0BXNjLyQrxth66clSZq2/view?usp=drive_link</t>
  </si>
  <si>
    <t>Printing of Labeled Boxes for San-Ria Chocolate Bar</t>
  </si>
  <si>
    <t>Lorenzo L. Canunan</t>
  </si>
  <si>
    <t>Las Pinas City</t>
  </si>
  <si>
    <t>P 1,000 Copies</t>
  </si>
  <si>
    <t>http://gofile.me/4xaew/WX5VE19uQ</t>
  </si>
  <si>
    <t>https://drive.google.com/file/d/18otfkSJdMa3kK61EWa8npg4WmA1fLzZ0/view?usp=drive_link</t>
  </si>
  <si>
    <t>Printing of Labeled Boxes for External Vaginal Cleanser (vaginal wash)</t>
  </si>
  <si>
    <t>Paranque City</t>
  </si>
  <si>
    <t>2004-15</t>
  </si>
  <si>
    <t>http://gofile.me/4xaew/aWQuuN5Oa</t>
  </si>
  <si>
    <t>https://drive.google.com/file/d/1iAdElL_hRJtoynF5PClchCy4zwgPtjHG/view?usp=drive_link</t>
  </si>
  <si>
    <t>Metal Fabrication and Finishing Facility</t>
  </si>
  <si>
    <t>Manuel R. Corleto</t>
  </si>
  <si>
    <t>Econotrade , Inc.,Calumpang, Marikina City</t>
  </si>
  <si>
    <t>2004-24</t>
  </si>
  <si>
    <t>http://gofile.me/4xaew/M61i8AcYA</t>
  </si>
  <si>
    <t>https://drive.google.com/file/d/1sgA1UlwgbMIobm0uhoIOtSsh5d1zkIMk/view?usp=drive_link</t>
  </si>
  <si>
    <t>Hydroponic Production of Iceburg Lettuce</t>
  </si>
  <si>
    <t>Rolando A. Acop</t>
  </si>
  <si>
    <t>Tagaytay Silang Area Cavite</t>
  </si>
  <si>
    <t>P 2,760,000.00</t>
  </si>
  <si>
    <t>2004-27</t>
  </si>
  <si>
    <t>http://gofile.me/4xaew/4a1ebppuv</t>
  </si>
  <si>
    <t>https://drive.google.com/file/d/1xCw4c-T5mmmgSwrp4nzBT4aIN8f9Ysxz/view?usp=drive_link</t>
  </si>
  <si>
    <t>Herbal Sherbet/ Ice Cream</t>
  </si>
  <si>
    <t>33 Kamagong Road, Pillar Village, Las Pinas City</t>
  </si>
  <si>
    <t>P 5,000</t>
  </si>
  <si>
    <t>2004-29</t>
  </si>
  <si>
    <t>http://gofile.me/4xaew/eR9KmlXlW</t>
  </si>
  <si>
    <t>https://drive.google.com/file/d/1Qr7-P-2rMS5tSNQkj8K5Zfp6cM8hB5R9/view?usp=drive_link</t>
  </si>
  <si>
    <t xml:space="preserve">Training Seminar on Mango Production Post Harvest Handling, Packing House Operations and Marketing Practices </t>
  </si>
  <si>
    <t>Dr. Constancio C. Canate                                                                                                               Regional Director                                                                                                                           DOST Region X</t>
  </si>
  <si>
    <t>2004-30</t>
  </si>
  <si>
    <t>http://gofile.me/4xaew/KblIE5djV</t>
  </si>
  <si>
    <t>https://drive.google.com/file/d/1HUyfZOkPSt0Hc-Kmn9IAwctGEmFYFLM4/view?usp=drive_link</t>
  </si>
  <si>
    <t>Training on Off-Season Production High Value Vegetable Crops and Upgrading Semi-Commercial Swine Production</t>
  </si>
  <si>
    <t>Nicolas Beda A. Priela</t>
  </si>
  <si>
    <t>Metro Naga Chamber of Commerce and Industry, 2/F Velasco bldg.,Panganiban Drive Naga City</t>
  </si>
  <si>
    <t>P 124, 000 (Travel Expenses)</t>
  </si>
  <si>
    <t>2004-34</t>
  </si>
  <si>
    <t>http://gofile.me/4xaew/SgxVTHlcg</t>
  </si>
  <si>
    <t>https://drive.google.com/file/d/1_KufjMWM_RJAkWsQGZ2fgFXJpnmS9mTn/view?usp=drive_link</t>
  </si>
  <si>
    <t>Technology Training on Product Development of Furnitures and Handicrafts in Region 8</t>
  </si>
  <si>
    <t>Engr. Edgardo M. Esperancilla                                                                                                        Regional Director                                                                                                                                  DOST Region VIII</t>
  </si>
  <si>
    <t>P 50,500</t>
  </si>
  <si>
    <t>2004-36</t>
  </si>
  <si>
    <t>http://gofile.me/4xaew/woSk4ixbT</t>
  </si>
  <si>
    <t>https://drive.google.com/file/d/1E6i3CVIo7-lCls-0xwEiaqefEpGi6-Ly/view?usp=drive_link</t>
  </si>
  <si>
    <t>Seminar-Workshop on Good Manufacturing Practices</t>
  </si>
  <si>
    <t>Dr. Roberto M. Malaluan</t>
  </si>
  <si>
    <t>MSU-IIT, Iligan City</t>
  </si>
  <si>
    <t>P 16,000</t>
  </si>
  <si>
    <t>2004-39</t>
  </si>
  <si>
    <t>http://gofile.me/4xaew/DZH849gg7</t>
  </si>
  <si>
    <t>https://drive.google.com/file/d/1otCo4oUbjps4W_BORhL6pCduz3x7CznL/view?usp=drive_link</t>
  </si>
  <si>
    <t>Allocating IDAF-R.A 7459 Funds for CY 2004 Priority Projects</t>
  </si>
  <si>
    <t xml:space="preserve">Training on Value Analysis and Value Engineering </t>
  </si>
  <si>
    <t>Dr. Antonio F. Mateo Jr.</t>
  </si>
  <si>
    <t>Amecos Innovation Inc.,Camarin, Caloocan City</t>
  </si>
  <si>
    <t>P 35,720</t>
  </si>
  <si>
    <t>2004-44</t>
  </si>
  <si>
    <t>http://gofile.me/4xaew/yG0vNZ41m</t>
  </si>
  <si>
    <t>https://drive.google.com/file/d/1hGdyrFDUd92-MaZTtoZgIQGMtg63dpCj/view?usp=drive_link</t>
  </si>
  <si>
    <t>Portable Bio-Waste Oxidizer and Decomposter (Pyrolysis)</t>
  </si>
  <si>
    <t>Lorenzo M. Canunan</t>
  </si>
  <si>
    <t>33 Kamagong Road, Pilar Village, Las Pinas City</t>
  </si>
  <si>
    <t>P 14,593.80</t>
  </si>
  <si>
    <t>2004-45</t>
  </si>
  <si>
    <t>http://gofile.me/4xaew/mfQRi3QNj</t>
  </si>
  <si>
    <t>https://drive.google.com/file/d/11Kpwg5b6KD2lRSzY0HWQc7kbgmSsL5VN/view?usp=drive_link</t>
  </si>
  <si>
    <t>Multi-Purpose Cooking Stove with Detachable Barbeque Machine</t>
  </si>
  <si>
    <t>Jesus R. Alburo</t>
  </si>
  <si>
    <t>Ajeco Ent.,44-F Purple St. SSS Vill.,Marikina City</t>
  </si>
  <si>
    <t>P 35,950</t>
  </si>
  <si>
    <t>2004-46</t>
  </si>
  <si>
    <t>http://gofile.me/4xaew/0aWA4Oqv4</t>
  </si>
  <si>
    <t>https://drive.google.com/file/d/1Obe8yPZcAPK_l9o_q0cLBE2pLPLPE9yp/view?usp=drive_link</t>
  </si>
  <si>
    <t xml:space="preserve">Motorbike Cutter and Yard (Street) Sweeper </t>
  </si>
  <si>
    <t>Ernesto G. Pineda</t>
  </si>
  <si>
    <t>Swaziland St., Betterliving Paranaque City</t>
  </si>
  <si>
    <t>2004-51</t>
  </si>
  <si>
    <t>http://gofile.me/4xaew/gasiyxlZR</t>
  </si>
  <si>
    <t>https://drive.google.com/file/d/1zdWbRbbMNUIBQPOeECa2oF5Kual-sXNA/view?usp=drive_link</t>
  </si>
  <si>
    <t>Improved Rearing Techniques for Improved Production of Milkfish, Shrimp and Tilapia  (Bohol)</t>
  </si>
  <si>
    <t>Prof. Valeriano Corre, Jr.</t>
  </si>
  <si>
    <t>UP in the Visayas Foundation Inc. (UPFVI) Miag-ao, Iloilo</t>
  </si>
  <si>
    <t>P 181,150</t>
  </si>
  <si>
    <t>2004-54</t>
  </si>
  <si>
    <t>http://gofile.me/4xaew/KHD3RVfzb</t>
  </si>
  <si>
    <t>https://drive.google.com/file/d/1g1uX2S5WVt1n2Jd63jvyfxhBnSeFZ24x/view?usp=drive_link</t>
  </si>
  <si>
    <t>1. Enhancement of Standards and Testing Services to support the Priority Industries in Southern Tagalog (Phase 2)
2. Enhancement of Volumetric Calibration Services to support the Development of OIl Industry in Southern Tagalog  PSTC Batangas</t>
  </si>
  <si>
    <t xml:space="preserve">Prof. Hipolito B. Aycardo </t>
  </si>
  <si>
    <r>
      <rPr>
        <sz val="10"/>
        <color theme="1"/>
        <rFont val="Arial"/>
      </rPr>
      <t xml:space="preserve">1. P 2,512,727.40                                                                                                        2. P 300,000.00                                                                                                         </t>
    </r>
    <r>
      <rPr>
        <b/>
        <sz val="10"/>
        <color theme="1"/>
        <rFont val="Arial"/>
      </rPr>
      <t>Total: P 2, 812,727.40</t>
    </r>
  </si>
  <si>
    <t>2004-67</t>
  </si>
  <si>
    <t>http://gofile.me/4xaew/4OK83Cs1H</t>
  </si>
  <si>
    <t>https://drive.google.com/file/d/1vojgWhczy5g0AcKzV6iT9S08gXPmF_yF/view?usp=drive_link</t>
  </si>
  <si>
    <t>Allocating DOST and TAPI-GIA Funds for CY 2004 Priority Projects</t>
  </si>
  <si>
    <t>MPEX Implementation in Cagayan De Oro City, Gingoong City Ozamis City and Bukidnon Province (16 firms)</t>
  </si>
  <si>
    <t>Dr. Constancio C. Canate</t>
  </si>
  <si>
    <t>Cagayan De Oro City</t>
  </si>
  <si>
    <t>P 818,753</t>
  </si>
  <si>
    <t>2004-79</t>
  </si>
  <si>
    <t>http://gofile.me/4xaew/1djpdn9Nb</t>
  </si>
  <si>
    <t>https://drive.google.com/file/d/1w9FsLgXIoqCaY2kCPfg4Yi4TgSyMFWZw/view?usp=drive_link</t>
  </si>
  <si>
    <t>Request for Restructuring</t>
  </si>
  <si>
    <t>Establishment of 20,000 bd ft. Kiln Dryer</t>
  </si>
  <si>
    <t>Emmanuel P. Padiemos</t>
  </si>
  <si>
    <t>PADI, Dasmarinas Cavite</t>
  </si>
  <si>
    <t>P 1,071,634.45</t>
  </si>
  <si>
    <t>2004-96</t>
  </si>
  <si>
    <t>https://drive.google.com/file/d/1UYbw5hFUBCRIb1u6yJuX8uu28pogx4BF/view?usp=drive_link</t>
  </si>
  <si>
    <t xml:space="preserve">Integrated Assistance Project for the Philippine Gem and Jewelry Industry </t>
  </si>
  <si>
    <t>Franklin P. Bunoan                                                                                                                         Cottage Industry Technology Center, DTI</t>
  </si>
  <si>
    <t>J4R9+VC9, Cottage Industry Technology Center, Russet Street, Marikina, 1811 Metro Manila</t>
  </si>
  <si>
    <t>P 304,000</t>
  </si>
  <si>
    <t>2004-07-ad referenda</t>
  </si>
  <si>
    <t>https://drive.google.com/file/d/1YeblCXVAfljx8YHsCtBzOXpdPdqqioay/view?usp=drive_link</t>
  </si>
  <si>
    <t>Precast interlocking bricks</t>
  </si>
  <si>
    <t>Allocation request of the financial assistance under Pilot Plant Assistance Program (for inventors) under TAPI-GIA for CY 2004 for Pre-cast Interlocking Bricks of Mr. Angel B. Ong, due to time constraints and volume of work.</t>
  </si>
  <si>
    <t>Mr. Angel B. Ong</t>
  </si>
  <si>
    <t xml:space="preserve">San Miguel Ave, Pasig City </t>
  </si>
  <si>
    <t>P 945,000</t>
  </si>
  <si>
    <t>2004-87</t>
  </si>
  <si>
    <t>http://gofile.me/4xaew/Jcam5uMgE</t>
  </si>
  <si>
    <t>https://drive.google.com/file/d/1lYMnZUeigVxDn93HB8tXKuifr1qQ4zPM/view?usp=drive_link</t>
  </si>
  <si>
    <t>Aquaculture Production Management for six (6) Farms in Negros Occidental</t>
  </si>
  <si>
    <t>Eugene Bagayo                                                                                                                                Roselyn Usero</t>
  </si>
  <si>
    <t>Male                                                                                                                                     Female</t>
  </si>
  <si>
    <t>P 250,238.50</t>
  </si>
  <si>
    <t>http://gofile.me/4xaew/Wzz6G1Ig6</t>
  </si>
  <si>
    <t>https://drive.google.com/file/d/1WaXVIa53hJfGPJB7rov2fGFuJoP2F1G9/view?usp=sharing</t>
  </si>
  <si>
    <t>Forum on Herbal , Organic and Natural Ingredients for  Cosmetics and Pharmacueticals</t>
  </si>
  <si>
    <t>CITEM/ Task Force on CBI Programme for Natural Ingredients for Cosmetics and Pharmaceuticals</t>
  </si>
  <si>
    <t>P 180,000</t>
  </si>
  <si>
    <t>http://gofile.me/4xaew/Cess7jEMG</t>
  </si>
  <si>
    <t>https://drive.google.com/file/d/15RmO7vWJj1B6TteFot_m_RLRkELwRAZe/view?usp=drive_link</t>
  </si>
  <si>
    <t xml:space="preserve">Strategic Planning Workshop for IPC-ECOP and TAPI Partnership </t>
  </si>
  <si>
    <t>Institute of Productivity and Competitiveness of the Employers' Confederation of the Philippines (IPC-ECOP)</t>
  </si>
  <si>
    <t>P 43,000</t>
  </si>
  <si>
    <t>http://gofile.me/4xaew/yC8VKjC3R</t>
  </si>
  <si>
    <t>https://drive.google.com/file/d/1BAprzsXIxe4aKKVnQt1Y6Rl4WlbSZXlk/view?usp=drive_link</t>
  </si>
  <si>
    <t>Allocation Dost-Gia and Tapi funds for 2004 Tech Fair Related Activities</t>
  </si>
  <si>
    <t>2004 S&amp;T Visayas Roadshow</t>
  </si>
  <si>
    <t>Cebu City</t>
  </si>
  <si>
    <t>P 1,040,659.50</t>
  </si>
  <si>
    <t>http://gofile.me/4xaew/BvbFvYoiI</t>
  </si>
  <si>
    <t>https://drive.google.com/file/d/189mY9wGnHUjsfXanB2Mt2u3SjDQ8wBHT/view?usp=drive_link</t>
  </si>
  <si>
    <t>Allocating Tapi-Gia for CY 2004 NIW related Activities</t>
  </si>
  <si>
    <t>2004 Invent School Program</t>
  </si>
  <si>
    <t>Institute of Creativity and Inventiveness, Inc. (ICII)</t>
  </si>
  <si>
    <t>P 404,321</t>
  </si>
  <si>
    <t>http://gofile.me/4xaew/r5Dnu2Tg6</t>
  </si>
  <si>
    <t>https://drive.google.com/file/d/1CG8f90NtjBa7Lfg9oAywAxfKfjQCpzAY/view?usp=drive_link</t>
  </si>
  <si>
    <t>Modified Tornado Simulator</t>
  </si>
  <si>
    <t>PAGASA-DOST</t>
  </si>
  <si>
    <t>P 35,905</t>
  </si>
  <si>
    <t>http://gofile.me/4xaew/N1H4nbuYR</t>
  </si>
  <si>
    <t>https://drive.google.com/file/d/1QlRrTN43cdkMeYYIrhTHXK8Rs8W8LAXQ/view?usp=drive_link</t>
  </si>
  <si>
    <t>Program Administration Endorsement to SC For RA 7459</t>
  </si>
  <si>
    <t>Program Administration of RA 7459</t>
  </si>
  <si>
    <t>P 760,635.20</t>
  </si>
  <si>
    <t>2004-13</t>
  </si>
  <si>
    <t>http://gofile.me/4xaew/fkOBsgs6i</t>
  </si>
  <si>
    <t>https://drive.google.com/file/d/17YDCxIgbA80Lt55PJl-Y84TjGysrPUY6/view?usp=drive_link</t>
  </si>
  <si>
    <t>Fabrication and Production of the TUP Digital Logic Trainer</t>
  </si>
  <si>
    <t>Technological University of the Philippines</t>
  </si>
  <si>
    <t>Manila</t>
  </si>
  <si>
    <t>P 37,500</t>
  </si>
  <si>
    <t>2004-14</t>
  </si>
  <si>
    <t>http://gofile.me/4xaew/PnEDPdTD7</t>
  </si>
  <si>
    <t>https://drive.google.com/file/d/1RORRN96YBw-bcax3YEH35hITHKXc6AIY/view?usp=drive_link</t>
  </si>
  <si>
    <t>Allocating Dost-Gia Funds for 2004 Tech Fair Related Activities</t>
  </si>
  <si>
    <t>2004-17</t>
  </si>
  <si>
    <t>http://gofile.me/4xaew/qDg1JfwDV</t>
  </si>
  <si>
    <t>https://drive.google.com/file/d/1AIG5mMtdZhJiyr9dVk7fk6hdHuWUu-xz/view?usp=drive_link</t>
  </si>
  <si>
    <t>Seminar Workshop on Pre-Harvest and Fresh Produce Food Safety Program</t>
  </si>
  <si>
    <t>P 18,000                                                                                                                   P 20,000</t>
  </si>
  <si>
    <t>2004-18</t>
  </si>
  <si>
    <t>http://gofile.me/4xaew/xKYH6cjhO</t>
  </si>
  <si>
    <t>https://drive.google.com/file/d/1yfiuog2KhoZhl327GR0RyE01k0mqClDT/view?usp=drive_link</t>
  </si>
  <si>
    <t>P 18,000                                                                                                                   P 20,001</t>
  </si>
  <si>
    <t>2004-19</t>
  </si>
  <si>
    <t>http://gofile.me/4xaew/f3ctrOL4D</t>
  </si>
  <si>
    <t>https://drive.google.com/file/d/1AVsNv-SEO_MQTzQ4MCquFO0gzUo-8pHR/view?usp=drive_link</t>
  </si>
  <si>
    <t>Training on Pollution Prevention/ Cleaner Production Assesment</t>
  </si>
  <si>
    <t>MSU-IIT</t>
  </si>
  <si>
    <t>P 18,240                                                                                                                   P 7,000</t>
  </si>
  <si>
    <t>2004-20</t>
  </si>
  <si>
    <t>http://gofile.me/4xaew/7RE33wSGn</t>
  </si>
  <si>
    <t>https://drive.google.com/file/d/1d_XgJEGO8ApOZZXjev_ZWsHJ5u8hCSSs/view?usp=drive_link</t>
  </si>
  <si>
    <t>2004 National Science and Technology Week/ Tech Fair</t>
  </si>
  <si>
    <t>DOST Agencies/DOST regional Clusters</t>
  </si>
  <si>
    <t>P 960,000.00</t>
  </si>
  <si>
    <t>2004-21</t>
  </si>
  <si>
    <t>http://gofile.me/4xaew/WetDDdTAI</t>
  </si>
  <si>
    <t>https://drive.google.com/file/d/1_rYHk-MNRan4ZPyyFAP5HeWPlIabmHYu/view?usp=drive_link</t>
  </si>
  <si>
    <t>TAPI Exhibit Module</t>
  </si>
  <si>
    <t>P 97,000</t>
  </si>
  <si>
    <t>2004-22</t>
  </si>
  <si>
    <t>http://gofile.me/4xaew/OgDCXuqsB</t>
  </si>
  <si>
    <t>https://drive.google.com/file/d/11zxut4YrVQLQWcm6ZAocOL8Dx-YSgekI/view?usp=drive_link</t>
  </si>
  <si>
    <t>Additional Financial Assistance for the Project, Enhancing the food Testing Capabilities of the DOST III RSTC through Expansion and Ehancement of Testing Services</t>
  </si>
  <si>
    <t>DOST III RSTC</t>
  </si>
  <si>
    <t>P 16,320</t>
  </si>
  <si>
    <t>2004-23</t>
  </si>
  <si>
    <t>http://gofile.me/4xaew/LHRI3nlwn</t>
  </si>
  <si>
    <t>https://drive.google.com/file/d/1IJb_GMO4JALsbhGmx-TZRDaiVowMlkT_/view?usp=drive_link</t>
  </si>
  <si>
    <t>Microbiology and Bioremedation of Polluted/Degraded Environments</t>
  </si>
  <si>
    <t xml:space="preserve">Institute of Biology, College of Science </t>
  </si>
  <si>
    <t>2004-25</t>
  </si>
  <si>
    <t>http://gofile.me/4xaew/0bwfVfRZ1</t>
  </si>
  <si>
    <t>https://drive.google.com/file/d/1v5SU2XK9w-I5wKPBLPgMrLbSTZwCtPTl/view?usp=drive_link</t>
  </si>
  <si>
    <t xml:space="preserve">Trainers Training Program </t>
  </si>
  <si>
    <t>MIRDC/ Inst for Creativity and Inventiveness, Inc</t>
  </si>
  <si>
    <t>Bicutan/Quezon City</t>
  </si>
  <si>
    <t>P 20,000 (Training Cost)                                                                                          P 7,200 ( food @ P120/ pax x 20 x 3 )                                                                    P 27,200</t>
  </si>
  <si>
    <t>2004-28</t>
  </si>
  <si>
    <t>http://gofile.me/4xaew/iapJaJNd0</t>
  </si>
  <si>
    <t>https://drive.google.com/file/d/1-iKEvNVk0D3RgBG_0kWsyjbKLqet2sR5/view?usp=drive_link</t>
  </si>
  <si>
    <t>Tekno-Tulong sa Pagnenegosyo</t>
  </si>
  <si>
    <t xml:space="preserve">Kabalikat sa Hanapbuhay Foundation, Inc. </t>
  </si>
  <si>
    <t>Gate 3, Yazaki-Torres Mfg. Inc. Calamba Laguna</t>
  </si>
  <si>
    <t>P 43,050</t>
  </si>
  <si>
    <t>2004-33</t>
  </si>
  <si>
    <t>http://gofile.me/4xaew/GUqZrKCND</t>
  </si>
  <si>
    <t>https://drive.google.com/file/d/1wiqbGtLs1OoD30pLux1OH7tQg_jP-LjT/view?usp=drive_link</t>
  </si>
  <si>
    <t>1. 2004 NSTW Technology Forum/ Technology Matching
2. Printing of NSTW/ Tech Fair Posters</t>
  </si>
  <si>
    <t>P 187,555.26                                                                                                               P 25,000.00</t>
  </si>
  <si>
    <t>2004-37</t>
  </si>
  <si>
    <t>http://gofile.me/4xaew/lFrSjtqhX</t>
  </si>
  <si>
    <t>https://drive.google.com/file/d/1S4N6pSmmCxDZeEPXsW2reAn1-3RMM387/view?usp=drive_link</t>
  </si>
  <si>
    <t>PSTC- Camiguin</t>
  </si>
  <si>
    <t>P 23,000</t>
  </si>
  <si>
    <t>2004-40</t>
  </si>
  <si>
    <t>http://gofile.me/4xaew/NfIFu2rc4</t>
  </si>
  <si>
    <t>https://drive.google.com/file/d/1Uqe0l1Y-3GZTvK83Knmm5ajcKJ9WPn_y/view?usp=drive_link</t>
  </si>
  <si>
    <t>Technology Level and Needs Assessment in the Regions (Phase I)</t>
  </si>
  <si>
    <t>P 323,000</t>
  </si>
  <si>
    <t>2004-41</t>
  </si>
  <si>
    <t>http://gofile.me/4xaew/Txa4zeXQ6</t>
  </si>
  <si>
    <t>https://drive.google.com/file/d/1w5NjWjYeG9UKkeYDZluhOR5PblPQeJ_z/view?usp=drive_link</t>
  </si>
  <si>
    <t>Promotions of Selected Technologies and Inventions During the Southern Luzon Area Business Conference</t>
  </si>
  <si>
    <t>P 118,000</t>
  </si>
  <si>
    <t>2004-48</t>
  </si>
  <si>
    <t>http://gofile.me/4xaew/viB9T9TlZ</t>
  </si>
  <si>
    <t>https://drive.google.com/file/d/1tO2nvNbarHHAFVLt62db-0vWfF6JJEdm/view?usp=drive_link</t>
  </si>
  <si>
    <t>Allocating DOST-TAPI-GIA Funds for CY 2004 Priority Projects</t>
  </si>
  <si>
    <t>2004 NSTW  and Southern Luzon S&amp;T Roadshow</t>
  </si>
  <si>
    <r>
      <rPr>
        <sz val="10"/>
        <color theme="1"/>
        <rFont val="Arial"/>
      </rPr>
      <t xml:space="preserve">P 146,238.00                                                                                                                  P 916,723.00                                                                                                             </t>
    </r>
    <r>
      <rPr>
        <b/>
        <sz val="10"/>
        <color theme="1"/>
        <rFont val="Arial"/>
      </rPr>
      <t>Total: -P 1,064,961.00</t>
    </r>
  </si>
  <si>
    <t>2004-49</t>
  </si>
  <si>
    <t>http://gofile.me/4xaew/6MGuJW5xF</t>
  </si>
  <si>
    <t>https://drive.google.com/file/d/16_ri9wxCcukiQkruFml-e9au9Eh0UWU2/view?usp=drive_link</t>
  </si>
  <si>
    <t>Technology Symposium on Virgin Coconut Oil</t>
  </si>
  <si>
    <t>P 12,000</t>
  </si>
  <si>
    <t>2004-50</t>
  </si>
  <si>
    <t>http://gofile.me/4xaew/5AiLcfEZe</t>
  </si>
  <si>
    <t>https://drive.google.com/file/d/13GPKskpcpxR72YpI0BZqvjG6iMKqV-WO/view?usp=drive_link</t>
  </si>
  <si>
    <r>
      <rPr>
        <sz val="10"/>
        <color theme="1"/>
        <rFont val="Arial"/>
      </rPr>
      <t xml:space="preserve">P 3,500                                                                                                                       P 8,000                                                                                                               </t>
    </r>
    <r>
      <rPr>
        <b/>
        <sz val="10"/>
        <color theme="1"/>
        <rFont val="Arial"/>
      </rPr>
      <t>Total: P11,500</t>
    </r>
  </si>
  <si>
    <t>2004-53</t>
  </si>
  <si>
    <t>http://gofile.me/4xaew/vkdufadOD</t>
  </si>
  <si>
    <t>https://drive.google.com/file/d/1pSccqTweGaXkZbkaeXMsu_PtaQ1vrJji/view?usp=drive_link</t>
  </si>
  <si>
    <t xml:space="preserve">Planning Workshop for Inventors </t>
  </si>
  <si>
    <t>P 128,000</t>
  </si>
  <si>
    <t>2004-55</t>
  </si>
  <si>
    <t>http://gofile.me/4xaew/kv3uucfg8</t>
  </si>
  <si>
    <t>https://drive.google.com/file/d/1YNuu4bzWvBK2W83MwgLBGy72IU7_g0pg/view?usp=drive_link</t>
  </si>
  <si>
    <t>Big Enterprise - Small Enterprise Productivity Enhancement Programs</t>
  </si>
  <si>
    <t>Inst. for Productivity and Competitiveness of the Employers' Confederation of the Philippines (IPC-ECOP)</t>
  </si>
  <si>
    <t>P 1,940,000</t>
  </si>
  <si>
    <t>2004-56</t>
  </si>
  <si>
    <t>http://gofile.me/4xaew/gMYgaeMaj</t>
  </si>
  <si>
    <t>https://drive.google.com/file/d/1P9-ERMIcCyKIwZN9dNeYqFbzzLiTJEml/view?usp=drive_link</t>
  </si>
  <si>
    <t>MPEX Implementation in Cavite/NCR</t>
  </si>
  <si>
    <t xml:space="preserve">Agro-Industrial Management Consultancy, Inc. </t>
  </si>
  <si>
    <t>P 465,500</t>
  </si>
  <si>
    <t>2004-57</t>
  </si>
  <si>
    <t>http://gofile.me/4xaew/bfSD3aCGu</t>
  </si>
  <si>
    <t>https://drive.google.com/file/d/1cnZ2ZuXtHdGT6ywVvq6AQYixdXU4aywM/view?usp=drive_link</t>
  </si>
  <si>
    <t>Venue Rental For the National Inventors Week</t>
  </si>
  <si>
    <t>PTTC</t>
  </si>
  <si>
    <t>Roxas Blvd., Pasay City</t>
  </si>
  <si>
    <t>P 567,958.63</t>
  </si>
  <si>
    <t>2004-58</t>
  </si>
  <si>
    <t>http://gofile.me/4xaew/ZVSlg4CMM</t>
  </si>
  <si>
    <t>https://drive.google.com/file/d/1xVyTDgPl1_YUyUXDXQvpzORI-6bnI1hL/view?usp=drive_link</t>
  </si>
  <si>
    <t>Promotion of Inventions in the Regions</t>
  </si>
  <si>
    <t>P 334, 086.00</t>
  </si>
  <si>
    <t>2004-60</t>
  </si>
  <si>
    <t>http://gofile.me/4xaew/otVoa9xyQ</t>
  </si>
  <si>
    <t>https://drive.google.com/file/d/1CRlgZDdBWexm6xL3UryeRftJgqwPmfpy/view?usp=drive_link</t>
  </si>
  <si>
    <t xml:space="preserve">WAITRO Membership Fee For the Year 2004 </t>
  </si>
  <si>
    <t>Sirim Berhad, Malayan Banking Berhad</t>
  </si>
  <si>
    <t>Selangor Darul Ehsan Malaysia</t>
  </si>
  <si>
    <t>450.00</t>
  </si>
  <si>
    <t>2004-62</t>
  </si>
  <si>
    <t>http://gofile.me/4xaew/mAx4dzCiK</t>
  </si>
  <si>
    <t>https://drive.google.com/file/d/1QoDTvwRezuV5QGwPPh8Jt0fJ_34GcSol/view?usp=drive_link</t>
  </si>
  <si>
    <t xml:space="preserve">Fabrication of PNRI Radiation Survey Meters </t>
  </si>
  <si>
    <t>PNRI-DOST</t>
  </si>
  <si>
    <t>Commonwealth Ave., Quezon City</t>
  </si>
  <si>
    <t>P 195,000</t>
  </si>
  <si>
    <t>2004-63</t>
  </si>
  <si>
    <t>http://gofile.me/4xaew/TRB8Nh7F8</t>
  </si>
  <si>
    <t>https://drive.google.com/file/d/1agjCcv7dfuaUst2d9jdBklHQq-1pRWvK/view?usp=drive_link</t>
  </si>
  <si>
    <t xml:space="preserve">1. Raising Broilers at the RSC Poultry Farm
2. Apiculture (Beekeeping) </t>
  </si>
  <si>
    <t xml:space="preserve">Romblon State College                                                                                                           </t>
  </si>
  <si>
    <t>Odiongan, Romblon</t>
  </si>
  <si>
    <t>P21,275.00                                                                                                               P 142, 325.00</t>
  </si>
  <si>
    <t>2004-64</t>
  </si>
  <si>
    <t>http://gofile.me/4xaew/1SxQAob4B</t>
  </si>
  <si>
    <t>https://drive.google.com/file/d/1Ue5NKsdlLB-qNJwU8t0GnR1lrMAC09rY/view?usp=drive_link</t>
  </si>
  <si>
    <t>Farm Planning and Enhancement of Citrus, Mango and Lanzones Production in Batangas</t>
  </si>
  <si>
    <t>PARRFI                                                                                                                                          Southern Tagalog Integrated Agricultural Research (STI ARC)</t>
  </si>
  <si>
    <t>UP Los Banos, Laguna                                                                                                                                                                                      Lipa City, Batangas</t>
  </si>
  <si>
    <t>P 225,320</t>
  </si>
  <si>
    <t>2004-66</t>
  </si>
  <si>
    <t>http://gofile.me/4xaew/ed8UX0znM</t>
  </si>
  <si>
    <t>https://drive.google.com/file/d/1OiC9iVbQIks5o_WjklAnnU3clp4mda_-/view?usp=drive_link</t>
  </si>
  <si>
    <t xml:space="preserve">2004 National Inventors Week </t>
  </si>
  <si>
    <r>
      <rPr>
        <sz val="10"/>
        <color theme="1"/>
        <rFont val="Arial"/>
      </rPr>
      <t xml:space="preserve">P 3,742,199.60
 less ( P 1,255,986.13)
</t>
    </r>
    <r>
      <rPr>
        <b/>
        <sz val="10"/>
        <color theme="1"/>
        <rFont val="Arial"/>
      </rPr>
      <t>Total: P 2,486,213.47</t>
    </r>
  </si>
  <si>
    <t>2004-68</t>
  </si>
  <si>
    <t>http://gofile.me/4xaew/mmWNIREbD</t>
  </si>
  <si>
    <t>https://drive.google.com/file/d/1EUCMpEuyuXc4gOwzy4DTLh0M7DaMc4mx/view?usp=drive_link</t>
  </si>
  <si>
    <t>Request for Additional Funding Assistance for the Project, "Upgrading/ Expnasion of the Regional Testing and Analytical Laboratory of DOST Region I</t>
  </si>
  <si>
    <t>DOST-I                                                                                                                                         Regional S&amp;T Center</t>
  </si>
  <si>
    <t>P100,000</t>
  </si>
  <si>
    <t>2004-72</t>
  </si>
  <si>
    <t>http://gofile.me/4xaew/mxdnNfq7r</t>
  </si>
  <si>
    <t>https://drive.google.com/file/d/17FnUcye9ulkxqic5W_3dlsm0YiWTMLKy/view?usp=drive_link</t>
  </si>
  <si>
    <t>SET-UP DATBED at Occidental Mindoro National College</t>
  </si>
  <si>
    <t>Occidental Mindoro National College</t>
  </si>
  <si>
    <t>9338+PM9, Quirino St, San Jose, 5100 Occidental Mindoro</t>
  </si>
  <si>
    <t>P 491,715.20</t>
  </si>
  <si>
    <t>2004-80</t>
  </si>
  <si>
    <t>http://gofile.me/4xaew/MWJq5kSK4</t>
  </si>
  <si>
    <t>https://drive.google.com/file/d/1IpZoT1ErQsptrvT1MWjbhi1aoxSYSyXi/view?usp=drive_link</t>
  </si>
  <si>
    <t>Allocatiing Savings from TAPI-GIA 2003 ( IDAF Funds) for CY 2004 Priority Projects</t>
  </si>
  <si>
    <t>Enhancement of Inventors Website Phase I</t>
  </si>
  <si>
    <t>P 150,000</t>
  </si>
  <si>
    <t>2004-82</t>
  </si>
  <si>
    <t>http://gofile.me/4xaew/ketZagtJN</t>
  </si>
  <si>
    <t>https://drive.google.com/file/d/1bArr-qaw8dJALhjiXdL8btnwCF2InGl2/view?usp=drive_link</t>
  </si>
  <si>
    <t>Upgrading of DOST I Metrology Center</t>
  </si>
  <si>
    <t xml:space="preserve">DOST I </t>
  </si>
  <si>
    <t>San fernando, La union</t>
  </si>
  <si>
    <t>P 663,101</t>
  </si>
  <si>
    <t>2004-84</t>
  </si>
  <si>
    <t>http://gofile.me/4xaew/Vv9ccwWWw</t>
  </si>
  <si>
    <t>https://drive.google.com/file/d/19ngEZfm14ukklcGHMj6bnslascnXCZw6/view?usp=drive_link</t>
  </si>
  <si>
    <t>MPEX Implementation in region VI</t>
  </si>
  <si>
    <t>P 855,000</t>
  </si>
  <si>
    <t>2004-85</t>
  </si>
  <si>
    <t>http://gofile.me/4xaew/4X14Ejw8l</t>
  </si>
  <si>
    <t>https://drive.google.com/file/d/1quP6axTCGwWrWMBDdHr3c6R7pwP70fhB/view?usp=drive_link</t>
  </si>
  <si>
    <t>MPEX Implementation in region VII</t>
  </si>
  <si>
    <t>2004-86</t>
  </si>
  <si>
    <t>http://gofile.me/4xaew/kUGva1rG1</t>
  </si>
  <si>
    <t>https://drive.google.com/file/d/1Ld252Ft6vyggVRN9sBxx-z6G_hoS7jVb/view?usp=drive_link</t>
  </si>
  <si>
    <t>1. Commercail Production of Sweet Potato Pickles
2. Cassava grates Processing System</t>
  </si>
  <si>
    <t>Leyte State University</t>
  </si>
  <si>
    <t>2004-88</t>
  </si>
  <si>
    <t>http://gofile.me/4xaew/j251RlFtI</t>
  </si>
  <si>
    <t>https://drive.google.com/file/d/1N0ZbHuke3IBnv-pdKX6cn1KmYLHI4n6R/view?usp=drive_link</t>
  </si>
  <si>
    <t>Establishment of Satellite Packaging Service Center (SPSC)</t>
  </si>
  <si>
    <t xml:space="preserve">DOST III-PRDC </t>
  </si>
  <si>
    <t>Provincial Government of Bulacan</t>
  </si>
  <si>
    <t>P 1,465,000</t>
  </si>
  <si>
    <t>2004-89</t>
  </si>
  <si>
    <t>http://gofile.me/4xaew/O99KoeUie</t>
  </si>
  <si>
    <t>https://drive.google.com/file/d/1o6tiB4sFJ4Usr9fdkacc4PVHJK46xsYA/view?usp=drive_link</t>
  </si>
  <si>
    <t>Establishment of Satellite Testing Service Center (STSC)</t>
  </si>
  <si>
    <t>P 3,200,000.00</t>
  </si>
  <si>
    <t>2004-90</t>
  </si>
  <si>
    <t>http://gofile.me/4xaew/HilHDza2V</t>
  </si>
  <si>
    <t>https://drive.google.com/file/d/1cdl4JKV0Vs-s1PU9R02v_STC7eqbQyb_/view?usp=drive_link</t>
  </si>
  <si>
    <t>Production of Updated Catalogue of Filipino Inventions</t>
  </si>
  <si>
    <t>STII-DOST</t>
  </si>
  <si>
    <t>Bicutan Taguig M.M</t>
  </si>
  <si>
    <t>P 305,000</t>
  </si>
  <si>
    <t>2004-91</t>
  </si>
  <si>
    <t>https://drive.google.com/file/d/1X4NbryCNmJ3ZSJnmWwVYlDbaXCiclhPl/view?usp=drive_link</t>
  </si>
  <si>
    <t>Philexport-Cebu Portal Information Vessel</t>
  </si>
  <si>
    <t xml:space="preserve">DOST VII/ Confederation of Phil. Exporters Foundation, Inc. </t>
  </si>
  <si>
    <t>P 598,750</t>
  </si>
  <si>
    <t>2004-92</t>
  </si>
  <si>
    <t>https://drive.google.com/file/d/1p2r4O70iK1v9Fjdwu4OI6vG2PqJoxHt1/view?usp=drive_link</t>
  </si>
  <si>
    <t>Development and Upgrading of Business Applicants Software for SMEs</t>
  </si>
  <si>
    <t xml:space="preserve">Optiserve Technologies, Inc. </t>
  </si>
  <si>
    <t>P 700,000</t>
  </si>
  <si>
    <t>Technology-computer</t>
  </si>
  <si>
    <t>2004-93</t>
  </si>
  <si>
    <t>https://drive.google.com/file/d/1DfsCg3GvoYXPozwcMDetfvQJ80_cpyzJ/view?usp=drive_link</t>
  </si>
  <si>
    <t>Piloting of Sea Urchin Culture Along La Union Waters</t>
  </si>
  <si>
    <t>DMMSU- NLUC Fisheries and Training Institute</t>
  </si>
  <si>
    <t>Paraoir, Balaon, La union</t>
  </si>
  <si>
    <t>P 362, 560</t>
  </si>
  <si>
    <t>2004-95</t>
  </si>
  <si>
    <t>https://drive.google.com/file/d/15z4KuB59bRus-5KQlVjZBozP8garaQmt/view?usp=drive_link</t>
  </si>
  <si>
    <t>Technology and Investment Forum ( Occ. Mindoro, Palawan and Romblon)</t>
  </si>
  <si>
    <t>DTI-IV B</t>
  </si>
  <si>
    <t>P 206, 730</t>
  </si>
  <si>
    <t>2004-01-ad referenda</t>
  </si>
  <si>
    <t>https://drive.google.com/file/d/1PUa1AMQppGDRqcy2FTEa1jJmOLn7KM37/view?usp=drive_link</t>
  </si>
  <si>
    <t>Citrus, Pineapple, Rambutan Vegetables and Tilapia Production Management</t>
  </si>
  <si>
    <t>Financial Assistance under CAPE Program for the Citrus, Pineapple, Rambutan Vegetables and Tilapia Production Management in Baler, San Luis, Dipaculao and Ma. Arurora, Aurora Province that will cover a total of 48 farms distributed over 4 municipalities.</t>
  </si>
  <si>
    <t xml:space="preserve">ASCOT Faculty StaffMulti-Purpose Cooperation </t>
  </si>
  <si>
    <t>P 380,650</t>
  </si>
  <si>
    <t>2004-02-ad referenda</t>
  </si>
  <si>
    <t>https://drive.google.com/file/d/1n8MIx8rCUP60dNGh74dcD-qzdND7iknM/view?usp=drive_link</t>
  </si>
  <si>
    <t>Fabrication of TAPI Exhibits Module and Printing of TAPI Program Leaflets</t>
  </si>
  <si>
    <t>Request for additional funds and adjustment of the line-item-budget.</t>
  </si>
  <si>
    <t>Bicutan, Taguig M.M.</t>
  </si>
  <si>
    <t>2004-03-ad referenda</t>
  </si>
  <si>
    <t>https://drive.google.com/file/d/1c6u1RsQqp5vWBkMtV4ggGXBia4iY2XvW/view?usp=drive_link</t>
  </si>
  <si>
    <t>Financing For a for Inventors</t>
  </si>
  <si>
    <t>Allocation request for the financial assistance under Inventors Forum Program Under TAPI-GIA for CY 2004  due to time constrains and volume of work.</t>
  </si>
  <si>
    <t>P 205,200</t>
  </si>
  <si>
    <t>2004-04-ad referenda</t>
  </si>
  <si>
    <t>https://drive.google.com/file/d/1vStWtUFGjZl8HPngX8ap16CdnqsTAaFA/view?usp=drive_link</t>
  </si>
  <si>
    <t>Forum on Intellectual Property Rights</t>
  </si>
  <si>
    <t>Allocation of the financial Assitance under Inventors Forum Program under TAPI-GIA for CY 2004 for the series of specialized forum/orientation on IP System in the Philippines.
A two-day program designed to help the participants acquire a deeper understanding and appreciation of intellectual property.</t>
  </si>
  <si>
    <t>Philippine Trade Training Center (PTTC)
Intellectual Property Office (IPO)</t>
  </si>
  <si>
    <t xml:space="preserve">Roxas blvd, Pasay City                                                            Makati City </t>
  </si>
  <si>
    <t>P 387,600</t>
  </si>
  <si>
    <t>2004-05-ad referenda</t>
  </si>
  <si>
    <t>https://drive.google.com/file/d/12eMxhtF36YSXbt2ojt1UEgn81CojSkxb/view?usp=drive_link</t>
  </si>
  <si>
    <t>FS preparation on - 1. Establishment of CSF for Auto Feed Abaca Decorating Machine; and 2. Establishment of CSF for Abaca Tuxying Machine</t>
  </si>
  <si>
    <t>Proposal for TAPI-GIA budget allocation amounting to P200,000 for the FS preparation of MIRDC technologies.</t>
  </si>
  <si>
    <t>Foundation for Rural Economic Enterprises and Development,Inc. (FREED) c/o Asian Institute of Management</t>
  </si>
  <si>
    <t xml:space="preserve"> Paseo De Roxas Ave, Makati City </t>
  </si>
  <si>
    <t>P 200,000</t>
  </si>
  <si>
    <t>2004-06-ad referenda</t>
  </si>
  <si>
    <t>https://drive.google.com/file/d/1WRfuxaTY5Q155hw9SsA-KCaVIOIYLRa2/view?usp=drive_link</t>
  </si>
  <si>
    <t>Mudcrab &amp; Prawn Production</t>
  </si>
  <si>
    <t>Financial assistance under CAPE Program fro the Mudcrab and Prawn Production in Cagayan.</t>
  </si>
  <si>
    <t xml:space="preserve">Cagayan, Tuguegarao </t>
  </si>
  <si>
    <t>P 417,852</t>
  </si>
  <si>
    <t>2004-08-ad referenda</t>
  </si>
  <si>
    <t>https://drive.google.com/file/d/1WIWA-PujRx4-ZcapFrQd9UKwrn5Lo-rt/view?usp=drive_link</t>
  </si>
  <si>
    <t>Printing of KALAMATA, A Sourcebook of Weave Designs Inspired by Natural Fibers</t>
  </si>
  <si>
    <t>Printing of 200 page book entitled KALAMATA, a source book of weave designs inspired by natural fibers.</t>
  </si>
  <si>
    <t xml:space="preserve">Philippine Textile Research Institute </t>
  </si>
  <si>
    <t>Bicutan, Taguig, M.M.</t>
  </si>
  <si>
    <t>2004-09-ad referenda</t>
  </si>
  <si>
    <t>https://drive.google.com/file/d/1b4saPTxcc3Sq-rXzj3PEaf50VyV_XSai/view?usp=drive_link</t>
  </si>
  <si>
    <t>Technology Investment Forum for the SMEs in Region VIII, Technology Investment Forum in Region V</t>
  </si>
  <si>
    <t>Request that the funds be taken from then unexpended balance of P306,222.67 under ALOBS #2003-03-06-0347 (P1,059,551.11) dated 09 August 2003 for TAPI-GIA Investors Forum Program.</t>
  </si>
  <si>
    <t xml:space="preserve">1. DOST Rehion VIII Government Center
2. DOST Region Rawis </t>
  </si>
  <si>
    <t xml:space="preserve">Palo, Leyte                                                                                      Legazpi City </t>
  </si>
  <si>
    <t>P 192,000
P 114,000
Total P 306,000.00</t>
  </si>
  <si>
    <t>2004-75</t>
  </si>
  <si>
    <t>http://gofile.me/4xaew/mAXdcjGfo</t>
  </si>
  <si>
    <t>https://drive.google.com/file/d/19G_Ud6EqWteoXSJkc2MQY7LDZ9CJIKor/view?usp=drive_link</t>
  </si>
  <si>
    <t>Allocating RA 7459 Funds (TAPI-GIA) for CY 2004 Priority Projects</t>
  </si>
  <si>
    <t>Round Table Discussion re: Issues on Commercialization of Inventions and Intellectual Property Rights and Preparation for the National Inventors Congress</t>
  </si>
  <si>
    <t>P 160,000</t>
  </si>
  <si>
    <t>Allocating Tapi-Gia Funds for CY 2003 Priority Projects</t>
  </si>
  <si>
    <t>https://drive.google.com/file/d/1qXZecVVRatIRVOcbdrHlygVC1oo8JtjH/view?usp=drive_link</t>
  </si>
  <si>
    <t>Major Island Techno Fora ( Luzon B, Visayas and Mindanao)</t>
  </si>
  <si>
    <t>PCAARD</t>
  </si>
  <si>
    <t>P 120,000</t>
  </si>
  <si>
    <t>https://drive.google.com/file/d/1gjiuTXR1VNPfvrPvcpt7wv4rC9pAwsuS/view?usp=drive_link</t>
  </si>
  <si>
    <t>Consultation- Workshop on the Role of Technology Application in Clustering the 10 Priority Sectors</t>
  </si>
  <si>
    <t>P 753, 350</t>
  </si>
  <si>
    <t>https://drive.google.com/file/d/1a3KvzGsiXvpxdcmFhZ76FNNxTZvwVZZB/view?usp=drive_link</t>
  </si>
  <si>
    <t xml:space="preserve">Technology Clinic on Furniture </t>
  </si>
  <si>
    <t>DOST region VII</t>
  </si>
  <si>
    <t>P 53,500</t>
  </si>
  <si>
    <t>https://drive.google.com/file/d/1FEvNfm1KwaKDCBbD_FrUpa0rmVp2AqNk/view?usp=drive_link</t>
  </si>
  <si>
    <t>Exhaust Gas Oxidizer (EGO)</t>
  </si>
  <si>
    <t>Adolfo P. Alegre
Inventor
Energy-eco Systems, Inc.</t>
  </si>
  <si>
    <t>Unit F, 19th Floor Strata 100 Bldg., Don Francisco Ortigas Jr., Rd., Ortigas Center Pasig Metro Manila</t>
  </si>
  <si>
    <t>P 10,000</t>
  </si>
  <si>
    <t>https://drive.google.com/file/d/1JAF4S_fD5Lv299MAese_Of9nkkIHsgLS/view?usp=drive_link</t>
  </si>
  <si>
    <t>Preparation of a Feasibility Study for the Commercial Adoption of the Production of Virgin Coconut Oil</t>
  </si>
  <si>
    <r>
      <rPr>
        <sz val="10"/>
        <color theme="1"/>
        <rFont val="Arial"/>
      </rPr>
      <t xml:space="preserve">P 55,500
 P 30,000
</t>
    </r>
    <r>
      <rPr>
        <b/>
        <sz val="10"/>
        <color theme="1"/>
        <rFont val="Arial"/>
      </rPr>
      <t>Total: P85,500</t>
    </r>
  </si>
  <si>
    <t>2003-17</t>
  </si>
  <si>
    <t>Allocating RA 7459 Funds for CY 2003 Priority Projects</t>
  </si>
  <si>
    <t>https://drive.google.com/file/d/1UNMixF2ei9pkGo6mrdcDYMRBC5SiwyDT/view?usp=drive_link</t>
  </si>
  <si>
    <t xml:space="preserve">Herbal Medicine </t>
  </si>
  <si>
    <t>Leonides B. San Pedro</t>
  </si>
  <si>
    <t>P 11,820</t>
  </si>
  <si>
    <t>2003-18</t>
  </si>
  <si>
    <t>https://drive.google.com/file/d/10NwUX9hI6z6u-v8h32ntia2Pm6GfMPnS/view?usp=drive_link</t>
  </si>
  <si>
    <t xml:space="preserve">MINDS @ Work- An Innoventions Fair </t>
  </si>
  <si>
    <t>Manila Innovation Development Society, Manila</t>
  </si>
  <si>
    <t>P 15,000</t>
  </si>
  <si>
    <t>2003-19</t>
  </si>
  <si>
    <t>https://drive.google.com/file/d/1xH_CSHv9eGvVzx7xUqBHWSJ1aJt_WTsg/view?usp=drive_link</t>
  </si>
  <si>
    <t>SET-UP DATBED in MAIS
Fruit Processing (Mango, Pineapple, Banana)
Fruit Processing (Mango)
Meat Processing 1
Goat Raising
Meat Processing 2
Poultry Raising
Cattle Raising</t>
  </si>
  <si>
    <t>Marcos Agro-Industrial School Marcos Ilocos Norte
Jeanette Valencia &amp; Neri Aragon
 Rhodelyn Pablo
Eminor Genitano
Cherwin Silquiano
Rhealyn Yasana
 Crisanta Mamaclay
 Ireneo Pascual</t>
  </si>
  <si>
    <t xml:space="preserve">
Female 
 Female
Male
Male
Female
Female
Male
</t>
  </si>
  <si>
    <r>
      <rPr>
        <sz val="10"/>
        <color rgb="FF000000"/>
        <rFont val="Arial"/>
        <scheme val="minor"/>
      </rPr>
      <t xml:space="preserve">
P 16, 152.50
P 4,269.80
P 10,503.00
P 13,850.00
P 19,158.00
 P 7,465.00
 P 33,000
</t>
    </r>
    <r>
      <rPr>
        <b/>
        <sz val="10"/>
        <color rgb="FF000000"/>
        <rFont val="Arial"/>
        <scheme val="minor"/>
      </rPr>
      <t>Total: 104, 398.30</t>
    </r>
  </si>
  <si>
    <t>2003-24</t>
  </si>
  <si>
    <t>https://drive.google.com/file/d/1f6QkaC_E2H8_kM_xUFiIF-3Awp4_qd9a/view?usp=drive_link</t>
  </si>
  <si>
    <t xml:space="preserve">Dental Equipment </t>
  </si>
  <si>
    <t xml:space="preserve">Jesus James Ledesma </t>
  </si>
  <si>
    <t>Jandee Enterprises, Brgy. Pio Del Pilar, Makati City</t>
  </si>
  <si>
    <t>P 60,000 (Booth Rental)
P 9,000 (printing of 2,000 Copies of Product Brochures)</t>
  </si>
  <si>
    <t>2003- 27</t>
  </si>
  <si>
    <t>https://drive.google.com/file/d/1zTywx7p6O6k1MDDOJJuoUX9EqkXp41Og/view?usp=drive_link</t>
  </si>
  <si>
    <t>Prototype Development Assistance to TUP
1. Valve Lapping Motor
2. Automatic Sprayer
3. Miniature-type Automatic Drill Press
4. Essential Oil Extraction Equipment
5. 1/3 Hp Potters Table 
6. 1.5 Ton Biodegradable Waste Composter
7. Digital Liquid Device
8. Stryo-Shredder Machine
9. Shredder for Biodegradable Waste 
10. Panel Port for External Devices
11. Emergency Light
12. Low-cost Blue Print Machine (Diazotype)</t>
  </si>
  <si>
    <r>
      <rPr>
        <sz val="10"/>
        <color theme="1"/>
        <rFont val="Arial"/>
      </rPr>
      <t xml:space="preserve">P 3,165.00
 P 4,900
P 5,000
P 4,600
P 4,400
P 11,900
P 4,300
P 30,000
P 25,000
P 2,000
P 5,000
P 10,000
</t>
    </r>
    <r>
      <rPr>
        <b/>
        <sz val="10"/>
        <color theme="1"/>
        <rFont val="Arial"/>
      </rPr>
      <t>Total: 110,265.00</t>
    </r>
  </si>
  <si>
    <t>2003-28</t>
  </si>
  <si>
    <t>https://drive.google.com/file/d/14biVWLKkMPMO7Bj6jspAz3p2sVukcvxQ/view?usp=drive_link</t>
  </si>
  <si>
    <t>1st National Bangus Industry Congress
Bonuan, Binloc, Dagupan City</t>
  </si>
  <si>
    <t xml:space="preserve">BOI/DTI Marine Products </t>
  </si>
  <si>
    <t>DTI Pangasinan Provincial Office  Office of the Dagupan City Mayor Bangus Association of the Philippines Inc.</t>
  </si>
  <si>
    <t>2003-30</t>
  </si>
  <si>
    <t>https://drive.google.com/file/d/1mKFGBS43Jn36pOA1fqRRXXe6cfGYzSut/view?usp=drive_link</t>
  </si>
  <si>
    <t>Establishment of a Common Service Drying Facility for Dried Fish and Other Marine Products</t>
  </si>
  <si>
    <t>Confederation of Scientific and Professional Organizations , Inc.</t>
  </si>
  <si>
    <t>Bantayan Island, Cebu City</t>
  </si>
  <si>
    <t>P 182,500</t>
  </si>
  <si>
    <t>2003-31</t>
  </si>
  <si>
    <t>https://drive.google.com/file/d/1Tt9HWtrLL7Gu-qhu3hEk7NIeATmNUXkk/view?usp=drive_link</t>
  </si>
  <si>
    <t>Herbal Medicine ( Freeze Drying test to be done by ITDI)</t>
  </si>
  <si>
    <t>170-A De Jesus Street, 12th Avenue, Grace Park</t>
  </si>
  <si>
    <t>P 7,060,00</t>
  </si>
  <si>
    <t>2003-32</t>
  </si>
  <si>
    <t>https://drive.google.com/file/d/1ayWfPda5XnSr0bpOAIM8XqBsd_mfUqsL/view?usp=drive_link</t>
  </si>
  <si>
    <t>Seminar-Workshop on the "Assessment of the Philippine Handicraft Industry"</t>
  </si>
  <si>
    <t xml:space="preserve">FPRDI </t>
  </si>
  <si>
    <t>PS - P 5,000 ( TAPI-GIA)
MOOE - P 27,000 (DOST-GIA)
Total: P 32,000</t>
  </si>
  <si>
    <t>2003- 33</t>
  </si>
  <si>
    <t>https://drive.google.com/file/d/1IE5qYAJKQdEfkIzIIsAl5jRT4IAxcQyP/view?usp=drive_link</t>
  </si>
  <si>
    <t xml:space="preserve">1. FS on Orthopedic Instruments by Investment Casting
2. FS on Mercury Retort
3. FS on Production af Radiation - Sterilized Amion Membranes for Clinial Application 
4. Business Plan for Carrageenan PVP- Hydrogel
5. Industry Study on Seaweed Industry
6. FS on Auto-Feed Abaca Decorticating Machine
7. FS on Abaca Tuxying Machine </t>
  </si>
  <si>
    <t>MIRDC
MIRDC
FNRI
FNRI
DOST X 
MIRDC
MIRDC</t>
  </si>
  <si>
    <t>2003-34</t>
  </si>
  <si>
    <t>https://drive.google.com/file/d/1MWNlIJrkefuu2znSEqk0rEFdm0Mnl7q7/view?usp=drive_link</t>
  </si>
  <si>
    <t>Commercialization of Portable Abaca Spindle Stripping Machine</t>
  </si>
  <si>
    <t xml:space="preserve">Institute of Small Business Foundation Inc. </t>
  </si>
  <si>
    <t>P 223, 025</t>
  </si>
  <si>
    <t>2003-35</t>
  </si>
  <si>
    <t>https://drive.google.com/file/d/1KNLGS5l6UaIcj7qVvRLx5HwbbYwgya_8/view?usp=drive_link</t>
  </si>
  <si>
    <t>"Re: Inventor" June 2003 Issue</t>
  </si>
  <si>
    <t>Dr. Virgilio L. Malang (FIMCOOP)</t>
  </si>
  <si>
    <t>2003- 36</t>
  </si>
  <si>
    <t>Allocating Tech Fair Funds for CY 2003 Priority Projects</t>
  </si>
  <si>
    <t>https://drive.google.com/file/d/1iUJUV1LJYajQHYE70Kegg_ASnhWtu1Mj/view?usp=drive_link</t>
  </si>
  <si>
    <t>DOST Northern Luzon Cluster Exhibit for the 2003 DOST Technology Fair 
DOST Southern Luzon Cluster Exhibit for the 2003 DOST Technnology Fair</t>
  </si>
  <si>
    <t>DOST II
DOST IV</t>
  </si>
  <si>
    <t>P 45,000
P 50,000</t>
  </si>
  <si>
    <t>2003-37</t>
  </si>
  <si>
    <t>https://drive.google.com/file/d/13lWSAP7xxW9ZRkTy2mMEI50RPHVDbNg_/view?usp=drive_link</t>
  </si>
  <si>
    <t>Preparation of Logo Board</t>
  </si>
  <si>
    <t>DOST Agencies</t>
  </si>
  <si>
    <t>2003-38</t>
  </si>
  <si>
    <t>https://drive.google.com/file/d/1jS81ix06-b8gwcXc6ZFwHtNlwm17EYxR/view?usp=drive_link</t>
  </si>
  <si>
    <t>SET-UP/DATBED in MIS</t>
  </si>
  <si>
    <t xml:space="preserve">Marcos Agro- Industrial School </t>
  </si>
  <si>
    <t>P 104, 398.30</t>
  </si>
  <si>
    <t>2003-39</t>
  </si>
  <si>
    <t>https://drive.google.com/file/d/1rktfpR_MAlPWMJel15n5MyitREz1z-Lr/view?usp=drive_link</t>
  </si>
  <si>
    <t>Technical Design Workshop Program Summer 2003</t>
  </si>
  <si>
    <t>P 87,000</t>
  </si>
  <si>
    <t>2003-40</t>
  </si>
  <si>
    <t>https://drive.google.com/file/d/1j9Z5g5QoXkTpuQ8LHE5-4on6ezZCP3wB/view?usp=drive_link</t>
  </si>
  <si>
    <t>CAPE Project in Kawit Cavite
CAPE Project in Aroroy, Masbate
CAPE Project in CARAGA
CAPE Project in Negros Occidental</t>
  </si>
  <si>
    <t>Prof. Valeriano L. Corre &amp; Ms. Rosy L. Janeo
Dr. Jose V. Manzano &amp; Dr. Virginia B. Manzano
Prof. Valeriano L. Corre &amp; Ms. Rosy L. Janeo
 Mr. Roberto A. Gatuslao</t>
  </si>
  <si>
    <t>Male &amp; Female
Male &amp; Female
Male &amp; Female
Male</t>
  </si>
  <si>
    <t xml:space="preserve">University of the Philippines Visayas Foundation, Inc., Miag-ao, Iloilo City
Bicol University
University of the Philippines Visayas Foundation, Inc., Miag-ao, Iloilo City
Negros Prawn Producers Marketing Cooperative, Inc., Bacolod City </t>
  </si>
  <si>
    <t>P 90,031
P 599,076
 P 250,350
P 208,851</t>
  </si>
  <si>
    <t>2003-41</t>
  </si>
  <si>
    <t>https://drive.google.com/file/d/1rvx7w09JeiQQsBjzYJ_9TXjhDYlah-1t/view?usp=drive_link</t>
  </si>
  <si>
    <t xml:space="preserve">Seminar on Environment- Friendly Aquaculture: Soil and Water Quality Management and Fish Health and Nutrition Management of Shrimp/Prawn </t>
  </si>
  <si>
    <t>P 30,000
P 20,000</t>
  </si>
  <si>
    <t>2003-42</t>
  </si>
  <si>
    <t>https://drive.google.com/file/d/1eaxst1P47Ou8R7V_19CB3qTfx5lOhSg7/view?usp=drive_link</t>
  </si>
  <si>
    <t>1. Valve Lapping Motor
2. Automatic Sprayer
3. Miniature-type Automatic Drill Press                                                                                                                                                                                                                                                                                                                                                                         4. 1/3 Hp Potters Table
5. Stryo-Shredder Machine
6. Shredder for Organic Waste 
7. Panel Port for External Devices
8. Emergency Light 
9. Low-cost Blue Print Machine (Diazotype)
10. Digital Liquid Device
11. An Innovation of an Ice Cream Maker</t>
  </si>
  <si>
    <t>Technological University of the Phils.</t>
  </si>
  <si>
    <t>Ayala Boulevard, Ermita, Manila</t>
  </si>
  <si>
    <t>P 3,200
P 4,900
P 5,000
P 7,800
 P 15,000
P 25,000
P 3,000
P 5,000
 P 8,300
P 4,300
 P 9,000</t>
  </si>
  <si>
    <t>2003-43</t>
  </si>
  <si>
    <t>Alloocating Dost-Gia Funds for CY 2003 Priority Projects</t>
  </si>
  <si>
    <t>https://drive.google.com/file/d/1sRgt00cu0tjxOUU_nOiSRzI7iFm222xf/view?usp=drive_link</t>
  </si>
  <si>
    <t>Upgrading of the Food Processing Industry in Region II</t>
  </si>
  <si>
    <t>Nueva Viscaya Abot Palad Multi-Purpose Cooperative  (NVAP- MPC)</t>
  </si>
  <si>
    <t xml:space="preserve"> P 400,000
P 290,000 (Amount to be Availed by the Proponent)</t>
  </si>
  <si>
    <t>2003-44</t>
  </si>
  <si>
    <t>https://drive.google.com/file/d/1NTttdYObjTDZW2zHI_TXcQ-DhQ4w1l64/view?usp=drive_link</t>
  </si>
  <si>
    <t>Expansion of the Goat Breeding and LIvelihood Project</t>
  </si>
  <si>
    <t>Central Luzon State University c/o Dr. Edgar A. Orden
DOST Region II</t>
  </si>
  <si>
    <t xml:space="preserve">Munoz, Nueva Ecija
Tuguegarao, Cagayan </t>
  </si>
  <si>
    <t xml:space="preserve">(P  363,600 Approved on 5 Dec. 2002) 
P 358,580.69 (to be charged to UB for Quirino Livestock Livelihood Project) </t>
  </si>
  <si>
    <t>2003-45</t>
  </si>
  <si>
    <t>https://drive.google.com/file/d/1KYdDthLcV2VQ6YXGlQ6DzMIAioRxeO5B/view?usp=drive_link</t>
  </si>
  <si>
    <t>Herbal Medicine</t>
  </si>
  <si>
    <t>170-A De Jesus Street, 12th Ave. Grace Park, Kalookan City</t>
  </si>
  <si>
    <t>P 7,060
P 5,520 (new testing fee)</t>
  </si>
  <si>
    <t>2003-46</t>
  </si>
  <si>
    <t>https://drive.google.com/file/d/1r2G_-n9L93878eP9RoaoZPLaGknUyLhr/view?usp=drive_link</t>
  </si>
  <si>
    <t>Sectoral for a on Commerciable Technologies for Hi Tech Industries and Food Processing</t>
  </si>
  <si>
    <t>P 1,066, 700</t>
  </si>
  <si>
    <t>2003-47</t>
  </si>
  <si>
    <t>https://drive.google.com/file/d/1uTbMBjT2ol2trUWjjj4ZUmD3nlGyqemO/view?usp=drive_link</t>
  </si>
  <si>
    <t>Small Mobile Decorticator</t>
  </si>
  <si>
    <t>Ildefonso A. Tallada</t>
  </si>
  <si>
    <t>#96 San Juan Calamba, Laguna</t>
  </si>
  <si>
    <t>P 142, 718</t>
  </si>
  <si>
    <t>2003-48</t>
  </si>
  <si>
    <t>https://drive.google.com/file/d/1IOfGgGX05kxaboS-971lDqWoBWrYLoVA/view?usp=drive_link</t>
  </si>
  <si>
    <t>14th NSTW Regional Celebration</t>
  </si>
  <si>
    <t>P 47,500
P 10,000 ( Travel)
 P 25,000 ( Supplies and Materials)
 P 5,000 (Communication)
P 7,500 (Food)</t>
  </si>
  <si>
    <t>2003-49</t>
  </si>
  <si>
    <t>Approval of the Request for Extension and Re-Alignment of the MPEX Project Region III</t>
  </si>
  <si>
    <t>https://drive.google.com/file/d/12Vff-WDDnSAClZ4UdS7fBHg5I2zRk5xn/view?usp=drive_link</t>
  </si>
  <si>
    <t>Program for Export Industry Modernization in Region III</t>
  </si>
  <si>
    <t>P 816,222</t>
  </si>
  <si>
    <t>2003-52</t>
  </si>
  <si>
    <t>Approval on the request to Adjust Provisions in the Original MOA</t>
  </si>
  <si>
    <t>https://drive.google.com/file/d/1E85Ua1TVKKzdqG7WVkw9YsPQ7J1c_Yva/view?usp=drive_link</t>
  </si>
  <si>
    <t>Strengthening and Technology Upgrading of the MSU-IIT Bamboo Technology Resource Center</t>
  </si>
  <si>
    <t>Iligan City</t>
  </si>
  <si>
    <t>P 815, 500</t>
  </si>
  <si>
    <t>2003-53</t>
  </si>
  <si>
    <t>https://drive.google.com/file/d/1wL2UWvI7OUN1MM88y4ywjUWrkFTV68VI/view?usp=drive_link</t>
  </si>
  <si>
    <t>1. Upgrading of the Cocoon Production Capabilites and Establishment of Common Raw Silk Yarn Production Facilities for the Bukidnon Sericulture Farmers
2. Technology Promotion and Utilization of Ornamental Horticulture Industry in CAR</t>
  </si>
  <si>
    <t>DOST X
DOST CAR</t>
  </si>
  <si>
    <t>Cagayan De Oro City
La Trinidad Benguet</t>
  </si>
  <si>
    <t>P 900,000
P 500,000</t>
  </si>
  <si>
    <t>2003-54</t>
  </si>
  <si>
    <t>https://drive.google.com/file/d/1J0w_R24jN7cavbYnbkS5JUylR3YaNXt5/view?usp=drive_link</t>
  </si>
  <si>
    <t>Preparation of a Pre-Feasibility study for the Commercial Production of Virgin Coconut Oil</t>
  </si>
  <si>
    <t>Bicutan, Taguig Metro Manla</t>
  </si>
  <si>
    <t>P 91,000</t>
  </si>
  <si>
    <t>2003-55</t>
  </si>
  <si>
    <t>https://drive.google.com/file/d/1R0-S0SYepySM9XTNPWE0BwRz2C3uSgi5/view?usp=drive_link</t>
  </si>
  <si>
    <t>Performance Evaluation of the Therapeutic Benefits Derived from PTRI Developed Therapeutic Handloom  (Phase 1 Prototyping )</t>
  </si>
  <si>
    <t xml:space="preserve">Bicutan, Taguig Metro Manila </t>
  </si>
  <si>
    <t>P 68,000</t>
  </si>
  <si>
    <t>2003-56</t>
  </si>
  <si>
    <t>https://drive.google.com/file/d/1N2PN0RgFc00ErgkMPvR-2bIFbsnPMsld/view?usp=drive_link</t>
  </si>
  <si>
    <t>CAPE Project in Isabela and Cagayan</t>
  </si>
  <si>
    <t xml:space="preserve">Hermogenes Tambalque III
Bureau of Fisheries and Aquatic Research </t>
  </si>
  <si>
    <t>P 205,500</t>
  </si>
  <si>
    <t>2003-58</t>
  </si>
  <si>
    <t>https://drive.google.com/file/d/1OfqyIXkU-FvafswB9OsDLi83KvgkiLW9/view?usp=drive_link</t>
  </si>
  <si>
    <t xml:space="preserve">EIAPI Tradeshow and Business Forum </t>
  </si>
  <si>
    <t xml:space="preserve">EIAPI c/o Mr. Felipe Santiago </t>
  </si>
  <si>
    <t>Trident Corporate Centre, 6 Scout Magbanua Street, Quezon City</t>
  </si>
  <si>
    <t>P 24,750 ( food for 45 pax @ P550/pax)
P 25,000 ( for printing of product catalogue)</t>
  </si>
  <si>
    <t>2003-59</t>
  </si>
  <si>
    <t>https://drive.google.com/file/d/1QwjGiOLMh6BsKyLEhcrThp31m1FlVy_Y/view?usp=drive_link</t>
  </si>
  <si>
    <t>SET-UP DATBED at Aklan State University
1. Boriler Production
2. Hog Fattening</t>
  </si>
  <si>
    <r>
      <rPr>
        <sz val="10"/>
        <color theme="1"/>
        <rFont val="Arial"/>
      </rPr>
      <t xml:space="preserve">P 35,850
P 389,763
</t>
    </r>
    <r>
      <rPr>
        <b/>
        <sz val="10"/>
        <color theme="1"/>
        <rFont val="Arial"/>
      </rPr>
      <t>Total: P 425,613</t>
    </r>
  </si>
  <si>
    <t>2003-60</t>
  </si>
  <si>
    <t>https://drive.google.com/file/d/1TrR9d_Ris5pljF7uUOCuu1VFeoNTGM4m/view?usp=drive_link</t>
  </si>
  <si>
    <t>Expansion of Gieosy Computer and IT Center Services in Daet, Camarines Norte</t>
  </si>
  <si>
    <t>Oseas P. Robles</t>
  </si>
  <si>
    <t>Gieosy Computer and IT Center, Camarines Norte</t>
  </si>
  <si>
    <t>P 275,646</t>
  </si>
  <si>
    <t>2003-61</t>
  </si>
  <si>
    <t>https://drive.google.com/file/d/1hyZI1tuzKXMEw5k-WrNz-PzixUsW8MAu/view?usp=drive_link</t>
  </si>
  <si>
    <t xml:space="preserve">Tilapia Harchery Project
Tilapia Grow-Out </t>
  </si>
  <si>
    <t>Dr. IIdelfonso J. Costales , Jr.
Engr. Rogelio Olivetti</t>
  </si>
  <si>
    <t>Bangus, Santiago City
Villa Domingo, Angadanan Isabela</t>
  </si>
  <si>
    <r>
      <rPr>
        <sz val="10"/>
        <color theme="1"/>
        <rFont val="Arial"/>
      </rPr>
      <t xml:space="preserve">P 450,880
P 545,506
</t>
    </r>
    <r>
      <rPr>
        <b/>
        <sz val="10"/>
        <color theme="1"/>
        <rFont val="Arial"/>
      </rPr>
      <t>Total: P 996,386</t>
    </r>
  </si>
  <si>
    <t>2003-62</t>
  </si>
  <si>
    <t>https://drive.google.com/file/d/13YcGUnjH3_lDXkamTru96ZS8bUgNo1x_/view?usp=drive_link</t>
  </si>
  <si>
    <t>Seminar on Good Manufacturing Practices cum Packaging &amp; Labeling of Food Products</t>
  </si>
  <si>
    <t xml:space="preserve">P 7,746                                                                                                                             P 33,750                                                                                                             </t>
  </si>
  <si>
    <t>2003-64</t>
  </si>
  <si>
    <t>https://drive.google.com/file/d/1bIdRzbJKPBnKztll20-OC1UGtJaKBVQg/view?usp=drive_link</t>
  </si>
  <si>
    <t xml:space="preserve">1. Seminar on Environment- Friendly Aquaculture: Soil and Water Quality Management and Fish Health and Nutrition Management of Shrimp/Prawn Ponds
2. SETUP Beneficiaries and SMEs Forum
3. S&amp;T Lecture Series and Closing Cum Awarding Ceremonies </t>
  </si>
  <si>
    <t xml:space="preserve">Dr. Constancio C. Canete
DOST region X </t>
  </si>
  <si>
    <r>
      <rPr>
        <sz val="10"/>
        <color theme="1"/>
        <rFont val="Arial"/>
      </rPr>
      <t xml:space="preserve">P 6,675
P 2,940
P 3,600
</t>
    </r>
    <r>
      <rPr>
        <b/>
        <sz val="10"/>
        <color theme="1"/>
        <rFont val="Arial"/>
      </rPr>
      <t xml:space="preserve">Total: P 11,415 </t>
    </r>
  </si>
  <si>
    <t>2003-67</t>
  </si>
  <si>
    <t>Allocating Funds for 2003 NIW Celebration</t>
  </si>
  <si>
    <t>https://drive.google.com/file/d/1bwbnsBgegK_LSYqaeJxjHdaFw7_GU6_E/view?usp=drive_link</t>
  </si>
  <si>
    <t>Entrepreneurship Training for Inventors</t>
  </si>
  <si>
    <t>Rene S.L Resurreccion                                                                                                                  Passion for Perfection</t>
  </si>
  <si>
    <t>255, Naranja Street, Villa Verde, Novaliches, Quezon City, 1100 Metro Manila</t>
  </si>
  <si>
    <t>P 99,000</t>
  </si>
  <si>
    <t>2003-68</t>
  </si>
  <si>
    <t>Allocating Tapi-Gia &amp; Dost-Gia Funds for CY 2003 Priority Projects</t>
  </si>
  <si>
    <t>https://drive.google.com/file/d/1MgQaXfKODaDwIP_eQeLPp9HbiVCz-u0r/view?usp=drive_link</t>
  </si>
  <si>
    <t>DOST Mindanao Cluster S&amp;T Fair</t>
  </si>
  <si>
    <t>DOST Region X c/o Dr. Constancio Canate</t>
  </si>
  <si>
    <r>
      <rPr>
        <sz val="10"/>
        <color theme="1"/>
        <rFont val="Arial"/>
      </rPr>
      <t xml:space="preserve">P 217,068
P 1,123,889
</t>
    </r>
    <r>
      <rPr>
        <b/>
        <sz val="10"/>
        <color theme="1"/>
        <rFont val="Arial"/>
      </rPr>
      <t>Total: P 1,340, 957</t>
    </r>
  </si>
  <si>
    <t>2003-71</t>
  </si>
  <si>
    <t>https://drive.google.com/file/d/1tGsw6P2VA1OUWHavvbsnUiPMrSVYm75i/view?usp=drive_link</t>
  </si>
  <si>
    <t>Establishment of an Accelerated Shelf-Life Evaluation Service in region X</t>
  </si>
  <si>
    <t xml:space="preserve">P 644,434,40 </t>
  </si>
  <si>
    <t>2003-72</t>
  </si>
  <si>
    <t>https://drive.google.com/file/d/1mZ1RYuddwg75hYzNde_zFgtNKmz0RM6o/view?usp=drive_link</t>
  </si>
  <si>
    <t>2003 NIW TAPI Committee for Technical Seminar/Training /DTTC</t>
  </si>
  <si>
    <t>P 85,150</t>
  </si>
  <si>
    <t>2003-73</t>
  </si>
  <si>
    <t>Allocating Tapi-Gia and RA 7459 funds for 2003 NIW Celebration</t>
  </si>
  <si>
    <t>https://drive.google.com/file/d/1EmhWq9Nh8Wb0uNm6SS7Y3499Qx0RVnxR/view?usp=drive_link</t>
  </si>
  <si>
    <t>National Inventors Week</t>
  </si>
  <si>
    <t>PTTC, Roxas Boulevard, Pasay City</t>
  </si>
  <si>
    <t>P 3,501,226</t>
  </si>
  <si>
    <t>2003-74</t>
  </si>
  <si>
    <t>https://drive.google.com/file/d/12QCNbjBO0529EsBQRzk5n4is1q0IKsgO/view?usp=drive_link</t>
  </si>
  <si>
    <t>P 244. 150</t>
  </si>
  <si>
    <t>2003-75</t>
  </si>
  <si>
    <t>Allocating Tapi-Gia Funds for 2003 NIW Celebration</t>
  </si>
  <si>
    <t>https://drive.google.com/file/d/1PAcKTWLI0bRX6QleAU-8cV00HpFZPFty/view?usp=drive_link</t>
  </si>
  <si>
    <t xml:space="preserve">Invention Promotion for 2003 NIW </t>
  </si>
  <si>
    <t>TAPI
DTI- MEGMA Foundation Filipino Inventors Associations</t>
  </si>
  <si>
    <t>P 260,000</t>
  </si>
  <si>
    <t>2003-77</t>
  </si>
  <si>
    <t>https://drive.google.com/file/d/1-ykRFfXwf6VleVOIobJlpKhKAPIdvskX/view?usp=drive_link</t>
  </si>
  <si>
    <t>Technology Forum &amp; Training on Honey Beekeeping For Farmers-Entrepreneurs/SMEs in Region 8</t>
  </si>
  <si>
    <t>Government Center, Candahug, Leyte</t>
  </si>
  <si>
    <r>
      <rPr>
        <sz val="10"/>
        <color theme="1"/>
        <rFont val="Arial"/>
      </rPr>
      <t xml:space="preserve">P 42,500
P 20,553
</t>
    </r>
    <r>
      <rPr>
        <b/>
        <sz val="10"/>
        <color theme="1"/>
        <rFont val="Arial"/>
      </rPr>
      <t>Total: 64,053.00</t>
    </r>
  </si>
  <si>
    <t>2003-78</t>
  </si>
  <si>
    <t>https://drive.google.com/file/d/1CKmmKD74B_A1o0ZvRbtytrz68mCwzts-/view?usp=drive_link</t>
  </si>
  <si>
    <t>Manufacturing Productivity Extension Program (MPEX) in Region VI : Phase II</t>
  </si>
  <si>
    <t>Magsaysay Village, La Paz. Iloilo City</t>
  </si>
  <si>
    <t>P 873.056. 44 (DOST-GIA)
P 223, 443. 56 ( TAPI-GIA)</t>
  </si>
  <si>
    <t>2003-80</t>
  </si>
  <si>
    <t>https://drive.google.com/file/d/1PvvNSLSGrY5LETnPT8xRnzZnRPnp-uDf/view?usp=drive_link</t>
  </si>
  <si>
    <t>Establishment of Steam-Type Lumber Dryer for Furniture Production</t>
  </si>
  <si>
    <t xml:space="preserve">Abelardo R. Tinio
VP for Operations
Akka Woods, Inc. </t>
  </si>
  <si>
    <t>Km. 76 MacArthur Highway, Dela Paz, San Fernando, Pampanga, Pampanga, Region 3</t>
  </si>
  <si>
    <t>P 856, 297</t>
  </si>
  <si>
    <t>2003-82</t>
  </si>
  <si>
    <t>https://drive.google.com/file/d/1_F3ezA6uNtYseWr3eChMUOV55mWLane8/view?usp=drive_link</t>
  </si>
  <si>
    <t xml:space="preserve">ROBO Infra-Red (IR) Tagging </t>
  </si>
  <si>
    <t xml:space="preserve">Engr, John Roel Judilla </t>
  </si>
  <si>
    <t>MAPUA Institute of Technology, Intramuros Manila</t>
  </si>
  <si>
    <t>P 123,700</t>
  </si>
  <si>
    <t>2003- 84</t>
  </si>
  <si>
    <t>https://drive.google.com/file/d/17pHQ6-GkZlzCAE6JPDXug4FJoFjWRcJP/view?usp=drive_link</t>
  </si>
  <si>
    <t>Export Industry Modernization in Regon III (noded Operation)</t>
  </si>
  <si>
    <t xml:space="preserve">P 840,004 </t>
  </si>
  <si>
    <t>2003-85</t>
  </si>
  <si>
    <t>https://drive.google.com/file/d/1TiRzPs5OSzXFYjnsLnzC0B2GtCEdTub9/view?usp=drive_link</t>
  </si>
  <si>
    <t>Magsaysay Village, La Paz iloilo City</t>
  </si>
  <si>
    <r>
      <rPr>
        <sz val="10"/>
        <color theme="1"/>
        <rFont val="Arial"/>
      </rPr>
      <t xml:space="preserve">P 873,056 .44 (DOST-GIA)
P 383,947. 56 (TAPI-GIA)
</t>
    </r>
    <r>
      <rPr>
        <b/>
        <sz val="10"/>
        <color theme="1"/>
        <rFont val="Arial"/>
      </rPr>
      <t>Total: P 1,257, 004.00</t>
    </r>
  </si>
  <si>
    <t>2003-86</t>
  </si>
  <si>
    <t>https://drive.google.com/file/d/1OGWd3lzGCWcZo2Un3G9OHDNhz4Iyqifr/view?usp=drive_link</t>
  </si>
  <si>
    <t>P 1,020, 504.00</t>
  </si>
  <si>
    <t>2003-87</t>
  </si>
  <si>
    <t>https://drive.google.com/file/d/1vJJH4icxnMpOg7KRYW1-AhioBU72FKq2/view?usp=drive_link</t>
  </si>
  <si>
    <t>Motorcycle Parts Producers and Exporters Association</t>
  </si>
  <si>
    <t>P 415, 720</t>
  </si>
  <si>
    <t>2003-88</t>
  </si>
  <si>
    <t>https://drive.google.com/file/d/1ltQaKbqQAPkHUtll79ObHu-C_OkiK_nl/view?usp=drive_link</t>
  </si>
  <si>
    <t xml:space="preserve">TAPI's Promotion Booth During the Philippine Business Conference </t>
  </si>
  <si>
    <t>Philippine Chamber Commerce and Industry ( PCCI)</t>
  </si>
  <si>
    <t xml:space="preserve"> P 143,000</t>
  </si>
  <si>
    <t>2003-90</t>
  </si>
  <si>
    <t>https://drive.google.com/file/d/186LlUkAUZ45FcokI7DW6Ganv0k2EGgcx/view?usp=drive_link</t>
  </si>
  <si>
    <t>Ricardo A. Calubaquib</t>
  </si>
  <si>
    <t>Ugac, Norte, Tuguegarao</t>
  </si>
  <si>
    <t>P 297,076</t>
  </si>
  <si>
    <t>2003-91</t>
  </si>
  <si>
    <t>https://drive.google.com/file/d/1oIqba6dsaZ559Nf_5o1K92ThUCmJYdyZ/view?usp=drive_link</t>
  </si>
  <si>
    <t>Establishment of na Integrated Calamansi Processing Center</t>
  </si>
  <si>
    <t>Isabela Citrus Growers Development Cooperative ( ICGDC)</t>
  </si>
  <si>
    <t>Sta. Rosa Aurora , Isabela</t>
  </si>
  <si>
    <t>P 527,000</t>
  </si>
  <si>
    <t>2003-92</t>
  </si>
  <si>
    <t>https://drive.google.com/file/d/1SF5-DgfkNfxfyWaadp88KD3IDFx1hCW7/view?usp=drive_link</t>
  </si>
  <si>
    <t>Enabling Regulatory Framework and Procedures for Promoting Agricultural Biotechnology Developments in the Phils.</t>
  </si>
  <si>
    <t xml:space="preserve">PCARRD </t>
  </si>
  <si>
    <t>P 20,000</t>
  </si>
  <si>
    <t>2003-94</t>
  </si>
  <si>
    <t>https://drive.google.com/file/d/12k2MZp4JewviDqpv4NW2VMWmNU2jjL_J/view?usp=drive_link</t>
  </si>
  <si>
    <t>Mechanized Shoe Polisher Multi Purpose Garden Tools</t>
  </si>
  <si>
    <t xml:space="preserve">Prof. Narciso M. Montas/ Dr. Erlinda P. Relucio </t>
  </si>
  <si>
    <t>Bicol Univeristy, Legazpi City</t>
  </si>
  <si>
    <r>
      <rPr>
        <sz val="10"/>
        <color theme="1"/>
        <rFont val="Arial"/>
      </rPr>
      <t xml:space="preserve">P 3,200
P 3,600
</t>
    </r>
    <r>
      <rPr>
        <b/>
        <sz val="10"/>
        <color theme="1"/>
        <rFont val="Arial"/>
      </rPr>
      <t>Total: P 6,800</t>
    </r>
  </si>
  <si>
    <t>2003-95</t>
  </si>
  <si>
    <t>Allocating Dost-Gia Funds for CY 2003 Priority Projects</t>
  </si>
  <si>
    <t>https://drive.google.com/file/d/1D7jJi9KKLs-otY4jk7sZ9DY2bBDTB6eZ/view?usp=drive_link</t>
  </si>
  <si>
    <t xml:space="preserve">National Science and Technology Week </t>
  </si>
  <si>
    <t xml:space="preserve">Dr. Constancio C. Canete       </t>
  </si>
  <si>
    <t>DOST X, Cagayan De Oro City</t>
  </si>
  <si>
    <t>P 11,415</t>
  </si>
  <si>
    <t>2003-96</t>
  </si>
  <si>
    <t>https://drive.google.com/file/d/1FiIx013UH2-DRw4gvTo5DRs2njAUHGN7/view?usp=drive_link</t>
  </si>
  <si>
    <t>Improvement of Finishing Spray Booth</t>
  </si>
  <si>
    <t>FPRDI-DOST</t>
  </si>
  <si>
    <t>P 42,105</t>
  </si>
  <si>
    <t>2003-97</t>
  </si>
  <si>
    <t>https://drive.google.com/file/d/1djth_QUw-BStD2y8toktxBa4Yt4eiOsY/view?usp=drive_link</t>
  </si>
  <si>
    <t>Preparation of Feasibility Study on the: A. "Commercial Production of Mercury Retort " and B. "Local Production of Orthopedic Instruments and Fixators by Investment Casting"</t>
  </si>
  <si>
    <t>MIRDC - DOST
Systems and Technologies for Enterprise and People Upliftment (stepUP)</t>
  </si>
  <si>
    <r>
      <rPr>
        <sz val="10"/>
        <color theme="1"/>
        <rFont val="Arial"/>
      </rPr>
      <t xml:space="preserve">P 350,900
P 301,400
</t>
    </r>
    <r>
      <rPr>
        <b/>
        <sz val="10"/>
        <color theme="1"/>
        <rFont val="Arial"/>
      </rPr>
      <t>Total: P 652, 300</t>
    </r>
  </si>
  <si>
    <t>2003-98</t>
  </si>
  <si>
    <t>https://drive.google.com/file/d/1m0o_QJnW0gYyzIduUlylEIg0FQtxxIJF/view?usp=drive_link</t>
  </si>
  <si>
    <t>"Re: Inventor" Dec. 2003 Issue</t>
  </si>
  <si>
    <t>Dr. Virgilio L. Malang
(FIMCOOP)</t>
  </si>
  <si>
    <t>P 12, 900</t>
  </si>
  <si>
    <t>2003-100</t>
  </si>
  <si>
    <t>https://drive.google.com/file/d/1UeU1gsDSR3Y6pe6OqtZG-WnCfHbjBcQV/view?usp=drive_link</t>
  </si>
  <si>
    <t>Establishment of a Microbial Shelf-LIfe Testing Facility and Upgrading of Nutrition Labeling Capability in Support to the DOST Small and Medium Enterprises Technology Upgrading Program (SET-UP) in Central Visayas</t>
  </si>
  <si>
    <t>DOST Region VII
Regional Standards and Testing Center</t>
  </si>
  <si>
    <t>P 1,139,349</t>
  </si>
  <si>
    <t>2003-101</t>
  </si>
  <si>
    <t>https://drive.google.com/file/d/1WViMYttZduP-qUZC_W90-gzofDnhdm6D/view?usp=drive_link</t>
  </si>
  <si>
    <t>DOST Region X
 Regional Standards and Testing Center</t>
  </si>
  <si>
    <t>P 726, 434.44</t>
  </si>
  <si>
    <t>2003-102</t>
  </si>
  <si>
    <t>https://drive.google.com/file/d/1N2gytlqL8t4wF3Mgk1TS3qvliC-PDrHj/view?usp=drive_link</t>
  </si>
  <si>
    <t>1. Utilization of Waste Plastic as Binder for Plywood and Particleboard
2. Gaseous Fuel Regulator for Spark Ignition Engine
3. Sidlakan Burner</t>
  </si>
  <si>
    <t>1. FPRDI
 2. Jose A. Beduya
3. Emmanuel L. Alkuino</t>
  </si>
  <si>
    <t>P 14,580.00
P 10,786.75
P 10,786.75</t>
  </si>
  <si>
    <t>2003-104</t>
  </si>
  <si>
    <t>https://drive.google.com/file/d/1hJEGbmFWtuwCOwy7LRzoQrAJ6pKAX7RQ/view?usp=drive_link</t>
  </si>
  <si>
    <t>Training on Shelf-Life Testing and Nutrition Labeling of Food Products (Two Batches)</t>
  </si>
  <si>
    <t>DTTC
FNRI</t>
  </si>
  <si>
    <t>Estimated at P 392, 163.00</t>
  </si>
  <si>
    <t>2003-105</t>
  </si>
  <si>
    <t>https://drive.google.com/file/d/1QCaeWp1ICG3C2TTtGqBU3b9sq68u8hf5/view?usp=drive_link</t>
  </si>
  <si>
    <t>Preparation of Pre-Feasibility Study on the "Technology Business Incubator for ICT -Based SMEs in Region 8</t>
  </si>
  <si>
    <t>DOST Region VIII
Institute of Small Business, Inc. Foundation, Inc.</t>
  </si>
  <si>
    <t xml:space="preserve">Government Center, Candahug Leyte </t>
  </si>
  <si>
    <t>P 354, 750.00</t>
  </si>
  <si>
    <t>2003-106</t>
  </si>
  <si>
    <t>https://drive.google.com/file/d/1BofAbvFiQFvCWrLRKAl71dyIl3hRuKKl/view?usp=drive_link</t>
  </si>
  <si>
    <t>Creation of the Technical Review Panel (TRP) and Conduct of the TRP Meeting for the Feasibility Study On " Commercialization of Portable Abaca Spindle Stripping Machine"</t>
  </si>
  <si>
    <r>
      <rPr>
        <sz val="10"/>
        <color theme="1"/>
        <rFont val="Arial"/>
      </rPr>
      <t xml:space="preserve">P 2,500
P 6,000
</t>
    </r>
    <r>
      <rPr>
        <b/>
        <sz val="10"/>
        <color theme="1"/>
        <rFont val="Arial"/>
      </rPr>
      <t>Total: 8,500</t>
    </r>
  </si>
  <si>
    <t>2003-107</t>
  </si>
  <si>
    <t>https://drive.google.com/file/d/1IX16Bp3k2-AnvWice4m270IO-8c1UOzp/view?usp=drive_link</t>
  </si>
  <si>
    <t xml:space="preserve">Seminar on Jewelry Production and Technology/Design </t>
  </si>
  <si>
    <t>Cecilia Ramos
Meycauyan Jewelry Industry Association, Inc.</t>
  </si>
  <si>
    <t xml:space="preserve">Philippine Jewelry Center, Provincial Sports Complex Pandayan, Meycauayan, Bulacan </t>
  </si>
  <si>
    <t>P 30,000
P 1,600
Total: P 31,600</t>
  </si>
  <si>
    <t>2003-109</t>
  </si>
  <si>
    <t>https://drive.google.com/file/d/1inm4r-B6a29akMgef-knALnAm6CzBQBd/view?usp=drive_link</t>
  </si>
  <si>
    <t>Cebu Webmaps Project</t>
  </si>
  <si>
    <t xml:space="preserve">Geoplan Cebu Foundation, Inc. </t>
  </si>
  <si>
    <t>P 679, 994.00</t>
  </si>
  <si>
    <t>2003-110</t>
  </si>
  <si>
    <t>https://drive.google.com/file/d/1z0JNrF4LkxYvNJrtFtYEvNl5-0XRMg9u/view?usp=drive_link</t>
  </si>
  <si>
    <t>SETUP-DATBED in Southern Leyte
State College of Science and Technology
1. Ampalaya Production
2. Prawn Culture in Pond
3. Broiler Production
4. Grouper Cage Culture</t>
  </si>
  <si>
    <t>Southern Leyte State College
Science and Technology Bontoc, Southern Leyte</t>
  </si>
  <si>
    <t>P 385, 792.00</t>
  </si>
  <si>
    <t>2003-111</t>
  </si>
  <si>
    <t>https://drive.google.com/file/d/1jTWop3qJXAW5ufxhiDwnkFGhVzcbiRvC/view?usp=drive_link</t>
  </si>
  <si>
    <t>Conduct of Seminar cum Training for the Seaweeds Seedbank Technology Management</t>
  </si>
  <si>
    <t>Carmen, Cagayan De Oro City</t>
  </si>
  <si>
    <t>P 12,100                                                                                                                    P 7,458.00</t>
  </si>
  <si>
    <t>2003-112</t>
  </si>
  <si>
    <t>https://drive.google.com/file/d/1QFZrXKx5CruCL0XdE_bsjPE1Vpv6uaJd/view?usp=drive_link</t>
  </si>
  <si>
    <t>Tekno Tulong sa Pagtatrabaho</t>
  </si>
  <si>
    <t>Kabalikat sa Hanapbuhay Foundation, Inc.
Yazaki Torres Manufacturing, Inc.</t>
  </si>
  <si>
    <t>Makiling, Calamba City</t>
  </si>
  <si>
    <t>P 90,000</t>
  </si>
  <si>
    <t>2003-114</t>
  </si>
  <si>
    <t>https://drive.google.com/file/d/1xP7vMY5tOlR0ikJLdHq97Ndi6AAcAxzK/view?usp=drive_link</t>
  </si>
  <si>
    <t>1. Pen Type Water Heater
2. Plug Insulation Safety Handle and Plug with Safety Wing Handle
3. Welding Eyeglass
4. Air-Conditioning Containment Set
5. Indoor Lock</t>
  </si>
  <si>
    <t>Antonio M. Andes, Sr
Mhery Ann S. Andes/ Maritoni S. Andes
Antonio M. Andes, Sr.
Antonio M. Andes, Sr.
Virgilio L. Malang/ Yasmin Espiritu</t>
  </si>
  <si>
    <t>Male                                Female &amp; Male                             Male                                 Male                                                           Male &amp; Female</t>
  </si>
  <si>
    <r>
      <rPr>
        <sz val="10"/>
        <color theme="1"/>
        <rFont val="Arial"/>
      </rPr>
      <t xml:space="preserve">
P 10,786,75
P 10,786,75
P 10,786,75
P 14,580.00
P 10,786,75
</t>
    </r>
    <r>
      <rPr>
        <b/>
        <sz val="10"/>
        <color theme="1"/>
        <rFont val="Arial"/>
      </rPr>
      <t xml:space="preserve">Total: 57,727.00 </t>
    </r>
  </si>
  <si>
    <t>2003-115</t>
  </si>
  <si>
    <t>https://drive.google.com/file/d/1lA68MyI88z7a-6isWBL0CTYqrSZy50zt/view?usp=drive_link</t>
  </si>
  <si>
    <t>Training of Trainors on Monitoring and Evaluation of Programs and Projects Course</t>
  </si>
  <si>
    <t>University of the Philippines Institute for Small Scale Industries (UPISSI)
Development Foundations, Inc. (SERDEF)</t>
  </si>
  <si>
    <t>P 348, 500</t>
  </si>
  <si>
    <t>2003-116</t>
  </si>
  <si>
    <t>https://drive.google.com/file/d/1S4h-QUht6SKw5EHbwLwaK3_R7dezyY4m/view?usp=drive_link</t>
  </si>
  <si>
    <r>
      <rPr>
        <b/>
        <sz val="10"/>
        <color theme="1"/>
        <rFont val="Arial"/>
      </rPr>
      <t xml:space="preserve">NCR
</t>
    </r>
    <r>
      <rPr>
        <sz val="10"/>
        <color theme="1"/>
        <rFont val="Arial"/>
      </rPr>
      <t xml:space="preserve">Product Costing and Pricing
Effective Negotiation Skills
How to Participate in Trade Fairs
Creative and Technical Aspects of Visual Merchandising
Strategic Marketing and Selling Techniques
</t>
    </r>
    <r>
      <rPr>
        <b/>
        <sz val="10"/>
        <color theme="1"/>
        <rFont val="Arial"/>
      </rPr>
      <t xml:space="preserve">LEGAZPI CITY
</t>
    </r>
    <r>
      <rPr>
        <sz val="10"/>
        <color theme="1"/>
        <rFont val="Arial"/>
      </rPr>
      <t xml:space="preserve">Product Costing and Pricing
Financial Management (Basic Bookeeping)
Strategic Marketing and Selling Techniques
</t>
    </r>
    <r>
      <rPr>
        <b/>
        <sz val="10"/>
        <color theme="1"/>
        <rFont val="Arial"/>
      </rPr>
      <t xml:space="preserve">DAVAO CITY
</t>
    </r>
    <r>
      <rPr>
        <sz val="10"/>
        <color theme="1"/>
        <rFont val="Arial"/>
      </rPr>
      <t>Product Costing and Pricing
Financial Management (Basic Bookeeping)
Strategic Marketing and Selling Techniques</t>
    </r>
  </si>
  <si>
    <t>Elizabeth M. Manuel
PTTC</t>
  </si>
  <si>
    <r>
      <rPr>
        <b/>
        <sz val="10"/>
        <color theme="1"/>
        <rFont val="Arial"/>
      </rPr>
      <t xml:space="preserve">NCR
</t>
    </r>
    <r>
      <rPr>
        <sz val="10"/>
        <color theme="1"/>
        <rFont val="Arial"/>
      </rPr>
      <t xml:space="preserve">P 30,400
P 30,400
P 30,400
P 53,300
P 53,300
</t>
    </r>
    <r>
      <rPr>
        <b/>
        <sz val="10"/>
        <color theme="1"/>
        <rFont val="Arial"/>
      </rPr>
      <t xml:space="preserve">LEGAZPI  CITY
</t>
    </r>
    <r>
      <rPr>
        <sz val="10"/>
        <color theme="1"/>
        <rFont val="Arial"/>
      </rPr>
      <t xml:space="preserve">P 40,000
P 65,500
P 65,500
</t>
    </r>
    <r>
      <rPr>
        <b/>
        <sz val="10"/>
        <color theme="1"/>
        <rFont val="Arial"/>
      </rPr>
      <t>DAVAO CITY
P 58,000 
P 79,500
P 79,500
TOTAL: P 585, 800.00</t>
    </r>
  </si>
  <si>
    <t>2003-117</t>
  </si>
  <si>
    <t>https://drive.google.com/file/d/1YU2yg1AbKMozDjAC4JYUSChJ00rawj9G/view?usp=drive_link</t>
  </si>
  <si>
    <t>Vehicle Teft Communicator and Demobilizer Via Cellphone Sms (Texting)</t>
  </si>
  <si>
    <t>Engr. Emmanuel D. Sia
Asian College of Science and Technology</t>
  </si>
  <si>
    <t>1013, 1102 Aurora Blvd, Project 3, Quezon City, 1102 Metro Manila</t>
  </si>
  <si>
    <t>P 16,300.00</t>
  </si>
  <si>
    <t>2003-118</t>
  </si>
  <si>
    <t>https://drive.google.com/file/d/1n-BTTivprsIE_hBKjgFEg3vhlYbGQDMq/view?usp=drive_link</t>
  </si>
  <si>
    <t>Upgrading of Facilities for Bamboo Floorboard Production</t>
  </si>
  <si>
    <t>Edna D. Cabarlo
Bambusa Pacific, Inc.</t>
  </si>
  <si>
    <t>55 Pershing Subic Bay, Freeport Zone Zambales, Zambales, Philippines Zambales, Region 3</t>
  </si>
  <si>
    <t>P 2,389,000.00</t>
  </si>
  <si>
    <t>2003-119</t>
  </si>
  <si>
    <t>https://drive.google.com/file/d/1eMszYnZgDDodJ-I6-HfuWNFOp3Qf85ur/view?usp=drive_link</t>
  </si>
  <si>
    <t xml:space="preserve">Pre-cast Reinforced Concrete Door Jamb </t>
  </si>
  <si>
    <t>Ferdinand D. Crisologo
G&amp;H Design Philippines</t>
  </si>
  <si>
    <t>P 165,620.00</t>
  </si>
  <si>
    <t>2003-120</t>
  </si>
  <si>
    <t>https://drive.google.com/file/d/1nXx94ESS9DVVb_q8T9YsH6zOXv8SR0Um/view?usp=drive_link</t>
  </si>
  <si>
    <t>Technology Investment Forum on Accelerated Vinegar Production (Acetator Application)
Calamansi Processing Vacuum Frying Technology, and Multi- Crop Dryer</t>
  </si>
  <si>
    <t>Tacloban</t>
  </si>
  <si>
    <t>P 45,500</t>
  </si>
  <si>
    <t>2003-121</t>
  </si>
  <si>
    <t>https://drive.google.com/file/d/1iYcZ_twsRk7jtd4dJzQNVEq_dOYZ--wh/view?usp=drive_link</t>
  </si>
  <si>
    <t>Technology Inventors Forum</t>
  </si>
  <si>
    <t>P 168,400</t>
  </si>
  <si>
    <t>2003-122</t>
  </si>
  <si>
    <t>https://drive.google.com/file/d/1qEDO_iCTAD4ZPKCJLERlb3weuILQEybB/view?usp=drive_link</t>
  </si>
  <si>
    <t>Introduction of Heavy Duty Packaging Machine in the Fish Processing Industry of Balanga City</t>
  </si>
  <si>
    <t xml:space="preserve">Lingap Dagat Multi-Purpose Cooperative, Inc. </t>
  </si>
  <si>
    <t>Baluyot St., Tortugas Balanga City, Bataan</t>
  </si>
  <si>
    <t>2003-123</t>
  </si>
  <si>
    <t>https://drive.google.com/file/d/1s16CCDmgWSzmS67JdJ6MXSpNAH96J_xf/view?usp=drive_link</t>
  </si>
  <si>
    <t>Ice Cream Production</t>
  </si>
  <si>
    <t>Sipsipin Multi-Purpose Coop.</t>
  </si>
  <si>
    <t>Jala jala Rizal</t>
  </si>
  <si>
    <t>P 93,926.50</t>
  </si>
  <si>
    <t>2003-124</t>
  </si>
  <si>
    <t>https://drive.google.com/file/d/12z75X6jRFqQmeDHRizXqNRQ8_QopanlM/view?usp=drive_link</t>
  </si>
  <si>
    <t>SETUP-DATBED at Ateneo De Naga University
Production and Marketing of Pili Chocolat lites .Com</t>
  </si>
  <si>
    <t>Ateneo De Naga University</t>
  </si>
  <si>
    <t>Naga City</t>
  </si>
  <si>
    <r>
      <rPr>
        <sz val="10"/>
        <color theme="1"/>
        <rFont val="Arial"/>
      </rPr>
      <t xml:space="preserve">P 125, 104.40
P 149,000.00
</t>
    </r>
    <r>
      <rPr>
        <b/>
        <sz val="10"/>
        <color theme="1"/>
        <rFont val="Arial"/>
      </rPr>
      <t>Total: P 274, 104.40</t>
    </r>
  </si>
  <si>
    <t>2003-125</t>
  </si>
  <si>
    <t>https://drive.google.com/file/d/188EZKljZRcFEYtk_s-xOLQG0YOQ1-ehF/view?usp=drive_link</t>
  </si>
  <si>
    <t>Region I STEAM- MSTAP Phase III</t>
  </si>
  <si>
    <t>San Fernando La Union</t>
  </si>
  <si>
    <t>P 1,648,614</t>
  </si>
  <si>
    <t>2003-126</t>
  </si>
  <si>
    <t>https://drive.google.com/file/d/1OvVPJLQ7kJ4xgrm6wd_8gZbT3OV0A-LG/view?usp=drive_link</t>
  </si>
  <si>
    <t>Educational and Training Programs for Inventors and Innovators</t>
  </si>
  <si>
    <t>Dr. Antonio F. Mateo
Adamson University</t>
  </si>
  <si>
    <t>Manila. Metro Manila</t>
  </si>
  <si>
    <t>P 40,720</t>
  </si>
  <si>
    <t>Educaation</t>
  </si>
  <si>
    <t>2003-127</t>
  </si>
  <si>
    <t>https://drive.google.com/file/d/1WcUoon56aRlHZQ0NX9IcGnszRatrJKVg/view?usp=drive_link</t>
  </si>
  <si>
    <t>Seaweeds Project in Lanao Del Norte</t>
  </si>
  <si>
    <t>Teresa C. Mallare
SEAFDEC</t>
  </si>
  <si>
    <t>Rm 102 G/F Philippine Social Science. Center Bldg Don Mariano Marcos Ave, Diliman, Quezon City, Metro Manila</t>
  </si>
  <si>
    <t>P 108,400</t>
  </si>
  <si>
    <t>2003-128</t>
  </si>
  <si>
    <t>https://drive.google.com/file/d/14PriwDzJ3EJSl50oD3YYAjTFwmuvGpSp/view?usp=drive_link</t>
  </si>
  <si>
    <t>NIW Goes to MEGMA
NIW Goes to Congress</t>
  </si>
  <si>
    <t>Carlito Ortega
Artist/Designer</t>
  </si>
  <si>
    <t>Bicutan Taguig City, Metro Manila</t>
  </si>
  <si>
    <r>
      <rPr>
        <sz val="10"/>
        <color theme="1"/>
        <rFont val="Arial"/>
      </rPr>
      <t xml:space="preserve">P 48,500 (revised contract price)
P 22,500 ( previously approved)
</t>
    </r>
    <r>
      <rPr>
        <b/>
        <sz val="10"/>
        <color theme="1"/>
        <rFont val="Arial"/>
      </rPr>
      <t>Total: P 26,000</t>
    </r>
  </si>
  <si>
    <t>2003-129</t>
  </si>
  <si>
    <t>https://drive.google.com/file/d/1uLFfH3pkrmjEj3VZq4rg8dIiR7ZDMckv/view?usp=drive_link</t>
  </si>
  <si>
    <t>P 600,000</t>
  </si>
  <si>
    <t>2003-01-ad referenda</t>
  </si>
  <si>
    <t>https://drive.google.com/file/d/10UtBz6ZuMutse971wbPiN8cJCEUXJ7l2/view?usp=drive_link</t>
  </si>
  <si>
    <t>2003 NSTW_Tech Fair 14-18 July 2003 PTTC, Roxas Boulevard Pasay City, Contract of Services for the design, conceptualization and execution of the Center Stage</t>
  </si>
  <si>
    <t>Mobilization fund upon signing of the contract and Balance to be paid after the activity.</t>
  </si>
  <si>
    <t>Mr. Carlito Ortega</t>
  </si>
  <si>
    <t xml:space="preserve">San, Pablo City </t>
  </si>
  <si>
    <t>P 15,000
P 10,000</t>
  </si>
  <si>
    <t>2003-02-ad referenda</t>
  </si>
  <si>
    <t>https://drive.google.com/file/d/1yESjuvNCqfe61zFxWIoN9P3kWTzkbn46/view?usp=drive_link</t>
  </si>
  <si>
    <t>CY 2003 National Inventors' Week (NIW)</t>
  </si>
  <si>
    <r>
      <rPr>
        <sz val="10"/>
        <color theme="1"/>
        <rFont val="Arial"/>
      </rPr>
      <t xml:space="preserve">Revised budgetary requirements for CY 2003 National Inventor's Week (NIW), including the detailed Line-Item-Budget for each Committee and an increase in the previously approved amount from </t>
    </r>
    <r>
      <rPr>
        <b/>
        <sz val="10"/>
        <color theme="1"/>
        <rFont val="Arial"/>
      </rPr>
      <t>P4,782,140</t>
    </r>
    <r>
      <rPr>
        <sz val="10"/>
        <color theme="1"/>
        <rFont val="Arial"/>
      </rPr>
      <t xml:space="preserve"> to </t>
    </r>
    <r>
      <rPr>
        <b/>
        <sz val="10"/>
        <color theme="1"/>
        <rFont val="Arial"/>
      </rPr>
      <t>P4,790,540</t>
    </r>
    <r>
      <rPr>
        <sz val="10"/>
        <color theme="1"/>
        <rFont val="Arial"/>
      </rPr>
      <t xml:space="preserve"> or an increase of </t>
    </r>
    <r>
      <rPr>
        <b/>
        <sz val="10"/>
        <color theme="1"/>
        <rFont val="Arial"/>
      </rPr>
      <t>P8,400</t>
    </r>
    <r>
      <rPr>
        <sz val="10"/>
        <color theme="1"/>
        <rFont val="Arial"/>
      </rPr>
      <t>.</t>
    </r>
  </si>
  <si>
    <t>Bicutan Taguig City, M.M</t>
  </si>
  <si>
    <t>P 4,790,540</t>
  </si>
  <si>
    <t>2003-03-ad referenda</t>
  </si>
  <si>
    <t>https://drive.google.com/file/d/1chjmntPpGY4QzVjoEqfvYkEuB2o9TyiF/view?usp=drive_link</t>
  </si>
  <si>
    <t>TAPI Programs in Multi-Media Presentation</t>
  </si>
  <si>
    <t>Request to develop a multi media video production of TAPI Programs of assistance and services because of the need to produce a truly professional product since there is no one competent enough to undertake such project, it is deemed necessary to contract out the project with an initial request for offers reveals that the budget requirements are in the range of P180,000.00 to P250,000.00.</t>
  </si>
  <si>
    <t xml:space="preserve">Bicutan </t>
  </si>
  <si>
    <t>Allocating Tapi-Gia Funds for CY 2002 Priority Projects</t>
  </si>
  <si>
    <t>https://drive.google.com/file/d/16L_B9hzJvZNnzGT8DeN4y-gp3tX6o_1m/view?usp=drive_link</t>
  </si>
  <si>
    <t xml:space="preserve">Multi-Purpose Rotary Dryer </t>
  </si>
  <si>
    <t>Bormeo G. Modanza</t>
  </si>
  <si>
    <t>Bicutan, Taguig, Metro Manila</t>
  </si>
  <si>
    <t>103 ,875.00</t>
  </si>
  <si>
    <t>https://drive.google.com/file/d/1KMDqPqFGd5CTvWFiJLHzmXahdgUovVyz/view?usp=drive_link</t>
  </si>
  <si>
    <t>Outsource &amp; Subcon 2002                                                                                                    International Show                                                                                                                                04-08 June 2002                                                                                                                                    Mines, Kuala Lumpur, Malaysia</t>
  </si>
  <si>
    <t>Jesselito V. Baring</t>
  </si>
  <si>
    <t>https://drive.google.com/file/d/1lYnfmd1c4wm8lg4-x72Aa_jB5yWOKQD3/view?usp=drive_link</t>
  </si>
  <si>
    <t>Broiler Production                                                                                                                                                                                                                                                                                                                                                                                                    Upgraded Chicken Production                                                                                                                                                                                                                                                                                                                                                          Intensive Vegetable Production                                                                                                                                                                                                                                                                                                                                                     Cattle Fattening</t>
  </si>
  <si>
    <t>Bataan State College</t>
  </si>
  <si>
    <t>VF86+G2R, Poblacion, Dinalupihan, 2110 Bataan</t>
  </si>
  <si>
    <r>
      <rPr>
        <sz val="10"/>
        <color theme="1"/>
        <rFont val="Arial"/>
      </rPr>
      <t xml:space="preserve">8,000
58,812.00
33,119.00
87,500
</t>
    </r>
    <r>
      <rPr>
        <b/>
        <sz val="10"/>
        <color theme="1"/>
        <rFont val="Arial"/>
      </rPr>
      <t>Total: 187,431.00</t>
    </r>
  </si>
  <si>
    <t>https://drive.google.com/file/d/1uZxXjaUbcQfv0LPBlh67-aUBk84WfR2S/view?usp=drive_link</t>
  </si>
  <si>
    <t>Strengthening and Technology Upgrading of the MSU- IIT Bamboo Technology Resource Center</t>
  </si>
  <si>
    <t>https://drive.google.com/file/d/1OsKSiE4Lwf5G2xsjFVNva53WWYbEgHIq/view?usp=drive_link</t>
  </si>
  <si>
    <t>Herbal Chocolate Bar</t>
  </si>
  <si>
    <t>Lorenzo L. Cunanan</t>
  </si>
  <si>
    <t>https://drive.google.com/file/d/19Ln4UmynQDwKHmSnMTd2xR4trFRcATu_/view?usp=drive_link</t>
  </si>
  <si>
    <t>Improved Flute</t>
  </si>
  <si>
    <t>Dante. Ursua</t>
  </si>
  <si>
    <t>3, 643,920</t>
  </si>
  <si>
    <t>https://drive.google.com/file/d/1j01JqfpknxONWlLuFB_kHngNLfjRXZ1n/view?usp=drive_link</t>
  </si>
  <si>
    <t>Technology Training on Small -Scale Natural Energy (Hydroelectric and Geothermal Power Technology</t>
  </si>
  <si>
    <t>Palo, Candahug, Leyte</t>
  </si>
  <si>
    <t>Technology Non- Computer</t>
  </si>
  <si>
    <t>https://drive.google.com/file/d/18vF4929LuieBHJDsb8sBRmao7VYXuaYe/view?usp=drive_link</t>
  </si>
  <si>
    <t>Multi Projectile Bullet</t>
  </si>
  <si>
    <t>Capt. Rodolfo C. Arambulo</t>
  </si>
  <si>
    <t>https://drive.google.com/file/d/1iS7BIrodUXaEOBthjWtgFSHwQVZLnV46/view?usp=drive_link</t>
  </si>
  <si>
    <t>Multi-Layered Enlarged Rattan Pole and a Cutting Tool for Making Rattan Strands</t>
  </si>
  <si>
    <t>Eduardo R. Yrezabel</t>
  </si>
  <si>
    <t>https://drive.google.com/file/d/1nCuk5k1uhdUw_SYiTpn0GaXLHaRPd2ot/view?usp=drive_link</t>
  </si>
  <si>
    <t>Manpower Development Program for the Handicraft Industries</t>
  </si>
  <si>
    <t>Philippine Chamber of Handicraft Industries, Inc. (PCHI)</t>
  </si>
  <si>
    <t>#238 Sta. Monica Street, Bo. Kapitolyo 1603</t>
  </si>
  <si>
    <t>https://drive.google.com/file/d/1OlkN3xIktcnLTvdF9McoiIbW_KmjK9IQ/view?usp=drive_link</t>
  </si>
  <si>
    <t>Printing of Filipino Inventors Multipurpose Cooperative's Newsletter , "Re: Inventors " May 2002 Issue</t>
  </si>
  <si>
    <t>Dr. Virgilio L. Malang                                                                                                                                                                                                                                                                                     Chairman                                                                                                                                                                                                                                                                                        FIMCOOP</t>
  </si>
  <si>
    <t xml:space="preserve">Bicutan, Taguig, Metro Manila </t>
  </si>
  <si>
    <t>https://drive.google.com/file/d/1kwGKetao52KxY83bY46L5va6VpfNsAYA/view?usp=drive_link</t>
  </si>
  <si>
    <t>Water Fuel Converter System Project</t>
  </si>
  <si>
    <t xml:space="preserve">Antonio Y. Teves </t>
  </si>
  <si>
    <t>583, 582.00</t>
  </si>
  <si>
    <t>2002-13</t>
  </si>
  <si>
    <t>https://drive.google.com/file/d/19UsM9_vcRnZkrm_bH90Mp8mAAWMrmfeZ/view?usp=drive_link</t>
  </si>
  <si>
    <t>Fabrication of Plastic Rope Making Machine</t>
  </si>
  <si>
    <t>Mildred L. Villanueva</t>
  </si>
  <si>
    <t>417, 060.00</t>
  </si>
  <si>
    <t>2002-14</t>
  </si>
  <si>
    <t>https://drive.google.com/file/d/1sYcBFW3wh82e3bQA96mE-S-4aywC2Fvq/view?usp=drive_link</t>
  </si>
  <si>
    <t>Aerial Bomb Fuze                                                                                                                                                                                                                                                                                                                                                                       An Improved Mortar Fuze                                                                                                                                                                                                                                                                                                                                                                A Detent Pint Lock for Mortar Fuze                                                                                                                                                                                                                                                                                                                                                  A Safety Bridge for Mortart Fuze                                                                                                                                                                                                                                                                                                                                                    An Improved Bomb Fuze</t>
  </si>
  <si>
    <t>Francis L. Romualdez</t>
  </si>
  <si>
    <t>2002-15</t>
  </si>
  <si>
    <t>https://drive.google.com/file/d/1XJE0BxsJ42zFNrCxYLaHnFQVOqPy3xxW/view?usp=drive_link</t>
  </si>
  <si>
    <t>Household Insecticide and Method of Use Therefore (Patent No. Inv. 16556)</t>
  </si>
  <si>
    <t>Gonzalo O. Catan,Jr.</t>
  </si>
  <si>
    <t>2002-16</t>
  </si>
  <si>
    <t>https://drive.google.com/file/d/167x5dPKI8tMSrp_bBsB5tG0r_OWhiVlM/view?usp=drive_link</t>
  </si>
  <si>
    <t>Entrepreneurial Awareness/Appreciation Course for ICC Council Members of DOST</t>
  </si>
  <si>
    <t>TAPI-DTTC                                                                                                                                                                                                                                                                                         Passion for Perfection</t>
  </si>
  <si>
    <t>2002-17</t>
  </si>
  <si>
    <t>https://drive.google.com/file/d/1sV6qNZE8KsarB03YUuMfrULpkJURSceA/view?usp=drive_link</t>
  </si>
  <si>
    <t>Consultation-Workshop Series on Technology Transfer and Commercialization</t>
  </si>
  <si>
    <t>DOST PCARRD</t>
  </si>
  <si>
    <t>2002-18</t>
  </si>
  <si>
    <t>https://drive.google.com/file/d/1LpWxlOQ--2HmFblwz210PHvjDR8q0rve/view?usp=drive_link</t>
  </si>
  <si>
    <r>
      <rPr>
        <b/>
        <sz val="10"/>
        <color theme="1"/>
        <rFont val="Arial"/>
      </rPr>
      <t xml:space="preserve">MPEX Engagements                                                                                                                                                                                                                                                                                                                                                             </t>
    </r>
    <r>
      <rPr>
        <sz val="10"/>
        <color theme="1"/>
        <rFont val="Arial"/>
      </rPr>
      <t xml:space="preserve">Motor Vehicle Parts Manufacturers Association of the Philippines ( MVPMAP) - 2nd Engagement (12 firms for 12 Contracts)                                                                                                                                                                                                   Region X (16 firms for 14.5 contracts)                                                                                                                                                                                                                                                                                                                                           Ilocos Sur (10 firms for 9 Contracts)                                     </t>
    </r>
  </si>
  <si>
    <t>Covenant Consultants, Inc.                                                                                                                                                                                                                                                       Region X                                                                                                                                                                                                                                                                   Covenant Consultants, Inc.</t>
  </si>
  <si>
    <t>176, 888.94 (DOST-GIA)
321, 591. 06 (TAPI-GIA)
614, 075.00 ( STPM funds)
381, 150.00 (TAPI-GIA)</t>
  </si>
  <si>
    <t>2002-19</t>
  </si>
  <si>
    <t>https://drive.google.com/file/d/17KAzEVevL4jRB86bkCxEzomMNgtwfpr3/view?usp=drive_link</t>
  </si>
  <si>
    <t>Upgrading/Expansion of Facilities of the Regional Testing and Analytical Laboratory of Region I</t>
  </si>
  <si>
    <t>502, 434.40</t>
  </si>
  <si>
    <t>2002-20</t>
  </si>
  <si>
    <t>https://drive.google.com/file/d/1rz09nmHH9OzT6ySX0zGgfIOBFCuGC27_/view?usp=drive_link</t>
  </si>
  <si>
    <t>Crepe Rubber Production</t>
  </si>
  <si>
    <t>Engr. Rodolfo T. Yecyec                                                                                                                                                                                                                                     Chairnman                                                                                                                                                                                                                                                         FABECO</t>
  </si>
  <si>
    <t>2002-21</t>
  </si>
  <si>
    <t>https://drive.google.com/file/d/1oZSBp37crhBJi8ZQp9JPqDTssUs09Sdo/view?usp=drive_link</t>
  </si>
  <si>
    <r>
      <rPr>
        <b/>
        <sz val="10"/>
        <color theme="1"/>
        <rFont val="Arial"/>
      </rPr>
      <t xml:space="preserve">Industrial Design                                                                                                                                                                                                                                                                                                                                                                        </t>
    </r>
    <r>
      <rPr>
        <sz val="10"/>
        <color theme="1"/>
        <rFont val="Arial"/>
      </rPr>
      <t xml:space="preserve">Expanded Housing Unit                                                                                                                                                                                                                                                                                                                                                             A Housing Unit                                                                                                                                                                                                                                                                                                                                                                                             A Prefabricated Housing Unit                                                                                                                                                                                                                                                                                                                                                                              A Wall Panel, Fences and the Like                                                                                                                                                                                                                                                                                                                                                 </t>
    </r>
    <r>
      <rPr>
        <b/>
        <sz val="10"/>
        <color theme="1"/>
        <rFont val="Arial"/>
      </rPr>
      <t>Utility Model</t>
    </r>
    <r>
      <rPr>
        <sz val="10"/>
        <color theme="1"/>
        <rFont val="Arial"/>
      </rPr>
      <t xml:space="preserve">                                                                                                                                                                                                                                                                                                                                                                                  Interlocking Roofing Tile                                                                                                                                                                                                                                                                                                                                                               Reinforced Prefabricated Concrete Post Column and the Like                                                                                                                                                                                                                                                                                          Reinforced Prefabricated Concrete Tie Beams and the Like                       </t>
    </r>
  </si>
  <si>
    <t>Edgardo G. Vazquez</t>
  </si>
  <si>
    <t>2002-22</t>
  </si>
  <si>
    <t>https://drive.google.com/file/d/1Fp18r6im77iO39EcKCP1QrH7G8vMUZuq/view?usp=drive_link</t>
  </si>
  <si>
    <t>2002-23</t>
  </si>
  <si>
    <t>https://drive.google.com/file/d/15FrBQijA3WQ75pQd-HqwqvwTM4Q_tG3_/view?usp=drive_link</t>
  </si>
  <si>
    <t>Investment Fora on Applicable Technologies in the Furniture, Food Processing and Natural Fibers Sectors</t>
  </si>
  <si>
    <t>93, 869.00</t>
  </si>
  <si>
    <t>2002-24</t>
  </si>
  <si>
    <t>https://drive.google.com/file/d/1luiO0dD8Fct7f1MtYH4afJWpIlC_uoWl/view?usp=drive_link</t>
  </si>
  <si>
    <t xml:space="preserve">Trainers' Training on Cleaner Production Technology Assessment (Ecoprofit Trainers' Training) </t>
  </si>
  <si>
    <t>DOST-X</t>
  </si>
  <si>
    <t>2002-25</t>
  </si>
  <si>
    <t>https://drive.google.com/file/d/12yEebx2zv15Gj_GhdlV_csSM4cQlZoIK/view?usp=drive_link</t>
  </si>
  <si>
    <t>Manolo Fortich Multipurpose Cooperative</t>
  </si>
  <si>
    <t>2002-26</t>
  </si>
  <si>
    <t>https://drive.google.com/file/d/15Nf4OGA3si6HjQvd95bl7s7E_CkMKXz4/view?usp=drive_link</t>
  </si>
  <si>
    <t>A Study of Mango Information Network (MIN) as a sustainable B2B E-Commerce Facility</t>
  </si>
  <si>
    <t>DOST- PCARRD</t>
  </si>
  <si>
    <t>177, 250.00</t>
  </si>
  <si>
    <t>2002-27</t>
  </si>
  <si>
    <t>https://drive.google.com/file/d/1zsZXcGvi0bqhydHqk8duALCZVhr4Ejpl/view?usp=drive_link</t>
  </si>
  <si>
    <t xml:space="preserve">Investment Forum- DOST Northern Luzon Cluster S&amp;T Fair </t>
  </si>
  <si>
    <t>Carig Sur, Tuguegarao City, Cagayan</t>
  </si>
  <si>
    <t>2002-28</t>
  </si>
  <si>
    <t>https://drive.google.com/file/d/1t9G1Xyo-rJBnQxAw0X81tJvzVwmp6rpI/view?usp=drive_link</t>
  </si>
  <si>
    <t>Manufacture and Production of Magic Puzzle and Match Basic Facts Mastery Device</t>
  </si>
  <si>
    <t>Rodrigo Evano</t>
  </si>
  <si>
    <t>2002-29</t>
  </si>
  <si>
    <t>https://drive.google.com/file/d/1QSmy-em7RWpUmHh4dS9k8SkGs6x1jmcD/view?usp=drive_link</t>
  </si>
  <si>
    <t>CAPE Project in Misamis Oriental</t>
  </si>
  <si>
    <t>Prof. Valeriano L. Corre, Jr.                                                                                                                                                                                                                                Ms. Rosy L. Janeo                                                                                                                                                                                                                                             UPVFI</t>
  </si>
  <si>
    <t>2002-30</t>
  </si>
  <si>
    <t>https://drive.google.com/file/d/15StpMbymI5umQx05MrFrpDkfbB2rA13S/view?usp=drive_link</t>
  </si>
  <si>
    <t>Gas safety Device with Adjustable Flow Control and Adaptor</t>
  </si>
  <si>
    <t>Arquilio Y. Melano</t>
  </si>
  <si>
    <t xml:space="preserve">Male </t>
  </si>
  <si>
    <t>2002-31</t>
  </si>
  <si>
    <t>https://drive.google.com/file/d/11BhqsOEHh5CWY-6t0B4GPvem_cevcfmi/view?usp=drive_link</t>
  </si>
  <si>
    <t>Noded Implementation of CAPE in Region II</t>
  </si>
  <si>
    <t>725, 809.40</t>
  </si>
  <si>
    <t>2002-32</t>
  </si>
  <si>
    <t>https://drive.google.com/file/d/1LF99rImHIDdmjSke6oFwuDNrmPIzYBrh/view?usp=drive_link</t>
  </si>
  <si>
    <t>San Antonio De Padua College                                                                                Marcus Argo-Industrial School                                                                                            Ilocos Sur Polytechnic State College</t>
  </si>
  <si>
    <t xml:space="preserve">Pila, Laguna                                                                               Marcus, Ilocos Norte                                                                                            Sta. Maria,Ilocos Sur </t>
  </si>
  <si>
    <t xml:space="preserve">Region V-A                                                                              Region I                                                                                            </t>
  </si>
  <si>
    <t>2002-33</t>
  </si>
  <si>
    <t>https://drive.google.com/file/d/1WyI4XZgowAgjOvJ2-wuKhYtd62Grcxc0/view?usp=drive_link</t>
  </si>
  <si>
    <t>Kuya Henry's Vegetarian Bakeshop</t>
  </si>
  <si>
    <t xml:space="preserve">Mr. Henry C. Penaflor c/o Camarines Sur State Agricultural College (CSSAC) </t>
  </si>
  <si>
    <t>San Jose, Pili, Cam sur</t>
  </si>
  <si>
    <t>90, 068.00</t>
  </si>
  <si>
    <t>2002-34</t>
  </si>
  <si>
    <t>https://drive.google.com/file/d/1dKU6o9oEU5kltgvHiuc0rSdic05y_VmS/view?usp=drive_link</t>
  </si>
  <si>
    <t>STEAM-DATBED Program at Partido State University</t>
  </si>
  <si>
    <t>Partido State University</t>
  </si>
  <si>
    <t>San Juan Evangelista St, Goa, Camarines Sur</t>
  </si>
  <si>
    <t>141, 375</t>
  </si>
  <si>
    <t>2002-35</t>
  </si>
  <si>
    <t>https://drive.google.com/file/d/1SBcBG3dl0ehU2AXlHILg_tacUpSDAX4X/view?usp=drive_link</t>
  </si>
  <si>
    <t>Sponsorship of Prizes to IPO's 2nd Nationwide Essay Writing Contest on Itellectual Property Rights</t>
  </si>
  <si>
    <t>Intellectual Property Office</t>
  </si>
  <si>
    <t>2002-36</t>
  </si>
  <si>
    <t>https://drive.google.com/file/d/1i6vNdGJrQ-e8ygYrAsozz8bTi_aBk1dG/view?usp=drive_link</t>
  </si>
  <si>
    <t>Case Writing for Successful Interventions of DOST Agencies and Regional Offices in Agriculture and Industry Sectors III</t>
  </si>
  <si>
    <t>Involves the preparation and publication/ printing of 12 case stories of successful interventions of DOST Agencies and Regional Office covering a six (6) month engagement period</t>
  </si>
  <si>
    <t>SEARCA Regional Center for Graduate Study and Research in Agriculture</t>
  </si>
  <si>
    <t>504, 759</t>
  </si>
  <si>
    <t>2002-37</t>
  </si>
  <si>
    <t>https://drive.google.com/file/d/1dmINW07Y_qnjfKeCnzTGEibMCqD_YlaO/view?usp=drive_link</t>
  </si>
  <si>
    <t>An Improved AC to DC Converter Circuit (UM 2-1998-00330)</t>
  </si>
  <si>
    <t>Ramon I.Castillo</t>
  </si>
  <si>
    <t>2002-38</t>
  </si>
  <si>
    <t>https://drive.google.com/file/d/1mTKENAjNlu38k4f8UtRoqxHJK2Hdj4GP/view?usp=drive_link</t>
  </si>
  <si>
    <t>BEENET 8th Annual Conference and Techno Fora (Printing of Prospectus)</t>
  </si>
  <si>
    <t>Dr. Cleofas R. Cervancia                                                                                                                                                                                                                                         Secretary                                                                                                                                                                                                                                                           BEENET Philippines</t>
  </si>
  <si>
    <t>BEENET Philippines</t>
  </si>
  <si>
    <t>2002-39</t>
  </si>
  <si>
    <t>https://drive.google.com/file/d/1bxJfLGUyhwiJmY_CkaoGHMba0INUsSdG/view?usp=drive_link</t>
  </si>
  <si>
    <t>Region I STEAM- MSTAP (Phase II)</t>
  </si>
  <si>
    <t>San Fernando, La Union</t>
  </si>
  <si>
    <t>1,046, 866</t>
  </si>
  <si>
    <t>2002-40</t>
  </si>
  <si>
    <t>https://drive.google.com/file/d/1EAMu_YdNfcH-Ga-OreP_RzmXk9I9WoPx/view?usp=drive_link</t>
  </si>
  <si>
    <t>DOST Pharamceutical Industry Dialouge/Forum</t>
  </si>
  <si>
    <t>PCHRD</t>
  </si>
  <si>
    <t>2002-41</t>
  </si>
  <si>
    <t>https://drive.google.com/file/d/15dDazTqOrtd9iA0FmBa2qrs8LdECfBnc/view?usp=drive_link</t>
  </si>
  <si>
    <t>Printing of Manuals for "Long Distance Transport of Adult Milkfish Chanos Chanos: The Philippine Experience" "Milkfish Broodstock Management and Fry Production in Tanks"</t>
  </si>
  <si>
    <t>PCMARD</t>
  </si>
  <si>
    <t>103, 500</t>
  </si>
  <si>
    <t>2002-42</t>
  </si>
  <si>
    <t>https://drive.google.com/file/d/1fqPmeADIwuumw9jTTHh8oxeoOaYbJwD1/view?usp=drive_link</t>
  </si>
  <si>
    <t xml:space="preserve">Hog Fattening and Slaughtering (Ms. Monina Llame)                                                                                                                                                                                 Hog Fattening and Slaughtering ( Ms. Ailene Fernandez)                                                                                                                                                                                       Hog Fattening and Slaughtering ( Mr. Sherwin Roperez)                                                                                                                                                                                     Swine Fattening &amp; Broiler Production ( Mr. John Jenniefer Senido)                                                                                                                                                                      Swine Fattening and Slaughtering-Broiler Production (Mr. Romar Juacalla)                                                                                                                                                         J.E.M Integrated Enterprise (Ms. Emily Canillo)                                                                                                                                                                                                           Aquaculture ( MIlkfish) ( Ms. Nimfa Piguerra)                                                                                                                                                                                                          Crab Fattening ( Ms. Merly Pitogo)                  </t>
  </si>
  <si>
    <t>Sitio Amao Brgy. Silangang Malicboy, AH26, Bayan ng Pagbilao, Quezon</t>
  </si>
  <si>
    <r>
      <rPr>
        <sz val="10"/>
        <color theme="1"/>
        <rFont val="Arial"/>
      </rPr>
      <t xml:space="preserve">12,917.00
8,630.50
8,929.50
12,041.00
25,555.50
35,188.00 
24,266.50
28,010.00
</t>
    </r>
    <r>
      <rPr>
        <b/>
        <sz val="10"/>
        <color theme="1"/>
        <rFont val="Arial"/>
      </rPr>
      <t>Total: 155,538.00</t>
    </r>
  </si>
  <si>
    <t xml:space="preserve">2002-43 </t>
  </si>
  <si>
    <t>https://drive.google.com/file/d/1XB6WQXlTqkdf21GNq89AZXNMiqgiz3g1/view?usp=drive_link</t>
  </si>
  <si>
    <t>CAPE Project in Negros Occidental (3 clusters)</t>
  </si>
  <si>
    <t>Carlos A. Gatuslao                                                                                                                           Chairman of the Board                                                                                                                          NPPMCI</t>
  </si>
  <si>
    <t>198, 101.00</t>
  </si>
  <si>
    <t>2002-44</t>
  </si>
  <si>
    <t>https://drive.google.com/file/d/143kXRr5Z8A4Kk1M0T0Jg5M14M6mkJaZi/view?usp=drive_link</t>
  </si>
  <si>
    <r>
      <rPr>
        <sz val="10"/>
        <color rgb="FF000000"/>
        <rFont val="Roboto"/>
      </rPr>
      <t xml:space="preserve">Major Island Fora </t>
    </r>
    <r>
      <rPr>
        <b/>
        <sz val="10"/>
        <color rgb="FF000000"/>
        <rFont val="Roboto"/>
      </rPr>
      <t>(LUZON A</t>
    </r>
    <r>
      <rPr>
        <sz val="10"/>
        <color rgb="FF000000"/>
        <rFont val="Roboto"/>
      </rPr>
      <t>) (Focusing on Mango Industry)                                                                                                                                                                  MMSU, Batac, Ilocos Norte</t>
    </r>
  </si>
  <si>
    <t>PCARRD-DOST</t>
  </si>
  <si>
    <t>2002-45</t>
  </si>
  <si>
    <t>https://drive.google.com/file/d/1vjOiLnM0S35GaxkH3q4wGn5U6vge-NmR/view?usp=drive_link</t>
  </si>
  <si>
    <r>
      <rPr>
        <b/>
        <sz val="10"/>
        <color rgb="FF000000"/>
        <rFont val="Roboto"/>
      </rPr>
      <t xml:space="preserve">Prototype Development Assistance to FEATI University   </t>
    </r>
    <r>
      <rPr>
        <sz val="10"/>
        <color rgb="FF000000"/>
        <rFont val="Roboto"/>
      </rPr>
      <t xml:space="preserve">                                                                                                                                                                  1. Multiple Wire Tester (MWT)                                                                                                                                                                                                                         2. Artificial Security Intelligent Device (ASID)                                                                                                                                                                                          3. Automatic Light Activator Switch (ALAS)</t>
    </r>
  </si>
  <si>
    <t xml:space="preserve">Engr. Elizabeth R. Rivera                                                                                                                   Mr. Fred T. Gantalao </t>
  </si>
  <si>
    <r>
      <rPr>
        <sz val="10"/>
        <color theme="1"/>
        <rFont val="Arial"/>
      </rPr>
      <t xml:space="preserve">409.00
5,153.25
787.00 
</t>
    </r>
    <r>
      <rPr>
        <b/>
        <sz val="10"/>
        <color theme="1"/>
        <rFont val="Arial"/>
      </rPr>
      <t>Total: 6,350.25</t>
    </r>
  </si>
  <si>
    <t>2002-46</t>
  </si>
  <si>
    <t>https://drive.google.com/file/d/1XZuKMdLSfGg3ebqLwhwRqc1N1-_EXkxw/view?usp=drive_link</t>
  </si>
  <si>
    <r>
      <rPr>
        <b/>
        <sz val="10"/>
        <color theme="1"/>
        <rFont val="Arial"/>
      </rPr>
      <t xml:space="preserve">"Sagip Estero: Rehabilitation, Beautification and Transformation of Estero De Balete, A National Concern"                                                         </t>
    </r>
    <r>
      <rPr>
        <sz val="10"/>
        <color theme="1"/>
        <rFont val="Arial"/>
      </rPr>
      <t>1. Design, Development and Fabrication of an "Estero Portable Banca"                                                                                                                              2. Combined Wind Driven Aerator and Electric Generating Device</t>
    </r>
  </si>
  <si>
    <t xml:space="preserve">ADAMSON University </t>
  </si>
  <si>
    <t>San Marcelino, Ermita Manila</t>
  </si>
  <si>
    <r>
      <rPr>
        <sz val="10"/>
        <color theme="1"/>
        <rFont val="Arial"/>
      </rPr>
      <t xml:space="preserve">90,260.00
90,150.00
</t>
    </r>
    <r>
      <rPr>
        <b/>
        <sz val="10"/>
        <color theme="1"/>
        <rFont val="Arial"/>
      </rPr>
      <t>Total: P 180, 410.00</t>
    </r>
  </si>
  <si>
    <t>2002-47</t>
  </si>
  <si>
    <t>https://drive.google.com/file/d/1PA2e0aiLuihibCYRAGTA5B7Eq8pNUZ_v/view?usp=drive_link</t>
  </si>
  <si>
    <t xml:space="preserve">Canned Laing and Bicol express Prodution Expansion </t>
  </si>
  <si>
    <t>Moonbake, Inc.                                                                                                                                    Mr. Rufino R. Manrique. Jr.                                                                                                             President</t>
  </si>
  <si>
    <t>#14 Langka Street, Golden Acres Subdivision, Talon Uno Las Pinas City Philippines</t>
  </si>
  <si>
    <t>1,640, 795.00</t>
  </si>
  <si>
    <t>2002-48</t>
  </si>
  <si>
    <t>https://drive.google.com/file/d/19y_8k2rVpNLLuIcSeJeoy-T3k2ZjNs2O/view?usp=drive_link</t>
  </si>
  <si>
    <t>Rolodge Rice Technology and Commercialization</t>
  </si>
  <si>
    <t>Torre Calendacion Foundation, Inc.                                                                                                Mr. Alfredo N. Calendacion                                                                                                                 Founding Chairman</t>
  </si>
  <si>
    <t>Purok 4 Block 4 Mapanuri St. Secondary Rd. Lupang Arenda Brgy, Taytay</t>
  </si>
  <si>
    <t>405, 829.50</t>
  </si>
  <si>
    <t>2002-49</t>
  </si>
  <si>
    <t>https://drive.google.com/file/d/1A3Kfd9Z42B9yCtNeKdADtdzhjmg0B68S/view?usp=drive_link</t>
  </si>
  <si>
    <t>Ilocos Sur (10 firms for 9 Contracts)</t>
  </si>
  <si>
    <t>Agro-Industrial Management and Consultancy, Inc.                                                                       Mr. Eduardo R. Magtoto                                                                                                               President</t>
  </si>
  <si>
    <t>1167 CLF1 Bldg. Chino Roces, Makati City, Metro Manila</t>
  </si>
  <si>
    <t>381, 150 (TAPI-GIA)</t>
  </si>
  <si>
    <t>2002-50</t>
  </si>
  <si>
    <t>https://drive.google.com/file/d/1lElJT1BBDnfl7Vdzkj7EcIR0RYczhJmK/view?usp=drive_link</t>
  </si>
  <si>
    <t>*Installation of a Furnace Type Lumber Dryer                                                                                                                                                                        * Installation of Common Service Woodworking Equipment for the Subcontractors of MODS S.A Phils.</t>
  </si>
  <si>
    <t>* Rosamante L. Reyes                                                                                                                   Furniture Shop                                                                                                                               * MODS S.A  Phils., Inc.</t>
  </si>
  <si>
    <t>Ilocos Sur
Cebu City</t>
  </si>
  <si>
    <t>250,000
243,000</t>
  </si>
  <si>
    <t>2002-51</t>
  </si>
  <si>
    <t>https://drive.google.com/file/d/1rUMKpbhdeR8BSNgqARHcoNP6rrsUmY6U/view?usp=drive_link</t>
  </si>
  <si>
    <t xml:space="preserve">Mass Production of Multi-Purpose Squeezer </t>
  </si>
  <si>
    <t>Mr. Remigio M. Ballon</t>
  </si>
  <si>
    <t>Matacon, Polangui, Albay</t>
  </si>
  <si>
    <t>108,600</t>
  </si>
  <si>
    <t>2002-52</t>
  </si>
  <si>
    <t>https://drive.google.com/file/d/1RWRJNJEra3SQ5787_FvJqbKvE4QPzEKn/view?usp=drive_link</t>
  </si>
  <si>
    <t>Printing of Brochures/Literatures for the 2nd Mindanao Information and Communication Technology                                                                               Congress / BIMP-EAGA Interconnection</t>
  </si>
  <si>
    <t>2002-53</t>
  </si>
  <si>
    <t>https://drive.google.com/file/d/1GuYhToDGi_61oB5fcrO2DIpf9L0SqapV/view?usp=drive_link</t>
  </si>
  <si>
    <t>Ilocos Sur (10 firms for 10 Contracts)</t>
  </si>
  <si>
    <t>Agro-Industrial Management and Consultancy, Inc.                                                                       Dr. Eduardo R. Magtoto                                                                                                               President</t>
  </si>
  <si>
    <t>2002-55</t>
  </si>
  <si>
    <t>https://drive.google.com/file/d/1xPUaQ7pm17Xs-sXzf3lxMSlpEwSWnYXk/view?usp=drive_link</t>
  </si>
  <si>
    <t>Seoul International Invention Fair and WIPO -IFIA International Symposium on Commercialization of Inventions in the Global Market                              Seoul Korea 04-08 December 2002</t>
  </si>
  <si>
    <t xml:space="preserve">Dr. Virgilio L. Malang                                                                                                                                                                                                                                                                                     </t>
  </si>
  <si>
    <t>401 (Plane Fair)
800 (Booth Rental)</t>
  </si>
  <si>
    <t>2002-56</t>
  </si>
  <si>
    <t>https://drive.google.com/file/d/1lkH3MFVwQy6uG8bWqTr7n2LzobttkMsi/view?usp=drive_link</t>
  </si>
  <si>
    <t xml:space="preserve">Nationa Inventors Week (NIW) </t>
  </si>
  <si>
    <t>Taft Centrate Exchange Mall, Pasay City</t>
  </si>
  <si>
    <t>4,456, 133.25</t>
  </si>
  <si>
    <t>2002-57</t>
  </si>
  <si>
    <t>https://drive.google.com/file/d/1Wgxc4-S-dIjW5PGC5QYlHMGH9RbswsDi/view?usp=drive_link</t>
  </si>
  <si>
    <t>2002-58</t>
  </si>
  <si>
    <t>https://drive.google.com/file/d/1xce72dLG3eIus511BG4z9yHwYZNX-9Wx/view?usp=drive_link</t>
  </si>
  <si>
    <t xml:space="preserve">United Coconut Planters Bank                                                                                                                                                                                                         c/o Ms. Karen V. Ramos                                                                                                                                                                                                                   VP-Asset Management Group                                                                        </t>
  </si>
  <si>
    <t>2002-61</t>
  </si>
  <si>
    <t>https://drive.google.com/file/d/1NzYu7CSYvAcifuUA5yrcQYjIhoBA-r2H/view?usp=drive_link</t>
  </si>
  <si>
    <t>Preparation of an Industry Study: Assessment of the Status and Problems of the Phiilippine Handicraft Industry</t>
  </si>
  <si>
    <t>SEAMEO Regional Center for Graduate Study and Research in Agriculture ( SEARCA)</t>
  </si>
  <si>
    <t>2002-62</t>
  </si>
  <si>
    <t>https://drive.google.com/file/d/1KV3BSrjFkW6SEeAYgCWZg4-MUMRhDqdp/view?usp=drive_link</t>
  </si>
  <si>
    <t xml:space="preserve">Avecon Steel Truss                                                                                                                                                                                                             Rapid Filtration System                                                                                                                                                                                                        Device for Harnessing Energy from Ocean Waves </t>
  </si>
  <si>
    <t>Romualdo M. Alignay                                                                                                                      Ernesto A. Labuntog                                                                                                                         Alfredo E. Beralde</t>
  </si>
  <si>
    <r>
      <rPr>
        <sz val="10"/>
        <color theme="1"/>
        <rFont val="Arial"/>
      </rPr>
      <t xml:space="preserve">10,786.75
10,786.75
10,786.75
</t>
    </r>
    <r>
      <rPr>
        <b/>
        <sz val="10"/>
        <color theme="1"/>
        <rFont val="Arial"/>
      </rPr>
      <t>Total: P 32,360.25</t>
    </r>
  </si>
  <si>
    <t>2002-63</t>
  </si>
  <si>
    <t>https://drive.google.com/file/d/15t54UoFgSJH7efGF2NPCI0nfLyinaPJj/view?usp=drive_link</t>
  </si>
  <si>
    <t xml:space="preserve">Fabrication and Commercialization of Ergonomic Comfort Room Handle </t>
  </si>
  <si>
    <t>Mr. Pablo M.Tejada c/o BU,Legazpi City</t>
  </si>
  <si>
    <t>2002- 64</t>
  </si>
  <si>
    <t>https://drive.google.com/file/d/1oK662uPcrtPd3gijevdRjtq4QNw4KW9w/view?usp=drive_link</t>
  </si>
  <si>
    <t xml:space="preserve">A Knock Down Type Sidecar Bicycles and the Like </t>
  </si>
  <si>
    <t>Ms. Adela R. Magdaraog</t>
  </si>
  <si>
    <t>2002-65</t>
  </si>
  <si>
    <t>https://drive.google.com/file/d/1ojPOM_-JorpbmCid-igmO4bB6tlabtGW/view?usp=drive_link</t>
  </si>
  <si>
    <t>*Improvement of Production System of Calamansi Concentrate                                                                                                                                            * Common Service Facility for Fish Drying and Packaging</t>
  </si>
  <si>
    <t>400,000
400,000</t>
  </si>
  <si>
    <t>2002-66</t>
  </si>
  <si>
    <t>https://drive.google.com/file/d/1Rjirjb8Jt9hmRZnVkpsRg85hzQpfxeAI/view?usp=drive_link</t>
  </si>
  <si>
    <t>A Mini Fire Truck</t>
  </si>
  <si>
    <t>Ms. Teofista A. Anos</t>
  </si>
  <si>
    <t>2002-68</t>
  </si>
  <si>
    <t xml:space="preserve">Realignment of Project Line-Item Budget </t>
  </si>
  <si>
    <t>https://drive.google.com/file/d/1DQLnaUEPjUidnWcUY7KtwBa41unyNIwr/view?usp=drive_link</t>
  </si>
  <si>
    <t>Development of an Internet-Based S&amp;T Projects and Sevices Information System for the Visayas Cluster - Phase 1</t>
  </si>
  <si>
    <t xml:space="preserve">DOST- VII </t>
  </si>
  <si>
    <t>2002-69</t>
  </si>
  <si>
    <t>Deferment of Payment of Tapi Financial Assistance</t>
  </si>
  <si>
    <t>https://drive.google.com/file/d/1ipFMyVXzfw4_QLs70C8oFaKpqUJ3rLPX/view?usp=drive_link</t>
  </si>
  <si>
    <t>Upgrading the Production of Silver Jewelry in Baguio City</t>
  </si>
  <si>
    <t>Ms. Elizabeth V. Galuba</t>
  </si>
  <si>
    <t>2002-70</t>
  </si>
  <si>
    <t>Realignment of Project Line-Item Budget</t>
  </si>
  <si>
    <t>https://drive.google.com/file/d/1pXCvYi6feglKUDI8gGzCr3f1oi1TdPPZ/view?usp=drive_link</t>
  </si>
  <si>
    <t xml:space="preserve">Upgrading of DOST-X's Standards and Testing Services in support to the Competitiveness of the Manufacturing and Service Industries in Northern Mindanao </t>
  </si>
  <si>
    <t xml:space="preserve">DOST X </t>
  </si>
  <si>
    <t>2002-71</t>
  </si>
  <si>
    <t>https://drive.google.com/file/d/1scthhQEbDpHJvap4rkl9umbu2sO2rKuP/view?usp=drive_link</t>
  </si>
  <si>
    <t xml:space="preserve">Tropical Bounty Foods                                                                                                                         c/o Ms. Cielo de Pedro                                                                                                                     General Manager                                                                                                                               </t>
  </si>
  <si>
    <t>Miramonte Heights, Amparo Subd., Caloocan City</t>
  </si>
  <si>
    <t>2002-72</t>
  </si>
  <si>
    <t>https://drive.google.com/file/d/1nD0_lGCgGA4HFmRBj-1nuLzuFZfn9jZt/view?usp=drive_link</t>
  </si>
  <si>
    <t xml:space="preserve">Grain Harvester Stripper Machine </t>
  </si>
  <si>
    <t xml:space="preserve">Mr. Amado Arevalo </t>
  </si>
  <si>
    <t>Sta. Cruz Manila</t>
  </si>
  <si>
    <t>2002-73</t>
  </si>
  <si>
    <t>https://drive.google.com/file/d/1AUXmLx8KHr9AVBqglvZPdDLXLNF7HGzY/view?usp=drive_link</t>
  </si>
  <si>
    <t>Clinical Studies and Promotion of Banaba Tea</t>
  </si>
  <si>
    <t>DTI- CITEM</t>
  </si>
  <si>
    <t>2002-74</t>
  </si>
  <si>
    <t>Converting Part of The Loan into a Grant</t>
  </si>
  <si>
    <t>https://drive.google.com/file/d/1n0W_TwVWnp9ZtgBrjW09ZwxFoot8JUVq/view?usp=drive_link</t>
  </si>
  <si>
    <t>Bongao Seaweeds Nursery</t>
  </si>
  <si>
    <t xml:space="preserve">AMIER- BSFA </t>
  </si>
  <si>
    <t>Bongao, Tawi-Tawi</t>
  </si>
  <si>
    <t>2002-75</t>
  </si>
  <si>
    <t>https://drive.google.com/file/d/1R1eVnf17ezE0LIqADzWcBK2U3SIhkkx4/view?usp=drive_link</t>
  </si>
  <si>
    <t>* CAPE Project in Gonzaga, Cagayan                                                                                                                                                                                   * CAPE Project in Region IX                                                                                                                                                                                                   * CAPE Project in Region X</t>
  </si>
  <si>
    <t>Mr. Hermogenes S. Tambalque III c/o DOST II
DOST Region IX
DOST Region X</t>
  </si>
  <si>
    <t>Tuguegarao, Cagayan
Zamboanga City
Cagayan De Oro City</t>
  </si>
  <si>
    <t>122,550 (CAPE DOST-GIA)
 398, 988 (CAPE-STPM)
600, 387 (CAPE-STPM)</t>
  </si>
  <si>
    <t>Region II                                                                  Region IX                                                                Region X</t>
  </si>
  <si>
    <t>2002-76</t>
  </si>
  <si>
    <t>https://drive.google.com/file/d/1DYRfX6aOFsyLKy3dg9uLCtm-FeYRbrDG/view?usp=drive_link</t>
  </si>
  <si>
    <t>Establishment of Lumber Kiln Dryer</t>
  </si>
  <si>
    <t>Mr. Prospero A. Dela Cruz</t>
  </si>
  <si>
    <t>Ilagan, Isabela</t>
  </si>
  <si>
    <t>27,500 (remaining funds for release out of P 550,000)
100,000 (additional funds to buy equipment and to complete fabricated items)</t>
  </si>
  <si>
    <t>2002-77</t>
  </si>
  <si>
    <t>https://drive.google.com/file/d/18nKcg3_gPbHLXxQkJZEMUmQABGt0AGSO/view?usp=drive_link</t>
  </si>
  <si>
    <t>Expansion of the Goat Breeding and Livelihood Project</t>
  </si>
  <si>
    <t>Central Luzon State University  c/o Dr. Edgar A. Orden
DOST II</t>
  </si>
  <si>
    <t>Munoz, Nueva Ecija
Tuguegarao, Cagayan</t>
  </si>
  <si>
    <t>2002-78</t>
  </si>
  <si>
    <t>https://drive.google.com/file/d/1iIJ3Vw6l2o74_5ImCRBtxGhjHSrReJSS/view?usp=drive_link</t>
  </si>
  <si>
    <t>Fresh Pork Sausage Production</t>
  </si>
  <si>
    <t>University of Southeastern Philippines
USEP Tagum Campus</t>
  </si>
  <si>
    <t>Tagum City</t>
  </si>
  <si>
    <t>2002-79</t>
  </si>
  <si>
    <t>https://drive.google.com/file/d/1j8LxDJWXPqMdexkquYxg9dMHV3xG9MHU/view?usp=drive_link</t>
  </si>
  <si>
    <t>Enhancement of Laboratory Services to Support Priority Industries in Cavite and Nearby Provinces</t>
  </si>
  <si>
    <t xml:space="preserve">DOST Region IV
Cavite Provincial S&amp;T Center </t>
  </si>
  <si>
    <t>2002-80</t>
  </si>
  <si>
    <t>https://drive.google.com/file/d/1mdDPONWjSAn9sCfxbfV8yOp7vgfPfmYJ/view?usp=drive_link</t>
  </si>
  <si>
    <t>Expansion of Tissue Culture Laboratory and Seedling Nursery for the Promotion and Commercialization og In-Vitro Culture Technology in Region III</t>
  </si>
  <si>
    <t xml:space="preserve">Pampanga Agricultural College </t>
  </si>
  <si>
    <t>2002-81</t>
  </si>
  <si>
    <t>Endorsement of Project Proposal</t>
  </si>
  <si>
    <t>https://drive.google.com/file/d/15virOlSr79YANd0ROK6su4TrrsX4oZKD/view?usp=drive_link</t>
  </si>
  <si>
    <t>Establishment of Mango Nurseries as a Center for Student's Entrepreneurial Training</t>
  </si>
  <si>
    <t xml:space="preserve">Ramon Magsaysay Technological University (RMTU) </t>
  </si>
  <si>
    <t>San Marcelino and Botolan Zambales</t>
  </si>
  <si>
    <t>2002-82</t>
  </si>
  <si>
    <t>https://drive.google.com/file/d/1K_hltnGafpFv8gZu8-OW2JbjP6gnDq4-/view?usp=drive_link</t>
  </si>
  <si>
    <t xml:space="preserve">DOST X (18 firms for 17 Contracts) </t>
  </si>
  <si>
    <t xml:space="preserve"> 614, 075
900,410 (As Amended)</t>
  </si>
  <si>
    <t>2002-84</t>
  </si>
  <si>
    <t>https://drive.google.com/file/d/16yDjmU9o3FxS2jAzfmhUd1OoPMn0bAcK/view?usp=drive_link</t>
  </si>
  <si>
    <t>Fabrication of Prototype Model of SAMZO Multi Purpose Drier</t>
  </si>
  <si>
    <t>Samuel T. Guintos</t>
  </si>
  <si>
    <t>Negros Occidental</t>
  </si>
  <si>
    <t>73, 500</t>
  </si>
  <si>
    <t>2002-85</t>
  </si>
  <si>
    <t>https://drive.google.com/file/d/1SbzSzOwV0MIYrR7NDvGMDty7IEj6bUZq/view?usp=drive_link</t>
  </si>
  <si>
    <t>Portal Document Format (PDF) Data Conversion Project of MPEX Reports</t>
  </si>
  <si>
    <t>Central Visayas Information Sharing Network ( CVISNet) Foundation, Inc.</t>
  </si>
  <si>
    <t>Room 304/3F, Long Se Dy Building, Jasmin St, Osmeña Blvd, Cebu City, 6000 Cebu</t>
  </si>
  <si>
    <t>2002-87</t>
  </si>
  <si>
    <t>Endorsement of Travel Request To Screening Committee For RA 7459</t>
  </si>
  <si>
    <t>https://drive.google.com/file/d/1_0N_BtTzO10z1modQ3EDEInwQ-t-1HUg/view?usp=drive_link</t>
  </si>
  <si>
    <t>Seoul International Invention Fair,Korea</t>
  </si>
  <si>
    <t>Rolando C. Dela Cruz
President
RCC Amazing Touch, Int'L</t>
  </si>
  <si>
    <t>SM City-Cebu, Juan Luna Extension Avenue, Cebu City, Cebu</t>
  </si>
  <si>
    <t xml:space="preserve">385 (Plane Fare)
800 (Booth Rental)  </t>
  </si>
  <si>
    <t>2002-88 B</t>
  </si>
  <si>
    <t>https://drive.google.com/file/d/1nbB70SlYPRwD3bMkFHSWGqqxB-Iq5ysb/view?usp=drive_link</t>
  </si>
  <si>
    <t>Development of Maguindanao Ethnic Foods</t>
  </si>
  <si>
    <t xml:space="preserve">DOST ARMM </t>
  </si>
  <si>
    <t>534,441
450,000 (amount amended)</t>
  </si>
  <si>
    <t>2002-01-ad referenda</t>
  </si>
  <si>
    <t xml:space="preserve">                                   Ad Referenda  </t>
  </si>
  <si>
    <t>https://drive.google.com/file/d/1IbcTGlsebrZJxDxMop77THtWOZrr2lhJ/view?usp=drive_link</t>
  </si>
  <si>
    <t>2002 Regional Science and Technology Week 22-27 July 2002</t>
  </si>
  <si>
    <t>Request for financial assistance amounting to P220,000.00 for the travelling expenses/accommodation amounting to P20,000, Communication services amounting to P2,000.00, Transportation expenses(rental of vehicle) amounting to P13,000, Other meals and snacks P5,000, and Booth rental and ornamentals amounting to P180,000.00 for a total of P220,000.00.</t>
  </si>
  <si>
    <t xml:space="preserve">Department of Science and Technology Region III Government Center, Maimpis San Fernando City, Pampanga </t>
  </si>
  <si>
    <t xml:space="preserve">Maimpis San Fernando City, Pampanga </t>
  </si>
  <si>
    <t>2002-02-ad referenda</t>
  </si>
  <si>
    <t xml:space="preserve">                                    Ad Referenda </t>
  </si>
  <si>
    <t>https://drive.google.com/file/d/1kyXesiQ6lO2i-2vX03HYO_s20Zh-kpNz/view?usp=drive_link</t>
  </si>
  <si>
    <t>Consultation - Workshop Series on Technology Transfer and Commercialization for the Visayas_Mindanao Cluster 29 July 2002 Cebu Fame Jewelry Center Sudlon, Cebu City</t>
  </si>
  <si>
    <t>Food expenses for the additional 25 participants amounting to P7,000.</t>
  </si>
  <si>
    <t xml:space="preserve">Department of Science and Technology DOST Compound General Santos Avenue Bicutan Taguig City. M.M.
Philippine Council for Agriculture Forestry and Natural Resources, Research and Development </t>
  </si>
  <si>
    <t xml:space="preserve"> DOST Compound General Santos Avenue Bicutan Taguig City. M.M.                                                             Los Banos, Laguna </t>
  </si>
  <si>
    <t>2002-03-ad referenda</t>
  </si>
  <si>
    <t>https://drive.google.com/file/d/1l7oB7KhCphbSTtN84IzCtNsMR2K1rfAk/view?usp=drive_link</t>
  </si>
  <si>
    <t>Technology Forum for the 2002 National Science and Technology Week (NSTW) Celebration in Northern Mindanao 25 July 2002 Cagayan de Oro City</t>
  </si>
  <si>
    <t xml:space="preserve">DOST Region X is requesting for financial assistance amounting to TWENTY NINE THOUSAND PESOS ONLY (P29,000.00) to cover the food expenses for 120 participants for the conduct of Technology Forum on 25 July 2002.
</t>
  </si>
  <si>
    <t xml:space="preserve">Department of Science and Technology Region X
Northern Mindanao Consortium for Agriculture Resources Research and Development </t>
  </si>
  <si>
    <t xml:space="preserve">Carmen, 900 Cagayan de Oro City </t>
  </si>
  <si>
    <t>Allocating Tapi-Gia Funds for CY 2001 Priority Projects</t>
  </si>
  <si>
    <t>https://drive.google.com/file/d/1t5Ey9YfrIn7zHHdPMNyPNNB9O-DvDPxr/view?usp=drive_link</t>
  </si>
  <si>
    <t>Production of Computer Manual/Books</t>
  </si>
  <si>
    <t xml:space="preserve">Antonio Andes, Sr. </t>
  </si>
  <si>
    <t>Andes Mountain Printers, Legazpi City</t>
  </si>
  <si>
    <t>P 600,320</t>
  </si>
  <si>
    <t>Technology</t>
  </si>
  <si>
    <t>https://drive.google.com/file/d/1OQcZ2ywdk8D3bu-2oVAlhjfl2BfTDhex/view?usp=drive_link</t>
  </si>
  <si>
    <t>Rotating Biological Contactor  (RBC) Packed Media Technology
A Chipping and Shredding Machine</t>
  </si>
  <si>
    <t>Jesselito V. Baring
JV Baring Consultants and Allied Services
Alex C. Reyes Jr.
Handy 4 in 1 Inc.</t>
  </si>
  <si>
    <t>Bicutan, Taguig,M.M</t>
  </si>
  <si>
    <t>P 2, 063 ,630( IGF Guarantee Assistance)
Tax Exemptions and Incentives</t>
  </si>
  <si>
    <t>https://drive.google.com/file/d/1ZTttDIMGMLSjXtLXF-7wiOU_jTR_W3Jq/view?usp=drive_link</t>
  </si>
  <si>
    <t xml:space="preserve">Improved Flute </t>
  </si>
  <si>
    <t>Dante U. Ursua
Kingflute Phils., Inc.</t>
  </si>
  <si>
    <t>1842 Calhoun Street corner Evangelista Street, Pio Del Pilar, Makati, 1230 Metro Manila</t>
  </si>
  <si>
    <t>P 9, 201,800</t>
  </si>
  <si>
    <t>https://drive.google.com/file/d/1pfeolUpKnCILyw1AyQSETutHw6_HWQWR/view?usp=drive_link</t>
  </si>
  <si>
    <t>Herbal Products from Philippine Narra Tree</t>
  </si>
  <si>
    <t>Virgilio V. Ecarma
Ecarma Health Options</t>
  </si>
  <si>
    <t>8203 Dr. A. Santos Ave.,. Salvador Estate, Parañaque City,. Metro Manila, Philippines</t>
  </si>
  <si>
    <t>P 2,673, 454</t>
  </si>
  <si>
    <t>https://drive.google.com/file/d/1nBZ1jxkuMTUKNAXcnQ-lf3hrMbsQ5yT2/view?usp=drive_link</t>
  </si>
  <si>
    <t>Expansion of the Satellite Seed Center in Quirino : Irrigation Component</t>
  </si>
  <si>
    <t>PEDAI</t>
  </si>
  <si>
    <t>P 588,842</t>
  </si>
  <si>
    <t>https://drive.google.com/file/d/19zZCOsaxgmnuLBMRTa7qm3JhEb06EpvM/view?usp=drive_link</t>
  </si>
  <si>
    <t>SEARCA-TAPI
Sectoral Consultations Series on key Policy Issues Affecting Agriculture in the Philippines</t>
  </si>
  <si>
    <t xml:space="preserve">SEAMEO
Regional Center for Graduate Study and Research Agriculture </t>
  </si>
  <si>
    <t>Commonwealth Ave, Diliman, Quezon City, Metro Manila</t>
  </si>
  <si>
    <t>P 1,150,000</t>
  </si>
  <si>
    <t>SUMMARY OF APPROVED PROJECTS</t>
  </si>
  <si>
    <r>
      <rPr>
        <b/>
        <sz val="10"/>
        <color theme="1"/>
        <rFont val="Arial"/>
      </rPr>
      <t>IDEATION</t>
    </r>
    <r>
      <rPr>
        <sz val="10"/>
        <color theme="1"/>
        <rFont val="Arial"/>
      </rPr>
      <t xml:space="preserve">
</t>
    </r>
    <r>
      <rPr>
        <i/>
        <sz val="10"/>
        <color theme="1"/>
        <rFont val="Arial"/>
      </rPr>
      <t>(ISP &amp; CONCEPT PROTO)</t>
    </r>
  </si>
  <si>
    <r>
      <rPr>
        <b/>
        <sz val="10"/>
        <color theme="1"/>
        <rFont val="Arial"/>
      </rPr>
      <t>TECHNOLOGY DEVELOPMENT</t>
    </r>
    <r>
      <rPr>
        <sz val="10"/>
        <color theme="1"/>
        <rFont val="Arial"/>
      </rPr>
      <t xml:space="preserve">
</t>
    </r>
    <r>
      <rPr>
        <i/>
        <sz val="10"/>
        <color theme="1"/>
        <rFont val="Arial"/>
      </rPr>
      <t>(IBID,IBED, TESTING)</t>
    </r>
  </si>
  <si>
    <r>
      <rPr>
        <b/>
        <sz val="10"/>
        <color theme="1"/>
        <rFont val="Arial"/>
      </rPr>
      <t>COMMERCIALIZATION</t>
    </r>
    <r>
      <rPr>
        <sz val="10"/>
        <color theme="1"/>
        <rFont val="Arial"/>
      </rPr>
      <t xml:space="preserve">
</t>
    </r>
    <r>
      <rPr>
        <i/>
        <sz val="10"/>
        <color theme="1"/>
        <rFont val="Arial"/>
      </rPr>
      <t>(VFP, DATBED, YET, IBED II, &amp; ITECH)</t>
    </r>
  </si>
  <si>
    <r>
      <rPr>
        <b/>
        <sz val="10"/>
        <color theme="1"/>
        <rFont val="Arial"/>
      </rPr>
      <t xml:space="preserve">PROMOTION
</t>
    </r>
    <r>
      <rPr>
        <i/>
        <sz val="10"/>
        <color theme="1"/>
        <rFont val="Arial"/>
      </rPr>
      <t>(ISTE, PMAP, DTTC/TIFT)</t>
    </r>
  </si>
  <si>
    <t>SUMMARY OF APPROVED PROJECTS PER PROGRAM</t>
  </si>
  <si>
    <t>VENTURE FINANCING</t>
  </si>
  <si>
    <t>DATBED/YET</t>
  </si>
  <si>
    <r>
      <rPr>
        <sz val="10"/>
        <color theme="1"/>
        <rFont val="Arial"/>
      </rPr>
      <t xml:space="preserve">ISTE </t>
    </r>
    <r>
      <rPr>
        <i/>
        <sz val="10"/>
        <color theme="1"/>
        <rFont val="Arial"/>
      </rPr>
      <t>(NICE, RICE, NIW, NSTW, TAPI Participations)</t>
    </r>
  </si>
  <si>
    <t>APPROVED PROJECTS BY REGION</t>
  </si>
  <si>
    <t>4A</t>
  </si>
  <si>
    <t>4B</t>
  </si>
  <si>
    <t>YEAR</t>
  </si>
  <si>
    <t>PROGRAM</t>
  </si>
  <si>
    <t>APPROVAL DATE</t>
  </si>
  <si>
    <t xml:space="preserve">ISTE </t>
  </si>
  <si>
    <t>3,000.00
8,000.00
8,000.00</t>
  </si>
  <si>
    <t xml:space="preserve">The Department of Science and Technology through the Technology Application and Promotion Institute (TAPI) was tasked to implement Republic Act No. 7459 otherwise known as “Inventors and Invention Incentives Act of the Philippines” which provides assistance to Filipino inventors. The NIW serves as a venue for the exchange of ideas and information including facilitation of market opportunities to encourage the generation, promotion and development of Filipino inventive capabilities.  It also features exhibits of inventions and various symposia.
</t>
  </si>
  <si>
    <t>In the era of pandemic, the ILO op-ed pitched the “Better Normal,” while the World Economic Forum`s proposition was “The Great Reset.” How DOST would communicate its programs that will be good enough to change perception, and eventually translate to improved quality of life for the Filipinos` is set against the backdrop of these two pandemic-coined concepts and aspirations – the `better normal` and `great reset.`
Connecting these concepts in promoting the S&amp;T through DOST programs to achieve a “better normal,” previous promotion initiatives need not be abandoned, rather build upon from those previous gains.</t>
  </si>
  <si>
    <t>REGION III</t>
  </si>
  <si>
    <t>DOST-TAPI  Stakeholders' Forum</t>
  </si>
  <si>
    <t>Corporate Communication Unit (CCU) OD, DOST-TAPI</t>
  </si>
  <si>
    <t>DOST-TAPI offers programs of assistance for non-inventor innovators. 
By mounting the Call for Proposals for DOST-TAPI’s technopreneurship programs, ACU-n
seeks to achieve three goals: (1) to establish awareness of DOST-TAPI’s non-inventor
programs; (2) to educate DOST-TAPI’s audience of the requirements for DOST-TAPI’s
non-inventor programs via call conferences, and; (3) to generate proposals for DOST-TAPI’s
non-inventor programs.</t>
  </si>
  <si>
    <t>MAP was created by virtue of DOST-TAPI being the implementing arm of the
Department of Science and Technology (DOST) in promoting the commercialization of
technologies per Executive Order No. 128.
The MAP covers financial and technical assistance to 
implement marketing activities that will asisst in the
commercialization of locally developed technologies.</t>
  </si>
  <si>
    <t>Mr.Cruz request for financial assistance of Fabrication of a Commercial Prototype of the 
UM for "An Improved Roofing Tile" which is distinctively different from his previous UM 
"A Roofing Tile" of the same technology he submitted for IBID Assistance.
The committe recommended to apply his technology first to Concept Prototyping Assistance Program
cosidering the absence of his prototype but has been recommended a financial assistance by 
the IATEC of P199,721.60.</t>
  </si>
  <si>
    <t>Promotion of DOST Technologies and Services and DOST-VII's Programs and Projects in the Celebration of 2022 NSTW in Central Visayas</t>
  </si>
  <si>
    <t>To promote the various DOST agencies in the region and DOST Regional Office VII’s programs, projects, and technical services by highlighting the benefits that can be adopted by applying science and technology to micro-to-medium business operations, disaster mitigation, education, local government units, and non-government organizations.</t>
  </si>
  <si>
    <t>http://gofile.me/4xaew/ZYL6MsOue</t>
  </si>
  <si>
    <t>To develop a compact furniture that can be used by residents living in condomium and
other types of residential abode that have limited square footage.</t>
  </si>
  <si>
    <t xml:space="preserve">The r&amp;d undertaking aims to maximize the full agricultural potential of Samar Island, thereby attaining agricultural sustainability which at the end can revitalize economic productivity, reduce poverty incidence relative to the agricultural sector in the locality, the region, and that of the nation in general.
</t>
  </si>
  <si>
    <t>The objective of the project is to promote science, technology, inventions, innovations,
and protection and commercialization of intellectual properties nationwide. Promote science, technology, inventions, and innovations through the conduct of webinars for identified topics; Showcase the different inventions, research outputs, technologies and innovations submitted as entries for the different categories.To nurture inventive talents of each and every individual to foresee the actual approach towards product creation; To highlight the indispensability of people-oriented, environment-friendly and world-class inventions as tools for progress and sustainable development;
 To provide an avenue for invention development in terms of capability building of inventors through concretized government support.</t>
  </si>
  <si>
    <t>Regio 11</t>
  </si>
  <si>
    <t>To provide financial assistance under Invention-Based Enterprise Development
(IBED-1) Program for the production of “Coloring Chart 2 Type-A and B” with
Registration Number 2019-001151.</t>
  </si>
  <si>
    <t>Region 9</t>
  </si>
  <si>
    <t>To provide financial assistance under the Industry-Based Invention Development
(IBID) Program for the fabrication of the commercial prototype of “Method of
Composting with Automation Features” with Utility Model Registration Number 2-
2022-050394.</t>
  </si>
  <si>
    <t>To provide financial assistance under the Industry-Based Invention Development (IBID)
Program for the fabrication of the commercial prototype of “Bright Lighted Welding
Helmet” with Utility Model Registration Number 2-2021051090.</t>
  </si>
  <si>
    <t>REGION V</t>
  </si>
  <si>
    <t>REGION VII</t>
  </si>
  <si>
    <t xml:space="preserve">Utilization of Pinoy Coco Sorbetes as Base Formulation for Commercial Ice Cream Products of the Bicol Region
</t>
  </si>
  <si>
    <t>NSTW sa Amihanang Mindanao to promote Science and Innovation in Region X</t>
  </si>
  <si>
    <t>Project aims to promote DOST and its major programs and projects, especially in the countryside; Conduct a gender-responsive forum on Talent Retention and Science Education; Digital Technology, Information, and Communication; Business and Trade; Environment and Climate Change; Space Exploration; and others that are deemed necessary to the people of Northern Mindanao. Promote future collaborations and partnerships of institutions from the academe,govemment, and private sectors. Engage MSMEs in the Science and Technology Initiatives and Programs offered by DOST.</t>
  </si>
  <si>
    <t>Development and Testing of the Initial Prototype for the Commercialization of Flamethrower Device as Insects, Pests, Diseases, and Weed Controller</t>
  </si>
  <si>
    <t xml:space="preserve">Mr. Philip G. Chan </t>
  </si>
  <si>
    <t>Financial assistance for the fabrication of one (1) unit of the project Flamethrower Device as Insects, Pests, Disease,and Weed Controller under the Concept Prototyping Program. Whereas the invention aims to control soil-borne thus elimination the use of harmful chemicals such as insecticides, fungicides, and herbicides.</t>
  </si>
  <si>
    <t>Sugar-Free Turmeric Health Lonzenges</t>
  </si>
  <si>
    <t>Ms.Eliza A. De Cadiz</t>
  </si>
  <si>
    <t>B21 IA Apo Highlands Subd., Grande, Davao City, Davao del Sur</t>
  </si>
  <si>
    <t>The DOST-TAPI Executive Committee, during its Meeting on 19 October 2022, resolved to approve the provision of financial assistance for the fabrication of one (1) lot prototype of the project under the Concept Prototyping Program. Ms Eliza A. De Cadiz of B21 IA Apo Highlands Subdivision, Grande, Davao City has submitted a proposal for the project, "Sugar-Free Turmeric Health Lozenges".</t>
  </si>
  <si>
    <t>Ms.Elaenor M. Olegario</t>
  </si>
  <si>
    <t>The concept prototype of the products uses natural zeolite adsorbents that are mined, crushed, milled, sieved, washed, and dried to achieve various granular sizes. The products are used for removing foul odor from shoes, bags, cabinets, rooms, comfort rooms, or cars. This is the first request of Ms Elaenor M. Olegario for funding assistance under one of the DOST-TAPI's programs.</t>
  </si>
  <si>
    <t>Prototype Development Of a Portable Grain Dryer</t>
  </si>
  <si>
    <t xml:space="preserve">Mr. Felix M. Vicente
</t>
  </si>
  <si>
    <t>Grain drying is one of the problems of Philippine rice farmers, especially during the rainy season, typhoons, and heavy rains. The technology is portable, durable, powered by a solar panel when used at the rice fields, and can be managed easily by farmers. It is easy to dismantle and assemble, it is detachable within the thresher and the rice harvesters can be used at home to dry their grains using electricity through batteries.</t>
  </si>
  <si>
    <t>Mr. Dennis D. Bien</t>
  </si>
  <si>
    <t>Region 4</t>
  </si>
  <si>
    <t>Dennis D. Bien of Lot 10, Block 6, Maligaya Village, Lawa, Calamba has submitted a proposal for the project, "Modification of Knitting Machine" for possible funding assistance under the Concept Prototyping Program. His objective is to create a modified knitting machine that can be suitable for knitting high-quality and strong fibers from abaca and pineapple. The DOST-TAPI Executive Committee, during its Meeting on 26 October 2022 via a virtual application, resolved to approve financial assistance for the development of one (1) prototype of the project.</t>
  </si>
  <si>
    <t>Backpack Portable Tiger Grass Depollinator cum Multi-crop Thresher</t>
  </si>
  <si>
    <t>Institute of Agriculture and Biosystems Engineering, Don Mariano Marcos Memorial State University, Sapilang, Bacnotan, La Union</t>
  </si>
  <si>
    <t>Engr. Raffy M. Espiritu of the Institute of Agricultural and Biosystems Engineering, Don Mariano Marcos Memorial State University, Sapilang, Bacnotan, La Union has submitted a proposal for the project, "Backpack Portable Tiger Grass Depollinator cum Multi-crop Thresher" for possible funding assistance under the Concept Prototyping Program. The proposed concept aims to address the need for a lightweight and more efficient machine compared to existing commercial models.</t>
  </si>
  <si>
    <t>DOST Stakeholders' Forum and Caravan: Bringing S&amp;T Closer to the People (Lakbay Teknolohiya para kay Juan at Juana)</t>
  </si>
  <si>
    <t>Zamboanga City, Zamboanga del Sur, Zamboanga</t>
  </si>
  <si>
    <t>DOST-TAPI's coverage of assistance for this project falls under Section 6.3 of the Institutional Support for Technology Exposition (ISTE) Program Guidelines. The project aims to institutionalize awareness through the conduct of the stakeholders' forum and technology caravan, which ties up with regional offices. The said activity's scheduled is targeted to be conducted on 6-8 November 2022.</t>
  </si>
  <si>
    <t>Financial assistance for Method of Composting with Automation Features</t>
  </si>
  <si>
    <t>Ms. Luder R. Zarate</t>
  </si>
  <si>
    <t>Innovation Center, BSU Compound Km 6, La Trinidad Benguet has submitted a proposal for his invention/technology, Utility Model Registeration for possible funding assintance under the Industry-Based Invention Development IBID Program.</t>
  </si>
  <si>
    <t>DOST LA</t>
  </si>
  <si>
    <t>Bright Lighted Helmet under IBID</t>
  </si>
  <si>
    <t>The proponent claims that the advantage of his invention/technology over similar existing prior arts is, it eliminates the need for welding jobs saving time and completing work faster also, the bright LED light does not rely on batteries thereby cutting on costs ensuring optimal protection to the eyes on the welder.</t>
  </si>
  <si>
    <t>http://gofile.me/4xaew/x5DkxZtwv</t>
  </si>
  <si>
    <t>GIA FUNDING</t>
  </si>
  <si>
    <t>2021 Programs and Activities</t>
  </si>
  <si>
    <t>To promote and recognize the inventive and innovative work of the
Filipino inventors and researchers in the state colleges and
universities, local RDIs, etc.; To encourage participants to join the five RICE categories; To facilitate selection process to ensure worthy regional winners to be qualified as regional qualifier to NICE in 2022; To promote and enhance creative and inventive efforts in the regions by providing a venue to showcase their creativity, inventiveness, and ingenuity; and To promote the different programs of assistance offered by DOST- TAPI related to invention.</t>
  </si>
  <si>
    <t>The Invent School Program (ISP) with its recent development involves the
conduct of a half-day seminar workshop in private and public Elementary,
Secondary, and Tertiary level schools in cooperation with inventors’ groups,
LGUs and NGOs to stimulate the interest of the students/pupils for creativity
and inventiveness and create awareness on Intellectual Property Rights
(IPR), prototype development and commercialization of inventions. The
program provides an opportunity for students/pupils not only to develop their
creativity and potential but also to awaken their true ingenuity. The Invent
School Program serves as a starting ground for Young Filipino inventors.</t>
  </si>
  <si>
    <t>To showcase breakthrough technologies and innovations
thru virtual conduct of events;To attract participation of stakeholders particularly, MSMES, etc. of around 3,000 participants; To promote, increase awareness and appreciation on
DOST programs and services including TAPI</t>
  </si>
  <si>
    <t>The objective of this Invent School is to conduct a series of two (2) seminar-
workshops for Elementary pupils in the Province of Davao Occidental. The Seminar-workshop module for elementary students is designed in order for them to create school-based experiences that will benefit their school with the new ideas, emerging research, cutting-edge tools and innovations.</t>
  </si>
  <si>
    <t>The general objective of this project is to assist the DOST-TAPI in conducting
the 2021 RICE in Western Visayas to showcase and recognize the ingenuity of
the Ilonggos through a form of virtual contests and exhibits. Specifically, this
event aims to:</t>
  </si>
  <si>
    <t>The main purpose of the technology is to address the perishability of cooked
balut in a shell. The commercial product prototype intended for pilot production
and market testing under this proposal and to provide financial assistance for the pre-commercialization of "A Method of Producing Cooked Fertilized Egg in Shell with Commercially Acceptable Shell-life" .</t>
  </si>
  <si>
    <t xml:space="preserve"> To cater to the current demand of products to cater hospital orders in
compliance to DOH's order to increase the current bed capacity to at least 30% in treating the patients and combat the spread of COVID19 infection; To facilitate production of 435 Units of mechanical hospital beds to serve the
purchase order/contract Department of Health-Center for Health Development (DOH-CHD Region 1); To provide working capital to ensure liquidity and on-time completion of project,
To generate additional employment; To realize Gross Sales valued at P8,700,000.00; and
To generate Gross income valued at P1,887.386.90 upon completion/delivery
of the purchase orders.</t>
  </si>
  <si>
    <t>The project generally aims to raise awareness, understanding, and appreciation of
various DOST-PTRI technologies, R&amp;D projects, and corresponding testing services through a virtual exhibit. To promote the use and importance of various Philippine natural textiles, latest technologies for various applications in a school setting; To exhibit a modern classroom responsive to post-pandemic needs of the
end-users such as students, teachers, and engineers; and To engage and provide a venue for more natural textile stakeholders and textile enthusiasts to appreciate the latest R&amp;D programs and textile services offered by
the Institute.;To promote DOST-TAPI programs of assistance offered to students and aspiring inventors</t>
  </si>
  <si>
    <t>To promote and recognize the inventive and innovative work of the Filipino
inventors and researchers in the state colleges and universities as well as
secondary schools in CAR; To encourage participants in all of the five contested activities; To provide an intense selection process to ensure worthy regional winners
to be qualified as regional qualifier to NICE in 2022; To promote and enhance creative and inventive efforts in the regions by
providing a venue to showcase their creativity, inventiveness, and
ingenuity; To instill among the youth their research capabilities and be part of the
science and innovation culture in CAR</t>
  </si>
  <si>
    <t>The Regional Invention Contest and Exhibits (RICE) is a
nationwide activity that recognizes the indispensability of Filipino
inventors in the landscape of national economic development
through appropriate platforms.
The invention contest gives encouragement to inventors to
showcase their inventive capability through a form of
competition for cash incentives, awards, and bragging rights.
The regional contest serves as the qualifying round for the
national contest, pursuant to Section 4 of the Republic Act (RA)
7459 also known as the “Inventors and Invention Incentives Act
of the Philippines.</t>
  </si>
  <si>
    <r>
      <rPr>
        <sz val="10"/>
        <color theme="1"/>
        <rFont val="Arial"/>
      </rPr>
      <t xml:space="preserve">Region III -  49,300.00                                        Region VIII-  77,200.00                   Region IX-  32,350.00                    Region XII-  37,200.00                                   </t>
    </r>
    <r>
      <rPr>
        <b/>
        <sz val="10"/>
        <color theme="1"/>
        <rFont val="Arial"/>
      </rPr>
      <t xml:space="preserve"> TOTAL:  196,050.00</t>
    </r>
  </si>
  <si>
    <t>To inculcate creative thinking and bring about inventiveness among students to entice them to pursue activities leading to creativeness in solving problems in industrial applications;To create students’ awareness on Intellectual Property Rights and Protection; To undertake a training for students to awaken their creativity and inventiveness with inclination to prototype development and entrepreneurship; To promote and establish new young inventors’ associations/clubs that are
expected to intensify inventive activities in the campuses; and To encourage students to pursue science-related courses leading to a career
that would make them professional inventors and scientists in the future.</t>
  </si>
  <si>
    <t>1,00,000.00</t>
  </si>
  <si>
    <t>To allow on-time delivery of products to the customer without sacrificing the quality of
the product; To serve purchase orders from La Maison du Coco in France; To produce 9,000 Liters of Virgin Coconut Oil (VCO) products.</t>
  </si>
  <si>
    <t xml:space="preserve">The objective of this Invent School™ is to conduct Invent School Program (ISP):  Webinar Edition for Panabo City National High School on 24-25 November 2021 in  Davao del Norte.
</t>
  </si>
  <si>
    <r>
      <rPr>
        <sz val="10"/>
        <color theme="1"/>
        <rFont val="Arial"/>
      </rPr>
      <t xml:space="preserve"> 349,658.75                                                                  28,350.71 (admin cost)                                                 </t>
    </r>
    <r>
      <rPr>
        <b/>
        <sz val="10"/>
        <color theme="1"/>
        <rFont val="Arial"/>
      </rPr>
      <t xml:space="preserve">  TOTAL:  378,009.46</t>
    </r>
  </si>
  <si>
    <t xml:space="preserve">The Regional Invention Contest and Exhibits (RICE) is a
nationwide activity that recognizes the indispensability of
Filipino inventors in the landscape of national economic
development through appropriate platforms.
The invention contest gives encouragement to inventors to
showcase their inventive capability through a form of
competition for cash incentives, awards, and bragging rights.
The regional contest serves as the qualifying round for the
national contest, pursuant to Section 4 of the Republic Act (RA)
7459 also known as the “Inventors and Invention Incentives
Act of the Philippines.
</t>
  </si>
  <si>
    <t>Hog fattening is one of the top ventures in the livestock industry mainly
because of high income returns within 5-6 months. However, it also poses high
business risks such as high cost of feeds and diseases. Hence, there are several
factors to consider for a successful enterprise such as the location, mortality,
availability of feeds and market demands, among others. With the growing
demands on pork and increasing prices of feeds, the following Animal Science
major students developed a low cost and organic feed formulation for hogs:</t>
  </si>
  <si>
    <r>
      <rPr>
        <sz val="10"/>
        <color theme="1"/>
        <rFont val="Arial"/>
      </rPr>
      <t xml:space="preserve">1.  12,741.00                                                        2.  2,282.43                                                              3.  14,548.78                                            </t>
    </r>
    <r>
      <rPr>
        <b/>
        <sz val="10"/>
        <color theme="1"/>
        <rFont val="Arial"/>
      </rPr>
      <t xml:space="preserve">    TOTAL:   29,572.21</t>
    </r>
  </si>
  <si>
    <t>This annual event aims to showcase the world-class technologies/ inventions
of the Filipino including their available services and programs by providing an
appropriate venue to gather stakeholders in industry, government, agriculture,
communication and education sectors. It is a reliable strategy to honor
inventors of the past, the creators of the present and encourage the
developers of the future. The said event will be the opportunity to conduct virtual oath taking of new
Filipino Inventors Society Producers Cooperative (FISPC) members in the
Philippines and its new Board of Directors. It will set them to make their public
commitment to the duties, responsibilities and obligations associated with the
cooperative.</t>
  </si>
  <si>
    <t xml:space="preserve">Mr. Francisco J. Diaz is requesting for financial assistance under the Concept
Prototyping Program to develop one (1) working prototype of “Fully Automatic Ionized
Sprouting Machine”. Mr. Diaz’ concept was to used ionized water to grow seeds at a
much faster rate and prolong the freshness of the vegetables. </t>
  </si>
  <si>
    <t>tipd</t>
  </si>
  <si>
    <t>DOST-TAPI offers holistic packages of programs to inventors from the ideation to commercialization of their inventions.                                                                                                    TAPI’s assistance to inventors grew and expanded. As more and
more of them get to know of the agency and what it offers, more and more stories of trial and error and failure and success have been heard.                       With the birth of Humans of TAPI, their stories of success, failures, trials, and so much more will serve as stories of determination, persistence, and discipline, highlighting the efforts they exerted to reach their goals and be who they are today.</t>
  </si>
  <si>
    <t>Region IV-A CALABARZON</t>
  </si>
  <si>
    <t>CORDILLERA</t>
  </si>
  <si>
    <r>
      <rPr>
        <sz val="10"/>
        <color theme="1"/>
        <rFont val="Arial"/>
      </rPr>
      <t xml:space="preserve">116,927.00                                               9,480.57 (admin cost)                                        </t>
    </r>
    <r>
      <rPr>
        <b/>
        <sz val="10"/>
        <color theme="1"/>
        <rFont val="Arial"/>
      </rPr>
      <t>TOTAL:  126,407.57</t>
    </r>
  </si>
  <si>
    <t>This is the comments form the Invention Development Division (IDD), Technology Information and Promotion Division (TIPD)
and from the Finance and Administrative Division (FAD) Including from the Legal Unit are already incorporated in the
Implementing Guidlines.</t>
  </si>
  <si>
    <t xml:space="preserve">The objective of the Forum is to introduce the system and equipment developed by the local Filipino inventors 
to building owners, engineers and managers on the innovative environmental equipment, process and apparatus 
necessary to comply with the government regulatory requirement on solid, water and toxic hazardous waste.
</t>
  </si>
  <si>
    <r>
      <rPr>
        <sz val="10"/>
        <color theme="1"/>
        <rFont val="Arial"/>
      </rPr>
      <t>The financial assistance is for DOST III's request for the f</t>
    </r>
    <r>
      <rPr>
        <b/>
        <sz val="10"/>
        <color theme="1"/>
        <rFont val="Arial"/>
      </rPr>
      <t>abrication/rental of exhibit booth/venue</t>
    </r>
    <r>
      <rPr>
        <sz val="10"/>
        <color theme="1"/>
        <rFont val="Arial"/>
      </rPr>
      <t xml:space="preserve"> for the 2019 Regional Science and Technology Week (RSTW) chargeable against the Institutional Support for Trade and Exhibitions (ISTE) Program.
</t>
    </r>
  </si>
  <si>
    <r>
      <rPr>
        <sz val="10"/>
        <color theme="1"/>
        <rFont val="Arial"/>
      </rPr>
      <t xml:space="preserve">The financial assistance is for DOST V's request for the </t>
    </r>
    <r>
      <rPr>
        <b/>
        <sz val="10"/>
        <color theme="1"/>
        <rFont val="Arial"/>
      </rPr>
      <t>fabrication and installation of booth/technology exhibits</t>
    </r>
    <r>
      <rPr>
        <sz val="10"/>
        <color theme="1"/>
        <rFont val="Arial"/>
      </rPr>
      <t xml:space="preserve"> for the 2019 Regional Science and Technology Week (RSTW) chargeable against the Institutional Support for Trade and Exhibitions (ISTE) Program.
</t>
    </r>
  </si>
  <si>
    <r>
      <rPr>
        <sz val="10"/>
        <color theme="1"/>
        <rFont val="Arial"/>
      </rPr>
      <t xml:space="preserve">The financial assistance Is for DOST VIII's request for the </t>
    </r>
    <r>
      <rPr>
        <b/>
        <sz val="10"/>
        <color theme="1"/>
        <rFont val="Arial"/>
      </rPr>
      <t>exhibit fabrication</t>
    </r>
    <r>
      <rPr>
        <sz val="10"/>
        <color theme="1"/>
        <rFont val="Arial"/>
      </rPr>
      <t xml:space="preserve"> for the 2019 Regional Science and Technology Week (RSTW) chargeable against the Institutional Support for Trade and Exhibitions (ISTE) Program.
</t>
    </r>
  </si>
  <si>
    <r>
      <rPr>
        <sz val="10"/>
        <color theme="1"/>
        <rFont val="Arial"/>
      </rPr>
      <t>The financial assistance is for</t>
    </r>
    <r>
      <rPr>
        <b/>
        <sz val="10"/>
        <color theme="1"/>
        <rFont val="Arial"/>
      </rPr>
      <t xml:space="preserve"> DOST II's </t>
    </r>
    <r>
      <rPr>
        <sz val="10"/>
        <color theme="1"/>
        <rFont val="Arial"/>
      </rPr>
      <t>request for the design and fabrication of exhibit booths for the  2019 RSTW chargeable against the Institutional Support for Trade and Exhbitions (ISTE) Program.</t>
    </r>
  </si>
  <si>
    <r>
      <rPr>
        <sz val="10"/>
        <color theme="1"/>
        <rFont val="Arial"/>
      </rPr>
      <t xml:space="preserve">The financail assistance is for </t>
    </r>
    <r>
      <rPr>
        <b/>
        <sz val="10"/>
        <color theme="1"/>
        <rFont val="Arial"/>
      </rPr>
      <t>DOST-MIMAROPA's</t>
    </r>
    <r>
      <rPr>
        <sz val="10"/>
        <color theme="1"/>
        <rFont val="Arial"/>
      </rPr>
      <t xml:space="preserve"> request for the fabrication/rental of exhibit booth for the 2019 Regional Science and Technology (RSTW) chargeable against the Institutional Support for Trade Exhibitions (ISTE) Program.</t>
    </r>
  </si>
  <si>
    <r>
      <rPr>
        <sz val="10"/>
        <color theme="1"/>
        <rFont val="Arial"/>
      </rPr>
      <t xml:space="preserve">The financial assistance is for </t>
    </r>
    <r>
      <rPr>
        <b/>
        <sz val="10"/>
        <color theme="1"/>
        <rFont val="Arial"/>
      </rPr>
      <t>DOST Region VI's</t>
    </r>
    <r>
      <rPr>
        <sz val="10"/>
        <color theme="1"/>
        <rFont val="Arial"/>
      </rPr>
      <t xml:space="preserve"> request for the fabrication and rental of booth for the 2019 National Science and Technology Week (NSTW) chargeable against the Institutional Support for Trade and Exhibitions  (ISTE) Program.</t>
    </r>
  </si>
  <si>
    <r>
      <rPr>
        <sz val="10"/>
        <color theme="1"/>
        <rFont val="Arial"/>
      </rPr>
      <t xml:space="preserve">The financial assistance is for </t>
    </r>
    <r>
      <rPr>
        <b/>
        <sz val="10"/>
        <color theme="1"/>
        <rFont val="Arial"/>
      </rPr>
      <t>DOST Region X's</t>
    </r>
    <r>
      <rPr>
        <sz val="10"/>
        <color theme="1"/>
        <rFont val="Arial"/>
      </rPr>
      <t xml:space="preserve"> request for the fabrication of exhibit materials and rental of venue for the 2019 Regional Science and Technology Week (RSTW) chargeable against the Institutional Support for Trade and Exhibitions (ISTE) Program.</t>
    </r>
  </si>
  <si>
    <t>Mr. Alphy C. Ferraren is requesting for testing assistance for his Utility Model, "A Mobile Phone Multiple Charger Device".
The Utility Model relates in general to charger devices but more particularly to a mobile phone charger device that can be used for charging using an AC or DC power supply source.</t>
  </si>
  <si>
    <t>DOST Region XII is aggresively promoting Science, Technology and Innovation (STI) in the region and in the country as a
whole, For this year, DOST Region XII will conduct various activities such as S&amp;T Exhibits showcasing the DOST Progrmas
and Projetcs as well promote the products and services of DOST XII's beneficiaries to create and provide for new business oppotunities.</t>
  </si>
  <si>
    <t>The National Research Council of the Philippines (NRCP) takes the lead in the conceptualization of the Cluster Exhibit
on "Cities, History and Heritage" for the 2019 NSTW. This year's NSTW theme is centered on the promotion of the United
Nation's Sustainable Development Goals (SDG). The Cities Cluster will focus on Goal 11 Sustainable Cities and Communicates
which tackles on how cities should strengthen its efforts and safeguard the world's cultural and natural heritage.</t>
  </si>
  <si>
    <t>The Invent School Program for Grades 4-6 involves the conduct of a whole day seminar-workshop. Its purpose is to stimulate the creativity and innovativeness of the students and promote awareness on intellectual property rights.
The DOST-II in partnership with TAPI aims to capacitate elementary schools in the region and encourage their students to be equipped with the necessary basic skills to become the future researchers/inventors.</t>
  </si>
  <si>
    <t>The patent-pending invention of Mr. Encinas uses a mechanical switch. This switch uses a contact point switch that can hold up to 1,000 watts of motor power permanently installed or built-in device in e-fan parts.
The Auto-Fan Device was tested based on the Philippine National Standards (PNS) IEC 60335-2- 80:2005 under the Safety of household and similar electrical appliances. The test of the device was conducted at the Department of Trade and Industry's Bureau of Philippine Standards (DTI- BPS).</t>
  </si>
  <si>
    <t>REGION 2</t>
  </si>
  <si>
    <r>
      <rPr>
        <sz val="10"/>
        <color theme="1"/>
        <rFont val="Arial"/>
      </rPr>
      <t>The</t>
    </r>
    <r>
      <rPr>
        <b/>
        <sz val="10"/>
        <color theme="1"/>
        <rFont val="Arial"/>
      </rPr>
      <t xml:space="preserve"> Revised Implementing Guidelines of the Venture Financing Program (VFP)</t>
    </r>
    <r>
      <rPr>
        <sz val="10"/>
        <color theme="1"/>
        <rFont val="Arial"/>
      </rPr>
      <t xml:space="preserve"> was last presented during the TAPI Executive Committee (ExeCom) Meeting on 07 August 2019. The comments/suggestions of the TAPI ExeCom Members are already incorporated.</t>
    </r>
  </si>
  <si>
    <t>Region 4-a</t>
  </si>
  <si>
    <t>30/10/2018</t>
  </si>
  <si>
    <t>2018-32-Ad ref</t>
  </si>
  <si>
    <t>region 8</t>
  </si>
  <si>
    <t xml:space="preserve">The two-day activity aims to provide a venue for discussion on the important role of the in nation building, to showcase their scientific and innovative ideas and provide them the opportunity to share their knowledge and experiences in transforming their ideas into reality by using science, technology and innovation thereby contributing to society's development and progress.
</t>
  </si>
  <si>
    <t>The approved UPISSI activity for the conduct of the "ISSI 1st MSME Conference: MSMEs Nation Building" on
16 March 2018 whose funds amounting to P100,000.00 has not been utilized due to the hired caterer has not been paid because of the pending resolution of a serious offense, thus, the unutilized funds is requested for the conduct of the "Kapihan 3: Strengthening Community-Based Disaster Preparedness in Metro Manila". Reactivity supports local innovation on Disaster Piste Reduction and  Management</t>
  </si>
  <si>
    <t>http://gofile.me/4xaew/N9e4fFods</t>
  </si>
  <si>
    <t>http://gofile.me/4xaew/2UysDd699</t>
  </si>
  <si>
    <t>Region IV-B MIMAROPA</t>
  </si>
  <si>
    <r>
      <rPr>
        <sz val="10"/>
        <color theme="1"/>
        <rFont val="Arial"/>
      </rPr>
      <t xml:space="preserve"> P 50,000                                                        P 50,000                                                                       P50,000                                                                   P 50,000                                                            P 50,000                                                               P 50,000                                                                 P  50,000                                                                                                         P 50,000                                                                    P 45,000                                                               P 49,970                                                              P 47,000                                                                         P 50,000                                                </t>
    </r>
    <r>
      <rPr>
        <b/>
        <sz val="10"/>
        <color theme="1"/>
        <rFont val="Arial"/>
      </rPr>
      <t>TOTAL: P 791,970</t>
    </r>
  </si>
  <si>
    <t xml:space="preserve"> 330,000                                                    190,000</t>
  </si>
  <si>
    <t>TT DAY</t>
  </si>
  <si>
    <t xml:space="preserve">P 1,535,432 (Financial Assistance)                                              P 126,500,000 (Grant MOOE)                                                                               P 1,408,932 (with Repayment)                                                                                    P 338,973.88 (Total payments made)                                                                   P 1,019,958.12 ( Remaining Balance)                                                           </t>
  </si>
  <si>
    <t>P 1,015,000 DOST-GIA                                         P 72,000 FOB PCAARD</t>
  </si>
  <si>
    <r>
      <rPr>
        <sz val="10"/>
        <color theme="1"/>
        <rFont val="Arial"/>
      </rPr>
      <t xml:space="preserve">P 1,276, 450.00 TAPI-GIA                              P 39,800,000 FOB PCAARD                                                             </t>
    </r>
    <r>
      <rPr>
        <b/>
        <sz val="10"/>
        <color theme="1"/>
        <rFont val="Arial"/>
      </rPr>
      <t xml:space="preserve">  TOTAL: P 1,316,250</t>
    </r>
  </si>
  <si>
    <r>
      <rPr>
        <sz val="10"/>
        <color theme="1"/>
        <rFont val="Arial"/>
      </rPr>
      <t xml:space="preserve">P 606,511.20 </t>
    </r>
    <r>
      <rPr>
        <b/>
        <sz val="10"/>
        <color theme="1"/>
        <rFont val="Arial"/>
      </rPr>
      <t xml:space="preserve">PS      </t>
    </r>
    <r>
      <rPr>
        <sz val="10"/>
        <color theme="1"/>
        <rFont val="Arial"/>
      </rPr>
      <t xml:space="preserve">                                         P 350,000.00</t>
    </r>
    <r>
      <rPr>
        <b/>
        <sz val="10"/>
        <color theme="1"/>
        <rFont val="Arial"/>
      </rPr>
      <t xml:space="preserve"> MODE   </t>
    </r>
    <r>
      <rPr>
        <sz val="10"/>
        <color theme="1"/>
        <rFont val="Arial"/>
      </rPr>
      <t xml:space="preserve">                                                                                      </t>
    </r>
    <r>
      <rPr>
        <b/>
        <sz val="10"/>
        <color theme="1"/>
        <rFont val="Arial"/>
      </rPr>
      <t>TOTAL: P 956,511.20</t>
    </r>
  </si>
  <si>
    <t>Improvement of Herbal Tea Products of the Pancil Association for Ecological Rehabilitation through Provision of appropriate product, packaging, and support in Raw Materials Procument</t>
  </si>
  <si>
    <t xml:space="preserve">In December 2014, TAPI through PSTC Pampanga has conducted Invent School Program (ISP) Seminar-Workshop for four (4) schools. For CY 2017, the PSTC Pampanga is proposing to conduct ISP with five (5) new target schools. The proposed ISP Seminar-Workshop is to be conducted at the DOST Region III Conference Room on September 2017.
</t>
  </si>
  <si>
    <t xml:space="preserve">The request has been deliberated during the TAPI EXECOM Meeting on 18 September 2015. The EXECOM recommended that the product invention should undergo evaluation through Testing and Laboratory Analyses. DOST-MIRDC and the Bureau of Philippine Standards were requested for appropriate testing for the cylinder breaker. DOST-MIRDC recommended to subject Mr. Miguel's product to Compression Test, Hardness Test and Chemical Analysis.
</t>
  </si>
  <si>
    <t xml:space="preserve">The National Inventors' Week is celebrated every year to highlight the Filipino inventors' greatest inventions, innovations and creative ideas that can open doors of opportunities for would-be inventors, researchers, students and the general public whose talents, skills and passion to create new products and technology-based ideas are just waiting to be explored.
</t>
  </si>
  <si>
    <r>
      <rPr>
        <b/>
        <sz val="10"/>
        <color theme="1"/>
        <rFont val="Arial"/>
      </rPr>
      <t>Candy R. Lanzuela</t>
    </r>
    <r>
      <rPr>
        <sz val="10"/>
        <color theme="1"/>
        <rFont val="Arial"/>
      </rPr>
      <t xml:space="preserve">                                                                                        Managing Director                                                                                        </t>
    </r>
    <r>
      <rPr>
        <b/>
        <sz val="10"/>
        <color theme="1"/>
        <rFont val="Arial"/>
      </rPr>
      <t xml:space="preserve">Global Marketing and Construction Corporation                                 </t>
    </r>
  </si>
  <si>
    <t>The Forest Products Research and Development Institute (FPRDI) conducts research and development on wood and non-wood forest products and is the center for applied technologies on the utilization of forest-based products in the country.
The information materials will be given to visitors and interested technology adaptors of FPRDI during the 2016 NSTW and promotional activities.</t>
  </si>
  <si>
    <r>
      <rPr>
        <sz val="10"/>
        <color theme="1"/>
        <rFont val="Arial"/>
      </rPr>
      <t>The 65th PhilAAST Convention will be held in Manila on 22-23 September 2016 in conjunction with the 8th ASIAHORC's Joint Symposium with the theme</t>
    </r>
    <r>
      <rPr>
        <b/>
        <sz val="10"/>
        <color theme="1"/>
        <rFont val="Arial"/>
      </rPr>
      <t xml:space="preserve"> "Impact of the Changing Environment and Global Health"</t>
    </r>
    <r>
      <rPr>
        <sz val="10"/>
        <color theme="1"/>
        <rFont val="Arial"/>
      </rPr>
      <t>. The activity will feature 5 technical sessions on: health resilience to climate change, health disaster risk management, vector borne disease and climate change, environmental stressors in diseases and promoting health while mitigating climate change.</t>
    </r>
  </si>
  <si>
    <r>
      <rPr>
        <sz val="10"/>
        <color theme="1"/>
        <rFont val="Arial"/>
      </rPr>
      <t xml:space="preserve">As part of PTRI's participation in the upcomong 2016 National Science and Technology Week (NSTW), the Institute will showcase its products and services in a lifestyle concept, </t>
    </r>
    <r>
      <rPr>
        <b/>
        <sz val="10"/>
        <color theme="1"/>
        <rFont val="Arial"/>
      </rPr>
      <t>"Live and Dye Happy"</t>
    </r>
    <r>
      <rPr>
        <sz val="10"/>
        <color theme="1"/>
        <rFont val="Arial"/>
      </rPr>
      <t xml:space="preserve">. In addition, PTRI will also conduct a forum that will highlight </t>
    </r>
    <r>
      <rPr>
        <b/>
        <sz val="10"/>
        <color theme="1"/>
        <rFont val="Arial"/>
      </rPr>
      <t>Upscaling the Production and Application of Philippine Natural Dyes</t>
    </r>
    <r>
      <rPr>
        <sz val="10"/>
        <color theme="1"/>
        <rFont val="Arial"/>
      </rPr>
      <t xml:space="preserve"> as one of the core projects under the Revitalization of the Philippine Textile and Garment Industries thru Science &amp; Technology Program.</t>
    </r>
  </si>
  <si>
    <t>AIO</t>
  </si>
  <si>
    <r>
      <rPr>
        <sz val="10"/>
        <color theme="1"/>
        <rFont val="Arial"/>
      </rPr>
      <t xml:space="preserve">As a </t>
    </r>
    <r>
      <rPr>
        <b/>
        <sz val="10"/>
        <color theme="1"/>
        <rFont val="Arial"/>
      </rPr>
      <t>"Haven of Excellence"</t>
    </r>
    <r>
      <rPr>
        <sz val="10"/>
        <color theme="1"/>
        <rFont val="Arial"/>
      </rPr>
      <t xml:space="preserve"> in the field of Science and Research Education, the Regional Science Education is committed in developing their learner's creativity and scientific habits which can surely help teachers make Science and Technology fun and enjoyable to the students.</t>
    </r>
  </si>
  <si>
    <t>DOST Region VI and Regional Science High School - VI</t>
  </si>
  <si>
    <r>
      <rPr>
        <sz val="10"/>
        <color theme="1"/>
        <rFont val="Arial"/>
      </rPr>
      <t xml:space="preserve">Eighteen (18) Fisheries students will implement the project by further development of the CLSU's tilapia postharvest enterprise management called Tilanggit. It is a combination of two (2) postharvest processes which is salting and drying. Tilanggit is similar to danggit, however, the project will use tilapia instead of rabbitfish. However, the term "tilanggit" was already a registered trademark, thus, the students will use </t>
    </r>
    <r>
      <rPr>
        <b/>
        <sz val="10"/>
        <color theme="1"/>
        <rFont val="Arial"/>
      </rPr>
      <t>Tila-ding</t>
    </r>
    <r>
      <rPr>
        <sz val="10"/>
        <color theme="1"/>
        <rFont val="Arial"/>
      </rPr>
      <t xml:space="preserve"> (short for Tilapiang-daing).</t>
    </r>
  </si>
  <si>
    <r>
      <rPr>
        <sz val="10"/>
        <color theme="1"/>
        <rFont val="Arial"/>
      </rPr>
      <t xml:space="preserve">The forum could further enhance the inventors` awareness on entrepreneurship and financial management. The Forum was organized in celebration of the </t>
    </r>
    <r>
      <rPr>
        <b/>
        <sz val="10"/>
        <color theme="1"/>
        <rFont val="Arial"/>
      </rPr>
      <t>National  Inventors Week (NIW)</t>
    </r>
    <r>
      <rPr>
        <sz val="10"/>
        <color theme="1"/>
        <rFont val="Arial"/>
      </rPr>
      <t xml:space="preserve"> on 14-18 November 2016 at the DOST Compound, Bicutan, Taguig City.</t>
    </r>
  </si>
  <si>
    <r>
      <rPr>
        <sz val="10"/>
        <color theme="1"/>
        <rFont val="Arial"/>
      </rPr>
      <t>MIRDC is requesting for assistance in printing of promotional materials of A</t>
    </r>
    <r>
      <rPr>
        <b/>
        <sz val="10"/>
        <color theme="1"/>
        <rFont val="Arial"/>
      </rPr>
      <t>utomated Guideway Transit and Hybrid Electric Road Train</t>
    </r>
    <r>
      <rPr>
        <sz val="10"/>
        <color theme="1"/>
        <rFont val="Arial"/>
      </rPr>
      <t xml:space="preserve"> for continous promotion of the MIRDC- developed technologies. During the 2016 NSTW, MIRDC has distributed promotional materials to their guest and visitors, among which are the AGT and Hybrid Electric Road Train.</t>
    </r>
  </si>
  <si>
    <r>
      <rPr>
        <sz val="10"/>
        <color theme="1"/>
        <rFont val="Arial"/>
      </rPr>
      <t>The 12th National Biotechnology Week Celebration's theme</t>
    </r>
    <r>
      <rPr>
        <b/>
        <sz val="10"/>
        <color theme="1"/>
        <rFont val="Arial"/>
      </rPr>
      <t xml:space="preserve"> "Bioteknolohiya: Kaagapay ng Mamayan sa Kaunlaran"</t>
    </r>
    <r>
      <rPr>
        <sz val="10"/>
        <color theme="1"/>
        <rFont val="Arial"/>
      </rPr>
      <t xml:space="preserve"> with the Tagline: </t>
    </r>
    <r>
      <rPr>
        <i/>
        <sz val="10"/>
        <color theme="1"/>
        <rFont val="Arial"/>
      </rPr>
      <t>"Yakapin ang pagbabago, Biotek na tayo!"</t>
    </r>
    <r>
      <rPr>
        <sz val="10"/>
        <color theme="1"/>
        <rFont val="Arial"/>
      </rPr>
      <t xml:space="preserve"> The DOST's plan of activities includes the conduct of Science and Technology Forum, Biotech IEC and Technology Exhibition. Part of the activity is the Technology Showcase and IP Forum to be facilitated by DOST-TAPI on 22 November 2016.</t>
    </r>
  </si>
  <si>
    <t xml:space="preserve">DOST Region I, through the La Union Science and Technology Center will conduct the 1st Provincial S&amp;T Caravan on 6-8 December 2016 with the theme:" Juan Science, One Nation" As one of the interventions, Invent School Program will be conducted for all the high schools in San Gabriel, La Union and nearby municipalities.
</t>
  </si>
  <si>
    <t>Natividad, Naguilian, La Union</t>
  </si>
  <si>
    <t>8 Pan-Philippine Hwy, Guinobatan, Albay</t>
  </si>
  <si>
    <t>San Pedro Laguna</t>
  </si>
  <si>
    <t>The Invent School Program will conduct a two day Seminar- Workshop whose target participants are students and teachers from various High Schools at Batac, Ilocos Norte.
The Invent School Seminar-Workshop is one of the many activities to be conducted in the City Government of Batac, Ilocos Norte as part of the S&amp;T Caravan in the region that aims to bring S&amp;T program and services closer to the community.</t>
  </si>
  <si>
    <r>
      <rPr>
        <sz val="10"/>
        <color theme="1"/>
        <rFont val="Arial"/>
      </rPr>
      <t xml:space="preserve">There are orders from bus and truck companies of the </t>
    </r>
    <r>
      <rPr>
        <b/>
        <sz val="10"/>
        <color theme="1"/>
        <rFont val="Arial"/>
      </rPr>
      <t>Improved Gasifier</t>
    </r>
    <r>
      <rPr>
        <sz val="10"/>
        <color theme="1"/>
        <rFont val="Arial"/>
      </rPr>
      <t>, the results of the test could help in the commercialization effort of the inventor. If the test results are favorable, it will contribute in the reduction of pollution-causing carbon emissions from vehicles.</t>
    </r>
  </si>
  <si>
    <t>TAPI Executive Committee hereby resolves, approves, and endorses the request to COA for the write-off of the financial obligations of the following fishpond operators: As per Mr. Salvador Cruz's request, the President of the United Fishpond Operators requested TAPI to write off the financial assistance and provide new financial assistance for rehabilitation working and production capital to the six (6) fishpond operators in Sta. Margarita, Samar, due to the damages brought by the typhoon Glenda last July 15, 2914.</t>
  </si>
  <si>
    <t>1. Male                                                                                                                                                                2.Male                                                                                                                                                       3. Male                                                                                                                                                        4. Male</t>
  </si>
  <si>
    <t>TAPI is mandated to promote the commercialization of technologies and market the services of other operating units and agencies of the DOST, and was expanded under RA 7459. The project "Prosecution, Enforcement and Collection of all TAPI cases" aims to file appropriate complaints in court against any persons/inventors under obligation to TAPI that has become delinquent or ripe for judicial action. It includes prosecution and litigation of civil cases, except criminal cases before the Ombudsman, Sandiganbayan or regular courts, and civil suits for damages against TAPI Director/Officials who are sued in the regular performance of their duties or functions. The TAPI Executive Committee has approved funding support for the project.</t>
  </si>
  <si>
    <t>In support of Presidential Proclamation Nos. 255 and 285, TAPI conducts the Invention Contest to recognize the indispensability of Filipino inventors and encourage them to use their inventive capability. The Regional Invention Contest aims to encourage more participation in the Invention Contests by bringing the venue for qualifying rounds, pre-screening phase nearer to the inventors'/researchers' place, and providing an intense selection process to ensure worthy regional winners cum national qualifiers in the 2016 National Invention Contest. There are six categories of the Invention Contest where inventors and researchers can compete: Outstanding Invention, Utility Model, Outstanding Industrial Design, Outstanding Creative Research or Likha Award and the Outstanding Student Creative Research or Sibol Award for high school and college students. The TAPI Executive Committee has approved the budgetary requirements for the conduct of the activity.</t>
  </si>
  <si>
    <t>The Investment and Business Operations Division (IBOD) of the Technology Application and Promotion Institute has submitted a proposal to conduct actual visits/monitoring of problematic projects under the Venture Financing Program, CAMPI and DOST Academe Technology-Based Enterprise Development. The TAPI Executive Committee has approved the financial assistance of the project.</t>
  </si>
  <si>
    <t>The DOST Regional Offices is responsible for implementing S&amp;T policies, plans and programs, projects, laws, rules and regulations, providing S&amp;T services to the people, and coordinating with other government agencies. The Visayas Cluster Fair (VCF) is one of the avenues to bring S&amp;T closer to the people and promote the Department's programs, projects and activities. The major activities of the VCF include S&amp;T Exhibits, S&amp;T Fora and Technical Fora on Food Safety and Good Manufacturing Practices (GMP), SETUPOrientation, Product Packaging and Labeling, and Green Economy Development for SMES.</t>
  </si>
  <si>
    <t>The DOST Regional Offices are responsible for implementing S&amp;T policies, plans and programs, projects, laws, rules and regulations, providing S&amp;T services to the people, and coordinating with other government agencies. The Northern Luzon Cluster Fair (NLCF) is one of the avenues to bring S&amp;T closer to the people. It will highlight the latest development in S&amp;T by Research and Development Institutes (RDIS) of DOST and SUCS in Northern Luzon, provide a venue to gather stakeholders in industry, government, agriculture, communication and education sectors, and conduct S&amp;T activities such as technology/investment fora, interactive modules, film showing, quiz and trivia, and bazaar.</t>
  </si>
  <si>
    <t>The South Luzon Cluster Science and Technology Fair and Exhibits (SLCSTFE) is an integral part of the DOST Regional Offices' mandate to bring S&amp;T closer to the people. It will showcase significant researches, technologies and products of the five regions of the cluster, as well as the DOST 8 Outcomes and DOST SLC RO's assisted products that are "ASEAN Integration-ready". It will also showcase various activities such as S&amp;T Fora, SETUP Testimonials, e-marketing and Agri-Eco Tourism.</t>
  </si>
  <si>
    <t>APCTT</t>
  </si>
  <si>
    <t>The Asian and Pacific Centre for Transfer of Technology of the United Nations Economic and Social Commission for Asia and the Pacific (APCTT-UNESCAP) and DOST Region XI will organize a Southeast Asia Regional Training Programme on Renewable Energy Resource Assessment and Mapping. The major objective of the project is to strengthen the existing capacities of member countries in the Southeast Asia to undertake renewable energy resource assessments at the national level. The training programme will bring together experts from internationally renowned renewable energy related organizations as well as key stakeholders from countries in Southeast Asia to participate in the regional training on solar and wind energy resource assessments. The total number of participants increased from 35 to 60, and additional cost will be incurred for transportation, food and supplies and materials.</t>
  </si>
  <si>
    <t>Mr. Antonio M. Andes, Sr., Inventor/Owner of Renta Koffin Enterprises, is requesting for restructuring of repayment of the financial assistance for his invention, "Reusable/Disposable Coffin". The TAPI Executive Committee approved Termination of the project, Stop imposing interest and penalty, Payment of P5,000 quarterly until there is development on related business activity, and All payments made be applied to the principal loan in the amount of P277,067.82. since it did not commercialize as planned.</t>
  </si>
  <si>
    <t>Mr. Eduardo A. Capule submitted a project proposal entitled "An Improved Food Container and the Like" for possible funding assistance under Component 1, Pilot Production cum Market Testing of the Inventions. The Utility Model is a combination of plastic tubular body and a tin can made of polyethylene terepthalate (P.E.T), polypropylene (P.P.E.) and high density polyethylene (H.D.E). The project proposal is deemed viable in terms of technical, market and financial aspects, has won Gold Medal Award during the Seoul International Invention Fair in South Korea, and has presented initial buyers for pilot production and market testing. The TAPI Executive Committee approved the funding support for the pilot production of the product.</t>
  </si>
  <si>
    <t>23/10/2015</t>
  </si>
  <si>
    <t>The project entitled "Establishment of an Integrated Calamansi Processing Center" was approved by TAPI Execom on 13 November 2003 amounting to P527,000 per Resolution No. 2003-91. On 10 February 2010, TAPI learned that the project had ceased operations and requested the assistance of DOST II to discuss with the officials of the Isabela Citrus Growers Development Cooperative (ICGDC). DOST II/PSTD Isabela recommended to retrieve all the equipment as soon as possible and terminate the project. Jose B. Morante Foods Products (JBMFP) was identified as an adoptor who was willing to pay considering the depreciated value of the equipment. On 4 June 2015, the equipment were functional and serviceable.</t>
  </si>
  <si>
    <t>The Technology Application and Promotion Institute (TAPI) under the Finance and Administrative Division (FAD) will adopt and implement the Electronic New Government Accounting System (E-NGAS) by the Accounting and E Budget System Version 2.0 by the Budget Section in compliance with PSSAS, RCA and UACS version. This project will enable TAPI to be compliant with the timely and accurate reporting of actual revenue, collections and expenditures against budgeted programmed revenues and expenditures. Reporting requirements include financial reports, financial statements, and management reports. The TAPI Executive Committee has approved the financial assistance of the project.</t>
  </si>
  <si>
    <r>
      <rPr>
        <sz val="10"/>
        <color theme="1"/>
        <rFont val="Arial"/>
      </rPr>
      <t xml:space="preserve">The flyer tickets and posters will be displayed/distributed to customers/ buying public during the </t>
    </r>
    <r>
      <rPr>
        <b/>
        <sz val="10"/>
        <color theme="1"/>
        <rFont val="Arial"/>
      </rPr>
      <t>"Science Nation Tour".</t>
    </r>
  </si>
  <si>
    <r>
      <rPr>
        <sz val="10"/>
        <color theme="1"/>
        <rFont val="Arial"/>
      </rPr>
      <t xml:space="preserve">TAPI Execom approved the budget for the prosecution, enforcement and collection of all TAPI cases last January 26, 2015 amounting to P744,000, however the honorarium to OSG Lawyers handling the case of </t>
    </r>
    <r>
      <rPr>
        <b/>
        <sz val="10"/>
        <color theme="1"/>
        <rFont val="Arial"/>
      </rPr>
      <t>Declaratory Relief and Damages</t>
    </r>
    <r>
      <rPr>
        <sz val="10"/>
        <color theme="1"/>
        <rFont val="Arial"/>
      </rPr>
      <t xml:space="preserve"> filed by Mr. Gonzalo O. Catan has not been incorporated.</t>
    </r>
  </si>
  <si>
    <t>The Department of Science and Technology will be conducting Science Nation Tour, a national road show covering all 17 regions
in the Philippines that will rub from March to November of this year. The activities are:
-SETUP Summit, S &amp; T Commercial Exhibits, S &amp; T Fora, Project Visits to DOST SETUP Assisted Projects, Career Guidance and 
Leadership Training for the Youth, Zumba Fitness Exercise and, Launching of DOST II Projetcs with partner agencies.</t>
  </si>
  <si>
    <r>
      <rPr>
        <sz val="10"/>
        <color theme="1"/>
        <rFont val="Arial"/>
      </rPr>
      <t xml:space="preserve">The proposed project is the implementation of CAMPI Program in Region XI.                                                                                                                                   </t>
    </r>
    <r>
      <rPr>
        <b/>
        <sz val="10"/>
        <color theme="1"/>
        <rFont val="Arial"/>
      </rPr>
      <t>Rookies Fruit Preserves Corporation</t>
    </r>
    <r>
      <rPr>
        <sz val="10"/>
        <color theme="1"/>
        <rFont val="Arial"/>
      </rPr>
      <t xml:space="preserve"> has been identified as the beneficiary for CAMPI. The company has been in existence for 18 years and expanded its plant structure. As a requirement for GMP Certification there is a need to improve their policies, work instructions, process control and SSOP's.</t>
    </r>
  </si>
  <si>
    <t xml:space="preserve">The brochures will aid in the promotion of MIRDC-developed technologies to their target market and possible technology adaptors.
</t>
  </si>
  <si>
    <r>
      <rPr>
        <sz val="10"/>
        <color theme="1"/>
        <rFont val="Arial"/>
      </rPr>
      <t>The Round Table Discussion's expected output is to come up with a harmonized</t>
    </r>
    <r>
      <rPr>
        <b/>
        <sz val="10"/>
        <color theme="1"/>
        <rFont val="Arial"/>
      </rPr>
      <t xml:space="preserve"> Guidelines for the Technology Transfer and Commercialization Protocol in the Operation of Food Processing Center in the Region.</t>
    </r>
  </si>
  <si>
    <r>
      <rPr>
        <sz val="10"/>
        <color theme="1"/>
        <rFont val="Arial"/>
      </rPr>
      <t>PHILAAST is holding this two-day activity with the theme:</t>
    </r>
    <r>
      <rPr>
        <i/>
        <sz val="10"/>
        <color theme="1"/>
        <rFont val="Arial"/>
      </rPr>
      <t xml:space="preserve"> "International- ization of S&amp;T Education"</t>
    </r>
    <r>
      <rPr>
        <sz val="10"/>
        <color theme="1"/>
        <rFont val="Arial"/>
      </rPr>
      <t xml:space="preserve"> in conjunction with 64th PHILAAST Annual Convention.</t>
    </r>
  </si>
  <si>
    <t xml:space="preserve">The leak sealing valve provide means for automatically locking the damage wheel brake assembly and allows the remaining undamaged wheel brake assemblies to function. This will ensure safe travel of the vehicle since the remaining undamaged brake assemblies are still functioning.
</t>
  </si>
  <si>
    <t>The Pinggang Pinoy Cooking Challenge is one of the activities on the 41st FNRI Seminar Series on Food and Nutrition
Researchers and S&amp;T activities.</t>
  </si>
  <si>
    <r>
      <rPr>
        <sz val="10"/>
        <color theme="1"/>
        <rFont val="Arial"/>
      </rPr>
      <t>DOST Region is implementing the</t>
    </r>
    <r>
      <rPr>
        <b/>
        <sz val="10"/>
        <color theme="1"/>
        <rFont val="Arial"/>
      </rPr>
      <t xml:space="preserve"> "Community Empowerment thru Science &amp; Technology (CEST)</t>
    </r>
    <r>
      <rPr>
        <sz val="10"/>
        <color theme="1"/>
        <rFont val="Arial"/>
      </rPr>
      <t>.One of the interventions is the conduct of the Invent School Program for all the high schools in the municipality of Aguilar, Pangasinan. Target participants are selected students and teachers from Gaudencio Dumlao HS, Enrico T. Prado NHS, Tamac Integrated School, Aguilar Integrated School, Zaratan Educational Institute, Inc., Bocboc East NHS and Aguilar Catholic School.</t>
    </r>
  </si>
  <si>
    <t>The flyers and posters will be displayed/given/distributed to customers/buying public during the "South Luzon Cluster S&amp;T Fair
and Exhibits" on 17-19 August 2015.</t>
  </si>
  <si>
    <r>
      <rPr>
        <sz val="10"/>
        <color theme="1"/>
        <rFont val="Arial"/>
      </rPr>
      <t xml:space="preserve">DOST III is endorsing </t>
    </r>
    <r>
      <rPr>
        <b/>
        <sz val="10"/>
        <color theme="1"/>
        <rFont val="Arial"/>
      </rPr>
      <t>RPO Fine Foods Corporation</t>
    </r>
    <r>
      <rPr>
        <sz val="10"/>
        <color theme="1"/>
        <rFont val="Arial"/>
      </rPr>
      <t xml:space="preserve"> which was identified from previously MPEX/SETUP assisted SMEs in Region III. Based on the current productivity status of the firm, the consultancy engagement will focus on </t>
    </r>
    <r>
      <rPr>
        <i/>
        <sz val="10"/>
        <color theme="1"/>
        <rFont val="Arial"/>
      </rPr>
      <t>GMP Alignment/Certification</t>
    </r>
    <r>
      <rPr>
        <sz val="10"/>
        <color theme="1"/>
        <rFont val="Arial"/>
      </rPr>
      <t xml:space="preserve"> that will make them competitive in the local and export market.</t>
    </r>
  </si>
  <si>
    <r>
      <rPr>
        <sz val="10"/>
        <color theme="1"/>
        <rFont val="Arial"/>
      </rPr>
      <t xml:space="preserve">DOST III is endorsing </t>
    </r>
    <r>
      <rPr>
        <b/>
        <sz val="10"/>
        <color theme="1"/>
        <rFont val="Arial"/>
      </rPr>
      <t>Charisma Nature Farm</t>
    </r>
    <r>
      <rPr>
        <sz val="10"/>
        <color theme="1"/>
        <rFont val="Arial"/>
      </rPr>
      <t xml:space="preserve"> which was identified from previously CAPE/SETUP assisted SMEs in Region III. Based on the current productivity status of the farm, the consultancy engagement will focus on </t>
    </r>
    <r>
      <rPr>
        <i/>
        <sz val="10"/>
        <color theme="1"/>
        <rFont val="Arial"/>
      </rPr>
      <t>Organic Agriculture Alignment/Certification</t>
    </r>
    <r>
      <rPr>
        <sz val="10"/>
        <color theme="1"/>
        <rFont val="Arial"/>
      </rPr>
      <t xml:space="preserve"> that will make them competitive in the market.</t>
    </r>
  </si>
  <si>
    <t xml:space="preserve">The activity aims to inspire scientists, engineers and researchers to channel their scientific experimentation and innovation activities towards contributing to the economic growth of the country and social welfare of the poor and vulnerable Filipinos.
</t>
  </si>
  <si>
    <r>
      <rPr>
        <sz val="10"/>
        <color theme="1"/>
        <rFont val="Arial"/>
      </rPr>
      <t xml:space="preserve">The project will use the </t>
    </r>
    <r>
      <rPr>
        <b/>
        <sz val="10"/>
        <color theme="1"/>
        <rFont val="Arial"/>
      </rPr>
      <t>Organic Farming System</t>
    </r>
    <r>
      <rPr>
        <sz val="10"/>
        <color theme="1"/>
        <rFont val="Arial"/>
      </rPr>
      <t xml:space="preserve"> in the production of hot peppers. Organic fertilizers such as Indigenous Microorganism, Fish Amino Acid, Fermented Plant and Fruit Juice, Oriental Herbal Medicine and Calcium Phosphate protects the environment and public health. </t>
    </r>
    <r>
      <rPr>
        <b/>
        <sz val="10"/>
        <color theme="1"/>
        <rFont val="Arial"/>
      </rPr>
      <t>Conversion of coconut sap into natural vinegar</t>
    </r>
    <r>
      <rPr>
        <sz val="10"/>
        <color theme="1"/>
        <rFont val="Arial"/>
      </rPr>
      <t xml:space="preserve"> involves simple fermentation without chemical additives and pastuerization.</t>
    </r>
  </si>
  <si>
    <t>A Memorandum of Agreement (MOA) was entered into between TAPI and the Office of the Solicitor General (OSG) for enforcement and collection of delinquent of IGF accounts covering September to December 2013 for four (4) complaints. Atty. Marion C. Decena presented the project proposal, "Enforcement and Collection of Delinquent IGF Accounts" to TAPI Execom last January 20, 2014, which was approved at P500,000.00 to cover honoraria and operating expenses. The OSG raised concerns on the provision of honorarium, and TAPI could not provide the honorarium rate of P30,000/month per demand of the OSG. Therefore, the TAPI Executive Committee approved the project charged to TAPI-GIA.</t>
  </si>
  <si>
    <t>The DOST Regional Offices are responsible for implementing S&amp;T policies, plans and programs, projects, laws, rules and regulations, providing S&amp;T services to the people, and coordinating with other govmment agencies. The Northern Luzon Cluster Fair (NLCF) is an important event to promote the Department's programs, projects and activities as well as the promotion of recent development in Science and Technology in the region. The funding support amounting to P600,000.00 shall be released directly to DOST Region II and the amount of P150,000. 00 shall be directly released to the Cargo Forwarder.</t>
  </si>
  <si>
    <t>TAPI approved Optiserve Technologies, Inc. for funding assistance under the Venture Financing Program amounting to P1,220,000.00 for a project entitled "Integrated ERP Business Solution Package Using Cloud Computing Technologies in the Power Distribution Sector". However, due to damages caused by typhoon Yolanda, Optiserve cannot pay the monthly amortizations due from TAPI, so the TAPI Executive Committee resolved to suspend the project refund for three months.</t>
  </si>
  <si>
    <t>The DOST Regional Offices are responsible for implementing S&amp;T policies, plans and programs, projects, laws, rules and regulations, providing S&amp;T services to the people, and coordinating with other government agencies. The Visayas Cluster Fair (VCF) is an important event in promoting the Department's programs, projects and activities, as well as the promotion of recent development in Science and Technology in the region. Last year's VCF was funded by TAPI and funds from region were released to DOST VI as the host region. This year, the TAPI Executive Committee approved funding support for the VCF.</t>
  </si>
  <si>
    <t>The DOST Regional Offices are responsible for implementing S&amp;T policies, plans and programs, projects, laws, rules and regulations, providing S&amp;T services to the people, and coordinating with other government agencies. The South Luzon Cluster Science and Technology Fair and Exhibits (SLCSTFE) is an avenue to bring S&amp;T closer to the people and promote recent development in Science and Technology. DOST Region V hosts the 2014 SLCSTFE. The TAPI Executive Committee approved funding support for the activity.</t>
  </si>
  <si>
    <r>
      <rPr>
        <sz val="10"/>
        <color theme="1"/>
        <rFont val="Arial"/>
      </rPr>
      <t xml:space="preserve"> 400,000 (To be Released to DOST Region V)                 400,000 (to be aid directly to Cargo Forwarder    </t>
    </r>
    <r>
      <rPr>
        <b/>
        <sz val="10"/>
        <color theme="1"/>
        <rFont val="Arial"/>
      </rPr>
      <t>Total:  800,000</t>
    </r>
  </si>
  <si>
    <t>The Mindanao DOST (MindaDOST) Cluster S&amp;T Fair is an effective way to inform the public of DOST-developed solutions and create awareness. It will feature DOST SET-UP and Smarter Philippines programs to address productivity and quality issues of local firms and MSMEs.</t>
  </si>
  <si>
    <r>
      <rPr>
        <b/>
        <sz val="10"/>
        <color theme="1"/>
        <rFont val="Arial"/>
      </rPr>
      <t>Dr. Elsa R. Manarpaac</t>
    </r>
    <r>
      <rPr>
        <sz val="10"/>
        <color theme="1"/>
        <rFont val="Arial"/>
      </rPr>
      <t xml:space="preserve">                                                                                                                                                                                                                                                   President                                                                                                                                                                                                                                                                 </t>
    </r>
    <r>
      <rPr>
        <b/>
        <sz val="10"/>
        <color theme="1"/>
        <rFont val="Arial"/>
      </rPr>
      <t xml:space="preserve">Dr. Mirriam Banlawe </t>
    </r>
    <r>
      <rPr>
        <sz val="10"/>
        <color theme="1"/>
        <rFont val="Arial"/>
      </rPr>
      <t xml:space="preserve">                                                                                                                                                                                                                                                Dean, CET</t>
    </r>
  </si>
  <si>
    <t xml:space="preserve">PILOT PLANT </t>
  </si>
  <si>
    <t>TAPI approved Optiserve Technologies, Inc. for funding assistance under the Venture Financing Program amounting to P1,220,000.00 for a project entitled "Integrated ERP Business Solution Package Using Cloud Computing Technologies in the Power Distribution Sector". However, due to damages caused by typhoon Yolanda, Optiserve cannot pay the monthly amortizations due from TAPI. Optiserve requested for a restructuring of refund schedule from October 2014 to May 2015, which was approved by the TAPI Executive Committee. The proponent shall follow the approved Revised Refund Schedule and issue another set of PDCs specifically for the months of February to May 2015.</t>
  </si>
  <si>
    <r>
      <rPr>
        <b/>
        <sz val="10"/>
        <color theme="1"/>
        <rFont val="Arial"/>
      </rPr>
      <t xml:space="preserve">Dr. Georgina J. Bordaddo </t>
    </r>
    <r>
      <rPr>
        <sz val="10"/>
        <color theme="1"/>
        <rFont val="Arial"/>
      </rPr>
      <t xml:space="preserve">                                                                                                                                                                                                                                           SUC President III                                                                                                                                                                                                                                                            </t>
    </r>
    <r>
      <rPr>
        <b/>
        <sz val="10"/>
        <color theme="1"/>
        <rFont val="Arial"/>
      </rPr>
      <t xml:space="preserve">Joel Paulite Sadol  </t>
    </r>
    <r>
      <rPr>
        <sz val="10"/>
        <color theme="1"/>
        <rFont val="Arial"/>
      </rPr>
      <t xml:space="preserve">                                                                                                                                                                                                                                                     Study Leader</t>
    </r>
  </si>
  <si>
    <t>The Consultancy for Agricultural and Manufacturing Productivity Improvement (CAMPI) provides focused S&amp;T interventions to improve productivity of SMEs, encouraging the private sector to adopt government generated S&amp;T innovations. Four consultancy firms have submitted proposals for possible funding under CAMPI to provide consultancy services to various proponents in the following Regions: CALABARZON, VI, NPPC, and TPPSC. The consultancy engagements shall focus on current technology requirements of the firms that will make them competitive in the local and export market. The TAPI Executive Committee approved the funding support for the program on 11 November 2014.</t>
  </si>
  <si>
    <r>
      <rPr>
        <sz val="10"/>
        <color theme="1"/>
        <rFont val="Arial"/>
      </rPr>
      <t xml:space="preserve">1.  475,000                                                                                                                                                      2.  494,400                                                                                                                                                3.  302,000                                                                                                                                                     </t>
    </r>
    <r>
      <rPr>
        <b/>
        <sz val="10"/>
        <color theme="1"/>
        <rFont val="Arial"/>
      </rPr>
      <t>TOTAL:  1,271,400</t>
    </r>
  </si>
  <si>
    <t>PROTO</t>
  </si>
  <si>
    <t>Thomson Innovation is the leading IP intelligence and collaboration platform that combines the most relevant content, easy-to-use productivity and collaboration tools, and powerful analysis and visualization tools that save time and improve the quality of IP research.</t>
  </si>
  <si>
    <t>The request is for the approval for the replacement to the previously approved projects amounting to P47,031.75</t>
  </si>
  <si>
    <t>Mage</t>
  </si>
  <si>
    <t>The project "Establishment of Quality Management System Conforming to ISO 9001:2008 Standard for the Technology Application and Promotion Institute" started in 2011 and was awarded an ISO 9001 Certificate in 2012. A yearly Surveillance Audit and Internal Audit were conducted to determine the effectiveness of the QMS and identify areas for improvement. There is a need to upgrade the capability of the Internal Auditors and major focal persons of the ISO project for a more effective execution of their functions. The TAPI Executive Committee approved the project during its Special TAPI Execom Meeting on 06 March 2013.</t>
  </si>
  <si>
    <t>The TAPI Executive Committee has approved financial assistance for the fabrication and production of exhibit materials and miniatures of the Automated Guideway Transit (AGT) System, Electric Unit retrofitting for PNR Railway System and Centrally-Powered Hybrid Electric Road Train to be featured in the 2013 NSTW Celebration. This will create awareness of the latest technologies and innovations for the Metals and Engineering (M&amp;E) industries.</t>
  </si>
  <si>
    <r>
      <rPr>
        <sz val="10"/>
        <color theme="1"/>
        <rFont val="Arial"/>
      </rPr>
      <t xml:space="preserve"> 261,200.00 (MDS Trust TECHNICOM)                                                                                                  99,400.00 (TAI-GIA)                                                                                                                               </t>
    </r>
    <r>
      <rPr>
        <b/>
        <sz val="10"/>
        <color theme="1"/>
        <rFont val="Arial"/>
      </rPr>
      <t>Total:  360,600</t>
    </r>
  </si>
  <si>
    <t>24/05/2013</t>
  </si>
  <si>
    <r>
      <rPr>
        <sz val="10"/>
        <color theme="1"/>
        <rFont val="Arial"/>
      </rPr>
      <t xml:space="preserve"> 692,000 .00 (lastic Granulator)                                                       584,000.00 ( Brick Making Machine)                                                     </t>
    </r>
    <r>
      <rPr>
        <b/>
        <sz val="10"/>
        <color theme="1"/>
        <rFont val="Arial"/>
      </rPr>
      <t>Total:  1,276,000.00</t>
    </r>
  </si>
  <si>
    <r>
      <rPr>
        <sz val="10"/>
        <color theme="1"/>
        <rFont val="Arial"/>
      </rPr>
      <t>10,500,000(ST)3,780,000(TAI)Total:14,280,000</t>
    </r>
  </si>
  <si>
    <t>TAPI provides financial assistance for technology packaging and promotion, technology-based enterprise development, productivity improvement and consultancy, invention development and other technology transfer activities. The TAPI Executive Committee has approved budgetary requirements for the 2012 DOST Support for Science and Technology Promotion in Trade and Exhibitions from January-31 December 2012.</t>
  </si>
  <si>
    <r>
      <rPr>
        <sz val="10"/>
        <color theme="1"/>
        <rFont val="Arial"/>
      </rPr>
      <t xml:space="preserve"> 10,500,000 ( ST)                                                                           3,780,000 (TAI)                                                                                  </t>
    </r>
    <r>
      <rPr>
        <b/>
        <sz val="10"/>
        <color theme="1"/>
        <rFont val="Arial"/>
      </rPr>
      <t>Total: 14, 280,000</t>
    </r>
  </si>
  <si>
    <t>The TAPI Executive Committee has approved DOST-EXECOM to fund a project to commemorate the 5th Anniversary of Filipinnovation in November 2012.</t>
  </si>
  <si>
    <t>The TAPI Executive Committee has approved the DOST Support for Science and Technology Promotion in Trade &amp; Exhibitions project during its meeting on March 2, 2012.</t>
  </si>
  <si>
    <t>The TAP! Executive Committee has approved funding assistance for the fabrication of exhibits to showcase DOST Regional Offices' programs, services and assistance.</t>
  </si>
  <si>
    <t>The TAPI Executive Committee has approved funding for the upgrading of DEC to provide better service and a more interactive and modern display and exhibit system.</t>
  </si>
  <si>
    <r>
      <rPr>
        <sz val="10"/>
        <color theme="1"/>
        <rFont val="Arial"/>
      </rPr>
      <t xml:space="preserve"> 466,600.00 (2 Units @ 233,300)                                                      216,600.00 (2 units @ 108,300)                                                      </t>
    </r>
    <r>
      <rPr>
        <b/>
        <sz val="10"/>
        <color theme="1"/>
        <rFont val="Arial"/>
      </rPr>
      <t>Total:  683, 200.00</t>
    </r>
  </si>
  <si>
    <r>
      <rPr>
        <sz val="10"/>
        <color theme="1"/>
        <rFont val="Arial"/>
      </rPr>
      <t xml:space="preserve">* 33,150.00                                                                                                 * 35,568.00                                                                                           </t>
    </r>
    <r>
      <rPr>
        <b/>
        <sz val="10"/>
        <color theme="1"/>
        <rFont val="Arial"/>
      </rPr>
      <t>Total:  68,718.00</t>
    </r>
  </si>
  <si>
    <t xml:space="preserve"> 247,000.00 ( 27 farmer beneficiaries)</t>
  </si>
  <si>
    <r>
      <rPr>
        <sz val="10"/>
        <color theme="1"/>
        <rFont val="Arial"/>
      </rPr>
      <t xml:space="preserve"> 6,700,000.00                                                                                        7,700,000.00                                                                                    </t>
    </r>
    <r>
      <rPr>
        <b/>
        <sz val="10"/>
        <color theme="1"/>
        <rFont val="Arial"/>
      </rPr>
      <t>Total: 14,400,000.00</t>
    </r>
  </si>
  <si>
    <t>TAPI was tasked with implementing Republic Act No. 7459, otherwise known as the "Investors and Incentives Act of the Philippines," which provides assistance to inventors since the promulgation of the Act in 1992.
Budgetary requirements for the implementation of RICE in 16 Regions of the 2013 Regional Invention Contests and Exhibits (RICE) as the qualifying rounds for the 2014 National Invention Contest have been approved.</t>
  </si>
  <si>
    <r>
      <rPr>
        <sz val="10"/>
        <color theme="1"/>
        <rFont val="Arial"/>
      </rPr>
      <t xml:space="preserve"> 4,600,440.00 (DOST-GIA)                                                               1,830,000.00 (TAI-GIA)                                                                </t>
    </r>
    <r>
      <rPr>
        <b/>
        <sz val="10"/>
        <color theme="1"/>
        <rFont val="Arial"/>
      </rPr>
      <t>Total: 6,430,440.00</t>
    </r>
  </si>
  <si>
    <t xml:space="preserve">Reproduction of Business Guides, TLIDS Brochures, Course Schedules, Ads Forms, Video Course on Putting Your Business On-Line
</t>
  </si>
  <si>
    <t>Design of Exhibit Booth and Production of Exhibit Materials
Production of Information Materials on Featured FPRDI Technologies</t>
  </si>
  <si>
    <t xml:space="preserve">Professional Services and Fabrication of PTRI Exhibit Concept &amp; Packaging, Conversion of fabrics into apparels/sewing Printing of leaflets
</t>
  </si>
  <si>
    <t xml:space="preserve">As the information and marketing arm of the Department of Science and Technology (DOST) and the national repository of science and technology data, STII O continuously develops creative solutions and partnerships in promoting science and technology. Thus, making S&amp;T information readily available to its clients and other interested publics.
This year's concept is to present STII's information services and delivery mechanisms highlighting the 30 years of S&amp;T Post, roll-out of STARBOOKS, and the services of science.ph, and the continuing campaign for Juan Time, The New Filipino Time using the traditional, self-standing and transportable exhibit panels and electronic media.
</t>
  </si>
  <si>
    <t>Contract Services for Exhibit Design, Conceptual- ization and Fabrication of the Exhibit
Printing of Information
Materials</t>
  </si>
  <si>
    <t>Exhibit Design, Fabrication/ Refurbishing of existing exhibit system, additional banners and display systems and installation services
Technology Brochures</t>
  </si>
  <si>
    <t xml:space="preserve">Fabrication of Backdrop Panels
Printing of Various Flyers/ Brochures
</t>
  </si>
  <si>
    <t xml:space="preserve">The inventor is requesting for financial assistance under the Testing and Analyses Assistance Program. The objective of the test is to validate the claims of the invemtor that his product can produce enormous amount of heat and have longer burning time.
Write to
</t>
  </si>
  <si>
    <t>81,347.40.00</t>
  </si>
  <si>
    <t>Fabrication of exhibit materials
Printing of techno-flyers/ brochures</t>
  </si>
  <si>
    <t xml:space="preserve">Seed capital to cover the operating expenses for the implementation of the projects under the DATBED Program
</t>
  </si>
  <si>
    <t>The activity is one of the highlights of the Science and Technilogy Week in the Los Banos Sciebce Community with the objectives of increasing the awareness of the participants on health, livelihood and environment and promoting the One-Barangay-One Product Projetc (OBOP) of the municipality of Los Banos.</t>
  </si>
  <si>
    <t>ITSO</t>
  </si>
  <si>
    <t>TAPI provides financial assistance for technology packaging and promotion, technology-based enterprise development, productivity improvement and consultancy, invention development and other technology transfer activities and hereby resolved to approved the sponsorship of cash award for one (1) Filipinnovation Awardee which is a Filipino start-up company in recognition of its innovative and technological efforts business development.</t>
  </si>
  <si>
    <r>
      <rPr>
        <sz val="10"/>
        <color theme="1"/>
        <rFont val="Arial"/>
      </rPr>
      <t xml:space="preserve"> 36,927.00                                                                                           46,496.00                                                                                       </t>
    </r>
    <r>
      <rPr>
        <b/>
        <sz val="10"/>
        <color theme="1"/>
        <rFont val="Arial"/>
      </rPr>
      <t>Total:  83,423.00</t>
    </r>
  </si>
  <si>
    <t>2/-/2011</t>
  </si>
  <si>
    <t>Technology Fairs and Expositions Program</t>
  </si>
  <si>
    <t>20.098.21</t>
  </si>
  <si>
    <t xml:space="preserve">
Academe/Industry Prototype Dev. Assistance Program</t>
  </si>
  <si>
    <t>IPS, SRS II</t>
  </si>
  <si>
    <r>
      <rPr>
        <sz val="10"/>
        <color rgb="FF000000"/>
        <rFont val="Arial"/>
        <scheme val="minor"/>
      </rPr>
      <t xml:space="preserve">The conduct of the three (3) day Forum is a component activity of </t>
    </r>
    <r>
      <rPr>
        <b/>
        <sz val="10"/>
        <color rgb="FF000000"/>
        <rFont val="Arial"/>
        <scheme val="minor"/>
      </rPr>
      <t>2011 RICE</t>
    </r>
    <r>
      <rPr>
        <sz val="10"/>
        <color rgb="FF000000"/>
        <rFont val="Arial"/>
        <scheme val="minor"/>
      </rPr>
      <t xml:space="preserve"> in Region X.</t>
    </r>
  </si>
  <si>
    <t xml:space="preserve">The request for additional funding shall be used to augment for the booth, venue and other facilities expenses.
</t>
  </si>
  <si>
    <t xml:space="preserve">Printing of 3,000 copies of brochures/flyers on Spin Casting Technology Furniture Wrought Iron Technology, and Non- Cyanid Copper and Gold Electroplating Technology.
</t>
  </si>
  <si>
    <t>50,950.0050,950.00</t>
  </si>
  <si>
    <t>Breakdown:
Honoraria: 7,500
Accomodation and PerDiem: 9,000
Gasoline: 3,000
Supplies and Materials: 10,000</t>
  </si>
  <si>
    <t>http://gofile.me/4xaew/gU538FtX3</t>
  </si>
  <si>
    <t>http://gofile.me/4xaew/cFQn6MFX1</t>
  </si>
  <si>
    <t>http://gofile.me/4xaew/qatHb7Ibc</t>
  </si>
  <si>
    <t>http://gofile.me/4xaew/CssiRSmio</t>
  </si>
  <si>
    <t>http://gofile.me/4xaew/XgOdBLUr9</t>
  </si>
  <si>
    <t>http://gofile.me/4xaew/WLm7iQHyT</t>
  </si>
  <si>
    <t>http://gofile.me/4xaew/hzWO0cgyu</t>
  </si>
  <si>
    <t>http://gofile.me/4xaew/jtYhOJTG6</t>
  </si>
  <si>
    <t>http://gofile.me/4xaew/sKaGBlKrS</t>
  </si>
  <si>
    <t>http://gofile.me/4xaew/UEX30iQG1</t>
  </si>
  <si>
    <r>
      <rPr>
        <sz val="10"/>
        <color theme="1"/>
        <rFont val="Arial"/>
      </rPr>
      <t xml:space="preserve">Loreto B. Tolentino                                                                                                                      President                                                                                                                                        Cellokey Incorporated ( </t>
    </r>
    <r>
      <rPr>
        <i/>
        <sz val="10"/>
        <color theme="1"/>
        <rFont val="Arial"/>
      </rPr>
      <t>C</t>
    </r>
    <r>
      <rPr>
        <sz val="10"/>
        <color theme="1"/>
        <rFont val="Arial"/>
      </rPr>
      <t xml:space="preserve">I)                                                                                                   </t>
    </r>
  </si>
  <si>
    <t>http://gofile.me/4xaew/H6Amdezp0</t>
  </si>
  <si>
    <t>http://gofile.me/4xaew/bylHm6zJ9</t>
  </si>
  <si>
    <t>http://gofile.me/4xaew/SxyAkvr3x</t>
  </si>
  <si>
    <t>http://gofile.me/4xaew/59awSqjV8</t>
  </si>
  <si>
    <t>Approval of the project "Purchase Order Financing Assistance of SETUP-Assisted Arnold Louie General Merchandise"
amounting to ONE HUNDRED FORTY-THOUSAND THIRTY-TWO PESOS (P140,032).</t>
  </si>
  <si>
    <t>The DOST-TAOPI approved the project of the Redsea Sefood Delights, Inc. under the Venture Financing Program on 13 June 2019
amounting to P777,970 and the company has already paid 42% of the financial assistance amounting to P324,150 leaving them
with an outstanding balance of P453,820.
On 28 August 2019, the company requested for a six month slide on their refund to start on February 2020 with penalty, On 22 November 2019, TAPI together with DOST III conducted a site visit to remind the company of its obligations and immediate submission of the documents/requirements to avoid further legal complications, and On 29 November 2019, TAPI recieved the DOST III's endorsement of the request for restructuring, However upon validation, the proponents request qualifies under the guidelines of TAPI for deferment of payment.</t>
  </si>
  <si>
    <t>IDD-IBOD</t>
  </si>
  <si>
    <r>
      <rPr>
        <sz val="10"/>
        <color theme="1"/>
        <rFont val="Arial"/>
      </rPr>
      <t xml:space="preserve">Loreto B. Tolentino                                                                                                                      President                                                                                                                                        Cellokey Incorporated ( </t>
    </r>
    <r>
      <rPr>
        <i/>
        <sz val="10"/>
        <color theme="1"/>
        <rFont val="Arial"/>
      </rPr>
      <t>C</t>
    </r>
    <r>
      <rPr>
        <sz val="10"/>
        <color theme="1"/>
        <rFont val="Arial"/>
      </rPr>
      <t xml:space="preserve">I)                                                                                                   </t>
    </r>
  </si>
  <si>
    <r>
      <rPr>
        <sz val="10"/>
        <color theme="1"/>
        <rFont val="Arial"/>
      </rPr>
      <t>The financial assistance is for DOST III's request for the f</t>
    </r>
    <r>
      <rPr>
        <b/>
        <sz val="10"/>
        <color theme="1"/>
        <rFont val="Arial"/>
      </rPr>
      <t>abrication/rental of exhibit booth/venue</t>
    </r>
    <r>
      <rPr>
        <sz val="10"/>
        <color theme="1"/>
        <rFont val="Arial"/>
      </rPr>
      <t xml:space="preserve"> for the 2019 Regional Science and Technology Week (RSTW) chargeable against the Institutional Support for Trade and Exhibitions (ISTE) Program.
</t>
    </r>
  </si>
  <si>
    <r>
      <rPr>
        <sz val="10"/>
        <color theme="1"/>
        <rFont val="Arial"/>
      </rPr>
      <t xml:space="preserve">The financial assistance is for DOST V's request for the </t>
    </r>
    <r>
      <rPr>
        <b/>
        <sz val="10"/>
        <color theme="1"/>
        <rFont val="Arial"/>
      </rPr>
      <t>fabrication and installation of booth/technology exhibits</t>
    </r>
    <r>
      <rPr>
        <sz val="10"/>
        <color theme="1"/>
        <rFont val="Arial"/>
      </rPr>
      <t xml:space="preserve"> for the 2019 Regional Science and Technology Week (RSTW) chargeable against the Institutional Support for Trade and Exhibitions (ISTE) Program.
</t>
    </r>
  </si>
  <si>
    <r>
      <rPr>
        <sz val="10"/>
        <color theme="1"/>
        <rFont val="Arial"/>
      </rPr>
      <t xml:space="preserve">The financial assistance Is for DOST VIII's request for the </t>
    </r>
    <r>
      <rPr>
        <b/>
        <sz val="10"/>
        <color theme="1"/>
        <rFont val="Arial"/>
      </rPr>
      <t>exhibit fabrication</t>
    </r>
    <r>
      <rPr>
        <sz val="10"/>
        <color theme="1"/>
        <rFont val="Arial"/>
      </rPr>
      <t xml:space="preserve"> for the 2019 Regional Science and Technology Week (RSTW) chargeable against the Institutional Support for Trade and Exhibitions (ISTE) Program.
</t>
    </r>
  </si>
  <si>
    <r>
      <rPr>
        <sz val="10"/>
        <color theme="1"/>
        <rFont val="Arial"/>
      </rPr>
      <t>The financial assistance is for</t>
    </r>
    <r>
      <rPr>
        <b/>
        <sz val="10"/>
        <color theme="1"/>
        <rFont val="Arial"/>
      </rPr>
      <t xml:space="preserve"> DOST II's </t>
    </r>
    <r>
      <rPr>
        <sz val="10"/>
        <color theme="1"/>
        <rFont val="Arial"/>
      </rPr>
      <t>request for the design and fabrication of exhibit booths for the  2019 RSTW chargeable against the Institutional Support for Trade and Exhbitions (ISTE) Program.</t>
    </r>
  </si>
  <si>
    <r>
      <rPr>
        <sz val="10"/>
        <color theme="1"/>
        <rFont val="Arial"/>
      </rPr>
      <t xml:space="preserve">The financail assistance is for </t>
    </r>
    <r>
      <rPr>
        <b/>
        <sz val="10"/>
        <color theme="1"/>
        <rFont val="Arial"/>
      </rPr>
      <t>DOST-MIMAROPA's</t>
    </r>
    <r>
      <rPr>
        <sz val="10"/>
        <color theme="1"/>
        <rFont val="Arial"/>
      </rPr>
      <t xml:space="preserve"> request for the fabrication/rental of exhibit booth for the 2019 Regional Science and Technology (RSTW) chargeable against the Institutional Support for Trade Exhibitions (ISTE) Program.</t>
    </r>
  </si>
  <si>
    <r>
      <rPr>
        <sz val="10"/>
        <color theme="1"/>
        <rFont val="Arial"/>
      </rPr>
      <t xml:space="preserve">The financial assistance is for </t>
    </r>
    <r>
      <rPr>
        <b/>
        <sz val="10"/>
        <color theme="1"/>
        <rFont val="Arial"/>
      </rPr>
      <t>DOST Region VI's</t>
    </r>
    <r>
      <rPr>
        <sz val="10"/>
        <color theme="1"/>
        <rFont val="Arial"/>
      </rPr>
      <t xml:space="preserve"> request for the fabrication and rental of booth for the 2019 National Science and Technology Week (NSTW) chargeable against the Institutional Support for Trade and Exhibitions  (ISTE) Program.</t>
    </r>
  </si>
  <si>
    <r>
      <rPr>
        <sz val="10"/>
        <color theme="1"/>
        <rFont val="Arial"/>
      </rPr>
      <t xml:space="preserve">The financial assistance is for </t>
    </r>
    <r>
      <rPr>
        <b/>
        <sz val="10"/>
        <color theme="1"/>
        <rFont val="Arial"/>
      </rPr>
      <t>DOST Region X's</t>
    </r>
    <r>
      <rPr>
        <sz val="10"/>
        <color theme="1"/>
        <rFont val="Arial"/>
      </rPr>
      <t xml:space="preserve"> request for the fabrication of exhibit materials and rental of venue for the 2019 Regional Science and Technology Week (RSTW) chargeable against the Institutional Support for Trade and Exhibitions (ISTE) Program.</t>
    </r>
  </si>
  <si>
    <r>
      <rPr>
        <sz val="10"/>
        <color theme="1"/>
        <rFont val="Arial"/>
      </rPr>
      <t>The</t>
    </r>
    <r>
      <rPr>
        <b/>
        <sz val="10"/>
        <color theme="1"/>
        <rFont val="Arial"/>
      </rPr>
      <t xml:space="preserve"> Revised Implementing Guidelines of the Venture Financing Program (VFP)</t>
    </r>
    <r>
      <rPr>
        <sz val="10"/>
        <color theme="1"/>
        <rFont val="Arial"/>
      </rPr>
      <t xml:space="preserve"> was last presented during the TAPI Executive Committee (ExeCom) Meeting on 07 August 2019. The comments/suggestions of the TAPI ExeCom Members are already incorporated.</t>
    </r>
  </si>
  <si>
    <r>
      <rPr>
        <b/>
        <sz val="10"/>
        <color theme="1"/>
        <rFont val="Arial"/>
      </rPr>
      <t>Candy R. Lanzuela</t>
    </r>
    <r>
      <rPr>
        <sz val="10"/>
        <color theme="1"/>
        <rFont val="Arial"/>
      </rPr>
      <t xml:space="preserve">                                                                                        Managing Director                                                                                        </t>
    </r>
    <r>
      <rPr>
        <b/>
        <sz val="10"/>
        <color theme="1"/>
        <rFont val="Arial"/>
      </rPr>
      <t xml:space="preserve">Global Marketing and Construction Corporation                                 </t>
    </r>
  </si>
  <si>
    <r>
      <rPr>
        <sz val="10"/>
        <color theme="1"/>
        <rFont val="Arial"/>
      </rPr>
      <t>The 65th PhilAAST Convention will be held in Manila on 22-23 September 2016 in conjunction with the 8th ASIAHORC's Joint Symposium with the theme</t>
    </r>
    <r>
      <rPr>
        <b/>
        <sz val="10"/>
        <color theme="1"/>
        <rFont val="Arial"/>
      </rPr>
      <t xml:space="preserve"> "Impact of the Changing Environment and Global Health"</t>
    </r>
    <r>
      <rPr>
        <sz val="10"/>
        <color theme="1"/>
        <rFont val="Arial"/>
      </rPr>
      <t>. The activity will feature 5 technical sessions on: health resilience to climate change, health disaster risk management, vector borne disease and climate change, environmental stressors in diseases and promoting health while mitigating climate change.</t>
    </r>
  </si>
  <si>
    <r>
      <rPr>
        <sz val="10"/>
        <color theme="1"/>
        <rFont val="Arial"/>
      </rPr>
      <t xml:space="preserve">As part of PTRI's participation in the upcomong 2016 National Science and Technology Week (NSTW), the Institute will showcase its products and services in a lifestyle concept, </t>
    </r>
    <r>
      <rPr>
        <b/>
        <sz val="10"/>
        <color theme="1"/>
        <rFont val="Arial"/>
      </rPr>
      <t>"Live and Dye Happy"</t>
    </r>
    <r>
      <rPr>
        <sz val="10"/>
        <color theme="1"/>
        <rFont val="Arial"/>
      </rPr>
      <t xml:space="preserve">. In addition, PTRI will also conduct a forum that will highlight </t>
    </r>
    <r>
      <rPr>
        <b/>
        <sz val="10"/>
        <color theme="1"/>
        <rFont val="Arial"/>
      </rPr>
      <t>Upscaling the Production and Application of Philippine Natural Dyes</t>
    </r>
    <r>
      <rPr>
        <sz val="10"/>
        <color theme="1"/>
        <rFont val="Arial"/>
      </rPr>
      <t xml:space="preserve"> as one of the core projects under the Revitalization of the Philippine Textile and Garment Industries thru Science &amp; Technology Program.</t>
    </r>
  </si>
  <si>
    <r>
      <rPr>
        <sz val="10"/>
        <color theme="1"/>
        <rFont val="Arial"/>
      </rPr>
      <t xml:space="preserve">As a </t>
    </r>
    <r>
      <rPr>
        <b/>
        <sz val="10"/>
        <color theme="1"/>
        <rFont val="Arial"/>
      </rPr>
      <t>"Haven of Excellence"</t>
    </r>
    <r>
      <rPr>
        <sz val="10"/>
        <color theme="1"/>
        <rFont val="Arial"/>
      </rPr>
      <t xml:space="preserve"> in the field of Science and Research Education, the Regional Science Education is committed in developing their learner's creativity and scientific habits which can surely help teachers make Science and Technology fun and enjoyable to the students.</t>
    </r>
  </si>
  <si>
    <r>
      <rPr>
        <sz val="10"/>
        <color theme="1"/>
        <rFont val="Arial"/>
      </rPr>
      <t xml:space="preserve">Eighteen (18) Fisheries students will implement the project by further development of the CLSU's tilapia postharvest enterprise management called Tilanggit. It is a combination of two (2) postharvest processes which is salting and drying. Tilanggit is similar to danggit, however, the project will use tilapia instead of rabbitfish. However, the term "tilanggit" was already a registered trademark, thus, the students will use </t>
    </r>
    <r>
      <rPr>
        <b/>
        <sz val="10"/>
        <color theme="1"/>
        <rFont val="Arial"/>
      </rPr>
      <t>Tila-ding</t>
    </r>
    <r>
      <rPr>
        <sz val="10"/>
        <color theme="1"/>
        <rFont val="Arial"/>
      </rPr>
      <t xml:space="preserve"> (short for Tilapiang-daing).</t>
    </r>
  </si>
  <si>
    <r>
      <rPr>
        <sz val="10"/>
        <color theme="1"/>
        <rFont val="Arial"/>
      </rPr>
      <t xml:space="preserve">The forum could further enhance the inventors` awareness on entrepreneurship and financial management. The Forum was organized in celebration of the </t>
    </r>
    <r>
      <rPr>
        <b/>
        <sz val="10"/>
        <color theme="1"/>
        <rFont val="Arial"/>
      </rPr>
      <t>National  Inventors Week (NIW)</t>
    </r>
    <r>
      <rPr>
        <sz val="10"/>
        <color theme="1"/>
        <rFont val="Arial"/>
      </rPr>
      <t xml:space="preserve"> on 14-18 November 2016 at the DOST Compound, Bicutan, Taguig City.</t>
    </r>
  </si>
  <si>
    <r>
      <rPr>
        <sz val="10"/>
        <color theme="1"/>
        <rFont val="Arial"/>
      </rPr>
      <t>MIRDC is requesting for assistance in printing of promotional materials of A</t>
    </r>
    <r>
      <rPr>
        <b/>
        <sz val="10"/>
        <color theme="1"/>
        <rFont val="Arial"/>
      </rPr>
      <t>utomated Guideway Transit and Hybrid Electric Road Train</t>
    </r>
    <r>
      <rPr>
        <sz val="10"/>
        <color theme="1"/>
        <rFont val="Arial"/>
      </rPr>
      <t xml:space="preserve"> for continous promotion of the MIRDC- developed technologies. During the 2016 NSTW, MIRDC has distributed promotional materials to their guest and visitors, among which are the AGT and Hybrid Electric Road Train.</t>
    </r>
  </si>
  <si>
    <r>
      <rPr>
        <sz val="10"/>
        <color theme="1"/>
        <rFont val="Arial"/>
      </rPr>
      <t>The 12th National Biotechnology Week Celebration's theme</t>
    </r>
    <r>
      <rPr>
        <b/>
        <sz val="10"/>
        <color theme="1"/>
        <rFont val="Arial"/>
      </rPr>
      <t xml:space="preserve"> "Bioteknolohiya: Kaagapay ng Mamayan sa Kaunlaran"</t>
    </r>
    <r>
      <rPr>
        <sz val="10"/>
        <color theme="1"/>
        <rFont val="Arial"/>
      </rPr>
      <t xml:space="preserve"> with the Tagline: </t>
    </r>
    <r>
      <rPr>
        <i/>
        <sz val="10"/>
        <color theme="1"/>
        <rFont val="Arial"/>
      </rPr>
      <t>"Yakapin ang pagbabago, Biotek na tayo!"</t>
    </r>
    <r>
      <rPr>
        <sz val="10"/>
        <color theme="1"/>
        <rFont val="Arial"/>
      </rPr>
      <t xml:space="preserve"> The DOST's plan of activities includes the conduct of Science and Technology Forum, Biotech IEC and Technology Exhibition. Part of the activity is the Technology Showcase and IP Forum to be facilitated by DOST-TAPI on 22 November 2016.</t>
    </r>
  </si>
  <si>
    <r>
      <rPr>
        <sz val="10"/>
        <color theme="1"/>
        <rFont val="Arial"/>
      </rPr>
      <t xml:space="preserve">There are orders from bus and truck companies of the </t>
    </r>
    <r>
      <rPr>
        <b/>
        <sz val="10"/>
        <color theme="1"/>
        <rFont val="Arial"/>
      </rPr>
      <t>Improved Gasifier</t>
    </r>
    <r>
      <rPr>
        <sz val="10"/>
        <color theme="1"/>
        <rFont val="Arial"/>
      </rPr>
      <t>, the results of the test could help in the commercialization effort of the inventor. If the test results are favorable, it will contribute in the reduction of pollution-causing carbon emissions from vehicles.</t>
    </r>
  </si>
  <si>
    <r>
      <rPr>
        <b/>
        <sz val="10"/>
        <color theme="1"/>
        <rFont val="Arial"/>
      </rPr>
      <t>Dr. Elsa R. Manarpaac</t>
    </r>
    <r>
      <rPr>
        <sz val="10"/>
        <color theme="1"/>
        <rFont val="Arial"/>
      </rPr>
      <t xml:space="preserve">                                                                                                                                                                                                                                                   President                                                                                                                                                                                                                                                                 </t>
    </r>
    <r>
      <rPr>
        <b/>
        <sz val="10"/>
        <color theme="1"/>
        <rFont val="Arial"/>
      </rPr>
      <t xml:space="preserve">Dr. Mirriam Banlawe </t>
    </r>
    <r>
      <rPr>
        <sz val="10"/>
        <color theme="1"/>
        <rFont val="Arial"/>
      </rPr>
      <t xml:space="preserve">                                                                                                                                                                                                                                                Dean, CET</t>
    </r>
  </si>
  <si>
    <r>
      <rPr>
        <b/>
        <sz val="10"/>
        <color theme="1"/>
        <rFont val="Arial"/>
      </rPr>
      <t xml:space="preserve">Dr. Georgina J. Bordaddo </t>
    </r>
    <r>
      <rPr>
        <sz val="10"/>
        <color theme="1"/>
        <rFont val="Arial"/>
      </rPr>
      <t xml:space="preserve">                                                                                                                                                                                                                                           SUC President III                                                                                                                                                                                                                                                            </t>
    </r>
    <r>
      <rPr>
        <b/>
        <sz val="10"/>
        <color theme="1"/>
        <rFont val="Arial"/>
      </rPr>
      <t xml:space="preserve">Joel Paulite Sadol  </t>
    </r>
    <r>
      <rPr>
        <sz val="10"/>
        <color theme="1"/>
        <rFont val="Arial"/>
      </rPr>
      <t xml:space="preserve">                                                                                                                                                                                                                                                     Study Leader</t>
    </r>
  </si>
  <si>
    <r>
      <rPr>
        <sz val="10"/>
        <color theme="1"/>
        <rFont val="Arial"/>
      </rPr>
      <t>10,500,000(ST)3,780,000(TAI)Total:14,280,000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</si>
</sst>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
    <numFmt numFmtId="165" formatCode="m/d/yyyy"/>
    <numFmt numFmtId="166" formatCode="m/d/yy"/>
    <numFmt numFmtId="167" formatCode="yyyy\-mm"/>
    <numFmt numFmtId="168" formatCode="yyyy\-m"/>
    <numFmt numFmtId="169" formatCode="#,##0.0000"/>
    <numFmt numFmtId="170" formatCode="#,##0.000"/>
    <numFmt numFmtId="171" formatCode="#,##0.00;\(#,##0.00\)"/>
    <numFmt numFmtId="172" formatCode="mmm\ d"/>
    <numFmt numFmtId="173" formatCode="#,##0;\(#,##0\)"/>
    <numFmt numFmtId="174" formatCode="[$₱]#,##0.00"/>
    <numFmt numFmtId="175" formatCode="d\ mmm\ yyyy"/>
    <numFmt numFmtId="176" formatCode="&quot;$&quot;#,##0.00"/>
    <numFmt numFmtId="177" formatCode="m\-d\-yyyy"/>
    <numFmt numFmtId="178" formatCode="mm/dd/yyyy"/>
  </numFmts>
  <fonts count="127">
    <font>
      <sz val="10"/>
      <color rgb="FF000000"/>
      <name val="Arial"/>
      <scheme val="minor"/>
    </font>
    <font>
      <b/>
      <sz val="10"/>
      <color theme="1"/>
      <name val="Arial"/>
      <scheme val="minor"/>
    </font>
    <font>
      <sz val="10"/>
      <color theme="1"/>
      <name val="Arial"/>
      <scheme val="minor"/>
    </font>
    <font>
      <u/>
      <sz val="10"/>
      <color theme="1"/>
      <name val="Arial"/>
      <scheme val="minor"/>
    </font>
    <font>
      <sz val="10"/>
      <color theme="1"/>
      <name val="Arial"/>
    </font>
    <font>
      <sz val="10"/>
      <color rgb="FF000000"/>
      <name val="Arial"/>
    </font>
    <font>
      <sz val="10"/>
      <color rgb="FF222222"/>
      <name val="Arial"/>
    </font>
    <font>
      <sz val="10"/>
      <color theme="1"/>
      <name val="Arial"/>
    </font>
    <font>
      <b/>
      <sz val="10"/>
      <color theme="1"/>
      <name val="Arial"/>
    </font>
    <font>
      <b/>
      <sz val="10"/>
      <color theme="1"/>
      <name val="Arial"/>
      <scheme val="minor"/>
    </font>
    <font>
      <sz val="10"/>
      <color theme="1"/>
      <name val="Arial"/>
      <scheme val="minor"/>
    </font>
    <font>
      <sz val="10"/>
      <color rgb="FF000000"/>
      <name val="Roboto"/>
    </font>
    <font>
      <sz val="10"/>
      <color rgb="FF000000"/>
      <name val="Roboto"/>
    </font>
    <font>
      <sz val="11"/>
      <color rgb="FF000000"/>
      <name val="Arial"/>
    </font>
    <font>
      <sz val="11"/>
      <color theme="1"/>
      <name val="Arial"/>
    </font>
    <font>
      <sz val="10"/>
      <color rgb="FF202124"/>
      <name val="Arial"/>
    </font>
    <font>
      <sz val="11"/>
      <color rgb="FF000000"/>
      <name val="Roboto"/>
    </font>
    <font>
      <sz val="10"/>
      <color rgb="FF000000"/>
      <name val="Arial"/>
    </font>
    <font>
      <sz val="10"/>
      <color rgb="FF252525"/>
      <name val="Arial"/>
      <scheme val="minor"/>
    </font>
    <font>
      <b/>
      <sz val="10"/>
      <color rgb="FF4D5156"/>
      <name val="Arial"/>
      <scheme val="minor"/>
    </font>
    <font>
      <sz val="10"/>
      <color rgb="FF000000"/>
      <name val="Arial"/>
      <scheme val="minor"/>
    </font>
    <font>
      <sz val="11"/>
      <color rgb="FF202124"/>
      <name val="Arial"/>
    </font>
    <font>
      <sz val="10"/>
      <color theme="1"/>
      <name val="Roboto"/>
    </font>
    <font>
      <sz val="10"/>
      <color rgb="FFFFFFFF"/>
      <name val="Arial"/>
      <scheme val="minor"/>
    </font>
    <font>
      <sz val="10"/>
      <color rgb="FF202124"/>
      <name val="Arial"/>
      <scheme val="minor"/>
    </font>
    <font>
      <b/>
      <sz val="10"/>
      <color rgb="FF202124"/>
      <name val="Arial"/>
      <scheme val="minor"/>
    </font>
    <font>
      <sz val="10"/>
      <color rgb="FF000000"/>
      <name val="Docs-Roboto"/>
    </font>
    <font>
      <b/>
      <sz val="10"/>
      <color rgb="FF000000"/>
      <name val="Arial"/>
    </font>
    <font>
      <b/>
      <sz val="10"/>
      <color theme="1"/>
      <name val="Arial"/>
    </font>
    <font>
      <b/>
      <sz val="10"/>
      <color rgb="FF000000"/>
      <name val="Arial"/>
      <scheme val="minor"/>
    </font>
    <font>
      <sz val="11"/>
      <color theme="1"/>
      <name val="Calibri"/>
    </font>
    <font>
      <u/>
      <sz val="10"/>
      <color rgb="FF0000FF"/>
      <name val="Arial"/>
    </font>
    <font>
      <u/>
      <sz val="10"/>
      <color rgb="FF0000FF"/>
      <name val="Arial"/>
    </font>
    <font>
      <u/>
      <sz val="10"/>
      <color rgb="FF0000FF"/>
      <name val="Arial"/>
    </font>
    <font>
      <u/>
      <sz val="10"/>
      <color rgb="FF0000FF"/>
      <name val="Arial"/>
    </font>
    <font>
      <sz val="8"/>
      <color theme="1"/>
      <name val="Arial"/>
      <scheme val="minor"/>
    </font>
    <font>
      <b/>
      <sz val="12"/>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0"/>
      <color rgb="FFFFFFFF"/>
      <name val="Arial"/>
      <scheme val="minor"/>
    </font>
    <font>
      <sz val="10"/>
      <name val="Arial"/>
    </font>
    <font>
      <sz val="10"/>
      <color rgb="FFFF0000"/>
      <name val="Arial"/>
      <scheme val="minor"/>
    </font>
    <font>
      <b/>
      <sz val="11"/>
      <color rgb="FF000000"/>
      <name val="&quot;Arial Narrow&quot;"/>
    </font>
    <font>
      <sz val="11"/>
      <color rgb="FF000000"/>
      <name val="&quot;Arial Narrow&quot;"/>
    </font>
    <font>
      <i/>
      <sz val="10"/>
      <color theme="1"/>
      <name val="Arial"/>
      <scheme val="minor"/>
    </font>
    <font>
      <b/>
      <sz val="10"/>
      <color rgb="FFFF0000"/>
      <name val="Arial"/>
      <scheme val="minor"/>
    </font>
    <font>
      <u/>
      <sz val="10"/>
      <color rgb="FF0000FF"/>
      <name val="Arial"/>
    </font>
    <font>
      <u/>
      <sz val="10"/>
      <color rgb="FF0000FF"/>
      <name val="Arial"/>
    </font>
    <font>
      <u/>
      <sz val="10"/>
      <color rgb="FF000000"/>
      <name val="Roboto"/>
    </font>
    <font>
      <u/>
      <sz val="10"/>
      <color rgb="FF0000FF"/>
      <name val="Arial"/>
    </font>
    <font>
      <u/>
      <sz val="10"/>
      <color rgb="FF0000FF"/>
      <name val="Arial"/>
    </font>
    <font>
      <u/>
      <sz val="10"/>
      <color rgb="FF000000"/>
      <name val="Roboto"/>
    </font>
    <font>
      <u/>
      <sz val="10"/>
      <color rgb="FF0000FF"/>
      <name val="Arial"/>
    </font>
    <font>
      <u/>
      <sz val="10"/>
      <color rgb="FF000000"/>
      <name val="Roboto"/>
    </font>
    <font>
      <u/>
      <sz val="10"/>
      <color rgb="FF0000FF"/>
      <name val="Arial"/>
    </font>
    <font>
      <u/>
      <sz val="10"/>
      <color rgb="FF000000"/>
      <name val="Roboto"/>
    </font>
    <font>
      <u/>
      <sz val="10"/>
      <color rgb="FF000000"/>
      <name val="Roboto"/>
    </font>
    <font>
      <u/>
      <sz val="10"/>
      <color rgb="FF000000"/>
      <name val="Roboto"/>
    </font>
    <font>
      <u/>
      <sz val="10"/>
      <color rgb="FF000000"/>
      <name val="Roboto"/>
    </font>
    <font>
      <u/>
      <sz val="10"/>
      <color rgb="FF000000"/>
      <name val="Roboto"/>
    </font>
    <font>
      <u/>
      <sz val="10"/>
      <color rgb="FF0000FF"/>
      <name val="Arial"/>
    </font>
    <font>
      <u/>
      <sz val="10"/>
      <color rgb="FF0000FF"/>
      <name val="Arial"/>
    </font>
    <font>
      <u/>
      <sz val="10"/>
      <color rgb="FF0000FF"/>
      <name val="Arial"/>
    </font>
    <font>
      <u/>
      <sz val="10"/>
      <color rgb="FF0000FF"/>
      <name val="Arial"/>
    </font>
    <font>
      <u/>
      <sz val="10"/>
      <color rgb="FF000000"/>
      <name val="Arial"/>
    </font>
    <font>
      <u/>
      <sz val="10"/>
      <color rgb="FF0000FF"/>
      <name val="Arial"/>
    </font>
    <font>
      <u/>
      <sz val="10"/>
      <color rgb="FF0000FF"/>
      <name val="Arial"/>
    </font>
    <font>
      <u/>
      <sz val="10"/>
      <color rgb="FF0000FF"/>
      <name val="Arial"/>
    </font>
    <font>
      <sz val="10"/>
      <color rgb="FF000000"/>
      <name val="Arial"/>
    </font>
    <font>
      <u/>
      <sz val="10"/>
      <color rgb="FF000000"/>
      <name val="Roboto"/>
    </font>
    <font>
      <u/>
      <sz val="10"/>
      <color rgb="FF0000FF"/>
      <name val="Roboto"/>
    </font>
    <font>
      <u/>
      <sz val="10"/>
      <color rgb="FF0000FF"/>
      <name val="Roboto"/>
    </font>
    <font>
      <u/>
      <sz val="10"/>
      <color rgb="FF000000"/>
      <name val="Roboto"/>
    </font>
    <font>
      <sz val="9"/>
      <color rgb="FF000000"/>
      <name val="Arial"/>
    </font>
    <font>
      <u/>
      <sz val="10"/>
      <color rgb="FF000000"/>
      <name val="Roboto"/>
    </font>
    <font>
      <u/>
      <sz val="10"/>
      <color rgb="FF000000"/>
      <name val="Roboto"/>
    </font>
    <font>
      <u/>
      <sz val="10"/>
      <color rgb="FF0000FF"/>
      <name val="Roboto"/>
    </font>
    <font>
      <u/>
      <sz val="10"/>
      <color rgb="FF0000FF"/>
      <name val="Arial"/>
    </font>
    <font>
      <u/>
      <sz val="10"/>
      <color rgb="FF1155CC"/>
      <name val="Arial"/>
    </font>
    <font>
      <u/>
      <sz val="10"/>
      <color rgb="FF1155CC"/>
      <name val="Roboto"/>
    </font>
    <font>
      <sz val="12"/>
      <color theme="1"/>
      <name val="Arial"/>
      <scheme val="minor"/>
    </font>
    <font>
      <u/>
      <sz val="10"/>
      <color rgb="FF0000FF"/>
      <name val="Arial"/>
    </font>
    <font>
      <u/>
      <sz val="10"/>
      <color rgb="FF0000FF"/>
      <name val="Arial"/>
    </font>
    <font>
      <u/>
      <sz val="10"/>
      <color rgb="FF0000FF"/>
      <name val="Arial"/>
    </font>
    <font>
      <b/>
      <sz val="10"/>
      <color rgb="FF000000"/>
      <name val="Arial"/>
      <scheme val="minor"/>
    </font>
    <font>
      <u/>
      <sz val="10"/>
      <color rgb="FF1155CC"/>
      <name val="Arial"/>
    </font>
    <font>
      <u/>
      <sz val="10"/>
      <color rgb="FF0000FF"/>
      <name val="Arial"/>
    </font>
    <font>
      <sz val="9"/>
      <color rgb="FFFFFFFF"/>
      <name val="Arial"/>
    </font>
    <font>
      <u/>
      <sz val="10"/>
      <color rgb="FF0000FF"/>
      <name val="Arial"/>
    </font>
    <font>
      <u/>
      <sz val="10"/>
      <color rgb="FF0000FF"/>
      <name val="Arial"/>
    </font>
    <font>
      <sz val="10"/>
      <color rgb="FFF3F3F3"/>
      <name val="Arial"/>
      <scheme val="minor"/>
    </font>
    <font>
      <u/>
      <sz val="10"/>
      <color rgb="FF0000FF"/>
      <name val="Roboto"/>
    </font>
    <font>
      <u/>
      <sz val="10"/>
      <color rgb="FF0000FF"/>
      <name val="Roboto"/>
    </font>
    <font>
      <u/>
      <sz val="10"/>
      <color rgb="FF0000FF"/>
      <name val="Arial"/>
    </font>
    <font>
      <u/>
      <sz val="10"/>
      <color rgb="FF000000"/>
      <name val="Roboto"/>
    </font>
    <font>
      <u/>
      <sz val="10"/>
      <color rgb="FF0000FF"/>
      <name val="Arial"/>
    </font>
    <font>
      <u/>
      <sz val="10"/>
      <color rgb="FF1155CC"/>
      <name val="Arial"/>
    </font>
    <font>
      <b/>
      <i/>
      <sz val="10"/>
      <color theme="1"/>
      <name val="Arial"/>
      <scheme val="minor"/>
    </font>
    <font>
      <u/>
      <sz val="10"/>
      <color rgb="FF0000FF"/>
      <name val="Roboto"/>
    </font>
    <font>
      <b/>
      <sz val="10"/>
      <color rgb="FF70757A"/>
      <name val="Arial"/>
    </font>
    <font>
      <u/>
      <sz val="10"/>
      <color rgb="FF0000FF"/>
      <name val="Roboto"/>
    </font>
    <font>
      <u/>
      <sz val="10"/>
      <color rgb="FF0000FF"/>
      <name val="Roboto"/>
    </font>
    <font>
      <u/>
      <sz val="10"/>
      <color rgb="FF0000FF"/>
      <name val="Arial"/>
    </font>
    <font>
      <u/>
      <sz val="10"/>
      <color rgb="FF0000FF"/>
      <name val="Arial"/>
    </font>
    <font>
      <u/>
      <sz val="10"/>
      <color rgb="FF0000FF"/>
      <name val="Arial"/>
    </font>
    <font>
      <u/>
      <sz val="10"/>
      <color rgb="FF000000"/>
      <name val="Roboto"/>
    </font>
    <font>
      <u/>
      <sz val="10"/>
      <color rgb="FF000000"/>
      <name val="Roboto"/>
    </font>
    <font>
      <sz val="10"/>
      <color rgb="FF4D5156"/>
      <name val="Arial"/>
      <scheme val="minor"/>
    </font>
    <font>
      <sz val="11"/>
      <color rgb="FF000000"/>
      <name val="Inconsolata"/>
    </font>
    <font>
      <u/>
      <sz val="10"/>
      <color rgb="FF0000FF"/>
      <name val="Arial"/>
    </font>
    <font>
      <u/>
      <sz val="10"/>
      <color rgb="FF0000FF"/>
      <name val="Arial"/>
    </font>
    <font>
      <u/>
      <sz val="10"/>
      <color rgb="FF0000FF"/>
      <name val="Arial"/>
    </font>
    <font>
      <u/>
      <sz val="10"/>
      <color rgb="FF000000"/>
      <name val="Roboto"/>
    </font>
    <font>
      <u/>
      <sz val="10"/>
      <color rgb="FF000000"/>
      <name val="Roboto"/>
    </font>
    <font>
      <u/>
      <sz val="10"/>
      <color rgb="FF000000"/>
      <name val="Roboto"/>
    </font>
    <font>
      <u/>
      <sz val="10"/>
      <color rgb="FF0000FF"/>
      <name val="Arial"/>
    </font>
    <font>
      <u/>
      <sz val="10"/>
      <color rgb="FF0000FF"/>
      <name val="Arial"/>
    </font>
    <font>
      <sz val="10"/>
      <color rgb="FF252525"/>
      <name val="&quot;Open Sans&quot;"/>
    </font>
    <font>
      <u/>
      <sz val="10"/>
      <color rgb="FF000000"/>
      <name val="Arial"/>
    </font>
    <font>
      <i/>
      <sz val="10"/>
      <color theme="1"/>
      <name val="Arial"/>
    </font>
    <font>
      <b/>
      <sz val="10"/>
      <color rgb="FF000000"/>
      <name val="Roboto"/>
    </font>
  </fonts>
  <fills count="20">
    <fill>
      <patternFill patternType="none"/>
    </fill>
    <fill>
      <patternFill patternType="gray125"/>
    </fill>
    <fill>
      <patternFill patternType="solid">
        <fgColor rgb="FFC9DAF8"/>
        <bgColor rgb="FFC9DAF8"/>
      </patternFill>
    </fill>
    <fill>
      <patternFill patternType="solid">
        <fgColor rgb="FFD9D9D9"/>
        <bgColor rgb="FFD9D9D9"/>
      </patternFill>
    </fill>
    <fill>
      <patternFill patternType="solid">
        <fgColor rgb="FFFFFF00"/>
        <bgColor rgb="FFFFFF00"/>
      </patternFill>
    </fill>
    <fill>
      <patternFill patternType="solid">
        <fgColor rgb="FF999999"/>
        <bgColor rgb="FF999999"/>
      </patternFill>
    </fill>
    <fill>
      <patternFill patternType="solid">
        <fgColor rgb="FFFFFFFF"/>
        <bgColor rgb="FFFFFFFF"/>
      </patternFill>
    </fill>
    <fill>
      <patternFill patternType="solid">
        <fgColor rgb="FFB7B7B7"/>
        <bgColor rgb="FFB7B7B7"/>
      </patternFill>
    </fill>
    <fill>
      <patternFill patternType="solid">
        <fgColor rgb="FF000000"/>
        <bgColor rgb="FF000000"/>
      </patternFill>
    </fill>
    <fill>
      <patternFill patternType="solid">
        <fgColor rgb="FFFF9900"/>
        <bgColor rgb="FFFF9900"/>
      </patternFill>
    </fill>
    <fill>
      <patternFill patternType="solid">
        <fgColor rgb="FF8E7CC3"/>
        <bgColor rgb="FF8E7CC3"/>
      </patternFill>
    </fill>
    <fill>
      <patternFill patternType="solid">
        <fgColor rgb="FFFF0000"/>
        <bgColor rgb="FFFF0000"/>
      </patternFill>
    </fill>
    <fill>
      <patternFill patternType="solid">
        <fgColor rgb="FFEA9999"/>
        <bgColor rgb="FFEA9999"/>
      </patternFill>
    </fill>
    <fill>
      <patternFill patternType="solid">
        <fgColor theme="7"/>
        <bgColor theme="7"/>
      </patternFill>
    </fill>
    <fill>
      <patternFill patternType="solid">
        <fgColor rgb="FFF4CCCC"/>
        <bgColor rgb="FFF4CCCC"/>
      </patternFill>
    </fill>
    <fill>
      <patternFill patternType="solid">
        <fgColor theme="0"/>
        <bgColor theme="0"/>
      </patternFill>
    </fill>
    <fill>
      <patternFill patternType="solid">
        <fgColor rgb="FFCFE2F3"/>
        <bgColor rgb="FFCFE2F3"/>
      </patternFill>
    </fill>
    <fill>
      <patternFill patternType="solid">
        <fgColor rgb="FF6FA8DC"/>
        <bgColor rgb="FF6FA8DC"/>
      </patternFill>
    </fill>
    <fill>
      <patternFill patternType="solid">
        <fgColor rgb="FFCCCCCC"/>
        <bgColor rgb="FFCCCCCC"/>
      </patternFill>
    </fill>
    <fill>
      <patternFill patternType="solid">
        <fgColor rgb="FFEFEFEF"/>
        <bgColor rgb="FFEFEFEF"/>
      </patternFill>
    </fill>
  </fills>
  <borders count="5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style="thin">
        <color rgb="FF000000"/>
      </top>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829">
    <xf numFmtId="0" fontId="0" fillId="0" borderId="0" xfId="0"/>
    <xf numFmtId="0" fontId="1" fillId="2" borderId="1" xfId="0"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5"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horizontal="center" vertical="center" wrapText="1"/>
    </xf>
    <xf numFmtId="165" fontId="2" fillId="0" borderId="1" xfId="0" applyNumberFormat="1" applyFont="1" applyBorder="1" applyAlignment="1">
      <alignment vertical="center"/>
    </xf>
    <xf numFmtId="4" fontId="2" fillId="0" borderId="1" xfId="0" applyNumberFormat="1" applyFont="1" applyBorder="1" applyAlignment="1">
      <alignment horizontal="center" vertical="center"/>
    </xf>
    <xf numFmtId="49" fontId="4" fillId="0" borderId="1" xfId="0" applyNumberFormat="1" applyFont="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3" fontId="4" fillId="0" borderId="1" xfId="0" applyNumberFormat="1" applyFont="1" applyBorder="1" applyAlignment="1">
      <alignment horizontal="center" vertical="center" wrapText="1"/>
    </xf>
    <xf numFmtId="4"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2" fillId="0" borderId="1" xfId="0" applyFont="1" applyBorder="1" applyAlignment="1">
      <alignment horizontal="left" vertical="center" wrapText="1"/>
    </xf>
    <xf numFmtId="4" fontId="2" fillId="0" borderId="1" xfId="0" applyNumberFormat="1" applyFont="1" applyBorder="1" applyAlignment="1">
      <alignment vertical="center"/>
    </xf>
    <xf numFmtId="0" fontId="4" fillId="0" borderId="1" xfId="0" applyFont="1" applyBorder="1" applyAlignment="1">
      <alignment horizontal="left" vertical="center" wrapText="1"/>
    </xf>
    <xf numFmtId="3" fontId="4" fillId="0" borderId="1" xfId="0" applyNumberFormat="1" applyFont="1" applyBorder="1" applyAlignment="1">
      <alignment horizontal="center" vertical="center"/>
    </xf>
    <xf numFmtId="4" fontId="4" fillId="0" borderId="1" xfId="0" applyNumberFormat="1" applyFont="1" applyBorder="1" applyAlignment="1">
      <alignment vertical="center"/>
    </xf>
    <xf numFmtId="49" fontId="1"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4" fontId="1" fillId="0" borderId="1"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0" fontId="2" fillId="0" borderId="0" xfId="0" applyFont="1" applyAlignment="1">
      <alignment horizontal="center" vertical="center" wrapText="1"/>
    </xf>
    <xf numFmtId="165" fontId="2" fillId="0" borderId="0" xfId="0" applyNumberFormat="1" applyFont="1" applyAlignment="1">
      <alignment horizontal="center" vertical="center" wrapText="1"/>
    </xf>
    <xf numFmtId="0" fontId="2" fillId="0" borderId="0" xfId="0" applyFont="1" applyAlignment="1">
      <alignment vertical="center"/>
    </xf>
    <xf numFmtId="49" fontId="4" fillId="0" borderId="2" xfId="0" applyNumberFormat="1" applyFont="1" applyBorder="1" applyAlignment="1">
      <alignment horizontal="center" vertical="center" wrapText="1"/>
    </xf>
    <xf numFmtId="0" fontId="4" fillId="0" borderId="0" xfId="0" applyFont="1" applyAlignment="1">
      <alignment horizontal="center" vertical="center" wrapText="1"/>
    </xf>
    <xf numFmtId="4" fontId="2" fillId="0" borderId="3" xfId="0" applyNumberFormat="1" applyFont="1" applyBorder="1" applyAlignment="1">
      <alignment horizontal="center" vertical="center" wrapText="1"/>
    </xf>
    <xf numFmtId="49" fontId="4" fillId="0" borderId="1" xfId="0" applyNumberFormat="1" applyFont="1" applyBorder="1" applyAlignment="1">
      <alignmen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xf numFmtId="4" fontId="2" fillId="0" borderId="0" xfId="0" applyNumberFormat="1" applyFont="1" applyAlignment="1">
      <alignment horizontal="center" vertical="center"/>
    </xf>
    <xf numFmtId="0" fontId="1" fillId="3" borderId="1" xfId="0" applyFont="1" applyFill="1" applyBorder="1" applyAlignment="1">
      <alignment horizontal="center" vertical="center" wrapText="1"/>
    </xf>
    <xf numFmtId="4" fontId="1" fillId="3" borderId="1"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49" fontId="7" fillId="0" borderId="1" xfId="0" applyNumberFormat="1" applyFont="1" applyBorder="1" applyAlignment="1">
      <alignment horizontal="center" wrapText="1"/>
    </xf>
    <xf numFmtId="0" fontId="7" fillId="0" borderId="1" xfId="0" applyFont="1" applyBorder="1" applyAlignment="1">
      <alignment horizontal="center" wrapText="1"/>
    </xf>
    <xf numFmtId="0" fontId="5" fillId="0" borderId="1" xfId="0" applyFont="1" applyBorder="1" applyAlignment="1">
      <alignment horizontal="center" wrapText="1"/>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wrapText="1"/>
    </xf>
    <xf numFmtId="4" fontId="2" fillId="0" borderId="1" xfId="0" applyNumberFormat="1" applyFont="1" applyBorder="1"/>
    <xf numFmtId="0" fontId="2" fillId="4" borderId="1" xfId="0" applyFont="1" applyFill="1" applyBorder="1" applyAlignment="1">
      <alignment horizontal="center" vertical="center" wrapText="1"/>
    </xf>
    <xf numFmtId="4" fontId="2" fillId="4" borderId="1" xfId="0" applyNumberFormat="1" applyFont="1" applyFill="1" applyBorder="1" applyAlignment="1">
      <alignment horizontal="center" vertical="center" wrapText="1"/>
    </xf>
    <xf numFmtId="4" fontId="2" fillId="0" borderId="1" xfId="0" applyNumberFormat="1" applyFont="1" applyBorder="1" applyAlignment="1">
      <alignment horizontal="center"/>
    </xf>
    <xf numFmtId="4" fontId="2" fillId="0" borderId="0" xfId="0" applyNumberFormat="1" applyFont="1"/>
    <xf numFmtId="0" fontId="2" fillId="5" borderId="1" xfId="0" applyFont="1" applyFill="1" applyBorder="1" applyAlignment="1">
      <alignment horizontal="center" vertical="center" wrapText="1"/>
    </xf>
    <xf numFmtId="167" fontId="2" fillId="0" borderId="1" xfId="0" applyNumberFormat="1" applyFont="1" applyBorder="1" applyAlignment="1">
      <alignment horizontal="center" vertical="center" wrapText="1"/>
    </xf>
    <xf numFmtId="168" fontId="2" fillId="0" borderId="1" xfId="0" applyNumberFormat="1" applyFont="1" applyBorder="1" applyAlignment="1">
      <alignment horizontal="center" vertical="center" wrapText="1"/>
    </xf>
    <xf numFmtId="0" fontId="2" fillId="4" borderId="0" xfId="0" applyFont="1" applyFill="1"/>
    <xf numFmtId="3" fontId="2" fillId="0" borderId="1" xfId="0" applyNumberFormat="1" applyFont="1" applyBorder="1" applyAlignment="1">
      <alignment horizontal="center" vertical="center" wrapText="1"/>
    </xf>
    <xf numFmtId="4" fontId="2" fillId="0" borderId="0" xfId="0" applyNumberFormat="1" applyFont="1" applyAlignment="1">
      <alignment horizontal="center" vertical="center" wrapText="1"/>
    </xf>
    <xf numFmtId="3" fontId="2" fillId="0" borderId="0" xfId="0" applyNumberFormat="1" applyFont="1" applyAlignment="1">
      <alignment horizontal="center" vertical="center" wrapText="1"/>
    </xf>
    <xf numFmtId="0" fontId="2" fillId="5" borderId="1" xfId="0" applyFont="1" applyFill="1" applyBorder="1" applyAlignment="1">
      <alignment horizontal="center" vertical="top" wrapText="1"/>
    </xf>
    <xf numFmtId="0" fontId="2" fillId="0" borderId="1" xfId="0" applyFont="1" applyBorder="1" applyAlignment="1">
      <alignment horizontal="center" vertical="top" wrapText="1"/>
    </xf>
    <xf numFmtId="4" fontId="2" fillId="0" borderId="1" xfId="0" applyNumberFormat="1" applyFont="1" applyBorder="1" applyAlignment="1">
      <alignment horizontal="center" vertical="top" wrapText="1"/>
    </xf>
    <xf numFmtId="0" fontId="2" fillId="0" borderId="0" xfId="0" applyFont="1"/>
    <xf numFmtId="0" fontId="2" fillId="4" borderId="1" xfId="0" applyFont="1" applyFill="1" applyBorder="1" applyAlignment="1">
      <alignment horizontal="center" vertical="top" wrapText="1"/>
    </xf>
    <xf numFmtId="4" fontId="2" fillId="4" borderId="1" xfId="0" applyNumberFormat="1" applyFont="1" applyFill="1" applyBorder="1" applyAlignment="1">
      <alignment horizontal="center" vertical="top" wrapText="1"/>
    </xf>
    <xf numFmtId="0" fontId="2" fillId="4" borderId="0" xfId="0" applyFont="1" applyFill="1" applyAlignment="1">
      <alignment vertical="center"/>
    </xf>
    <xf numFmtId="167" fontId="2" fillId="0" borderId="1" xfId="0" applyNumberFormat="1" applyFont="1" applyBorder="1" applyAlignment="1">
      <alignment horizontal="center" vertical="top" wrapText="1"/>
    </xf>
    <xf numFmtId="168" fontId="2" fillId="0" borderId="1" xfId="0" applyNumberFormat="1" applyFont="1" applyBorder="1" applyAlignment="1">
      <alignment horizontal="center" vertical="top" wrapText="1"/>
    </xf>
    <xf numFmtId="0" fontId="8" fillId="3" borderId="1" xfId="0"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0" fontId="4" fillId="0" borderId="1" xfId="0" applyFont="1" applyBorder="1" applyAlignment="1">
      <alignment horizontal="center" wrapText="1"/>
    </xf>
    <xf numFmtId="49" fontId="4" fillId="0" borderId="1" xfId="0" applyNumberFormat="1" applyFont="1" applyBorder="1"/>
    <xf numFmtId="0" fontId="4" fillId="0" borderId="1" xfId="0" applyFont="1" applyBorder="1"/>
    <xf numFmtId="0" fontId="4" fillId="0" borderId="1" xfId="0" applyFont="1" applyBorder="1" applyAlignment="1">
      <alignment horizontal="center"/>
    </xf>
    <xf numFmtId="4" fontId="4" fillId="0" borderId="1" xfId="0" applyNumberFormat="1" applyFont="1" applyBorder="1" applyAlignment="1">
      <alignment horizontal="center" wrapText="1"/>
    </xf>
    <xf numFmtId="0" fontId="4" fillId="0" borderId="1" xfId="0" applyFont="1" applyBorder="1" applyAlignment="1">
      <alignment wrapText="1"/>
    </xf>
    <xf numFmtId="3" fontId="4" fillId="0" borderId="1" xfId="0" applyNumberFormat="1" applyFont="1" applyBorder="1"/>
    <xf numFmtId="4" fontId="4" fillId="0" borderId="1" xfId="0" applyNumberFormat="1" applyFont="1" applyBorder="1"/>
    <xf numFmtId="4" fontId="4" fillId="0" borderId="0" xfId="0" applyNumberFormat="1" applyFont="1"/>
    <xf numFmtId="49" fontId="4" fillId="0" borderId="1" xfId="0" applyNumberFormat="1" applyFont="1" applyBorder="1" applyAlignment="1">
      <alignment horizontal="center" wrapText="1"/>
    </xf>
    <xf numFmtId="4" fontId="4" fillId="0" borderId="1" xfId="0" applyNumberFormat="1" applyFont="1" applyBorder="1" applyAlignment="1">
      <alignment wrapText="1"/>
    </xf>
    <xf numFmtId="165" fontId="4" fillId="0" borderId="1" xfId="0" applyNumberFormat="1" applyFont="1" applyBorder="1" applyAlignment="1">
      <alignment horizontal="center"/>
    </xf>
    <xf numFmtId="3" fontId="4" fillId="0" borderId="1" xfId="0" applyNumberFormat="1" applyFont="1" applyBorder="1" applyAlignment="1">
      <alignment horizontal="center" wrapText="1"/>
    </xf>
    <xf numFmtId="166" fontId="4" fillId="0" borderId="1" xfId="0" applyNumberFormat="1" applyFont="1" applyBorder="1" applyAlignment="1">
      <alignment horizontal="center"/>
    </xf>
    <xf numFmtId="49" fontId="4" fillId="0" borderId="2" xfId="0" applyNumberFormat="1" applyFont="1" applyBorder="1" applyAlignment="1">
      <alignment horizontal="center" wrapText="1"/>
    </xf>
    <xf numFmtId="0" fontId="4" fillId="0" borderId="0" xfId="0" applyFont="1" applyAlignment="1">
      <alignment horizontal="center" wrapText="1"/>
    </xf>
    <xf numFmtId="0" fontId="5" fillId="6" borderId="1" xfId="0" applyFont="1" applyFill="1" applyBorder="1" applyAlignment="1">
      <alignment horizontal="center" vertical="top"/>
    </xf>
    <xf numFmtId="0" fontId="5" fillId="6" borderId="1" xfId="0" applyFont="1" applyFill="1" applyBorder="1" applyAlignment="1">
      <alignment horizontal="center"/>
    </xf>
    <xf numFmtId="49" fontId="8"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0" fontId="6" fillId="6" borderId="1" xfId="0" applyFont="1" applyFill="1" applyBorder="1" applyAlignment="1">
      <alignment horizontal="center"/>
    </xf>
    <xf numFmtId="0" fontId="6" fillId="6" borderId="1" xfId="0" applyFont="1" applyFill="1" applyBorder="1" applyAlignment="1">
      <alignment horizontal="center" vertical="top"/>
    </xf>
    <xf numFmtId="0" fontId="6" fillId="6" borderId="3" xfId="0" applyFont="1" applyFill="1" applyBorder="1" applyAlignment="1">
      <alignment vertical="top"/>
    </xf>
    <xf numFmtId="0" fontId="4" fillId="0" borderId="0" xfId="0" applyFont="1"/>
    <xf numFmtId="0" fontId="4" fillId="0" borderId="0" xfId="0" applyFont="1" applyAlignment="1">
      <alignment wrapText="1"/>
    </xf>
    <xf numFmtId="0" fontId="4" fillId="0" borderId="4" xfId="0" applyFont="1" applyBorder="1" applyAlignment="1">
      <alignment horizontal="center"/>
    </xf>
    <xf numFmtId="166" fontId="4" fillId="0" borderId="1" xfId="0" applyNumberFormat="1" applyFont="1" applyBorder="1" applyAlignment="1">
      <alignment horizontal="center" vertical="center" wrapText="1"/>
    </xf>
    <xf numFmtId="0" fontId="2" fillId="0" borderId="0" xfId="0" applyFont="1" applyAlignment="1">
      <alignment wrapText="1"/>
    </xf>
    <xf numFmtId="3" fontId="2" fillId="0" borderId="0" xfId="0" applyNumberFormat="1" applyFont="1" applyAlignment="1">
      <alignment horizontal="center" vertical="center"/>
    </xf>
    <xf numFmtId="0" fontId="9" fillId="7"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4" fontId="9" fillId="7" borderId="1" xfId="0" applyNumberFormat="1" applyFont="1" applyFill="1" applyBorder="1" applyAlignment="1">
      <alignment horizontal="center" vertical="center" wrapText="1"/>
    </xf>
    <xf numFmtId="169"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165" fontId="11" fillId="0" borderId="1" xfId="0" applyNumberFormat="1" applyFont="1" applyBorder="1" applyAlignment="1">
      <alignment horizontal="center" vertical="center" wrapText="1"/>
    </xf>
    <xf numFmtId="168" fontId="10" fillId="0" borderId="1" xfId="0" applyNumberFormat="1" applyFont="1" applyBorder="1" applyAlignment="1">
      <alignment horizontal="center" vertical="center" wrapText="1"/>
    </xf>
    <xf numFmtId="0" fontId="10" fillId="0" borderId="1" xfId="0" applyFont="1" applyBorder="1" applyAlignment="1">
      <alignment horizontal="center" vertical="center"/>
    </xf>
    <xf numFmtId="170" fontId="10" fillId="0" borderId="1" xfId="0" applyNumberFormat="1" applyFont="1" applyBorder="1" applyAlignment="1">
      <alignment horizontal="center" vertical="center" wrapText="1"/>
    </xf>
    <xf numFmtId="165" fontId="12"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quotePrefix="1" applyFont="1" applyBorder="1" applyAlignment="1">
      <alignment horizontal="center" vertical="center" wrapText="1"/>
    </xf>
    <xf numFmtId="169" fontId="10" fillId="0" borderId="1" xfId="0" applyNumberFormat="1" applyFont="1" applyBorder="1" applyAlignment="1">
      <alignment horizontal="center" vertical="center" wrapText="1"/>
    </xf>
    <xf numFmtId="169" fontId="2" fillId="0" borderId="1" xfId="0" applyNumberFormat="1" applyFont="1" applyBorder="1" applyAlignment="1">
      <alignment horizontal="center" vertical="center" wrapText="1"/>
    </xf>
    <xf numFmtId="169" fontId="5"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10" fillId="0" borderId="1" xfId="0" applyFont="1" applyBorder="1" applyAlignment="1">
      <alignment horizontal="left" vertical="center"/>
    </xf>
    <xf numFmtId="165" fontId="13" fillId="0" borderId="1" xfId="0" applyNumberFormat="1" applyFont="1" applyBorder="1" applyAlignment="1">
      <alignment horizontal="center" vertical="center"/>
    </xf>
    <xf numFmtId="0" fontId="14" fillId="0" borderId="1" xfId="0" applyFont="1" applyBorder="1" applyAlignment="1">
      <alignment horizontal="left" vertical="center" wrapText="1"/>
    </xf>
    <xf numFmtId="0" fontId="13" fillId="0" borderId="1" xfId="0" applyFont="1" applyBorder="1" applyAlignment="1">
      <alignment horizontal="center" vertical="center"/>
    </xf>
    <xf numFmtId="0" fontId="12" fillId="0" borderId="1" xfId="0" applyFont="1" applyBorder="1" applyAlignment="1">
      <alignment horizontal="center" vertical="center"/>
    </xf>
    <xf numFmtId="170" fontId="10" fillId="0" borderId="1" xfId="0" applyNumberFormat="1" applyFont="1" applyBorder="1" applyAlignment="1">
      <alignment horizontal="center" vertical="center"/>
    </xf>
    <xf numFmtId="169" fontId="10" fillId="0" borderId="1" xfId="0" applyNumberFormat="1" applyFont="1" applyBorder="1" applyAlignment="1">
      <alignment horizontal="center" vertical="center"/>
    </xf>
    <xf numFmtId="170" fontId="2"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5" fillId="0" borderId="1" xfId="0" applyFont="1" applyBorder="1" applyAlignment="1">
      <alignment horizontal="center" vertical="center" wrapText="1"/>
    </xf>
    <xf numFmtId="165" fontId="10" fillId="0" borderId="1" xfId="0" applyNumberFormat="1" applyFont="1" applyBorder="1" applyAlignment="1">
      <alignment horizontal="center" vertical="center" wrapText="1"/>
    </xf>
    <xf numFmtId="0" fontId="16" fillId="0" borderId="1" xfId="0" applyFont="1" applyBorder="1" applyAlignment="1">
      <alignment horizontal="left" vertical="center" wrapText="1"/>
    </xf>
    <xf numFmtId="0" fontId="5" fillId="0" borderId="1" xfId="0" applyFont="1" applyBorder="1" applyAlignment="1">
      <alignment horizontal="left" vertical="center" wrapText="1"/>
    </xf>
    <xf numFmtId="0" fontId="16" fillId="0" borderId="1" xfId="0" applyFont="1" applyBorder="1" applyAlignment="1">
      <alignment horizontal="left" vertical="center"/>
    </xf>
    <xf numFmtId="166" fontId="2" fillId="0" borderId="1" xfId="0" applyNumberFormat="1"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left" vertical="center"/>
    </xf>
    <xf numFmtId="3" fontId="10" fillId="0" borderId="1" xfId="0" applyNumberFormat="1" applyFont="1" applyBorder="1" applyAlignment="1">
      <alignment horizontal="center" vertical="center" wrapText="1"/>
    </xf>
    <xf numFmtId="169" fontId="11" fillId="0" borderId="1" xfId="0" applyNumberFormat="1" applyFont="1" applyBorder="1" applyAlignment="1">
      <alignment horizontal="center" vertical="center"/>
    </xf>
    <xf numFmtId="0" fontId="2" fillId="0" borderId="1" xfId="0" applyFont="1" applyBorder="1" applyAlignment="1">
      <alignment horizontal="left"/>
    </xf>
    <xf numFmtId="167" fontId="2" fillId="0" borderId="1" xfId="0" applyNumberFormat="1" applyFont="1" applyBorder="1" applyAlignment="1">
      <alignment horizontal="center" vertical="center"/>
    </xf>
    <xf numFmtId="168" fontId="2" fillId="0" borderId="1" xfId="0" applyNumberFormat="1" applyFont="1" applyBorder="1" applyAlignment="1">
      <alignment horizontal="center" vertical="center"/>
    </xf>
    <xf numFmtId="169"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169" fontId="1"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wrapText="1"/>
    </xf>
    <xf numFmtId="0" fontId="17" fillId="0" borderId="1" xfId="0" applyFont="1" applyBorder="1" applyAlignment="1">
      <alignment horizontal="center" vertical="center"/>
    </xf>
    <xf numFmtId="0" fontId="19" fillId="0" borderId="1" xfId="0" applyFont="1" applyBorder="1" applyAlignment="1">
      <alignment horizontal="center" vertical="center" wrapText="1"/>
    </xf>
    <xf numFmtId="3" fontId="2" fillId="0" borderId="1" xfId="0" applyNumberFormat="1" applyFont="1" applyBorder="1" applyAlignment="1">
      <alignment horizontal="center" vertical="center"/>
    </xf>
    <xf numFmtId="167"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169" fontId="20" fillId="0" borderId="1" xfId="0" applyNumberFormat="1" applyFont="1" applyBorder="1" applyAlignment="1">
      <alignment horizontal="center" vertical="center" wrapText="1"/>
    </xf>
    <xf numFmtId="0" fontId="11" fillId="6" borderId="1" xfId="0" applyFont="1" applyFill="1" applyBorder="1" applyAlignment="1">
      <alignment horizontal="center" vertical="center" wrapText="1"/>
    </xf>
    <xf numFmtId="0" fontId="20" fillId="0" borderId="1" xfId="0" applyFont="1" applyBorder="1" applyAlignment="1">
      <alignment horizontal="left" vertical="center" wrapText="1"/>
    </xf>
    <xf numFmtId="0" fontId="17"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170" fontId="2" fillId="0" borderId="1" xfId="0" applyNumberFormat="1" applyFont="1" applyBorder="1" applyAlignment="1">
      <alignment horizontal="center" vertical="center" wrapText="1"/>
    </xf>
    <xf numFmtId="169" fontId="11" fillId="6" borderId="1" xfId="0" applyNumberFormat="1" applyFont="1" applyFill="1" applyBorder="1" applyAlignment="1">
      <alignment horizontal="center" vertical="center" wrapText="1"/>
    </xf>
    <xf numFmtId="0" fontId="11" fillId="6" borderId="1" xfId="0" applyFont="1" applyFill="1" applyBorder="1" applyAlignment="1">
      <alignment horizontal="left" vertical="center" wrapText="1"/>
    </xf>
    <xf numFmtId="0" fontId="0" fillId="6" borderId="1" xfId="0" applyFill="1" applyBorder="1" applyAlignment="1">
      <alignment horizontal="left" vertical="center" wrapText="1"/>
    </xf>
    <xf numFmtId="0" fontId="15" fillId="6" borderId="1" xfId="0" applyFont="1" applyFill="1" applyBorder="1" applyAlignment="1">
      <alignment horizontal="center" vertical="center" wrapText="1"/>
    </xf>
    <xf numFmtId="0" fontId="2" fillId="0" borderId="1" xfId="0" quotePrefix="1" applyFont="1" applyBorder="1" applyAlignment="1">
      <alignment horizontal="center" vertical="center" wrapText="1"/>
    </xf>
    <xf numFmtId="169" fontId="2" fillId="0" borderId="1" xfId="0" quotePrefix="1" applyNumberFormat="1" applyFont="1" applyBorder="1" applyAlignment="1">
      <alignment horizontal="center" vertical="center" wrapText="1"/>
    </xf>
    <xf numFmtId="0" fontId="21" fillId="6" borderId="1" xfId="0" applyFont="1" applyFill="1" applyBorder="1" applyAlignment="1">
      <alignment horizontal="center" vertical="center" wrapText="1"/>
    </xf>
    <xf numFmtId="169" fontId="17" fillId="6" borderId="1" xfId="0" applyNumberFormat="1" applyFont="1" applyFill="1" applyBorder="1" applyAlignment="1">
      <alignment horizontal="center" vertical="center" wrapText="1"/>
    </xf>
    <xf numFmtId="165" fontId="11" fillId="6" borderId="1" xfId="0" applyNumberFormat="1" applyFont="1" applyFill="1" applyBorder="1" applyAlignment="1">
      <alignment horizontal="center" vertical="center" wrapText="1"/>
    </xf>
    <xf numFmtId="0" fontId="22" fillId="6" borderId="1" xfId="0" applyFont="1" applyFill="1" applyBorder="1" applyAlignment="1">
      <alignment horizontal="center" vertical="center" wrapText="1"/>
    </xf>
    <xf numFmtId="169" fontId="15" fillId="6" borderId="1" xfId="0" applyNumberFormat="1" applyFont="1" applyFill="1" applyBorder="1" applyAlignment="1">
      <alignment horizontal="center" vertical="center" wrapText="1"/>
    </xf>
    <xf numFmtId="169" fontId="21" fillId="6" borderId="1" xfId="0" applyNumberFormat="1" applyFont="1" applyFill="1" applyBorder="1" applyAlignment="1">
      <alignment horizontal="center" vertical="center" wrapText="1"/>
    </xf>
    <xf numFmtId="169" fontId="17" fillId="6" borderId="1" xfId="0" applyNumberFormat="1" applyFont="1" applyFill="1" applyBorder="1" applyAlignment="1">
      <alignment horizontal="center" vertical="center"/>
    </xf>
    <xf numFmtId="169" fontId="7" fillId="0" borderId="1" xfId="0" applyNumberFormat="1" applyFont="1" applyBorder="1" applyAlignment="1">
      <alignment horizontal="center" wrapText="1"/>
    </xf>
    <xf numFmtId="0" fontId="7" fillId="6" borderId="1" xfId="0" applyFont="1" applyFill="1" applyBorder="1" applyAlignment="1">
      <alignment horizontal="center" wrapText="1"/>
    </xf>
    <xf numFmtId="0" fontId="11" fillId="6"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left" wrapText="1"/>
    </xf>
    <xf numFmtId="0" fontId="23" fillId="8" borderId="1" xfId="0" applyFont="1" applyFill="1" applyBorder="1" applyAlignment="1">
      <alignment horizontal="center" vertical="center" wrapText="1"/>
    </xf>
    <xf numFmtId="169" fontId="23" fillId="8" borderId="1" xfId="0" applyNumberFormat="1" applyFont="1" applyFill="1" applyBorder="1" applyAlignment="1">
      <alignment horizontal="center" vertical="center" wrapText="1"/>
    </xf>
    <xf numFmtId="0" fontId="23" fillId="8" borderId="1" xfId="0" applyFont="1" applyFill="1" applyBorder="1" applyAlignment="1">
      <alignment horizontal="center" wrapText="1"/>
    </xf>
    <xf numFmtId="0" fontId="23" fillId="8" borderId="1" xfId="0" applyFont="1" applyFill="1" applyBorder="1" applyAlignment="1">
      <alignment horizontal="left" vertical="center" wrapText="1"/>
    </xf>
    <xf numFmtId="167" fontId="2" fillId="0" borderId="1" xfId="0" applyNumberFormat="1" applyFont="1" applyBorder="1" applyAlignment="1">
      <alignment horizontal="center" wrapText="1"/>
    </xf>
    <xf numFmtId="3" fontId="2" fillId="0" borderId="1" xfId="0" applyNumberFormat="1" applyFont="1" applyBorder="1" applyAlignment="1">
      <alignment horizontal="center" wrapText="1"/>
    </xf>
    <xf numFmtId="0" fontId="17" fillId="6" borderId="1" xfId="0" applyFont="1" applyFill="1" applyBorder="1" applyAlignment="1">
      <alignment horizontal="center" wrapText="1"/>
    </xf>
    <xf numFmtId="0" fontId="2" fillId="0" borderId="0" xfId="0" applyFont="1" applyAlignment="1">
      <alignment horizontal="left" vertical="center" wrapText="1"/>
    </xf>
    <xf numFmtId="0" fontId="17" fillId="6" borderId="1" xfId="0" applyFont="1" applyFill="1" applyBorder="1" applyAlignment="1">
      <alignment horizontal="center"/>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168" fontId="2" fillId="0" borderId="1" xfId="0" applyNumberFormat="1" applyFont="1" applyBorder="1" applyAlignment="1">
      <alignment horizontal="center" wrapText="1"/>
    </xf>
    <xf numFmtId="4" fontId="11" fillId="6" borderId="1" xfId="0" applyNumberFormat="1" applyFont="1" applyFill="1" applyBorder="1" applyAlignment="1">
      <alignment horizontal="center" wrapText="1"/>
    </xf>
    <xf numFmtId="4" fontId="2" fillId="0" borderId="1" xfId="0" applyNumberFormat="1" applyFont="1" applyBorder="1" applyAlignment="1">
      <alignment horizontal="center" wrapText="1"/>
    </xf>
    <xf numFmtId="4" fontId="1" fillId="0" borderId="1" xfId="0" applyNumberFormat="1" applyFont="1" applyBorder="1" applyAlignment="1">
      <alignment horizontal="center" wrapText="1"/>
    </xf>
    <xf numFmtId="0" fontId="2" fillId="9" borderId="1" xfId="0" applyFont="1" applyFill="1" applyBorder="1" applyAlignment="1">
      <alignment horizontal="center" wrapText="1"/>
    </xf>
    <xf numFmtId="0" fontId="2" fillId="9" borderId="1" xfId="0" applyFont="1" applyFill="1" applyBorder="1" applyAlignment="1">
      <alignment horizontal="left" wrapText="1"/>
    </xf>
    <xf numFmtId="0" fontId="11" fillId="6" borderId="0" xfId="0" applyFont="1" applyFill="1" applyAlignment="1">
      <alignment horizontal="center"/>
    </xf>
    <xf numFmtId="4" fontId="2" fillId="4" borderId="1" xfId="0" applyNumberFormat="1" applyFont="1" applyFill="1" applyBorder="1" applyAlignment="1">
      <alignment horizontal="center" wrapText="1"/>
    </xf>
    <xf numFmtId="0" fontId="17" fillId="6" borderId="0" xfId="0" applyFont="1" applyFill="1" applyAlignment="1">
      <alignment horizontal="center"/>
    </xf>
    <xf numFmtId="0" fontId="24" fillId="6" borderId="1" xfId="0" applyFont="1" applyFill="1" applyBorder="1" applyAlignment="1">
      <alignment horizontal="center" wrapText="1"/>
    </xf>
    <xf numFmtId="0" fontId="25" fillId="6" borderId="1" xfId="0" applyFont="1" applyFill="1" applyBorder="1" applyAlignment="1">
      <alignment horizontal="center" wrapText="1"/>
    </xf>
    <xf numFmtId="0" fontId="26" fillId="6" borderId="1" xfId="0" applyFont="1" applyFill="1" applyBorder="1" applyAlignment="1">
      <alignment horizontal="center"/>
    </xf>
    <xf numFmtId="0" fontId="2" fillId="4" borderId="1" xfId="0" applyFont="1" applyFill="1" applyBorder="1" applyAlignment="1">
      <alignment horizontal="center"/>
    </xf>
    <xf numFmtId="4" fontId="17" fillId="6" borderId="1" xfId="0" applyNumberFormat="1" applyFont="1" applyFill="1" applyBorder="1" applyAlignment="1">
      <alignment horizontal="center"/>
    </xf>
    <xf numFmtId="0" fontId="11" fillId="6" borderId="1" xfId="0" applyFont="1" applyFill="1" applyBorder="1" applyAlignment="1">
      <alignment horizontal="center"/>
    </xf>
    <xf numFmtId="4" fontId="17" fillId="6" borderId="1" xfId="0" applyNumberFormat="1" applyFont="1" applyFill="1" applyBorder="1" applyAlignment="1">
      <alignment horizontal="center" wrapText="1"/>
    </xf>
    <xf numFmtId="0" fontId="2" fillId="4"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xf numFmtId="4" fontId="17" fillId="0" borderId="1" xfId="0" applyNumberFormat="1" applyFont="1" applyBorder="1" applyAlignment="1">
      <alignment horizontal="center" vertical="center"/>
    </xf>
    <xf numFmtId="164" fontId="2" fillId="0" borderId="1" xfId="0" applyNumberFormat="1" applyFont="1" applyBorder="1" applyAlignment="1">
      <alignment horizontal="center" vertical="center" wrapText="1"/>
    </xf>
    <xf numFmtId="171" fontId="2"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27" fillId="0" borderId="1" xfId="0" applyFont="1" applyBorder="1" applyAlignment="1">
      <alignment horizontal="center" vertical="center" wrapText="1"/>
    </xf>
    <xf numFmtId="164" fontId="9" fillId="0" borderId="1"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65" fontId="7" fillId="0" borderId="1" xfId="0" applyNumberFormat="1" applyFont="1" applyBorder="1" applyAlignment="1">
      <alignment horizontal="center" vertical="center" wrapText="1"/>
    </xf>
    <xf numFmtId="0" fontId="17" fillId="0" borderId="1" xfId="0" applyFont="1" applyBorder="1" applyAlignment="1">
      <alignment vertical="center" wrapText="1"/>
    </xf>
    <xf numFmtId="167" fontId="7" fillId="0" borderId="1" xfId="0" applyNumberFormat="1" applyFont="1" applyBorder="1" applyAlignment="1">
      <alignment horizontal="center" vertical="center" wrapText="1"/>
    </xf>
    <xf numFmtId="165" fontId="7" fillId="0" borderId="1" xfId="0" applyNumberFormat="1" applyFont="1" applyBorder="1" applyAlignment="1">
      <alignment vertical="center"/>
    </xf>
    <xf numFmtId="4" fontId="7" fillId="0" borderId="1" xfId="0" applyNumberFormat="1" applyFont="1" applyBorder="1" applyAlignment="1">
      <alignment horizontal="center" vertical="center"/>
    </xf>
    <xf numFmtId="4" fontId="7" fillId="0" borderId="1" xfId="0" applyNumberFormat="1" applyFont="1" applyBorder="1" applyAlignment="1">
      <alignment horizontal="center" vertical="center" wrapText="1"/>
    </xf>
    <xf numFmtId="0" fontId="7" fillId="0" borderId="1" xfId="0" applyFont="1" applyBorder="1" applyAlignment="1">
      <alignment vertical="center"/>
    </xf>
    <xf numFmtId="49" fontId="7" fillId="0" borderId="1" xfId="0" applyNumberFormat="1" applyFont="1" applyBorder="1" applyAlignment="1">
      <alignment vertical="center"/>
    </xf>
    <xf numFmtId="168"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7" fillId="0" borderId="1" xfId="0" applyFont="1" applyBorder="1" applyAlignment="1">
      <alignment vertical="center" wrapText="1"/>
    </xf>
    <xf numFmtId="49" fontId="28" fillId="0" borderId="1" xfId="0" applyNumberFormat="1" applyFont="1" applyBorder="1" applyAlignment="1">
      <alignment horizontal="center" vertical="center"/>
    </xf>
    <xf numFmtId="49" fontId="2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3"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64" fontId="28" fillId="0" borderId="1" xfId="0" applyNumberFormat="1" applyFont="1" applyBorder="1" applyAlignment="1">
      <alignment horizontal="center" vertical="center" wrapText="1"/>
    </xf>
    <xf numFmtId="4" fontId="28" fillId="0" borderId="1" xfId="0" applyNumberFormat="1" applyFont="1" applyBorder="1" applyAlignment="1">
      <alignment horizontal="center" vertical="center" wrapText="1"/>
    </xf>
    <xf numFmtId="3" fontId="28" fillId="0" borderId="1" xfId="0" applyNumberFormat="1" applyFont="1" applyBorder="1" applyAlignment="1">
      <alignment horizontal="center" vertical="center" wrapText="1"/>
    </xf>
    <xf numFmtId="171" fontId="28"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29" fillId="0" borderId="1" xfId="0" applyNumberFormat="1" applyFont="1" applyBorder="1" applyAlignment="1">
      <alignment horizontal="center" vertical="center" wrapText="1"/>
    </xf>
    <xf numFmtId="165" fontId="20" fillId="0" borderId="1" xfId="0" applyNumberFormat="1" applyFont="1" applyBorder="1" applyAlignment="1">
      <alignment horizontal="center" vertical="center" wrapText="1"/>
    </xf>
    <xf numFmtId="4" fontId="20" fillId="0" borderId="1" xfId="0" applyNumberFormat="1" applyFont="1" applyBorder="1" applyAlignment="1">
      <alignment horizontal="center" vertical="center" wrapText="1"/>
    </xf>
    <xf numFmtId="4" fontId="1"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164"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169" fontId="17"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169" fontId="15" fillId="0" borderId="1" xfId="0" applyNumberFormat="1" applyFont="1" applyBorder="1" applyAlignment="1">
      <alignment horizontal="center" vertical="center" wrapText="1"/>
    </xf>
    <xf numFmtId="169" fontId="21" fillId="0" borderId="1" xfId="0" applyNumberFormat="1" applyFont="1" applyBorder="1" applyAlignment="1">
      <alignment horizontal="center" vertical="center" wrapText="1"/>
    </xf>
    <xf numFmtId="169" fontId="17" fillId="0" borderId="1" xfId="0" applyNumberFormat="1" applyFont="1" applyBorder="1" applyAlignment="1">
      <alignment horizontal="center" vertical="center"/>
    </xf>
    <xf numFmtId="169" fontId="7" fillId="0" borderId="1" xfId="0" applyNumberFormat="1" applyFont="1" applyBorder="1" applyAlignment="1">
      <alignment horizontal="center" vertical="center" wrapText="1"/>
    </xf>
    <xf numFmtId="0" fontId="23" fillId="0" borderId="1" xfId="0" applyFont="1" applyBorder="1" applyAlignment="1">
      <alignment horizontal="center" vertical="center" wrapText="1"/>
    </xf>
    <xf numFmtId="169" fontId="23"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4" fontId="17" fillId="0" borderId="1" xfId="0" applyNumberFormat="1" applyFont="1" applyBorder="1" applyAlignment="1">
      <alignment horizontal="center" vertical="center" wrapText="1"/>
    </xf>
    <xf numFmtId="0" fontId="30" fillId="0" borderId="1" xfId="0" applyFont="1" applyBorder="1" applyAlignment="1">
      <alignment horizontal="center"/>
    </xf>
    <xf numFmtId="0" fontId="7" fillId="0" borderId="1" xfId="0" applyFont="1" applyBorder="1" applyAlignment="1">
      <alignment vertical="top" wrapText="1"/>
    </xf>
    <xf numFmtId="0" fontId="7" fillId="0" borderId="1" xfId="0" applyFont="1" applyBorder="1" applyAlignment="1">
      <alignment horizontal="center" vertical="top" wrapText="1"/>
    </xf>
    <xf numFmtId="4" fontId="7" fillId="0" borderId="1" xfId="0" applyNumberFormat="1" applyFont="1" applyBorder="1" applyAlignment="1">
      <alignment horizontal="center" vertical="top" wrapText="1"/>
    </xf>
    <xf numFmtId="49" fontId="30" fillId="0" borderId="1" xfId="0" applyNumberFormat="1" applyFont="1" applyBorder="1" applyAlignment="1">
      <alignment horizontal="center"/>
    </xf>
    <xf numFmtId="0" fontId="7" fillId="0" borderId="0" xfId="0" applyFont="1" applyAlignment="1">
      <alignment horizontal="center" vertical="top" wrapText="1"/>
    </xf>
    <xf numFmtId="4" fontId="7" fillId="0" borderId="5" xfId="0" applyNumberFormat="1" applyFont="1" applyBorder="1" applyAlignment="1">
      <alignment horizontal="center" vertical="top" wrapText="1"/>
    </xf>
    <xf numFmtId="171" fontId="7" fillId="0" borderId="1" xfId="0" applyNumberFormat="1" applyFont="1" applyBorder="1" applyAlignment="1">
      <alignment horizontal="center" vertical="top" wrapText="1"/>
    </xf>
    <xf numFmtId="49" fontId="9" fillId="10" borderId="1" xfId="0" applyNumberFormat="1" applyFont="1" applyFill="1" applyBorder="1" applyAlignment="1">
      <alignment horizontal="center" vertical="center" wrapText="1"/>
    </xf>
    <xf numFmtId="0" fontId="9" fillId="10" borderId="1" xfId="0" applyFont="1" applyFill="1" applyBorder="1" applyAlignment="1">
      <alignment horizontal="center" vertical="center" wrapText="1"/>
    </xf>
    <xf numFmtId="165" fontId="9" fillId="10" borderId="1" xfId="0" applyNumberFormat="1" applyFont="1" applyFill="1" applyBorder="1" applyAlignment="1">
      <alignment horizontal="center" vertical="center" wrapText="1"/>
    </xf>
    <xf numFmtId="4" fontId="9" fillId="10" borderId="1" xfId="0" applyNumberFormat="1"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0" xfId="0" applyFont="1" applyFill="1" applyAlignment="1">
      <alignment horizontal="center" vertical="center" wrapText="1"/>
    </xf>
    <xf numFmtId="49" fontId="9" fillId="0" borderId="0" xfId="0" applyNumberFormat="1" applyFont="1" applyAlignment="1">
      <alignment horizontal="center" vertical="center" wrapText="1"/>
    </xf>
    <xf numFmtId="49" fontId="9" fillId="0" borderId="6" xfId="0" applyNumberFormat="1" applyFont="1" applyBorder="1" applyAlignment="1">
      <alignment horizontal="center" vertical="center" wrapText="1"/>
    </xf>
    <xf numFmtId="0" fontId="9" fillId="0" borderId="6" xfId="0" applyFont="1" applyBorder="1" applyAlignment="1">
      <alignment horizontal="center" vertical="center" wrapText="1"/>
    </xf>
    <xf numFmtId="165" fontId="9" fillId="0" borderId="6" xfId="0" applyNumberFormat="1" applyFont="1" applyBorder="1" applyAlignment="1">
      <alignment horizontal="center" vertical="center" wrapText="1"/>
    </xf>
    <xf numFmtId="4" fontId="9" fillId="0" borderId="6" xfId="0" applyNumberFormat="1" applyFont="1" applyBorder="1" applyAlignment="1">
      <alignment horizontal="center" vertical="center" wrapText="1"/>
    </xf>
    <xf numFmtId="49" fontId="27" fillId="6" borderId="1" xfId="0" applyNumberFormat="1" applyFont="1" applyFill="1" applyBorder="1" applyAlignment="1">
      <alignment horizontal="center" vertical="center"/>
    </xf>
    <xf numFmtId="0" fontId="7" fillId="0" borderId="1" xfId="0" applyFont="1" applyBorder="1" applyAlignment="1">
      <alignment horizontal="left" vertical="center" wrapText="1"/>
    </xf>
    <xf numFmtId="0" fontId="31" fillId="0" borderId="1" xfId="0" applyFont="1" applyBorder="1" applyAlignment="1">
      <alignment horizontal="center" vertical="center" wrapText="1"/>
    </xf>
    <xf numFmtId="0" fontId="7" fillId="0" borderId="1" xfId="0" applyFont="1" applyBorder="1"/>
    <xf numFmtId="0" fontId="7" fillId="0" borderId="1" xfId="0" applyFont="1" applyBorder="1" applyAlignment="1">
      <alignment wrapText="1"/>
    </xf>
    <xf numFmtId="0" fontId="20" fillId="0" borderId="1" xfId="0" applyFont="1" applyBorder="1" applyAlignment="1">
      <alignment wrapText="1"/>
    </xf>
    <xf numFmtId="0" fontId="20" fillId="0" borderId="0" xfId="0" applyFont="1" applyAlignment="1">
      <alignment wrapText="1"/>
    </xf>
    <xf numFmtId="0" fontId="20" fillId="0" borderId="1" xfId="0" applyFont="1" applyBorder="1" applyAlignment="1">
      <alignment horizontal="center" wrapText="1"/>
    </xf>
    <xf numFmtId="0" fontId="7" fillId="0" borderId="0" xfId="0" applyFont="1"/>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17" fillId="6" borderId="1" xfId="0" applyFont="1" applyFill="1" applyBorder="1" applyAlignment="1">
      <alignment horizontal="center" vertical="center"/>
    </xf>
    <xf numFmtId="49" fontId="27" fillId="0" borderId="1" xfId="0" applyNumberFormat="1" applyFont="1" applyBorder="1" applyAlignment="1">
      <alignment horizontal="center" vertical="center"/>
    </xf>
    <xf numFmtId="3" fontId="2" fillId="0" borderId="1" xfId="0" applyNumberFormat="1" applyFont="1" applyBorder="1" applyAlignment="1">
      <alignment wrapText="1"/>
    </xf>
    <xf numFmtId="165" fontId="17" fillId="6" borderId="1" xfId="0" applyNumberFormat="1" applyFont="1" applyFill="1" applyBorder="1" applyAlignment="1">
      <alignment horizontal="center" vertical="center"/>
    </xf>
    <xf numFmtId="0" fontId="27" fillId="6" borderId="1" xfId="0" applyFont="1" applyFill="1" applyBorder="1" applyAlignment="1">
      <alignment horizontal="center" vertical="center"/>
    </xf>
    <xf numFmtId="0" fontId="34" fillId="0" borderId="1" xfId="0" applyFont="1" applyBorder="1" applyAlignment="1">
      <alignment horizontal="center" vertical="center" wrapText="1"/>
    </xf>
    <xf numFmtId="49" fontId="9"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0" fontId="17" fillId="4" borderId="1" xfId="0" applyFont="1" applyFill="1" applyBorder="1" applyAlignment="1">
      <alignment horizontal="center"/>
    </xf>
    <xf numFmtId="165" fontId="2" fillId="4" borderId="1" xfId="0" applyNumberFormat="1" applyFont="1" applyFill="1" applyBorder="1" applyAlignment="1">
      <alignment horizontal="center" vertical="center" wrapText="1"/>
    </xf>
    <xf numFmtId="0" fontId="2" fillId="4" borderId="1" xfId="0" applyFont="1" applyFill="1" applyBorder="1" applyAlignment="1">
      <alignment wrapText="1"/>
    </xf>
    <xf numFmtId="0" fontId="2" fillId="4" borderId="0" xfId="0" applyFont="1" applyFill="1" applyAlignment="1">
      <alignment wrapText="1"/>
    </xf>
    <xf numFmtId="0" fontId="2" fillId="0" borderId="0" xfId="0" applyFont="1" applyAlignment="1">
      <alignment horizontal="center" wrapText="1"/>
    </xf>
    <xf numFmtId="0" fontId="2" fillId="4" borderId="0" xfId="0" applyFont="1" applyFill="1" applyAlignment="1">
      <alignment horizontal="left" vertical="center" wrapText="1"/>
    </xf>
    <xf numFmtId="0" fontId="35" fillId="0" borderId="1" xfId="0" applyFont="1" applyBorder="1" applyAlignment="1">
      <alignment wrapText="1"/>
    </xf>
    <xf numFmtId="171" fontId="1" fillId="0" borderId="1" xfId="0" applyNumberFormat="1" applyFont="1" applyBorder="1" applyAlignment="1">
      <alignment horizontal="center" vertical="center" wrapText="1"/>
    </xf>
    <xf numFmtId="0" fontId="7" fillId="0" borderId="0" xfId="0" applyFont="1" applyAlignment="1">
      <alignment vertical="center"/>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4" fontId="1" fillId="0" borderId="0" xfId="0" applyNumberFormat="1" applyFont="1" applyAlignment="1">
      <alignment horizontal="center" vertical="center" wrapText="1"/>
    </xf>
    <xf numFmtId="4" fontId="1" fillId="0" borderId="0" xfId="0" applyNumberFormat="1" applyFont="1" applyAlignment="1">
      <alignment horizontal="center" vertical="center"/>
    </xf>
    <xf numFmtId="165" fontId="2" fillId="0" borderId="0" xfId="0" applyNumberFormat="1" applyFont="1"/>
    <xf numFmtId="0" fontId="14" fillId="0" borderId="0" xfId="0" applyFont="1" applyAlignment="1">
      <alignment horizontal="center" vertical="center" wrapText="1"/>
    </xf>
    <xf numFmtId="166" fontId="2" fillId="0" borderId="0" xfId="0" applyNumberFormat="1" applyFont="1" applyAlignment="1">
      <alignment horizontal="center"/>
    </xf>
    <xf numFmtId="165" fontId="2" fillId="0" borderId="0" xfId="0" applyNumberFormat="1" applyFont="1" applyAlignment="1">
      <alignment horizontal="center"/>
    </xf>
    <xf numFmtId="49" fontId="9" fillId="10" borderId="0" xfId="0" applyNumberFormat="1" applyFont="1" applyFill="1" applyAlignment="1">
      <alignment horizontal="center" vertical="center" wrapText="1"/>
    </xf>
    <xf numFmtId="0" fontId="2" fillId="10" borderId="1" xfId="0" applyFont="1" applyFill="1" applyBorder="1" applyAlignment="1">
      <alignment horizontal="center" vertical="center" wrapText="1"/>
    </xf>
    <xf numFmtId="0" fontId="36" fillId="10" borderId="1" xfId="0" applyFont="1" applyFill="1" applyBorder="1" applyAlignment="1">
      <alignment horizontal="center" vertical="center"/>
    </xf>
    <xf numFmtId="49" fontId="37" fillId="6" borderId="1" xfId="0" applyNumberFormat="1" applyFont="1" applyFill="1" applyBorder="1" applyAlignment="1">
      <alignment horizontal="center" vertical="center" wrapText="1"/>
    </xf>
    <xf numFmtId="49" fontId="38" fillId="6" borderId="1" xfId="0" applyNumberFormat="1" applyFont="1" applyFill="1" applyBorder="1" applyAlignment="1">
      <alignment horizontal="center" vertical="center" wrapText="1"/>
    </xf>
    <xf numFmtId="49" fontId="9" fillId="0" borderId="3" xfId="0" applyNumberFormat="1" applyFont="1" applyBorder="1" applyAlignment="1">
      <alignment horizontal="center" vertical="center" wrapText="1"/>
    </xf>
    <xf numFmtId="49" fontId="39" fillId="6" borderId="3" xfId="0" applyNumberFormat="1" applyFont="1" applyFill="1" applyBorder="1" applyAlignment="1">
      <alignment horizontal="center" vertical="center" wrapText="1"/>
    </xf>
    <xf numFmtId="49" fontId="29" fillId="11" borderId="3" xfId="0" applyNumberFormat="1" applyFont="1" applyFill="1" applyBorder="1" applyAlignment="1">
      <alignment horizontal="center" vertical="center" wrapText="1"/>
    </xf>
    <xf numFmtId="0" fontId="20" fillId="11" borderId="1" xfId="0" applyFont="1" applyFill="1" applyBorder="1" applyAlignment="1">
      <alignment horizontal="center" vertical="center" wrapText="1"/>
    </xf>
    <xf numFmtId="49" fontId="0" fillId="11" borderId="3" xfId="0" applyNumberFormat="1" applyFill="1" applyBorder="1" applyAlignment="1">
      <alignment horizontal="center" vertical="center" wrapText="1"/>
    </xf>
    <xf numFmtId="165" fontId="20" fillId="11" borderId="1" xfId="0" applyNumberFormat="1" applyFont="1" applyFill="1" applyBorder="1" applyAlignment="1">
      <alignment horizontal="center" vertical="center" wrapText="1"/>
    </xf>
    <xf numFmtId="4" fontId="20" fillId="11" borderId="1" xfId="0" applyNumberFormat="1" applyFont="1" applyFill="1" applyBorder="1" applyAlignment="1">
      <alignment horizontal="center" vertical="center" wrapText="1"/>
    </xf>
    <xf numFmtId="0" fontId="20" fillId="11" borderId="1" xfId="0" applyFont="1" applyFill="1" applyBorder="1" applyAlignment="1">
      <alignment horizontal="left" vertical="center" wrapText="1"/>
    </xf>
    <xf numFmtId="0" fontId="20" fillId="11" borderId="1" xfId="0" applyFont="1" applyFill="1" applyBorder="1"/>
    <xf numFmtId="0" fontId="20" fillId="11" borderId="1" xfId="0" applyFont="1" applyFill="1" applyBorder="1" applyAlignment="1">
      <alignment horizontal="center" wrapText="1"/>
    </xf>
    <xf numFmtId="0" fontId="20" fillId="11" borderId="1" xfId="0" applyFont="1" applyFill="1" applyBorder="1" applyAlignment="1">
      <alignment wrapText="1"/>
    </xf>
    <xf numFmtId="49" fontId="40" fillId="6" borderId="3" xfId="0" applyNumberFormat="1" applyFont="1" applyFill="1" applyBorder="1" applyAlignment="1">
      <alignment horizontal="center" vertical="center" wrapText="1"/>
    </xf>
    <xf numFmtId="165" fontId="2" fillId="0" borderId="1" xfId="0" applyNumberFormat="1" applyFont="1" applyBorder="1" applyAlignment="1">
      <alignment horizontal="center" wrapText="1"/>
    </xf>
    <xf numFmtId="0" fontId="17" fillId="6" borderId="0" xfId="0" applyFont="1" applyFill="1" applyAlignment="1">
      <alignment horizontal="center" vertical="center"/>
    </xf>
    <xf numFmtId="49" fontId="1" fillId="0" borderId="3" xfId="0" applyNumberFormat="1" applyFont="1" applyBorder="1" applyAlignment="1">
      <alignment horizontal="center" vertical="center" wrapText="1"/>
    </xf>
    <xf numFmtId="49" fontId="41" fillId="6" borderId="3" xfId="0" applyNumberFormat="1" applyFont="1" applyFill="1" applyBorder="1" applyAlignment="1">
      <alignment horizontal="center" vertical="center" wrapText="1"/>
    </xf>
    <xf numFmtId="49" fontId="1" fillId="0" borderId="2" xfId="0" applyNumberFormat="1" applyFont="1" applyBorder="1" applyAlignment="1">
      <alignment horizontal="center" vertical="center" wrapText="1"/>
    </xf>
    <xf numFmtId="0" fontId="2" fillId="0" borderId="6" xfId="0" applyFont="1" applyBorder="1" applyAlignment="1">
      <alignment horizontal="center" vertical="center" wrapText="1"/>
    </xf>
    <xf numFmtId="49" fontId="42" fillId="6" borderId="2" xfId="0" applyNumberFormat="1" applyFont="1" applyFill="1" applyBorder="1" applyAlignment="1">
      <alignment horizontal="center" vertical="center" wrapText="1"/>
    </xf>
    <xf numFmtId="165" fontId="2"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4" fontId="1" fillId="0" borderId="6" xfId="0" applyNumberFormat="1" applyFont="1" applyBorder="1" applyAlignment="1">
      <alignment horizontal="center" vertical="center" wrapText="1"/>
    </xf>
    <xf numFmtId="0" fontId="2" fillId="0" borderId="6" xfId="0" applyFont="1" applyBorder="1" applyAlignment="1">
      <alignment horizontal="left" vertical="center" wrapText="1"/>
    </xf>
    <xf numFmtId="0" fontId="2" fillId="0" borderId="6" xfId="0" applyFont="1" applyBorder="1" applyAlignment="1">
      <alignment horizontal="center" wrapText="1"/>
    </xf>
    <xf numFmtId="0" fontId="2" fillId="0" borderId="6" xfId="0" applyFont="1" applyBorder="1" applyAlignment="1">
      <alignment wrapText="1"/>
    </xf>
    <xf numFmtId="49" fontId="9" fillId="12" borderId="1" xfId="0" applyNumberFormat="1" applyFont="1" applyFill="1" applyBorder="1" applyAlignment="1">
      <alignment horizontal="center" vertical="center" wrapText="1"/>
    </xf>
    <xf numFmtId="49" fontId="1" fillId="12" borderId="2" xfId="0" applyNumberFormat="1" applyFont="1" applyFill="1" applyBorder="1" applyAlignment="1">
      <alignment horizontal="center" vertical="center" wrapText="1"/>
    </xf>
    <xf numFmtId="0" fontId="2" fillId="12" borderId="6" xfId="0" applyFont="1" applyFill="1" applyBorder="1" applyAlignment="1">
      <alignment horizontal="center" vertical="center" wrapText="1"/>
    </xf>
    <xf numFmtId="49" fontId="43" fillId="12" borderId="2" xfId="0" applyNumberFormat="1" applyFont="1" applyFill="1" applyBorder="1" applyAlignment="1">
      <alignment horizontal="center" vertical="center" wrapText="1"/>
    </xf>
    <xf numFmtId="165" fontId="2" fillId="12" borderId="6" xfId="0" applyNumberFormat="1" applyFont="1" applyFill="1" applyBorder="1" applyAlignment="1">
      <alignment horizontal="center" vertical="center" wrapText="1"/>
    </xf>
    <xf numFmtId="165" fontId="2" fillId="12" borderId="1" xfId="0" applyNumberFormat="1" applyFont="1" applyFill="1" applyBorder="1" applyAlignment="1">
      <alignment horizontal="center" vertical="center" wrapText="1"/>
    </xf>
    <xf numFmtId="0" fontId="1" fillId="12" borderId="6" xfId="0" applyFont="1" applyFill="1" applyBorder="1" applyAlignment="1">
      <alignment horizontal="center" vertical="center" wrapText="1"/>
    </xf>
    <xf numFmtId="4" fontId="1" fillId="12" borderId="6" xfId="0" applyNumberFormat="1" applyFont="1" applyFill="1" applyBorder="1" applyAlignment="1">
      <alignment horizontal="center" vertical="center" wrapText="1"/>
    </xf>
    <xf numFmtId="0" fontId="2" fillId="12" borderId="6" xfId="0" applyFont="1" applyFill="1" applyBorder="1" applyAlignment="1">
      <alignment horizontal="left" vertical="center" wrapText="1"/>
    </xf>
    <xf numFmtId="0" fontId="2" fillId="12" borderId="6" xfId="0" applyFont="1" applyFill="1" applyBorder="1" applyAlignment="1">
      <alignment horizontal="center" wrapText="1"/>
    </xf>
    <xf numFmtId="0" fontId="2" fillId="12" borderId="6" xfId="0" applyFont="1" applyFill="1" applyBorder="1" applyAlignment="1">
      <alignment wrapText="1"/>
    </xf>
    <xf numFmtId="49" fontId="44" fillId="6" borderId="1" xfId="0" applyNumberFormat="1" applyFont="1" applyFill="1" applyBorder="1" applyAlignment="1">
      <alignment horizontal="center" vertical="center" wrapText="1"/>
    </xf>
    <xf numFmtId="49" fontId="2" fillId="6"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4" fontId="1" fillId="4" borderId="1" xfId="0" applyNumberFormat="1" applyFont="1" applyFill="1" applyBorder="1" applyAlignment="1">
      <alignment horizontal="center" vertical="center" wrapText="1"/>
    </xf>
    <xf numFmtId="49" fontId="2" fillId="6" borderId="0" xfId="0" applyNumberFormat="1" applyFont="1" applyFill="1" applyAlignment="1">
      <alignment horizontal="center" vertical="center" wrapText="1"/>
    </xf>
    <xf numFmtId="0" fontId="1" fillId="4" borderId="0" xfId="0" applyFont="1" applyFill="1" applyAlignment="1">
      <alignment horizontal="center" vertical="center" wrapText="1"/>
    </xf>
    <xf numFmtId="4" fontId="1" fillId="4" borderId="0" xfId="0" applyNumberFormat="1" applyFont="1" applyFill="1" applyAlignment="1">
      <alignment horizontal="center" vertical="center" wrapText="1"/>
    </xf>
    <xf numFmtId="4" fontId="47" fillId="0" borderId="0" xfId="0" applyNumberFormat="1" applyFont="1" applyAlignment="1">
      <alignment horizontal="center" vertical="center" wrapText="1"/>
    </xf>
    <xf numFmtId="0" fontId="1" fillId="0" borderId="0" xfId="0" applyFont="1" applyAlignment="1">
      <alignment horizontal="center"/>
    </xf>
    <xf numFmtId="4" fontId="47" fillId="0" borderId="0" xfId="0" applyNumberFormat="1" applyFont="1" applyAlignment="1">
      <alignment horizontal="center" vertical="center"/>
    </xf>
    <xf numFmtId="0" fontId="48" fillId="0" borderId="1" xfId="0" applyFont="1" applyBorder="1" applyAlignment="1">
      <alignment horizontal="center" wrapText="1"/>
    </xf>
    <xf numFmtId="49" fontId="48" fillId="0" borderId="1" xfId="0" applyNumberFormat="1" applyFont="1" applyBorder="1" applyAlignment="1">
      <alignment horizontal="center" wrapText="1"/>
    </xf>
    <xf numFmtId="165" fontId="1" fillId="0" borderId="0" xfId="0" applyNumberFormat="1"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right" vertical="center" wrapText="1"/>
    </xf>
    <xf numFmtId="0" fontId="1" fillId="0" borderId="0" xfId="0" applyFont="1" applyAlignment="1">
      <alignment horizontal="right"/>
    </xf>
    <xf numFmtId="4" fontId="2" fillId="0" borderId="0" xfId="0" applyNumberFormat="1" applyFont="1" applyAlignment="1">
      <alignment horizontal="center"/>
    </xf>
    <xf numFmtId="0" fontId="49" fillId="0" borderId="1" xfId="0" applyFont="1" applyBorder="1" applyAlignment="1">
      <alignment horizontal="left" vertical="center" wrapText="1"/>
    </xf>
    <xf numFmtId="49" fontId="49" fillId="0" borderId="1" xfId="0" applyNumberFormat="1" applyFont="1" applyBorder="1" applyAlignment="1">
      <alignment horizontal="center" vertical="center" wrapText="1"/>
    </xf>
    <xf numFmtId="3" fontId="49" fillId="0" borderId="1" xfId="0" applyNumberFormat="1" applyFont="1" applyBorder="1" applyAlignment="1">
      <alignment horizontal="center" vertical="center" wrapText="1"/>
    </xf>
    <xf numFmtId="4" fontId="1" fillId="0" borderId="0" xfId="0" applyNumberFormat="1" applyFont="1" applyAlignment="1">
      <alignment horizontal="center"/>
    </xf>
    <xf numFmtId="4" fontId="50" fillId="0" borderId="0" xfId="0" applyNumberFormat="1" applyFont="1" applyAlignment="1">
      <alignment horizontal="right" vertical="center" wrapText="1"/>
    </xf>
    <xf numFmtId="0" fontId="50" fillId="0" borderId="0" xfId="0" applyFont="1" applyAlignment="1">
      <alignment horizontal="left" vertical="center" wrapText="1"/>
    </xf>
    <xf numFmtId="4" fontId="2" fillId="6" borderId="1" xfId="0" applyNumberFormat="1" applyFont="1" applyFill="1" applyBorder="1" applyAlignment="1">
      <alignment horizontal="center" vertical="center" wrapText="1"/>
    </xf>
    <xf numFmtId="4" fontId="47" fillId="0" borderId="0" xfId="0" applyNumberFormat="1" applyFont="1" applyAlignment="1">
      <alignment horizontal="center"/>
    </xf>
    <xf numFmtId="0" fontId="2" fillId="0" borderId="0" xfId="0" applyFont="1" applyAlignment="1">
      <alignment horizontal="right"/>
    </xf>
    <xf numFmtId="0" fontId="2" fillId="0" borderId="0" xfId="0" applyFont="1" applyAlignment="1">
      <alignment horizontal="right" vertical="center" wrapText="1"/>
    </xf>
    <xf numFmtId="0" fontId="47" fillId="0" borderId="0" xfId="0" applyFont="1" applyAlignment="1">
      <alignment horizontal="center" vertical="center" wrapText="1"/>
    </xf>
    <xf numFmtId="0" fontId="47" fillId="0" borderId="0" xfId="0" applyFont="1"/>
    <xf numFmtId="4" fontId="47" fillId="0" borderId="0" xfId="0" applyNumberFormat="1" applyFont="1" applyAlignment="1">
      <alignment horizontal="left"/>
    </xf>
    <xf numFmtId="4" fontId="47" fillId="0" borderId="0" xfId="0" applyNumberFormat="1" applyFont="1"/>
    <xf numFmtId="3" fontId="51" fillId="0" borderId="0" xfId="0" applyNumberFormat="1" applyFont="1" applyAlignment="1">
      <alignment horizontal="left"/>
    </xf>
    <xf numFmtId="165" fontId="47" fillId="0" borderId="0" xfId="0" applyNumberFormat="1" applyFont="1" applyAlignment="1">
      <alignment horizontal="center" vertical="center" wrapText="1"/>
    </xf>
    <xf numFmtId="0" fontId="51" fillId="0" borderId="0" xfId="0" applyFont="1" applyAlignment="1">
      <alignment horizontal="left" vertical="center" wrapText="1"/>
    </xf>
    <xf numFmtId="0" fontId="47" fillId="0" borderId="0" xfId="0" applyFont="1" applyAlignment="1">
      <alignment horizontal="center"/>
    </xf>
    <xf numFmtId="3" fontId="47" fillId="0" borderId="0" xfId="0" applyNumberFormat="1" applyFont="1" applyAlignment="1">
      <alignment horizontal="left"/>
    </xf>
    <xf numFmtId="172" fontId="2" fillId="0" borderId="0" xfId="0" applyNumberFormat="1" applyFont="1" applyAlignment="1">
      <alignment horizontal="center" vertical="center" wrapText="1"/>
    </xf>
    <xf numFmtId="3" fontId="17" fillId="0" borderId="0" xfId="0" applyNumberFormat="1" applyFont="1" applyAlignment="1">
      <alignment horizontal="center"/>
    </xf>
    <xf numFmtId="4" fontId="2" fillId="0" borderId="0" xfId="0" applyNumberFormat="1" applyFont="1" applyAlignment="1">
      <alignment horizontal="right" vertical="center" wrapText="1"/>
    </xf>
    <xf numFmtId="4" fontId="11" fillId="6" borderId="1" xfId="0" applyNumberFormat="1" applyFont="1" applyFill="1" applyBorder="1" applyAlignment="1">
      <alignment horizontal="center" vertical="center"/>
    </xf>
    <xf numFmtId="0" fontId="17" fillId="6" borderId="0" xfId="0" applyFont="1" applyFill="1" applyAlignment="1">
      <alignment horizontal="center" vertical="center" wrapText="1"/>
    </xf>
    <xf numFmtId="0" fontId="2" fillId="0" borderId="4" xfId="0" applyFont="1" applyBorder="1" applyAlignment="1">
      <alignment horizontal="center" vertical="center" wrapText="1"/>
    </xf>
    <xf numFmtId="164" fontId="1" fillId="0" borderId="6" xfId="0" applyNumberFormat="1" applyFont="1" applyBorder="1" applyAlignment="1">
      <alignment horizontal="center" vertical="center" wrapText="1"/>
    </xf>
    <xf numFmtId="49" fontId="1" fillId="14" borderId="1" xfId="0" applyNumberFormat="1" applyFont="1" applyFill="1" applyBorder="1" applyAlignment="1">
      <alignment horizontal="center" vertical="center" wrapText="1"/>
    </xf>
    <xf numFmtId="0" fontId="2" fillId="14" borderId="1" xfId="0" applyFont="1" applyFill="1" applyBorder="1" applyAlignment="1">
      <alignment horizontal="center" vertical="center" wrapText="1"/>
    </xf>
    <xf numFmtId="49" fontId="52" fillId="14" borderId="1" xfId="0" applyNumberFormat="1" applyFont="1" applyFill="1" applyBorder="1" applyAlignment="1">
      <alignment horizontal="center" vertical="center" wrapText="1"/>
    </xf>
    <xf numFmtId="165" fontId="2" fillId="14" borderId="1" xfId="0" applyNumberFormat="1" applyFont="1" applyFill="1" applyBorder="1" applyAlignment="1">
      <alignment horizontal="center" vertical="center" wrapText="1"/>
    </xf>
    <xf numFmtId="4" fontId="2" fillId="14" borderId="1" xfId="0" applyNumberFormat="1" applyFont="1" applyFill="1" applyBorder="1" applyAlignment="1">
      <alignment horizontal="center" vertical="center" wrapText="1"/>
    </xf>
    <xf numFmtId="0" fontId="2" fillId="14" borderId="1" xfId="0" applyFont="1" applyFill="1" applyBorder="1" applyAlignment="1">
      <alignment horizontal="left" vertical="center" wrapText="1"/>
    </xf>
    <xf numFmtId="0" fontId="2" fillId="14" borderId="0" xfId="0" applyFont="1" applyFill="1" applyAlignment="1">
      <alignment horizontal="center" vertical="center" wrapText="1"/>
    </xf>
    <xf numFmtId="0" fontId="2" fillId="14" borderId="0" xfId="0" applyFont="1" applyFill="1" applyAlignment="1">
      <alignment horizontal="center" wrapText="1"/>
    </xf>
    <xf numFmtId="0" fontId="2" fillId="14" borderId="0" xfId="0" applyFont="1" applyFill="1" applyAlignment="1">
      <alignment wrapText="1"/>
    </xf>
    <xf numFmtId="49" fontId="1" fillId="12" borderId="1" xfId="0" applyNumberFormat="1" applyFont="1" applyFill="1" applyBorder="1" applyAlignment="1">
      <alignment horizontal="center" vertical="center" wrapText="1"/>
    </xf>
    <xf numFmtId="0" fontId="2" fillId="12" borderId="1" xfId="0" applyFont="1" applyFill="1" applyBorder="1" applyAlignment="1">
      <alignment horizontal="left" vertical="center" wrapText="1"/>
    </xf>
    <xf numFmtId="49" fontId="2" fillId="12" borderId="1" xfId="0" applyNumberFormat="1" applyFont="1" applyFill="1" applyBorder="1" applyAlignment="1">
      <alignment horizontal="center" vertical="center" wrapText="1"/>
    </xf>
    <xf numFmtId="0" fontId="2" fillId="12"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4" fontId="1" fillId="12" borderId="1" xfId="0" applyNumberFormat="1" applyFont="1" applyFill="1" applyBorder="1" applyAlignment="1">
      <alignment horizontal="center" vertical="center" wrapText="1"/>
    </xf>
    <xf numFmtId="0" fontId="2" fillId="12" borderId="0" xfId="0" applyFont="1" applyFill="1" applyAlignment="1">
      <alignment horizontal="center" vertical="center" wrapText="1"/>
    </xf>
    <xf numFmtId="0" fontId="2" fillId="12" borderId="0" xfId="0" applyFont="1" applyFill="1" applyAlignment="1">
      <alignment horizontal="center" wrapText="1"/>
    </xf>
    <xf numFmtId="0" fontId="2" fillId="12" borderId="0" xfId="0" applyFont="1" applyFill="1" applyAlignment="1">
      <alignment wrapText="1"/>
    </xf>
    <xf numFmtId="4" fontId="2" fillId="12" borderId="1" xfId="0" applyNumberFormat="1" applyFont="1" applyFill="1" applyBorder="1" applyAlignment="1">
      <alignment horizontal="center" vertical="center" wrapText="1"/>
    </xf>
    <xf numFmtId="49" fontId="2" fillId="0" borderId="0" xfId="0" applyNumberFormat="1" applyFont="1" applyAlignment="1">
      <alignment horizontal="center" vertical="center" wrapText="1"/>
    </xf>
    <xf numFmtId="0" fontId="53" fillId="4" borderId="1" xfId="0" applyFont="1" applyFill="1" applyBorder="1" applyAlignment="1">
      <alignment horizontal="center" wrapText="1"/>
    </xf>
    <xf numFmtId="0" fontId="54" fillId="4" borderId="1" xfId="0" applyFont="1" applyFill="1" applyBorder="1" applyAlignment="1">
      <alignment horizontal="center" vertical="center" wrapText="1"/>
    </xf>
    <xf numFmtId="0" fontId="55" fillId="4" borderId="1" xfId="0" applyFont="1" applyFill="1" applyBorder="1" applyAlignment="1">
      <alignment horizontal="center" vertical="center" wrapText="1"/>
    </xf>
    <xf numFmtId="0" fontId="56" fillId="4" borderId="1" xfId="0" applyFont="1" applyFill="1" applyBorder="1" applyAlignment="1">
      <alignment horizontal="center" vertical="center" wrapText="1"/>
    </xf>
    <xf numFmtId="0" fontId="11" fillId="4" borderId="1" xfId="0" applyFont="1" applyFill="1" applyBorder="1" applyAlignment="1">
      <alignment horizontal="center" wrapText="1"/>
    </xf>
    <xf numFmtId="0" fontId="11" fillId="4" borderId="1" xfId="0" applyFont="1" applyFill="1" applyBorder="1" applyAlignment="1">
      <alignment horizontal="center" vertical="center" wrapText="1"/>
    </xf>
    <xf numFmtId="165" fontId="12" fillId="6" borderId="1" xfId="0" applyNumberFormat="1" applyFont="1" applyFill="1" applyBorder="1" applyAlignment="1">
      <alignment horizontal="center" vertical="center" wrapText="1"/>
    </xf>
    <xf numFmtId="4" fontId="10" fillId="0" borderId="1" xfId="0" applyNumberFormat="1" applyFont="1" applyBorder="1" applyAlignment="1">
      <alignment horizontal="center" vertical="center" wrapText="1"/>
    </xf>
    <xf numFmtId="0" fontId="10" fillId="0" borderId="1" xfId="0" applyFont="1" applyBorder="1" applyAlignment="1">
      <alignment horizontal="center"/>
    </xf>
    <xf numFmtId="0" fontId="57" fillId="4" borderId="1" xfId="0" applyFont="1" applyFill="1" applyBorder="1" applyAlignment="1">
      <alignment horizontal="left" vertical="center" wrapText="1"/>
    </xf>
    <xf numFmtId="0" fontId="58" fillId="0" borderId="1" xfId="0" applyFont="1" applyBorder="1" applyAlignment="1">
      <alignment horizontal="center" vertical="center" wrapText="1"/>
    </xf>
    <xf numFmtId="0" fontId="59"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60" fillId="0" borderId="1" xfId="0" applyFont="1" applyBorder="1" applyAlignment="1">
      <alignment horizontal="center" vertical="center" wrapText="1"/>
    </xf>
    <xf numFmtId="0" fontId="12" fillId="6" borderId="1" xfId="0" applyFont="1" applyFill="1" applyBorder="1" applyAlignment="1">
      <alignment horizontal="center" vertical="center"/>
    </xf>
    <xf numFmtId="4" fontId="10" fillId="0" borderId="1" xfId="0" applyNumberFormat="1" applyFont="1" applyBorder="1" applyAlignment="1">
      <alignment horizontal="center" vertical="center"/>
    </xf>
    <xf numFmtId="0" fontId="61" fillId="4" borderId="1" xfId="0" applyFont="1" applyFill="1" applyBorder="1" applyAlignment="1">
      <alignment horizontal="left" vertical="center" wrapText="1"/>
    </xf>
    <xf numFmtId="0" fontId="62" fillId="4" borderId="1" xfId="0" applyFont="1" applyFill="1" applyBorder="1" applyAlignment="1">
      <alignment horizontal="center" wrapText="1"/>
    </xf>
    <xf numFmtId="0" fontId="63" fillId="4" borderId="1" xfId="0" applyFont="1" applyFill="1" applyBorder="1" applyAlignment="1">
      <alignment horizontal="center" vertical="center" wrapText="1"/>
    </xf>
    <xf numFmtId="0" fontId="10" fillId="0" borderId="1" xfId="0" applyFont="1" applyBorder="1" applyAlignment="1">
      <alignment horizontal="center" wrapText="1"/>
    </xf>
    <xf numFmtId="0" fontId="10" fillId="4" borderId="1" xfId="0" applyFont="1" applyFill="1" applyBorder="1" applyAlignment="1">
      <alignment horizontal="left" vertical="center" wrapText="1"/>
    </xf>
    <xf numFmtId="0" fontId="64" fillId="0" borderId="1" xfId="0" applyFont="1" applyBorder="1" applyAlignment="1">
      <alignment horizontal="center" vertical="center" wrapText="1"/>
    </xf>
    <xf numFmtId="0" fontId="65" fillId="0" borderId="1" xfId="0" applyFont="1" applyBorder="1" applyAlignment="1">
      <alignment horizontal="center" wrapText="1"/>
    </xf>
    <xf numFmtId="0" fontId="16" fillId="4" borderId="1" xfId="0" applyFont="1" applyFill="1" applyBorder="1" applyAlignment="1">
      <alignment horizontal="left" vertical="center" wrapText="1"/>
    </xf>
    <xf numFmtId="0" fontId="66" fillId="4" borderId="1" xfId="0" applyFont="1" applyFill="1" applyBorder="1" applyAlignment="1">
      <alignment horizontal="center" vertical="center" wrapText="1"/>
    </xf>
    <xf numFmtId="0" fontId="2" fillId="15" borderId="1" xfId="0" applyFont="1" applyFill="1" applyBorder="1" applyAlignment="1">
      <alignment horizontal="left" vertical="center" wrapText="1"/>
    </xf>
    <xf numFmtId="0" fontId="67" fillId="4" borderId="1" xfId="0" applyFont="1" applyFill="1" applyBorder="1" applyAlignment="1">
      <alignment horizontal="center" wrapText="1"/>
    </xf>
    <xf numFmtId="0" fontId="68" fillId="4"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16" fillId="6" borderId="1" xfId="0" applyFont="1" applyFill="1" applyBorder="1" applyAlignment="1">
      <alignment horizontal="left" vertical="center"/>
    </xf>
    <xf numFmtId="0" fontId="2" fillId="4" borderId="1" xfId="0" applyFont="1" applyFill="1" applyBorder="1" applyAlignment="1">
      <alignment vertical="center" wrapText="1"/>
    </xf>
    <xf numFmtId="0" fontId="0" fillId="6" borderId="1" xfId="0" applyFill="1" applyBorder="1" applyAlignment="1">
      <alignment horizontal="center" vertical="center"/>
    </xf>
    <xf numFmtId="0" fontId="69" fillId="4" borderId="1" xfId="0" applyFont="1" applyFill="1" applyBorder="1" applyAlignment="1">
      <alignment vertical="center" wrapText="1"/>
    </xf>
    <xf numFmtId="4" fontId="5" fillId="0" borderId="1" xfId="0" applyNumberFormat="1" applyFont="1" applyBorder="1" applyAlignment="1">
      <alignment horizontal="center" vertical="center"/>
    </xf>
    <xf numFmtId="0" fontId="70" fillId="4" borderId="1" xfId="0" applyFont="1" applyFill="1" applyBorder="1" applyAlignment="1">
      <alignment horizontal="center" vertical="center" wrapText="1"/>
    </xf>
    <xf numFmtId="0" fontId="71" fillId="0" borderId="1" xfId="0" applyFont="1" applyBorder="1" applyAlignment="1">
      <alignment horizontal="center" vertical="center"/>
    </xf>
    <xf numFmtId="0" fontId="10" fillId="4" borderId="1" xfId="0" applyFont="1" applyFill="1" applyBorder="1" applyAlignment="1">
      <alignment horizontal="center" wrapText="1"/>
    </xf>
    <xf numFmtId="0" fontId="2" fillId="4" borderId="1" xfId="0" applyFont="1" applyFill="1" applyBorder="1" applyAlignment="1">
      <alignment horizontal="center" vertical="center"/>
    </xf>
    <xf numFmtId="4" fontId="11" fillId="4" borderId="1" xfId="0" applyNumberFormat="1" applyFont="1" applyFill="1" applyBorder="1" applyAlignment="1">
      <alignment horizontal="center" vertical="center"/>
    </xf>
    <xf numFmtId="0" fontId="5" fillId="0" borderId="0" xfId="0" applyFont="1" applyAlignment="1">
      <alignment horizontal="center" vertical="center" wrapText="1"/>
    </xf>
    <xf numFmtId="0" fontId="10" fillId="0" borderId="0" xfId="0" applyFont="1" applyAlignment="1">
      <alignment horizontal="center" vertical="center" wrapText="1"/>
    </xf>
    <xf numFmtId="0" fontId="5" fillId="0" borderId="0" xfId="0" applyFont="1" applyAlignment="1">
      <alignment horizontal="left" vertical="center" wrapText="1"/>
    </xf>
    <xf numFmtId="4" fontId="11" fillId="6" borderId="0" xfId="0" applyNumberFormat="1" applyFont="1" applyFill="1" applyAlignment="1">
      <alignment horizontal="center" vertical="center"/>
    </xf>
    <xf numFmtId="0" fontId="2" fillId="4" borderId="0" xfId="0" applyFont="1" applyFill="1" applyAlignment="1">
      <alignment horizontal="center" wrapText="1"/>
    </xf>
    <xf numFmtId="0" fontId="1" fillId="10" borderId="1" xfId="0" applyFont="1" applyFill="1" applyBorder="1" applyAlignment="1">
      <alignment horizontal="center" vertical="center"/>
    </xf>
    <xf numFmtId="0" fontId="72" fillId="6" borderId="1" xfId="0" applyFont="1" applyFill="1" applyBorder="1" applyAlignment="1">
      <alignment horizontal="center" vertical="center" wrapText="1"/>
    </xf>
    <xf numFmtId="0" fontId="73" fillId="6" borderId="1" xfId="0" applyFont="1" applyFill="1" applyBorder="1" applyAlignment="1">
      <alignment horizontal="center" vertical="center" wrapText="1"/>
    </xf>
    <xf numFmtId="0" fontId="74" fillId="0" borderId="1" xfId="0" applyFont="1" applyBorder="1" applyAlignment="1">
      <alignment horizontal="center" vertical="center" wrapText="1"/>
    </xf>
    <xf numFmtId="4" fontId="11" fillId="6" borderId="1" xfId="0" applyNumberFormat="1" applyFont="1" applyFill="1" applyBorder="1" applyAlignment="1">
      <alignment horizontal="center" vertical="center" wrapText="1"/>
    </xf>
    <xf numFmtId="0" fontId="75" fillId="6" borderId="1" xfId="0" applyFont="1" applyFill="1" applyBorder="1" applyAlignment="1">
      <alignment horizontal="center" vertical="center" wrapText="1"/>
    </xf>
    <xf numFmtId="0" fontId="76" fillId="6" borderId="1" xfId="0" applyFont="1" applyFill="1" applyBorder="1" applyAlignment="1">
      <alignment horizontal="center" vertical="center" wrapText="1"/>
    </xf>
    <xf numFmtId="0" fontId="77" fillId="0" borderId="1" xfId="0" applyFont="1" applyBorder="1" applyAlignment="1">
      <alignment horizontal="center" vertical="center" wrapText="1"/>
    </xf>
    <xf numFmtId="0" fontId="78" fillId="6" borderId="1" xfId="0" applyFont="1" applyFill="1" applyBorder="1" applyAlignment="1">
      <alignment horizontal="center" vertical="center" wrapText="1"/>
    </xf>
    <xf numFmtId="0" fontId="79" fillId="6" borderId="1" xfId="0" applyFont="1" applyFill="1" applyBorder="1" applyAlignment="1">
      <alignment horizontal="center" vertical="center"/>
    </xf>
    <xf numFmtId="0" fontId="80" fillId="0" borderId="1" xfId="0" applyFont="1" applyBorder="1" applyAlignment="1">
      <alignment horizontal="center" vertical="center"/>
    </xf>
    <xf numFmtId="0" fontId="81" fillId="6" borderId="1" xfId="0" applyFont="1" applyFill="1" applyBorder="1" applyAlignment="1">
      <alignment horizontal="center" vertical="center"/>
    </xf>
    <xf numFmtId="0" fontId="8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2" fillId="0" borderId="6" xfId="0" applyFont="1" applyBorder="1" applyAlignment="1">
      <alignment horizontal="center" vertical="center"/>
    </xf>
    <xf numFmtId="4" fontId="2" fillId="0" borderId="6" xfId="0" applyNumberFormat="1" applyFont="1" applyBorder="1" applyAlignment="1">
      <alignment horizontal="center" vertical="center"/>
    </xf>
    <xf numFmtId="0" fontId="83" fillId="6" borderId="6" xfId="0" applyFont="1" applyFill="1" applyBorder="1" applyAlignment="1">
      <alignment horizontal="center" vertical="center" wrapText="1"/>
    </xf>
    <xf numFmtId="0" fontId="84" fillId="0" borderId="1" xfId="0" applyFont="1" applyBorder="1" applyAlignment="1">
      <alignment horizontal="center" vertical="center" wrapText="1"/>
    </xf>
    <xf numFmtId="0" fontId="85" fillId="6"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86" fillId="10" borderId="1" xfId="0" applyFont="1" applyFill="1" applyBorder="1" applyAlignment="1">
      <alignment horizontal="center" vertical="center"/>
    </xf>
    <xf numFmtId="0" fontId="87" fillId="0" borderId="1" xfId="0" applyFont="1" applyBorder="1" applyAlignment="1">
      <alignment horizontal="center" vertical="center"/>
    </xf>
    <xf numFmtId="0" fontId="88" fillId="6" borderId="1" xfId="0" applyFont="1" applyFill="1" applyBorder="1" applyAlignment="1">
      <alignment horizontal="center" vertical="center"/>
    </xf>
    <xf numFmtId="0" fontId="89" fillId="0" borderId="1" xfId="0" applyFont="1" applyBorder="1" applyAlignment="1">
      <alignment horizontal="center" vertical="center"/>
    </xf>
    <xf numFmtId="0" fontId="2" fillId="6" borderId="1" xfId="0" applyFont="1" applyFill="1" applyBorder="1" applyAlignment="1">
      <alignment horizontal="center" vertical="center"/>
    </xf>
    <xf numFmtId="4" fontId="1" fillId="10" borderId="1" xfId="0" applyNumberFormat="1" applyFont="1" applyFill="1" applyBorder="1" applyAlignment="1">
      <alignment horizontal="center" vertical="center" wrapText="1"/>
    </xf>
    <xf numFmtId="4" fontId="17" fillId="6" borderId="1" xfId="0" applyNumberFormat="1" applyFont="1" applyFill="1" applyBorder="1" applyAlignment="1">
      <alignment horizontal="center" vertical="center" wrapText="1"/>
    </xf>
    <xf numFmtId="0" fontId="90" fillId="10" borderId="1" xfId="0" applyFont="1" applyFill="1" applyBorder="1" applyAlignment="1">
      <alignment horizontal="center" vertical="center" wrapText="1"/>
    </xf>
    <xf numFmtId="173" fontId="90" fillId="10" borderId="1" xfId="0" applyNumberFormat="1" applyFont="1" applyFill="1" applyBorder="1" applyAlignment="1">
      <alignment horizontal="center" vertical="center" wrapText="1"/>
    </xf>
    <xf numFmtId="173" fontId="2" fillId="0" borderId="1" xfId="0" applyNumberFormat="1" applyFont="1" applyBorder="1" applyAlignment="1">
      <alignment horizontal="center" vertical="center" wrapText="1"/>
    </xf>
    <xf numFmtId="173" fontId="11" fillId="6" borderId="1" xfId="0" applyNumberFormat="1" applyFont="1" applyFill="1" applyBorder="1" applyAlignment="1">
      <alignment horizontal="center" vertical="center" wrapText="1"/>
    </xf>
    <xf numFmtId="174" fontId="2" fillId="0" borderId="1" xfId="0" applyNumberFormat="1" applyFont="1" applyBorder="1" applyAlignment="1">
      <alignment horizontal="center" vertical="center" wrapText="1"/>
    </xf>
    <xf numFmtId="173" fontId="1" fillId="0" borderId="1" xfId="0" applyNumberFormat="1" applyFont="1" applyBorder="1" applyAlignment="1">
      <alignment horizontal="center" vertical="center" wrapText="1"/>
    </xf>
    <xf numFmtId="173" fontId="15" fillId="6" borderId="1" xfId="0" applyNumberFormat="1" applyFont="1" applyFill="1" applyBorder="1" applyAlignment="1">
      <alignment horizontal="center" vertical="center" wrapText="1"/>
    </xf>
    <xf numFmtId="173" fontId="21" fillId="6" borderId="1" xfId="0" applyNumberFormat="1" applyFont="1" applyFill="1" applyBorder="1" applyAlignment="1">
      <alignment horizontal="center" vertical="center" wrapText="1"/>
    </xf>
    <xf numFmtId="173" fontId="17" fillId="6" borderId="1" xfId="0" applyNumberFormat="1" applyFont="1" applyFill="1" applyBorder="1" applyAlignment="1">
      <alignment horizontal="center" vertical="center" wrapText="1"/>
    </xf>
    <xf numFmtId="171" fontId="17" fillId="6" borderId="1" xfId="0" applyNumberFormat="1" applyFont="1" applyFill="1" applyBorder="1" applyAlignment="1">
      <alignment horizontal="center" vertical="center" wrapText="1"/>
    </xf>
    <xf numFmtId="0" fontId="91" fillId="6" borderId="1" xfId="0" applyFont="1" applyFill="1" applyBorder="1" applyAlignment="1">
      <alignment horizontal="center" vertical="center" wrapText="1"/>
    </xf>
    <xf numFmtId="173" fontId="17" fillId="6" borderId="1" xfId="0" applyNumberFormat="1" applyFont="1" applyFill="1" applyBorder="1" applyAlignment="1">
      <alignment horizontal="center" vertical="center"/>
    </xf>
    <xf numFmtId="0" fontId="7" fillId="0" borderId="5" xfId="0" applyFont="1" applyBorder="1" applyAlignment="1">
      <alignment horizontal="center" wrapText="1"/>
    </xf>
    <xf numFmtId="173" fontId="7" fillId="0" borderId="5" xfId="0" applyNumberFormat="1" applyFont="1" applyBorder="1" applyAlignment="1">
      <alignment horizontal="center" wrapText="1"/>
    </xf>
    <xf numFmtId="0" fontId="7" fillId="6" borderId="5" xfId="0" applyFont="1" applyFill="1" applyBorder="1" applyAlignment="1">
      <alignment horizontal="center" wrapText="1"/>
    </xf>
    <xf numFmtId="0" fontId="79" fillId="6" borderId="0" xfId="0" applyFont="1" applyFill="1" applyAlignment="1">
      <alignment horizontal="center" vertical="center"/>
    </xf>
    <xf numFmtId="173" fontId="7" fillId="0" borderId="1" xfId="0" applyNumberFormat="1" applyFont="1" applyBorder="1" applyAlignment="1">
      <alignment horizontal="center" wrapText="1"/>
    </xf>
    <xf numFmtId="173" fontId="2" fillId="0" borderId="0" xfId="0" applyNumberFormat="1" applyFont="1" applyAlignment="1">
      <alignment horizontal="center" vertical="center" wrapText="1"/>
    </xf>
    <xf numFmtId="164" fontId="1" fillId="10" borderId="1" xfId="0" applyNumberFormat="1" applyFont="1" applyFill="1" applyBorder="1" applyAlignment="1">
      <alignment horizontal="center" vertical="center" wrapText="1"/>
    </xf>
    <xf numFmtId="0" fontId="92" fillId="6" borderId="0" xfId="0" applyFont="1" applyFill="1" applyAlignment="1">
      <alignment horizontal="center"/>
    </xf>
    <xf numFmtId="3" fontId="11" fillId="6" borderId="1" xfId="0" applyNumberFormat="1" applyFont="1" applyFill="1" applyBorder="1" applyAlignment="1">
      <alignment horizontal="center" vertical="center" wrapText="1"/>
    </xf>
    <xf numFmtId="0" fontId="23" fillId="8" borderId="1" xfId="0" applyFont="1" applyFill="1" applyBorder="1" applyAlignment="1">
      <alignment wrapText="1"/>
    </xf>
    <xf numFmtId="0" fontId="93" fillId="8" borderId="1" xfId="0" applyFont="1" applyFill="1" applyBorder="1" applyAlignment="1">
      <alignment horizontal="center" vertical="center"/>
    </xf>
    <xf numFmtId="0" fontId="2" fillId="10" borderId="1" xfId="0" applyFont="1" applyFill="1" applyBorder="1" applyAlignment="1">
      <alignment horizontal="center" vertical="center"/>
    </xf>
    <xf numFmtId="0" fontId="94" fillId="6" borderId="1" xfId="0" applyFont="1" applyFill="1" applyBorder="1" applyAlignment="1">
      <alignment horizontal="center" vertical="center"/>
    </xf>
    <xf numFmtId="0" fontId="95" fillId="6" borderId="0" xfId="0" applyFont="1" applyFill="1" applyAlignment="1">
      <alignment horizontal="center" vertical="center"/>
    </xf>
    <xf numFmtId="0" fontId="2"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wrapText="1"/>
    </xf>
    <xf numFmtId="0" fontId="2" fillId="8" borderId="1" xfId="0" applyFont="1" applyFill="1" applyBorder="1" applyAlignment="1">
      <alignment horizontal="center" wrapText="1"/>
    </xf>
    <xf numFmtId="3" fontId="2" fillId="8" borderId="1" xfId="0" applyNumberFormat="1" applyFont="1" applyFill="1" applyBorder="1" applyAlignment="1">
      <alignment horizontal="center" vertical="center" wrapText="1"/>
    </xf>
    <xf numFmtId="0" fontId="2" fillId="8" borderId="1" xfId="0" applyFont="1" applyFill="1" applyBorder="1" applyAlignment="1">
      <alignment horizontal="left" wrapText="1"/>
    </xf>
    <xf numFmtId="0" fontId="2" fillId="8" borderId="1" xfId="0" applyFont="1" applyFill="1" applyBorder="1" applyAlignment="1">
      <alignment horizontal="center"/>
    </xf>
    <xf numFmtId="0" fontId="2" fillId="8" borderId="1" xfId="0" applyFont="1" applyFill="1" applyBorder="1"/>
    <xf numFmtId="0" fontId="2" fillId="0" borderId="1" xfId="0" applyFont="1" applyBorder="1" applyAlignment="1">
      <alignment horizontal="left" vertical="top" wrapText="1"/>
    </xf>
    <xf numFmtId="0" fontId="96" fillId="8" borderId="1" xfId="0" applyFont="1" applyFill="1" applyBorder="1" applyAlignment="1">
      <alignment horizontal="center" vertical="center" wrapText="1"/>
    </xf>
    <xf numFmtId="0" fontId="96" fillId="8" borderId="1" xfId="0" applyFont="1" applyFill="1" applyBorder="1" applyAlignment="1">
      <alignment horizontal="center" vertical="center"/>
    </xf>
    <xf numFmtId="0" fontId="24" fillId="6"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97" fillId="6" borderId="1" xfId="0" applyFont="1" applyFill="1" applyBorder="1" applyAlignment="1">
      <alignment horizontal="center" vertical="center"/>
    </xf>
    <xf numFmtId="4" fontId="17" fillId="6" borderId="1" xfId="0" applyNumberFormat="1" applyFont="1" applyFill="1" applyBorder="1" applyAlignment="1">
      <alignment horizontal="center" vertical="center"/>
    </xf>
    <xf numFmtId="0" fontId="11" fillId="6" borderId="1" xfId="0" applyFont="1" applyFill="1" applyBorder="1" applyAlignment="1">
      <alignment horizontal="left" vertical="center"/>
    </xf>
    <xf numFmtId="0" fontId="79" fillId="6" borderId="1" xfId="0" applyFont="1" applyFill="1" applyBorder="1" applyAlignment="1">
      <alignment horizontal="center"/>
    </xf>
    <xf numFmtId="0" fontId="98" fillId="6" borderId="1" xfId="0" applyFont="1" applyFill="1" applyBorder="1" applyAlignment="1">
      <alignment horizontal="center" vertical="center" wrapText="1"/>
    </xf>
    <xf numFmtId="0" fontId="11" fillId="0" borderId="1" xfId="0" applyFont="1" applyBorder="1" applyAlignment="1">
      <alignment horizontal="center" wrapText="1"/>
    </xf>
    <xf numFmtId="175" fontId="11" fillId="6" borderId="1" xfId="0" applyNumberFormat="1" applyFont="1" applyFill="1" applyBorder="1" applyAlignment="1">
      <alignment horizontal="center" vertical="center" wrapText="1"/>
    </xf>
    <xf numFmtId="3" fontId="17" fillId="6" borderId="1" xfId="0" applyNumberFormat="1"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79" fillId="4" borderId="1" xfId="0" applyFont="1" applyFill="1" applyBorder="1" applyAlignment="1">
      <alignment horizontal="center" vertical="center"/>
    </xf>
    <xf numFmtId="0" fontId="11" fillId="6" borderId="1" xfId="0" applyFont="1" applyFill="1" applyBorder="1" applyAlignment="1">
      <alignment horizontal="left" wrapText="1"/>
    </xf>
    <xf numFmtId="0" fontId="2" fillId="6" borderId="1" xfId="0" applyFont="1" applyFill="1" applyBorder="1" applyAlignment="1">
      <alignment horizontal="center" wrapText="1"/>
    </xf>
    <xf numFmtId="0" fontId="11" fillId="8" borderId="1" xfId="0" applyFont="1" applyFill="1" applyBorder="1" applyAlignment="1">
      <alignment horizontal="center" vertical="center" wrapText="1"/>
    </xf>
    <xf numFmtId="0" fontId="79" fillId="8" borderId="1" xfId="0" applyFont="1" applyFill="1" applyBorder="1" applyAlignment="1">
      <alignment horizontal="center" vertical="center"/>
    </xf>
    <xf numFmtId="0" fontId="17" fillId="8" borderId="1" xfId="0" applyFont="1" applyFill="1" applyBorder="1" applyAlignment="1">
      <alignment horizontal="center" vertical="center" wrapText="1"/>
    </xf>
    <xf numFmtId="0" fontId="2" fillId="8" borderId="1" xfId="0" applyFont="1" applyFill="1" applyBorder="1" applyAlignment="1">
      <alignment wrapText="1"/>
    </xf>
    <xf numFmtId="0" fontId="17" fillId="4" borderId="1" xfId="0" applyFont="1" applyFill="1" applyBorder="1" applyAlignment="1">
      <alignment horizontal="center" vertical="center" wrapText="1"/>
    </xf>
    <xf numFmtId="0" fontId="99" fillId="0" borderId="0" xfId="0" applyFont="1" applyAlignment="1">
      <alignment horizontal="center"/>
    </xf>
    <xf numFmtId="0" fontId="100" fillId="6" borderId="1" xfId="0" applyFont="1" applyFill="1" applyBorder="1" applyAlignment="1">
      <alignment horizontal="center" vertical="center" wrapText="1"/>
    </xf>
    <xf numFmtId="0" fontId="2" fillId="4" borderId="1" xfId="0" applyFont="1" applyFill="1" applyBorder="1"/>
    <xf numFmtId="10" fontId="2" fillId="0" borderId="1" xfId="0" applyNumberFormat="1" applyFont="1" applyBorder="1" applyAlignment="1">
      <alignment horizontal="center" vertical="center" wrapText="1"/>
    </xf>
    <xf numFmtId="0" fontId="17" fillId="8" borderId="7"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01" fillId="6" borderId="0" xfId="0" applyFont="1" applyFill="1" applyAlignment="1">
      <alignment horizontal="center" vertical="center" wrapText="1"/>
    </xf>
    <xf numFmtId="0" fontId="79" fillId="0" borderId="1" xfId="0" applyFont="1" applyBorder="1" applyAlignment="1">
      <alignment horizontal="center" vertical="center"/>
    </xf>
    <xf numFmtId="0" fontId="102" fillId="6"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wrapText="1"/>
    </xf>
    <xf numFmtId="0" fontId="1" fillId="0" borderId="1" xfId="0" applyFont="1" applyBorder="1"/>
    <xf numFmtId="0" fontId="103" fillId="0" borderId="1" xfId="0" applyFont="1" applyBorder="1" applyAlignment="1">
      <alignment horizontal="right" wrapText="1"/>
    </xf>
    <xf numFmtId="0" fontId="1" fillId="0" borderId="1" xfId="0" applyFont="1" applyBorder="1" applyAlignment="1">
      <alignment horizontal="center" wrapText="1"/>
    </xf>
    <xf numFmtId="0" fontId="1" fillId="0" borderId="1" xfId="0" applyFont="1" applyBorder="1" applyAlignment="1">
      <alignment horizontal="center"/>
    </xf>
    <xf numFmtId="4" fontId="1" fillId="0" borderId="1" xfId="0" applyNumberFormat="1" applyFont="1" applyBorder="1" applyAlignment="1">
      <alignment horizontal="center"/>
    </xf>
    <xf numFmtId="0" fontId="103" fillId="0" borderId="0" xfId="0" applyFont="1" applyAlignment="1">
      <alignment horizontal="right" wrapText="1"/>
    </xf>
    <xf numFmtId="0" fontId="36" fillId="0" borderId="0" xfId="0" applyFont="1" applyAlignment="1">
      <alignment horizontal="center"/>
    </xf>
    <xf numFmtId="0" fontId="104" fillId="6" borderId="1" xfId="0" applyFont="1" applyFill="1" applyBorder="1" applyAlignment="1">
      <alignment horizontal="center" vertical="center"/>
    </xf>
    <xf numFmtId="0" fontId="21" fillId="6" borderId="1" xfId="0" applyFont="1" applyFill="1" applyBorder="1" applyAlignment="1">
      <alignment horizontal="center" vertical="center"/>
    </xf>
    <xf numFmtId="0" fontId="105"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9" fillId="10" borderId="0" xfId="0" applyFont="1" applyFill="1" applyAlignment="1">
      <alignment horizontal="center" vertical="center" wrapText="1"/>
    </xf>
    <xf numFmtId="0" fontId="2" fillId="10" borderId="0" xfId="0" applyFont="1" applyFill="1" applyAlignment="1">
      <alignment horizontal="center" vertical="center"/>
    </xf>
    <xf numFmtId="167" fontId="2" fillId="0" borderId="0" xfId="0" applyNumberFormat="1" applyFont="1" applyAlignment="1">
      <alignment horizontal="center" vertical="center" wrapText="1"/>
    </xf>
    <xf numFmtId="0" fontId="106" fillId="6" borderId="0" xfId="0" applyFont="1" applyFill="1" applyAlignment="1">
      <alignment horizontal="center" vertical="center" wrapText="1"/>
    </xf>
    <xf numFmtId="0" fontId="11" fillId="6" borderId="0" xfId="0" applyFont="1" applyFill="1" applyAlignment="1">
      <alignment horizontal="center" vertical="center" wrapText="1"/>
    </xf>
    <xf numFmtId="0" fontId="11" fillId="6" borderId="0" xfId="0" applyFont="1" applyFill="1" applyAlignment="1">
      <alignment horizontal="left" vertical="center" wrapText="1"/>
    </xf>
    <xf numFmtId="0" fontId="107" fillId="6" borderId="0" xfId="0" applyFont="1" applyFill="1" applyAlignment="1">
      <alignment horizontal="center" vertical="center"/>
    </xf>
    <xf numFmtId="0" fontId="11" fillId="6" borderId="0" xfId="0" applyFont="1" applyFill="1" applyAlignment="1">
      <alignment horizontal="center" vertical="center"/>
    </xf>
    <xf numFmtId="168" fontId="2" fillId="0" borderId="0" xfId="0" applyNumberFormat="1" applyFont="1" applyAlignment="1">
      <alignment horizontal="center" vertical="center" wrapText="1"/>
    </xf>
    <xf numFmtId="0" fontId="11" fillId="6" borderId="0" xfId="0" applyFont="1" applyFill="1" applyAlignment="1">
      <alignment horizontal="left" vertical="center"/>
    </xf>
    <xf numFmtId="0" fontId="24" fillId="6" borderId="0" xfId="0" applyFont="1" applyFill="1" applyAlignment="1">
      <alignment horizontal="center" vertical="center" wrapText="1"/>
    </xf>
    <xf numFmtId="0" fontId="17" fillId="0" borderId="0" xfId="0" applyFont="1" applyAlignment="1">
      <alignment horizontal="center" vertical="center" wrapText="1"/>
    </xf>
    <xf numFmtId="0" fontId="26" fillId="6" borderId="0" xfId="0" applyFont="1" applyFill="1" applyAlignment="1">
      <alignment horizontal="center" vertical="center" wrapText="1"/>
    </xf>
    <xf numFmtId="0" fontId="17" fillId="8" borderId="0" xfId="0" applyFont="1" applyFill="1" applyAlignment="1">
      <alignment horizontal="center" vertical="center"/>
    </xf>
    <xf numFmtId="0" fontId="11" fillId="8" borderId="0" xfId="0" applyFont="1" applyFill="1" applyAlignment="1">
      <alignment horizontal="center" vertical="center"/>
    </xf>
    <xf numFmtId="0" fontId="2" fillId="8" borderId="0" xfId="0" applyFont="1" applyFill="1" applyAlignment="1">
      <alignment horizontal="left" vertical="center" wrapText="1"/>
    </xf>
    <xf numFmtId="0" fontId="2" fillId="8" borderId="0" xfId="0" applyFont="1" applyFill="1" applyAlignment="1">
      <alignment horizontal="center" vertical="center" wrapText="1"/>
    </xf>
    <xf numFmtId="0" fontId="79" fillId="8" borderId="0" xfId="0" applyFont="1" applyFill="1" applyAlignment="1">
      <alignment horizontal="center" vertical="center"/>
    </xf>
    <xf numFmtId="0" fontId="17" fillId="8" borderId="0" xfId="0" applyFont="1" applyFill="1" applyAlignment="1">
      <alignment horizontal="center" vertical="center" wrapText="1"/>
    </xf>
    <xf numFmtId="0" fontId="2" fillId="8" borderId="0" xfId="0" applyFont="1" applyFill="1" applyAlignment="1">
      <alignment horizontal="center" vertical="center"/>
    </xf>
    <xf numFmtId="0" fontId="2" fillId="8" borderId="0" xfId="0" applyFont="1" applyFill="1"/>
    <xf numFmtId="0" fontId="26" fillId="6" borderId="0" xfId="0" applyFont="1" applyFill="1" applyAlignment="1">
      <alignment horizontal="center" vertical="center"/>
    </xf>
    <xf numFmtId="0" fontId="2" fillId="10" borderId="0" xfId="0" applyFont="1" applyFill="1" applyAlignment="1">
      <alignment vertical="center"/>
    </xf>
    <xf numFmtId="0" fontId="108" fillId="0" borderId="0" xfId="0" applyFont="1" applyAlignment="1">
      <alignment horizontal="center" vertical="center" wrapText="1"/>
    </xf>
    <xf numFmtId="0" fontId="109" fillId="6" borderId="0" xfId="0" applyFont="1" applyFill="1" applyAlignment="1">
      <alignment horizontal="center" vertical="center" wrapText="1"/>
    </xf>
    <xf numFmtId="0" fontId="110" fillId="0" borderId="0" xfId="0" applyFont="1" applyAlignment="1">
      <alignment horizontal="center" vertical="center" wrapText="1"/>
    </xf>
    <xf numFmtId="0" fontId="17" fillId="6" borderId="0" xfId="0" applyFont="1" applyFill="1" applyAlignment="1">
      <alignment horizontal="left" vertical="center" wrapText="1"/>
    </xf>
    <xf numFmtId="0" fontId="2" fillId="0" borderId="0" xfId="0" quotePrefix="1" applyFont="1" applyAlignment="1">
      <alignment horizontal="center" vertical="center" wrapText="1"/>
    </xf>
    <xf numFmtId="0" fontId="2" fillId="0" borderId="0" xfId="0" applyFont="1" applyAlignment="1">
      <alignment horizontal="left" vertical="center"/>
    </xf>
    <xf numFmtId="0" fontId="26" fillId="6" borderId="0" xfId="0" applyFont="1" applyFill="1" applyAlignment="1">
      <alignment horizontal="left" vertical="center"/>
    </xf>
    <xf numFmtId="0" fontId="111" fillId="6" borderId="0" xfId="0" applyFont="1" applyFill="1" applyAlignment="1">
      <alignment horizontal="center" vertical="center" wrapText="1"/>
    </xf>
    <xf numFmtId="0" fontId="11" fillId="6" borderId="0" xfId="0" applyFont="1" applyFill="1" applyAlignment="1">
      <alignment horizontal="center" wrapText="1"/>
    </xf>
    <xf numFmtId="0" fontId="11" fillId="6" borderId="0" xfId="0" applyFont="1" applyFill="1" applyAlignment="1">
      <alignment vertical="center"/>
    </xf>
    <xf numFmtId="0" fontId="17" fillId="0" borderId="0" xfId="0" applyFont="1" applyAlignment="1">
      <alignment horizontal="left" vertical="center" wrapText="1"/>
    </xf>
    <xf numFmtId="0" fontId="17" fillId="0" borderId="0" xfId="0" applyFont="1" applyAlignment="1">
      <alignment horizontal="center" wrapText="1"/>
    </xf>
    <xf numFmtId="0" fontId="17" fillId="6" borderId="0" xfId="0" applyFont="1" applyFill="1" applyAlignment="1">
      <alignment horizontal="left" vertical="center"/>
    </xf>
    <xf numFmtId="0" fontId="11" fillId="6" borderId="0" xfId="0" applyFont="1" applyFill="1"/>
    <xf numFmtId="176" fontId="2" fillId="0" borderId="0" xfId="0" applyNumberFormat="1" applyFont="1" applyAlignment="1">
      <alignment horizontal="center" vertical="center" wrapText="1"/>
    </xf>
    <xf numFmtId="0" fontId="5" fillId="6" borderId="0" xfId="0" applyFont="1" applyFill="1" applyAlignment="1">
      <alignment horizontal="center" vertical="center" wrapText="1"/>
    </xf>
    <xf numFmtId="0" fontId="112" fillId="6" borderId="0" xfId="0" applyFont="1" applyFill="1" applyAlignment="1">
      <alignment horizontal="center" vertical="center" wrapText="1"/>
    </xf>
    <xf numFmtId="0" fontId="2" fillId="0" borderId="0" xfId="0" applyFont="1" applyAlignment="1">
      <alignment horizontal="left" wrapText="1"/>
    </xf>
    <xf numFmtId="0" fontId="15" fillId="6" borderId="0" xfId="0" applyFont="1" applyFill="1" applyAlignment="1">
      <alignment horizontal="center" vertical="center"/>
    </xf>
    <xf numFmtId="3" fontId="17" fillId="6" borderId="0" xfId="0" applyNumberFormat="1" applyFont="1" applyFill="1" applyAlignment="1">
      <alignment horizontal="center" vertical="center" wrapText="1"/>
    </xf>
    <xf numFmtId="0" fontId="5" fillId="6" borderId="0" xfId="0" applyFont="1" applyFill="1" applyAlignment="1">
      <alignment horizontal="center" vertical="center"/>
    </xf>
    <xf numFmtId="0" fontId="113" fillId="6" borderId="0" xfId="0" applyFont="1" applyFill="1" applyAlignment="1">
      <alignment horizontal="center" vertical="center" wrapText="1"/>
    </xf>
    <xf numFmtId="0" fontId="9" fillId="6" borderId="0" xfId="0" applyFont="1" applyFill="1" applyAlignment="1">
      <alignment horizontal="center" vertical="center" wrapText="1"/>
    </xf>
    <xf numFmtId="0" fontId="15" fillId="6" borderId="0" xfId="0" applyFont="1" applyFill="1" applyAlignment="1">
      <alignment horizontal="center" vertical="center" wrapText="1"/>
    </xf>
    <xf numFmtId="0" fontId="19" fillId="6" borderId="0" xfId="0" applyFont="1" applyFill="1" applyAlignment="1">
      <alignment horizontal="center"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0" borderId="10"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4" fontId="1" fillId="0" borderId="19" xfId="0" applyNumberFormat="1"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4" fontId="2" fillId="0" borderId="21" xfId="0" applyNumberFormat="1" applyFont="1" applyBorder="1" applyAlignment="1">
      <alignment horizontal="center"/>
    </xf>
    <xf numFmtId="0" fontId="2" fillId="0" borderId="22" xfId="0" applyFont="1" applyBorder="1" applyAlignment="1">
      <alignment horizontal="center"/>
    </xf>
    <xf numFmtId="4" fontId="1" fillId="0" borderId="23" xfId="0" applyNumberFormat="1" applyFont="1" applyBorder="1" applyAlignment="1">
      <alignment horizontal="center"/>
    </xf>
    <xf numFmtId="0" fontId="2" fillId="0" borderId="24" xfId="0" applyFont="1" applyBorder="1" applyAlignment="1">
      <alignment horizontal="center"/>
    </xf>
    <xf numFmtId="0" fontId="2" fillId="0" borderId="6" xfId="0" applyFont="1" applyBorder="1" applyAlignment="1">
      <alignment horizontal="center"/>
    </xf>
    <xf numFmtId="4" fontId="2" fillId="0" borderId="6" xfId="0" applyNumberFormat="1" applyFont="1" applyBorder="1" applyAlignment="1">
      <alignment horizontal="center"/>
    </xf>
    <xf numFmtId="4" fontId="114" fillId="6" borderId="6" xfId="0" applyNumberFormat="1" applyFont="1" applyFill="1" applyBorder="1" applyAlignment="1">
      <alignment horizontal="center"/>
    </xf>
    <xf numFmtId="0" fontId="2" fillId="0" borderId="25" xfId="0" applyFont="1" applyBorder="1" applyAlignment="1">
      <alignment horizontal="center"/>
    </xf>
    <xf numFmtId="0" fontId="1" fillId="0" borderId="16" xfId="0" applyFont="1" applyBorder="1" applyAlignment="1">
      <alignment horizontal="center"/>
    </xf>
    <xf numFmtId="0" fontId="114" fillId="6" borderId="16" xfId="0" applyFont="1" applyFill="1" applyBorder="1" applyAlignment="1">
      <alignment horizontal="center"/>
    </xf>
    <xf numFmtId="4" fontId="1" fillId="0" borderId="21" xfId="0" applyNumberFormat="1" applyFont="1" applyBorder="1" applyAlignment="1">
      <alignment horizontal="center"/>
    </xf>
    <xf numFmtId="4" fontId="114" fillId="6" borderId="21" xfId="0" applyNumberFormat="1" applyFont="1" applyFill="1" applyBorder="1" applyAlignment="1">
      <alignment horizontal="center"/>
    </xf>
    <xf numFmtId="4" fontId="2" fillId="0" borderId="22" xfId="0" applyNumberFormat="1" applyFont="1" applyBorder="1" applyAlignment="1">
      <alignment horizontal="center"/>
    </xf>
    <xf numFmtId="0" fontId="1" fillId="0" borderId="23" xfId="0" applyFont="1" applyBorder="1" applyAlignment="1">
      <alignment horizontal="center"/>
    </xf>
    <xf numFmtId="0" fontId="2" fillId="0" borderId="28" xfId="0" applyFont="1" applyBorder="1" applyAlignment="1">
      <alignment horizontal="center"/>
    </xf>
    <xf numFmtId="0" fontId="2" fillId="0" borderId="5" xfId="0" applyFont="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1" fillId="0" borderId="0" xfId="0" applyFont="1" applyAlignment="1">
      <alignment horizontal="left" wrapText="1"/>
    </xf>
    <xf numFmtId="0" fontId="1" fillId="16" borderId="31" xfId="0" applyFont="1" applyFill="1" applyBorder="1" applyAlignment="1">
      <alignment horizontal="left" vertical="center" wrapText="1"/>
    </xf>
    <xf numFmtId="0" fontId="28" fillId="16" borderId="32" xfId="0" applyFont="1" applyFill="1" applyBorder="1" applyAlignment="1">
      <alignment horizontal="center" vertical="center"/>
    </xf>
    <xf numFmtId="0" fontId="28" fillId="16" borderId="33" xfId="0" applyFont="1" applyFill="1" applyBorder="1" applyAlignment="1">
      <alignment horizontal="center" vertical="center"/>
    </xf>
    <xf numFmtId="0" fontId="28" fillId="16" borderId="34" xfId="0" applyFont="1" applyFill="1" applyBorder="1" applyAlignment="1">
      <alignment horizontal="center" vertical="center"/>
    </xf>
    <xf numFmtId="0" fontId="90" fillId="17" borderId="0" xfId="0" applyFont="1" applyFill="1" applyAlignment="1">
      <alignment horizontal="left" vertical="center" wrapText="1"/>
    </xf>
    <xf numFmtId="0" fontId="20" fillId="17" borderId="10" xfId="0" applyFont="1" applyFill="1" applyBorder="1" applyAlignment="1">
      <alignment horizontal="center"/>
    </xf>
    <xf numFmtId="0" fontId="20" fillId="17" borderId="35" xfId="0" applyFont="1" applyFill="1" applyBorder="1" applyAlignment="1">
      <alignment horizontal="center"/>
    </xf>
    <xf numFmtId="0" fontId="20" fillId="17" borderId="36" xfId="0" applyFont="1" applyFill="1" applyBorder="1" applyAlignment="1">
      <alignment horizontal="center"/>
    </xf>
    <xf numFmtId="0" fontId="1" fillId="0" borderId="37" xfId="0" applyFont="1" applyBorder="1" applyAlignment="1">
      <alignment horizontal="center"/>
    </xf>
    <xf numFmtId="0" fontId="2" fillId="0" borderId="3" xfId="0" applyFont="1" applyBorder="1" applyAlignment="1">
      <alignment horizontal="center"/>
    </xf>
    <xf numFmtId="0" fontId="2" fillId="0" borderId="38" xfId="0" applyFont="1" applyBorder="1" applyAlignment="1">
      <alignment horizontal="center"/>
    </xf>
    <xf numFmtId="4" fontId="1" fillId="0" borderId="40" xfId="0" applyNumberFormat="1" applyFont="1" applyBorder="1" applyAlignment="1">
      <alignment horizontal="center"/>
    </xf>
    <xf numFmtId="4" fontId="2" fillId="0" borderId="2" xfId="0" applyNumberFormat="1" applyFont="1" applyBorder="1" applyAlignment="1">
      <alignment horizontal="center"/>
    </xf>
    <xf numFmtId="4" fontId="2" fillId="0" borderId="25" xfId="0" applyNumberFormat="1" applyFont="1" applyBorder="1" applyAlignment="1">
      <alignment horizontal="center"/>
    </xf>
    <xf numFmtId="0" fontId="2" fillId="0" borderId="41" xfId="0" applyFont="1" applyBorder="1" applyAlignment="1">
      <alignment horizontal="center"/>
    </xf>
    <xf numFmtId="0" fontId="2" fillId="3" borderId="16" xfId="0" applyFont="1" applyFill="1" applyBorder="1" applyAlignment="1">
      <alignment horizontal="center"/>
    </xf>
    <xf numFmtId="0" fontId="1" fillId="0" borderId="42" xfId="0" applyFont="1" applyBorder="1" applyAlignment="1">
      <alignment horizontal="center"/>
    </xf>
    <xf numFmtId="0" fontId="2" fillId="0" borderId="43" xfId="0" applyFont="1" applyBorder="1" applyAlignment="1">
      <alignment horizontal="center"/>
    </xf>
    <xf numFmtId="0" fontId="2" fillId="3" borderId="21" xfId="0" applyFont="1" applyFill="1" applyBorder="1" applyAlignment="1">
      <alignment horizontal="center"/>
    </xf>
    <xf numFmtId="0" fontId="2" fillId="18" borderId="16" xfId="0" applyFont="1" applyFill="1" applyBorder="1" applyAlignment="1">
      <alignment horizontal="center"/>
    </xf>
    <xf numFmtId="0" fontId="114" fillId="18" borderId="16" xfId="0" applyFont="1" applyFill="1" applyBorder="1" applyAlignment="1">
      <alignment horizontal="center"/>
    </xf>
    <xf numFmtId="4" fontId="2" fillId="0" borderId="43" xfId="0" applyNumberFormat="1" applyFont="1" applyBorder="1" applyAlignment="1">
      <alignment horizontal="center"/>
    </xf>
    <xf numFmtId="4" fontId="2" fillId="18" borderId="21" xfId="0" applyNumberFormat="1" applyFont="1" applyFill="1" applyBorder="1" applyAlignment="1">
      <alignment horizontal="center"/>
    </xf>
    <xf numFmtId="4" fontId="114" fillId="18" borderId="21" xfId="0" applyNumberFormat="1" applyFont="1" applyFill="1" applyBorder="1" applyAlignment="1">
      <alignment horizontal="center"/>
    </xf>
    <xf numFmtId="0" fontId="1" fillId="0" borderId="44" xfId="0" applyFont="1" applyBorder="1" applyAlignment="1">
      <alignment horizontal="center"/>
    </xf>
    <xf numFmtId="0" fontId="2" fillId="3" borderId="17" xfId="0" applyFont="1" applyFill="1" applyBorder="1" applyAlignment="1">
      <alignment horizontal="center"/>
    </xf>
    <xf numFmtId="4" fontId="1" fillId="0" borderId="42" xfId="0" applyNumberFormat="1" applyFont="1" applyBorder="1" applyAlignment="1">
      <alignment horizontal="center"/>
    </xf>
    <xf numFmtId="0" fontId="2" fillId="3" borderId="22" xfId="0" applyFont="1" applyFill="1" applyBorder="1" applyAlignment="1">
      <alignment horizontal="center"/>
    </xf>
    <xf numFmtId="0" fontId="114" fillId="3" borderId="16" xfId="0" applyFont="1" applyFill="1" applyBorder="1" applyAlignment="1">
      <alignment horizontal="center"/>
    </xf>
    <xf numFmtId="4" fontId="2" fillId="3" borderId="21" xfId="0" applyNumberFormat="1" applyFont="1" applyFill="1" applyBorder="1" applyAlignment="1">
      <alignment horizontal="center"/>
    </xf>
    <xf numFmtId="0" fontId="2" fillId="18" borderId="21" xfId="0" applyFont="1" applyFill="1" applyBorder="1" applyAlignment="1">
      <alignment horizontal="center"/>
    </xf>
    <xf numFmtId="0" fontId="2" fillId="0" borderId="45" xfId="0" applyFont="1" applyBorder="1" applyAlignment="1">
      <alignment horizontal="center"/>
    </xf>
    <xf numFmtId="0" fontId="2" fillId="18" borderId="5" xfId="0" applyFont="1" applyFill="1" applyBorder="1" applyAlignment="1">
      <alignment horizontal="center"/>
    </xf>
    <xf numFmtId="0" fontId="2" fillId="3" borderId="30" xfId="0" applyFont="1" applyFill="1" applyBorder="1" applyAlignment="1">
      <alignment horizontal="center"/>
    </xf>
    <xf numFmtId="0" fontId="2" fillId="18" borderId="1" xfId="0" applyFont="1" applyFill="1" applyBorder="1" applyAlignment="1">
      <alignment horizontal="center"/>
    </xf>
    <xf numFmtId="0" fontId="2" fillId="3" borderId="38" xfId="0" applyFont="1" applyFill="1" applyBorder="1" applyAlignment="1">
      <alignment horizontal="center"/>
    </xf>
    <xf numFmtId="0" fontId="90" fillId="17" borderId="27" xfId="0" applyFont="1" applyFill="1" applyBorder="1" applyAlignment="1">
      <alignment horizontal="left" vertical="center" wrapText="1"/>
    </xf>
    <xf numFmtId="0" fontId="90" fillId="17" borderId="23" xfId="0" applyFont="1" applyFill="1" applyBorder="1" applyAlignment="1">
      <alignment horizontal="center"/>
    </xf>
    <xf numFmtId="0" fontId="20" fillId="17" borderId="46" xfId="0" applyFont="1" applyFill="1" applyBorder="1" applyAlignment="1">
      <alignment horizontal="center"/>
    </xf>
    <xf numFmtId="0" fontId="20" fillId="17" borderId="47" xfId="0" applyFont="1" applyFill="1" applyBorder="1" applyAlignment="1">
      <alignment horizontal="center"/>
    </xf>
    <xf numFmtId="0" fontId="20" fillId="17" borderId="48" xfId="0" applyFont="1" applyFill="1" applyBorder="1" applyAlignment="1">
      <alignment horizontal="center"/>
    </xf>
    <xf numFmtId="0" fontId="1" fillId="0" borderId="49" xfId="0" applyFont="1" applyBorder="1" applyAlignment="1">
      <alignment horizontal="center"/>
    </xf>
    <xf numFmtId="0" fontId="2" fillId="3" borderId="5" xfId="0" applyFont="1" applyFill="1" applyBorder="1" applyAlignment="1">
      <alignment horizontal="center"/>
    </xf>
    <xf numFmtId="0" fontId="2" fillId="0" borderId="2" xfId="0" applyFont="1" applyBorder="1" applyAlignment="1">
      <alignment horizontal="center"/>
    </xf>
    <xf numFmtId="0" fontId="2" fillId="3" borderId="6" xfId="0" applyFont="1" applyFill="1" applyBorder="1" applyAlignment="1">
      <alignment horizontal="center"/>
    </xf>
    <xf numFmtId="4" fontId="1" fillId="0" borderId="44" xfId="0" applyNumberFormat="1" applyFont="1" applyBorder="1" applyAlignment="1">
      <alignment horizontal="center"/>
    </xf>
    <xf numFmtId="0" fontId="20" fillId="17" borderId="23" xfId="0" applyFont="1" applyFill="1" applyBorder="1" applyAlignment="1">
      <alignment horizontal="center"/>
    </xf>
    <xf numFmtId="4" fontId="1" fillId="0" borderId="10" xfId="0" applyNumberFormat="1" applyFont="1" applyBorder="1" applyAlignment="1">
      <alignment horizontal="center"/>
    </xf>
    <xf numFmtId="4" fontId="1" fillId="0" borderId="32" xfId="0" applyNumberFormat="1" applyFont="1" applyBorder="1" applyAlignment="1">
      <alignment horizontal="center"/>
    </xf>
    <xf numFmtId="0" fontId="114" fillId="19" borderId="16" xfId="0" applyFont="1" applyFill="1" applyBorder="1" applyAlignment="1">
      <alignment horizontal="center"/>
    </xf>
    <xf numFmtId="0" fontId="2" fillId="19" borderId="16" xfId="0" applyFont="1" applyFill="1" applyBorder="1" applyAlignment="1">
      <alignment horizontal="center"/>
    </xf>
    <xf numFmtId="0" fontId="2" fillId="19" borderId="17" xfId="0" applyFont="1" applyFill="1" applyBorder="1" applyAlignment="1">
      <alignment horizontal="center"/>
    </xf>
    <xf numFmtId="4" fontId="2" fillId="19" borderId="21" xfId="0" applyNumberFormat="1" applyFont="1" applyFill="1" applyBorder="1" applyAlignment="1">
      <alignment horizontal="center"/>
    </xf>
    <xf numFmtId="0" fontId="2" fillId="19" borderId="21" xfId="0" applyFont="1" applyFill="1" applyBorder="1" applyAlignment="1">
      <alignment horizontal="center"/>
    </xf>
    <xf numFmtId="0" fontId="2" fillId="19" borderId="22" xfId="0" applyFont="1" applyFill="1" applyBorder="1" applyAlignment="1">
      <alignment horizontal="center"/>
    </xf>
    <xf numFmtId="0" fontId="2" fillId="3" borderId="25" xfId="0" applyFont="1" applyFill="1" applyBorder="1" applyAlignment="1">
      <alignment horizontal="center"/>
    </xf>
    <xf numFmtId="0" fontId="2" fillId="0" borderId="35" xfId="0" applyFont="1" applyBorder="1" applyAlignment="1">
      <alignment horizontal="center"/>
    </xf>
    <xf numFmtId="0" fontId="2" fillId="0" borderId="12" xfId="0" applyFont="1" applyBorder="1" applyAlignment="1">
      <alignment horizontal="center"/>
    </xf>
    <xf numFmtId="0" fontId="114" fillId="3" borderId="12" xfId="0" applyFont="1" applyFill="1" applyBorder="1" applyAlignment="1">
      <alignment horizontal="center"/>
    </xf>
    <xf numFmtId="0" fontId="2" fillId="3" borderId="12" xfId="0" applyFont="1" applyFill="1" applyBorder="1" applyAlignment="1">
      <alignment horizontal="center"/>
    </xf>
    <xf numFmtId="0" fontId="2" fillId="3" borderId="13" xfId="0" applyFont="1" applyFill="1" applyBorder="1" applyAlignment="1">
      <alignment horizontal="center"/>
    </xf>
    <xf numFmtId="0" fontId="2" fillId="0" borderId="52" xfId="0" applyFont="1" applyBorder="1" applyAlignment="1">
      <alignment horizontal="center"/>
    </xf>
    <xf numFmtId="0" fontId="114" fillId="3" borderId="29" xfId="0" applyFont="1" applyFill="1" applyBorder="1" applyAlignment="1">
      <alignment horizontal="center"/>
    </xf>
    <xf numFmtId="0" fontId="2" fillId="3" borderId="29" xfId="0" applyFont="1" applyFill="1" applyBorder="1" applyAlignment="1">
      <alignment horizontal="center"/>
    </xf>
    <xf numFmtId="0" fontId="2" fillId="3" borderId="53" xfId="0" applyFont="1" applyFill="1" applyBorder="1" applyAlignment="1">
      <alignment horizontal="center"/>
    </xf>
    <xf numFmtId="0" fontId="1" fillId="0" borderId="54" xfId="0" applyFont="1" applyBorder="1" applyAlignment="1">
      <alignment horizontal="left" wrapText="1"/>
    </xf>
    <xf numFmtId="0" fontId="1" fillId="0" borderId="32" xfId="0" applyFont="1" applyBorder="1" applyAlignment="1">
      <alignment horizontal="center" vertical="center"/>
    </xf>
    <xf numFmtId="0" fontId="1" fillId="0" borderId="54" xfId="0" applyFont="1" applyBorder="1" applyAlignment="1">
      <alignment horizontal="center" vertical="center"/>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2" fillId="0" borderId="5" xfId="0" applyFont="1" applyBorder="1" applyAlignment="1">
      <alignment horizontal="left" wrapText="1"/>
    </xf>
    <xf numFmtId="0" fontId="9" fillId="10" borderId="0" xfId="0" applyFont="1" applyFill="1" applyAlignment="1">
      <alignment horizontal="left" vertical="center" wrapText="1"/>
    </xf>
    <xf numFmtId="164" fontId="9" fillId="10" borderId="0" xfId="0" applyNumberFormat="1" applyFont="1" applyFill="1" applyAlignment="1">
      <alignment horizontal="center" vertical="center" wrapText="1"/>
    </xf>
    <xf numFmtId="165" fontId="9" fillId="10" borderId="0" xfId="0" applyNumberFormat="1" applyFont="1" applyFill="1" applyAlignment="1">
      <alignment horizontal="center" vertical="center" wrapText="1"/>
    </xf>
    <xf numFmtId="0" fontId="10" fillId="0" borderId="0" xfId="0" quotePrefix="1"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left" vertical="center" wrapText="1"/>
    </xf>
    <xf numFmtId="4" fontId="10" fillId="0" borderId="0" xfId="0" applyNumberFormat="1" applyFont="1" applyAlignment="1">
      <alignment horizontal="center" vertical="center" wrapText="1"/>
    </xf>
    <xf numFmtId="165" fontId="12" fillId="6" borderId="0" xfId="0" applyNumberFormat="1" applyFont="1" applyFill="1" applyAlignment="1">
      <alignment horizontal="center" vertical="center" wrapText="1"/>
    </xf>
    <xf numFmtId="0" fontId="10" fillId="0" borderId="0" xfId="0" applyFont="1" applyAlignment="1">
      <alignment horizontal="center"/>
    </xf>
    <xf numFmtId="0" fontId="12" fillId="4" borderId="0" xfId="0" applyFont="1" applyFill="1" applyAlignment="1">
      <alignment horizontal="center" vertical="center" wrapText="1"/>
    </xf>
    <xf numFmtId="0" fontId="115" fillId="0" borderId="0" xfId="0" applyFont="1" applyAlignment="1">
      <alignment horizontal="center" vertical="center" wrapText="1"/>
    </xf>
    <xf numFmtId="0" fontId="12" fillId="4" borderId="0" xfId="0" applyFont="1" applyFill="1" applyAlignment="1">
      <alignment horizontal="left" vertical="center" wrapText="1"/>
    </xf>
    <xf numFmtId="0" fontId="116" fillId="0" borderId="0" xfId="0" applyFont="1" applyAlignment="1">
      <alignment horizontal="center" vertical="center" wrapText="1"/>
    </xf>
    <xf numFmtId="165" fontId="2" fillId="0" borderId="0" xfId="0" applyNumberFormat="1" applyFont="1" applyAlignment="1">
      <alignment horizontal="center" vertical="center"/>
    </xf>
    <xf numFmtId="0" fontId="117" fillId="4" borderId="0" xfId="0" applyFont="1" applyFill="1" applyAlignment="1">
      <alignment horizontal="center" wrapText="1"/>
    </xf>
    <xf numFmtId="165" fontId="11" fillId="0" borderId="0" xfId="0" applyNumberFormat="1" applyFont="1" applyAlignment="1">
      <alignment horizontal="center" vertical="center" wrapText="1"/>
    </xf>
    <xf numFmtId="0" fontId="118" fillId="4" borderId="0" xfId="0" applyFont="1" applyFill="1" applyAlignment="1">
      <alignment horizontal="center" wrapText="1"/>
    </xf>
    <xf numFmtId="165" fontId="11" fillId="6" borderId="0" xfId="0" applyNumberFormat="1" applyFont="1" applyFill="1" applyAlignment="1">
      <alignment horizontal="center" vertical="center" wrapText="1"/>
    </xf>
    <xf numFmtId="0" fontId="11" fillId="4" borderId="0" xfId="0" applyFont="1" applyFill="1" applyAlignment="1">
      <alignment horizontal="center" wrapText="1"/>
    </xf>
    <xf numFmtId="168" fontId="10" fillId="0" borderId="0" xfId="0" applyNumberFormat="1" applyFont="1" applyAlignment="1">
      <alignment horizontal="center" vertical="center" wrapText="1"/>
    </xf>
    <xf numFmtId="0" fontId="119" fillId="4" borderId="0" xfId="0" applyFont="1" applyFill="1" applyAlignment="1">
      <alignment horizontal="left" vertical="center" wrapText="1"/>
    </xf>
    <xf numFmtId="0" fontId="12" fillId="6" borderId="0" xfId="0" applyFont="1" applyFill="1" applyAlignment="1">
      <alignment horizontal="center" vertical="center"/>
    </xf>
    <xf numFmtId="4" fontId="10" fillId="0" borderId="0" xfId="0" applyNumberFormat="1" applyFont="1" applyAlignment="1">
      <alignment horizontal="center" vertical="center"/>
    </xf>
    <xf numFmtId="0" fontId="120" fillId="4" borderId="0" xfId="0" applyFont="1" applyFill="1" applyAlignment="1">
      <alignment horizontal="center" wrapText="1"/>
    </xf>
    <xf numFmtId="165" fontId="10" fillId="0" borderId="0" xfId="0" applyNumberFormat="1" applyFont="1" applyAlignment="1">
      <alignment horizontal="center" vertical="center" wrapText="1"/>
    </xf>
    <xf numFmtId="0" fontId="10" fillId="0" borderId="0" xfId="0" applyFont="1" applyAlignment="1">
      <alignment horizontal="center" wrapText="1"/>
    </xf>
    <xf numFmtId="0" fontId="121" fillId="4" borderId="0" xfId="0" applyFont="1" applyFill="1" applyAlignment="1">
      <alignment horizontal="center" wrapText="1"/>
    </xf>
    <xf numFmtId="0" fontId="2" fillId="15" borderId="0" xfId="0" applyFont="1" applyFill="1" applyAlignment="1">
      <alignment horizontal="left" vertical="center" wrapText="1"/>
    </xf>
    <xf numFmtId="0" fontId="10" fillId="4" borderId="0" xfId="0" applyFont="1" applyFill="1" applyAlignment="1">
      <alignment horizontal="left" vertical="center" wrapText="1"/>
    </xf>
    <xf numFmtId="0" fontId="16" fillId="0" borderId="0" xfId="0" applyFont="1" applyAlignment="1">
      <alignment horizontal="left" vertical="center" wrapText="1"/>
    </xf>
    <xf numFmtId="0" fontId="16" fillId="6" borderId="0" xfId="0" applyFont="1" applyFill="1" applyAlignment="1">
      <alignment horizontal="left" vertical="center" wrapText="1"/>
    </xf>
    <xf numFmtId="0" fontId="5" fillId="6" borderId="0" xfId="0" applyFont="1" applyFill="1" applyAlignment="1">
      <alignment horizontal="left" vertical="center" wrapText="1"/>
    </xf>
    <xf numFmtId="0" fontId="16" fillId="6" borderId="0" xfId="0" applyFont="1" applyFill="1" applyAlignment="1">
      <alignment horizontal="left" vertical="center"/>
    </xf>
    <xf numFmtId="166" fontId="2" fillId="0" borderId="0" xfId="0" applyNumberFormat="1" applyFont="1" applyAlignment="1">
      <alignment horizontal="center" vertical="center" wrapText="1"/>
    </xf>
    <xf numFmtId="0" fontId="2" fillId="4" borderId="0" xfId="0" applyFont="1" applyFill="1" applyAlignment="1">
      <alignment horizontal="left" wrapText="1"/>
    </xf>
    <xf numFmtId="0" fontId="10" fillId="4" borderId="0" xfId="0" applyFont="1" applyFill="1" applyAlignment="1">
      <alignment horizontal="left" wrapText="1"/>
    </xf>
    <xf numFmtId="0" fontId="10" fillId="4" borderId="0" xfId="0" applyFont="1" applyFill="1" applyAlignment="1">
      <alignment horizontal="center" wrapText="1"/>
    </xf>
    <xf numFmtId="166" fontId="2" fillId="0" borderId="0" xfId="0" applyNumberFormat="1"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left" vertical="center" wrapText="1"/>
    </xf>
    <xf numFmtId="165" fontId="4" fillId="0" borderId="0" xfId="0" applyNumberFormat="1" applyFont="1" applyAlignment="1">
      <alignment horizontal="center" vertical="center"/>
    </xf>
    <xf numFmtId="0" fontId="10" fillId="0" borderId="0" xfId="0" applyFont="1" applyAlignment="1">
      <alignment horizontal="left" vertical="center"/>
    </xf>
    <xf numFmtId="165" fontId="5" fillId="4" borderId="8" xfId="0" applyNumberFormat="1" applyFont="1" applyFill="1" applyBorder="1" applyAlignment="1">
      <alignment horizontal="center" vertical="top"/>
    </xf>
    <xf numFmtId="0" fontId="122" fillId="0" borderId="0" xfId="0" applyFont="1" applyAlignment="1">
      <alignment horizontal="center" vertical="center"/>
    </xf>
    <xf numFmtId="0" fontId="14" fillId="0" borderId="0" xfId="0" applyFont="1" applyAlignment="1">
      <alignment horizontal="left" vertical="center" wrapText="1"/>
    </xf>
    <xf numFmtId="165" fontId="13" fillId="0" borderId="0" xfId="0" applyNumberFormat="1" applyFont="1" applyAlignment="1">
      <alignment horizontal="center" vertical="center"/>
    </xf>
    <xf numFmtId="0" fontId="13" fillId="0" borderId="0" xfId="0" applyFont="1" applyAlignment="1">
      <alignment horizontal="center" vertical="center"/>
    </xf>
    <xf numFmtId="0" fontId="0" fillId="6" borderId="0" xfId="0" applyFill="1" applyAlignment="1">
      <alignment horizontal="center" vertical="center"/>
    </xf>
    <xf numFmtId="177" fontId="2" fillId="0" borderId="1" xfId="0" applyNumberFormat="1" applyFont="1" applyBorder="1" applyAlignment="1">
      <alignment horizontal="center" vertical="center" wrapText="1"/>
    </xf>
    <xf numFmtId="4" fontId="2" fillId="0" borderId="1" xfId="0" quotePrefix="1" applyNumberFormat="1" applyFont="1" applyBorder="1" applyAlignment="1">
      <alignment horizontal="center" vertical="center" wrapText="1"/>
    </xf>
    <xf numFmtId="4" fontId="15" fillId="6" borderId="1" xfId="0" applyNumberFormat="1" applyFont="1" applyFill="1" applyBorder="1" applyAlignment="1">
      <alignment horizontal="center" vertical="center" wrapText="1"/>
    </xf>
    <xf numFmtId="4" fontId="21" fillId="6" borderId="1" xfId="0" applyNumberFormat="1" applyFont="1" applyFill="1" applyBorder="1" applyAlignment="1">
      <alignment horizontal="center" vertical="center" wrapText="1"/>
    </xf>
    <xf numFmtId="3" fontId="11" fillId="6" borderId="1" xfId="0" applyNumberFormat="1" applyFont="1" applyFill="1" applyBorder="1" applyAlignment="1">
      <alignment horizontal="center" wrapText="1"/>
    </xf>
    <xf numFmtId="0" fontId="26" fillId="6" borderId="1" xfId="0" applyFont="1" applyFill="1" applyBorder="1" applyAlignment="1">
      <alignment horizontal="center" wrapText="1"/>
    </xf>
    <xf numFmtId="165" fontId="11" fillId="6" borderId="1" xfId="0" applyNumberFormat="1" applyFont="1" applyFill="1" applyBorder="1" applyAlignment="1">
      <alignment horizontal="center" wrapText="1"/>
    </xf>
    <xf numFmtId="3" fontId="2" fillId="4" borderId="1" xfId="0" applyNumberFormat="1" applyFont="1" applyFill="1" applyBorder="1" applyAlignment="1">
      <alignment horizontal="center" wrapText="1"/>
    </xf>
    <xf numFmtId="177" fontId="2" fillId="0" borderId="1" xfId="0" applyNumberFormat="1" applyFont="1" applyBorder="1" applyAlignment="1">
      <alignment horizontal="center" wrapText="1"/>
    </xf>
    <xf numFmtId="0" fontId="17" fillId="6" borderId="0" xfId="0" applyFont="1" applyFill="1" applyAlignment="1">
      <alignment horizontal="center" wrapText="1"/>
    </xf>
    <xf numFmtId="0" fontId="17" fillId="0" borderId="1" xfId="0" applyFont="1" applyBorder="1" applyAlignment="1">
      <alignment horizontal="center" wrapText="1"/>
    </xf>
    <xf numFmtId="0" fontId="79" fillId="4" borderId="1" xfId="0" applyFont="1" applyFill="1" applyBorder="1" applyAlignment="1">
      <alignment horizontal="center"/>
    </xf>
    <xf numFmtId="0" fontId="21" fillId="9" borderId="1" xfId="0" applyFont="1" applyFill="1" applyBorder="1" applyAlignment="1">
      <alignment horizontal="left" wrapText="1"/>
    </xf>
    <xf numFmtId="170" fontId="2" fillId="0" borderId="1" xfId="0" applyNumberFormat="1" applyFont="1" applyBorder="1" applyAlignment="1">
      <alignment horizontal="center" wrapText="1"/>
    </xf>
    <xf numFmtId="164" fontId="2" fillId="0" borderId="1" xfId="0" applyNumberFormat="1" applyFont="1" applyBorder="1" applyAlignment="1">
      <alignment horizontal="center" wrapText="1"/>
    </xf>
    <xf numFmtId="3" fontId="1" fillId="0" borderId="1" xfId="0" applyNumberFormat="1" applyFont="1" applyBorder="1" applyAlignment="1">
      <alignment horizontal="center" wrapText="1"/>
    </xf>
    <xf numFmtId="164" fontId="1" fillId="0" borderId="1" xfId="0" applyNumberFormat="1" applyFont="1" applyBorder="1" applyAlignment="1">
      <alignment horizontal="center" wrapText="1"/>
    </xf>
    <xf numFmtId="0" fontId="11" fillId="6" borderId="0" xfId="0" applyFont="1" applyFill="1" applyAlignment="1">
      <alignment horizontal="left"/>
    </xf>
    <xf numFmtId="0" fontId="17" fillId="6" borderId="0" xfId="0" applyFont="1" applyFill="1" applyAlignment="1">
      <alignment horizontal="left"/>
    </xf>
    <xf numFmtId="165" fontId="11" fillId="6" borderId="1" xfId="0" applyNumberFormat="1" applyFont="1" applyFill="1" applyBorder="1" applyAlignment="1">
      <alignment horizontal="center"/>
    </xf>
    <xf numFmtId="0" fontId="2" fillId="4" borderId="1" xfId="0" applyFont="1" applyFill="1" applyBorder="1" applyAlignment="1">
      <alignment horizontal="left"/>
    </xf>
    <xf numFmtId="170" fontId="11" fillId="6" borderId="1" xfId="0" applyNumberFormat="1" applyFont="1" applyFill="1" applyBorder="1" applyAlignment="1">
      <alignment horizontal="center" wrapText="1"/>
    </xf>
    <xf numFmtId="170" fontId="1" fillId="0" borderId="1" xfId="0" applyNumberFormat="1" applyFont="1" applyBorder="1" applyAlignment="1">
      <alignment horizontal="center" wrapText="1"/>
    </xf>
    <xf numFmtId="170" fontId="17" fillId="6" borderId="1" xfId="0" applyNumberFormat="1" applyFont="1" applyFill="1" applyBorder="1" applyAlignment="1">
      <alignment horizontal="center" wrapText="1"/>
    </xf>
    <xf numFmtId="0" fontId="123" fillId="6" borderId="0" xfId="0" applyFont="1" applyFill="1" applyAlignment="1">
      <alignment wrapText="1"/>
    </xf>
    <xf numFmtId="178" fontId="2" fillId="0" borderId="1" xfId="0" applyNumberFormat="1" applyFont="1" applyBorder="1" applyAlignment="1">
      <alignment horizontal="center" wrapText="1"/>
    </xf>
    <xf numFmtId="165" fontId="2" fillId="4" borderId="1" xfId="0" applyNumberFormat="1" applyFont="1" applyFill="1" applyBorder="1" applyAlignment="1">
      <alignment horizontal="center" wrapText="1"/>
    </xf>
    <xf numFmtId="165" fontId="11" fillId="4" borderId="1" xfId="0" applyNumberFormat="1" applyFont="1" applyFill="1" applyBorder="1" applyAlignment="1">
      <alignment horizontal="center" wrapText="1"/>
    </xf>
    <xf numFmtId="3" fontId="17" fillId="6" borderId="1" xfId="0" applyNumberFormat="1" applyFont="1" applyFill="1" applyBorder="1" applyAlignment="1">
      <alignment horizontal="center" wrapText="1"/>
    </xf>
    <xf numFmtId="166" fontId="2" fillId="0" borderId="1" xfId="0" applyNumberFormat="1" applyFont="1" applyBorder="1" applyAlignment="1">
      <alignment horizontal="center" wrapText="1"/>
    </xf>
    <xf numFmtId="0" fontId="124" fillId="0" borderId="1" xfId="0" applyFont="1" applyBorder="1" applyAlignment="1">
      <alignment horizontal="center" vertical="center" wrapText="1"/>
    </xf>
    <xf numFmtId="49" fontId="45" fillId="13" borderId="0" xfId="0" applyNumberFormat="1" applyFont="1" applyFill="1" applyAlignment="1">
      <alignment horizontal="center" vertical="center" wrapText="1"/>
    </xf>
    <xf numFmtId="0" fontId="0" fillId="0" borderId="0" xfId="0"/>
    <xf numFmtId="49" fontId="1" fillId="6" borderId="7" xfId="0" applyNumberFormat="1" applyFont="1" applyFill="1" applyBorder="1" applyAlignment="1">
      <alignment horizontal="center" vertical="center" wrapText="1"/>
    </xf>
    <xf numFmtId="0" fontId="46" fillId="0" borderId="8" xfId="0" applyFont="1" applyBorder="1"/>
    <xf numFmtId="0" fontId="46" fillId="0" borderId="3" xfId="0" applyFont="1" applyBorder="1"/>
    <xf numFmtId="0" fontId="47" fillId="0" borderId="0" xfId="0" applyFont="1" applyAlignment="1">
      <alignment horizontal="left" vertical="center" wrapText="1"/>
    </xf>
    <xf numFmtId="0" fontId="17" fillId="8" borderId="8" xfId="0" applyFont="1" applyFill="1" applyBorder="1" applyAlignment="1">
      <alignment horizontal="center" vertical="center" wrapText="1"/>
    </xf>
    <xf numFmtId="0" fontId="1" fillId="0" borderId="6" xfId="0" applyFont="1" applyBorder="1" applyAlignment="1">
      <alignment horizontal="left" vertical="center" wrapText="1"/>
    </xf>
    <xf numFmtId="0" fontId="46" fillId="0" borderId="5" xfId="0" applyFont="1" applyBorder="1"/>
    <xf numFmtId="0" fontId="2" fillId="0" borderId="14" xfId="0" applyFont="1" applyBorder="1" applyAlignment="1">
      <alignment horizontal="left" vertical="center" wrapText="1"/>
    </xf>
    <xf numFmtId="0" fontId="46" fillId="0" borderId="18" xfId="0" applyFont="1" applyBorder="1"/>
    <xf numFmtId="0" fontId="2" fillId="0" borderId="11" xfId="0" applyFont="1" applyBorder="1" applyAlignment="1">
      <alignment horizontal="left" vertical="center" wrapText="1"/>
    </xf>
    <xf numFmtId="0" fontId="46" fillId="0" borderId="26" xfId="0" applyFont="1" applyBorder="1"/>
    <xf numFmtId="0" fontId="2" fillId="0" borderId="27" xfId="0" applyFont="1" applyBorder="1" applyAlignment="1">
      <alignment horizontal="left" vertical="center" wrapText="1"/>
    </xf>
    <xf numFmtId="0" fontId="2" fillId="0" borderId="9" xfId="0" applyFont="1" applyBorder="1" applyAlignment="1">
      <alignment horizontal="left" vertical="center" wrapText="1"/>
    </xf>
    <xf numFmtId="0" fontId="46" fillId="0" borderId="39" xfId="0" applyFont="1" applyBorder="1"/>
    <xf numFmtId="0" fontId="2" fillId="0" borderId="4" xfId="0" applyFont="1" applyBorder="1" applyAlignment="1">
      <alignment horizontal="left" vertical="center" wrapText="1"/>
    </xf>
    <xf numFmtId="0" fontId="46" fillId="0" borderId="50" xfId="0" applyFont="1" applyBorder="1"/>
    <xf numFmtId="0" fontId="46" fillId="0" borderId="27" xfId="0" applyFont="1" applyBorder="1"/>
    <xf numFmtId="0" fontId="2" fillId="0" borderId="51" xfId="0" applyFont="1" applyBorder="1" applyAlignment="1">
      <alignment horizontal="left" vertical="center" wrapText="1"/>
    </xf>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stics-10%20year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stics-10 year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gmail.com/09224074861/049-501-4583" TargetMode="External"/><Relationship Id="rId2" Type="http://schemas.openxmlformats.org/officeDocument/2006/relationships/hyperlink" Target="http://gmail.com/09224074861/049-501-4583" TargetMode="External"/><Relationship Id="rId1" Type="http://schemas.openxmlformats.org/officeDocument/2006/relationships/hyperlink" Target="mailto:franciscorpuz@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franciscorpuz@gmail.com" TargetMode="External"/><Relationship Id="rId1" Type="http://schemas.openxmlformats.org/officeDocument/2006/relationships/hyperlink" Target="http://gmail.com/09224074861/049-501-458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gmail.com/09224074861/049-501-4583"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franciscorpuz@gmail.com" TargetMode="External"/><Relationship Id="rId1" Type="http://schemas.openxmlformats.org/officeDocument/2006/relationships/hyperlink" Target="http://gmail.com/09224074861/049-501-458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tapi-bksvr.quickconnect.to/sharing/PabA7QBVM" TargetMode="External"/><Relationship Id="rId13" Type="http://schemas.openxmlformats.org/officeDocument/2006/relationships/hyperlink" Target="http://tapi-bksvr.quickconnect.to/sharing/X2hw5smBC" TargetMode="External"/><Relationship Id="rId18" Type="http://schemas.openxmlformats.org/officeDocument/2006/relationships/hyperlink" Target="http://tapi-bksvr.quickconnect.to/sharing/GWIjzt54B" TargetMode="External"/><Relationship Id="rId26" Type="http://schemas.openxmlformats.org/officeDocument/2006/relationships/hyperlink" Target="http://gofile.me/4xaew/KhUSbineb" TargetMode="External"/><Relationship Id="rId3" Type="http://schemas.openxmlformats.org/officeDocument/2006/relationships/hyperlink" Target="http://tapi-bksvr.quickconnect.to/sharing/HAqHz0Juz" TargetMode="External"/><Relationship Id="rId21" Type="http://schemas.openxmlformats.org/officeDocument/2006/relationships/hyperlink" Target="http://gofile.me/4xaew/arGHlIJx1" TargetMode="External"/><Relationship Id="rId7" Type="http://schemas.openxmlformats.org/officeDocument/2006/relationships/hyperlink" Target="http://tapi-bksvr.quickconnect.to/sharing/1mgofNoqg" TargetMode="External"/><Relationship Id="rId12" Type="http://schemas.openxmlformats.org/officeDocument/2006/relationships/hyperlink" Target="http://tapi-bksvr.quickconnect.to/sharing/4sKUWwIgb" TargetMode="External"/><Relationship Id="rId17" Type="http://schemas.openxmlformats.org/officeDocument/2006/relationships/hyperlink" Target="http://tapi-bksvr.quickconnect.to/sharing/cfbi6Iu6h" TargetMode="External"/><Relationship Id="rId25" Type="http://schemas.openxmlformats.org/officeDocument/2006/relationships/hyperlink" Target="http://gofile.me/4xaew/Baol8rrRY" TargetMode="External"/><Relationship Id="rId2" Type="http://schemas.openxmlformats.org/officeDocument/2006/relationships/hyperlink" Target="http://tapi-bksvr.quickconnect.to/sharing/OIaamK2oO" TargetMode="External"/><Relationship Id="rId16" Type="http://schemas.openxmlformats.org/officeDocument/2006/relationships/hyperlink" Target="http://tapi-bksvr.quickconnect.to/sharing/KEpwGJAoc" TargetMode="External"/><Relationship Id="rId20" Type="http://schemas.openxmlformats.org/officeDocument/2006/relationships/hyperlink" Target="http://gofile.me/4xaew/igfcACUdK" TargetMode="External"/><Relationship Id="rId29" Type="http://schemas.openxmlformats.org/officeDocument/2006/relationships/hyperlink" Target="http://gofile.me/4xaew/BSc4rOB01" TargetMode="External"/><Relationship Id="rId1" Type="http://schemas.openxmlformats.org/officeDocument/2006/relationships/hyperlink" Target="http://tapi-bksvr.quickconnect.to/sharing/p92ZqnW8y" TargetMode="External"/><Relationship Id="rId6" Type="http://schemas.openxmlformats.org/officeDocument/2006/relationships/hyperlink" Target="http://tapi-bksvr.quickconnect.to/sharing/FNJjBW17d" TargetMode="External"/><Relationship Id="rId11" Type="http://schemas.openxmlformats.org/officeDocument/2006/relationships/hyperlink" Target="http://tapi-bksvr.quickconnect.to/sharing/7zLhWbCKt" TargetMode="External"/><Relationship Id="rId24" Type="http://schemas.openxmlformats.org/officeDocument/2006/relationships/hyperlink" Target="http://gofile.me/4xaew/kFYMUUOBR" TargetMode="External"/><Relationship Id="rId5" Type="http://schemas.openxmlformats.org/officeDocument/2006/relationships/hyperlink" Target="http://tapi-bksvr.quickconnect.to/sharing/p92ZqnW8y" TargetMode="External"/><Relationship Id="rId15" Type="http://schemas.openxmlformats.org/officeDocument/2006/relationships/hyperlink" Target="http://tapi-bksvr.quickconnect.to/sharing/n3pO6twYK" TargetMode="External"/><Relationship Id="rId23" Type="http://schemas.openxmlformats.org/officeDocument/2006/relationships/hyperlink" Target="http://gofile.me/4xaew/a5l3K1Lhd" TargetMode="External"/><Relationship Id="rId28" Type="http://schemas.openxmlformats.org/officeDocument/2006/relationships/hyperlink" Target="http://gofile.me/4xaew/pxCBDi4ig" TargetMode="External"/><Relationship Id="rId10" Type="http://schemas.openxmlformats.org/officeDocument/2006/relationships/hyperlink" Target="http://tapi-bksvr.quickconnect.to/sharing/WAEH5fKHs" TargetMode="External"/><Relationship Id="rId19" Type="http://schemas.openxmlformats.org/officeDocument/2006/relationships/hyperlink" Target="http://gofile.me/4xaew/Zyk31Nwn2" TargetMode="External"/><Relationship Id="rId4" Type="http://schemas.openxmlformats.org/officeDocument/2006/relationships/hyperlink" Target="http://tapi-bksvr.quickconnect.to/sharing/oWlYG4DnN" TargetMode="External"/><Relationship Id="rId9" Type="http://schemas.openxmlformats.org/officeDocument/2006/relationships/hyperlink" Target="http://tapi-bksvr.quickconnect.to/sharing/JKfqAUGPN" TargetMode="External"/><Relationship Id="rId14" Type="http://schemas.openxmlformats.org/officeDocument/2006/relationships/hyperlink" Target="http://tapi-bksvr.quickconnect.to/sharing/TYAQTWVEB" TargetMode="External"/><Relationship Id="rId22" Type="http://schemas.openxmlformats.org/officeDocument/2006/relationships/hyperlink" Target="http://gofile.me/4xaew/IefCE6Sic" TargetMode="External"/><Relationship Id="rId27" Type="http://schemas.openxmlformats.org/officeDocument/2006/relationships/hyperlink" Target="http://gofile.me/4xaew/t2uGPGV9Y"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gofile.me/4xaew/mzwHuJc3Q" TargetMode="External"/><Relationship Id="rId18" Type="http://schemas.openxmlformats.org/officeDocument/2006/relationships/hyperlink" Target="http://gofile.me/4xaew/NMMIfaGil" TargetMode="External"/><Relationship Id="rId26" Type="http://schemas.openxmlformats.org/officeDocument/2006/relationships/hyperlink" Target="http://gofile.me/4xaew/ebn2H0lSQ" TargetMode="External"/><Relationship Id="rId39" Type="http://schemas.openxmlformats.org/officeDocument/2006/relationships/hyperlink" Target="http://gofile.me/4xaew/0EZT9GYX8" TargetMode="External"/><Relationship Id="rId21" Type="http://schemas.openxmlformats.org/officeDocument/2006/relationships/hyperlink" Target="http://gofile.me/4xaew/LdFcpydOE" TargetMode="External"/><Relationship Id="rId34" Type="http://schemas.openxmlformats.org/officeDocument/2006/relationships/hyperlink" Target="http://gofile.me/4xaew/MQECs3meh" TargetMode="External"/><Relationship Id="rId42" Type="http://schemas.openxmlformats.org/officeDocument/2006/relationships/hyperlink" Target="http://gofile.me/4xaew/KSeuggZkS" TargetMode="External"/><Relationship Id="rId7" Type="http://schemas.openxmlformats.org/officeDocument/2006/relationships/hyperlink" Target="http://gofile.me/4xaew/ohnsFfJJJ" TargetMode="External"/><Relationship Id="rId2" Type="http://schemas.openxmlformats.org/officeDocument/2006/relationships/hyperlink" Target="http://gofile.me/4xaew/j5wq8quDk" TargetMode="External"/><Relationship Id="rId16" Type="http://schemas.openxmlformats.org/officeDocument/2006/relationships/hyperlink" Target="http://gofile.me/4xaew/wakScw7Hn" TargetMode="External"/><Relationship Id="rId20" Type="http://schemas.openxmlformats.org/officeDocument/2006/relationships/hyperlink" Target="http://gofile.me/4xaew/u0kmkTSbP" TargetMode="External"/><Relationship Id="rId29" Type="http://schemas.openxmlformats.org/officeDocument/2006/relationships/hyperlink" Target="http://gofile.me/4xaew/5JXkW89Fm" TargetMode="External"/><Relationship Id="rId41" Type="http://schemas.openxmlformats.org/officeDocument/2006/relationships/hyperlink" Target="http://gofile.me/4xaew/PjhOCv2P4" TargetMode="External"/><Relationship Id="rId1" Type="http://schemas.openxmlformats.org/officeDocument/2006/relationships/hyperlink" Target="http://gofile.me/4xaew/p2YoZvYs7" TargetMode="External"/><Relationship Id="rId6" Type="http://schemas.openxmlformats.org/officeDocument/2006/relationships/hyperlink" Target="http://gofile.me/4xaew/rwTKFv5Ma" TargetMode="External"/><Relationship Id="rId11" Type="http://schemas.openxmlformats.org/officeDocument/2006/relationships/hyperlink" Target="http://gofile.me/4xaew/he2h8aJlV" TargetMode="External"/><Relationship Id="rId24" Type="http://schemas.openxmlformats.org/officeDocument/2006/relationships/hyperlink" Target="http://gofile.me/4xaew/22e3orMFQ" TargetMode="External"/><Relationship Id="rId32" Type="http://schemas.openxmlformats.org/officeDocument/2006/relationships/hyperlink" Target="http://gofile.me/4xaew/9KcNecWJr" TargetMode="External"/><Relationship Id="rId37" Type="http://schemas.openxmlformats.org/officeDocument/2006/relationships/hyperlink" Target="http://gofile.me/4xaew/FZyumPd2t" TargetMode="External"/><Relationship Id="rId40" Type="http://schemas.openxmlformats.org/officeDocument/2006/relationships/hyperlink" Target="http://gofile.me/4xaew/2gJUACC74" TargetMode="External"/><Relationship Id="rId5" Type="http://schemas.openxmlformats.org/officeDocument/2006/relationships/hyperlink" Target="http://gofile.me/4xaew/0h84uklcd" TargetMode="External"/><Relationship Id="rId15" Type="http://schemas.openxmlformats.org/officeDocument/2006/relationships/hyperlink" Target="http://gofile.me/4xaew/K8ZHbQCEP" TargetMode="External"/><Relationship Id="rId23" Type="http://schemas.openxmlformats.org/officeDocument/2006/relationships/hyperlink" Target="http://gofile.me/4xaew/HWI1xKftm" TargetMode="External"/><Relationship Id="rId28" Type="http://schemas.openxmlformats.org/officeDocument/2006/relationships/hyperlink" Target="http://gofile.me/4xaew/1bLveAgg2" TargetMode="External"/><Relationship Id="rId36" Type="http://schemas.openxmlformats.org/officeDocument/2006/relationships/hyperlink" Target="http://gofile.me/4xaew/niDuzvOEe" TargetMode="External"/><Relationship Id="rId10" Type="http://schemas.openxmlformats.org/officeDocument/2006/relationships/hyperlink" Target="http://gofile.me/4xaew/KOBa5WJng" TargetMode="External"/><Relationship Id="rId19" Type="http://schemas.openxmlformats.org/officeDocument/2006/relationships/hyperlink" Target="http://gofile.me/4xaew/NMMIfaGil" TargetMode="External"/><Relationship Id="rId31" Type="http://schemas.openxmlformats.org/officeDocument/2006/relationships/hyperlink" Target="http://gofile.me/4xaew/bET06xWCS" TargetMode="External"/><Relationship Id="rId4" Type="http://schemas.openxmlformats.org/officeDocument/2006/relationships/hyperlink" Target="http://gofile.me/4xaew/uuVKpYgWz" TargetMode="External"/><Relationship Id="rId9" Type="http://schemas.openxmlformats.org/officeDocument/2006/relationships/hyperlink" Target="http://gofile.me/4xaew/ip9ocRp4I" TargetMode="External"/><Relationship Id="rId14" Type="http://schemas.openxmlformats.org/officeDocument/2006/relationships/hyperlink" Target="http://gofile.me/4xaew/ybwwy39JS" TargetMode="External"/><Relationship Id="rId22" Type="http://schemas.openxmlformats.org/officeDocument/2006/relationships/hyperlink" Target="http://gofile.me/4xaew/YyCyxMkcH" TargetMode="External"/><Relationship Id="rId27" Type="http://schemas.openxmlformats.org/officeDocument/2006/relationships/hyperlink" Target="http://gofile.me/4xaew/00xEPlaWW" TargetMode="External"/><Relationship Id="rId30" Type="http://schemas.openxmlformats.org/officeDocument/2006/relationships/hyperlink" Target="http://gofile.me/4xaew/MUSAwgMcW" TargetMode="External"/><Relationship Id="rId35" Type="http://schemas.openxmlformats.org/officeDocument/2006/relationships/hyperlink" Target="http://gofile.me/4xaew/VBCmGi6ub" TargetMode="External"/><Relationship Id="rId8" Type="http://schemas.openxmlformats.org/officeDocument/2006/relationships/hyperlink" Target="http://gofile.me/4xaew/RjDKMVGRj" TargetMode="External"/><Relationship Id="rId3" Type="http://schemas.openxmlformats.org/officeDocument/2006/relationships/hyperlink" Target="http://gofile.me/4xaew/DCJhw6V0h" TargetMode="External"/><Relationship Id="rId12" Type="http://schemas.openxmlformats.org/officeDocument/2006/relationships/hyperlink" Target="http://gofile.me/4xaew/HXr2WlyRC" TargetMode="External"/><Relationship Id="rId17" Type="http://schemas.openxmlformats.org/officeDocument/2006/relationships/hyperlink" Target="http://gofile.me/4xaew/miZVRnZyy" TargetMode="External"/><Relationship Id="rId25" Type="http://schemas.openxmlformats.org/officeDocument/2006/relationships/hyperlink" Target="http://gofile.me/4xaew/bpiXdOVFD" TargetMode="External"/><Relationship Id="rId33" Type="http://schemas.openxmlformats.org/officeDocument/2006/relationships/hyperlink" Target="http://gofile.me/4xaew/ByRMoojRq" TargetMode="External"/><Relationship Id="rId38" Type="http://schemas.openxmlformats.org/officeDocument/2006/relationships/hyperlink" Target="http://gofile.me/4xaew/4ijQ6IhtH"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gofile.me/4xaew/mzwHuJc3Q" TargetMode="External"/><Relationship Id="rId18" Type="http://schemas.openxmlformats.org/officeDocument/2006/relationships/hyperlink" Target="http://gofile.me/4xaew/NMMIfaGil" TargetMode="External"/><Relationship Id="rId26" Type="http://schemas.openxmlformats.org/officeDocument/2006/relationships/hyperlink" Target="http://gofile.me/4xaew/ebn2H0lSQ" TargetMode="External"/><Relationship Id="rId39" Type="http://schemas.openxmlformats.org/officeDocument/2006/relationships/hyperlink" Target="http://gofile.me/4xaew/0EZT9GYX8" TargetMode="External"/><Relationship Id="rId21" Type="http://schemas.openxmlformats.org/officeDocument/2006/relationships/hyperlink" Target="http://gofile.me/4xaew/LdFcpydOE" TargetMode="External"/><Relationship Id="rId34" Type="http://schemas.openxmlformats.org/officeDocument/2006/relationships/hyperlink" Target="http://gofile.me/4xaew/MQECs3meh" TargetMode="External"/><Relationship Id="rId42" Type="http://schemas.openxmlformats.org/officeDocument/2006/relationships/hyperlink" Target="http://gofile.me/4xaew/KSeuggZkS" TargetMode="External"/><Relationship Id="rId7" Type="http://schemas.openxmlformats.org/officeDocument/2006/relationships/hyperlink" Target="http://gofile.me/4xaew/ohnsFfJJJ" TargetMode="External"/><Relationship Id="rId2" Type="http://schemas.openxmlformats.org/officeDocument/2006/relationships/hyperlink" Target="http://gofile.me/4xaew/j5wq8quDk" TargetMode="External"/><Relationship Id="rId16" Type="http://schemas.openxmlformats.org/officeDocument/2006/relationships/hyperlink" Target="http://gofile.me/4xaew/wakScw7Hn" TargetMode="External"/><Relationship Id="rId20" Type="http://schemas.openxmlformats.org/officeDocument/2006/relationships/hyperlink" Target="http://gofile.me/4xaew/u0kmkTSbP" TargetMode="External"/><Relationship Id="rId29" Type="http://schemas.openxmlformats.org/officeDocument/2006/relationships/hyperlink" Target="http://gofile.me/4xaew/5JXkW89Fm" TargetMode="External"/><Relationship Id="rId41" Type="http://schemas.openxmlformats.org/officeDocument/2006/relationships/hyperlink" Target="http://gofile.me/4xaew/PjhOCv2P4" TargetMode="External"/><Relationship Id="rId1" Type="http://schemas.openxmlformats.org/officeDocument/2006/relationships/hyperlink" Target="http://gofile.me/4xaew/p2YoZvYs7" TargetMode="External"/><Relationship Id="rId6" Type="http://schemas.openxmlformats.org/officeDocument/2006/relationships/hyperlink" Target="http://gofile.me/4xaew/rwTKFv5Ma" TargetMode="External"/><Relationship Id="rId11" Type="http://schemas.openxmlformats.org/officeDocument/2006/relationships/hyperlink" Target="http://gofile.me/4xaew/he2h8aJlV" TargetMode="External"/><Relationship Id="rId24" Type="http://schemas.openxmlformats.org/officeDocument/2006/relationships/hyperlink" Target="http://gofile.me/4xaew/22e3orMFQ" TargetMode="External"/><Relationship Id="rId32" Type="http://schemas.openxmlformats.org/officeDocument/2006/relationships/hyperlink" Target="http://gofile.me/4xaew/9KcNecWJr" TargetMode="External"/><Relationship Id="rId37" Type="http://schemas.openxmlformats.org/officeDocument/2006/relationships/hyperlink" Target="http://gofile.me/4xaew/FZyumPd2t" TargetMode="External"/><Relationship Id="rId40" Type="http://schemas.openxmlformats.org/officeDocument/2006/relationships/hyperlink" Target="http://gofile.me/4xaew/2gJUACC74" TargetMode="External"/><Relationship Id="rId5" Type="http://schemas.openxmlformats.org/officeDocument/2006/relationships/hyperlink" Target="http://gofile.me/4xaew/0h84uklcd" TargetMode="External"/><Relationship Id="rId15" Type="http://schemas.openxmlformats.org/officeDocument/2006/relationships/hyperlink" Target="http://gofile.me/4xaew/K8ZHbQCEP" TargetMode="External"/><Relationship Id="rId23" Type="http://schemas.openxmlformats.org/officeDocument/2006/relationships/hyperlink" Target="http://gofile.me/4xaew/HWI1xKftm" TargetMode="External"/><Relationship Id="rId28" Type="http://schemas.openxmlformats.org/officeDocument/2006/relationships/hyperlink" Target="http://gofile.me/4xaew/1bLveAgg2" TargetMode="External"/><Relationship Id="rId36" Type="http://schemas.openxmlformats.org/officeDocument/2006/relationships/hyperlink" Target="http://gofile.me/4xaew/niDuzvOEe" TargetMode="External"/><Relationship Id="rId10" Type="http://schemas.openxmlformats.org/officeDocument/2006/relationships/hyperlink" Target="http://gofile.me/4xaew/KOBa5WJng" TargetMode="External"/><Relationship Id="rId19" Type="http://schemas.openxmlformats.org/officeDocument/2006/relationships/hyperlink" Target="http://gofile.me/4xaew/NMMIfaGil" TargetMode="External"/><Relationship Id="rId31" Type="http://schemas.openxmlformats.org/officeDocument/2006/relationships/hyperlink" Target="http://gofile.me/4xaew/bET06xWCS" TargetMode="External"/><Relationship Id="rId4" Type="http://schemas.openxmlformats.org/officeDocument/2006/relationships/hyperlink" Target="http://gofile.me/4xaew/uuVKpYgWz" TargetMode="External"/><Relationship Id="rId9" Type="http://schemas.openxmlformats.org/officeDocument/2006/relationships/hyperlink" Target="http://gofile.me/4xaew/ip9ocRp4I" TargetMode="External"/><Relationship Id="rId14" Type="http://schemas.openxmlformats.org/officeDocument/2006/relationships/hyperlink" Target="http://gofile.me/4xaew/ybwwy39JS" TargetMode="External"/><Relationship Id="rId22" Type="http://schemas.openxmlformats.org/officeDocument/2006/relationships/hyperlink" Target="http://gofile.me/4xaew/YyCyxMkcH" TargetMode="External"/><Relationship Id="rId27" Type="http://schemas.openxmlformats.org/officeDocument/2006/relationships/hyperlink" Target="http://gofile.me/4xaew/00xEPlaWW" TargetMode="External"/><Relationship Id="rId30" Type="http://schemas.openxmlformats.org/officeDocument/2006/relationships/hyperlink" Target="http://gofile.me/4xaew/MUSAwgMcW" TargetMode="External"/><Relationship Id="rId35" Type="http://schemas.openxmlformats.org/officeDocument/2006/relationships/hyperlink" Target="http://gofile.me/4xaew/VBCmGi6ub" TargetMode="External"/><Relationship Id="rId8" Type="http://schemas.openxmlformats.org/officeDocument/2006/relationships/hyperlink" Target="http://gofile.me/4xaew/RjDKMVGRj" TargetMode="External"/><Relationship Id="rId3" Type="http://schemas.openxmlformats.org/officeDocument/2006/relationships/hyperlink" Target="http://gofile.me/4xaew/DCJhw6V0h" TargetMode="External"/><Relationship Id="rId12" Type="http://schemas.openxmlformats.org/officeDocument/2006/relationships/hyperlink" Target="http://gofile.me/4xaew/HXr2WlyRC" TargetMode="External"/><Relationship Id="rId17" Type="http://schemas.openxmlformats.org/officeDocument/2006/relationships/hyperlink" Target="http://gofile.me/4xaew/miZVRnZyy" TargetMode="External"/><Relationship Id="rId25" Type="http://schemas.openxmlformats.org/officeDocument/2006/relationships/hyperlink" Target="http://gofile.me/4xaew/bpiXdOVFD" TargetMode="External"/><Relationship Id="rId33" Type="http://schemas.openxmlformats.org/officeDocument/2006/relationships/hyperlink" Target="http://gofile.me/4xaew/ByRMoojRq" TargetMode="External"/><Relationship Id="rId38" Type="http://schemas.openxmlformats.org/officeDocument/2006/relationships/hyperlink" Target="http://gofile.me/4xaew/4ijQ6IhtH"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gofile.me/4xaew/sR8VSodZa" TargetMode="External"/><Relationship Id="rId21" Type="http://schemas.openxmlformats.org/officeDocument/2006/relationships/hyperlink" Target="http://gofile.me/4xaew/AZD62GfAL" TargetMode="External"/><Relationship Id="rId42" Type="http://schemas.openxmlformats.org/officeDocument/2006/relationships/hyperlink" Target="https://drive.google.com/file/d/10__WTGX8aKfRbdN6kgys0eBUTIocdftm/view?usp=share_link" TargetMode="External"/><Relationship Id="rId63" Type="http://schemas.openxmlformats.org/officeDocument/2006/relationships/hyperlink" Target="https://docs.google.com/presentation/d/1znZMXjVXRvBNBTjyBYZUHrNXNuJavGH8/edit?usp=share_link&amp;ouid=108396888121477022776&amp;rtpof=true&amp;sd=true" TargetMode="External"/><Relationship Id="rId84" Type="http://schemas.openxmlformats.org/officeDocument/2006/relationships/hyperlink" Target="http://gofile.me/4xaew/BwDU6J7al" TargetMode="External"/><Relationship Id="rId138" Type="http://schemas.openxmlformats.org/officeDocument/2006/relationships/hyperlink" Target="https://drive.google.com/file/d/1Mi-XISYbR_cApIJ8y17shuk3vsNuqAkH/view?usp=drive_link" TargetMode="External"/><Relationship Id="rId159" Type="http://schemas.openxmlformats.org/officeDocument/2006/relationships/hyperlink" Target="http://gofile.me/4xaew/s9aUh99Kl" TargetMode="External"/><Relationship Id="rId107" Type="http://schemas.openxmlformats.org/officeDocument/2006/relationships/hyperlink" Target="http://gofile.me/4xaew/L8qbUamz2" TargetMode="External"/><Relationship Id="rId11" Type="http://schemas.openxmlformats.org/officeDocument/2006/relationships/hyperlink" Target="https://drive.google.com/file/d/1ijOiC8yxqiDBjnTxBAEDm-mCbxMTq1cy/view?usp=share_link" TargetMode="External"/><Relationship Id="rId32" Type="http://schemas.openxmlformats.org/officeDocument/2006/relationships/hyperlink" Target="http://gofile.me/4xaew/Yw0RT4OZ0" TargetMode="External"/><Relationship Id="rId53" Type="http://schemas.openxmlformats.org/officeDocument/2006/relationships/hyperlink" Target="https://drive.google.com/file/d/13HtBQkpQjT8nElD301zYR3TOgQDVJl3X/view?usp=share_link" TargetMode="External"/><Relationship Id="rId74" Type="http://schemas.openxmlformats.org/officeDocument/2006/relationships/hyperlink" Target="http://gofile.me/4xaew/geMyPRsTw" TargetMode="External"/><Relationship Id="rId128" Type="http://schemas.openxmlformats.org/officeDocument/2006/relationships/hyperlink" Target="http://gofile.me/4xaew/6Xp72w1rF" TargetMode="External"/><Relationship Id="rId149" Type="http://schemas.openxmlformats.org/officeDocument/2006/relationships/hyperlink" Target="http://gofile.me/4xaew/I0r6ibWq8" TargetMode="External"/><Relationship Id="rId5" Type="http://schemas.openxmlformats.org/officeDocument/2006/relationships/hyperlink" Target="https://drive.google.com/file/d/1bqU1ugBB4oO2vwXzawBH3QjsoPKcQqYh/view?usp=sharing" TargetMode="External"/><Relationship Id="rId95" Type="http://schemas.openxmlformats.org/officeDocument/2006/relationships/hyperlink" Target="http://gofile.me/4xaew/xjakNsupq" TargetMode="External"/><Relationship Id="rId160" Type="http://schemas.openxmlformats.org/officeDocument/2006/relationships/hyperlink" Target="https://drive.google.com/file/d/1eD4K6qFYRlXBBdT9fPtHgHnb-HFxmmfB/view?usp=drive_link" TargetMode="External"/><Relationship Id="rId22" Type="http://schemas.openxmlformats.org/officeDocument/2006/relationships/hyperlink" Target="https://drive.google.com/file/d/1OYQmyw4kzKoB0GRvlTGAuzXMrR-RevjZ/view?usp=share_link" TargetMode="External"/><Relationship Id="rId43" Type="http://schemas.openxmlformats.org/officeDocument/2006/relationships/hyperlink" Target="http://gofile.me/4xaew/EXmKqCL5x" TargetMode="External"/><Relationship Id="rId64" Type="http://schemas.openxmlformats.org/officeDocument/2006/relationships/hyperlink" Target="http://gofile.me/4xaew/dz6iFNePq" TargetMode="External"/><Relationship Id="rId118" Type="http://schemas.openxmlformats.org/officeDocument/2006/relationships/hyperlink" Target="https://drive.google.com/file/d/1YC5l7q77aGOFOgNGuVe2mWsRPfAbimMz/view?usp=drive_link" TargetMode="External"/><Relationship Id="rId139" Type="http://schemas.openxmlformats.org/officeDocument/2006/relationships/hyperlink" Target="http://gofile.me/4xaew/Dpr1GzXGq" TargetMode="External"/><Relationship Id="rId80" Type="http://schemas.openxmlformats.org/officeDocument/2006/relationships/hyperlink" Target="https://docs.google.com/document/d/1QOKD5zVjCok2VREpONeiEM73_fBhA19p/edit?usp=share_link&amp;ouid=108396888121477022776&amp;rtpof=true&amp;sd=true" TargetMode="External"/><Relationship Id="rId85" Type="http://schemas.openxmlformats.org/officeDocument/2006/relationships/hyperlink" Target="http://gofile.me/4xaew/NSJwwjwln" TargetMode="External"/><Relationship Id="rId150" Type="http://schemas.openxmlformats.org/officeDocument/2006/relationships/hyperlink" Target="https://drive.google.com/file/d/1Obm8xKkjpkSw7IsYiaihvb2WWivA5SQX/view?usp=drive_link" TargetMode="External"/><Relationship Id="rId155" Type="http://schemas.openxmlformats.org/officeDocument/2006/relationships/hyperlink" Target="http://gofile.me/4xaew/hYrbJDmdu" TargetMode="External"/><Relationship Id="rId12" Type="http://schemas.openxmlformats.org/officeDocument/2006/relationships/hyperlink" Target="http://gofile.me/4xaew/7HjNO3XMy" TargetMode="External"/><Relationship Id="rId17" Type="http://schemas.openxmlformats.org/officeDocument/2006/relationships/hyperlink" Target="http://gofile.me/4xaew/fBMKXcLVX" TargetMode="External"/><Relationship Id="rId33" Type="http://schemas.openxmlformats.org/officeDocument/2006/relationships/hyperlink" Target="https://docs.google.com/presentation/d/1IZ0mmAnxty-rV3DxLocjD9Axkx2USMOa/edit?usp=share_link&amp;ouid=108396888121477022776&amp;rtpof=true&amp;sd=true" TargetMode="External"/><Relationship Id="rId38" Type="http://schemas.openxmlformats.org/officeDocument/2006/relationships/hyperlink" Target="http://gofile.me/4xaew/5fXSQjnbL" TargetMode="External"/><Relationship Id="rId59" Type="http://schemas.openxmlformats.org/officeDocument/2006/relationships/hyperlink" Target="https://docs.google.com/document/d/1EgCeQpQPtMDYEzUeqVQKPR6zLsMAY5P3/edit?usp=share_link&amp;ouid=108396888121477022776&amp;rtpof=true&amp;sd=true" TargetMode="External"/><Relationship Id="rId103" Type="http://schemas.openxmlformats.org/officeDocument/2006/relationships/hyperlink" Target="http://gofile.me/4xaew/0bG8gPFY8" TargetMode="External"/><Relationship Id="rId108" Type="http://schemas.openxmlformats.org/officeDocument/2006/relationships/hyperlink" Target="https://drive.google.com/file/d/1_wFduN4nuHQ4DUQ80CAtdFGdXyTbgi4s/view?usp=drive_link" TargetMode="External"/><Relationship Id="rId124" Type="http://schemas.openxmlformats.org/officeDocument/2006/relationships/hyperlink" Target="http://gofile.me/4xaew/Q9qezXvbb" TargetMode="External"/><Relationship Id="rId129" Type="http://schemas.openxmlformats.org/officeDocument/2006/relationships/hyperlink" Target="https://drive.google.com/file/d/1AYhWrM4tUzG1NizVZ8Fg5erPAl_-nqkf/view?usp=drive_link" TargetMode="External"/><Relationship Id="rId54" Type="http://schemas.openxmlformats.org/officeDocument/2006/relationships/hyperlink" Target="http://gofile.me/4xaew/nyshimZbc" TargetMode="External"/><Relationship Id="rId70" Type="http://schemas.openxmlformats.org/officeDocument/2006/relationships/hyperlink" Target="https://drive.google.com/file/d/17bjtXhTYfBgiorum7TlhRZ1rc9tYldpp/view?usp=drive_link" TargetMode="External"/><Relationship Id="rId75" Type="http://schemas.openxmlformats.org/officeDocument/2006/relationships/hyperlink" Target="https://drive.google.com/file/d/1D1srn3ljvi0fXZxJOOz1idi1WRXs2oHR/view?usp=share_link" TargetMode="External"/><Relationship Id="rId91" Type="http://schemas.openxmlformats.org/officeDocument/2006/relationships/hyperlink" Target="https://drive.google.com/file/d/1x1tqW3_LCGNn8MNDEac3EB6pCMigJ0H-/view?usp=share_link" TargetMode="External"/><Relationship Id="rId96" Type="http://schemas.openxmlformats.org/officeDocument/2006/relationships/hyperlink" Target="http://gofile.me/4xaew/fN3lFWUuc" TargetMode="External"/><Relationship Id="rId140" Type="http://schemas.openxmlformats.org/officeDocument/2006/relationships/hyperlink" Target="http://gofile.me/4xaew/T1oPwqbC0" TargetMode="External"/><Relationship Id="rId145" Type="http://schemas.openxmlformats.org/officeDocument/2006/relationships/hyperlink" Target="https://drive.google.com/file/d/1e59XPcyryOYy6jHxuqnBL2gHnZn5Uz9j/view?usp=drive_link" TargetMode="External"/><Relationship Id="rId1" Type="http://schemas.openxmlformats.org/officeDocument/2006/relationships/hyperlink" Target="https://docs.google.com/document/d/1Qkv65DnUkfiGv4tBMWbGN4d_qhjLSHxU/edit?usp=share_link&amp;ouid=108396888121477022776&amp;rtpof=true&amp;sd=true" TargetMode="External"/><Relationship Id="rId6" Type="http://schemas.openxmlformats.org/officeDocument/2006/relationships/hyperlink" Target="http://gofile.me/4xaew/Oz3LrQ4dC" TargetMode="External"/><Relationship Id="rId23" Type="http://schemas.openxmlformats.org/officeDocument/2006/relationships/hyperlink" Target="http://gofile.me/4xaew/nJXbhrghe" TargetMode="External"/><Relationship Id="rId28" Type="http://schemas.openxmlformats.org/officeDocument/2006/relationships/hyperlink" Target="http://gofile.me/4xaew/oVykDqgyM" TargetMode="External"/><Relationship Id="rId49" Type="http://schemas.openxmlformats.org/officeDocument/2006/relationships/hyperlink" Target="https://docs.google.com/document/d/15Mm-EHfKkjv49KCKhfVqf-6j2jEL-cJW/edit?usp=share_link&amp;ouid=108396888121477022776&amp;rtpof=true&amp;sd=true" TargetMode="External"/><Relationship Id="rId114" Type="http://schemas.openxmlformats.org/officeDocument/2006/relationships/hyperlink" Target="http://gofile.me/4xaew/YT8QWQlKO" TargetMode="External"/><Relationship Id="rId119" Type="http://schemas.openxmlformats.org/officeDocument/2006/relationships/hyperlink" Target="http://gofile.me/4xaew/3Zj43dagQ" TargetMode="External"/><Relationship Id="rId44" Type="http://schemas.openxmlformats.org/officeDocument/2006/relationships/hyperlink" Target="http://gofile.me/4xaew/aI5sC1IzI" TargetMode="External"/><Relationship Id="rId60" Type="http://schemas.openxmlformats.org/officeDocument/2006/relationships/hyperlink" Target="http://gofile.me/4xaew/BAMJRIstZ" TargetMode="External"/><Relationship Id="rId65" Type="http://schemas.openxmlformats.org/officeDocument/2006/relationships/hyperlink" Target="https://drive.google.com/file/d/1sxlMlwlpdQGTbpGtukZuMya5ATS1eiPL/view?usp=share_link" TargetMode="External"/><Relationship Id="rId81" Type="http://schemas.openxmlformats.org/officeDocument/2006/relationships/hyperlink" Target="http://gofile.me/4xaew/1C4Ku2kvC" TargetMode="External"/><Relationship Id="rId86" Type="http://schemas.openxmlformats.org/officeDocument/2006/relationships/hyperlink" Target="http://gofile.me/4xaew/YlSGerLCp" TargetMode="External"/><Relationship Id="rId130" Type="http://schemas.openxmlformats.org/officeDocument/2006/relationships/hyperlink" Target="https://drive.google.com/file/d/1eUvwMnEMRpLRCqP9bxhC_lhO2amvVMU-/view?usp=drive_link" TargetMode="External"/><Relationship Id="rId135" Type="http://schemas.openxmlformats.org/officeDocument/2006/relationships/hyperlink" Target="http://gofile.me/4xaew/5QGrqEbh1" TargetMode="External"/><Relationship Id="rId151" Type="http://schemas.openxmlformats.org/officeDocument/2006/relationships/hyperlink" Target="http://gofile.me/4xaew/wF6AJdHQS" TargetMode="External"/><Relationship Id="rId156" Type="http://schemas.openxmlformats.org/officeDocument/2006/relationships/hyperlink" Target="https://drive.google.com/file/d/19jUeM0-kNSlF-zo7iZTQhD-8bAxYhsPK/view?usp=share_link" TargetMode="External"/><Relationship Id="rId13" Type="http://schemas.openxmlformats.org/officeDocument/2006/relationships/hyperlink" Target="http://gofile.me/4xaew/ubA6QOD0h" TargetMode="External"/><Relationship Id="rId18" Type="http://schemas.openxmlformats.org/officeDocument/2006/relationships/hyperlink" Target="http://gofile.me/4xaew/kVTtmDyFX" TargetMode="External"/><Relationship Id="rId39" Type="http://schemas.openxmlformats.org/officeDocument/2006/relationships/hyperlink" Target="http://gofile.me/4xaew/QeDqideKe" TargetMode="External"/><Relationship Id="rId109" Type="http://schemas.openxmlformats.org/officeDocument/2006/relationships/hyperlink" Target="http://gofile.me/4xaew/akRQ8vyRw" TargetMode="External"/><Relationship Id="rId34" Type="http://schemas.openxmlformats.org/officeDocument/2006/relationships/hyperlink" Target="http://gofile.me/4xaew/iFahZZ0xz" TargetMode="External"/><Relationship Id="rId50" Type="http://schemas.openxmlformats.org/officeDocument/2006/relationships/hyperlink" Target="http://gofile.me/4xaew/tYC5f0Vwl" TargetMode="External"/><Relationship Id="rId55" Type="http://schemas.openxmlformats.org/officeDocument/2006/relationships/hyperlink" Target="http://gofile.me/4xaew/pVPjNvrQr" TargetMode="External"/><Relationship Id="rId76" Type="http://schemas.openxmlformats.org/officeDocument/2006/relationships/hyperlink" Target="http://gofile.me/4xaew/CI4xGheKx" TargetMode="External"/><Relationship Id="rId97" Type="http://schemas.openxmlformats.org/officeDocument/2006/relationships/hyperlink" Target="http://gofile.me/4xaew/4px7A5Eji" TargetMode="External"/><Relationship Id="rId104" Type="http://schemas.openxmlformats.org/officeDocument/2006/relationships/hyperlink" Target="http://gofile.me/4xaew/ktwJxrUaO" TargetMode="External"/><Relationship Id="rId120" Type="http://schemas.openxmlformats.org/officeDocument/2006/relationships/hyperlink" Target="http://gofile.me/4xaew/uoPNLlydK" TargetMode="External"/><Relationship Id="rId125" Type="http://schemas.openxmlformats.org/officeDocument/2006/relationships/hyperlink" Target="https://drive.google.com/file/d/1UH0ACQnupJyH-xn1B2Rg1dgAiynMm5ij/view?usp=drive_link" TargetMode="External"/><Relationship Id="rId141" Type="http://schemas.openxmlformats.org/officeDocument/2006/relationships/hyperlink" Target="http://gofile.me/4xaew/fbGUmjnKk" TargetMode="External"/><Relationship Id="rId146" Type="http://schemas.openxmlformats.org/officeDocument/2006/relationships/hyperlink" Target="http://gofile.me/4xaew/pMggvoYBu" TargetMode="External"/><Relationship Id="rId7" Type="http://schemas.openxmlformats.org/officeDocument/2006/relationships/hyperlink" Target="https://drive.google.com/file/d/1R1lkhObQLObKOnacxqZEcJL6ONrwmEoO/view?usp=share_link" TargetMode="External"/><Relationship Id="rId71" Type="http://schemas.openxmlformats.org/officeDocument/2006/relationships/hyperlink" Target="http://gofile.me/4xaew/gdQ3l7dGS" TargetMode="External"/><Relationship Id="rId92" Type="http://schemas.openxmlformats.org/officeDocument/2006/relationships/hyperlink" Target="http://gofile.me/4xaew/Tn5ngrbcI" TargetMode="External"/><Relationship Id="rId2" Type="http://schemas.openxmlformats.org/officeDocument/2006/relationships/hyperlink" Target="http://gofile.me/4xaew/4FgvmJQ7d" TargetMode="External"/><Relationship Id="rId29" Type="http://schemas.openxmlformats.org/officeDocument/2006/relationships/hyperlink" Target="https://docs.google.com/presentation/d/1M9Qh5YFzGASV4GufTIovqSlwhMcyEywc/edit?usp=share_link&amp;ouid=108396888121477022776&amp;rtpof=true&amp;sd=true" TargetMode="External"/><Relationship Id="rId24" Type="http://schemas.openxmlformats.org/officeDocument/2006/relationships/hyperlink" Target="http://gofile.me/4xaew/snkQtTUTn" TargetMode="External"/><Relationship Id="rId40" Type="http://schemas.openxmlformats.org/officeDocument/2006/relationships/hyperlink" Target="http://gofile.me/4xaew/kxj7mAxUQ" TargetMode="External"/><Relationship Id="rId45" Type="http://schemas.openxmlformats.org/officeDocument/2006/relationships/hyperlink" Target="https://drive.google.com/file/d/1sT9NGoPg7mhF9vNjnMSNE17F_KKLNxpk/view?usp=share_link" TargetMode="External"/><Relationship Id="rId66" Type="http://schemas.openxmlformats.org/officeDocument/2006/relationships/hyperlink" Target="http://gofile.me/4xaew/Vz3zxDv5p" TargetMode="External"/><Relationship Id="rId87" Type="http://schemas.openxmlformats.org/officeDocument/2006/relationships/hyperlink" Target="http://gofile.me/4xaew/fs1isbibh" TargetMode="External"/><Relationship Id="rId110" Type="http://schemas.openxmlformats.org/officeDocument/2006/relationships/hyperlink" Target="http://gofile.me/4xaew/WLiWXZJSL" TargetMode="External"/><Relationship Id="rId115" Type="http://schemas.openxmlformats.org/officeDocument/2006/relationships/hyperlink" Target="http://gofile.me/4xaew/jfG1EF99c" TargetMode="External"/><Relationship Id="rId131" Type="http://schemas.openxmlformats.org/officeDocument/2006/relationships/hyperlink" Target="http://gofile.me/4xaew/4X2Hvp5nK" TargetMode="External"/><Relationship Id="rId136" Type="http://schemas.openxmlformats.org/officeDocument/2006/relationships/hyperlink" Target="https://drive.google.com/file/d/1gY7ZnfqY4cHEjDyj9SO7Ov1iJtHuYqWu/view?usp=drive_link" TargetMode="External"/><Relationship Id="rId157" Type="http://schemas.openxmlformats.org/officeDocument/2006/relationships/hyperlink" Target="http://gofile.me/4xaew/Gxio4V81f" TargetMode="External"/><Relationship Id="rId61" Type="http://schemas.openxmlformats.org/officeDocument/2006/relationships/hyperlink" Target="https://drive.google.com/file/d/10__WTGX8aKfRbdN6kgys0eBUTIocdftm/view?usp=share_link" TargetMode="External"/><Relationship Id="rId82" Type="http://schemas.openxmlformats.org/officeDocument/2006/relationships/hyperlink" Target="https://drive.google.com/file/d/12Sdxe-SggSZglylU0OxRi4DcVaRxNK9g/view?usp=share_link" TargetMode="External"/><Relationship Id="rId152" Type="http://schemas.openxmlformats.org/officeDocument/2006/relationships/hyperlink" Target="https://drive.google.com/file/d/1PiUkwsfG6QGdyIbIP05YPr8CaVwkhl-U/view?usp=drive_link" TargetMode="External"/><Relationship Id="rId19" Type="http://schemas.openxmlformats.org/officeDocument/2006/relationships/hyperlink" Target="http://gofile.me/4xaew/1mHb8uxMD" TargetMode="External"/><Relationship Id="rId14" Type="http://schemas.openxmlformats.org/officeDocument/2006/relationships/hyperlink" Target="https://drive.google.com/file/d/1DCLyGKFuJzbU6iw2LtBZy8AdEy8tsLuA/view?usp=sharing" TargetMode="External"/><Relationship Id="rId30" Type="http://schemas.openxmlformats.org/officeDocument/2006/relationships/hyperlink" Target="http://gofile.me/4xaew/1ZzOtwuUx" TargetMode="External"/><Relationship Id="rId35" Type="http://schemas.openxmlformats.org/officeDocument/2006/relationships/hyperlink" Target="https://docs.google.com/presentation/d/1IZ0mmAnxty-rV3DxLocjD9Axkx2USMOa/edit?usp=share_link&amp;ouid=108396888121477022776&amp;rtpof=true&amp;sd=true" TargetMode="External"/><Relationship Id="rId56" Type="http://schemas.openxmlformats.org/officeDocument/2006/relationships/hyperlink" Target="http://gofile.me/4xaew/GlHvFSZfo" TargetMode="External"/><Relationship Id="rId77" Type="http://schemas.openxmlformats.org/officeDocument/2006/relationships/hyperlink" Target="https://drive.google.com/file/d/1EbTGv3VXwyw3i2aNHGsu80eL0xty9gGK/view?usp=drive_link" TargetMode="External"/><Relationship Id="rId100" Type="http://schemas.openxmlformats.org/officeDocument/2006/relationships/hyperlink" Target="http://gofile.me/4xaew/AammMhrQr" TargetMode="External"/><Relationship Id="rId105" Type="http://schemas.openxmlformats.org/officeDocument/2006/relationships/hyperlink" Target="http://gofile.me/4xaew/d9DXOpDNN" TargetMode="External"/><Relationship Id="rId126" Type="http://schemas.openxmlformats.org/officeDocument/2006/relationships/hyperlink" Target="http://gofile.me/4xaew/uWHuXxw6C" TargetMode="External"/><Relationship Id="rId147" Type="http://schemas.openxmlformats.org/officeDocument/2006/relationships/hyperlink" Target="https://drive.google.com/file/d/1vsXbEuSLI038FHlAoio-6Ijjy1mqeQOM/view?usp=drive_link" TargetMode="External"/><Relationship Id="rId8" Type="http://schemas.openxmlformats.org/officeDocument/2006/relationships/hyperlink" Target="http://gofile.me/4xaew/bxkNTWqod" TargetMode="External"/><Relationship Id="rId51" Type="http://schemas.openxmlformats.org/officeDocument/2006/relationships/hyperlink" Target="https://docs.google.com/document/d/10YxfwKIbjIjbOiZM7qfUH6qgyl8MI4Cs/edit?usp=share_link&amp;ouid=108396888121477022776&amp;rtpof=true&amp;sd=true" TargetMode="External"/><Relationship Id="rId72" Type="http://schemas.openxmlformats.org/officeDocument/2006/relationships/hyperlink" Target="https://drive.google.com/file/d/1ho9KCwiL0ibN61KRxhWzbLhkMQ4SfAyB/view?usp=share_link" TargetMode="External"/><Relationship Id="rId93" Type="http://schemas.openxmlformats.org/officeDocument/2006/relationships/hyperlink" Target="https://drive.google.com/file/d/1mQLYk-hAJjukO1ag4SmZRB8utGKqWPmi/view?usp=drive_link" TargetMode="External"/><Relationship Id="rId98" Type="http://schemas.openxmlformats.org/officeDocument/2006/relationships/hyperlink" Target="http://gofile.me/4xaew/4px7A5Eji" TargetMode="External"/><Relationship Id="rId121" Type="http://schemas.openxmlformats.org/officeDocument/2006/relationships/hyperlink" Target="https://drive.google.com/file/d/1RQYgxGnbW_BbkmJCAs0Yp33p7lllNXHC/view?usp=drive_link" TargetMode="External"/><Relationship Id="rId142" Type="http://schemas.openxmlformats.org/officeDocument/2006/relationships/hyperlink" Target="http://gofile.me/4xaew/69pwRyJb1" TargetMode="External"/><Relationship Id="rId3" Type="http://schemas.openxmlformats.org/officeDocument/2006/relationships/hyperlink" Target="https://docs.google.com/document/d/1noqr8VLpQDVMIZmEo47szAAL0rBcMp5-/edit?usp=share_link&amp;ouid=108396888121477022776&amp;rtpof=true&amp;sd=true" TargetMode="External"/><Relationship Id="rId25" Type="http://schemas.openxmlformats.org/officeDocument/2006/relationships/hyperlink" Target="https://drive.google.com/file/d/1F3QcILAPK7UlezzCXm2YfCy4xScxZ6Iz/view?usp=drive_link" TargetMode="External"/><Relationship Id="rId46" Type="http://schemas.openxmlformats.org/officeDocument/2006/relationships/hyperlink" Target="http://gofile.me/4xaew/JQU1OuJLi" TargetMode="External"/><Relationship Id="rId67" Type="http://schemas.openxmlformats.org/officeDocument/2006/relationships/hyperlink" Target="https://docs.google.com/document/d/1V7_p9C6mtRPeXVRzXfOpSUNCO-3xLBJp/edit?usp=share_link&amp;ouid=108396888121477022776&amp;rtpof=true&amp;sd=true" TargetMode="External"/><Relationship Id="rId116" Type="http://schemas.openxmlformats.org/officeDocument/2006/relationships/hyperlink" Target="http://gofile.me/4xaew/Nv3ndJaHK" TargetMode="External"/><Relationship Id="rId137" Type="http://schemas.openxmlformats.org/officeDocument/2006/relationships/hyperlink" Target="https://drive.google.com/file/d/1ab8PyFtI-9FHzxxiVsizEv2BS68cuZT7/view?usp=drive_link" TargetMode="External"/><Relationship Id="rId158" Type="http://schemas.openxmlformats.org/officeDocument/2006/relationships/hyperlink" Target="https://drive.google.com/file/d/1d9t1Hf2T87gUBqnKoMKbIdUIQQ7Pq5iJ/view?usp=drive_link" TargetMode="External"/><Relationship Id="rId20" Type="http://schemas.openxmlformats.org/officeDocument/2006/relationships/hyperlink" Target="https://drive.google.com/file/d/1XII12x9BIkyAqwjRhEkFoKQkAjpjtgwY/view?usp=share_link" TargetMode="External"/><Relationship Id="rId41" Type="http://schemas.openxmlformats.org/officeDocument/2006/relationships/hyperlink" Target="http://gofile.me/4xaew/bwAfwjVC2" TargetMode="External"/><Relationship Id="rId62" Type="http://schemas.openxmlformats.org/officeDocument/2006/relationships/hyperlink" Target="http://gofile.me/4xaew/qiXvuC0HZ" TargetMode="External"/><Relationship Id="rId83" Type="http://schemas.openxmlformats.org/officeDocument/2006/relationships/hyperlink" Target="http://gofile.me/4xaew/xBReGsvV6" TargetMode="External"/><Relationship Id="rId88" Type="http://schemas.openxmlformats.org/officeDocument/2006/relationships/hyperlink" Target="https://drive.google.com/file/d/1D8TdMQp9BS83-ubV88x2hvgFBtdowh1h/view?usp=share_link" TargetMode="External"/><Relationship Id="rId111" Type="http://schemas.openxmlformats.org/officeDocument/2006/relationships/hyperlink" Target="https://drive.google.com/file/d/1F04pusUE84JPtUdmwWRfnbRXDJGI2gA6/view?usp=drive_link" TargetMode="External"/><Relationship Id="rId132" Type="http://schemas.openxmlformats.org/officeDocument/2006/relationships/hyperlink" Target="http://gofile.me/4xaew/5alFFzctr" TargetMode="External"/><Relationship Id="rId153" Type="http://schemas.openxmlformats.org/officeDocument/2006/relationships/hyperlink" Target="http://gofile.me/4xaew/qPTlxR8E1" TargetMode="External"/><Relationship Id="rId15" Type="http://schemas.openxmlformats.org/officeDocument/2006/relationships/hyperlink" Target="http://gofile.me/4xaew/4JIuSos4q" TargetMode="External"/><Relationship Id="rId36" Type="http://schemas.openxmlformats.org/officeDocument/2006/relationships/hyperlink" Target="http://gofile.me/4xaew/SVxdyrvTp" TargetMode="External"/><Relationship Id="rId57" Type="http://schemas.openxmlformats.org/officeDocument/2006/relationships/hyperlink" Target="https://docs.google.com/document/d/1bTEBUAU0ST-etCdrgR9GMu9g1Ucx-am0/edit?usp=share_link&amp;ouid=108396888121477022776&amp;rtpof=true&amp;sd=true" TargetMode="External"/><Relationship Id="rId106" Type="http://schemas.openxmlformats.org/officeDocument/2006/relationships/hyperlink" Target="http://gofile.me/4xaew/bGhKPmijy" TargetMode="External"/><Relationship Id="rId127" Type="http://schemas.openxmlformats.org/officeDocument/2006/relationships/hyperlink" Target="https://drive.google.com/file/d/1PqCwyZGFzdYq_FIFZIIWiiVE1yzp1ohP/view?usp=drive_link" TargetMode="External"/><Relationship Id="rId10" Type="http://schemas.openxmlformats.org/officeDocument/2006/relationships/hyperlink" Target="http://gofile.me/4xaew/8Tq6hmYn8" TargetMode="External"/><Relationship Id="rId31" Type="http://schemas.openxmlformats.org/officeDocument/2006/relationships/hyperlink" Target="https://docs.google.com/presentation/d/1Ct2Ufan55pH1fZhQjxz4-GskxVQ7JVpQ/edit?usp=share_link&amp;ouid=108396888121477022776&amp;rtpof=true&amp;sd=true" TargetMode="External"/><Relationship Id="rId52" Type="http://schemas.openxmlformats.org/officeDocument/2006/relationships/hyperlink" Target="http://gofile.me/4xaew/aG5eGIFdx" TargetMode="External"/><Relationship Id="rId73" Type="http://schemas.openxmlformats.org/officeDocument/2006/relationships/hyperlink" Target="http://gofile.me/4xaew/BJLY78Ath" TargetMode="External"/><Relationship Id="rId78" Type="http://schemas.openxmlformats.org/officeDocument/2006/relationships/hyperlink" Target="http://gofile.me/4xaew/B0uizvMXd" TargetMode="External"/><Relationship Id="rId94" Type="http://schemas.openxmlformats.org/officeDocument/2006/relationships/hyperlink" Target="http://gofile.me/4xaew/DT0iDvU2i" TargetMode="External"/><Relationship Id="rId99" Type="http://schemas.openxmlformats.org/officeDocument/2006/relationships/hyperlink" Target="https://drive.google.com/file/d/1HYwXolHiQQEDvCACd57Y9e9KLhsJybgy/view?usp=drive_link" TargetMode="External"/><Relationship Id="rId101" Type="http://schemas.openxmlformats.org/officeDocument/2006/relationships/hyperlink" Target="http://gofile.me/4xaew/DZIiekPVV" TargetMode="External"/><Relationship Id="rId122" Type="http://schemas.openxmlformats.org/officeDocument/2006/relationships/hyperlink" Target="http://gofile.me/4xaew/gUj9ZCufG" TargetMode="External"/><Relationship Id="rId143" Type="http://schemas.openxmlformats.org/officeDocument/2006/relationships/hyperlink" Target="https://drive.google.com/file/d/17N4gwZgZ3lXc-kLdmrCcvFLK2JOurvFy/view?usp=drive_link" TargetMode="External"/><Relationship Id="rId148" Type="http://schemas.openxmlformats.org/officeDocument/2006/relationships/hyperlink" Target="http://gofile.me/4xaew/MkDprXOdo" TargetMode="External"/><Relationship Id="rId4" Type="http://schemas.openxmlformats.org/officeDocument/2006/relationships/hyperlink" Target="http://gofile.me/4xaew/Qlk8R4pRT" TargetMode="External"/><Relationship Id="rId9" Type="http://schemas.openxmlformats.org/officeDocument/2006/relationships/hyperlink" Target="http://gofile.me/4xaew/tvJkDnKsL" TargetMode="External"/><Relationship Id="rId26" Type="http://schemas.openxmlformats.org/officeDocument/2006/relationships/hyperlink" Target="http://gofile.me/4xaew/aVhyUuxft" TargetMode="External"/><Relationship Id="rId47" Type="http://schemas.openxmlformats.org/officeDocument/2006/relationships/hyperlink" Target="https://drive.google.com/file/d/12nNqKiauytc9DBAnpZYWN4AsuDxdjLnU/view?usp=share_link" TargetMode="External"/><Relationship Id="rId68" Type="http://schemas.openxmlformats.org/officeDocument/2006/relationships/hyperlink" Target="http://gofile.me/4xaew/CgvtDkEv2" TargetMode="External"/><Relationship Id="rId89" Type="http://schemas.openxmlformats.org/officeDocument/2006/relationships/hyperlink" Target="http://gofile.me/4xaew/Pg39i8WU3" TargetMode="External"/><Relationship Id="rId112" Type="http://schemas.openxmlformats.org/officeDocument/2006/relationships/hyperlink" Target="http://gofile.me/4xaew/BMI0Q9gpU" TargetMode="External"/><Relationship Id="rId133" Type="http://schemas.openxmlformats.org/officeDocument/2006/relationships/hyperlink" Target="http://gofile.me/4xaew/iMjcORrN3" TargetMode="External"/><Relationship Id="rId154" Type="http://schemas.openxmlformats.org/officeDocument/2006/relationships/hyperlink" Target="https://drive.google.com/file/d/14GCeDtmo1PFInGkPlBXl6__L92fibGV0/view?usp=drive_link" TargetMode="External"/><Relationship Id="rId16" Type="http://schemas.openxmlformats.org/officeDocument/2006/relationships/hyperlink" Target="http://gofile.me/4xaew/cwJzQrC89" TargetMode="External"/><Relationship Id="rId37" Type="http://schemas.openxmlformats.org/officeDocument/2006/relationships/hyperlink" Target="https://drive.google.com/file/d/1aV9DO7oN2HiZx_9UjqGRDlQfZgTIDtYd/view?usp=share_link" TargetMode="External"/><Relationship Id="rId58" Type="http://schemas.openxmlformats.org/officeDocument/2006/relationships/hyperlink" Target="http://gofile.me/4xaew/r9YRFxOCg" TargetMode="External"/><Relationship Id="rId79" Type="http://schemas.openxmlformats.org/officeDocument/2006/relationships/hyperlink" Target="http://gofile.me/4xaew/buFgxUhGU" TargetMode="External"/><Relationship Id="rId102" Type="http://schemas.openxmlformats.org/officeDocument/2006/relationships/hyperlink" Target="http://gofile.me/4xaew/NmKbl1JeE" TargetMode="External"/><Relationship Id="rId123" Type="http://schemas.openxmlformats.org/officeDocument/2006/relationships/hyperlink" Target="https://drive.google.com/file/d/1PsHt4GdLwJjZkGzebM6gJKLGUzvlUj_s/view?usp=drive_link" TargetMode="External"/><Relationship Id="rId144" Type="http://schemas.openxmlformats.org/officeDocument/2006/relationships/hyperlink" Target="http://gofile.me/4xaew/RjIQDDRSW" TargetMode="External"/><Relationship Id="rId90" Type="http://schemas.openxmlformats.org/officeDocument/2006/relationships/hyperlink" Target="http://gofile.me/4xaew/6qMxcp1qt" TargetMode="External"/><Relationship Id="rId27" Type="http://schemas.openxmlformats.org/officeDocument/2006/relationships/hyperlink" Target="https://drive.google.com/drive/folders/1n-PSGn8y6Io9Pf_08hiRlM1TI6acxTc0?usp=share_link" TargetMode="External"/><Relationship Id="rId48" Type="http://schemas.openxmlformats.org/officeDocument/2006/relationships/hyperlink" Target="http://gofile.me/4xaew/uFttosQ4c" TargetMode="External"/><Relationship Id="rId69" Type="http://schemas.openxmlformats.org/officeDocument/2006/relationships/hyperlink" Target="http://gofile.me/4xaew/SJWaLq7LJ" TargetMode="External"/><Relationship Id="rId113" Type="http://schemas.openxmlformats.org/officeDocument/2006/relationships/hyperlink" Target="http://gofile.me/4xaew/47xpLjHMw" TargetMode="External"/><Relationship Id="rId134" Type="http://schemas.openxmlformats.org/officeDocument/2006/relationships/hyperlink" Target="https://drive.google.com/file/d/17ZfjYtAwL9lExaiX8aAlK30XjJ3_kM0X/view?usp=drive_link"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gofile.me/4xaew/mKisO8Wr8" TargetMode="External"/><Relationship Id="rId21" Type="http://schemas.openxmlformats.org/officeDocument/2006/relationships/hyperlink" Target="http://gofile.me/4xaew/3xJsXHOeK" TargetMode="External"/><Relationship Id="rId42" Type="http://schemas.openxmlformats.org/officeDocument/2006/relationships/hyperlink" Target="https://drive.google.com/drive/folders/16N_QWTqz4PSZtbj2A_pq_pygCFTUgr2E?fbclid=IwAR0sHr_Ud9eOP7_1sgGKE4LJZzlUFVAoOXSXDRrhguvwhXzWHt5euwg7iPk" TargetMode="External"/><Relationship Id="rId63" Type="http://schemas.openxmlformats.org/officeDocument/2006/relationships/hyperlink" Target="http://gofile.me/4xaew/m0ZHHjVld" TargetMode="External"/><Relationship Id="rId84" Type="http://schemas.openxmlformats.org/officeDocument/2006/relationships/hyperlink" Target="https://drive.google.com/drive/folders/1S71cFrHAY75k4zTHWwPpNk33WvpYFApQ?fbclid=IwAR0sHr_Ud9eOP7_1sgGKE4LJZzlUFVAoOXSXDRrhguvwhXzWHt5euwg7iPk" TargetMode="External"/><Relationship Id="rId138" Type="http://schemas.openxmlformats.org/officeDocument/2006/relationships/hyperlink" Target="http://gofile.me/4xaew/R2gJ4VcUc" TargetMode="External"/><Relationship Id="rId107" Type="http://schemas.openxmlformats.org/officeDocument/2006/relationships/hyperlink" Target="http://gofile.me/4xaew/242uZ0OhR" TargetMode="External"/><Relationship Id="rId11" Type="http://schemas.openxmlformats.org/officeDocument/2006/relationships/hyperlink" Target="http://gofile.me/4xaew/uivKsiJM2" TargetMode="External"/><Relationship Id="rId32" Type="http://schemas.openxmlformats.org/officeDocument/2006/relationships/hyperlink" Target="http://gofile.me/4xaew/eE5EsD59J" TargetMode="External"/><Relationship Id="rId37" Type="http://schemas.openxmlformats.org/officeDocument/2006/relationships/hyperlink" Target="http://gofile.me/4xaew/KNMWrrq21" TargetMode="External"/><Relationship Id="rId53" Type="http://schemas.openxmlformats.org/officeDocument/2006/relationships/hyperlink" Target="http://gofile.me/4xaew/CfV3cvDZx" TargetMode="External"/><Relationship Id="rId58" Type="http://schemas.openxmlformats.org/officeDocument/2006/relationships/hyperlink" Target="https://drive.google.com/drive/folders/1TyXo3Dlaz_E21dKg_5fgTBnGh_8xcKkB?fbclid=IwAR0sHr_Ud9eOP7_1sgGKE4LJZzlUFVAoOXSXDRrhguvwhXzWHt5euwg7iPk" TargetMode="External"/><Relationship Id="rId74" Type="http://schemas.openxmlformats.org/officeDocument/2006/relationships/hyperlink" Target="https://drive.google.com/drive/folders/1nGrnjlyEa_Covpoln-MTwnRpLCH6-yY-?fbclid=IwAR0sHr_Ud9eOP7_1sgGKE4LJZzlUFVAoOXSXDRrhguvwhXzWHt5euwg7iPk" TargetMode="External"/><Relationship Id="rId79" Type="http://schemas.openxmlformats.org/officeDocument/2006/relationships/hyperlink" Target="http://gofile.me/4xaew/yeLk6dw8A" TargetMode="External"/><Relationship Id="rId102" Type="http://schemas.openxmlformats.org/officeDocument/2006/relationships/hyperlink" Target="https://drive.google.com/drive/folders/1sYphBNhG9FYo7COrWlXFEeUWUq-_Kqol?fbclid=IwAR0sHr_Ud9eOP7_1sgGKE4LJZzlUFVAoOXSXDRrhguvwhXzWHt5euwg7iPk" TargetMode="External"/><Relationship Id="rId123" Type="http://schemas.openxmlformats.org/officeDocument/2006/relationships/hyperlink" Target="http://gofile.me/4xaew/ulQmqA8TA" TargetMode="External"/><Relationship Id="rId128" Type="http://schemas.openxmlformats.org/officeDocument/2006/relationships/hyperlink" Target="http://gofile.me/4xaew/FaRWFs9Xe" TargetMode="External"/><Relationship Id="rId5" Type="http://schemas.openxmlformats.org/officeDocument/2006/relationships/hyperlink" Target="http://gofile.me/4xaew/Wp5PLpZXm" TargetMode="External"/><Relationship Id="rId90" Type="http://schemas.openxmlformats.org/officeDocument/2006/relationships/hyperlink" Target="https://drive.google.com/drive/folders/1S71cFrHAY75k4zTHWwPpNk33WvpYFApQ?fbclid=IwAR0sHr_Ud9eOP7_1sgGKE4LJZzlUFVAoOXSXDRrhguvwhXzWHt5euwg7iPk" TargetMode="External"/><Relationship Id="rId95" Type="http://schemas.openxmlformats.org/officeDocument/2006/relationships/hyperlink" Target="http://gofile.me/4xaew/VCQiOSCTC" TargetMode="External"/><Relationship Id="rId22" Type="http://schemas.openxmlformats.org/officeDocument/2006/relationships/hyperlink" Target="https://drive.google.com/file/d/1UGYfjiZa72NaG6Go9ZUdENGAne7wKD1L/view?usp=share_link" TargetMode="External"/><Relationship Id="rId27" Type="http://schemas.openxmlformats.org/officeDocument/2006/relationships/hyperlink" Target="http://gofile.me/4xaew/6od2MHkJW" TargetMode="External"/><Relationship Id="rId43" Type="http://schemas.openxmlformats.org/officeDocument/2006/relationships/hyperlink" Target="http://gofile.me/4xaew/7Tu3J84y5" TargetMode="External"/><Relationship Id="rId48" Type="http://schemas.openxmlformats.org/officeDocument/2006/relationships/hyperlink" Target="https://drive.google.com/file/d/1JsO9PmDK2LhaLIQ-fM-NpUBMfWylAq-e/view?usp=sharing" TargetMode="External"/><Relationship Id="rId64" Type="http://schemas.openxmlformats.org/officeDocument/2006/relationships/hyperlink" Target="https://drive.google.com/drive/folders/1526w1eR63SS_p-0nrPMLNWuY-l57DjKu?fbclid=IwAR0sHr_Ud9eOP7_1sgGKE4LJZzlUFVAoOXSXDRrhguvwhXzWHt5euwg7iPk" TargetMode="External"/><Relationship Id="rId69" Type="http://schemas.openxmlformats.org/officeDocument/2006/relationships/hyperlink" Target="http://gofile.me/4xaew/l9VkQvqT3" TargetMode="External"/><Relationship Id="rId113" Type="http://schemas.openxmlformats.org/officeDocument/2006/relationships/hyperlink" Target="http://gofile.me/4xaew/nRZR0kOiE" TargetMode="External"/><Relationship Id="rId118" Type="http://schemas.openxmlformats.org/officeDocument/2006/relationships/hyperlink" Target="https://drive.google.com/drive/folders/1f33qk28egqMQEf9BMfm9oOPEOn9OcL-k?fbclid=IwAR0sHr_Ud9eOP7_1sgGKE4LJZzlUFVAoOXSXDRrhguvwhXzWHt5euwg7iPk" TargetMode="External"/><Relationship Id="rId134" Type="http://schemas.openxmlformats.org/officeDocument/2006/relationships/hyperlink" Target="https://drive.google.com/drive/folders/1yOTxApu38-QOsM5UvTUlOUFWRlCvvuCw?fbclid=IwAR0sHr_Ud9eOP7_1sgGKE4LJZzlUFVAoOXSXDRrhguvwhXzWHt5euwg7iPk" TargetMode="External"/><Relationship Id="rId139" Type="http://schemas.openxmlformats.org/officeDocument/2006/relationships/hyperlink" Target="http://gofile.me/4xaew/4cUqDBsJC" TargetMode="External"/><Relationship Id="rId80" Type="http://schemas.openxmlformats.org/officeDocument/2006/relationships/hyperlink" Target="http://gofile.me/4xaew/oDXs0QndG" TargetMode="External"/><Relationship Id="rId85" Type="http://schemas.openxmlformats.org/officeDocument/2006/relationships/hyperlink" Target="http://gofile.me/4xaew/ZY3UmorNm" TargetMode="External"/><Relationship Id="rId12" Type="http://schemas.openxmlformats.org/officeDocument/2006/relationships/hyperlink" Target="http://gofile.me/4xaew/IRvvEFLgB" TargetMode="External"/><Relationship Id="rId17" Type="http://schemas.openxmlformats.org/officeDocument/2006/relationships/hyperlink" Target="http://gofile.me/4xaew/uVFd1f7ye" TargetMode="External"/><Relationship Id="rId33" Type="http://schemas.openxmlformats.org/officeDocument/2006/relationships/hyperlink" Target="http://gofile.me/4xaew/2YxoOtR3d" TargetMode="External"/><Relationship Id="rId38" Type="http://schemas.openxmlformats.org/officeDocument/2006/relationships/hyperlink" Target="https://drive.google.com/drive/folders/1MPf8712f_8Tri7Hqww77MbAlgLGj26nJ?fbclid=IwAR0sHr_Ud9eOP7_1sgGKE4LJZzlUFVAoOXSXDRrhguvwhXzWHt5euwg7iPk" TargetMode="External"/><Relationship Id="rId59" Type="http://schemas.openxmlformats.org/officeDocument/2006/relationships/hyperlink" Target="http://gofile.me/4xaew/J2TpiiRiF" TargetMode="External"/><Relationship Id="rId103" Type="http://schemas.openxmlformats.org/officeDocument/2006/relationships/hyperlink" Target="http://gofile.me/4xaew/FEpACfFBL" TargetMode="External"/><Relationship Id="rId108" Type="http://schemas.openxmlformats.org/officeDocument/2006/relationships/hyperlink" Target="https://drive.google.com/drive/folders/1sYphBNhG9FYo7COrWlXFEeUWUq-_Kqol?fbclid=IwAR0sHr_Ud9eOP7_1sgGKE4LJZzlUFVAoOXSXDRrhguvwhXzWHt5euwg7iPk" TargetMode="External"/><Relationship Id="rId124" Type="http://schemas.openxmlformats.org/officeDocument/2006/relationships/hyperlink" Target="http://gofile.me/4xaew/JrMMETtGV" TargetMode="External"/><Relationship Id="rId129" Type="http://schemas.openxmlformats.org/officeDocument/2006/relationships/hyperlink" Target="http://gofile.me/4xaew/5iw1om8wd" TargetMode="External"/><Relationship Id="rId54" Type="http://schemas.openxmlformats.org/officeDocument/2006/relationships/hyperlink" Target="https://drive.google.com/drive/folders/1Q8haZuQvCudMqsvtJp0h5umHfGMxtQYv?fbclid=IwAR0sHr_Ud9eOP7_1sgGKE4LJZzlUFVAoOXSXDRrhguvwhXzWHt5euwg7iPk" TargetMode="External"/><Relationship Id="rId70" Type="http://schemas.openxmlformats.org/officeDocument/2006/relationships/hyperlink" Target="https://drive.google.com/file/d/1M8m7bFv7tdj1EWupGANJrOJ8TWUhw8gU/view?usp=sharing" TargetMode="External"/><Relationship Id="rId75" Type="http://schemas.openxmlformats.org/officeDocument/2006/relationships/hyperlink" Target="http://gofile.me/4xaew/p0DINDiDF" TargetMode="External"/><Relationship Id="rId91" Type="http://schemas.openxmlformats.org/officeDocument/2006/relationships/hyperlink" Target="http://gofile.me/4xaew/hgbgK7da0" TargetMode="External"/><Relationship Id="rId96" Type="http://schemas.openxmlformats.org/officeDocument/2006/relationships/hyperlink" Target="https://drive.google.com/drive/folders/1eoetnsOSD-JC7C3-85z8RltcJPPe0dsb?fbclid=IwAR0sHr_Ud9eOP7_1sgGKE4LJZzlUFVAoOXSXDRrhguvwhXzWHt5euwg7iPk" TargetMode="External"/><Relationship Id="rId140" Type="http://schemas.openxmlformats.org/officeDocument/2006/relationships/hyperlink" Target="https://drive.google.com/file/d/1l64c_fP_JXMAh1U7p1jvKGOvZj8QqA2N/view?usp=share_link" TargetMode="External"/><Relationship Id="rId1" Type="http://schemas.openxmlformats.org/officeDocument/2006/relationships/hyperlink" Target="http://gofile.me/4xaew/FX6dtuJWr" TargetMode="External"/><Relationship Id="rId6" Type="http://schemas.openxmlformats.org/officeDocument/2006/relationships/hyperlink" Target="http://gofile.me/4xaew/L8JphdR5y" TargetMode="External"/><Relationship Id="rId23" Type="http://schemas.openxmlformats.org/officeDocument/2006/relationships/hyperlink" Target="http://gofile.me/4xaew/77A4CgsdO" TargetMode="External"/><Relationship Id="rId28" Type="http://schemas.openxmlformats.org/officeDocument/2006/relationships/hyperlink" Target="https://drive.google.com/drive/folders/1YYYvTCNHTK2dm0p2bmmbLX6UWTmgJLjD?fbclid=IwAR0sHr_Ud9eOP7_1sgGKE4LJZzlUFVAoOXSXDRrhguvwhXzWHt5euwg7iPk" TargetMode="External"/><Relationship Id="rId49" Type="http://schemas.openxmlformats.org/officeDocument/2006/relationships/hyperlink" Target="http://gofile.me/4xaew/BwZ7vxwsA" TargetMode="External"/><Relationship Id="rId114" Type="http://schemas.openxmlformats.org/officeDocument/2006/relationships/hyperlink" Target="https://drive.google.com/drive/folders/1f33qk28egqMQEf9BMfm9oOPEOn9OcL-k?fbclid=IwAR0sHr_Ud9eOP7_1sgGKE4LJZzlUFVAoOXSXDRrhguvwhXzWHt5euwg7iPk" TargetMode="External"/><Relationship Id="rId119" Type="http://schemas.openxmlformats.org/officeDocument/2006/relationships/hyperlink" Target="http://gofile.me/4xaew/lIYIsvxc4" TargetMode="External"/><Relationship Id="rId44" Type="http://schemas.openxmlformats.org/officeDocument/2006/relationships/hyperlink" Target="https://drive.google.com/drive/folders/10lI141ylMzB4AnJdqf20ViGH6xw5RVIc?fbclid=IwAR0sHr_Ud9eOP7_1sgGKE4LJZzlUFVAoOXSXDRrhguvwhXzWHt5euwg7iPk" TargetMode="External"/><Relationship Id="rId60" Type="http://schemas.openxmlformats.org/officeDocument/2006/relationships/hyperlink" Target="https://drive.google.com/drive/folders/1IqItPoN9Kj2D6EBLtI7sZjZIseEdjI7j?fbclid=IwAR0sHr_Ud9eOP7_1sgGKE4LJZzlUFVAoOXSXDRrhguvwhXzWHt5euwg7iPk" TargetMode="External"/><Relationship Id="rId65" Type="http://schemas.openxmlformats.org/officeDocument/2006/relationships/hyperlink" Target="http://gofile.me/4xaew/lpMuubVJ6" TargetMode="External"/><Relationship Id="rId81" Type="http://schemas.openxmlformats.org/officeDocument/2006/relationships/hyperlink" Target="http://gofile.me/4xaew/2jpSVe7k6" TargetMode="External"/><Relationship Id="rId86" Type="http://schemas.openxmlformats.org/officeDocument/2006/relationships/hyperlink" Target="https://drive.google.com/drive/folders/1S71cFrHAY75k4zTHWwPpNk33WvpYFApQ?fbclid=IwAR0sHr_Ud9eOP7_1sgGKE4LJZzlUFVAoOXSXDRrhguvwhXzWHt5euwg7iPk" TargetMode="External"/><Relationship Id="rId130" Type="http://schemas.openxmlformats.org/officeDocument/2006/relationships/hyperlink" Target="https://drive.google.com/drive/folders/1yOTxApu38-QOsM5UvTUlOUFWRlCvvuCw?fbclid=IwAR0sHr_Ud9eOP7_1sgGKE4LJZzlUFVAoOXSXDRrhguvwhXzWHt5euwg7iPk" TargetMode="External"/><Relationship Id="rId135" Type="http://schemas.openxmlformats.org/officeDocument/2006/relationships/hyperlink" Target="http://gofile.me/4xaew/irroHsdQS" TargetMode="External"/><Relationship Id="rId13" Type="http://schemas.openxmlformats.org/officeDocument/2006/relationships/hyperlink" Target="https://drive.google.com/drive/folders/13b-7PgJfZewELjn1gn2XvZ37bV6gqExx?fbclid=IwAR0sHr_Ud9eOP7_1sgGKE4LJZzlUFVAoOXSXDRrhguvwhXzWHt5euwg7iPk" TargetMode="External"/><Relationship Id="rId18" Type="http://schemas.openxmlformats.org/officeDocument/2006/relationships/hyperlink" Target="http://gofile.me/4xaew/7HLNAs2MU" TargetMode="External"/><Relationship Id="rId39" Type="http://schemas.openxmlformats.org/officeDocument/2006/relationships/hyperlink" Target="http://gofile.me/4xaew/CZ2xzW1T6" TargetMode="External"/><Relationship Id="rId109" Type="http://schemas.openxmlformats.org/officeDocument/2006/relationships/hyperlink" Target="http://gofile.me/4xaew/HOVqR7IOF" TargetMode="External"/><Relationship Id="rId34" Type="http://schemas.openxmlformats.org/officeDocument/2006/relationships/hyperlink" Target="https://drive.google.com/drive/folders/1BxrN7cnsBiZRzd6m5DKruhbuWcrAh5Z8?fbclid=IwAR0sHr_Ud9eOP7_1sgGKE4LJZzlUFVAoOXSXDRrhguvwhXzWHt5euwg7iPk" TargetMode="External"/><Relationship Id="rId50" Type="http://schemas.openxmlformats.org/officeDocument/2006/relationships/hyperlink" Target="http://gofile.me/4xaew/AvHEnuZYe" TargetMode="External"/><Relationship Id="rId55" Type="http://schemas.openxmlformats.org/officeDocument/2006/relationships/hyperlink" Target="http://gofile.me/4xaew/RB94w2urm" TargetMode="External"/><Relationship Id="rId76" Type="http://schemas.openxmlformats.org/officeDocument/2006/relationships/hyperlink" Target="https://drive.google.com/drive/folders/1nGrnjlyEa_Covpoln-MTwnRpLCH6-yY-?fbclid=IwAR0sHr_Ud9eOP7_1sgGKE4LJZzlUFVAoOXSXDRrhguvwhXzWHt5euwg7iPk" TargetMode="External"/><Relationship Id="rId97" Type="http://schemas.openxmlformats.org/officeDocument/2006/relationships/hyperlink" Target="http://gofile.me/4xaew/XK0sDDbNo" TargetMode="External"/><Relationship Id="rId104" Type="http://schemas.openxmlformats.org/officeDocument/2006/relationships/hyperlink" Target="https://drive.google.com/drive/folders/1sYphBNhG9FYo7COrWlXFEeUWUq-_Kqol?fbclid=IwAR0sHr_Ud9eOP7_1sgGKE4LJZzlUFVAoOXSXDRrhguvwhXzWHt5euwg7iPk" TargetMode="External"/><Relationship Id="rId120" Type="http://schemas.openxmlformats.org/officeDocument/2006/relationships/hyperlink" Target="https://drive.google.com/drive/folders/1IqItPoN9Kj2D6EBLtI7sZjZIseEdjI7j?fbclid=IwAR0sHr_Ud9eOP7_1sgGKE4LJZzlUFVAoOXSXDRrhguvwhXzWHt5euwg7iPk" TargetMode="External"/><Relationship Id="rId125" Type="http://schemas.openxmlformats.org/officeDocument/2006/relationships/hyperlink" Target="http://gofile.me/4xaew/28WK930au" TargetMode="External"/><Relationship Id="rId141" Type="http://schemas.openxmlformats.org/officeDocument/2006/relationships/hyperlink" Target="http://gofile.me/4xaew/wns22lkGu" TargetMode="External"/><Relationship Id="rId7" Type="http://schemas.openxmlformats.org/officeDocument/2006/relationships/hyperlink" Target="https://drive.google.com/drive/folders/1S71cFrHAY75k4zTHWwPpNk33WvpYFApQ?fbclid=IwAR0sHr_Ud9eOP7_1sgGKE4LJZzlUFVAoOXSXDRrhguvwhXzWHt5euwg7iPk" TargetMode="External"/><Relationship Id="rId71" Type="http://schemas.openxmlformats.org/officeDocument/2006/relationships/hyperlink" Target="http://gofile.me/4xaew/XGN2eUmNB" TargetMode="External"/><Relationship Id="rId92" Type="http://schemas.openxmlformats.org/officeDocument/2006/relationships/hyperlink" Target="https://drive.google.com/drive/folders/1S71cFrHAY75k4zTHWwPpNk33WvpYFApQ?fbclid=IwAR0sHr_Ud9eOP7_1sgGKE4LJZzlUFVAoOXSXDRrhguvwhXzWHt5euwg7iPk" TargetMode="External"/><Relationship Id="rId2" Type="http://schemas.openxmlformats.org/officeDocument/2006/relationships/hyperlink" Target="http://gofile.me/4xaew/9lxWekwrl" TargetMode="External"/><Relationship Id="rId29" Type="http://schemas.openxmlformats.org/officeDocument/2006/relationships/hyperlink" Target="http://gofile.me/4xaew/K12Rkn3aQ" TargetMode="External"/><Relationship Id="rId24" Type="http://schemas.openxmlformats.org/officeDocument/2006/relationships/hyperlink" Target="https://drive.google.com/file/d/1A14RvMVjWLTKXnhr61ebnIkCoxqrcV_l/view?usp=share_link" TargetMode="External"/><Relationship Id="rId40" Type="http://schemas.openxmlformats.org/officeDocument/2006/relationships/hyperlink" Target="https://drive.google.com/drive/folders/1IqItPoN9Kj2D6EBLtI7sZjZIseEdjI7j?fbclid=IwAR0sHr_Ud9eOP7_1sgGKE4LJZzlUFVAoOXSXDRrhguvwhXzWHt5euwg7iPk" TargetMode="External"/><Relationship Id="rId45" Type="http://schemas.openxmlformats.org/officeDocument/2006/relationships/hyperlink" Target="http://gofile.me/4xaew/Xp7WeIJKA" TargetMode="External"/><Relationship Id="rId66" Type="http://schemas.openxmlformats.org/officeDocument/2006/relationships/hyperlink" Target="https://drive.google.com/drive/folders/1526w1eR63SS_p-0nrPMLNWuY-l57DjKu?fbclid=IwAR0sHr_Ud9eOP7_1sgGKE4LJZzlUFVAoOXSXDRrhguvwhXzWHt5euwg7iPk" TargetMode="External"/><Relationship Id="rId87" Type="http://schemas.openxmlformats.org/officeDocument/2006/relationships/hyperlink" Target="http://gofile.me/4xaew/0p5KOGanQ" TargetMode="External"/><Relationship Id="rId110" Type="http://schemas.openxmlformats.org/officeDocument/2006/relationships/hyperlink" Target="https://drive.google.com/drive/folders/1f33qk28egqMQEf9BMfm9oOPEOn9OcL-k?fbclid=IwAR0sHr_Ud9eOP7_1sgGKE4LJZzlUFVAoOXSXDRrhguvwhXzWHt5euwg7iPk" TargetMode="External"/><Relationship Id="rId115" Type="http://schemas.openxmlformats.org/officeDocument/2006/relationships/hyperlink" Target="http://gofile.me/4xaew/2QcpVKFq5" TargetMode="External"/><Relationship Id="rId131" Type="http://schemas.openxmlformats.org/officeDocument/2006/relationships/hyperlink" Target="http://gofile.me/4xaew/9Ul1jLomy" TargetMode="External"/><Relationship Id="rId136" Type="http://schemas.openxmlformats.org/officeDocument/2006/relationships/hyperlink" Target="http://gofile.me/4xaew/fcDt7SjmL" TargetMode="External"/><Relationship Id="rId61" Type="http://schemas.openxmlformats.org/officeDocument/2006/relationships/hyperlink" Target="http://gofile.me/4xaew/hgH5jziup" TargetMode="External"/><Relationship Id="rId82" Type="http://schemas.openxmlformats.org/officeDocument/2006/relationships/hyperlink" Target="https://drive.google.com/drive/folders/1S71cFrHAY75k4zTHWwPpNk33WvpYFApQ?fbclid=IwAR0sHr_Ud9eOP7_1sgGKE4LJZzlUFVAoOXSXDRrhguvwhXzWHt5euwg7iPk" TargetMode="External"/><Relationship Id="rId19" Type="http://schemas.openxmlformats.org/officeDocument/2006/relationships/hyperlink" Target="http://gofile.me/4xaew/HjUvAIzDr" TargetMode="External"/><Relationship Id="rId14" Type="http://schemas.openxmlformats.org/officeDocument/2006/relationships/hyperlink" Target="http://gofile.me/4xaew/aAKYdfmDD" TargetMode="External"/><Relationship Id="rId30" Type="http://schemas.openxmlformats.org/officeDocument/2006/relationships/hyperlink" Target="https://drive.google.com/file/d/1DntiRIqc3geFJEOpKbUIg8noqA8SGANi/view?usp=share_link" TargetMode="External"/><Relationship Id="rId35" Type="http://schemas.openxmlformats.org/officeDocument/2006/relationships/hyperlink" Target="http://gofile.me/4xaew/wr5jotLqA" TargetMode="External"/><Relationship Id="rId56" Type="http://schemas.openxmlformats.org/officeDocument/2006/relationships/hyperlink" Target="https://drive.google.com/drive/folders/1TyXo3Dlaz_E21dKg_5fgTBnGh_8xcKkB?fbclid=IwAR0sHr_Ud9eOP7_1sgGKE4LJZzlUFVAoOXSXDRrhguvwhXzWHt5euwg7iPk" TargetMode="External"/><Relationship Id="rId77" Type="http://schemas.openxmlformats.org/officeDocument/2006/relationships/hyperlink" Target="http://gofile.me/4xaew/rklQGzlzP" TargetMode="External"/><Relationship Id="rId100" Type="http://schemas.openxmlformats.org/officeDocument/2006/relationships/hyperlink" Target="https://drive.google.com/drive/folders/1sYphBNhG9FYo7COrWlXFEeUWUq-_Kqol?fbclid=IwAR0sHr_Ud9eOP7_1sgGKE4LJZzlUFVAoOXSXDRrhguvwhXzWHt5euwg7iPk" TargetMode="External"/><Relationship Id="rId105" Type="http://schemas.openxmlformats.org/officeDocument/2006/relationships/hyperlink" Target="http://gofile.me/4xaew/lqOcVVMMu" TargetMode="External"/><Relationship Id="rId126" Type="http://schemas.openxmlformats.org/officeDocument/2006/relationships/hyperlink" Target="https://drive.google.com/file/d/1IHk3cTQ06j8DPXARuZfCj-44ty30cozB/view?usp=share_link" TargetMode="External"/><Relationship Id="rId8" Type="http://schemas.openxmlformats.org/officeDocument/2006/relationships/hyperlink" Target="http://gofile.me/4xaew/CMsXAsuG8" TargetMode="External"/><Relationship Id="rId51" Type="http://schemas.openxmlformats.org/officeDocument/2006/relationships/hyperlink" Target="http://gofile.me/4xaew/22ILUUNVV" TargetMode="External"/><Relationship Id="rId72" Type="http://schemas.openxmlformats.org/officeDocument/2006/relationships/hyperlink" Target="https://drive.google.com/drive/folders/1526w1eR63SS_p-0nrPMLNWuY-l57DjKu?fbclid=IwAR0sHr_Ud9eOP7_1sgGKE4LJZzlUFVAoOXSXDRrhguvwhXzWHt5euwg7iPk" TargetMode="External"/><Relationship Id="rId93" Type="http://schemas.openxmlformats.org/officeDocument/2006/relationships/hyperlink" Target="http://gofile.me/4xaew/hzVFmjaba" TargetMode="External"/><Relationship Id="rId98" Type="http://schemas.openxmlformats.org/officeDocument/2006/relationships/hyperlink" Target="https://drive.google.com/drive/folders/1eoetnsOSD-JC7C3-85z8RltcJPPe0dsb?fbclid=IwAR0sHr_Ud9eOP7_1sgGKE4LJZzlUFVAoOXSXDRrhguvwhXzWHt5euwg7iPk" TargetMode="External"/><Relationship Id="rId121" Type="http://schemas.openxmlformats.org/officeDocument/2006/relationships/hyperlink" Target="http://gofile.me/4xaew/LtIvzytyt" TargetMode="External"/><Relationship Id="rId142" Type="http://schemas.openxmlformats.org/officeDocument/2006/relationships/hyperlink" Target="http://gofile.me/4xaew/wns22lkGu" TargetMode="External"/><Relationship Id="rId3" Type="http://schemas.openxmlformats.org/officeDocument/2006/relationships/hyperlink" Target="http://gofile.me/4xaew/ghEVVvcC4" TargetMode="External"/><Relationship Id="rId25" Type="http://schemas.openxmlformats.org/officeDocument/2006/relationships/hyperlink" Target="http://gofile.me/4xaew/hn3ZbMa7w" TargetMode="External"/><Relationship Id="rId46" Type="http://schemas.openxmlformats.org/officeDocument/2006/relationships/hyperlink" Target="https://drive.google.com/drive/folders/1Dwm_boc3TA2_W500hVj0kRWsE0xiPuUx?fbclid=IwAR0sHr_Ud9eOP7_1sgGKE4LJZzlUFVAoOXSXDRrhguvwhXzWHt5euwg7iPk" TargetMode="External"/><Relationship Id="rId67" Type="http://schemas.openxmlformats.org/officeDocument/2006/relationships/hyperlink" Target="http://gofile.me/4xaew/g9HwOKXcl" TargetMode="External"/><Relationship Id="rId116" Type="http://schemas.openxmlformats.org/officeDocument/2006/relationships/hyperlink" Target="https://drive.google.com/drive/folders/1f33qk28egqMQEf9BMfm9oOPEOn9OcL-k?fbclid=IwAR0sHr_Ud9eOP7_1sgGKE4LJZzlUFVAoOXSXDRrhguvwhXzWHt5euwg7iPk" TargetMode="External"/><Relationship Id="rId137" Type="http://schemas.openxmlformats.org/officeDocument/2006/relationships/hyperlink" Target="http://gofile.me/4xaew/c8gA3JkZO" TargetMode="External"/><Relationship Id="rId20" Type="http://schemas.openxmlformats.org/officeDocument/2006/relationships/hyperlink" Target="http://gofile.me/4xaew/aMwCqbhUV" TargetMode="External"/><Relationship Id="rId41" Type="http://schemas.openxmlformats.org/officeDocument/2006/relationships/hyperlink" Target="http://gofile.me/4xaew/DoZW3temu" TargetMode="External"/><Relationship Id="rId62" Type="http://schemas.openxmlformats.org/officeDocument/2006/relationships/hyperlink" Target="http://gofile.me/4xaew/ansejz5tX" TargetMode="External"/><Relationship Id="rId83" Type="http://schemas.openxmlformats.org/officeDocument/2006/relationships/hyperlink" Target="http://gofile.me/4xaew/7lI4FDf5E" TargetMode="External"/><Relationship Id="rId88" Type="http://schemas.openxmlformats.org/officeDocument/2006/relationships/hyperlink" Target="https://drive.google.com/drive/folders/1526w1eR63SS_p-0nrPMLNWuY-l57DjKu?fbclid=IwAR0sHr_Ud9eOP7_1sgGKE4LJZzlUFVAoOXSXDRrhguvwhXzWHt5euwg7iPk" TargetMode="External"/><Relationship Id="rId111" Type="http://schemas.openxmlformats.org/officeDocument/2006/relationships/hyperlink" Target="http://gofile.me/4xaew/9yM8qyPGf" TargetMode="External"/><Relationship Id="rId132" Type="http://schemas.openxmlformats.org/officeDocument/2006/relationships/hyperlink" Target="http://gofile.me/4xaew/v4Z9QoOkP" TargetMode="External"/><Relationship Id="rId15" Type="http://schemas.openxmlformats.org/officeDocument/2006/relationships/hyperlink" Target="https://drive.google.com/drive/folders/13b-7PgJfZewELjn1gn2XvZ37bV6gqExx?fbclid=IwAR0sHr_Ud9eOP7_1sgGKE4LJZzlUFVAoOXSXDRrhguvwhXzWHt5euwg7iPk" TargetMode="External"/><Relationship Id="rId36" Type="http://schemas.openxmlformats.org/officeDocument/2006/relationships/hyperlink" Target="https://drive.google.com/drive/folders/1tY5N4fmCNp5yHLTc0j3oQd5AgE4axKRN?fbclid=IwAR0sHr_Ud9eOP7_1sgGKE4LJZzlUFVAoOXSXDRrhguvwhXzWHt5euwg7iPk" TargetMode="External"/><Relationship Id="rId57" Type="http://schemas.openxmlformats.org/officeDocument/2006/relationships/hyperlink" Target="http://gofile.me/4xaew/gWoAReHLg" TargetMode="External"/><Relationship Id="rId106" Type="http://schemas.openxmlformats.org/officeDocument/2006/relationships/hyperlink" Target="https://drive.google.com/drive/folders/1sYphBNhG9FYo7COrWlXFEeUWUq-_Kqol?fbclid=IwAR0sHr_Ud9eOP7_1sgGKE4LJZzlUFVAoOXSXDRrhguvwhXzWHt5euwg7iPk" TargetMode="External"/><Relationship Id="rId127" Type="http://schemas.openxmlformats.org/officeDocument/2006/relationships/hyperlink" Target="http://gofile.me/4xaew/f8egMV0sr" TargetMode="External"/><Relationship Id="rId10" Type="http://schemas.openxmlformats.org/officeDocument/2006/relationships/hyperlink" Target="http://gofile.me/4xaew/R4aRBMQFL" TargetMode="External"/><Relationship Id="rId31" Type="http://schemas.openxmlformats.org/officeDocument/2006/relationships/hyperlink" Target="http://gofile.me/4xaew/zlePLSOVJ" TargetMode="External"/><Relationship Id="rId52" Type="http://schemas.openxmlformats.org/officeDocument/2006/relationships/hyperlink" Target="https://drive.google.com/drive/folders/1Dwm_boc3TA2_W500hVj0kRWsE0xiPuUx?fbclid=IwAR0sHr_Ud9eOP7_1sgGKE4LJZzlUFVAoOXSXDRrhguvwhXzWHt5euwg7iPk" TargetMode="External"/><Relationship Id="rId73" Type="http://schemas.openxmlformats.org/officeDocument/2006/relationships/hyperlink" Target="http://gofile.me/4xaew/C3YLNvRhk" TargetMode="External"/><Relationship Id="rId78" Type="http://schemas.openxmlformats.org/officeDocument/2006/relationships/hyperlink" Target="http://gofile.me/4xaew/EXkPIe7b0" TargetMode="External"/><Relationship Id="rId94" Type="http://schemas.openxmlformats.org/officeDocument/2006/relationships/hyperlink" Target="https://drive.google.com/drive/folders/1A_jrIBUSAuHvPa4MUDnilt6gGPxLCw8N?fbclid=IwAR0sHr_Ud9eOP7_1sgGKE4LJZzlUFVAoOXSXDRrhguvwhXzWHt5euwg7iPk" TargetMode="External"/><Relationship Id="rId99" Type="http://schemas.openxmlformats.org/officeDocument/2006/relationships/hyperlink" Target="http://gofile.me/4xaew/n04PqHmBA" TargetMode="External"/><Relationship Id="rId101" Type="http://schemas.openxmlformats.org/officeDocument/2006/relationships/hyperlink" Target="http://gofile.me/4xaew/jfa59QAXy" TargetMode="External"/><Relationship Id="rId122" Type="http://schemas.openxmlformats.org/officeDocument/2006/relationships/hyperlink" Target="https://drive.google.com/drive/folders/1f33qk28egqMQEf9BMfm9oOPEOn9OcL-k?fbclid=IwAR0sHr_Ud9eOP7_1sgGKE4LJZzlUFVAoOXSXDRrhguvwhXzWHt5euwg7iPk" TargetMode="External"/><Relationship Id="rId143" Type="http://schemas.openxmlformats.org/officeDocument/2006/relationships/hyperlink" Target="http://gofile.me/4xaew/wns22lkGu" TargetMode="External"/><Relationship Id="rId4" Type="http://schemas.openxmlformats.org/officeDocument/2006/relationships/hyperlink" Target="http://gofile.me/4xaew/7qmbjBhqQ" TargetMode="External"/><Relationship Id="rId9" Type="http://schemas.openxmlformats.org/officeDocument/2006/relationships/hyperlink" Target="http://gofile.me/4xaew/UlnSGTUaa" TargetMode="External"/><Relationship Id="rId26" Type="http://schemas.openxmlformats.org/officeDocument/2006/relationships/hyperlink" Target="https://drive.google.com/drive/folders/1YYYvTCNHTK2dm0p2bmmbLX6UWTmgJLjD?fbclid=IwAR0sHr_Ud9eOP7_1sgGKE4LJZzlUFVAoOXSXDRrhguvwhXzWHt5euwg7iPk" TargetMode="External"/><Relationship Id="rId47" Type="http://schemas.openxmlformats.org/officeDocument/2006/relationships/hyperlink" Target="http://gofile.me/4xaew/AWlg1xgjd" TargetMode="External"/><Relationship Id="rId68" Type="http://schemas.openxmlformats.org/officeDocument/2006/relationships/hyperlink" Target="https://drive.google.com/drive/folders/1526w1eR63SS_p-0nrPMLNWuY-l57DjKu?fbclid=IwAR0sHr_Ud9eOP7_1sgGKE4LJZzlUFVAoOXSXDRrhguvwhXzWHt5euwg7iPk" TargetMode="External"/><Relationship Id="rId89" Type="http://schemas.openxmlformats.org/officeDocument/2006/relationships/hyperlink" Target="http://gofile.me/4xaew/XlWWviEl7" TargetMode="External"/><Relationship Id="rId112" Type="http://schemas.openxmlformats.org/officeDocument/2006/relationships/hyperlink" Target="https://drive.google.com/drive/folders/1f33qk28egqMQEf9BMfm9oOPEOn9OcL-k?fbclid=IwAR0sHr_Ud9eOP7_1sgGKE4LJZzlUFVAoOXSXDRrhguvwhXzWHt5euwg7iPk" TargetMode="External"/><Relationship Id="rId133" Type="http://schemas.openxmlformats.org/officeDocument/2006/relationships/hyperlink" Target="http://gofile.me/4xaew/iqGLo4eBL" TargetMode="External"/><Relationship Id="rId16" Type="http://schemas.openxmlformats.org/officeDocument/2006/relationships/hyperlink" Target="http://gofile.me/4xaew/LZCnelZQB"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gofile.me/4xaew/LM0q7k1mZ" TargetMode="External"/><Relationship Id="rId18" Type="http://schemas.openxmlformats.org/officeDocument/2006/relationships/hyperlink" Target="http://gofile.me/4xaew/5dJvhCnHg" TargetMode="External"/><Relationship Id="rId26" Type="http://schemas.openxmlformats.org/officeDocument/2006/relationships/hyperlink" Target="http://gofile.me/4xaew/dxn0nhylp" TargetMode="External"/><Relationship Id="rId3" Type="http://schemas.openxmlformats.org/officeDocument/2006/relationships/hyperlink" Target="http://gofile.me/4xaew/LhqE1sxtg" TargetMode="External"/><Relationship Id="rId21" Type="http://schemas.openxmlformats.org/officeDocument/2006/relationships/hyperlink" Target="http://gofile.me/4xaew/reyNwd2io" TargetMode="External"/><Relationship Id="rId34" Type="http://schemas.openxmlformats.org/officeDocument/2006/relationships/hyperlink" Target="http://gofile.me/4xaew/8KDlPFYpu" TargetMode="External"/><Relationship Id="rId7" Type="http://schemas.openxmlformats.org/officeDocument/2006/relationships/hyperlink" Target="http://gofile.me/4xaew/C60C6ViFq" TargetMode="External"/><Relationship Id="rId12" Type="http://schemas.openxmlformats.org/officeDocument/2006/relationships/hyperlink" Target="http://gofile.me/4xaew/fmlHXStZE" TargetMode="External"/><Relationship Id="rId17" Type="http://schemas.openxmlformats.org/officeDocument/2006/relationships/hyperlink" Target="http://gofile.me/4xaew/q1XZ9xGnQ" TargetMode="External"/><Relationship Id="rId25" Type="http://schemas.openxmlformats.org/officeDocument/2006/relationships/hyperlink" Target="http://gofile.me/4xaew/y7WVJNtdN" TargetMode="External"/><Relationship Id="rId33" Type="http://schemas.openxmlformats.org/officeDocument/2006/relationships/hyperlink" Target="http://gofile.me/4xaew/90Y7X6dO9" TargetMode="External"/><Relationship Id="rId2" Type="http://schemas.openxmlformats.org/officeDocument/2006/relationships/hyperlink" Target="http://gofile.me/4xaew/DnQlmf0Cf" TargetMode="External"/><Relationship Id="rId16" Type="http://schemas.openxmlformats.org/officeDocument/2006/relationships/hyperlink" Target="http://gofile.me/4xaew/vIbZMNebh" TargetMode="External"/><Relationship Id="rId20" Type="http://schemas.openxmlformats.org/officeDocument/2006/relationships/hyperlink" Target="http://gofile.me/4xaew/MPvzuB7xR" TargetMode="External"/><Relationship Id="rId29" Type="http://schemas.openxmlformats.org/officeDocument/2006/relationships/hyperlink" Target="http://gofile.me/4xaew/PRjeN80yR" TargetMode="External"/><Relationship Id="rId1" Type="http://schemas.openxmlformats.org/officeDocument/2006/relationships/hyperlink" Target="http://gofile.me/4xaew/ctO778j4B" TargetMode="External"/><Relationship Id="rId6" Type="http://schemas.openxmlformats.org/officeDocument/2006/relationships/hyperlink" Target="http://gofile.me/4xaew/49u35UvcX" TargetMode="External"/><Relationship Id="rId11" Type="http://schemas.openxmlformats.org/officeDocument/2006/relationships/hyperlink" Target="http://gofile.me/4xaew/YvLO828Jj" TargetMode="External"/><Relationship Id="rId24" Type="http://schemas.openxmlformats.org/officeDocument/2006/relationships/hyperlink" Target="http://gofile.me/4xaew/znPtgfCmw" TargetMode="External"/><Relationship Id="rId32" Type="http://schemas.openxmlformats.org/officeDocument/2006/relationships/hyperlink" Target="http://gofile.me/4xaew/YD1BiUwg8" TargetMode="External"/><Relationship Id="rId5" Type="http://schemas.openxmlformats.org/officeDocument/2006/relationships/hyperlink" Target="http://gofile.me/4xaew/BjNPNijhp" TargetMode="External"/><Relationship Id="rId15" Type="http://schemas.openxmlformats.org/officeDocument/2006/relationships/hyperlink" Target="http://gofile.me/4xaew/YrQ7fqVB7" TargetMode="External"/><Relationship Id="rId23" Type="http://schemas.openxmlformats.org/officeDocument/2006/relationships/hyperlink" Target="http://gofile.me/4xaew/Icjrh0D0H" TargetMode="External"/><Relationship Id="rId28" Type="http://schemas.openxmlformats.org/officeDocument/2006/relationships/hyperlink" Target="http://gofile.me/4xaew/YrQ7fqVB7" TargetMode="External"/><Relationship Id="rId10" Type="http://schemas.openxmlformats.org/officeDocument/2006/relationships/hyperlink" Target="http://gofile.me/4xaew/qOvaL2rBz" TargetMode="External"/><Relationship Id="rId19" Type="http://schemas.openxmlformats.org/officeDocument/2006/relationships/hyperlink" Target="http://gofile.me/4xaew/XfyXPYiNP" TargetMode="External"/><Relationship Id="rId31" Type="http://schemas.openxmlformats.org/officeDocument/2006/relationships/hyperlink" Target="http://gofile.me/4xaew/w6pHwJMND" TargetMode="External"/><Relationship Id="rId4" Type="http://schemas.openxmlformats.org/officeDocument/2006/relationships/hyperlink" Target="http://gofile.me/4xaew/WQoyp1oZl" TargetMode="External"/><Relationship Id="rId9" Type="http://schemas.openxmlformats.org/officeDocument/2006/relationships/hyperlink" Target="http://gofile.me/4xaew/o339UHZZ4" TargetMode="External"/><Relationship Id="rId14" Type="http://schemas.openxmlformats.org/officeDocument/2006/relationships/hyperlink" Target="http://gofile.me/4xaew/nYjU9kIM4" TargetMode="External"/><Relationship Id="rId22" Type="http://schemas.openxmlformats.org/officeDocument/2006/relationships/hyperlink" Target="http://gofile.me/4xaew/DXsK69oxz" TargetMode="External"/><Relationship Id="rId27" Type="http://schemas.openxmlformats.org/officeDocument/2006/relationships/hyperlink" Target="http://gofile.me/4xaew/lauadXYut" TargetMode="External"/><Relationship Id="rId30" Type="http://schemas.openxmlformats.org/officeDocument/2006/relationships/hyperlink" Target="http://gofile.me/4xaew/lV8o17iiT" TargetMode="External"/><Relationship Id="rId35" Type="http://schemas.openxmlformats.org/officeDocument/2006/relationships/hyperlink" Target="http://gofile.me/4xaew/jt910mbqZ" TargetMode="External"/><Relationship Id="rId8" Type="http://schemas.openxmlformats.org/officeDocument/2006/relationships/hyperlink" Target="http://gofile.me/4xaew/sKPUkEYt9"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gofile.me/4xaew/cYS7qPon4" TargetMode="External"/><Relationship Id="rId21" Type="http://schemas.openxmlformats.org/officeDocument/2006/relationships/hyperlink" Target="http://gofile.me/4xaew/t0RpcS9r3" TargetMode="External"/><Relationship Id="rId42" Type="http://schemas.openxmlformats.org/officeDocument/2006/relationships/hyperlink" Target="http://gofile.me/4xaew/mPwLNFzN0" TargetMode="External"/><Relationship Id="rId63" Type="http://schemas.openxmlformats.org/officeDocument/2006/relationships/hyperlink" Target="http://gofile.me/4xaew/IgrkXmYNh" TargetMode="External"/><Relationship Id="rId84" Type="http://schemas.openxmlformats.org/officeDocument/2006/relationships/hyperlink" Target="http://gofile.me/4xaew/zbYjLlGxj" TargetMode="External"/><Relationship Id="rId138" Type="http://schemas.openxmlformats.org/officeDocument/2006/relationships/hyperlink" Target="http://gofile.me/4xaew/JWe0XufiA" TargetMode="External"/><Relationship Id="rId159" Type="http://schemas.openxmlformats.org/officeDocument/2006/relationships/hyperlink" Target="http://gofile.me/4xaew/T155RnJk2" TargetMode="External"/><Relationship Id="rId107" Type="http://schemas.openxmlformats.org/officeDocument/2006/relationships/hyperlink" Target="http://gofile.me/4xaew/H1HlFT4rC" TargetMode="External"/><Relationship Id="rId11" Type="http://schemas.openxmlformats.org/officeDocument/2006/relationships/hyperlink" Target="http://gofile.me/4xaew/ZZ2ZOwp8U" TargetMode="External"/><Relationship Id="rId32" Type="http://schemas.openxmlformats.org/officeDocument/2006/relationships/hyperlink" Target="http://gofile.me/4xaew/KZciNCyGV" TargetMode="External"/><Relationship Id="rId53" Type="http://schemas.openxmlformats.org/officeDocument/2006/relationships/hyperlink" Target="http://gofile.me/4xaew/hBtqjOGc7" TargetMode="External"/><Relationship Id="rId74" Type="http://schemas.openxmlformats.org/officeDocument/2006/relationships/hyperlink" Target="http://gofile.me/4xaew/b4lv8AlHy" TargetMode="External"/><Relationship Id="rId128" Type="http://schemas.openxmlformats.org/officeDocument/2006/relationships/hyperlink" Target="http://gofile.me/4xaew/yw3eAd9fA" TargetMode="External"/><Relationship Id="rId149" Type="http://schemas.openxmlformats.org/officeDocument/2006/relationships/hyperlink" Target="http://gofile.me/4xaew/Ebh9B10To" TargetMode="External"/><Relationship Id="rId5" Type="http://schemas.openxmlformats.org/officeDocument/2006/relationships/hyperlink" Target="http://gofile.me/4xaew/pawtlAdrc" TargetMode="External"/><Relationship Id="rId95" Type="http://schemas.openxmlformats.org/officeDocument/2006/relationships/hyperlink" Target="http://gofile.me/4xaew/Y15lMESXM" TargetMode="External"/><Relationship Id="rId160" Type="http://schemas.openxmlformats.org/officeDocument/2006/relationships/hyperlink" Target="http://gofile.me/4xaew/QzsudHYv1" TargetMode="External"/><Relationship Id="rId22" Type="http://schemas.openxmlformats.org/officeDocument/2006/relationships/hyperlink" Target="http://gofile.me/4xaew/45Lb8PxW2" TargetMode="External"/><Relationship Id="rId43" Type="http://schemas.openxmlformats.org/officeDocument/2006/relationships/hyperlink" Target="http://gofile.me/4xaew/3DxCVEJCp" TargetMode="External"/><Relationship Id="rId64" Type="http://schemas.openxmlformats.org/officeDocument/2006/relationships/hyperlink" Target="http://gofile.me/4xaew/Avtmvl6cJ" TargetMode="External"/><Relationship Id="rId118" Type="http://schemas.openxmlformats.org/officeDocument/2006/relationships/hyperlink" Target="http://gofile.me/4xaew/RhCcBGvH7" TargetMode="External"/><Relationship Id="rId139" Type="http://schemas.openxmlformats.org/officeDocument/2006/relationships/hyperlink" Target="http://gofile.me/4xaew/FT737xTzM" TargetMode="External"/><Relationship Id="rId80" Type="http://schemas.openxmlformats.org/officeDocument/2006/relationships/hyperlink" Target="http://gofile.me/4xaew/aBOabADcF" TargetMode="External"/><Relationship Id="rId85" Type="http://schemas.openxmlformats.org/officeDocument/2006/relationships/hyperlink" Target="http://gofile.me/4xaew/JFIrAN9pL" TargetMode="External"/><Relationship Id="rId150" Type="http://schemas.openxmlformats.org/officeDocument/2006/relationships/hyperlink" Target="http://gofile.me/4xaew/znclnw8Xq" TargetMode="External"/><Relationship Id="rId155" Type="http://schemas.openxmlformats.org/officeDocument/2006/relationships/hyperlink" Target="http://gofile.me/4xaew/9Ar9m1Oa0" TargetMode="External"/><Relationship Id="rId12" Type="http://schemas.openxmlformats.org/officeDocument/2006/relationships/hyperlink" Target="http://gofile.me/4xaew/192t1w52w" TargetMode="External"/><Relationship Id="rId17" Type="http://schemas.openxmlformats.org/officeDocument/2006/relationships/hyperlink" Target="http://gofile.me/4xaew/f6bIHw3Pe" TargetMode="External"/><Relationship Id="rId33" Type="http://schemas.openxmlformats.org/officeDocument/2006/relationships/hyperlink" Target="http://gofile.me/4xaew/VXM0HE41S" TargetMode="External"/><Relationship Id="rId38" Type="http://schemas.openxmlformats.org/officeDocument/2006/relationships/hyperlink" Target="http://gofile.me/4xaew/FhiMtR7Hz" TargetMode="External"/><Relationship Id="rId59" Type="http://schemas.openxmlformats.org/officeDocument/2006/relationships/hyperlink" Target="http://gofile.me/4xaew/Vi9vQvY3h" TargetMode="External"/><Relationship Id="rId103" Type="http://schemas.openxmlformats.org/officeDocument/2006/relationships/hyperlink" Target="http://gofile.me/4xaew/XGK2EnGkQ" TargetMode="External"/><Relationship Id="rId108" Type="http://schemas.openxmlformats.org/officeDocument/2006/relationships/hyperlink" Target="http://gofile.me/4xaew/4pVKc1A18" TargetMode="External"/><Relationship Id="rId124" Type="http://schemas.openxmlformats.org/officeDocument/2006/relationships/hyperlink" Target="http://gofile.me/4xaew/u9ZFsvpv6" TargetMode="External"/><Relationship Id="rId129" Type="http://schemas.openxmlformats.org/officeDocument/2006/relationships/hyperlink" Target="http://gofile.me/4xaew/CS6Hc0zk9" TargetMode="External"/><Relationship Id="rId54" Type="http://schemas.openxmlformats.org/officeDocument/2006/relationships/hyperlink" Target="http://gofile.me/4xaew/mIEHxxXwY" TargetMode="External"/><Relationship Id="rId70" Type="http://schemas.openxmlformats.org/officeDocument/2006/relationships/hyperlink" Target="http://gofile.me/4xaew/majL1hFwM" TargetMode="External"/><Relationship Id="rId75" Type="http://schemas.openxmlformats.org/officeDocument/2006/relationships/hyperlink" Target="http://gofile.me/4xaew/R0GMfOllT" TargetMode="External"/><Relationship Id="rId91" Type="http://schemas.openxmlformats.org/officeDocument/2006/relationships/hyperlink" Target="http://gofile.me/4xaew/SikboaLqm" TargetMode="External"/><Relationship Id="rId96" Type="http://schemas.openxmlformats.org/officeDocument/2006/relationships/hyperlink" Target="http://gofile.me/4xaew/DbSwIPifr" TargetMode="External"/><Relationship Id="rId140" Type="http://schemas.openxmlformats.org/officeDocument/2006/relationships/hyperlink" Target="http://gofile.me/4xaew/E0kt94o2S" TargetMode="External"/><Relationship Id="rId145" Type="http://schemas.openxmlformats.org/officeDocument/2006/relationships/hyperlink" Target="http://gofile.me/4xaew/QR4JczjMM" TargetMode="External"/><Relationship Id="rId1" Type="http://schemas.openxmlformats.org/officeDocument/2006/relationships/hyperlink" Target="http://gofile.me/4xaew/lABLuqFR6" TargetMode="External"/><Relationship Id="rId6" Type="http://schemas.openxmlformats.org/officeDocument/2006/relationships/hyperlink" Target="http://gofile.me/4xaew/2bh7Zyzgf" TargetMode="External"/><Relationship Id="rId23" Type="http://schemas.openxmlformats.org/officeDocument/2006/relationships/hyperlink" Target="http://gofile.me/4xaew/MsACcG7mS" TargetMode="External"/><Relationship Id="rId28" Type="http://schemas.openxmlformats.org/officeDocument/2006/relationships/hyperlink" Target="http://gofile.me/4xaew/LPy5LdBuM" TargetMode="External"/><Relationship Id="rId49" Type="http://schemas.openxmlformats.org/officeDocument/2006/relationships/hyperlink" Target="http://gofile.me/4xaew/EpcQgKQJE" TargetMode="External"/><Relationship Id="rId114" Type="http://schemas.openxmlformats.org/officeDocument/2006/relationships/hyperlink" Target="http://gofile.me/4xaew/xcVvyMogy" TargetMode="External"/><Relationship Id="rId119" Type="http://schemas.openxmlformats.org/officeDocument/2006/relationships/hyperlink" Target="http://gofile.me/4xaew/sXXtAH4Hn" TargetMode="External"/><Relationship Id="rId44" Type="http://schemas.openxmlformats.org/officeDocument/2006/relationships/hyperlink" Target="http://gofile.me/4xaew/X6GeA1CbW" TargetMode="External"/><Relationship Id="rId60" Type="http://schemas.openxmlformats.org/officeDocument/2006/relationships/hyperlink" Target="http://gofile.me/4xaew/B5PUA0wGb" TargetMode="External"/><Relationship Id="rId65" Type="http://schemas.openxmlformats.org/officeDocument/2006/relationships/hyperlink" Target="http://gofile.me/4xaew/lYD3Hn5IM" TargetMode="External"/><Relationship Id="rId81" Type="http://schemas.openxmlformats.org/officeDocument/2006/relationships/hyperlink" Target="http://gofile.me/4xaew/laDFyTRzo" TargetMode="External"/><Relationship Id="rId86" Type="http://schemas.openxmlformats.org/officeDocument/2006/relationships/hyperlink" Target="http://gofile.me/4xaew/9hKGXL1yY" TargetMode="External"/><Relationship Id="rId130" Type="http://schemas.openxmlformats.org/officeDocument/2006/relationships/hyperlink" Target="http://gofile.me/4xaew/am2DzbrWF" TargetMode="External"/><Relationship Id="rId135" Type="http://schemas.openxmlformats.org/officeDocument/2006/relationships/hyperlink" Target="http://gofile.me/4xaew/5wGN5J1eC" TargetMode="External"/><Relationship Id="rId151" Type="http://schemas.openxmlformats.org/officeDocument/2006/relationships/hyperlink" Target="http://gofile.me/4xaew/bQ6BdM2ec" TargetMode="External"/><Relationship Id="rId156" Type="http://schemas.openxmlformats.org/officeDocument/2006/relationships/hyperlink" Target="http://gofile.me/4xaew/5RX722iJo" TargetMode="External"/><Relationship Id="rId13" Type="http://schemas.openxmlformats.org/officeDocument/2006/relationships/hyperlink" Target="http://gofile.me/4xaew/jlDBIWV1u" TargetMode="External"/><Relationship Id="rId18" Type="http://schemas.openxmlformats.org/officeDocument/2006/relationships/hyperlink" Target="http://gofile.me/4xaew/biksY3CUH" TargetMode="External"/><Relationship Id="rId39" Type="http://schemas.openxmlformats.org/officeDocument/2006/relationships/hyperlink" Target="http://gofile.me/4xaew/BiCcvzrbe" TargetMode="External"/><Relationship Id="rId109" Type="http://schemas.openxmlformats.org/officeDocument/2006/relationships/hyperlink" Target="http://gofile.me/4xaew/pDp7EL4WJ" TargetMode="External"/><Relationship Id="rId34" Type="http://schemas.openxmlformats.org/officeDocument/2006/relationships/hyperlink" Target="http://gofile.me/4xaew/GqtEVaSKk" TargetMode="External"/><Relationship Id="rId50" Type="http://schemas.openxmlformats.org/officeDocument/2006/relationships/hyperlink" Target="http://gofile.me/4xaew/KhrMgVK7d" TargetMode="External"/><Relationship Id="rId55" Type="http://schemas.openxmlformats.org/officeDocument/2006/relationships/hyperlink" Target="http://gofile.me/4xaew/XFQlVplwl" TargetMode="External"/><Relationship Id="rId76" Type="http://schemas.openxmlformats.org/officeDocument/2006/relationships/hyperlink" Target="http://gofile.me/4xaew/ailfC5TfX" TargetMode="External"/><Relationship Id="rId97" Type="http://schemas.openxmlformats.org/officeDocument/2006/relationships/hyperlink" Target="http://gofile.me/4xaew/A8RSP9ADf" TargetMode="External"/><Relationship Id="rId104" Type="http://schemas.openxmlformats.org/officeDocument/2006/relationships/hyperlink" Target="http://gofile.me/4xaew/XCPsE4NAX" TargetMode="External"/><Relationship Id="rId120" Type="http://schemas.openxmlformats.org/officeDocument/2006/relationships/hyperlink" Target="http://gofile.me/4xaew/SDz2CB9Le" TargetMode="External"/><Relationship Id="rId125" Type="http://schemas.openxmlformats.org/officeDocument/2006/relationships/hyperlink" Target="http://gofile.me/4xaew/ynWPmWcZx" TargetMode="External"/><Relationship Id="rId141" Type="http://schemas.openxmlformats.org/officeDocument/2006/relationships/hyperlink" Target="http://gofile.me/4xaew/QRH0MiaWo" TargetMode="External"/><Relationship Id="rId146" Type="http://schemas.openxmlformats.org/officeDocument/2006/relationships/hyperlink" Target="http://gofile.me/4xaew/FRVB0p56e" TargetMode="External"/><Relationship Id="rId7" Type="http://schemas.openxmlformats.org/officeDocument/2006/relationships/hyperlink" Target="http://gofile.me/4xaew/4rVUYcq0N" TargetMode="External"/><Relationship Id="rId71" Type="http://schemas.openxmlformats.org/officeDocument/2006/relationships/hyperlink" Target="http://gofile.me/4xaew/daTc2hRxx" TargetMode="External"/><Relationship Id="rId92" Type="http://schemas.openxmlformats.org/officeDocument/2006/relationships/hyperlink" Target="http://gofile.me/4xaew/SikboaLqm" TargetMode="External"/><Relationship Id="rId2" Type="http://schemas.openxmlformats.org/officeDocument/2006/relationships/hyperlink" Target="http://gofile.me/4xaew/PN1B07QcR" TargetMode="External"/><Relationship Id="rId29" Type="http://schemas.openxmlformats.org/officeDocument/2006/relationships/hyperlink" Target="http://gofile.me/4xaew/WKs7LQ8qE" TargetMode="External"/><Relationship Id="rId24" Type="http://schemas.openxmlformats.org/officeDocument/2006/relationships/hyperlink" Target="http://gofile.me/4xaew/dPxvGvoSH" TargetMode="External"/><Relationship Id="rId40" Type="http://schemas.openxmlformats.org/officeDocument/2006/relationships/hyperlink" Target="http://gofile.me/4xaew/doFeisDBG" TargetMode="External"/><Relationship Id="rId45" Type="http://schemas.openxmlformats.org/officeDocument/2006/relationships/hyperlink" Target="http://gofile.me/4xaew/t7c7dGpY6" TargetMode="External"/><Relationship Id="rId66" Type="http://schemas.openxmlformats.org/officeDocument/2006/relationships/hyperlink" Target="http://gofile.me/4xaew/Rz3EuDSR6" TargetMode="External"/><Relationship Id="rId87" Type="http://schemas.openxmlformats.org/officeDocument/2006/relationships/hyperlink" Target="http://gofile.me/4xaew/myhaVbeVv" TargetMode="External"/><Relationship Id="rId110" Type="http://schemas.openxmlformats.org/officeDocument/2006/relationships/hyperlink" Target="http://gofile.me/4xaew/smz1hVXFl" TargetMode="External"/><Relationship Id="rId115" Type="http://schemas.openxmlformats.org/officeDocument/2006/relationships/hyperlink" Target="http://gofile.me/4xaew/E49ykHemw" TargetMode="External"/><Relationship Id="rId131" Type="http://schemas.openxmlformats.org/officeDocument/2006/relationships/hyperlink" Target="http://gofile.me/4xaew/UArSN7mqg" TargetMode="External"/><Relationship Id="rId136" Type="http://schemas.openxmlformats.org/officeDocument/2006/relationships/hyperlink" Target="http://gofile.me/4xaew/qAkGMv32o" TargetMode="External"/><Relationship Id="rId157" Type="http://schemas.openxmlformats.org/officeDocument/2006/relationships/hyperlink" Target="http://gofile.me/4xaew/zPXdKk0sC" TargetMode="External"/><Relationship Id="rId61" Type="http://schemas.openxmlformats.org/officeDocument/2006/relationships/hyperlink" Target="http://gofile.me/4xaew/kW2Lgx9YQ" TargetMode="External"/><Relationship Id="rId82" Type="http://schemas.openxmlformats.org/officeDocument/2006/relationships/hyperlink" Target="http://gofile.me/4xaew/oXlSHuqW3" TargetMode="External"/><Relationship Id="rId152" Type="http://schemas.openxmlformats.org/officeDocument/2006/relationships/hyperlink" Target="http://gofile.me/4xaew/kEIvHalt5" TargetMode="External"/><Relationship Id="rId19" Type="http://schemas.openxmlformats.org/officeDocument/2006/relationships/hyperlink" Target="http://gofile.me/4xaew/jhGaWnOGl" TargetMode="External"/><Relationship Id="rId14" Type="http://schemas.openxmlformats.org/officeDocument/2006/relationships/hyperlink" Target="http://gofile.me/4xaew/AhKOzZCvc" TargetMode="External"/><Relationship Id="rId30" Type="http://schemas.openxmlformats.org/officeDocument/2006/relationships/hyperlink" Target="http://gofile.me/4xaew/1YTISCPBu" TargetMode="External"/><Relationship Id="rId35" Type="http://schemas.openxmlformats.org/officeDocument/2006/relationships/hyperlink" Target="http://gofile.me/4xaew/zLtlCD3Xl" TargetMode="External"/><Relationship Id="rId56" Type="http://schemas.openxmlformats.org/officeDocument/2006/relationships/hyperlink" Target="http://gofile.me/4xaew/fYwoYzwDM" TargetMode="External"/><Relationship Id="rId77" Type="http://schemas.openxmlformats.org/officeDocument/2006/relationships/hyperlink" Target="http://gofile.me/4xaew/zXKj4B7JW" TargetMode="External"/><Relationship Id="rId100" Type="http://schemas.openxmlformats.org/officeDocument/2006/relationships/hyperlink" Target="http://gofile.me/4xaew/ZfK1ZnaFP" TargetMode="External"/><Relationship Id="rId105" Type="http://schemas.openxmlformats.org/officeDocument/2006/relationships/hyperlink" Target="http://gofile.me/4xaew/hlNQvjZ6M" TargetMode="External"/><Relationship Id="rId126" Type="http://schemas.openxmlformats.org/officeDocument/2006/relationships/hyperlink" Target="http://gofile.me/4xaew/IdknkbA4V" TargetMode="External"/><Relationship Id="rId147" Type="http://schemas.openxmlformats.org/officeDocument/2006/relationships/hyperlink" Target="http://gofile.me/4xaew/x48ruc6fi" TargetMode="External"/><Relationship Id="rId8" Type="http://schemas.openxmlformats.org/officeDocument/2006/relationships/hyperlink" Target="http://gofile.me/4xaew/z6dUcXH5c" TargetMode="External"/><Relationship Id="rId51" Type="http://schemas.openxmlformats.org/officeDocument/2006/relationships/hyperlink" Target="http://gofile.me/4xaew/KoL6utYAp" TargetMode="External"/><Relationship Id="rId72" Type="http://schemas.openxmlformats.org/officeDocument/2006/relationships/hyperlink" Target="http://gofile.me/4xaew/BysuErOtT" TargetMode="External"/><Relationship Id="rId93" Type="http://schemas.openxmlformats.org/officeDocument/2006/relationships/hyperlink" Target="http://gofile.me/4xaew/qoG1jXtk4" TargetMode="External"/><Relationship Id="rId98" Type="http://schemas.openxmlformats.org/officeDocument/2006/relationships/hyperlink" Target="http://gofile.me/4xaew/1CAPpmnfG" TargetMode="External"/><Relationship Id="rId121" Type="http://schemas.openxmlformats.org/officeDocument/2006/relationships/hyperlink" Target="http://gofile.me/4xaew/sBDQyTlcL" TargetMode="External"/><Relationship Id="rId142" Type="http://schemas.openxmlformats.org/officeDocument/2006/relationships/hyperlink" Target="http://gofile.me/4xaew/iBwy3CX5t" TargetMode="External"/><Relationship Id="rId3" Type="http://schemas.openxmlformats.org/officeDocument/2006/relationships/hyperlink" Target="http://gofile.me/4xaew/j4tl0Rg5K" TargetMode="External"/><Relationship Id="rId25" Type="http://schemas.openxmlformats.org/officeDocument/2006/relationships/hyperlink" Target="http://gofile.me/4xaew/L3aShf813" TargetMode="External"/><Relationship Id="rId46" Type="http://schemas.openxmlformats.org/officeDocument/2006/relationships/hyperlink" Target="http://gofile.me/4xaew/qNH8F5aFh" TargetMode="External"/><Relationship Id="rId67" Type="http://schemas.openxmlformats.org/officeDocument/2006/relationships/hyperlink" Target="http://gofile.me/4xaew/54bOnSjqp" TargetMode="External"/><Relationship Id="rId116" Type="http://schemas.openxmlformats.org/officeDocument/2006/relationships/hyperlink" Target="http://gofile.me/4xaew/9m8jubLid" TargetMode="External"/><Relationship Id="rId137" Type="http://schemas.openxmlformats.org/officeDocument/2006/relationships/hyperlink" Target="http://gofile.me/4xaew/GEWWTQrPr" TargetMode="External"/><Relationship Id="rId158" Type="http://schemas.openxmlformats.org/officeDocument/2006/relationships/hyperlink" Target="http://gofile.me/4xaew/Nt0yGNJvd" TargetMode="External"/><Relationship Id="rId20" Type="http://schemas.openxmlformats.org/officeDocument/2006/relationships/hyperlink" Target="http://gofile.me/4xaew/biksY3CUH" TargetMode="External"/><Relationship Id="rId41" Type="http://schemas.openxmlformats.org/officeDocument/2006/relationships/hyperlink" Target="http://gofile.me/4xaew/WygIWFPVQ" TargetMode="External"/><Relationship Id="rId62" Type="http://schemas.openxmlformats.org/officeDocument/2006/relationships/hyperlink" Target="http://gofile.me/4xaew/ToHjcrV22" TargetMode="External"/><Relationship Id="rId83" Type="http://schemas.openxmlformats.org/officeDocument/2006/relationships/hyperlink" Target="http://gofile.me/4xaew/2gax4y5ve" TargetMode="External"/><Relationship Id="rId88" Type="http://schemas.openxmlformats.org/officeDocument/2006/relationships/hyperlink" Target="http://gofile.me/4xaew/REXdi3PqW" TargetMode="External"/><Relationship Id="rId111" Type="http://schemas.openxmlformats.org/officeDocument/2006/relationships/hyperlink" Target="http://gofile.me/4xaew/BMLp80ZtK" TargetMode="External"/><Relationship Id="rId132" Type="http://schemas.openxmlformats.org/officeDocument/2006/relationships/hyperlink" Target="http://gofile.me/4xaew/dWK8NNVeu" TargetMode="External"/><Relationship Id="rId153" Type="http://schemas.openxmlformats.org/officeDocument/2006/relationships/hyperlink" Target="http://gofile.me/4xaew/nj9ssrwVu" TargetMode="External"/><Relationship Id="rId15" Type="http://schemas.openxmlformats.org/officeDocument/2006/relationships/hyperlink" Target="http://gofile.me/4xaew/EfehtgslC" TargetMode="External"/><Relationship Id="rId36" Type="http://schemas.openxmlformats.org/officeDocument/2006/relationships/hyperlink" Target="http://gofile.me/4xaew/8HXknmk1l" TargetMode="External"/><Relationship Id="rId57" Type="http://schemas.openxmlformats.org/officeDocument/2006/relationships/hyperlink" Target="http://gofile.me/4xaew/5LGt6akOC" TargetMode="External"/><Relationship Id="rId106" Type="http://schemas.openxmlformats.org/officeDocument/2006/relationships/hyperlink" Target="http://gofile.me/4xaew/wwe15PTRn" TargetMode="External"/><Relationship Id="rId127" Type="http://schemas.openxmlformats.org/officeDocument/2006/relationships/hyperlink" Target="http://gofile.me/4xaew/oO1sRIm4n" TargetMode="External"/><Relationship Id="rId10" Type="http://schemas.openxmlformats.org/officeDocument/2006/relationships/hyperlink" Target="http://gofile.me/4xaew/vGTKuSMUQ" TargetMode="External"/><Relationship Id="rId31" Type="http://schemas.openxmlformats.org/officeDocument/2006/relationships/hyperlink" Target="http://gofile.me/4xaew/7Kckq5LP8" TargetMode="External"/><Relationship Id="rId52" Type="http://schemas.openxmlformats.org/officeDocument/2006/relationships/hyperlink" Target="http://gofile.me/4xaew/Vm1p7YhQe" TargetMode="External"/><Relationship Id="rId73" Type="http://schemas.openxmlformats.org/officeDocument/2006/relationships/hyperlink" Target="http://gofile.me/4xaew/z8XzR8UQv" TargetMode="External"/><Relationship Id="rId78" Type="http://schemas.openxmlformats.org/officeDocument/2006/relationships/hyperlink" Target="http://gofile.me/4xaew/VJrpsUhWC" TargetMode="External"/><Relationship Id="rId94" Type="http://schemas.openxmlformats.org/officeDocument/2006/relationships/hyperlink" Target="http://gofile.me/4xaew/tUkmF8r5D" TargetMode="External"/><Relationship Id="rId99" Type="http://schemas.openxmlformats.org/officeDocument/2006/relationships/hyperlink" Target="http://gofile.me/4xaew/CE8nYNhPO" TargetMode="External"/><Relationship Id="rId101" Type="http://schemas.openxmlformats.org/officeDocument/2006/relationships/hyperlink" Target="http://gofile.me/4xaew/cwpWRfGtw" TargetMode="External"/><Relationship Id="rId122" Type="http://schemas.openxmlformats.org/officeDocument/2006/relationships/hyperlink" Target="http://gofile.me/4xaew/mae8GK8F6" TargetMode="External"/><Relationship Id="rId143" Type="http://schemas.openxmlformats.org/officeDocument/2006/relationships/hyperlink" Target="http://gofile.me/4xaew/AtW45ykjo" TargetMode="External"/><Relationship Id="rId148" Type="http://schemas.openxmlformats.org/officeDocument/2006/relationships/hyperlink" Target="http://gofile.me/4xaew/EB9zgt926" TargetMode="External"/><Relationship Id="rId4" Type="http://schemas.openxmlformats.org/officeDocument/2006/relationships/hyperlink" Target="http://gofile.me/4xaew/HHJeFddlm" TargetMode="External"/><Relationship Id="rId9" Type="http://schemas.openxmlformats.org/officeDocument/2006/relationships/hyperlink" Target="http://gofile.me/4xaew/t8wCYj5iG" TargetMode="External"/><Relationship Id="rId26" Type="http://schemas.openxmlformats.org/officeDocument/2006/relationships/hyperlink" Target="http://gofile.me/4xaew/sfzN5QPYk" TargetMode="External"/><Relationship Id="rId47" Type="http://schemas.openxmlformats.org/officeDocument/2006/relationships/hyperlink" Target="http://gofile.me/4xaew/hMwK7pFLx" TargetMode="External"/><Relationship Id="rId68" Type="http://schemas.openxmlformats.org/officeDocument/2006/relationships/hyperlink" Target="http://gofile.me/4xaew/XPPg0wbYH" TargetMode="External"/><Relationship Id="rId89" Type="http://schemas.openxmlformats.org/officeDocument/2006/relationships/hyperlink" Target="http://gofile.me/4xaew/bVMEO5FT2" TargetMode="External"/><Relationship Id="rId112" Type="http://schemas.openxmlformats.org/officeDocument/2006/relationships/hyperlink" Target="http://gofile.me/4xaew/rw4XuikzQ" TargetMode="External"/><Relationship Id="rId133" Type="http://schemas.openxmlformats.org/officeDocument/2006/relationships/hyperlink" Target="http://gofile.me/4xaew/seAM2sf9h" TargetMode="External"/><Relationship Id="rId154" Type="http://schemas.openxmlformats.org/officeDocument/2006/relationships/hyperlink" Target="http://gofile.me/4xaew/csQCPipda" TargetMode="External"/><Relationship Id="rId16" Type="http://schemas.openxmlformats.org/officeDocument/2006/relationships/hyperlink" Target="http://gofile.me/4xaew/ZSdWbzMr4" TargetMode="External"/><Relationship Id="rId37" Type="http://schemas.openxmlformats.org/officeDocument/2006/relationships/hyperlink" Target="http://gofile.me/4xaew/c9nPTLcTe" TargetMode="External"/><Relationship Id="rId58" Type="http://schemas.openxmlformats.org/officeDocument/2006/relationships/hyperlink" Target="http://gofile.me/4xaew/k5iKkw5VI" TargetMode="External"/><Relationship Id="rId79" Type="http://schemas.openxmlformats.org/officeDocument/2006/relationships/hyperlink" Target="http://gofile.me/4xaew/DiEk9WxM4" TargetMode="External"/><Relationship Id="rId102" Type="http://schemas.openxmlformats.org/officeDocument/2006/relationships/hyperlink" Target="http://gofile.me/4xaew/nPM4FtZz0" TargetMode="External"/><Relationship Id="rId123" Type="http://schemas.openxmlformats.org/officeDocument/2006/relationships/hyperlink" Target="http://gofile.me/4xaew/mDhaSweuO" TargetMode="External"/><Relationship Id="rId144" Type="http://schemas.openxmlformats.org/officeDocument/2006/relationships/hyperlink" Target="http://gofile.me/4xaew/j50euCIsb" TargetMode="External"/><Relationship Id="rId90" Type="http://schemas.openxmlformats.org/officeDocument/2006/relationships/hyperlink" Target="http://gofile.me/4xaew/r1hdReXjV" TargetMode="External"/><Relationship Id="rId27" Type="http://schemas.openxmlformats.org/officeDocument/2006/relationships/hyperlink" Target="http://gofile.me/4xaew/5y1zDUB0E" TargetMode="External"/><Relationship Id="rId48" Type="http://schemas.openxmlformats.org/officeDocument/2006/relationships/hyperlink" Target="http://gofile.me/4xaew/88UPlCDcF" TargetMode="External"/><Relationship Id="rId69" Type="http://schemas.openxmlformats.org/officeDocument/2006/relationships/hyperlink" Target="http://gofile.me/4xaew/RZqWpgYgs" TargetMode="External"/><Relationship Id="rId113" Type="http://schemas.openxmlformats.org/officeDocument/2006/relationships/hyperlink" Target="http://gofile.me/4xaew/x6JUv4BU2" TargetMode="External"/><Relationship Id="rId134" Type="http://schemas.openxmlformats.org/officeDocument/2006/relationships/hyperlink" Target="http://gofile.me/4xaew/94kv4EEzm"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gofile.me/4xaew/Blz42HXYJ" TargetMode="External"/><Relationship Id="rId21" Type="http://schemas.openxmlformats.org/officeDocument/2006/relationships/hyperlink" Target="http://gofile.me/4xaew/IWLWOfBuI" TargetMode="External"/><Relationship Id="rId42" Type="http://schemas.openxmlformats.org/officeDocument/2006/relationships/hyperlink" Target="http://gofile.me/4xaew/teujh7gEj" TargetMode="External"/><Relationship Id="rId63" Type="http://schemas.openxmlformats.org/officeDocument/2006/relationships/hyperlink" Target="http://gofile.me/4xaew/bCoX4qqhl" TargetMode="External"/><Relationship Id="rId84" Type="http://schemas.openxmlformats.org/officeDocument/2006/relationships/hyperlink" Target="http://gofile.me/4xaew/BriRrRXSE" TargetMode="External"/><Relationship Id="rId138" Type="http://schemas.openxmlformats.org/officeDocument/2006/relationships/hyperlink" Target="http://gofile.me/4xaew/z7xm3Hu4d" TargetMode="External"/><Relationship Id="rId159" Type="http://schemas.openxmlformats.org/officeDocument/2006/relationships/hyperlink" Target="http://gofile.me/4xaew/vGd7Lh9vc" TargetMode="External"/><Relationship Id="rId170" Type="http://schemas.openxmlformats.org/officeDocument/2006/relationships/hyperlink" Target="http://gofile.me/4xaew/oiXukv1Jp" TargetMode="External"/><Relationship Id="rId191" Type="http://schemas.openxmlformats.org/officeDocument/2006/relationships/hyperlink" Target="http://gofile.me/4xaew/gSYS2df65" TargetMode="External"/><Relationship Id="rId205" Type="http://schemas.openxmlformats.org/officeDocument/2006/relationships/hyperlink" Target="http://gofile.me/4xaew/8XOuGRt9s" TargetMode="External"/><Relationship Id="rId107" Type="http://schemas.openxmlformats.org/officeDocument/2006/relationships/hyperlink" Target="http://gofile.me/4xaew/WX75yta5l" TargetMode="External"/><Relationship Id="rId11" Type="http://schemas.openxmlformats.org/officeDocument/2006/relationships/hyperlink" Target="http://gofile.me/4xaew/SXSDS4MpM" TargetMode="External"/><Relationship Id="rId32" Type="http://schemas.openxmlformats.org/officeDocument/2006/relationships/hyperlink" Target="http://gofile.me/4xaew/VsnxL31us" TargetMode="External"/><Relationship Id="rId53" Type="http://schemas.openxmlformats.org/officeDocument/2006/relationships/hyperlink" Target="http://gofile.me/4xaew/OeW0LwMl0" TargetMode="External"/><Relationship Id="rId74" Type="http://schemas.openxmlformats.org/officeDocument/2006/relationships/hyperlink" Target="http://gofile.me/4xaew/aRTrgJhMJ" TargetMode="External"/><Relationship Id="rId128" Type="http://schemas.openxmlformats.org/officeDocument/2006/relationships/hyperlink" Target="http://gofile.me/4xaew/9Rrt59spI" TargetMode="External"/><Relationship Id="rId149" Type="http://schemas.openxmlformats.org/officeDocument/2006/relationships/hyperlink" Target="http://gofile.me/4xaew/75BVB0hPt" TargetMode="External"/><Relationship Id="rId5" Type="http://schemas.openxmlformats.org/officeDocument/2006/relationships/hyperlink" Target="http://gofile.me/4xaew/5g0pWVWvo" TargetMode="External"/><Relationship Id="rId95" Type="http://schemas.openxmlformats.org/officeDocument/2006/relationships/hyperlink" Target="http://gofile.me/4xaew/wKPm95fqo" TargetMode="External"/><Relationship Id="rId160" Type="http://schemas.openxmlformats.org/officeDocument/2006/relationships/hyperlink" Target="http://gofile.me/4xaew/Q8Qq5yNvW" TargetMode="External"/><Relationship Id="rId181" Type="http://schemas.openxmlformats.org/officeDocument/2006/relationships/hyperlink" Target="http://gofile.me/4xaew/XMj3kaw9z" TargetMode="External"/><Relationship Id="rId22" Type="http://schemas.openxmlformats.org/officeDocument/2006/relationships/hyperlink" Target="http://gofile.me/4xaew/oQ072k9Pf" TargetMode="External"/><Relationship Id="rId43" Type="http://schemas.openxmlformats.org/officeDocument/2006/relationships/hyperlink" Target="http://gofile.me/4xaew/jw6HDsUxS" TargetMode="External"/><Relationship Id="rId64" Type="http://schemas.openxmlformats.org/officeDocument/2006/relationships/hyperlink" Target="http://gofile.me/4xaew/IYYeBN2pT" TargetMode="External"/><Relationship Id="rId118" Type="http://schemas.openxmlformats.org/officeDocument/2006/relationships/hyperlink" Target="http://gofile.me/4xaew/s6uh68cWl" TargetMode="External"/><Relationship Id="rId139" Type="http://schemas.openxmlformats.org/officeDocument/2006/relationships/hyperlink" Target="http://gofile.me/4xaew/boBlxEkBl" TargetMode="External"/><Relationship Id="rId85" Type="http://schemas.openxmlformats.org/officeDocument/2006/relationships/hyperlink" Target="http://gofile.me/4xaew/3r2qT9am9" TargetMode="External"/><Relationship Id="rId150" Type="http://schemas.openxmlformats.org/officeDocument/2006/relationships/hyperlink" Target="http://gofile.me/4xaew/u9OOe1wcg" TargetMode="External"/><Relationship Id="rId171" Type="http://schemas.openxmlformats.org/officeDocument/2006/relationships/hyperlink" Target="http://gofile.me/4xaew/MlkiSP2WM" TargetMode="External"/><Relationship Id="rId192" Type="http://schemas.openxmlformats.org/officeDocument/2006/relationships/hyperlink" Target="http://gofile.me/4xaew/Z9AKqk6Jm" TargetMode="External"/><Relationship Id="rId206" Type="http://schemas.openxmlformats.org/officeDocument/2006/relationships/hyperlink" Target="http://gofile.me/4xaew/WQNryXCHu" TargetMode="External"/><Relationship Id="rId12" Type="http://schemas.openxmlformats.org/officeDocument/2006/relationships/hyperlink" Target="http://gofile.me/4xaew/86nBVj3uz" TargetMode="External"/><Relationship Id="rId33" Type="http://schemas.openxmlformats.org/officeDocument/2006/relationships/hyperlink" Target="http://gofile.me/4xaew/hwsHUqNjj" TargetMode="External"/><Relationship Id="rId108" Type="http://schemas.openxmlformats.org/officeDocument/2006/relationships/hyperlink" Target="http://gofile.me/4xaew/pUy4o6A9i" TargetMode="External"/><Relationship Id="rId129" Type="http://schemas.openxmlformats.org/officeDocument/2006/relationships/hyperlink" Target="http://gofile.me/4xaew/Yjiz9RkWT" TargetMode="External"/><Relationship Id="rId54" Type="http://schemas.openxmlformats.org/officeDocument/2006/relationships/hyperlink" Target="http://gofile.me/4xaew/L10bLmFY0" TargetMode="External"/><Relationship Id="rId75" Type="http://schemas.openxmlformats.org/officeDocument/2006/relationships/hyperlink" Target="http://gofile.me/4xaew/mANTm4CF2" TargetMode="External"/><Relationship Id="rId96" Type="http://schemas.openxmlformats.org/officeDocument/2006/relationships/hyperlink" Target="http://gofile.me/4xaew/q3bZegvX8" TargetMode="External"/><Relationship Id="rId140" Type="http://schemas.openxmlformats.org/officeDocument/2006/relationships/hyperlink" Target="http://gofile.me/4xaew/8dI20sJ9r" TargetMode="External"/><Relationship Id="rId161" Type="http://schemas.openxmlformats.org/officeDocument/2006/relationships/hyperlink" Target="http://gofile.me/4xaew/lRuvExBV3" TargetMode="External"/><Relationship Id="rId182" Type="http://schemas.openxmlformats.org/officeDocument/2006/relationships/hyperlink" Target="http://gofile.me/4xaew/BOU6C1VT8" TargetMode="External"/><Relationship Id="rId6" Type="http://schemas.openxmlformats.org/officeDocument/2006/relationships/hyperlink" Target="http://gofile.me/4xaew/x7OZI8qmV" TargetMode="External"/><Relationship Id="rId23" Type="http://schemas.openxmlformats.org/officeDocument/2006/relationships/hyperlink" Target="http://gofile.me/4xaew/Oe7owZAw6" TargetMode="External"/><Relationship Id="rId119" Type="http://schemas.openxmlformats.org/officeDocument/2006/relationships/hyperlink" Target="http://gofile.me/4xaew/nIhE8QHle" TargetMode="External"/><Relationship Id="rId44" Type="http://schemas.openxmlformats.org/officeDocument/2006/relationships/hyperlink" Target="http://gofile.me/4xaew/6BqstOW2r" TargetMode="External"/><Relationship Id="rId65" Type="http://schemas.openxmlformats.org/officeDocument/2006/relationships/hyperlink" Target="http://gofile.me/4xaew/mDOPhQLwm" TargetMode="External"/><Relationship Id="rId86" Type="http://schemas.openxmlformats.org/officeDocument/2006/relationships/hyperlink" Target="http://gofile.me/4xaew/sMprkiN3Y" TargetMode="External"/><Relationship Id="rId130" Type="http://schemas.openxmlformats.org/officeDocument/2006/relationships/hyperlink" Target="http://gofile.me/4xaew/6W0uNsoHX" TargetMode="External"/><Relationship Id="rId151" Type="http://schemas.openxmlformats.org/officeDocument/2006/relationships/hyperlink" Target="http://gofile.me/4xaew/q1D62EPDA" TargetMode="External"/><Relationship Id="rId172" Type="http://schemas.openxmlformats.org/officeDocument/2006/relationships/hyperlink" Target="http://gofile.me/4xaew/5A8XxIprN" TargetMode="External"/><Relationship Id="rId193" Type="http://schemas.openxmlformats.org/officeDocument/2006/relationships/hyperlink" Target="http://gofile.me/4xaew/OFMUmXc9W" TargetMode="External"/><Relationship Id="rId13" Type="http://schemas.openxmlformats.org/officeDocument/2006/relationships/hyperlink" Target="http://gofile.me/4xaew/gAKn3qCgl" TargetMode="External"/><Relationship Id="rId109" Type="http://schemas.openxmlformats.org/officeDocument/2006/relationships/hyperlink" Target="http://gofile.me/4xaew/FHYvFBC68" TargetMode="External"/><Relationship Id="rId34" Type="http://schemas.openxmlformats.org/officeDocument/2006/relationships/hyperlink" Target="http://gofile.me/4xaew/kIIWwUP3F" TargetMode="External"/><Relationship Id="rId55" Type="http://schemas.openxmlformats.org/officeDocument/2006/relationships/hyperlink" Target="http://gofile.me/4xaew/7twjE9S85" TargetMode="External"/><Relationship Id="rId76" Type="http://schemas.openxmlformats.org/officeDocument/2006/relationships/hyperlink" Target="http://gofile.me/4xaew/TNL4hLbUU" TargetMode="External"/><Relationship Id="rId97" Type="http://schemas.openxmlformats.org/officeDocument/2006/relationships/hyperlink" Target="http://gofile.me/4xaew/x2eBpbzo2" TargetMode="External"/><Relationship Id="rId120" Type="http://schemas.openxmlformats.org/officeDocument/2006/relationships/hyperlink" Target="http://gofile.me/4xaew/qIbBVYo5G" TargetMode="External"/><Relationship Id="rId141" Type="http://schemas.openxmlformats.org/officeDocument/2006/relationships/hyperlink" Target="http://gofile.me/4xaew/P29lFIpXP" TargetMode="External"/><Relationship Id="rId7" Type="http://schemas.openxmlformats.org/officeDocument/2006/relationships/hyperlink" Target="http://gofile.me/4xaew/YKxnHzdjZ" TargetMode="External"/><Relationship Id="rId162" Type="http://schemas.openxmlformats.org/officeDocument/2006/relationships/hyperlink" Target="http://gofile.me/4xaew/ER7EUfEND" TargetMode="External"/><Relationship Id="rId183" Type="http://schemas.openxmlformats.org/officeDocument/2006/relationships/hyperlink" Target="http://gofile.me/4xaew/uZju8xcWs" TargetMode="External"/><Relationship Id="rId24" Type="http://schemas.openxmlformats.org/officeDocument/2006/relationships/hyperlink" Target="http://gofile.me/4xaew/ik3yYd0xy" TargetMode="External"/><Relationship Id="rId40" Type="http://schemas.openxmlformats.org/officeDocument/2006/relationships/hyperlink" Target="http://gofile.me/4xaew/UAY7wSMPd" TargetMode="External"/><Relationship Id="rId45" Type="http://schemas.openxmlformats.org/officeDocument/2006/relationships/hyperlink" Target="http://gofile.me/4xaew/pvm67R24d" TargetMode="External"/><Relationship Id="rId66" Type="http://schemas.openxmlformats.org/officeDocument/2006/relationships/hyperlink" Target="http://gofile.me/4xaew/OBHEsVAk7" TargetMode="External"/><Relationship Id="rId87" Type="http://schemas.openxmlformats.org/officeDocument/2006/relationships/hyperlink" Target="http://gofile.me/4xaew/BqE3lUfKy" TargetMode="External"/><Relationship Id="rId110" Type="http://schemas.openxmlformats.org/officeDocument/2006/relationships/hyperlink" Target="http://gofile.me/4xaew/Tp3pTYF9H" TargetMode="External"/><Relationship Id="rId115" Type="http://schemas.openxmlformats.org/officeDocument/2006/relationships/hyperlink" Target="http://gofile.me/4xaew/2eF8a8u2t" TargetMode="External"/><Relationship Id="rId131" Type="http://schemas.openxmlformats.org/officeDocument/2006/relationships/hyperlink" Target="http://gofile.me/4xaew/jS1S9gPLm" TargetMode="External"/><Relationship Id="rId136" Type="http://schemas.openxmlformats.org/officeDocument/2006/relationships/hyperlink" Target="http://gofile.me/4xaew/kx1TxZ5Ux" TargetMode="External"/><Relationship Id="rId157" Type="http://schemas.openxmlformats.org/officeDocument/2006/relationships/hyperlink" Target="http://gofile.me/4xaew/RtCsTtftV" TargetMode="External"/><Relationship Id="rId178" Type="http://schemas.openxmlformats.org/officeDocument/2006/relationships/hyperlink" Target="http://gofile.me/4xaew/DcC9rNvca" TargetMode="External"/><Relationship Id="rId61" Type="http://schemas.openxmlformats.org/officeDocument/2006/relationships/hyperlink" Target="http://gofile.me/4xaew/SklOr9Cgo" TargetMode="External"/><Relationship Id="rId82" Type="http://schemas.openxmlformats.org/officeDocument/2006/relationships/hyperlink" Target="http://gofile.me/4xaew/QkxTTyHrv" TargetMode="External"/><Relationship Id="rId152" Type="http://schemas.openxmlformats.org/officeDocument/2006/relationships/hyperlink" Target="http://gofile.me/4xaew/omp4PVSzy" TargetMode="External"/><Relationship Id="rId173" Type="http://schemas.openxmlformats.org/officeDocument/2006/relationships/hyperlink" Target="http://gofile.me/4xaew/csFpnaohg" TargetMode="External"/><Relationship Id="rId194" Type="http://schemas.openxmlformats.org/officeDocument/2006/relationships/hyperlink" Target="http://gofile.me/4xaew/oInU0VK7G" TargetMode="External"/><Relationship Id="rId199" Type="http://schemas.openxmlformats.org/officeDocument/2006/relationships/hyperlink" Target="http://gofile.me/4xaew/bleTH8tm6" TargetMode="External"/><Relationship Id="rId203" Type="http://schemas.openxmlformats.org/officeDocument/2006/relationships/hyperlink" Target="http://gofile.me/4xaew/rq7x5HRGK" TargetMode="External"/><Relationship Id="rId19" Type="http://schemas.openxmlformats.org/officeDocument/2006/relationships/hyperlink" Target="http://gofile.me/4xaew/Kbgoqe54h" TargetMode="External"/><Relationship Id="rId14" Type="http://schemas.openxmlformats.org/officeDocument/2006/relationships/hyperlink" Target="http://gofile.me/4xaew/Dg0ylNYtD" TargetMode="External"/><Relationship Id="rId30" Type="http://schemas.openxmlformats.org/officeDocument/2006/relationships/hyperlink" Target="http://gofile.me/4xaew/J4QjdZdMC" TargetMode="External"/><Relationship Id="rId35" Type="http://schemas.openxmlformats.org/officeDocument/2006/relationships/hyperlink" Target="http://gofile.me/4xaew/fXZHrtT4e" TargetMode="External"/><Relationship Id="rId56" Type="http://schemas.openxmlformats.org/officeDocument/2006/relationships/hyperlink" Target="http://gofile.me/4xaew/SUtWGYKe7" TargetMode="External"/><Relationship Id="rId77" Type="http://schemas.openxmlformats.org/officeDocument/2006/relationships/hyperlink" Target="http://gofile.me/4xaew/2jKHrEcTl" TargetMode="External"/><Relationship Id="rId100" Type="http://schemas.openxmlformats.org/officeDocument/2006/relationships/hyperlink" Target="http://gofile.me/4xaew/ggGXUtRGK" TargetMode="External"/><Relationship Id="rId105" Type="http://schemas.openxmlformats.org/officeDocument/2006/relationships/hyperlink" Target="http://gofile.me/4xaew/XxchOXZpm" TargetMode="External"/><Relationship Id="rId126" Type="http://schemas.openxmlformats.org/officeDocument/2006/relationships/hyperlink" Target="http://gofile.me/4xaew/Bl9e0S3sE" TargetMode="External"/><Relationship Id="rId147" Type="http://schemas.openxmlformats.org/officeDocument/2006/relationships/hyperlink" Target="http://gofile.me/4xaew/byYe7pDZ7" TargetMode="External"/><Relationship Id="rId168" Type="http://schemas.openxmlformats.org/officeDocument/2006/relationships/hyperlink" Target="http://gofile.me/4xaew/Dho5TiY0J" TargetMode="External"/><Relationship Id="rId8" Type="http://schemas.openxmlformats.org/officeDocument/2006/relationships/hyperlink" Target="http://gofile.me/4xaew/IAd8PfUr9" TargetMode="External"/><Relationship Id="rId51" Type="http://schemas.openxmlformats.org/officeDocument/2006/relationships/hyperlink" Target="http://gofile.me/4xaew/h5tXOfD0a" TargetMode="External"/><Relationship Id="rId72" Type="http://schemas.openxmlformats.org/officeDocument/2006/relationships/hyperlink" Target="http://gofile.me/4xaew/cNUdsYvJ9" TargetMode="External"/><Relationship Id="rId93" Type="http://schemas.openxmlformats.org/officeDocument/2006/relationships/hyperlink" Target="http://gofile.me/4xaew/YsgOCRx3V" TargetMode="External"/><Relationship Id="rId98" Type="http://schemas.openxmlformats.org/officeDocument/2006/relationships/hyperlink" Target="http://gofile.me/4xaew/K7qjwiWo2" TargetMode="External"/><Relationship Id="rId121" Type="http://schemas.openxmlformats.org/officeDocument/2006/relationships/hyperlink" Target="http://gofile.me/4xaew/NCWeqCkBG" TargetMode="External"/><Relationship Id="rId142" Type="http://schemas.openxmlformats.org/officeDocument/2006/relationships/hyperlink" Target="http://gofile.me/4xaew/93kretbAe" TargetMode="External"/><Relationship Id="rId163" Type="http://schemas.openxmlformats.org/officeDocument/2006/relationships/hyperlink" Target="http://gofile.me/4xaew/eT3Qq8ya3" TargetMode="External"/><Relationship Id="rId184" Type="http://schemas.openxmlformats.org/officeDocument/2006/relationships/hyperlink" Target="http://gofile.me/4xaew/6Vdk2Ym3m" TargetMode="External"/><Relationship Id="rId189" Type="http://schemas.openxmlformats.org/officeDocument/2006/relationships/hyperlink" Target="http://gofile.me/4xaew/FpJaIaytc" TargetMode="External"/><Relationship Id="rId3" Type="http://schemas.openxmlformats.org/officeDocument/2006/relationships/hyperlink" Target="http://gofile.me/4xaew/COl9gc5QZ" TargetMode="External"/><Relationship Id="rId25" Type="http://schemas.openxmlformats.org/officeDocument/2006/relationships/hyperlink" Target="http://gofile.me/4xaew/OzATTiQZ8" TargetMode="External"/><Relationship Id="rId46" Type="http://schemas.openxmlformats.org/officeDocument/2006/relationships/hyperlink" Target="http://gofile.me/4xaew/V8X1dDF4B" TargetMode="External"/><Relationship Id="rId67" Type="http://schemas.openxmlformats.org/officeDocument/2006/relationships/hyperlink" Target="http://gofile.me/4xaew/YVpi4tUdJ" TargetMode="External"/><Relationship Id="rId116" Type="http://schemas.openxmlformats.org/officeDocument/2006/relationships/hyperlink" Target="http://gofile.me/4xaew/TKDcznOdC" TargetMode="External"/><Relationship Id="rId137" Type="http://schemas.openxmlformats.org/officeDocument/2006/relationships/hyperlink" Target="http://gofile.me/4xaew/FiOg5TidU" TargetMode="External"/><Relationship Id="rId158" Type="http://schemas.openxmlformats.org/officeDocument/2006/relationships/hyperlink" Target="http://gofile.me/4xaew/P19IJAIrp" TargetMode="External"/><Relationship Id="rId20" Type="http://schemas.openxmlformats.org/officeDocument/2006/relationships/hyperlink" Target="http://gofile.me/4xaew/QHYJgD130" TargetMode="External"/><Relationship Id="rId41" Type="http://schemas.openxmlformats.org/officeDocument/2006/relationships/hyperlink" Target="http://gofile.me/4xaew/ZCWb8HiOq" TargetMode="External"/><Relationship Id="rId62" Type="http://schemas.openxmlformats.org/officeDocument/2006/relationships/hyperlink" Target="http://gofile.me/4xaew/QiYVtAAQc" TargetMode="External"/><Relationship Id="rId83" Type="http://schemas.openxmlformats.org/officeDocument/2006/relationships/hyperlink" Target="http://gofile.me/4xaew/cEDLxMSOk" TargetMode="External"/><Relationship Id="rId88" Type="http://schemas.openxmlformats.org/officeDocument/2006/relationships/hyperlink" Target="http://gofile.me/4xaew/OCw9tk2pO" TargetMode="External"/><Relationship Id="rId111" Type="http://schemas.openxmlformats.org/officeDocument/2006/relationships/hyperlink" Target="http://gofile.me/4xaew/SPTj4sav2" TargetMode="External"/><Relationship Id="rId132" Type="http://schemas.openxmlformats.org/officeDocument/2006/relationships/hyperlink" Target="http://gofile.me/4xaew/9lHSpCdeT" TargetMode="External"/><Relationship Id="rId153" Type="http://schemas.openxmlformats.org/officeDocument/2006/relationships/hyperlink" Target="http://gofile.me/4xaew/VQPspkSgW" TargetMode="External"/><Relationship Id="rId174" Type="http://schemas.openxmlformats.org/officeDocument/2006/relationships/hyperlink" Target="http://gofile.me/4xaew/YtVRDF23V" TargetMode="External"/><Relationship Id="rId179" Type="http://schemas.openxmlformats.org/officeDocument/2006/relationships/hyperlink" Target="http://gofile.me/4xaew/KxTEraYqA" TargetMode="External"/><Relationship Id="rId195" Type="http://schemas.openxmlformats.org/officeDocument/2006/relationships/hyperlink" Target="http://gofile.me/4xaew/oQTqGESJd" TargetMode="External"/><Relationship Id="rId190" Type="http://schemas.openxmlformats.org/officeDocument/2006/relationships/hyperlink" Target="http://gofile.me/4xaew/8jHAIEz9T" TargetMode="External"/><Relationship Id="rId204" Type="http://schemas.openxmlformats.org/officeDocument/2006/relationships/hyperlink" Target="http://gofile.me/4xaew/eziqgGsn9" TargetMode="External"/><Relationship Id="rId15" Type="http://schemas.openxmlformats.org/officeDocument/2006/relationships/hyperlink" Target="http://gofile.me/4xaew/fJVotv3BM" TargetMode="External"/><Relationship Id="rId36" Type="http://schemas.openxmlformats.org/officeDocument/2006/relationships/hyperlink" Target="http://gofile.me/4xaew/hLWN536iu" TargetMode="External"/><Relationship Id="rId57" Type="http://schemas.openxmlformats.org/officeDocument/2006/relationships/hyperlink" Target="http://gofile.me/4xaew/oiXukv1Jp" TargetMode="External"/><Relationship Id="rId106" Type="http://schemas.openxmlformats.org/officeDocument/2006/relationships/hyperlink" Target="http://gofile.me/4xaew/L3fYfK6Bf" TargetMode="External"/><Relationship Id="rId127" Type="http://schemas.openxmlformats.org/officeDocument/2006/relationships/hyperlink" Target="http://gofile.me/4xaew/CjgGagZn0" TargetMode="External"/><Relationship Id="rId10" Type="http://schemas.openxmlformats.org/officeDocument/2006/relationships/hyperlink" Target="http://gofile.me/4xaew/Votbj1IjA" TargetMode="External"/><Relationship Id="rId31" Type="http://schemas.openxmlformats.org/officeDocument/2006/relationships/hyperlink" Target="http://gofile.me/4xaew/pF17D9y5T" TargetMode="External"/><Relationship Id="rId52" Type="http://schemas.openxmlformats.org/officeDocument/2006/relationships/hyperlink" Target="http://gofile.me/4xaew/3a8St432u" TargetMode="External"/><Relationship Id="rId73" Type="http://schemas.openxmlformats.org/officeDocument/2006/relationships/hyperlink" Target="http://gofile.me/4xaew/Yjme5JcPx" TargetMode="External"/><Relationship Id="rId78" Type="http://schemas.openxmlformats.org/officeDocument/2006/relationships/hyperlink" Target="http://gofile.me/4xaew/sHvn1e26v" TargetMode="External"/><Relationship Id="rId94" Type="http://schemas.openxmlformats.org/officeDocument/2006/relationships/hyperlink" Target="http://gofile.me/4xaew/kqGz4NFyC" TargetMode="External"/><Relationship Id="rId99" Type="http://schemas.openxmlformats.org/officeDocument/2006/relationships/hyperlink" Target="http://gofile.me/4xaew/KYaARcrf3" TargetMode="External"/><Relationship Id="rId101" Type="http://schemas.openxmlformats.org/officeDocument/2006/relationships/hyperlink" Target="http://gofile.me/4xaew/ZAh8ARDG1" TargetMode="External"/><Relationship Id="rId122" Type="http://schemas.openxmlformats.org/officeDocument/2006/relationships/hyperlink" Target="http://gofile.me/4xaew/s5SmNYBqR" TargetMode="External"/><Relationship Id="rId143" Type="http://schemas.openxmlformats.org/officeDocument/2006/relationships/hyperlink" Target="http://gofile.me/4xaew/AriGxm6aF" TargetMode="External"/><Relationship Id="rId148" Type="http://schemas.openxmlformats.org/officeDocument/2006/relationships/hyperlink" Target="http://gofile.me/4xaew/YxWfXjl5y" TargetMode="External"/><Relationship Id="rId164" Type="http://schemas.openxmlformats.org/officeDocument/2006/relationships/hyperlink" Target="http://gofile.me/4xaew/ZKjTID9cv" TargetMode="External"/><Relationship Id="rId169" Type="http://schemas.openxmlformats.org/officeDocument/2006/relationships/hyperlink" Target="http://gofile.me/4xaew/wGDqRwOOY" TargetMode="External"/><Relationship Id="rId185" Type="http://schemas.openxmlformats.org/officeDocument/2006/relationships/hyperlink" Target="http://gofile.me/4xaew/toGqNhwOv" TargetMode="External"/><Relationship Id="rId4" Type="http://schemas.openxmlformats.org/officeDocument/2006/relationships/hyperlink" Target="http://gofile.me/4xaew/0RobFTTao" TargetMode="External"/><Relationship Id="rId9" Type="http://schemas.openxmlformats.org/officeDocument/2006/relationships/hyperlink" Target="http://gofile.me/4xaew/pJ8J0ILEX" TargetMode="External"/><Relationship Id="rId180" Type="http://schemas.openxmlformats.org/officeDocument/2006/relationships/hyperlink" Target="http://gofile.me/4xaew/WjfZ6WFSR" TargetMode="External"/><Relationship Id="rId26" Type="http://schemas.openxmlformats.org/officeDocument/2006/relationships/hyperlink" Target="http://gofile.me/4xaew/srmdF1WKg" TargetMode="External"/><Relationship Id="rId47" Type="http://schemas.openxmlformats.org/officeDocument/2006/relationships/hyperlink" Target="http://gofile.me/4xaew/g8uJinBDd" TargetMode="External"/><Relationship Id="rId68" Type="http://schemas.openxmlformats.org/officeDocument/2006/relationships/hyperlink" Target="http://gofile.me/4xaew/ooSZCCZYV" TargetMode="External"/><Relationship Id="rId89" Type="http://schemas.openxmlformats.org/officeDocument/2006/relationships/hyperlink" Target="http://gofile.me/4xaew/XFltxuX4W" TargetMode="External"/><Relationship Id="rId112" Type="http://schemas.openxmlformats.org/officeDocument/2006/relationships/hyperlink" Target="http://gofile.me/4xaew/59twrE8ip" TargetMode="External"/><Relationship Id="rId133" Type="http://schemas.openxmlformats.org/officeDocument/2006/relationships/hyperlink" Target="http://gofile.me/4xaew/u8xRpp3IK" TargetMode="External"/><Relationship Id="rId154" Type="http://schemas.openxmlformats.org/officeDocument/2006/relationships/hyperlink" Target="http://gofile.me/4xaew/nGLodmZs8" TargetMode="External"/><Relationship Id="rId175" Type="http://schemas.openxmlformats.org/officeDocument/2006/relationships/hyperlink" Target="http://gofile.me/4xaew/ymBr6aKTw" TargetMode="External"/><Relationship Id="rId196" Type="http://schemas.openxmlformats.org/officeDocument/2006/relationships/hyperlink" Target="http://gofile.me/4xaew/mc31V5YVy" TargetMode="External"/><Relationship Id="rId200" Type="http://schemas.openxmlformats.org/officeDocument/2006/relationships/hyperlink" Target="http://gofile.me/4xaew/DNTLNFxqp" TargetMode="External"/><Relationship Id="rId16" Type="http://schemas.openxmlformats.org/officeDocument/2006/relationships/hyperlink" Target="http://gofile.me/4xaew/aFrKeBt1o" TargetMode="External"/><Relationship Id="rId37" Type="http://schemas.openxmlformats.org/officeDocument/2006/relationships/hyperlink" Target="http://gofile.me/4xaew/kLj4nQKul" TargetMode="External"/><Relationship Id="rId58" Type="http://schemas.openxmlformats.org/officeDocument/2006/relationships/hyperlink" Target="http://gofile.me/4xaew/2BjQeA8l9" TargetMode="External"/><Relationship Id="rId79" Type="http://schemas.openxmlformats.org/officeDocument/2006/relationships/hyperlink" Target="http://gofile.me/4xaew/JcnoX8c3S" TargetMode="External"/><Relationship Id="rId102" Type="http://schemas.openxmlformats.org/officeDocument/2006/relationships/hyperlink" Target="http://gofile.me/4xaew/Zy7OOXkGr" TargetMode="External"/><Relationship Id="rId123" Type="http://schemas.openxmlformats.org/officeDocument/2006/relationships/hyperlink" Target="http://gofile.me/4xaew/HCVyCGM3H" TargetMode="External"/><Relationship Id="rId144" Type="http://schemas.openxmlformats.org/officeDocument/2006/relationships/hyperlink" Target="http://gofile.me/4xaew/fpydTHott" TargetMode="External"/><Relationship Id="rId90" Type="http://schemas.openxmlformats.org/officeDocument/2006/relationships/hyperlink" Target="http://gofile.me/4xaew/2rhADL65S" TargetMode="External"/><Relationship Id="rId165" Type="http://schemas.openxmlformats.org/officeDocument/2006/relationships/hyperlink" Target="http://gofile.me/4xaew/rRuhhKVYn" TargetMode="External"/><Relationship Id="rId186" Type="http://schemas.openxmlformats.org/officeDocument/2006/relationships/hyperlink" Target="http://gofile.me/4xaew/YbstOi3fi" TargetMode="External"/><Relationship Id="rId27" Type="http://schemas.openxmlformats.org/officeDocument/2006/relationships/hyperlink" Target="http://gofile.me/4xaew/T31fgtZYr" TargetMode="External"/><Relationship Id="rId48" Type="http://schemas.openxmlformats.org/officeDocument/2006/relationships/hyperlink" Target="http://gofile.me/4xaew/yJt5VUY1H" TargetMode="External"/><Relationship Id="rId69" Type="http://schemas.openxmlformats.org/officeDocument/2006/relationships/hyperlink" Target="http://gofile.me/4xaew/uy3nSulV4" TargetMode="External"/><Relationship Id="rId113" Type="http://schemas.openxmlformats.org/officeDocument/2006/relationships/hyperlink" Target="http://gofile.me/4xaew/1EVGZfI7S" TargetMode="External"/><Relationship Id="rId134" Type="http://schemas.openxmlformats.org/officeDocument/2006/relationships/hyperlink" Target="http://gofile.me/4xaew/vKlWngdwX" TargetMode="External"/><Relationship Id="rId80" Type="http://schemas.openxmlformats.org/officeDocument/2006/relationships/hyperlink" Target="http://gofile.me/4xaew/6cOUwUoOw" TargetMode="External"/><Relationship Id="rId155" Type="http://schemas.openxmlformats.org/officeDocument/2006/relationships/hyperlink" Target="http://gofile.me/4xaew/Y0U2KmZpy" TargetMode="External"/><Relationship Id="rId176" Type="http://schemas.openxmlformats.org/officeDocument/2006/relationships/hyperlink" Target="http://gofile.me/4xaew/9vpuZT9dJ" TargetMode="External"/><Relationship Id="rId197" Type="http://schemas.openxmlformats.org/officeDocument/2006/relationships/hyperlink" Target="http://gofile.me/4xaew/ipmBylYY5" TargetMode="External"/><Relationship Id="rId201" Type="http://schemas.openxmlformats.org/officeDocument/2006/relationships/hyperlink" Target="http://gofile.me/4xaew/8wbrmOWNd" TargetMode="External"/><Relationship Id="rId17" Type="http://schemas.openxmlformats.org/officeDocument/2006/relationships/hyperlink" Target="http://gofile.me/4xaew/b90XvEnuO" TargetMode="External"/><Relationship Id="rId38" Type="http://schemas.openxmlformats.org/officeDocument/2006/relationships/hyperlink" Target="http://gofile.me/4xaew/UVvgXg8CJ" TargetMode="External"/><Relationship Id="rId59" Type="http://schemas.openxmlformats.org/officeDocument/2006/relationships/hyperlink" Target="http://gofile.me/4xaew/foIPkmBhc" TargetMode="External"/><Relationship Id="rId103" Type="http://schemas.openxmlformats.org/officeDocument/2006/relationships/hyperlink" Target="http://gofile.me/4xaew/yaX98dwLx" TargetMode="External"/><Relationship Id="rId124" Type="http://schemas.openxmlformats.org/officeDocument/2006/relationships/hyperlink" Target="http://gofile.me/4xaew/K1KHtvVfE" TargetMode="External"/><Relationship Id="rId70" Type="http://schemas.openxmlformats.org/officeDocument/2006/relationships/hyperlink" Target="http://gofile.me/4xaew/We9SMV5wx" TargetMode="External"/><Relationship Id="rId91" Type="http://schemas.openxmlformats.org/officeDocument/2006/relationships/hyperlink" Target="http://gofile.me/4xaew/FTaPatPeP" TargetMode="External"/><Relationship Id="rId145" Type="http://schemas.openxmlformats.org/officeDocument/2006/relationships/hyperlink" Target="http://gofile.me/4xaew/FQMkBK0nk" TargetMode="External"/><Relationship Id="rId166" Type="http://schemas.openxmlformats.org/officeDocument/2006/relationships/hyperlink" Target="http://gofile.me/4xaew/6RCUvtKOL" TargetMode="External"/><Relationship Id="rId187" Type="http://schemas.openxmlformats.org/officeDocument/2006/relationships/hyperlink" Target="http://gofile.me/4xaew/HFczXM3RM" TargetMode="External"/><Relationship Id="rId1" Type="http://schemas.openxmlformats.org/officeDocument/2006/relationships/hyperlink" Target="http://gofile.me/4xaew/cem2U6mnU" TargetMode="External"/><Relationship Id="rId28" Type="http://schemas.openxmlformats.org/officeDocument/2006/relationships/hyperlink" Target="http://gofile.me/4xaew/quxXZU50y" TargetMode="External"/><Relationship Id="rId49" Type="http://schemas.openxmlformats.org/officeDocument/2006/relationships/hyperlink" Target="http://gofile.me/4xaew/QpUxi6am0" TargetMode="External"/><Relationship Id="rId114" Type="http://schemas.openxmlformats.org/officeDocument/2006/relationships/hyperlink" Target="http://gofile.me/4xaew/FLH8QaOHc" TargetMode="External"/><Relationship Id="rId60" Type="http://schemas.openxmlformats.org/officeDocument/2006/relationships/hyperlink" Target="http://gofile.me/4xaew/TelkcRwrJ" TargetMode="External"/><Relationship Id="rId81" Type="http://schemas.openxmlformats.org/officeDocument/2006/relationships/hyperlink" Target="http://gofile.me/4xaew/nrCq1nEFe" TargetMode="External"/><Relationship Id="rId135" Type="http://schemas.openxmlformats.org/officeDocument/2006/relationships/hyperlink" Target="http://gofile.me/4xaew/h8F1u9sMF" TargetMode="External"/><Relationship Id="rId156" Type="http://schemas.openxmlformats.org/officeDocument/2006/relationships/hyperlink" Target="http://gofile.me/4xaew/v5Ta1CbSc" TargetMode="External"/><Relationship Id="rId177" Type="http://schemas.openxmlformats.org/officeDocument/2006/relationships/hyperlink" Target="http://gofile.me/4xaew/k0r7j1Gd2" TargetMode="External"/><Relationship Id="rId198" Type="http://schemas.openxmlformats.org/officeDocument/2006/relationships/hyperlink" Target="http://gofile.me/4xaew/iS3hiD3x0" TargetMode="External"/><Relationship Id="rId202" Type="http://schemas.openxmlformats.org/officeDocument/2006/relationships/hyperlink" Target="http://gofile.me/4xaew/SYfXfqzpL" TargetMode="External"/><Relationship Id="rId18" Type="http://schemas.openxmlformats.org/officeDocument/2006/relationships/hyperlink" Target="http://gofile.me/4xaew/BRThuuatY" TargetMode="External"/><Relationship Id="rId39" Type="http://schemas.openxmlformats.org/officeDocument/2006/relationships/hyperlink" Target="http://gofile.me/4xaew/qk28NmyEs" TargetMode="External"/><Relationship Id="rId50" Type="http://schemas.openxmlformats.org/officeDocument/2006/relationships/hyperlink" Target="http://gofile.me/4xaew/5VCau6d5w" TargetMode="External"/><Relationship Id="rId104" Type="http://schemas.openxmlformats.org/officeDocument/2006/relationships/hyperlink" Target="http://gofile.me/4xaew/0y8zU1ur6" TargetMode="External"/><Relationship Id="rId125" Type="http://schemas.openxmlformats.org/officeDocument/2006/relationships/hyperlink" Target="http://gofile.me/4xaew/Djh7niW6N" TargetMode="External"/><Relationship Id="rId146" Type="http://schemas.openxmlformats.org/officeDocument/2006/relationships/hyperlink" Target="http://gofile.me/4xaew/W16Gjhbo3" TargetMode="External"/><Relationship Id="rId167" Type="http://schemas.openxmlformats.org/officeDocument/2006/relationships/hyperlink" Target="http://gofile.me/4xaew/XXWxwEaqV" TargetMode="External"/><Relationship Id="rId188" Type="http://schemas.openxmlformats.org/officeDocument/2006/relationships/hyperlink" Target="http://gofile.me/4xaew/BXosPky3q" TargetMode="External"/><Relationship Id="rId71" Type="http://schemas.openxmlformats.org/officeDocument/2006/relationships/hyperlink" Target="http://gofile.me/4xaew/T80UjLqyb" TargetMode="External"/><Relationship Id="rId92" Type="http://schemas.openxmlformats.org/officeDocument/2006/relationships/hyperlink" Target="http://gofile.me/4xaew/W6escF5jW" TargetMode="External"/><Relationship Id="rId2" Type="http://schemas.openxmlformats.org/officeDocument/2006/relationships/hyperlink" Target="http://gofile.me/4xaew/dW9QVhyrV" TargetMode="External"/><Relationship Id="rId29" Type="http://schemas.openxmlformats.org/officeDocument/2006/relationships/hyperlink" Target="http://gofile.me/4xaew/qQqAGKqgC"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gofile.me/4xaew/PPyUBbbfb" TargetMode="External"/><Relationship Id="rId21" Type="http://schemas.openxmlformats.org/officeDocument/2006/relationships/hyperlink" Target="http://gofile.me/4xaew/XSg2vCCmz" TargetMode="External"/><Relationship Id="rId42" Type="http://schemas.openxmlformats.org/officeDocument/2006/relationships/hyperlink" Target="http://gofile.me/4xaew/n7lO3Pqsv" TargetMode="External"/><Relationship Id="rId63" Type="http://schemas.openxmlformats.org/officeDocument/2006/relationships/hyperlink" Target="http://gofile.me/4xaew/nkGLiXXYW" TargetMode="External"/><Relationship Id="rId84" Type="http://schemas.openxmlformats.org/officeDocument/2006/relationships/hyperlink" Target="http://gofile.me/4xaew/Mma6NS474" TargetMode="External"/><Relationship Id="rId138" Type="http://schemas.openxmlformats.org/officeDocument/2006/relationships/hyperlink" Target="http://gofile.me/4xaew/F2V2oNUNs" TargetMode="External"/><Relationship Id="rId107" Type="http://schemas.openxmlformats.org/officeDocument/2006/relationships/hyperlink" Target="http://gofile.me/4xaew/faWgSWrsc" TargetMode="External"/><Relationship Id="rId11" Type="http://schemas.openxmlformats.org/officeDocument/2006/relationships/hyperlink" Target="http://gofile.me/4xaew/PEYelupkD" TargetMode="External"/><Relationship Id="rId32" Type="http://schemas.openxmlformats.org/officeDocument/2006/relationships/hyperlink" Target="http://gofile.me/4xaew/5cLK4V1ZC" TargetMode="External"/><Relationship Id="rId53" Type="http://schemas.openxmlformats.org/officeDocument/2006/relationships/hyperlink" Target="http://gofile.me/4xaew/iQlBvCX6Y" TargetMode="External"/><Relationship Id="rId74" Type="http://schemas.openxmlformats.org/officeDocument/2006/relationships/hyperlink" Target="http://gofile.me/4xaew/Bj6x98ksq" TargetMode="External"/><Relationship Id="rId128" Type="http://schemas.openxmlformats.org/officeDocument/2006/relationships/hyperlink" Target="http://gofile.me/4xaew/fn2qDLsCA" TargetMode="External"/><Relationship Id="rId5" Type="http://schemas.openxmlformats.org/officeDocument/2006/relationships/hyperlink" Target="http://gofile.me/4xaew/wWO1avfWv" TargetMode="External"/><Relationship Id="rId90" Type="http://schemas.openxmlformats.org/officeDocument/2006/relationships/hyperlink" Target="http://gofile.me/4xaew/qMh5ryk4K" TargetMode="External"/><Relationship Id="rId95" Type="http://schemas.openxmlformats.org/officeDocument/2006/relationships/hyperlink" Target="http://gofile.me/4xaew/Vbl9QtRL8" TargetMode="External"/><Relationship Id="rId22" Type="http://schemas.openxmlformats.org/officeDocument/2006/relationships/hyperlink" Target="http://gofile.me/4xaew/SnNiobeW3" TargetMode="External"/><Relationship Id="rId27" Type="http://schemas.openxmlformats.org/officeDocument/2006/relationships/hyperlink" Target="http://gofile.me/4xaew/eo2Z7mulw" TargetMode="External"/><Relationship Id="rId43" Type="http://schemas.openxmlformats.org/officeDocument/2006/relationships/hyperlink" Target="http://gofile.me/4xaew/iPnb9wO31" TargetMode="External"/><Relationship Id="rId48" Type="http://schemas.openxmlformats.org/officeDocument/2006/relationships/hyperlink" Target="http://gofile.me/4xaew/FVFgyhUCF" TargetMode="External"/><Relationship Id="rId64" Type="http://schemas.openxmlformats.org/officeDocument/2006/relationships/hyperlink" Target="http://gofile.me/4xaew/l0mMalL8n" TargetMode="External"/><Relationship Id="rId69" Type="http://schemas.openxmlformats.org/officeDocument/2006/relationships/hyperlink" Target="http://gofile.me/4xaew/y4N9HdLvG" TargetMode="External"/><Relationship Id="rId113" Type="http://schemas.openxmlformats.org/officeDocument/2006/relationships/hyperlink" Target="http://gofile.me/4xaew/10cRoNc5W" TargetMode="External"/><Relationship Id="rId118" Type="http://schemas.openxmlformats.org/officeDocument/2006/relationships/hyperlink" Target="http://gofile.me/4xaew/sPW5q3qcE" TargetMode="External"/><Relationship Id="rId134" Type="http://schemas.openxmlformats.org/officeDocument/2006/relationships/hyperlink" Target="http://gofile.me/4xaew/gfhBLKLRw" TargetMode="External"/><Relationship Id="rId139" Type="http://schemas.openxmlformats.org/officeDocument/2006/relationships/hyperlink" Target="http://gofile.me/4xaew/vdXikepzi" TargetMode="External"/><Relationship Id="rId80" Type="http://schemas.openxmlformats.org/officeDocument/2006/relationships/hyperlink" Target="http://gofile.me/4xaew/5nnf2DttE" TargetMode="External"/><Relationship Id="rId85" Type="http://schemas.openxmlformats.org/officeDocument/2006/relationships/hyperlink" Target="http://gofile.me/4xaew/hUEzaLsku" TargetMode="External"/><Relationship Id="rId12" Type="http://schemas.openxmlformats.org/officeDocument/2006/relationships/hyperlink" Target="http://gofile.me/4xaew/BbP4GDVjU" TargetMode="External"/><Relationship Id="rId17" Type="http://schemas.openxmlformats.org/officeDocument/2006/relationships/hyperlink" Target="http://gofile.me/4xaew/KDABXpuet" TargetMode="External"/><Relationship Id="rId33" Type="http://schemas.openxmlformats.org/officeDocument/2006/relationships/hyperlink" Target="http://gofile.me/4xaew/I2IH0HWbt" TargetMode="External"/><Relationship Id="rId38" Type="http://schemas.openxmlformats.org/officeDocument/2006/relationships/hyperlink" Target="http://gofile.me/4xaew/avBwW1GeG" TargetMode="External"/><Relationship Id="rId59" Type="http://schemas.openxmlformats.org/officeDocument/2006/relationships/hyperlink" Target="http://gofile.me/4xaew/00JUvnxg6" TargetMode="External"/><Relationship Id="rId103" Type="http://schemas.openxmlformats.org/officeDocument/2006/relationships/hyperlink" Target="http://gofile.me/4xaew/vhyuLqAxw" TargetMode="External"/><Relationship Id="rId108" Type="http://schemas.openxmlformats.org/officeDocument/2006/relationships/hyperlink" Target="http://gofile.me/4xaew/Ogi8DpWoO" TargetMode="External"/><Relationship Id="rId124" Type="http://schemas.openxmlformats.org/officeDocument/2006/relationships/hyperlink" Target="http://gofile.me/4xaew/qxkpj7D1g" TargetMode="External"/><Relationship Id="rId129" Type="http://schemas.openxmlformats.org/officeDocument/2006/relationships/hyperlink" Target="http://gofile.me/4xaew/xYfW3t5OA" TargetMode="External"/><Relationship Id="rId54" Type="http://schemas.openxmlformats.org/officeDocument/2006/relationships/hyperlink" Target="http://gofile.me/4xaew/b0KYNH6mh" TargetMode="External"/><Relationship Id="rId70" Type="http://schemas.openxmlformats.org/officeDocument/2006/relationships/hyperlink" Target="http://gofile.me/4xaew/iAOqTYtbk" TargetMode="External"/><Relationship Id="rId75" Type="http://schemas.openxmlformats.org/officeDocument/2006/relationships/hyperlink" Target="http://gofile.me/4xaew/8vt4njjIb" TargetMode="External"/><Relationship Id="rId91" Type="http://schemas.openxmlformats.org/officeDocument/2006/relationships/hyperlink" Target="http://gofile.me/4xaew/Tk8p2LAlJ" TargetMode="External"/><Relationship Id="rId96" Type="http://schemas.openxmlformats.org/officeDocument/2006/relationships/hyperlink" Target="http://gofile.me/4xaew/w2aQGU8pM" TargetMode="External"/><Relationship Id="rId140" Type="http://schemas.openxmlformats.org/officeDocument/2006/relationships/hyperlink" Target="http://gofile.me/4xaew/ZRXMMFSI0" TargetMode="External"/><Relationship Id="rId145" Type="http://schemas.openxmlformats.org/officeDocument/2006/relationships/hyperlink" Target="http://gofile.me/4xaew/XvDuvAxLl" TargetMode="External"/><Relationship Id="rId1" Type="http://schemas.openxmlformats.org/officeDocument/2006/relationships/hyperlink" Target="http://gofile.me/4xaew/zco2Y1MbG" TargetMode="External"/><Relationship Id="rId6" Type="http://schemas.openxmlformats.org/officeDocument/2006/relationships/hyperlink" Target="http://gofile.me/4xaew/6PyJkHgmS" TargetMode="External"/><Relationship Id="rId23" Type="http://schemas.openxmlformats.org/officeDocument/2006/relationships/hyperlink" Target="http://gofile.me/4xaew/5fkirbldv" TargetMode="External"/><Relationship Id="rId28" Type="http://schemas.openxmlformats.org/officeDocument/2006/relationships/hyperlink" Target="http://gofile.me/4xaew/d60oll4Gx" TargetMode="External"/><Relationship Id="rId49" Type="http://schemas.openxmlformats.org/officeDocument/2006/relationships/hyperlink" Target="http://gofile.me/4xaew/CheAXCC8a" TargetMode="External"/><Relationship Id="rId114" Type="http://schemas.openxmlformats.org/officeDocument/2006/relationships/hyperlink" Target="http://gofile.me/4xaew/KcDiw2bUW" TargetMode="External"/><Relationship Id="rId119" Type="http://schemas.openxmlformats.org/officeDocument/2006/relationships/hyperlink" Target="http://gofile.me/4xaew/sMCBaMuTw" TargetMode="External"/><Relationship Id="rId44" Type="http://schemas.openxmlformats.org/officeDocument/2006/relationships/hyperlink" Target="http://gofile.me/4xaew/tJuwoDTbi" TargetMode="External"/><Relationship Id="rId60" Type="http://schemas.openxmlformats.org/officeDocument/2006/relationships/hyperlink" Target="http://gofile.me/4xaew/s5SJIQUqs" TargetMode="External"/><Relationship Id="rId65" Type="http://schemas.openxmlformats.org/officeDocument/2006/relationships/hyperlink" Target="http://gofile.me/4xaew/1pNokuHaI" TargetMode="External"/><Relationship Id="rId81" Type="http://schemas.openxmlformats.org/officeDocument/2006/relationships/hyperlink" Target="http://gofile.me/4xaew/S2N8baBYx" TargetMode="External"/><Relationship Id="rId86" Type="http://schemas.openxmlformats.org/officeDocument/2006/relationships/hyperlink" Target="http://gofile.me/4xaew/GO3NCgn9s" TargetMode="External"/><Relationship Id="rId130" Type="http://schemas.openxmlformats.org/officeDocument/2006/relationships/hyperlink" Target="http://gofile.me/4xaew/42acdmWX1" TargetMode="External"/><Relationship Id="rId135" Type="http://schemas.openxmlformats.org/officeDocument/2006/relationships/hyperlink" Target="http://gofile.me/4xaew/uZ97EOS8f" TargetMode="External"/><Relationship Id="rId13" Type="http://schemas.openxmlformats.org/officeDocument/2006/relationships/hyperlink" Target="http://gofile.me/4xaew/uaihGaXUQ" TargetMode="External"/><Relationship Id="rId18" Type="http://schemas.openxmlformats.org/officeDocument/2006/relationships/hyperlink" Target="http://gofile.me/4xaew/mcuvjn8Sz" TargetMode="External"/><Relationship Id="rId39" Type="http://schemas.openxmlformats.org/officeDocument/2006/relationships/hyperlink" Target="http://gofile.me/4xaew/P1BCbshJk" TargetMode="External"/><Relationship Id="rId109" Type="http://schemas.openxmlformats.org/officeDocument/2006/relationships/hyperlink" Target="http://gofile.me/4xaew/GMQhAzMta" TargetMode="External"/><Relationship Id="rId34" Type="http://schemas.openxmlformats.org/officeDocument/2006/relationships/hyperlink" Target="http://gofile.me/4xaew/XAq5tt1gH" TargetMode="External"/><Relationship Id="rId50" Type="http://schemas.openxmlformats.org/officeDocument/2006/relationships/hyperlink" Target="http://gofile.me/4xaew/EBkz5n0jL" TargetMode="External"/><Relationship Id="rId55" Type="http://schemas.openxmlformats.org/officeDocument/2006/relationships/hyperlink" Target="http://gofile.me/4xaew/AzsY2dm33" TargetMode="External"/><Relationship Id="rId76" Type="http://schemas.openxmlformats.org/officeDocument/2006/relationships/hyperlink" Target="http://gofile.me/4xaew/7dlg9FpJ9" TargetMode="External"/><Relationship Id="rId97" Type="http://schemas.openxmlformats.org/officeDocument/2006/relationships/hyperlink" Target="http://gofile.me/4xaew/STSNjbbgd" TargetMode="External"/><Relationship Id="rId104" Type="http://schemas.openxmlformats.org/officeDocument/2006/relationships/hyperlink" Target="http://gofile.me/4xaew/jVQvtparZ" TargetMode="External"/><Relationship Id="rId120" Type="http://schemas.openxmlformats.org/officeDocument/2006/relationships/hyperlink" Target="http://gofile.me/4xaew/ISyIQdWuq" TargetMode="External"/><Relationship Id="rId125" Type="http://schemas.openxmlformats.org/officeDocument/2006/relationships/hyperlink" Target="http://gofile.me/4xaew/F2RW2JGB1" TargetMode="External"/><Relationship Id="rId141" Type="http://schemas.openxmlformats.org/officeDocument/2006/relationships/hyperlink" Target="http://gofile.me/4xaew/n14npAOok" TargetMode="External"/><Relationship Id="rId146" Type="http://schemas.openxmlformats.org/officeDocument/2006/relationships/hyperlink" Target="http://gofile.me/4xaew/WEF0MAnWz" TargetMode="External"/><Relationship Id="rId7" Type="http://schemas.openxmlformats.org/officeDocument/2006/relationships/hyperlink" Target="http://gofile.me/4xaew/03CG0pxyb" TargetMode="External"/><Relationship Id="rId71" Type="http://schemas.openxmlformats.org/officeDocument/2006/relationships/hyperlink" Target="http://gofile.me/4xaew/lZ3e3fCqT" TargetMode="External"/><Relationship Id="rId92" Type="http://schemas.openxmlformats.org/officeDocument/2006/relationships/hyperlink" Target="http://gofile.me/4xaew/56KiEqxsr" TargetMode="External"/><Relationship Id="rId2" Type="http://schemas.openxmlformats.org/officeDocument/2006/relationships/hyperlink" Target="http://gofile.me/4xaew/DFLnZKP79" TargetMode="External"/><Relationship Id="rId29" Type="http://schemas.openxmlformats.org/officeDocument/2006/relationships/hyperlink" Target="http://gofile.me/4xaew/GMZrW5a4s" TargetMode="External"/><Relationship Id="rId24" Type="http://schemas.openxmlformats.org/officeDocument/2006/relationships/hyperlink" Target="http://gofile.me/4xaew/xVK3zjNBt" TargetMode="External"/><Relationship Id="rId40" Type="http://schemas.openxmlformats.org/officeDocument/2006/relationships/hyperlink" Target="http://gofile.me/4xaew/gBEOfVWP4" TargetMode="External"/><Relationship Id="rId45" Type="http://schemas.openxmlformats.org/officeDocument/2006/relationships/hyperlink" Target="http://gofile.me/4xaew/kKFdnYhuK" TargetMode="External"/><Relationship Id="rId66" Type="http://schemas.openxmlformats.org/officeDocument/2006/relationships/hyperlink" Target="http://gofile.me/4xaew/MyGjElTlt" TargetMode="External"/><Relationship Id="rId87" Type="http://schemas.openxmlformats.org/officeDocument/2006/relationships/hyperlink" Target="http://gofile.me/4xaew/x2uwhfu0T" TargetMode="External"/><Relationship Id="rId110" Type="http://schemas.openxmlformats.org/officeDocument/2006/relationships/hyperlink" Target="http://gofile.me/4xaew/YH67mJqdj" TargetMode="External"/><Relationship Id="rId115" Type="http://schemas.openxmlformats.org/officeDocument/2006/relationships/hyperlink" Target="http://gofile.me/4xaew/C9mlTZJ1s" TargetMode="External"/><Relationship Id="rId131" Type="http://schemas.openxmlformats.org/officeDocument/2006/relationships/hyperlink" Target="http://gofile.me/4xaew/2M2rQ9izs" TargetMode="External"/><Relationship Id="rId136" Type="http://schemas.openxmlformats.org/officeDocument/2006/relationships/hyperlink" Target="http://gofile.me/4xaew/YoHCwKBbP" TargetMode="External"/><Relationship Id="rId61" Type="http://schemas.openxmlformats.org/officeDocument/2006/relationships/hyperlink" Target="http://gofile.me/4xaew/VzeRJs0oM" TargetMode="External"/><Relationship Id="rId82" Type="http://schemas.openxmlformats.org/officeDocument/2006/relationships/hyperlink" Target="http://gofile.me/4xaew/QgMntUcOA" TargetMode="External"/><Relationship Id="rId19" Type="http://schemas.openxmlformats.org/officeDocument/2006/relationships/hyperlink" Target="http://gofile.me/4xaew/vGFLHfEiT" TargetMode="External"/><Relationship Id="rId14" Type="http://schemas.openxmlformats.org/officeDocument/2006/relationships/hyperlink" Target="http://gofile.me/4xaew/NaDHcd0kL" TargetMode="External"/><Relationship Id="rId30" Type="http://schemas.openxmlformats.org/officeDocument/2006/relationships/hyperlink" Target="http://gofile.me/4xaew/YLgLjiBm7" TargetMode="External"/><Relationship Id="rId35" Type="http://schemas.openxmlformats.org/officeDocument/2006/relationships/hyperlink" Target="http://gofile.me/4xaew/wsAz8xSL9" TargetMode="External"/><Relationship Id="rId56" Type="http://schemas.openxmlformats.org/officeDocument/2006/relationships/hyperlink" Target="http://gofile.me/4xaew/A58W89fCc" TargetMode="External"/><Relationship Id="rId77" Type="http://schemas.openxmlformats.org/officeDocument/2006/relationships/hyperlink" Target="http://gofile.me/4xaew/E6JdoGbzC" TargetMode="External"/><Relationship Id="rId100" Type="http://schemas.openxmlformats.org/officeDocument/2006/relationships/hyperlink" Target="http://gofile.me/4xaew/4AlY7ZDKn" TargetMode="External"/><Relationship Id="rId105" Type="http://schemas.openxmlformats.org/officeDocument/2006/relationships/hyperlink" Target="http://gofile.me/4xaew/Xnb43OHJE" TargetMode="External"/><Relationship Id="rId126" Type="http://schemas.openxmlformats.org/officeDocument/2006/relationships/hyperlink" Target="http://gofile.me/4xaew/CG0kIguD2" TargetMode="External"/><Relationship Id="rId147" Type="http://schemas.openxmlformats.org/officeDocument/2006/relationships/hyperlink" Target="http://gofile.me/4xaew/39nBHnez5" TargetMode="External"/><Relationship Id="rId8" Type="http://schemas.openxmlformats.org/officeDocument/2006/relationships/hyperlink" Target="http://gofile.me/4xaew/KAagqWV3H" TargetMode="External"/><Relationship Id="rId51" Type="http://schemas.openxmlformats.org/officeDocument/2006/relationships/hyperlink" Target="http://gofile.me/4xaew/m4p5OQtza" TargetMode="External"/><Relationship Id="rId72" Type="http://schemas.openxmlformats.org/officeDocument/2006/relationships/hyperlink" Target="http://gofile.me/4xaew/apMiCyjgu" TargetMode="External"/><Relationship Id="rId93" Type="http://schemas.openxmlformats.org/officeDocument/2006/relationships/hyperlink" Target="http://gofile.me/4xaew/fKuwImwEn" TargetMode="External"/><Relationship Id="rId98" Type="http://schemas.openxmlformats.org/officeDocument/2006/relationships/hyperlink" Target="http://gofile.me/4xaew/08r01Dmpw" TargetMode="External"/><Relationship Id="rId121" Type="http://schemas.openxmlformats.org/officeDocument/2006/relationships/hyperlink" Target="http://gofile.me/4xaew/RCX3WTKtN" TargetMode="External"/><Relationship Id="rId142" Type="http://schemas.openxmlformats.org/officeDocument/2006/relationships/hyperlink" Target="http://gofile.me/4xaew/LvzZ5FArl" TargetMode="External"/><Relationship Id="rId3" Type="http://schemas.openxmlformats.org/officeDocument/2006/relationships/hyperlink" Target="http://gofile.me/4xaew/2XAZWRXgG" TargetMode="External"/><Relationship Id="rId25" Type="http://schemas.openxmlformats.org/officeDocument/2006/relationships/hyperlink" Target="http://gofile.me/4xaew/ItIvgfkcd" TargetMode="External"/><Relationship Id="rId46" Type="http://schemas.openxmlformats.org/officeDocument/2006/relationships/hyperlink" Target="http://gofile.me/4xaew/6UB1SxfEu" TargetMode="External"/><Relationship Id="rId67" Type="http://schemas.openxmlformats.org/officeDocument/2006/relationships/hyperlink" Target="http://gofile.me/4xaew/fuoKcQtvr" TargetMode="External"/><Relationship Id="rId116" Type="http://schemas.openxmlformats.org/officeDocument/2006/relationships/hyperlink" Target="http://gofile.me/4xaew/aSnMHAoNI" TargetMode="External"/><Relationship Id="rId137" Type="http://schemas.openxmlformats.org/officeDocument/2006/relationships/hyperlink" Target="http://gofile.me/4xaew/F2V2oNUNs" TargetMode="External"/><Relationship Id="rId20" Type="http://schemas.openxmlformats.org/officeDocument/2006/relationships/hyperlink" Target="http://gofile.me/4xaew/DTisLdgz6" TargetMode="External"/><Relationship Id="rId41" Type="http://schemas.openxmlformats.org/officeDocument/2006/relationships/hyperlink" Target="http://gofile.me/4xaew/kJ0ORpkje" TargetMode="External"/><Relationship Id="rId62" Type="http://schemas.openxmlformats.org/officeDocument/2006/relationships/hyperlink" Target="http://gofile.me/4xaew/cjur0txWP" TargetMode="External"/><Relationship Id="rId83" Type="http://schemas.openxmlformats.org/officeDocument/2006/relationships/hyperlink" Target="http://gofile.me/4xaew/FFN2uGWp9" TargetMode="External"/><Relationship Id="rId88" Type="http://schemas.openxmlformats.org/officeDocument/2006/relationships/hyperlink" Target="http://gofile.me/4xaew/rRIEyPSqM" TargetMode="External"/><Relationship Id="rId111" Type="http://schemas.openxmlformats.org/officeDocument/2006/relationships/hyperlink" Target="http://gofile.me/4xaew/XKiWFwu2Z" TargetMode="External"/><Relationship Id="rId132" Type="http://schemas.openxmlformats.org/officeDocument/2006/relationships/hyperlink" Target="http://gofile.me/4xaew/8ldzCOqtW" TargetMode="External"/><Relationship Id="rId15" Type="http://schemas.openxmlformats.org/officeDocument/2006/relationships/hyperlink" Target="http://gofile.me/4xaew/bVllQ2hQT" TargetMode="External"/><Relationship Id="rId36" Type="http://schemas.openxmlformats.org/officeDocument/2006/relationships/hyperlink" Target="http://gofile.me/4xaew/oaWVP95M7" TargetMode="External"/><Relationship Id="rId57" Type="http://schemas.openxmlformats.org/officeDocument/2006/relationships/hyperlink" Target="http://gofile.me/4xaew/xxJXzrlBX" TargetMode="External"/><Relationship Id="rId106" Type="http://schemas.openxmlformats.org/officeDocument/2006/relationships/hyperlink" Target="http://gofile.me/4xaew/pr9NXuQnY" TargetMode="External"/><Relationship Id="rId127" Type="http://schemas.openxmlformats.org/officeDocument/2006/relationships/hyperlink" Target="http://gofile.me/4xaew/kiA3SuDd5" TargetMode="External"/><Relationship Id="rId10" Type="http://schemas.openxmlformats.org/officeDocument/2006/relationships/hyperlink" Target="http://gofile.me/4xaew/CB5222uk3" TargetMode="External"/><Relationship Id="rId31" Type="http://schemas.openxmlformats.org/officeDocument/2006/relationships/hyperlink" Target="http://gofile.me/4xaew/YMXjPcuUx" TargetMode="External"/><Relationship Id="rId52" Type="http://schemas.openxmlformats.org/officeDocument/2006/relationships/hyperlink" Target="http://gofile.me/4xaew/Cj2WpxZyU" TargetMode="External"/><Relationship Id="rId73" Type="http://schemas.openxmlformats.org/officeDocument/2006/relationships/hyperlink" Target="http://gofile.me/4xaew/94NN5ogt6" TargetMode="External"/><Relationship Id="rId78" Type="http://schemas.openxmlformats.org/officeDocument/2006/relationships/hyperlink" Target="http://gofile.me/4xaew/7C7ani7AA" TargetMode="External"/><Relationship Id="rId94" Type="http://schemas.openxmlformats.org/officeDocument/2006/relationships/hyperlink" Target="http://gofile.me/4xaew/4K8Vvwwek" TargetMode="External"/><Relationship Id="rId99" Type="http://schemas.openxmlformats.org/officeDocument/2006/relationships/hyperlink" Target="http://gofile.me/4xaew/oXj9pgFca" TargetMode="External"/><Relationship Id="rId101" Type="http://schemas.openxmlformats.org/officeDocument/2006/relationships/hyperlink" Target="http://gofile.me/4xaew/5q2cIx2Xx" TargetMode="External"/><Relationship Id="rId122" Type="http://schemas.openxmlformats.org/officeDocument/2006/relationships/hyperlink" Target="http://gofile.me/4xaew/rSlJ6HOMK" TargetMode="External"/><Relationship Id="rId143" Type="http://schemas.openxmlformats.org/officeDocument/2006/relationships/hyperlink" Target="http://gofile.me/4xaew/te4EyJsDl" TargetMode="External"/><Relationship Id="rId148" Type="http://schemas.openxmlformats.org/officeDocument/2006/relationships/hyperlink" Target="http://gofile.me/4xaew/dXDQ2YMVx" TargetMode="External"/><Relationship Id="rId4" Type="http://schemas.openxmlformats.org/officeDocument/2006/relationships/hyperlink" Target="http://gofile.me/4xaew/4mA7dcmTW" TargetMode="External"/><Relationship Id="rId9" Type="http://schemas.openxmlformats.org/officeDocument/2006/relationships/hyperlink" Target="http://gofile.me/4xaew/HWGfohslP" TargetMode="External"/><Relationship Id="rId26" Type="http://schemas.openxmlformats.org/officeDocument/2006/relationships/hyperlink" Target="http://gofile.me/4xaew/Tq47na3jZ" TargetMode="External"/><Relationship Id="rId47" Type="http://schemas.openxmlformats.org/officeDocument/2006/relationships/hyperlink" Target="http://gofile.me/4xaew/uyZOqzLBV" TargetMode="External"/><Relationship Id="rId68" Type="http://schemas.openxmlformats.org/officeDocument/2006/relationships/hyperlink" Target="http://gofile.me/4xaew/KaDseKtL2" TargetMode="External"/><Relationship Id="rId89" Type="http://schemas.openxmlformats.org/officeDocument/2006/relationships/hyperlink" Target="http://gofile.me/4xaew/pqhk02zLP" TargetMode="External"/><Relationship Id="rId112" Type="http://schemas.openxmlformats.org/officeDocument/2006/relationships/hyperlink" Target="http://gofile.me/4xaew/yW33fWFty" TargetMode="External"/><Relationship Id="rId133" Type="http://schemas.openxmlformats.org/officeDocument/2006/relationships/hyperlink" Target="http://gofile.me/4xaew/gn30whidU" TargetMode="External"/><Relationship Id="rId16" Type="http://schemas.openxmlformats.org/officeDocument/2006/relationships/hyperlink" Target="http://gofile.me/4xaew/IGasxPMS9" TargetMode="External"/><Relationship Id="rId37" Type="http://schemas.openxmlformats.org/officeDocument/2006/relationships/hyperlink" Target="http://gofile.me/4xaew/1GRpC6VML" TargetMode="External"/><Relationship Id="rId58" Type="http://schemas.openxmlformats.org/officeDocument/2006/relationships/hyperlink" Target="http://gofile.me/4xaew/fshM8Cx35" TargetMode="External"/><Relationship Id="rId79" Type="http://schemas.openxmlformats.org/officeDocument/2006/relationships/hyperlink" Target="http://gofile.me/4xaew/RTxTuZ1AF" TargetMode="External"/><Relationship Id="rId102" Type="http://schemas.openxmlformats.org/officeDocument/2006/relationships/hyperlink" Target="http://gofile.me/4xaew/4EZXQf1Nr" TargetMode="External"/><Relationship Id="rId123" Type="http://schemas.openxmlformats.org/officeDocument/2006/relationships/hyperlink" Target="http://gofile.me/4xaew/M5gHMXvbq" TargetMode="External"/><Relationship Id="rId144" Type="http://schemas.openxmlformats.org/officeDocument/2006/relationships/hyperlink" Target="http://gofile.me/4xaew/k5LAthWcr" TargetMode="External"/></Relationships>
</file>

<file path=xl/worksheets/_rels/sheet23.xml.rels><?xml version="1.0" encoding="UTF-8" standalone="yes"?>
<Relationships xmlns="http://schemas.openxmlformats.org/package/2006/relationships"><Relationship Id="rId117" Type="http://schemas.openxmlformats.org/officeDocument/2006/relationships/hyperlink" Target="http://gofile.me/4xaew/ybpHRHUcY" TargetMode="External"/><Relationship Id="rId21" Type="http://schemas.openxmlformats.org/officeDocument/2006/relationships/hyperlink" Target="http://gofile.me/4xaew/Jgzl57e5F" TargetMode="External"/><Relationship Id="rId63" Type="http://schemas.openxmlformats.org/officeDocument/2006/relationships/hyperlink" Target="http://gofile.me/4xaew/VPWz09Qyi" TargetMode="External"/><Relationship Id="rId159" Type="http://schemas.openxmlformats.org/officeDocument/2006/relationships/hyperlink" Target="http://gofile.me/4xaew/FcQfF7WdP" TargetMode="External"/><Relationship Id="rId170" Type="http://schemas.openxmlformats.org/officeDocument/2006/relationships/hyperlink" Target="http://gofile.me/4xaew/RS2P9L0gD" TargetMode="External"/><Relationship Id="rId191" Type="http://schemas.openxmlformats.org/officeDocument/2006/relationships/hyperlink" Target="http://gofile.me/4xaew/s8ffE9jRF" TargetMode="External"/><Relationship Id="rId205" Type="http://schemas.openxmlformats.org/officeDocument/2006/relationships/hyperlink" Target="http://gofile.me/4xaew/xwAFBZMiS" TargetMode="External"/><Relationship Id="rId226" Type="http://schemas.openxmlformats.org/officeDocument/2006/relationships/hyperlink" Target="http://gofile.me/4xaew/Jdy6KuZbZ" TargetMode="External"/><Relationship Id="rId247" Type="http://schemas.openxmlformats.org/officeDocument/2006/relationships/hyperlink" Target="http://gofile.me/4xaew/xtWXpoHK5" TargetMode="External"/><Relationship Id="rId107" Type="http://schemas.openxmlformats.org/officeDocument/2006/relationships/hyperlink" Target="http://gofile.me/4xaew/x1EEvfetp" TargetMode="External"/><Relationship Id="rId11" Type="http://schemas.openxmlformats.org/officeDocument/2006/relationships/hyperlink" Target="http://gofile.me/4xaew/SkBdnO3VV" TargetMode="External"/><Relationship Id="rId32" Type="http://schemas.openxmlformats.org/officeDocument/2006/relationships/hyperlink" Target="http://gofile.me/4xaew/2NQZh3YlW" TargetMode="External"/><Relationship Id="rId53" Type="http://schemas.openxmlformats.org/officeDocument/2006/relationships/hyperlink" Target="http://gofile.me/4xaew/hMcPpwssD" TargetMode="External"/><Relationship Id="rId74" Type="http://schemas.openxmlformats.org/officeDocument/2006/relationships/hyperlink" Target="http://gofile.me/4xaew/koCTttJzB" TargetMode="External"/><Relationship Id="rId128" Type="http://schemas.openxmlformats.org/officeDocument/2006/relationships/hyperlink" Target="http://gofile.me/4xaew/jweW0lVBS" TargetMode="External"/><Relationship Id="rId149" Type="http://schemas.openxmlformats.org/officeDocument/2006/relationships/hyperlink" Target="http://gofile.me/4xaew/BswDRCLVX" TargetMode="External"/><Relationship Id="rId5" Type="http://schemas.openxmlformats.org/officeDocument/2006/relationships/hyperlink" Target="http://gofile.me/4xaew/wHAKVa1SA" TargetMode="External"/><Relationship Id="rId95" Type="http://schemas.openxmlformats.org/officeDocument/2006/relationships/hyperlink" Target="http://gofile.me/4xaew/FwQARtI0j" TargetMode="External"/><Relationship Id="rId160" Type="http://schemas.openxmlformats.org/officeDocument/2006/relationships/hyperlink" Target="http://gofile.me/4xaew/4pyfdswzh" TargetMode="External"/><Relationship Id="rId181" Type="http://schemas.openxmlformats.org/officeDocument/2006/relationships/hyperlink" Target="http://gofile.me/4xaew/Au9BJgs4c" TargetMode="External"/><Relationship Id="rId216" Type="http://schemas.openxmlformats.org/officeDocument/2006/relationships/hyperlink" Target="http://gofile.me/4xaew/2aQ110MIw" TargetMode="External"/><Relationship Id="rId237" Type="http://schemas.openxmlformats.org/officeDocument/2006/relationships/hyperlink" Target="http://gofile.me/4xaew/hMzyIrjfp" TargetMode="External"/><Relationship Id="rId258" Type="http://schemas.openxmlformats.org/officeDocument/2006/relationships/hyperlink" Target="http://gofile.me/4xaew/VU4t4X1Qd" TargetMode="External"/><Relationship Id="rId22" Type="http://schemas.openxmlformats.org/officeDocument/2006/relationships/hyperlink" Target="http://gofile.me/4xaew/VOY1IYApR" TargetMode="External"/><Relationship Id="rId43" Type="http://schemas.openxmlformats.org/officeDocument/2006/relationships/hyperlink" Target="http://gofile.me/4xaew/OnL7CaZmO" TargetMode="External"/><Relationship Id="rId64" Type="http://schemas.openxmlformats.org/officeDocument/2006/relationships/hyperlink" Target="http://gofile.me/4xaew/QiqXrxk61" TargetMode="External"/><Relationship Id="rId118" Type="http://schemas.openxmlformats.org/officeDocument/2006/relationships/hyperlink" Target="http://gofile.me/4xaew/ER9VZCzEw" TargetMode="External"/><Relationship Id="rId139" Type="http://schemas.openxmlformats.org/officeDocument/2006/relationships/hyperlink" Target="http://gofile.me/4xaew/VMjfljQ2f" TargetMode="External"/><Relationship Id="rId85" Type="http://schemas.openxmlformats.org/officeDocument/2006/relationships/hyperlink" Target="http://gofile.me/4xaew/ELeWUCAnS" TargetMode="External"/><Relationship Id="rId150" Type="http://schemas.openxmlformats.org/officeDocument/2006/relationships/hyperlink" Target="http://gofile.me/4xaew/X5xVoXg02" TargetMode="External"/><Relationship Id="rId171" Type="http://schemas.openxmlformats.org/officeDocument/2006/relationships/hyperlink" Target="http://gofile.me/4xaew/UMJw82ytq" TargetMode="External"/><Relationship Id="rId192" Type="http://schemas.openxmlformats.org/officeDocument/2006/relationships/hyperlink" Target="http://gofile.me/4xaew/o99X02uvV" TargetMode="External"/><Relationship Id="rId206" Type="http://schemas.openxmlformats.org/officeDocument/2006/relationships/hyperlink" Target="http://gofile.me/4xaew/ATnBfF5Kl" TargetMode="External"/><Relationship Id="rId227" Type="http://schemas.openxmlformats.org/officeDocument/2006/relationships/hyperlink" Target="http://gofile.me/4xaew/7TF7LfKK5" TargetMode="External"/><Relationship Id="rId248" Type="http://schemas.openxmlformats.org/officeDocument/2006/relationships/hyperlink" Target="http://gofile.me/4xaew/Yyrwy2xhw" TargetMode="External"/><Relationship Id="rId12" Type="http://schemas.openxmlformats.org/officeDocument/2006/relationships/hyperlink" Target="http://gofile.me/4xaew/6UYNBdZMJ" TargetMode="External"/><Relationship Id="rId33" Type="http://schemas.openxmlformats.org/officeDocument/2006/relationships/hyperlink" Target="http://gofile.me/4xaew/jlmxVoluR" TargetMode="External"/><Relationship Id="rId108" Type="http://schemas.openxmlformats.org/officeDocument/2006/relationships/hyperlink" Target="http://gofile.me/4xaew/yOuKN3XFX" TargetMode="External"/><Relationship Id="rId129" Type="http://schemas.openxmlformats.org/officeDocument/2006/relationships/hyperlink" Target="http://gofile.me/4xaew/OjTgDxBna" TargetMode="External"/><Relationship Id="rId54" Type="http://schemas.openxmlformats.org/officeDocument/2006/relationships/hyperlink" Target="http://gofile.me/4xaew/ZtJpm56vU" TargetMode="External"/><Relationship Id="rId75" Type="http://schemas.openxmlformats.org/officeDocument/2006/relationships/hyperlink" Target="http://gofile.me/4xaew/sm4fomz9g" TargetMode="External"/><Relationship Id="rId96" Type="http://schemas.openxmlformats.org/officeDocument/2006/relationships/hyperlink" Target="http://gofile.me/4xaew/KnHQl0IEk" TargetMode="External"/><Relationship Id="rId140" Type="http://schemas.openxmlformats.org/officeDocument/2006/relationships/hyperlink" Target="http://gofile.me/4xaew/tM86jAN4L" TargetMode="External"/><Relationship Id="rId161" Type="http://schemas.openxmlformats.org/officeDocument/2006/relationships/hyperlink" Target="http://gofile.me/4xaew/XwbRsoqop" TargetMode="External"/><Relationship Id="rId182" Type="http://schemas.openxmlformats.org/officeDocument/2006/relationships/hyperlink" Target="http://gofile.me/4xaew/limQaR021" TargetMode="External"/><Relationship Id="rId217" Type="http://schemas.openxmlformats.org/officeDocument/2006/relationships/hyperlink" Target="http://gofile.me/4xaew/ltl3F9iO8" TargetMode="External"/><Relationship Id="rId6" Type="http://schemas.openxmlformats.org/officeDocument/2006/relationships/hyperlink" Target="http://gofile.me/4xaew/NDAMGV2yG" TargetMode="External"/><Relationship Id="rId238" Type="http://schemas.openxmlformats.org/officeDocument/2006/relationships/hyperlink" Target="http://gofile.me/4xaew/4CpDa18pK" TargetMode="External"/><Relationship Id="rId259" Type="http://schemas.openxmlformats.org/officeDocument/2006/relationships/hyperlink" Target="http://gofile.me/4xaew/g9zAibLQB" TargetMode="External"/><Relationship Id="rId23" Type="http://schemas.openxmlformats.org/officeDocument/2006/relationships/hyperlink" Target="http://gofile.me/4xaew/50G17ZnjN" TargetMode="External"/><Relationship Id="rId119" Type="http://schemas.openxmlformats.org/officeDocument/2006/relationships/hyperlink" Target="http://gofile.me/4xaew/DCOf86oqP" TargetMode="External"/><Relationship Id="rId44" Type="http://schemas.openxmlformats.org/officeDocument/2006/relationships/hyperlink" Target="http://gofile.me/4xaew/grzvXVzlz" TargetMode="External"/><Relationship Id="rId65" Type="http://schemas.openxmlformats.org/officeDocument/2006/relationships/hyperlink" Target="http://gofile.me/4xaew/q5mLtYyWI" TargetMode="External"/><Relationship Id="rId86" Type="http://schemas.openxmlformats.org/officeDocument/2006/relationships/hyperlink" Target="http://gofile.me/4xaew/mfH3jvdA5" TargetMode="External"/><Relationship Id="rId130" Type="http://schemas.openxmlformats.org/officeDocument/2006/relationships/hyperlink" Target="http://gofile.me/4xaew/BY57PBXxu" TargetMode="External"/><Relationship Id="rId151" Type="http://schemas.openxmlformats.org/officeDocument/2006/relationships/hyperlink" Target="http://gofile.me/4xaew/wuvF3YlMO" TargetMode="External"/><Relationship Id="rId172" Type="http://schemas.openxmlformats.org/officeDocument/2006/relationships/hyperlink" Target="http://gofile.me/4xaew/uqXPK32P1" TargetMode="External"/><Relationship Id="rId193" Type="http://schemas.openxmlformats.org/officeDocument/2006/relationships/hyperlink" Target="http://gofile.me/4xaew/4L84eJwqP" TargetMode="External"/><Relationship Id="rId207" Type="http://schemas.openxmlformats.org/officeDocument/2006/relationships/hyperlink" Target="http://gofile.me/4xaew/F764pk5SP" TargetMode="External"/><Relationship Id="rId228" Type="http://schemas.openxmlformats.org/officeDocument/2006/relationships/hyperlink" Target="http://gofile.me/4xaew/6fqBr3blm" TargetMode="External"/><Relationship Id="rId249" Type="http://schemas.openxmlformats.org/officeDocument/2006/relationships/hyperlink" Target="http://gofile.me/4xaew/4xXXqKlUT" TargetMode="External"/><Relationship Id="rId13" Type="http://schemas.openxmlformats.org/officeDocument/2006/relationships/hyperlink" Target="http://gofile.me/4xaew/fcQZ9Do4l" TargetMode="External"/><Relationship Id="rId109" Type="http://schemas.openxmlformats.org/officeDocument/2006/relationships/hyperlink" Target="http://gofile.me/4xaew/UZC9lDktJ" TargetMode="External"/><Relationship Id="rId260" Type="http://schemas.openxmlformats.org/officeDocument/2006/relationships/hyperlink" Target="http://gofile.me/4xaew/LQh4CIfJ4" TargetMode="External"/><Relationship Id="rId34" Type="http://schemas.openxmlformats.org/officeDocument/2006/relationships/hyperlink" Target="http://gofile.me/4xaew/Pwev0S8ES" TargetMode="External"/><Relationship Id="rId55" Type="http://schemas.openxmlformats.org/officeDocument/2006/relationships/hyperlink" Target="http://gofile.me/4xaew/A2jc9mrFO" TargetMode="External"/><Relationship Id="rId76" Type="http://schemas.openxmlformats.org/officeDocument/2006/relationships/hyperlink" Target="http://gofile.me/4xaew/IGpefn0dR" TargetMode="External"/><Relationship Id="rId97" Type="http://schemas.openxmlformats.org/officeDocument/2006/relationships/hyperlink" Target="http://gofile.me/4xaew/BHDgVFaMa" TargetMode="External"/><Relationship Id="rId120" Type="http://schemas.openxmlformats.org/officeDocument/2006/relationships/hyperlink" Target="http://gofile.me/4xaew/0qmqsPRF5" TargetMode="External"/><Relationship Id="rId141" Type="http://schemas.openxmlformats.org/officeDocument/2006/relationships/hyperlink" Target="http://gofile.me/4xaew/4xGtU3yL3" TargetMode="External"/><Relationship Id="rId7" Type="http://schemas.openxmlformats.org/officeDocument/2006/relationships/hyperlink" Target="http://gofile.me/4xaew/21ECM3Je8" TargetMode="External"/><Relationship Id="rId162" Type="http://schemas.openxmlformats.org/officeDocument/2006/relationships/hyperlink" Target="http://gofile.me/4xaew/dPusW7f1F" TargetMode="External"/><Relationship Id="rId183" Type="http://schemas.openxmlformats.org/officeDocument/2006/relationships/hyperlink" Target="http://gofile.me/4xaew/FKLu0ynVI" TargetMode="External"/><Relationship Id="rId218" Type="http://schemas.openxmlformats.org/officeDocument/2006/relationships/hyperlink" Target="http://gofile.me/4xaew/8bWTO6gMT" TargetMode="External"/><Relationship Id="rId239" Type="http://schemas.openxmlformats.org/officeDocument/2006/relationships/hyperlink" Target="http://gofile.me/4xaew/tlLPixudF" TargetMode="External"/><Relationship Id="rId250" Type="http://schemas.openxmlformats.org/officeDocument/2006/relationships/hyperlink" Target="http://gofile.me/4xaew/O5Yqa0ei2" TargetMode="External"/><Relationship Id="rId24" Type="http://schemas.openxmlformats.org/officeDocument/2006/relationships/hyperlink" Target="http://gofile.me/4xaew/9mz9lRThr" TargetMode="External"/><Relationship Id="rId45" Type="http://schemas.openxmlformats.org/officeDocument/2006/relationships/hyperlink" Target="http://gofile.me/4xaew/YXfVQPEcx" TargetMode="External"/><Relationship Id="rId66" Type="http://schemas.openxmlformats.org/officeDocument/2006/relationships/hyperlink" Target="http://gofile.me/4xaew/1J5Jzc5eE" TargetMode="External"/><Relationship Id="rId87" Type="http://schemas.openxmlformats.org/officeDocument/2006/relationships/hyperlink" Target="http://gofile.me/4xaew/3YLHDP0hx" TargetMode="External"/><Relationship Id="rId110" Type="http://schemas.openxmlformats.org/officeDocument/2006/relationships/hyperlink" Target="http://gofile.me/4xaew/2NhaBTDKy" TargetMode="External"/><Relationship Id="rId131" Type="http://schemas.openxmlformats.org/officeDocument/2006/relationships/hyperlink" Target="http://gofile.me/4xaew/CKZACMQ52" TargetMode="External"/><Relationship Id="rId152" Type="http://schemas.openxmlformats.org/officeDocument/2006/relationships/hyperlink" Target="http://gofile.me/4xaew/p4cFJ1jn0" TargetMode="External"/><Relationship Id="rId173" Type="http://schemas.openxmlformats.org/officeDocument/2006/relationships/hyperlink" Target="http://gofile.me/4xaew/wjnhMUHUv" TargetMode="External"/><Relationship Id="rId194" Type="http://schemas.openxmlformats.org/officeDocument/2006/relationships/hyperlink" Target="http://gofile.me/4xaew/uVzuh01NB" TargetMode="External"/><Relationship Id="rId208" Type="http://schemas.openxmlformats.org/officeDocument/2006/relationships/hyperlink" Target="http://gofile.me/4xaew/A0ONqOpFC" TargetMode="External"/><Relationship Id="rId229" Type="http://schemas.openxmlformats.org/officeDocument/2006/relationships/hyperlink" Target="http://gofile.me/4xaew/6hhu3LQ4A" TargetMode="External"/><Relationship Id="rId240" Type="http://schemas.openxmlformats.org/officeDocument/2006/relationships/hyperlink" Target="http://gofile.me/4xaew/t8qn4bZrd" TargetMode="External"/><Relationship Id="rId261" Type="http://schemas.openxmlformats.org/officeDocument/2006/relationships/hyperlink" Target="http://gofile.me/4xaew/IPS19m1fI" TargetMode="External"/><Relationship Id="rId14" Type="http://schemas.openxmlformats.org/officeDocument/2006/relationships/hyperlink" Target="http://gofile.me/4xaew/8AZ3C5llk" TargetMode="External"/><Relationship Id="rId35" Type="http://schemas.openxmlformats.org/officeDocument/2006/relationships/hyperlink" Target="http://gofile.me/4xaew/D2zgIlJXw" TargetMode="External"/><Relationship Id="rId56" Type="http://schemas.openxmlformats.org/officeDocument/2006/relationships/hyperlink" Target="http://gofile.me/4xaew/43TVD9sCm" TargetMode="External"/><Relationship Id="rId77" Type="http://schemas.openxmlformats.org/officeDocument/2006/relationships/hyperlink" Target="http://gofile.me/4xaew/X67Z89mo1" TargetMode="External"/><Relationship Id="rId100" Type="http://schemas.openxmlformats.org/officeDocument/2006/relationships/hyperlink" Target="http://gofile.me/4xaew/iIUpayv7S" TargetMode="External"/><Relationship Id="rId8" Type="http://schemas.openxmlformats.org/officeDocument/2006/relationships/hyperlink" Target="http://gofile.me/4xaew/ukmG1oWa6" TargetMode="External"/><Relationship Id="rId98" Type="http://schemas.openxmlformats.org/officeDocument/2006/relationships/hyperlink" Target="http://gofile.me/4xaew/h060tKX0c" TargetMode="External"/><Relationship Id="rId121" Type="http://schemas.openxmlformats.org/officeDocument/2006/relationships/hyperlink" Target="http://gofile.me/4xaew/ZApNxLrlC" TargetMode="External"/><Relationship Id="rId142" Type="http://schemas.openxmlformats.org/officeDocument/2006/relationships/hyperlink" Target="http://gofile.me/4xaew/KV0wjLPUv" TargetMode="External"/><Relationship Id="rId163" Type="http://schemas.openxmlformats.org/officeDocument/2006/relationships/hyperlink" Target="http://gofile.me/4xaew/iCOOGBP0J" TargetMode="External"/><Relationship Id="rId184" Type="http://schemas.openxmlformats.org/officeDocument/2006/relationships/hyperlink" Target="http://gofile.me/4xaew/mIPTQ6cEK" TargetMode="External"/><Relationship Id="rId219" Type="http://schemas.openxmlformats.org/officeDocument/2006/relationships/hyperlink" Target="http://gofile.me/4xaew/JtOZcXYF2" TargetMode="External"/><Relationship Id="rId230" Type="http://schemas.openxmlformats.org/officeDocument/2006/relationships/hyperlink" Target="http://gofile.me/4xaew/6e52KxJqF" TargetMode="External"/><Relationship Id="rId251" Type="http://schemas.openxmlformats.org/officeDocument/2006/relationships/hyperlink" Target="http://gofile.me/4xaew/shRD7aiGm" TargetMode="External"/><Relationship Id="rId25" Type="http://schemas.openxmlformats.org/officeDocument/2006/relationships/hyperlink" Target="http://gofile.me/4xaew/7RvA69Hro" TargetMode="External"/><Relationship Id="rId46" Type="http://schemas.openxmlformats.org/officeDocument/2006/relationships/hyperlink" Target="http://gofile.me/4xaew/ODJzzfE1T" TargetMode="External"/><Relationship Id="rId67" Type="http://schemas.openxmlformats.org/officeDocument/2006/relationships/hyperlink" Target="http://gofile.me/4xaew/xUy3b1i99" TargetMode="External"/><Relationship Id="rId88" Type="http://schemas.openxmlformats.org/officeDocument/2006/relationships/hyperlink" Target="http://gofile.me/4xaew/3UAgZH2T7" TargetMode="External"/><Relationship Id="rId111" Type="http://schemas.openxmlformats.org/officeDocument/2006/relationships/hyperlink" Target="http://gofile.me/4xaew/d1EEqmH1S" TargetMode="External"/><Relationship Id="rId132" Type="http://schemas.openxmlformats.org/officeDocument/2006/relationships/hyperlink" Target="http://gofile.me/4xaew/K5ps9jeqz" TargetMode="External"/><Relationship Id="rId153" Type="http://schemas.openxmlformats.org/officeDocument/2006/relationships/hyperlink" Target="http://gofile.me/4xaew/Y0k6lWpYl" TargetMode="External"/><Relationship Id="rId174" Type="http://schemas.openxmlformats.org/officeDocument/2006/relationships/hyperlink" Target="http://gofile.me/4xaew/4zFeK0rsJ" TargetMode="External"/><Relationship Id="rId195" Type="http://schemas.openxmlformats.org/officeDocument/2006/relationships/hyperlink" Target="http://gofile.me/4xaew/qjmqwSwcl" TargetMode="External"/><Relationship Id="rId209" Type="http://schemas.openxmlformats.org/officeDocument/2006/relationships/hyperlink" Target="http://gofile.me/4xaew/HxBg17Ud2" TargetMode="External"/><Relationship Id="rId220" Type="http://schemas.openxmlformats.org/officeDocument/2006/relationships/hyperlink" Target="http://gofile.me/4xaew/LrQKAHCGA" TargetMode="External"/><Relationship Id="rId241" Type="http://schemas.openxmlformats.org/officeDocument/2006/relationships/hyperlink" Target="http://gofile.me/4xaew/FhjUQVb9d" TargetMode="External"/><Relationship Id="rId15" Type="http://schemas.openxmlformats.org/officeDocument/2006/relationships/hyperlink" Target="http://gofile.me/4xaew/9GsZFMWEN" TargetMode="External"/><Relationship Id="rId36" Type="http://schemas.openxmlformats.org/officeDocument/2006/relationships/hyperlink" Target="http://gofile.me/4xaew/C4NcSMaSD" TargetMode="External"/><Relationship Id="rId57" Type="http://schemas.openxmlformats.org/officeDocument/2006/relationships/hyperlink" Target="http://gofile.me/4xaew/jymYj3cvG" TargetMode="External"/><Relationship Id="rId78" Type="http://schemas.openxmlformats.org/officeDocument/2006/relationships/hyperlink" Target="http://gofile.me/4xaew/xgHbJY1is" TargetMode="External"/><Relationship Id="rId99" Type="http://schemas.openxmlformats.org/officeDocument/2006/relationships/hyperlink" Target="http://gofile.me/4xaew/9r26a1fM6" TargetMode="External"/><Relationship Id="rId101" Type="http://schemas.openxmlformats.org/officeDocument/2006/relationships/hyperlink" Target="http://gofile.me/4xaew/qBCXx1yVH" TargetMode="External"/><Relationship Id="rId122" Type="http://schemas.openxmlformats.org/officeDocument/2006/relationships/hyperlink" Target="http://gofile.me/4xaew/mc5C3Bvp1" TargetMode="External"/><Relationship Id="rId143" Type="http://schemas.openxmlformats.org/officeDocument/2006/relationships/hyperlink" Target="http://gofile.me/4xaew/JizncJRQ5" TargetMode="External"/><Relationship Id="rId164" Type="http://schemas.openxmlformats.org/officeDocument/2006/relationships/hyperlink" Target="http://gofile.me/4xaew/djHtnAhDe" TargetMode="External"/><Relationship Id="rId185" Type="http://schemas.openxmlformats.org/officeDocument/2006/relationships/hyperlink" Target="http://gofile.me/4xaew/pxxMvvMY6" TargetMode="External"/><Relationship Id="rId9" Type="http://schemas.openxmlformats.org/officeDocument/2006/relationships/hyperlink" Target="http://gofile.me/4xaew/LJoO478mc" TargetMode="External"/><Relationship Id="rId210" Type="http://schemas.openxmlformats.org/officeDocument/2006/relationships/hyperlink" Target="http://gofile.me/4xaew/h6QDIpJ3a" TargetMode="External"/><Relationship Id="rId26" Type="http://schemas.openxmlformats.org/officeDocument/2006/relationships/hyperlink" Target="http://gofile.me/4xaew/fNSunKQrr" TargetMode="External"/><Relationship Id="rId231" Type="http://schemas.openxmlformats.org/officeDocument/2006/relationships/hyperlink" Target="http://gofile.me/4xaew/GJsqJwWTI" TargetMode="External"/><Relationship Id="rId252" Type="http://schemas.openxmlformats.org/officeDocument/2006/relationships/hyperlink" Target="http://gofile.me/4xaew/Qv3QfyNBw" TargetMode="External"/><Relationship Id="rId47" Type="http://schemas.openxmlformats.org/officeDocument/2006/relationships/hyperlink" Target="http://gofile.me/4xaew/KSE52fgGx" TargetMode="External"/><Relationship Id="rId68" Type="http://schemas.openxmlformats.org/officeDocument/2006/relationships/hyperlink" Target="http://gofile.me/4xaew/EI3IfjzBu" TargetMode="External"/><Relationship Id="rId89" Type="http://schemas.openxmlformats.org/officeDocument/2006/relationships/hyperlink" Target="http://gofile.me/4xaew/FGgSOrDmX" TargetMode="External"/><Relationship Id="rId112" Type="http://schemas.openxmlformats.org/officeDocument/2006/relationships/hyperlink" Target="http://gofile.me/4xaew/qKt14YF6x" TargetMode="External"/><Relationship Id="rId133" Type="http://schemas.openxmlformats.org/officeDocument/2006/relationships/hyperlink" Target="http://gofile.me/4xaew/lH7sSX4O4" TargetMode="External"/><Relationship Id="rId154" Type="http://schemas.openxmlformats.org/officeDocument/2006/relationships/hyperlink" Target="http://gofile.me/4xaew/9dRCrT6D2" TargetMode="External"/><Relationship Id="rId175" Type="http://schemas.openxmlformats.org/officeDocument/2006/relationships/hyperlink" Target="http://gofile.me/4xaew/biLtRGY0E" TargetMode="External"/><Relationship Id="rId196" Type="http://schemas.openxmlformats.org/officeDocument/2006/relationships/hyperlink" Target="http://gofile.me/4xaew/liucjbJBq" TargetMode="External"/><Relationship Id="rId200" Type="http://schemas.openxmlformats.org/officeDocument/2006/relationships/hyperlink" Target="http://gofile.me/4xaew/IIPL7Jgrx" TargetMode="External"/><Relationship Id="rId16" Type="http://schemas.openxmlformats.org/officeDocument/2006/relationships/hyperlink" Target="http://gofile.me/4xaew/nUacDyjux" TargetMode="External"/><Relationship Id="rId221" Type="http://schemas.openxmlformats.org/officeDocument/2006/relationships/hyperlink" Target="http://gofile.me/4xaew/EfDmZN6Wr" TargetMode="External"/><Relationship Id="rId242" Type="http://schemas.openxmlformats.org/officeDocument/2006/relationships/hyperlink" Target="http://gofile.me/4xaew/f8rp5qqpu" TargetMode="External"/><Relationship Id="rId37" Type="http://schemas.openxmlformats.org/officeDocument/2006/relationships/hyperlink" Target="http://gofile.me/4xaew/89GWAP1YW" TargetMode="External"/><Relationship Id="rId58" Type="http://schemas.openxmlformats.org/officeDocument/2006/relationships/hyperlink" Target="http://gofile.me/4xaew/jy3s0FHwC" TargetMode="External"/><Relationship Id="rId79" Type="http://schemas.openxmlformats.org/officeDocument/2006/relationships/hyperlink" Target="http://gofile.me/4xaew/0gSMyFxeX" TargetMode="External"/><Relationship Id="rId102" Type="http://schemas.openxmlformats.org/officeDocument/2006/relationships/hyperlink" Target="http://gofile.me/4xaew/8HoUTUmzV" TargetMode="External"/><Relationship Id="rId123" Type="http://schemas.openxmlformats.org/officeDocument/2006/relationships/hyperlink" Target="http://gofile.me/4xaew/dvRStlb8q" TargetMode="External"/><Relationship Id="rId144" Type="http://schemas.openxmlformats.org/officeDocument/2006/relationships/hyperlink" Target="http://gofile.me/4xaew/uHqYSDnva" TargetMode="External"/><Relationship Id="rId90" Type="http://schemas.openxmlformats.org/officeDocument/2006/relationships/hyperlink" Target="http://gofile.me/4xaew/JlRHi3XEe" TargetMode="External"/><Relationship Id="rId165" Type="http://schemas.openxmlformats.org/officeDocument/2006/relationships/hyperlink" Target="http://gofile.me/4xaew/7fwQrZdy4" TargetMode="External"/><Relationship Id="rId186" Type="http://schemas.openxmlformats.org/officeDocument/2006/relationships/hyperlink" Target="http://gofile.me/4xaew/tsN5wEJZM" TargetMode="External"/><Relationship Id="rId211" Type="http://schemas.openxmlformats.org/officeDocument/2006/relationships/hyperlink" Target="http://gofile.me/4xaew/7q2QPbnr3" TargetMode="External"/><Relationship Id="rId232" Type="http://schemas.openxmlformats.org/officeDocument/2006/relationships/hyperlink" Target="http://gofile.me/4xaew/VRKTcAZ0A" TargetMode="External"/><Relationship Id="rId253" Type="http://schemas.openxmlformats.org/officeDocument/2006/relationships/hyperlink" Target="http://gofile.me/4xaew/Xzs2tnClH" TargetMode="External"/><Relationship Id="rId27" Type="http://schemas.openxmlformats.org/officeDocument/2006/relationships/hyperlink" Target="http://gofile.me/4xaew/rUfjohwCc" TargetMode="External"/><Relationship Id="rId48" Type="http://schemas.openxmlformats.org/officeDocument/2006/relationships/hyperlink" Target="http://gofile.me/4xaew/CfvkJ1lDA" TargetMode="External"/><Relationship Id="rId69" Type="http://schemas.openxmlformats.org/officeDocument/2006/relationships/hyperlink" Target="http://gofile.me/4xaew/ZTcvux5rL" TargetMode="External"/><Relationship Id="rId113" Type="http://schemas.openxmlformats.org/officeDocument/2006/relationships/hyperlink" Target="http://gofile.me/4xaew/W3co87AJx" TargetMode="External"/><Relationship Id="rId134" Type="http://schemas.openxmlformats.org/officeDocument/2006/relationships/hyperlink" Target="http://gofile.me/4xaew/slPmv0L9I" TargetMode="External"/><Relationship Id="rId80" Type="http://schemas.openxmlformats.org/officeDocument/2006/relationships/hyperlink" Target="http://gofile.me/4xaew/b9fZxvvX4" TargetMode="External"/><Relationship Id="rId155" Type="http://schemas.openxmlformats.org/officeDocument/2006/relationships/hyperlink" Target="http://gofile.me/4xaew/PLGfQAKMG" TargetMode="External"/><Relationship Id="rId176" Type="http://schemas.openxmlformats.org/officeDocument/2006/relationships/hyperlink" Target="http://gofile.me/4xaew/nMX3AGtMO" TargetMode="External"/><Relationship Id="rId197" Type="http://schemas.openxmlformats.org/officeDocument/2006/relationships/hyperlink" Target="http://gofile.me/4xaew/2RfEeGREy" TargetMode="External"/><Relationship Id="rId201" Type="http://schemas.openxmlformats.org/officeDocument/2006/relationships/hyperlink" Target="http://gofile.me/4xaew/lhdPngLuj" TargetMode="External"/><Relationship Id="rId222" Type="http://schemas.openxmlformats.org/officeDocument/2006/relationships/hyperlink" Target="http://gofile.me/4xaew/UJQCXk8jC" TargetMode="External"/><Relationship Id="rId243" Type="http://schemas.openxmlformats.org/officeDocument/2006/relationships/hyperlink" Target="http://gofile.me/4xaew/vAGNznRVy" TargetMode="External"/><Relationship Id="rId17" Type="http://schemas.openxmlformats.org/officeDocument/2006/relationships/hyperlink" Target="http://gofile.me/4xaew/NNWfnj6fr" TargetMode="External"/><Relationship Id="rId38" Type="http://schemas.openxmlformats.org/officeDocument/2006/relationships/hyperlink" Target="http://gofile.me/4xaew/h2m7k0Jx0" TargetMode="External"/><Relationship Id="rId59" Type="http://schemas.openxmlformats.org/officeDocument/2006/relationships/hyperlink" Target="http://gofile.me/4xaew/JAi9llzv7" TargetMode="External"/><Relationship Id="rId103" Type="http://schemas.openxmlformats.org/officeDocument/2006/relationships/hyperlink" Target="http://gofile.me/4xaew/HKlZlMk9r" TargetMode="External"/><Relationship Id="rId124" Type="http://schemas.openxmlformats.org/officeDocument/2006/relationships/hyperlink" Target="http://gofile.me/4xaew/SUWt4cqmF" TargetMode="External"/><Relationship Id="rId70" Type="http://schemas.openxmlformats.org/officeDocument/2006/relationships/hyperlink" Target="http://gofile.me/4xaew/x3RPmQuXl" TargetMode="External"/><Relationship Id="rId91" Type="http://schemas.openxmlformats.org/officeDocument/2006/relationships/hyperlink" Target="http://gofile.me/4xaew/50u3VbKbM" TargetMode="External"/><Relationship Id="rId145" Type="http://schemas.openxmlformats.org/officeDocument/2006/relationships/hyperlink" Target="http://gofile.me/4xaew/cGQfdZJae" TargetMode="External"/><Relationship Id="rId166" Type="http://schemas.openxmlformats.org/officeDocument/2006/relationships/hyperlink" Target="http://gofile.me/4xaew/dbynculrz" TargetMode="External"/><Relationship Id="rId187" Type="http://schemas.openxmlformats.org/officeDocument/2006/relationships/hyperlink" Target="http://gofile.me/4xaew/RTPfL4Oej" TargetMode="External"/><Relationship Id="rId1" Type="http://schemas.openxmlformats.org/officeDocument/2006/relationships/hyperlink" Target="http://gofile.me/4xaew/jGBMq71Yo" TargetMode="External"/><Relationship Id="rId212" Type="http://schemas.openxmlformats.org/officeDocument/2006/relationships/hyperlink" Target="http://gofile.me/4xaew/jeoLNwkDC" TargetMode="External"/><Relationship Id="rId233" Type="http://schemas.openxmlformats.org/officeDocument/2006/relationships/hyperlink" Target="http://gofile.me/4xaew/DRsXEagc3" TargetMode="External"/><Relationship Id="rId254" Type="http://schemas.openxmlformats.org/officeDocument/2006/relationships/hyperlink" Target="http://gofile.me/4xaew/hfaJFtSMt" TargetMode="External"/><Relationship Id="rId28" Type="http://schemas.openxmlformats.org/officeDocument/2006/relationships/hyperlink" Target="http://gofile.me/4xaew/RMQDmECnq" TargetMode="External"/><Relationship Id="rId49" Type="http://schemas.openxmlformats.org/officeDocument/2006/relationships/hyperlink" Target="http://gofile.me/4xaew/i8aATIx0G" TargetMode="External"/><Relationship Id="rId114" Type="http://schemas.openxmlformats.org/officeDocument/2006/relationships/hyperlink" Target="http://gofile.me/4xaew/VbkZsFoJq" TargetMode="External"/><Relationship Id="rId60" Type="http://schemas.openxmlformats.org/officeDocument/2006/relationships/hyperlink" Target="http://gofile.me/4xaew/3Pkx202cn" TargetMode="External"/><Relationship Id="rId81" Type="http://schemas.openxmlformats.org/officeDocument/2006/relationships/hyperlink" Target="http://gofile.me/4xaew/crTy6sDMf" TargetMode="External"/><Relationship Id="rId135" Type="http://schemas.openxmlformats.org/officeDocument/2006/relationships/hyperlink" Target="http://gofile.me/4xaew/HgcRggo3H" TargetMode="External"/><Relationship Id="rId156" Type="http://schemas.openxmlformats.org/officeDocument/2006/relationships/hyperlink" Target="http://gofile.me/4xaew/jZxXWIkAK" TargetMode="External"/><Relationship Id="rId177" Type="http://schemas.openxmlformats.org/officeDocument/2006/relationships/hyperlink" Target="http://gofile.me/4xaew/FwLaVMGbG" TargetMode="External"/><Relationship Id="rId198" Type="http://schemas.openxmlformats.org/officeDocument/2006/relationships/hyperlink" Target="http://gofile.me/4xaew/pRLigi76f" TargetMode="External"/><Relationship Id="rId202" Type="http://schemas.openxmlformats.org/officeDocument/2006/relationships/hyperlink" Target="http://gofile.me/4xaew/jOd6C2lhG" TargetMode="External"/><Relationship Id="rId223" Type="http://schemas.openxmlformats.org/officeDocument/2006/relationships/hyperlink" Target="http://gofile.me/4xaew/mVIk56S03" TargetMode="External"/><Relationship Id="rId244" Type="http://schemas.openxmlformats.org/officeDocument/2006/relationships/hyperlink" Target="http://gofile.me/4xaew/2cKFem81S" TargetMode="External"/><Relationship Id="rId18" Type="http://schemas.openxmlformats.org/officeDocument/2006/relationships/hyperlink" Target="http://gofile.me/4xaew/jKLxLFZic" TargetMode="External"/><Relationship Id="rId39" Type="http://schemas.openxmlformats.org/officeDocument/2006/relationships/hyperlink" Target="http://gofile.me/4xaew/oxNrzdb0j" TargetMode="External"/><Relationship Id="rId50" Type="http://schemas.openxmlformats.org/officeDocument/2006/relationships/hyperlink" Target="http://gofile.me/4xaew/lfR8Ad7d2" TargetMode="External"/><Relationship Id="rId104" Type="http://schemas.openxmlformats.org/officeDocument/2006/relationships/hyperlink" Target="http://gofile.me/4xaew/8HoUTUmzV" TargetMode="External"/><Relationship Id="rId125" Type="http://schemas.openxmlformats.org/officeDocument/2006/relationships/hyperlink" Target="http://gofile.me/4xaew/zNxoQLgAE" TargetMode="External"/><Relationship Id="rId146" Type="http://schemas.openxmlformats.org/officeDocument/2006/relationships/hyperlink" Target="http://gofile.me/4xaew/ozQFZ9R67" TargetMode="External"/><Relationship Id="rId167" Type="http://schemas.openxmlformats.org/officeDocument/2006/relationships/hyperlink" Target="http://gofile.me/4xaew/Z6S89u827" TargetMode="External"/><Relationship Id="rId188" Type="http://schemas.openxmlformats.org/officeDocument/2006/relationships/hyperlink" Target="http://gofile.me/4xaew/CV0vfasRN" TargetMode="External"/><Relationship Id="rId71" Type="http://schemas.openxmlformats.org/officeDocument/2006/relationships/hyperlink" Target="http://gofile.me/4xaew/9Al1V6y2W" TargetMode="External"/><Relationship Id="rId92" Type="http://schemas.openxmlformats.org/officeDocument/2006/relationships/hyperlink" Target="http://gofile.me/4xaew/8AZv8AZZr" TargetMode="External"/><Relationship Id="rId213" Type="http://schemas.openxmlformats.org/officeDocument/2006/relationships/hyperlink" Target="http://gofile.me/4xaew/rvXgsfiUE" TargetMode="External"/><Relationship Id="rId234" Type="http://schemas.openxmlformats.org/officeDocument/2006/relationships/hyperlink" Target="http://gofile.me/4xaew/GNwJALv2w" TargetMode="External"/><Relationship Id="rId2" Type="http://schemas.openxmlformats.org/officeDocument/2006/relationships/hyperlink" Target="http://gofile.me/4xaew/z5Eghvyl5" TargetMode="External"/><Relationship Id="rId29" Type="http://schemas.openxmlformats.org/officeDocument/2006/relationships/hyperlink" Target="http://gofile.me/4xaew/0mYb96OgK" TargetMode="External"/><Relationship Id="rId255" Type="http://schemas.openxmlformats.org/officeDocument/2006/relationships/hyperlink" Target="http://gofile.me/4xaew/PpCcwJkl9" TargetMode="External"/><Relationship Id="rId40" Type="http://schemas.openxmlformats.org/officeDocument/2006/relationships/hyperlink" Target="http://gofile.me/4xaew/jBlECsAV3" TargetMode="External"/><Relationship Id="rId115" Type="http://schemas.openxmlformats.org/officeDocument/2006/relationships/hyperlink" Target="http://gofile.me/4xaew/oo0TRxglj" TargetMode="External"/><Relationship Id="rId136" Type="http://schemas.openxmlformats.org/officeDocument/2006/relationships/hyperlink" Target="http://gofile.me/4xaew/q3PAgESf2" TargetMode="External"/><Relationship Id="rId157" Type="http://schemas.openxmlformats.org/officeDocument/2006/relationships/hyperlink" Target="http://gofile.me/4xaew/mBbEkqOsX" TargetMode="External"/><Relationship Id="rId178" Type="http://schemas.openxmlformats.org/officeDocument/2006/relationships/hyperlink" Target="http://gofile.me/4xaew/PooRdbNPR" TargetMode="External"/><Relationship Id="rId61" Type="http://schemas.openxmlformats.org/officeDocument/2006/relationships/hyperlink" Target="http://gofile.me/4xaew/jEyI3VX7X" TargetMode="External"/><Relationship Id="rId82" Type="http://schemas.openxmlformats.org/officeDocument/2006/relationships/hyperlink" Target="http://gofile.me/4xaew/JogzhSy6e" TargetMode="External"/><Relationship Id="rId199" Type="http://schemas.openxmlformats.org/officeDocument/2006/relationships/hyperlink" Target="http://gofile.me/4xaew/9UDBpEUrH" TargetMode="External"/><Relationship Id="rId203" Type="http://schemas.openxmlformats.org/officeDocument/2006/relationships/hyperlink" Target="http://gofile.me/4xaew/lwbutpDD6" TargetMode="External"/><Relationship Id="rId19" Type="http://schemas.openxmlformats.org/officeDocument/2006/relationships/hyperlink" Target="http://gofile.me/4xaew/atXngpnG5" TargetMode="External"/><Relationship Id="rId224" Type="http://schemas.openxmlformats.org/officeDocument/2006/relationships/hyperlink" Target="http://gofile.me/4xaew/GEmt82gqd" TargetMode="External"/><Relationship Id="rId245" Type="http://schemas.openxmlformats.org/officeDocument/2006/relationships/hyperlink" Target="http://gofile.me/4xaew/jRdEIOcWH" TargetMode="External"/><Relationship Id="rId30" Type="http://schemas.openxmlformats.org/officeDocument/2006/relationships/hyperlink" Target="http://gofile.me/4xaew/ke7K9fceD" TargetMode="External"/><Relationship Id="rId105" Type="http://schemas.openxmlformats.org/officeDocument/2006/relationships/hyperlink" Target="http://gofile.me/4xaew/PX8wdLSHW" TargetMode="External"/><Relationship Id="rId126" Type="http://schemas.openxmlformats.org/officeDocument/2006/relationships/hyperlink" Target="http://gofile.me/4xaew/GalbIYZdz" TargetMode="External"/><Relationship Id="rId147" Type="http://schemas.openxmlformats.org/officeDocument/2006/relationships/hyperlink" Target="http://gofile.me/4xaew/6gLAAoAvc" TargetMode="External"/><Relationship Id="rId168" Type="http://schemas.openxmlformats.org/officeDocument/2006/relationships/hyperlink" Target="http://gofile.me/4xaew/X0ozG6Ucj" TargetMode="External"/><Relationship Id="rId51" Type="http://schemas.openxmlformats.org/officeDocument/2006/relationships/hyperlink" Target="http://gofile.me/4xaew/oYEx1LV3t" TargetMode="External"/><Relationship Id="rId72" Type="http://schemas.openxmlformats.org/officeDocument/2006/relationships/hyperlink" Target="http://gofile.me/4xaew/nwO9aBC8G" TargetMode="External"/><Relationship Id="rId93" Type="http://schemas.openxmlformats.org/officeDocument/2006/relationships/hyperlink" Target="http://gofile.me/4xaew/KB5hz2GUm" TargetMode="External"/><Relationship Id="rId189" Type="http://schemas.openxmlformats.org/officeDocument/2006/relationships/hyperlink" Target="http://gofile.me/4xaew/01ry62DAp" TargetMode="External"/><Relationship Id="rId3" Type="http://schemas.openxmlformats.org/officeDocument/2006/relationships/hyperlink" Target="http://gofile.me/4xaew/9H4kju3yA" TargetMode="External"/><Relationship Id="rId214" Type="http://schemas.openxmlformats.org/officeDocument/2006/relationships/hyperlink" Target="http://gofile.me/4xaew/CNPNYjdrX" TargetMode="External"/><Relationship Id="rId235" Type="http://schemas.openxmlformats.org/officeDocument/2006/relationships/hyperlink" Target="http://gofile.me/4xaew/aBZ6XtCke" TargetMode="External"/><Relationship Id="rId256" Type="http://schemas.openxmlformats.org/officeDocument/2006/relationships/hyperlink" Target="http://gofile.me/4xaew/r8wxRwSl1" TargetMode="External"/><Relationship Id="rId116" Type="http://schemas.openxmlformats.org/officeDocument/2006/relationships/hyperlink" Target="http://gofile.me/4xaew/1qVauXUQq" TargetMode="External"/><Relationship Id="rId137" Type="http://schemas.openxmlformats.org/officeDocument/2006/relationships/hyperlink" Target="http://gofile.me/4xaew/0NrJrq1nX" TargetMode="External"/><Relationship Id="rId158" Type="http://schemas.openxmlformats.org/officeDocument/2006/relationships/hyperlink" Target="http://gofile.me/4xaew/GPMIDon8M" TargetMode="External"/><Relationship Id="rId20" Type="http://schemas.openxmlformats.org/officeDocument/2006/relationships/hyperlink" Target="http://gofile.me/4xaew/etJ1hou58" TargetMode="External"/><Relationship Id="rId41" Type="http://schemas.openxmlformats.org/officeDocument/2006/relationships/hyperlink" Target="http://gofile.me/4xaew/bk9b9CZ4c" TargetMode="External"/><Relationship Id="rId62" Type="http://schemas.openxmlformats.org/officeDocument/2006/relationships/hyperlink" Target="http://gofile.me/4xaew/HwgjBe88z" TargetMode="External"/><Relationship Id="rId83" Type="http://schemas.openxmlformats.org/officeDocument/2006/relationships/hyperlink" Target="http://gofile.me/4xaew/tXdUs4fth" TargetMode="External"/><Relationship Id="rId179" Type="http://schemas.openxmlformats.org/officeDocument/2006/relationships/hyperlink" Target="http://gofile.me/4xaew/Q1vE71rKJ" TargetMode="External"/><Relationship Id="rId190" Type="http://schemas.openxmlformats.org/officeDocument/2006/relationships/hyperlink" Target="http://gofile.me/4xaew/4N9RJGEDx" TargetMode="External"/><Relationship Id="rId204" Type="http://schemas.openxmlformats.org/officeDocument/2006/relationships/hyperlink" Target="http://gofile.me/4xaew/iKu3vhKqM" TargetMode="External"/><Relationship Id="rId225" Type="http://schemas.openxmlformats.org/officeDocument/2006/relationships/hyperlink" Target="http://gofile.me/4xaew/DRegF3ae3" TargetMode="External"/><Relationship Id="rId246" Type="http://schemas.openxmlformats.org/officeDocument/2006/relationships/hyperlink" Target="http://gofile.me/4xaew/rLapovn3N" TargetMode="External"/><Relationship Id="rId106" Type="http://schemas.openxmlformats.org/officeDocument/2006/relationships/hyperlink" Target="http://gofile.me/4xaew/HBZFk9SLR" TargetMode="External"/><Relationship Id="rId127" Type="http://schemas.openxmlformats.org/officeDocument/2006/relationships/hyperlink" Target="http://gofile.me/4xaew/AcopbkJEt" TargetMode="External"/><Relationship Id="rId10" Type="http://schemas.openxmlformats.org/officeDocument/2006/relationships/hyperlink" Target="http://gofile.me/4xaew/ayK63OAly" TargetMode="External"/><Relationship Id="rId31" Type="http://schemas.openxmlformats.org/officeDocument/2006/relationships/hyperlink" Target="http://gofile.me/4xaew/8gBbaOee0" TargetMode="External"/><Relationship Id="rId52" Type="http://schemas.openxmlformats.org/officeDocument/2006/relationships/hyperlink" Target="http://gofile.me/4xaew/3Y6AtKuiQ" TargetMode="External"/><Relationship Id="rId73" Type="http://schemas.openxmlformats.org/officeDocument/2006/relationships/hyperlink" Target="http://gofile.me/4xaew/Lg52VXHOo" TargetMode="External"/><Relationship Id="rId94" Type="http://schemas.openxmlformats.org/officeDocument/2006/relationships/hyperlink" Target="http://gofile.me/4xaew/KVAMbLZQy" TargetMode="External"/><Relationship Id="rId148" Type="http://schemas.openxmlformats.org/officeDocument/2006/relationships/hyperlink" Target="http://gofile.me/4xaew/EtA6v8swD" TargetMode="External"/><Relationship Id="rId169" Type="http://schemas.openxmlformats.org/officeDocument/2006/relationships/hyperlink" Target="http://gofile.me/4xaew/b43osrlTX" TargetMode="External"/><Relationship Id="rId4" Type="http://schemas.openxmlformats.org/officeDocument/2006/relationships/hyperlink" Target="http://gofile.me/4xaew/TwB6PzvDy" TargetMode="External"/><Relationship Id="rId180" Type="http://schemas.openxmlformats.org/officeDocument/2006/relationships/hyperlink" Target="http://gofile.me/4xaew/RgYfb4lNC" TargetMode="External"/><Relationship Id="rId215" Type="http://schemas.openxmlformats.org/officeDocument/2006/relationships/hyperlink" Target="http://gofile.me/4xaew/cbFh9pLy2" TargetMode="External"/><Relationship Id="rId236" Type="http://schemas.openxmlformats.org/officeDocument/2006/relationships/hyperlink" Target="http://gofile.me/4xaew/tEeyMIDgd" TargetMode="External"/><Relationship Id="rId257" Type="http://schemas.openxmlformats.org/officeDocument/2006/relationships/hyperlink" Target="http://gofile.me/4xaew/9AnkNfavV" TargetMode="External"/><Relationship Id="rId42" Type="http://schemas.openxmlformats.org/officeDocument/2006/relationships/hyperlink" Target="http://gofile.me/4xaew/lW4ktPjV2" TargetMode="External"/><Relationship Id="rId84" Type="http://schemas.openxmlformats.org/officeDocument/2006/relationships/hyperlink" Target="http://gofile.me/4xaew/LiNibayNf" TargetMode="External"/><Relationship Id="rId138" Type="http://schemas.openxmlformats.org/officeDocument/2006/relationships/hyperlink" Target="http://gofile.me/4xaew/p02hDMnIs" TargetMode="External"/></Relationships>
</file>

<file path=xl/worksheets/_rels/sheet24.xml.rels><?xml version="1.0" encoding="UTF-8" standalone="yes"?>
<Relationships xmlns="http://schemas.openxmlformats.org/package/2006/relationships"><Relationship Id="rId117" Type="http://schemas.openxmlformats.org/officeDocument/2006/relationships/hyperlink" Target="http://gofile.me/4xaew/rTlrEkuFW" TargetMode="External"/><Relationship Id="rId21" Type="http://schemas.openxmlformats.org/officeDocument/2006/relationships/hyperlink" Target="http://gofile.me/4xaew/2GD9NQuxA" TargetMode="External"/><Relationship Id="rId42" Type="http://schemas.openxmlformats.org/officeDocument/2006/relationships/hyperlink" Target="http://gofile.me/4xaew/uqO6rULaw" TargetMode="External"/><Relationship Id="rId63" Type="http://schemas.openxmlformats.org/officeDocument/2006/relationships/hyperlink" Target="http://gofile.me/4xaew/DzjLqlH6c" TargetMode="External"/><Relationship Id="rId84" Type="http://schemas.openxmlformats.org/officeDocument/2006/relationships/hyperlink" Target="http://gofile.me/4xaew/ewNOP1Kkg" TargetMode="External"/><Relationship Id="rId138" Type="http://schemas.openxmlformats.org/officeDocument/2006/relationships/hyperlink" Target="http://gofile.me/4xaew/3NieNQ0g0" TargetMode="External"/><Relationship Id="rId159" Type="http://schemas.openxmlformats.org/officeDocument/2006/relationships/hyperlink" Target="http://gofile.me/4xaew/WKYRUmieR" TargetMode="External"/><Relationship Id="rId170" Type="http://schemas.openxmlformats.org/officeDocument/2006/relationships/hyperlink" Target="http://gofile.me/4xaew/C12vTxSEZ" TargetMode="External"/><Relationship Id="rId107" Type="http://schemas.openxmlformats.org/officeDocument/2006/relationships/hyperlink" Target="http://gofile.me/4xaew/nXnWNblCk" TargetMode="External"/><Relationship Id="rId11" Type="http://schemas.openxmlformats.org/officeDocument/2006/relationships/hyperlink" Target="http://gofile.me/4xaew/srBBZSBZf" TargetMode="External"/><Relationship Id="rId32" Type="http://schemas.openxmlformats.org/officeDocument/2006/relationships/hyperlink" Target="http://gofile.me/4xaew/Tx1dCoIOv" TargetMode="External"/><Relationship Id="rId53" Type="http://schemas.openxmlformats.org/officeDocument/2006/relationships/hyperlink" Target="http://gofile.me/4xaew/uTbUHmE0C" TargetMode="External"/><Relationship Id="rId74" Type="http://schemas.openxmlformats.org/officeDocument/2006/relationships/hyperlink" Target="http://gofile.me/4xaew/BQfOJ7VDu" TargetMode="External"/><Relationship Id="rId128" Type="http://schemas.openxmlformats.org/officeDocument/2006/relationships/hyperlink" Target="http://gofile.me/4xaew/m4W7OeglF" TargetMode="External"/><Relationship Id="rId149" Type="http://schemas.openxmlformats.org/officeDocument/2006/relationships/hyperlink" Target="http://gofile.me/4xaew/1Vc98LFex" TargetMode="External"/><Relationship Id="rId5" Type="http://schemas.openxmlformats.org/officeDocument/2006/relationships/hyperlink" Target="http://gofile.me/4xaew/MUxcaeR5s" TargetMode="External"/><Relationship Id="rId95" Type="http://schemas.openxmlformats.org/officeDocument/2006/relationships/hyperlink" Target="http://gofile.me/4xaew/D0PsmOkR4" TargetMode="External"/><Relationship Id="rId160" Type="http://schemas.openxmlformats.org/officeDocument/2006/relationships/hyperlink" Target="http://gofile.me/4xaew/CbtnTmNkc" TargetMode="External"/><Relationship Id="rId181" Type="http://schemas.openxmlformats.org/officeDocument/2006/relationships/hyperlink" Target="http://gofile.me/4xaew/XNByDwowk" TargetMode="External"/><Relationship Id="rId22" Type="http://schemas.openxmlformats.org/officeDocument/2006/relationships/hyperlink" Target="http://gofile.me/4xaew/apHnlDdF3" TargetMode="External"/><Relationship Id="rId43" Type="http://schemas.openxmlformats.org/officeDocument/2006/relationships/hyperlink" Target="http://gofile.me/4xaew/p9Z3P2ib5" TargetMode="External"/><Relationship Id="rId64" Type="http://schemas.openxmlformats.org/officeDocument/2006/relationships/hyperlink" Target="http://gofile.me/4xaew/tMgO7GoOg" TargetMode="External"/><Relationship Id="rId118" Type="http://schemas.openxmlformats.org/officeDocument/2006/relationships/hyperlink" Target="http://gofile.me/4xaew/Xdq7J1kwA" TargetMode="External"/><Relationship Id="rId139" Type="http://schemas.openxmlformats.org/officeDocument/2006/relationships/hyperlink" Target="http://gofile.me/4xaew/Gh4132jWA" TargetMode="External"/><Relationship Id="rId85" Type="http://schemas.openxmlformats.org/officeDocument/2006/relationships/hyperlink" Target="http://gofile.me/4xaew/H2LFSRUkI" TargetMode="External"/><Relationship Id="rId150" Type="http://schemas.openxmlformats.org/officeDocument/2006/relationships/hyperlink" Target="http://gofile.me/4xaew/i18FvY6Mt" TargetMode="External"/><Relationship Id="rId171" Type="http://schemas.openxmlformats.org/officeDocument/2006/relationships/hyperlink" Target="http://gofile.me/4xaew/IMQQylKuc" TargetMode="External"/><Relationship Id="rId12" Type="http://schemas.openxmlformats.org/officeDocument/2006/relationships/hyperlink" Target="http://gofile.me/4xaew/jfGfHVhXG" TargetMode="External"/><Relationship Id="rId33" Type="http://schemas.openxmlformats.org/officeDocument/2006/relationships/hyperlink" Target="http://gofile.me/4xaew/lStYtz0ub" TargetMode="External"/><Relationship Id="rId108" Type="http://schemas.openxmlformats.org/officeDocument/2006/relationships/hyperlink" Target="http://gofile.me/4xaew/fjDtD0QMn" TargetMode="External"/><Relationship Id="rId129" Type="http://schemas.openxmlformats.org/officeDocument/2006/relationships/hyperlink" Target="http://gofile.me/4xaew/OTV9QVpyf" TargetMode="External"/><Relationship Id="rId54" Type="http://schemas.openxmlformats.org/officeDocument/2006/relationships/hyperlink" Target="http://gofile.me/4xaew/EBVd3RDKw" TargetMode="External"/><Relationship Id="rId75" Type="http://schemas.openxmlformats.org/officeDocument/2006/relationships/hyperlink" Target="http://gofile.me/4xaew/xPhVqjHLL" TargetMode="External"/><Relationship Id="rId96" Type="http://schemas.openxmlformats.org/officeDocument/2006/relationships/hyperlink" Target="http://gofile.me/4xaew/crGNui0YN" TargetMode="External"/><Relationship Id="rId140" Type="http://schemas.openxmlformats.org/officeDocument/2006/relationships/hyperlink" Target="http://gofile.me/4xaew/fOlgsu1Tl" TargetMode="External"/><Relationship Id="rId161" Type="http://schemas.openxmlformats.org/officeDocument/2006/relationships/hyperlink" Target="http://gofile.me/4xaew/wGeP1cf1D" TargetMode="External"/><Relationship Id="rId182" Type="http://schemas.openxmlformats.org/officeDocument/2006/relationships/hyperlink" Target="http://gofile.me/4xaew/3YzyK6UAc" TargetMode="External"/><Relationship Id="rId6" Type="http://schemas.openxmlformats.org/officeDocument/2006/relationships/hyperlink" Target="http://gofile.me/4xaew/D2lzLwTi5" TargetMode="External"/><Relationship Id="rId23" Type="http://schemas.openxmlformats.org/officeDocument/2006/relationships/hyperlink" Target="http://gofile.me/4xaew/QqABXvo8Y" TargetMode="External"/><Relationship Id="rId119" Type="http://schemas.openxmlformats.org/officeDocument/2006/relationships/hyperlink" Target="http://gofile.me/4xaew/WeHSIf51J" TargetMode="External"/><Relationship Id="rId44" Type="http://schemas.openxmlformats.org/officeDocument/2006/relationships/hyperlink" Target="http://gofile.me/4xaew/JFSSmlXch" TargetMode="External"/><Relationship Id="rId60" Type="http://schemas.openxmlformats.org/officeDocument/2006/relationships/hyperlink" Target="http://gofile.me/4xaew/0L2QS5T4B" TargetMode="External"/><Relationship Id="rId65" Type="http://schemas.openxmlformats.org/officeDocument/2006/relationships/hyperlink" Target="http://gofile.me/4xaew/OivW1sLew" TargetMode="External"/><Relationship Id="rId81" Type="http://schemas.openxmlformats.org/officeDocument/2006/relationships/hyperlink" Target="http://gofile.me/4xaew/R7mtT6I4A" TargetMode="External"/><Relationship Id="rId86" Type="http://schemas.openxmlformats.org/officeDocument/2006/relationships/hyperlink" Target="http://gofile.me/4xaew/VKGsgehRs" TargetMode="External"/><Relationship Id="rId130" Type="http://schemas.openxmlformats.org/officeDocument/2006/relationships/hyperlink" Target="http://gofile.me/4xaew/lbklY3cag" TargetMode="External"/><Relationship Id="rId135" Type="http://schemas.openxmlformats.org/officeDocument/2006/relationships/hyperlink" Target="http://gofile.me/4xaew/yActfpvXn" TargetMode="External"/><Relationship Id="rId151" Type="http://schemas.openxmlformats.org/officeDocument/2006/relationships/hyperlink" Target="http://gofile.me/4xaew/QLH0HlTZe" TargetMode="External"/><Relationship Id="rId156" Type="http://schemas.openxmlformats.org/officeDocument/2006/relationships/hyperlink" Target="http://gofile.me/4xaew/qSKYNtHfR" TargetMode="External"/><Relationship Id="rId177" Type="http://schemas.openxmlformats.org/officeDocument/2006/relationships/hyperlink" Target="http://gofile.me/4xaew/otivvJLJP" TargetMode="External"/><Relationship Id="rId172" Type="http://schemas.openxmlformats.org/officeDocument/2006/relationships/hyperlink" Target="http://gofile.me/4xaew/x0neibOqp" TargetMode="External"/><Relationship Id="rId13" Type="http://schemas.openxmlformats.org/officeDocument/2006/relationships/hyperlink" Target="http://gofile.me/4xaew/gHygCyCpH" TargetMode="External"/><Relationship Id="rId18" Type="http://schemas.openxmlformats.org/officeDocument/2006/relationships/hyperlink" Target="http://gofile.me/4xaew/q5A03uLDq" TargetMode="External"/><Relationship Id="rId39" Type="http://schemas.openxmlformats.org/officeDocument/2006/relationships/hyperlink" Target="http://gofile.me/4xaew/f3eFnRTqo" TargetMode="External"/><Relationship Id="rId109" Type="http://schemas.openxmlformats.org/officeDocument/2006/relationships/hyperlink" Target="http://gofile.me/4xaew/kffVPQPKF" TargetMode="External"/><Relationship Id="rId34" Type="http://schemas.openxmlformats.org/officeDocument/2006/relationships/hyperlink" Target="http://gofile.me/4xaew/LnrGbPkh7" TargetMode="External"/><Relationship Id="rId50" Type="http://schemas.openxmlformats.org/officeDocument/2006/relationships/hyperlink" Target="http://gofile.me/4xaew/jmGnYlEn0" TargetMode="External"/><Relationship Id="rId55" Type="http://schemas.openxmlformats.org/officeDocument/2006/relationships/hyperlink" Target="http://gofile.me/4xaew/ZhYKHEc9l" TargetMode="External"/><Relationship Id="rId76" Type="http://schemas.openxmlformats.org/officeDocument/2006/relationships/hyperlink" Target="http://gofile.me/4xaew/kw68PMJKP" TargetMode="External"/><Relationship Id="rId97" Type="http://schemas.openxmlformats.org/officeDocument/2006/relationships/hyperlink" Target="http://gofile.me/4xaew/tx2lHva4W" TargetMode="External"/><Relationship Id="rId104" Type="http://schemas.openxmlformats.org/officeDocument/2006/relationships/hyperlink" Target="http://gofile.me/4xaew/zdpwAdVH8" TargetMode="External"/><Relationship Id="rId120" Type="http://schemas.openxmlformats.org/officeDocument/2006/relationships/hyperlink" Target="http://gofile.me/4xaew/NTrbcOCKT" TargetMode="External"/><Relationship Id="rId125" Type="http://schemas.openxmlformats.org/officeDocument/2006/relationships/hyperlink" Target="http://gofile.me/4xaew/fnjV5goss" TargetMode="External"/><Relationship Id="rId141" Type="http://schemas.openxmlformats.org/officeDocument/2006/relationships/hyperlink" Target="http://gofile.me/4xaew/qEqR6fGTH" TargetMode="External"/><Relationship Id="rId146" Type="http://schemas.openxmlformats.org/officeDocument/2006/relationships/hyperlink" Target="http://gofile.me/4xaew/3BQeS7OUq" TargetMode="External"/><Relationship Id="rId167" Type="http://schemas.openxmlformats.org/officeDocument/2006/relationships/hyperlink" Target="http://gofile.me/4xaew/uvoqmihtY" TargetMode="External"/><Relationship Id="rId7" Type="http://schemas.openxmlformats.org/officeDocument/2006/relationships/hyperlink" Target="http://gofile.me/4xaew/PQKhL0dw2" TargetMode="External"/><Relationship Id="rId71" Type="http://schemas.openxmlformats.org/officeDocument/2006/relationships/hyperlink" Target="http://gofile.me/4xaew/GLrmK9IIS" TargetMode="External"/><Relationship Id="rId92" Type="http://schemas.openxmlformats.org/officeDocument/2006/relationships/hyperlink" Target="http://gofile.me/4xaew/uHG9Cy5iy" TargetMode="External"/><Relationship Id="rId162" Type="http://schemas.openxmlformats.org/officeDocument/2006/relationships/hyperlink" Target="http://gofile.me/4xaew/DvlY5sCI4" TargetMode="External"/><Relationship Id="rId183" Type="http://schemas.openxmlformats.org/officeDocument/2006/relationships/hyperlink" Target="http://gofile.me/4xaew/CXOEXTfoX" TargetMode="External"/><Relationship Id="rId2" Type="http://schemas.openxmlformats.org/officeDocument/2006/relationships/hyperlink" Target="http://gofile.me/4xaew/TWgAEdvhs" TargetMode="External"/><Relationship Id="rId29" Type="http://schemas.openxmlformats.org/officeDocument/2006/relationships/hyperlink" Target="http://gofile.me/4xaew/7OTs1DlYf" TargetMode="External"/><Relationship Id="rId24" Type="http://schemas.openxmlformats.org/officeDocument/2006/relationships/hyperlink" Target="http://gofile.me/4xaew/V2SknIJGu" TargetMode="External"/><Relationship Id="rId40" Type="http://schemas.openxmlformats.org/officeDocument/2006/relationships/hyperlink" Target="http://gofile.me/4xaew/ylPbb83PV" TargetMode="External"/><Relationship Id="rId45" Type="http://schemas.openxmlformats.org/officeDocument/2006/relationships/hyperlink" Target="http://gofile.me/4xaew/W1aOyRSii" TargetMode="External"/><Relationship Id="rId66" Type="http://schemas.openxmlformats.org/officeDocument/2006/relationships/hyperlink" Target="http://gofile.me/4xaew/GD1F0K9yu" TargetMode="External"/><Relationship Id="rId87" Type="http://schemas.openxmlformats.org/officeDocument/2006/relationships/hyperlink" Target="http://gofile.me/4xaew/hhC3KjkCy" TargetMode="External"/><Relationship Id="rId110" Type="http://schemas.openxmlformats.org/officeDocument/2006/relationships/hyperlink" Target="http://gofile.me/4xaew/Xba0miqZD" TargetMode="External"/><Relationship Id="rId115" Type="http://schemas.openxmlformats.org/officeDocument/2006/relationships/hyperlink" Target="http://gofile.me/4xaew/Rty7pIJ8z" TargetMode="External"/><Relationship Id="rId131" Type="http://schemas.openxmlformats.org/officeDocument/2006/relationships/hyperlink" Target="http://gofile.me/4xaew/UBCu5VpRh" TargetMode="External"/><Relationship Id="rId136" Type="http://schemas.openxmlformats.org/officeDocument/2006/relationships/hyperlink" Target="http://gofile.me/4xaew/hUanlHuwu" TargetMode="External"/><Relationship Id="rId157" Type="http://schemas.openxmlformats.org/officeDocument/2006/relationships/hyperlink" Target="http://gofile.me/4xaew/fs4CF87ZP" TargetMode="External"/><Relationship Id="rId178" Type="http://schemas.openxmlformats.org/officeDocument/2006/relationships/hyperlink" Target="http://gofile.me/4xaew/XqL066m8N" TargetMode="External"/><Relationship Id="rId61" Type="http://schemas.openxmlformats.org/officeDocument/2006/relationships/hyperlink" Target="http://gofile.me/4xaew/ySvjDfIlg" TargetMode="External"/><Relationship Id="rId82" Type="http://schemas.openxmlformats.org/officeDocument/2006/relationships/hyperlink" Target="http://gofile.me/4xaew/bH9Au9XW8" TargetMode="External"/><Relationship Id="rId152" Type="http://schemas.openxmlformats.org/officeDocument/2006/relationships/hyperlink" Target="http://gofile.me/4xaew/tgK4HVsyL" TargetMode="External"/><Relationship Id="rId173" Type="http://schemas.openxmlformats.org/officeDocument/2006/relationships/hyperlink" Target="http://gofile.me/4xaew/zeUgNAwPS" TargetMode="External"/><Relationship Id="rId19" Type="http://schemas.openxmlformats.org/officeDocument/2006/relationships/hyperlink" Target="http://gofile.me/4xaew/Oq1axk0HM" TargetMode="External"/><Relationship Id="rId14" Type="http://schemas.openxmlformats.org/officeDocument/2006/relationships/hyperlink" Target="http://gofile.me/4xaew/4GM8w4nBZ" TargetMode="External"/><Relationship Id="rId30" Type="http://schemas.openxmlformats.org/officeDocument/2006/relationships/hyperlink" Target="http://gofile.me/4xaew/Jj9i5sPPK" TargetMode="External"/><Relationship Id="rId35" Type="http://schemas.openxmlformats.org/officeDocument/2006/relationships/hyperlink" Target="http://gofile.me/4xaew/rO681IovF" TargetMode="External"/><Relationship Id="rId56" Type="http://schemas.openxmlformats.org/officeDocument/2006/relationships/hyperlink" Target="http://gofile.me/4xaew/4TKese5J9" TargetMode="External"/><Relationship Id="rId77" Type="http://schemas.openxmlformats.org/officeDocument/2006/relationships/hyperlink" Target="http://gofile.me/4xaew/zWe0Hsb2A" TargetMode="External"/><Relationship Id="rId100" Type="http://schemas.openxmlformats.org/officeDocument/2006/relationships/hyperlink" Target="http://gofile.me/4xaew/MK1tZ4ASu" TargetMode="External"/><Relationship Id="rId105" Type="http://schemas.openxmlformats.org/officeDocument/2006/relationships/hyperlink" Target="http://gofile.me/4xaew/9xarfpUDs" TargetMode="External"/><Relationship Id="rId126" Type="http://schemas.openxmlformats.org/officeDocument/2006/relationships/hyperlink" Target="http://gofile.me/4xaew/bNHIjif3M" TargetMode="External"/><Relationship Id="rId147" Type="http://schemas.openxmlformats.org/officeDocument/2006/relationships/hyperlink" Target="http://gofile.me/4xaew/neSKIW5Cz" TargetMode="External"/><Relationship Id="rId168" Type="http://schemas.openxmlformats.org/officeDocument/2006/relationships/hyperlink" Target="http://gofile.me/4xaew/z7CzmiIRr" TargetMode="External"/><Relationship Id="rId8" Type="http://schemas.openxmlformats.org/officeDocument/2006/relationships/hyperlink" Target="http://gofile.me/4xaew/lKXfVrv0k" TargetMode="External"/><Relationship Id="rId51" Type="http://schemas.openxmlformats.org/officeDocument/2006/relationships/hyperlink" Target="http://gofile.me/4xaew/3iZDaSShp" TargetMode="External"/><Relationship Id="rId72" Type="http://schemas.openxmlformats.org/officeDocument/2006/relationships/hyperlink" Target="http://gofile.me/4xaew/XY9eYD72e" TargetMode="External"/><Relationship Id="rId93" Type="http://schemas.openxmlformats.org/officeDocument/2006/relationships/hyperlink" Target="http://gofile.me/4xaew/piVsZV6RJ" TargetMode="External"/><Relationship Id="rId98" Type="http://schemas.openxmlformats.org/officeDocument/2006/relationships/hyperlink" Target="http://gofile.me/4xaew/oCM0EnumA" TargetMode="External"/><Relationship Id="rId121" Type="http://schemas.openxmlformats.org/officeDocument/2006/relationships/hyperlink" Target="http://gofile.me/4xaew/CXkGYwZZn" TargetMode="External"/><Relationship Id="rId142" Type="http://schemas.openxmlformats.org/officeDocument/2006/relationships/hyperlink" Target="http://gofile.me/4xaew/qEqR6fGTH" TargetMode="External"/><Relationship Id="rId163" Type="http://schemas.openxmlformats.org/officeDocument/2006/relationships/hyperlink" Target="http://gofile.me/4xaew/O8D5TScYm" TargetMode="External"/><Relationship Id="rId3" Type="http://schemas.openxmlformats.org/officeDocument/2006/relationships/hyperlink" Target="http://gofile.me/4xaew/twVfUsljA" TargetMode="External"/><Relationship Id="rId25" Type="http://schemas.openxmlformats.org/officeDocument/2006/relationships/hyperlink" Target="http://gofile.me/4xaew/wAU61VDIb" TargetMode="External"/><Relationship Id="rId46" Type="http://schemas.openxmlformats.org/officeDocument/2006/relationships/hyperlink" Target="http://gofile.me/4xaew/1tSvgY3eG" TargetMode="External"/><Relationship Id="rId67" Type="http://schemas.openxmlformats.org/officeDocument/2006/relationships/hyperlink" Target="http://gofile.me/4xaew/TEA4SXbaK" TargetMode="External"/><Relationship Id="rId116" Type="http://schemas.openxmlformats.org/officeDocument/2006/relationships/hyperlink" Target="http://gofile.me/4xaew/fbdbC3moe" TargetMode="External"/><Relationship Id="rId137" Type="http://schemas.openxmlformats.org/officeDocument/2006/relationships/hyperlink" Target="http://gofile.me/4xaew/tgS8iKL6M" TargetMode="External"/><Relationship Id="rId158" Type="http://schemas.openxmlformats.org/officeDocument/2006/relationships/hyperlink" Target="http://gofile.me/4xaew/Hb5QogSPr" TargetMode="External"/><Relationship Id="rId20" Type="http://schemas.openxmlformats.org/officeDocument/2006/relationships/hyperlink" Target="http://gofile.me/4xaew/s6lwQoEOZ" TargetMode="External"/><Relationship Id="rId41" Type="http://schemas.openxmlformats.org/officeDocument/2006/relationships/hyperlink" Target="http://gofile.me/4xaew/y2EIx1mrN" TargetMode="External"/><Relationship Id="rId62" Type="http://schemas.openxmlformats.org/officeDocument/2006/relationships/hyperlink" Target="http://gofile.me/4xaew/EWDhBNU6E" TargetMode="External"/><Relationship Id="rId83" Type="http://schemas.openxmlformats.org/officeDocument/2006/relationships/hyperlink" Target="http://gofile.me/4xaew/A8lYVMwgT" TargetMode="External"/><Relationship Id="rId88" Type="http://schemas.openxmlformats.org/officeDocument/2006/relationships/hyperlink" Target="http://gofile.me/4xaew/FCDdmORxY" TargetMode="External"/><Relationship Id="rId111" Type="http://schemas.openxmlformats.org/officeDocument/2006/relationships/hyperlink" Target="http://gofile.me/4xaew/2MAkkO6Rs" TargetMode="External"/><Relationship Id="rId132" Type="http://schemas.openxmlformats.org/officeDocument/2006/relationships/hyperlink" Target="http://gofile.me/4xaew/F8f7JElt2" TargetMode="External"/><Relationship Id="rId153" Type="http://schemas.openxmlformats.org/officeDocument/2006/relationships/hyperlink" Target="http://gofile.me/4xaew/WHqZJ7sDF" TargetMode="External"/><Relationship Id="rId174" Type="http://schemas.openxmlformats.org/officeDocument/2006/relationships/hyperlink" Target="http://gofile.me/4xaew/hhF6pUZhQ" TargetMode="External"/><Relationship Id="rId179" Type="http://schemas.openxmlformats.org/officeDocument/2006/relationships/hyperlink" Target="http://gofile.me/4xaew/AuxToZ4lK" TargetMode="External"/><Relationship Id="rId15" Type="http://schemas.openxmlformats.org/officeDocument/2006/relationships/hyperlink" Target="http://gofile.me/4xaew/xDCNKwEvf" TargetMode="External"/><Relationship Id="rId36" Type="http://schemas.openxmlformats.org/officeDocument/2006/relationships/hyperlink" Target="http://gofile.me/4xaew/Clx9Ds8DW" TargetMode="External"/><Relationship Id="rId57" Type="http://schemas.openxmlformats.org/officeDocument/2006/relationships/hyperlink" Target="http://gofile.me/4xaew/BAFvCfy9U" TargetMode="External"/><Relationship Id="rId106" Type="http://schemas.openxmlformats.org/officeDocument/2006/relationships/hyperlink" Target="http://gofile.me/4xaew/bP6bcY59J" TargetMode="External"/><Relationship Id="rId127" Type="http://schemas.openxmlformats.org/officeDocument/2006/relationships/hyperlink" Target="http://gofile.me/4xaew/3NFa8wlzH" TargetMode="External"/><Relationship Id="rId10" Type="http://schemas.openxmlformats.org/officeDocument/2006/relationships/hyperlink" Target="http://gofile.me/4xaew/GFjQnX7cM" TargetMode="External"/><Relationship Id="rId31" Type="http://schemas.openxmlformats.org/officeDocument/2006/relationships/hyperlink" Target="http://gofile.me/4xaew/KX95Fl0i5" TargetMode="External"/><Relationship Id="rId52" Type="http://schemas.openxmlformats.org/officeDocument/2006/relationships/hyperlink" Target="http://gofile.me/4xaew/I1Ggb7AG0" TargetMode="External"/><Relationship Id="rId73" Type="http://schemas.openxmlformats.org/officeDocument/2006/relationships/hyperlink" Target="http://gofile.me/4xaew/y5Wqpcgpq" TargetMode="External"/><Relationship Id="rId78" Type="http://schemas.openxmlformats.org/officeDocument/2006/relationships/hyperlink" Target="http://gofile.me/4xaew/7whj8TxI6" TargetMode="External"/><Relationship Id="rId94" Type="http://schemas.openxmlformats.org/officeDocument/2006/relationships/hyperlink" Target="http://gofile.me/4xaew/q5gYWqPIO" TargetMode="External"/><Relationship Id="rId99" Type="http://schemas.openxmlformats.org/officeDocument/2006/relationships/hyperlink" Target="http://gofile.me/4xaew/ynpKborxl" TargetMode="External"/><Relationship Id="rId101" Type="http://schemas.openxmlformats.org/officeDocument/2006/relationships/hyperlink" Target="http://gofile.me/4xaew/INoX5fURs" TargetMode="External"/><Relationship Id="rId122" Type="http://schemas.openxmlformats.org/officeDocument/2006/relationships/hyperlink" Target="http://gofile.me/4xaew/gDGdo3Tl9" TargetMode="External"/><Relationship Id="rId143" Type="http://schemas.openxmlformats.org/officeDocument/2006/relationships/hyperlink" Target="http://gofile.me/4xaew/HO2wWprRz" TargetMode="External"/><Relationship Id="rId148" Type="http://schemas.openxmlformats.org/officeDocument/2006/relationships/hyperlink" Target="http://gofile.me/4xaew/MUp9r9hhk" TargetMode="External"/><Relationship Id="rId164" Type="http://schemas.openxmlformats.org/officeDocument/2006/relationships/hyperlink" Target="http://gofile.me/4xaew/nqSDRbxcn" TargetMode="External"/><Relationship Id="rId169" Type="http://schemas.openxmlformats.org/officeDocument/2006/relationships/hyperlink" Target="http://gofile.me/4xaew/lQYPOZ16N" TargetMode="External"/><Relationship Id="rId4" Type="http://schemas.openxmlformats.org/officeDocument/2006/relationships/hyperlink" Target="http://gofile.me/4xaew/nwzjpjCte" TargetMode="External"/><Relationship Id="rId9" Type="http://schemas.openxmlformats.org/officeDocument/2006/relationships/hyperlink" Target="http://gofile.me/4xaew/eMIGZB3V4" TargetMode="External"/><Relationship Id="rId180" Type="http://schemas.openxmlformats.org/officeDocument/2006/relationships/hyperlink" Target="http://gofile.me/4xaew/qEmraVivW" TargetMode="External"/><Relationship Id="rId26" Type="http://schemas.openxmlformats.org/officeDocument/2006/relationships/hyperlink" Target="http://gofile.me/4xaew/PTAElNebQ" TargetMode="External"/><Relationship Id="rId47" Type="http://schemas.openxmlformats.org/officeDocument/2006/relationships/hyperlink" Target="http://gofile.me/4xaew/RHu9OrlaH" TargetMode="External"/><Relationship Id="rId68" Type="http://schemas.openxmlformats.org/officeDocument/2006/relationships/hyperlink" Target="http://gofile.me/4xaew/bVUP8i9XQ" TargetMode="External"/><Relationship Id="rId89" Type="http://schemas.openxmlformats.org/officeDocument/2006/relationships/hyperlink" Target="http://gofile.me/4xaew/q9hWXYsDG" TargetMode="External"/><Relationship Id="rId112" Type="http://schemas.openxmlformats.org/officeDocument/2006/relationships/hyperlink" Target="http://gofile.me/4xaew/lobmh5ZkQ" TargetMode="External"/><Relationship Id="rId133" Type="http://schemas.openxmlformats.org/officeDocument/2006/relationships/hyperlink" Target="http://gofile.me/4xaew/NrYKLaCi8" TargetMode="External"/><Relationship Id="rId154" Type="http://schemas.openxmlformats.org/officeDocument/2006/relationships/hyperlink" Target="http://gofile.me/4xaew/iHyDr8QwA" TargetMode="External"/><Relationship Id="rId175" Type="http://schemas.openxmlformats.org/officeDocument/2006/relationships/hyperlink" Target="http://gofile.me/4xaew/WrMzQfNKE" TargetMode="External"/><Relationship Id="rId16" Type="http://schemas.openxmlformats.org/officeDocument/2006/relationships/hyperlink" Target="http://gofile.me/4xaew/ppdMr55jz" TargetMode="External"/><Relationship Id="rId37" Type="http://schemas.openxmlformats.org/officeDocument/2006/relationships/hyperlink" Target="http://gofile.me/4xaew/bTNV6xBLY" TargetMode="External"/><Relationship Id="rId58" Type="http://schemas.openxmlformats.org/officeDocument/2006/relationships/hyperlink" Target="http://gofile.me/4xaew/7iEeWzoYS" TargetMode="External"/><Relationship Id="rId79" Type="http://schemas.openxmlformats.org/officeDocument/2006/relationships/hyperlink" Target="http://gofile.me/4xaew/5w8FtK3r3" TargetMode="External"/><Relationship Id="rId102" Type="http://schemas.openxmlformats.org/officeDocument/2006/relationships/hyperlink" Target="http://gofile.me/4xaew/21EJr4KXe" TargetMode="External"/><Relationship Id="rId123" Type="http://schemas.openxmlformats.org/officeDocument/2006/relationships/hyperlink" Target="http://gofile.me/4xaew/PJ87qwB1z" TargetMode="External"/><Relationship Id="rId144" Type="http://schemas.openxmlformats.org/officeDocument/2006/relationships/hyperlink" Target="http://gofile.me/4xaew/mMAVlzOqR" TargetMode="External"/><Relationship Id="rId90" Type="http://schemas.openxmlformats.org/officeDocument/2006/relationships/hyperlink" Target="http://gofile.me/4xaew/zdfsBywmV" TargetMode="External"/><Relationship Id="rId165" Type="http://schemas.openxmlformats.org/officeDocument/2006/relationships/hyperlink" Target="http://gofile.me/4xaew/d1UqZvjrj" TargetMode="External"/><Relationship Id="rId27" Type="http://schemas.openxmlformats.org/officeDocument/2006/relationships/hyperlink" Target="http://gofile.me/4xaew/EEhtzFT2a" TargetMode="External"/><Relationship Id="rId48" Type="http://schemas.openxmlformats.org/officeDocument/2006/relationships/hyperlink" Target="http://gofile.me/4xaew/sT1ysM1x1" TargetMode="External"/><Relationship Id="rId69" Type="http://schemas.openxmlformats.org/officeDocument/2006/relationships/hyperlink" Target="http://gofile.me/4xaew/cT3oDRzlU" TargetMode="External"/><Relationship Id="rId113" Type="http://schemas.openxmlformats.org/officeDocument/2006/relationships/hyperlink" Target="http://gofile.me/4xaew/3FhwklodM" TargetMode="External"/><Relationship Id="rId134" Type="http://schemas.openxmlformats.org/officeDocument/2006/relationships/hyperlink" Target="http://gofile.me/4xaew/HbRUdaY2P" TargetMode="External"/><Relationship Id="rId80" Type="http://schemas.openxmlformats.org/officeDocument/2006/relationships/hyperlink" Target="http://gofile.me/4xaew/SRX2v8NPt" TargetMode="External"/><Relationship Id="rId155" Type="http://schemas.openxmlformats.org/officeDocument/2006/relationships/hyperlink" Target="http://gofile.me/4xaew/iHyDr8QwA" TargetMode="External"/><Relationship Id="rId176" Type="http://schemas.openxmlformats.org/officeDocument/2006/relationships/hyperlink" Target="http://gofile.me/4xaew/OTqTNoFLA" TargetMode="External"/><Relationship Id="rId17" Type="http://schemas.openxmlformats.org/officeDocument/2006/relationships/hyperlink" Target="http://gofile.me/4xaew/N0OQURuc7" TargetMode="External"/><Relationship Id="rId38" Type="http://schemas.openxmlformats.org/officeDocument/2006/relationships/hyperlink" Target="http://gofile.me/4xaew/O1OtV57yO" TargetMode="External"/><Relationship Id="rId59" Type="http://schemas.openxmlformats.org/officeDocument/2006/relationships/hyperlink" Target="http://gofile.me/4xaew/4RPdSWVG1" TargetMode="External"/><Relationship Id="rId103" Type="http://schemas.openxmlformats.org/officeDocument/2006/relationships/hyperlink" Target="http://gofile.me/4xaew/0udk42ive" TargetMode="External"/><Relationship Id="rId124" Type="http://schemas.openxmlformats.org/officeDocument/2006/relationships/hyperlink" Target="http://gofile.me/4xaew/e4pYqAYCv" TargetMode="External"/><Relationship Id="rId70" Type="http://schemas.openxmlformats.org/officeDocument/2006/relationships/hyperlink" Target="http://gofile.me/4xaew/Zwny1nEAl" TargetMode="External"/><Relationship Id="rId91" Type="http://schemas.openxmlformats.org/officeDocument/2006/relationships/hyperlink" Target="http://gofile.me/4xaew/nPy6F7vMK" TargetMode="External"/><Relationship Id="rId145" Type="http://schemas.openxmlformats.org/officeDocument/2006/relationships/hyperlink" Target="http://gofile.me/4xaew/1GYRFLj6t" TargetMode="External"/><Relationship Id="rId166" Type="http://schemas.openxmlformats.org/officeDocument/2006/relationships/hyperlink" Target="http://gofile.me/4xaew/Kn0E1UkCw" TargetMode="External"/><Relationship Id="rId1" Type="http://schemas.openxmlformats.org/officeDocument/2006/relationships/hyperlink" Target="http://gofile.me/4xaew/Q4Y5mmNH2" TargetMode="External"/><Relationship Id="rId28" Type="http://schemas.openxmlformats.org/officeDocument/2006/relationships/hyperlink" Target="http://gofile.me/4xaew/VqYKnRki2" TargetMode="External"/><Relationship Id="rId49" Type="http://schemas.openxmlformats.org/officeDocument/2006/relationships/hyperlink" Target="http://gofile.me/4xaew/VWOFKpOEK" TargetMode="External"/><Relationship Id="rId114" Type="http://schemas.openxmlformats.org/officeDocument/2006/relationships/hyperlink" Target="http://gofile.me/4xaew/X5muiTntI" TargetMode="External"/></Relationships>
</file>

<file path=xl/worksheets/_rels/sheet25.xml.rels><?xml version="1.0" encoding="UTF-8" standalone="yes"?>
<Relationships xmlns="http://schemas.openxmlformats.org/package/2006/relationships"><Relationship Id="rId13" Type="http://schemas.openxmlformats.org/officeDocument/2006/relationships/hyperlink" Target="http://gofile.me/4xaew/wmQ5qWwe1" TargetMode="External"/><Relationship Id="rId18" Type="http://schemas.openxmlformats.org/officeDocument/2006/relationships/hyperlink" Target="http://gofile.me/4xaew/3UXccVuwK" TargetMode="External"/><Relationship Id="rId26" Type="http://schemas.openxmlformats.org/officeDocument/2006/relationships/hyperlink" Target="http://gofile.me/4xaew/FUUCzWVuJ" TargetMode="External"/><Relationship Id="rId39" Type="http://schemas.openxmlformats.org/officeDocument/2006/relationships/hyperlink" Target="http://gofile.me/4xaew/BVZZsZ8xT" TargetMode="External"/><Relationship Id="rId21" Type="http://schemas.openxmlformats.org/officeDocument/2006/relationships/hyperlink" Target="http://gofile.me/4xaew/vSv6FbWIi" TargetMode="External"/><Relationship Id="rId34" Type="http://schemas.openxmlformats.org/officeDocument/2006/relationships/hyperlink" Target="http://gofile.me/4xaew/QRymnyY5G" TargetMode="External"/><Relationship Id="rId42" Type="http://schemas.openxmlformats.org/officeDocument/2006/relationships/hyperlink" Target="http://gofile.me/4xaew/xpnoGaS4L" TargetMode="External"/><Relationship Id="rId47" Type="http://schemas.openxmlformats.org/officeDocument/2006/relationships/hyperlink" Target="http://gofile.me/4xaew/SzQV1VcYs" TargetMode="External"/><Relationship Id="rId7" Type="http://schemas.openxmlformats.org/officeDocument/2006/relationships/hyperlink" Target="http://gofile.me/4xaew/dFInX6X6S" TargetMode="External"/><Relationship Id="rId2" Type="http://schemas.openxmlformats.org/officeDocument/2006/relationships/hyperlink" Target="http://gofile.me/4xaew/H8FFvxuFc" TargetMode="External"/><Relationship Id="rId16" Type="http://schemas.openxmlformats.org/officeDocument/2006/relationships/hyperlink" Target="http://gofile.me/4xaew/4IxMaSeDl" TargetMode="External"/><Relationship Id="rId29" Type="http://schemas.openxmlformats.org/officeDocument/2006/relationships/hyperlink" Target="http://gofile.me/4xaew/iWlHc3iqX" TargetMode="External"/><Relationship Id="rId11" Type="http://schemas.openxmlformats.org/officeDocument/2006/relationships/hyperlink" Target="http://gofile.me/4xaew/XYsoZENK8" TargetMode="External"/><Relationship Id="rId24" Type="http://schemas.openxmlformats.org/officeDocument/2006/relationships/hyperlink" Target="http://gofile.me/4xaew/S0zKVwYCK" TargetMode="External"/><Relationship Id="rId32" Type="http://schemas.openxmlformats.org/officeDocument/2006/relationships/hyperlink" Target="http://gofile.me/4xaew/STfPUQ8hB" TargetMode="External"/><Relationship Id="rId37" Type="http://schemas.openxmlformats.org/officeDocument/2006/relationships/hyperlink" Target="http://gofile.me/4xaew/nXYeoa4kg" TargetMode="External"/><Relationship Id="rId40" Type="http://schemas.openxmlformats.org/officeDocument/2006/relationships/hyperlink" Target="http://gofile.me/4xaew/Ub1b8LEz7" TargetMode="External"/><Relationship Id="rId45" Type="http://schemas.openxmlformats.org/officeDocument/2006/relationships/hyperlink" Target="http://gofile.me/4xaew/ijFAWpZxd" TargetMode="External"/><Relationship Id="rId5" Type="http://schemas.openxmlformats.org/officeDocument/2006/relationships/hyperlink" Target="http://gofile.me/4xaew/4Dv4B37vC" TargetMode="External"/><Relationship Id="rId15" Type="http://schemas.openxmlformats.org/officeDocument/2006/relationships/hyperlink" Target="http://gofile.me/4xaew/3k6PwKrLm" TargetMode="External"/><Relationship Id="rId23" Type="http://schemas.openxmlformats.org/officeDocument/2006/relationships/hyperlink" Target="http://gofile.me/4xaew/VHFE83DbB" TargetMode="External"/><Relationship Id="rId28" Type="http://schemas.openxmlformats.org/officeDocument/2006/relationships/hyperlink" Target="http://gofile.me/4xaew/TVkkOz8JS" TargetMode="External"/><Relationship Id="rId36" Type="http://schemas.openxmlformats.org/officeDocument/2006/relationships/hyperlink" Target="http://gofile.me/4xaew/UCKBVjOAP" TargetMode="External"/><Relationship Id="rId49" Type="http://schemas.openxmlformats.org/officeDocument/2006/relationships/hyperlink" Target="http://gofile.me/4xaew/kHh1wFRf5" TargetMode="External"/><Relationship Id="rId10" Type="http://schemas.openxmlformats.org/officeDocument/2006/relationships/hyperlink" Target="http://gofile.me/4xaew/nWPFbamEg" TargetMode="External"/><Relationship Id="rId19" Type="http://schemas.openxmlformats.org/officeDocument/2006/relationships/hyperlink" Target="http://gofile.me/4xaew/XbNutlwYs" TargetMode="External"/><Relationship Id="rId31" Type="http://schemas.openxmlformats.org/officeDocument/2006/relationships/hyperlink" Target="http://gofile.me/4xaew/8SgjemFFP" TargetMode="External"/><Relationship Id="rId44" Type="http://schemas.openxmlformats.org/officeDocument/2006/relationships/hyperlink" Target="http://gofile.me/4xaew/4ffdqLMd0" TargetMode="External"/><Relationship Id="rId4" Type="http://schemas.openxmlformats.org/officeDocument/2006/relationships/hyperlink" Target="http://gofile.me/4xaew/FgpkMt0ge" TargetMode="External"/><Relationship Id="rId9" Type="http://schemas.openxmlformats.org/officeDocument/2006/relationships/hyperlink" Target="http://gofile.me/4xaew/wXyqi7q8C" TargetMode="External"/><Relationship Id="rId14" Type="http://schemas.openxmlformats.org/officeDocument/2006/relationships/hyperlink" Target="http://gofile.me/4xaew/GTpEDHHdK" TargetMode="External"/><Relationship Id="rId22" Type="http://schemas.openxmlformats.org/officeDocument/2006/relationships/hyperlink" Target="http://gofile.me/4xaew/YsTobFARk" TargetMode="External"/><Relationship Id="rId27" Type="http://schemas.openxmlformats.org/officeDocument/2006/relationships/hyperlink" Target="http://gofile.me/4xaew/Qersiey6f" TargetMode="External"/><Relationship Id="rId30" Type="http://schemas.openxmlformats.org/officeDocument/2006/relationships/hyperlink" Target="http://gofile.me/4xaew/MwMjEw2U0" TargetMode="External"/><Relationship Id="rId35" Type="http://schemas.openxmlformats.org/officeDocument/2006/relationships/hyperlink" Target="http://gofile.me/4xaew/fUagC5gg5" TargetMode="External"/><Relationship Id="rId43" Type="http://schemas.openxmlformats.org/officeDocument/2006/relationships/hyperlink" Target="http://gofile.me/4xaew/c6Gyjasq7" TargetMode="External"/><Relationship Id="rId48" Type="http://schemas.openxmlformats.org/officeDocument/2006/relationships/hyperlink" Target="http://gofile.me/4xaew/U1fvOUxZK" TargetMode="External"/><Relationship Id="rId8" Type="http://schemas.openxmlformats.org/officeDocument/2006/relationships/hyperlink" Target="http://gofile.me/4xaew/2kyQvz1wC" TargetMode="External"/><Relationship Id="rId3" Type="http://schemas.openxmlformats.org/officeDocument/2006/relationships/hyperlink" Target="http://gofile.me/4xaew/26NwVmMEt" TargetMode="External"/><Relationship Id="rId12" Type="http://schemas.openxmlformats.org/officeDocument/2006/relationships/hyperlink" Target="http://gofile.me/4xaew/11ZevryeL" TargetMode="External"/><Relationship Id="rId17" Type="http://schemas.openxmlformats.org/officeDocument/2006/relationships/hyperlink" Target="http://gofile.me/4xaew/4toA7H4jq" TargetMode="External"/><Relationship Id="rId25" Type="http://schemas.openxmlformats.org/officeDocument/2006/relationships/hyperlink" Target="http://gofile.me/4xaew/Hf3GL0hHH" TargetMode="External"/><Relationship Id="rId33" Type="http://schemas.openxmlformats.org/officeDocument/2006/relationships/hyperlink" Target="http://gofile.me/4xaew/ULKKqApCM" TargetMode="External"/><Relationship Id="rId38" Type="http://schemas.openxmlformats.org/officeDocument/2006/relationships/hyperlink" Target="http://gofile.me/4xaew/GLtiJhOwq" TargetMode="External"/><Relationship Id="rId46" Type="http://schemas.openxmlformats.org/officeDocument/2006/relationships/hyperlink" Target="http://gofile.me/4xaew/E2gfhOW9M" TargetMode="External"/><Relationship Id="rId20" Type="http://schemas.openxmlformats.org/officeDocument/2006/relationships/hyperlink" Target="http://gofile.me/4xaew/3zsEJDlLz" TargetMode="External"/><Relationship Id="rId41" Type="http://schemas.openxmlformats.org/officeDocument/2006/relationships/hyperlink" Target="http://gofile.me/4xaew/UZVesDYKJ" TargetMode="External"/><Relationship Id="rId1" Type="http://schemas.openxmlformats.org/officeDocument/2006/relationships/hyperlink" Target="http://gofile.me/4xaew/r31bnsZoi" TargetMode="External"/><Relationship Id="rId6" Type="http://schemas.openxmlformats.org/officeDocument/2006/relationships/hyperlink" Target="http://gofile.me/4xaew/DxpG8dWuz"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gofile.me/4xaew/fe03E9krW" TargetMode="External"/><Relationship Id="rId13" Type="http://schemas.openxmlformats.org/officeDocument/2006/relationships/hyperlink" Target="http://gofile.me/4xaew/kFTh1wHW7" TargetMode="External"/><Relationship Id="rId18" Type="http://schemas.openxmlformats.org/officeDocument/2006/relationships/hyperlink" Target="http://gofile.me/4xaew/ZkMR4YQwK" TargetMode="External"/><Relationship Id="rId26" Type="http://schemas.openxmlformats.org/officeDocument/2006/relationships/hyperlink" Target="http://gofile.me/4xaew/PkyOraHhb" TargetMode="External"/><Relationship Id="rId3" Type="http://schemas.openxmlformats.org/officeDocument/2006/relationships/hyperlink" Target="http://gofile.me/4xaew/3VP1IwZf1" TargetMode="External"/><Relationship Id="rId21" Type="http://schemas.openxmlformats.org/officeDocument/2006/relationships/hyperlink" Target="http://gofile.me/4xaew/TTyhCjs0z" TargetMode="External"/><Relationship Id="rId7" Type="http://schemas.openxmlformats.org/officeDocument/2006/relationships/hyperlink" Target="http://gofile.me/4xaew/xrVKb1xvO" TargetMode="External"/><Relationship Id="rId12" Type="http://schemas.openxmlformats.org/officeDocument/2006/relationships/hyperlink" Target="http://gofile.me/4xaew/BcCH7GNnZ" TargetMode="External"/><Relationship Id="rId17" Type="http://schemas.openxmlformats.org/officeDocument/2006/relationships/hyperlink" Target="http://gofile.me/4xaew/3xFTK7goR" TargetMode="External"/><Relationship Id="rId25" Type="http://schemas.openxmlformats.org/officeDocument/2006/relationships/hyperlink" Target="http://gofile.me/4xaew/jYiFE4rKn" TargetMode="External"/><Relationship Id="rId2" Type="http://schemas.openxmlformats.org/officeDocument/2006/relationships/hyperlink" Target="http://gofile.me/4xaew/DLB8A5EIL" TargetMode="External"/><Relationship Id="rId16" Type="http://schemas.openxmlformats.org/officeDocument/2006/relationships/hyperlink" Target="http://gofile.me/4xaew/T9rlps8md" TargetMode="External"/><Relationship Id="rId20" Type="http://schemas.openxmlformats.org/officeDocument/2006/relationships/hyperlink" Target="http://gofile.me/4xaew/3H4T04Hh3" TargetMode="External"/><Relationship Id="rId29" Type="http://schemas.openxmlformats.org/officeDocument/2006/relationships/hyperlink" Target="http://gofile.me/4xaew/zHcIkBRpL" TargetMode="External"/><Relationship Id="rId1" Type="http://schemas.openxmlformats.org/officeDocument/2006/relationships/hyperlink" Target="http://gofile.me/4xaew/IvfC5H6XA" TargetMode="External"/><Relationship Id="rId6" Type="http://schemas.openxmlformats.org/officeDocument/2006/relationships/hyperlink" Target="http://gofile.me/4xaew/gJZjW4NWU" TargetMode="External"/><Relationship Id="rId11" Type="http://schemas.openxmlformats.org/officeDocument/2006/relationships/hyperlink" Target="http://gofile.me/4xaew/WpSASFjR8" TargetMode="External"/><Relationship Id="rId24" Type="http://schemas.openxmlformats.org/officeDocument/2006/relationships/hyperlink" Target="http://gofile.me/4xaew/0wwR8LQSC" TargetMode="External"/><Relationship Id="rId32" Type="http://schemas.openxmlformats.org/officeDocument/2006/relationships/hyperlink" Target="http://gofile.me/4xaew/9KUuuY8W1" TargetMode="External"/><Relationship Id="rId5" Type="http://schemas.openxmlformats.org/officeDocument/2006/relationships/hyperlink" Target="http://gofile.me/4xaew/Brvq1trtK" TargetMode="External"/><Relationship Id="rId15" Type="http://schemas.openxmlformats.org/officeDocument/2006/relationships/hyperlink" Target="http://gofile.me/4xaew/z0tMaW9Fw" TargetMode="External"/><Relationship Id="rId23" Type="http://schemas.openxmlformats.org/officeDocument/2006/relationships/hyperlink" Target="http://gofile.me/4xaew/yFw6WsvFF" TargetMode="External"/><Relationship Id="rId28" Type="http://schemas.openxmlformats.org/officeDocument/2006/relationships/hyperlink" Target="http://gofile.me/4xaew/pwDXX3yNZ" TargetMode="External"/><Relationship Id="rId10" Type="http://schemas.openxmlformats.org/officeDocument/2006/relationships/hyperlink" Target="http://gofile.me/4xaew/A8p2HQtwd" TargetMode="External"/><Relationship Id="rId19" Type="http://schemas.openxmlformats.org/officeDocument/2006/relationships/hyperlink" Target="http://gofile.me/4xaew/dXnIQaitc" TargetMode="External"/><Relationship Id="rId31" Type="http://schemas.openxmlformats.org/officeDocument/2006/relationships/hyperlink" Target="http://gofile.me/4xaew/AdbPmxArs" TargetMode="External"/><Relationship Id="rId4" Type="http://schemas.openxmlformats.org/officeDocument/2006/relationships/hyperlink" Target="http://gofile.me/4xaew/0QlbAiEjQ" TargetMode="External"/><Relationship Id="rId9" Type="http://schemas.openxmlformats.org/officeDocument/2006/relationships/hyperlink" Target="http://gofile.me/4xaew/Tc8v0Un7e" TargetMode="External"/><Relationship Id="rId14" Type="http://schemas.openxmlformats.org/officeDocument/2006/relationships/hyperlink" Target="http://gofile.me/4xaew/vNW5KOYQn" TargetMode="External"/><Relationship Id="rId22" Type="http://schemas.openxmlformats.org/officeDocument/2006/relationships/hyperlink" Target="http://gofile.me/4xaew/NlmehssFY" TargetMode="External"/><Relationship Id="rId27" Type="http://schemas.openxmlformats.org/officeDocument/2006/relationships/hyperlink" Target="http://gofile.me/4xaew/iWP3agHDW" TargetMode="External"/><Relationship Id="rId30" Type="http://schemas.openxmlformats.org/officeDocument/2006/relationships/hyperlink" Target="http://gofile.me/4xaew/1N0JKdEon" TargetMode="External"/></Relationships>
</file>

<file path=xl/worksheets/_rels/sheet27.xml.rels><?xml version="1.0" encoding="UTF-8" standalone="yes"?>
<Relationships xmlns="http://schemas.openxmlformats.org/package/2006/relationships"><Relationship Id="rId13" Type="http://schemas.openxmlformats.org/officeDocument/2006/relationships/hyperlink" Target="http://gofile.me/4xaew/J4xpY7yrV" TargetMode="External"/><Relationship Id="rId18" Type="http://schemas.openxmlformats.org/officeDocument/2006/relationships/hyperlink" Target="http://gofile.me/4xaew/KkDfVzrLl" TargetMode="External"/><Relationship Id="rId26" Type="http://schemas.openxmlformats.org/officeDocument/2006/relationships/hyperlink" Target="http://gofile.me/4xaew/7njRpCDru" TargetMode="External"/><Relationship Id="rId39" Type="http://schemas.openxmlformats.org/officeDocument/2006/relationships/hyperlink" Target="http://gofile.me/4xaew/f6pm1awrj" TargetMode="External"/><Relationship Id="rId21" Type="http://schemas.openxmlformats.org/officeDocument/2006/relationships/hyperlink" Target="http://gofile.me/4xaew/eClPCp9CV" TargetMode="External"/><Relationship Id="rId34" Type="http://schemas.openxmlformats.org/officeDocument/2006/relationships/hyperlink" Target="http://gofile.me/4xaew/p3xx76msg" TargetMode="External"/><Relationship Id="rId42" Type="http://schemas.openxmlformats.org/officeDocument/2006/relationships/hyperlink" Target="http://gofile.me/4xaew/ZQUxzgnNj" TargetMode="External"/><Relationship Id="rId47" Type="http://schemas.openxmlformats.org/officeDocument/2006/relationships/hyperlink" Target="http://gofile.me/4xaew/dMDpJiXEa" TargetMode="External"/><Relationship Id="rId50" Type="http://schemas.openxmlformats.org/officeDocument/2006/relationships/hyperlink" Target="http://gofile.me/4xaew/N1hfVjn5x" TargetMode="External"/><Relationship Id="rId7" Type="http://schemas.openxmlformats.org/officeDocument/2006/relationships/hyperlink" Target="http://gofile.me/4xaew/bEmchN457" TargetMode="External"/><Relationship Id="rId2" Type="http://schemas.openxmlformats.org/officeDocument/2006/relationships/hyperlink" Target="http://gofile.me/4xaew/G4VIdC0v0" TargetMode="External"/><Relationship Id="rId16" Type="http://schemas.openxmlformats.org/officeDocument/2006/relationships/hyperlink" Target="http://gofile.me/4xaew/JpGk79Jgj" TargetMode="External"/><Relationship Id="rId29" Type="http://schemas.openxmlformats.org/officeDocument/2006/relationships/hyperlink" Target="http://gofile.me/4xaew/3QayITEFr" TargetMode="External"/><Relationship Id="rId11" Type="http://schemas.openxmlformats.org/officeDocument/2006/relationships/hyperlink" Target="http://gofile.me/4xaew/5PiL7cu91" TargetMode="External"/><Relationship Id="rId24" Type="http://schemas.openxmlformats.org/officeDocument/2006/relationships/hyperlink" Target="http://gofile.me/4xaew/5R1zYclYQ" TargetMode="External"/><Relationship Id="rId32" Type="http://schemas.openxmlformats.org/officeDocument/2006/relationships/hyperlink" Target="http://gofile.me/4xaew/XZZBWnymL" TargetMode="External"/><Relationship Id="rId37" Type="http://schemas.openxmlformats.org/officeDocument/2006/relationships/hyperlink" Target="http://gofile.me/4xaew/0Rr15jMAt" TargetMode="External"/><Relationship Id="rId40" Type="http://schemas.openxmlformats.org/officeDocument/2006/relationships/hyperlink" Target="http://gofile.me/4xaew/mz6kbJr2B" TargetMode="External"/><Relationship Id="rId45" Type="http://schemas.openxmlformats.org/officeDocument/2006/relationships/hyperlink" Target="http://gofile.me/4xaew/izM2cGylA" TargetMode="External"/><Relationship Id="rId53" Type="http://schemas.openxmlformats.org/officeDocument/2006/relationships/hyperlink" Target="http://gofile.me/4xaew/GWTbZxggP" TargetMode="External"/><Relationship Id="rId5" Type="http://schemas.openxmlformats.org/officeDocument/2006/relationships/hyperlink" Target="http://gofile.me/4xaew/mRRB0SH2O" TargetMode="External"/><Relationship Id="rId10" Type="http://schemas.openxmlformats.org/officeDocument/2006/relationships/hyperlink" Target="http://gofile.me/4xaew/GG5IdkUiF" TargetMode="External"/><Relationship Id="rId19" Type="http://schemas.openxmlformats.org/officeDocument/2006/relationships/hyperlink" Target="http://gofile.me/4xaew/cZ5Jbi8SD" TargetMode="External"/><Relationship Id="rId31" Type="http://schemas.openxmlformats.org/officeDocument/2006/relationships/hyperlink" Target="http://gofile.me/4xaew/tlWXAYaFg" TargetMode="External"/><Relationship Id="rId44" Type="http://schemas.openxmlformats.org/officeDocument/2006/relationships/hyperlink" Target="http://gofile.me/4xaew/grbLmEt37" TargetMode="External"/><Relationship Id="rId52" Type="http://schemas.openxmlformats.org/officeDocument/2006/relationships/hyperlink" Target="http://gofile.me/4xaew/7DpAqWeX1" TargetMode="External"/><Relationship Id="rId4" Type="http://schemas.openxmlformats.org/officeDocument/2006/relationships/hyperlink" Target="http://gofile.me/4xaew/F0m36woa1" TargetMode="External"/><Relationship Id="rId9" Type="http://schemas.openxmlformats.org/officeDocument/2006/relationships/hyperlink" Target="http://gofile.me/4xaew/Pyg1Fl9W8" TargetMode="External"/><Relationship Id="rId14" Type="http://schemas.openxmlformats.org/officeDocument/2006/relationships/hyperlink" Target="http://gofile.me/4xaew/mb27UOAQY" TargetMode="External"/><Relationship Id="rId22" Type="http://schemas.openxmlformats.org/officeDocument/2006/relationships/hyperlink" Target="http://gofile.me/4xaew/SVfWHU16p" TargetMode="External"/><Relationship Id="rId27" Type="http://schemas.openxmlformats.org/officeDocument/2006/relationships/hyperlink" Target="http://gofile.me/4xaew/RbVt39Hly" TargetMode="External"/><Relationship Id="rId30" Type="http://schemas.openxmlformats.org/officeDocument/2006/relationships/hyperlink" Target="http://gofile.me/4xaew/BJk1LJPFG" TargetMode="External"/><Relationship Id="rId35" Type="http://schemas.openxmlformats.org/officeDocument/2006/relationships/hyperlink" Target="http://gofile.me/4xaew/iY9JjaHot" TargetMode="External"/><Relationship Id="rId43" Type="http://schemas.openxmlformats.org/officeDocument/2006/relationships/hyperlink" Target="http://gofile.me/4xaew/zQ4kRzyGE" TargetMode="External"/><Relationship Id="rId48" Type="http://schemas.openxmlformats.org/officeDocument/2006/relationships/hyperlink" Target="http://gofile.me/4xaew/HNyV3OzYP" TargetMode="External"/><Relationship Id="rId8" Type="http://schemas.openxmlformats.org/officeDocument/2006/relationships/hyperlink" Target="http://gofile.me/4xaew/qDcX3ypqA" TargetMode="External"/><Relationship Id="rId51" Type="http://schemas.openxmlformats.org/officeDocument/2006/relationships/hyperlink" Target="http://gofile.me/4xaew/kFomYUNaH" TargetMode="External"/><Relationship Id="rId3" Type="http://schemas.openxmlformats.org/officeDocument/2006/relationships/hyperlink" Target="http://gofile.me/4xaew/UNKx2D0dz" TargetMode="External"/><Relationship Id="rId12" Type="http://schemas.openxmlformats.org/officeDocument/2006/relationships/hyperlink" Target="http://gofile.me/4xaew/rwgXQ5lkz" TargetMode="External"/><Relationship Id="rId17" Type="http://schemas.openxmlformats.org/officeDocument/2006/relationships/hyperlink" Target="http://gofile.me/4xaew/t74R5vTPy" TargetMode="External"/><Relationship Id="rId25" Type="http://schemas.openxmlformats.org/officeDocument/2006/relationships/hyperlink" Target="http://gofile.me/4xaew/EAUx7DmVl" TargetMode="External"/><Relationship Id="rId33" Type="http://schemas.openxmlformats.org/officeDocument/2006/relationships/hyperlink" Target="http://gofile.me/4xaew/0CepgiUGz" TargetMode="External"/><Relationship Id="rId38" Type="http://schemas.openxmlformats.org/officeDocument/2006/relationships/hyperlink" Target="http://gofile.me/4xaew/FvodIJuG6" TargetMode="External"/><Relationship Id="rId46" Type="http://schemas.openxmlformats.org/officeDocument/2006/relationships/hyperlink" Target="http://gofile.me/4xaew/peGpBFFIO" TargetMode="External"/><Relationship Id="rId20" Type="http://schemas.openxmlformats.org/officeDocument/2006/relationships/hyperlink" Target="http://gofile.me/4xaew/XCqqeo4Kw" TargetMode="External"/><Relationship Id="rId41" Type="http://schemas.openxmlformats.org/officeDocument/2006/relationships/hyperlink" Target="http://gofile.me/4xaew/QG8EmD6Ym" TargetMode="External"/><Relationship Id="rId1" Type="http://schemas.openxmlformats.org/officeDocument/2006/relationships/hyperlink" Target="http://gofile.me/4xaew/ptYtvONnY" TargetMode="External"/><Relationship Id="rId6" Type="http://schemas.openxmlformats.org/officeDocument/2006/relationships/hyperlink" Target="http://gofile.me/4xaew/KB0OfBYx6" TargetMode="External"/><Relationship Id="rId15" Type="http://schemas.openxmlformats.org/officeDocument/2006/relationships/hyperlink" Target="http://gofile.me/4xaew/32txQLlu0" TargetMode="External"/><Relationship Id="rId23" Type="http://schemas.openxmlformats.org/officeDocument/2006/relationships/hyperlink" Target="http://gofile.me/4xaew/KkDfVzrLl" TargetMode="External"/><Relationship Id="rId28" Type="http://schemas.openxmlformats.org/officeDocument/2006/relationships/hyperlink" Target="http://gofile.me/4xaew/dmryB6OaD" TargetMode="External"/><Relationship Id="rId36" Type="http://schemas.openxmlformats.org/officeDocument/2006/relationships/hyperlink" Target="http://gofile.me/4xaew/ZmJaaOitz" TargetMode="External"/><Relationship Id="rId49" Type="http://schemas.openxmlformats.org/officeDocument/2006/relationships/hyperlink" Target="http://gofile.me/4xaew/9pDozTWxZ" TargetMode="External"/></Relationships>
</file>

<file path=xl/worksheets/_rels/sheet28.xml.rels><?xml version="1.0" encoding="UTF-8" standalone="yes"?>
<Relationships xmlns="http://schemas.openxmlformats.org/package/2006/relationships"><Relationship Id="rId26" Type="http://schemas.openxmlformats.org/officeDocument/2006/relationships/hyperlink" Target="https://drive.google.com/file/d/1uEk1Dz0SdMIv1wga-MjMqErydlswOJJp/view?usp=drive_link" TargetMode="External"/><Relationship Id="rId21" Type="http://schemas.openxmlformats.org/officeDocument/2006/relationships/hyperlink" Target="http://gofile.me/4xaew/jdUQBlmsk" TargetMode="External"/><Relationship Id="rId42" Type="http://schemas.openxmlformats.org/officeDocument/2006/relationships/hyperlink" Target="https://drive.google.com/file/d/1HasOJ6nkThWS01sQnThi2ZS3dfq5KlZQ/view?usp=drive_link" TargetMode="External"/><Relationship Id="rId47" Type="http://schemas.openxmlformats.org/officeDocument/2006/relationships/hyperlink" Target="http://gofile.me/4xaew/D358wWuw2" TargetMode="External"/><Relationship Id="rId63" Type="http://schemas.openxmlformats.org/officeDocument/2006/relationships/hyperlink" Target="https://drive.google.com/file/d/1NbnalgvKyadwVS-SjmBIJynDyTdwyNSv/view?usp=drive_link" TargetMode="External"/><Relationship Id="rId68" Type="http://schemas.openxmlformats.org/officeDocument/2006/relationships/hyperlink" Target="https://drive.google.com/file/d/1s384SY18zlGR9kRvu1WKXEoIaxwDg7qC/view?usp=drive_link" TargetMode="External"/><Relationship Id="rId84" Type="http://schemas.openxmlformats.org/officeDocument/2006/relationships/hyperlink" Target="https://drive.google.com/file/d/1im0F_QcnDDVQ8bXTb4oYbgo1ytXpvUAb/view?usp=drive_link" TargetMode="External"/><Relationship Id="rId89" Type="http://schemas.openxmlformats.org/officeDocument/2006/relationships/hyperlink" Target="https://drive.google.com/file/d/1aGvnMbh54CmjPglJb_feu7hL5I1B7na8/view?usp=drive_link" TargetMode="External"/><Relationship Id="rId16" Type="http://schemas.openxmlformats.org/officeDocument/2006/relationships/hyperlink" Target="https://drive.google.com/file/d/1FdfRVcz3Jze8Zpn539wZtFHLwiTsMJQ2/view?usp=drive_link" TargetMode="External"/><Relationship Id="rId11" Type="http://schemas.openxmlformats.org/officeDocument/2006/relationships/hyperlink" Target="http://gofile.me/4xaew/tEvu1fOnp" TargetMode="External"/><Relationship Id="rId32" Type="http://schemas.openxmlformats.org/officeDocument/2006/relationships/hyperlink" Target="https://drive.google.com/file/d/1zjXw52gTO-i3CLN-NJ09T8n1ieJmDRvd/view?usp=drive_link" TargetMode="External"/><Relationship Id="rId37" Type="http://schemas.openxmlformats.org/officeDocument/2006/relationships/hyperlink" Target="http://gofile.me/4xaew/cXkmGEgqI" TargetMode="External"/><Relationship Id="rId53" Type="http://schemas.openxmlformats.org/officeDocument/2006/relationships/hyperlink" Target="https://drive.google.com/file/d/1rT7UF85qHq7nJfk-GZ-WLwhnQOJlTj0R/view?usp=drive_link" TargetMode="External"/><Relationship Id="rId58" Type="http://schemas.openxmlformats.org/officeDocument/2006/relationships/hyperlink" Target="https://drive.google.com/file/d/1wbojJsJXP2IvsiZC8rvWFbhRBTvsDbmC/view?usp=drive_link" TargetMode="External"/><Relationship Id="rId74" Type="http://schemas.openxmlformats.org/officeDocument/2006/relationships/hyperlink" Target="https://drive.google.com/file/d/1s9HuOnBfrreP0XIoHD7q9eFZZGw81Jsx/view?usp=drive_link" TargetMode="External"/><Relationship Id="rId79" Type="http://schemas.openxmlformats.org/officeDocument/2006/relationships/hyperlink" Target="https://drive.google.com/file/d/18qD0Ro7v4R76I21lQd4W8p5wUc-15VDr/view?usp=drive_link" TargetMode="External"/><Relationship Id="rId102" Type="http://schemas.openxmlformats.org/officeDocument/2006/relationships/hyperlink" Target="https://drive.google.com/file/d/1fGIdd2oIEcgfb4r4FXhx89vQUBeMnCuZ/view?usp=drive_link" TargetMode="External"/><Relationship Id="rId5" Type="http://schemas.openxmlformats.org/officeDocument/2006/relationships/hyperlink" Target="http://gofile.me/4xaew/8hRUCErYU" TargetMode="External"/><Relationship Id="rId90" Type="http://schemas.openxmlformats.org/officeDocument/2006/relationships/hyperlink" Target="https://drive.google.com/file/d/1E4DpmXu4tbsE-5kHRAI93t3XqgkYOXFM/view?usp=drive_link" TargetMode="External"/><Relationship Id="rId95" Type="http://schemas.openxmlformats.org/officeDocument/2006/relationships/hyperlink" Target="https://drive.google.com/file/d/1fNMS-_yhhQs-onWt2pwG0WC14WdP3x2h/view?usp=drive_link" TargetMode="External"/><Relationship Id="rId22" Type="http://schemas.openxmlformats.org/officeDocument/2006/relationships/hyperlink" Target="https://drive.google.com/file/d/1J_99sdSnsKJijASr0mavzTx7cWxj675d/view?usp=drive_link" TargetMode="External"/><Relationship Id="rId27" Type="http://schemas.openxmlformats.org/officeDocument/2006/relationships/hyperlink" Target="http://gofile.me/4xaew/TayXmjJCS" TargetMode="External"/><Relationship Id="rId43" Type="http://schemas.openxmlformats.org/officeDocument/2006/relationships/hyperlink" Target="http://gofile.me/4xaew/cluwRV9Lq" TargetMode="External"/><Relationship Id="rId48" Type="http://schemas.openxmlformats.org/officeDocument/2006/relationships/hyperlink" Target="https://drive.google.com/file/d/1svcZwUOS-W8Tqh4xE_XmUUAlaHmay7n8/view?usp=drive_link" TargetMode="External"/><Relationship Id="rId64" Type="http://schemas.openxmlformats.org/officeDocument/2006/relationships/hyperlink" Target="https://drive.google.com/file/d/1CPdhA8PNflYoPbbcJRLZXLT_pR2HNH4x/view?usp=drive_link" TargetMode="External"/><Relationship Id="rId69" Type="http://schemas.openxmlformats.org/officeDocument/2006/relationships/hyperlink" Target="https://drive.google.com/file/d/1sC_b4dyAbNKF9jGEIswmJyzoApyO_QQT/view?usp=drive_link" TargetMode="External"/><Relationship Id="rId80" Type="http://schemas.openxmlformats.org/officeDocument/2006/relationships/hyperlink" Target="https://drive.google.com/file/d/14-qhRUfe9VP2_A6CquYhK9GdaT68KZtF/view?usp=drive_link" TargetMode="External"/><Relationship Id="rId85" Type="http://schemas.openxmlformats.org/officeDocument/2006/relationships/hyperlink" Target="https://drive.google.com/file/d/15vFBztJ48Ufa1tO3rANNwZSEaZFHM6y5/view?usp=drive_link" TargetMode="External"/><Relationship Id="rId12" Type="http://schemas.openxmlformats.org/officeDocument/2006/relationships/hyperlink" Target="https://drive.google.com/file/d/1WvvfScOrkKC7UxhhQyBdfcVoTtyFQxyi/view?usp=drive_link" TargetMode="External"/><Relationship Id="rId17" Type="http://schemas.openxmlformats.org/officeDocument/2006/relationships/hyperlink" Target="http://gofile.me/4xaew/Acac1ZWq8" TargetMode="External"/><Relationship Id="rId33" Type="http://schemas.openxmlformats.org/officeDocument/2006/relationships/hyperlink" Target="http://gofile.me/4xaew/oQ3MXVwic" TargetMode="External"/><Relationship Id="rId38" Type="http://schemas.openxmlformats.org/officeDocument/2006/relationships/hyperlink" Target="https://drive.google.com/file/d/1Z860UARJY3Q1f4tmVAkPo7QmaAR_vsaU/view?usp=drive_link" TargetMode="External"/><Relationship Id="rId59" Type="http://schemas.openxmlformats.org/officeDocument/2006/relationships/hyperlink" Target="https://drive.google.com/file/d/1U4A5XHTlSlxCEFIpJN8YSshY_TSMvP_K/view?usp=drive_link" TargetMode="External"/><Relationship Id="rId103" Type="http://schemas.openxmlformats.org/officeDocument/2006/relationships/hyperlink" Target="https://drive.google.com/file/d/1NbmDVFsH5D32dUeYnUHEGruSBTKPah29/view?usp=drive_link" TargetMode="External"/><Relationship Id="rId20" Type="http://schemas.openxmlformats.org/officeDocument/2006/relationships/hyperlink" Target="https://drive.google.com/file/d/1hCtUhAvdMbdgatzsk7r9KyN79Z7JbIyv/view?usp=drive_link" TargetMode="External"/><Relationship Id="rId41" Type="http://schemas.openxmlformats.org/officeDocument/2006/relationships/hyperlink" Target="http://gofile.me/4xaew/PqNXR7z07" TargetMode="External"/><Relationship Id="rId54" Type="http://schemas.openxmlformats.org/officeDocument/2006/relationships/hyperlink" Target="https://drive.google.com/file/d/1Fy1wYFW2Dojs-YSWddJH4Q2yg3FDwgIF/view?usp=drive_link" TargetMode="External"/><Relationship Id="rId62" Type="http://schemas.openxmlformats.org/officeDocument/2006/relationships/hyperlink" Target="https://drive.google.com/file/d/1QDd18QKpzCYRiVgDP-A_BWNTPUqtBHpG/view?usp=drive_link" TargetMode="External"/><Relationship Id="rId70" Type="http://schemas.openxmlformats.org/officeDocument/2006/relationships/hyperlink" Target="https://drive.google.com/file/d/1_vR2cMffAuTpUbKmpjkrmOaoO9qxH4Pc/view?usp=drive_link" TargetMode="External"/><Relationship Id="rId75" Type="http://schemas.openxmlformats.org/officeDocument/2006/relationships/hyperlink" Target="https://drive.google.com/file/d/16M2cwAOGX5hwb1--z6vWsZHQJzWL7o3C/view?usp=drive_link" TargetMode="External"/><Relationship Id="rId83" Type="http://schemas.openxmlformats.org/officeDocument/2006/relationships/hyperlink" Target="https://drive.google.com/file/d/1KI5rdFS4uJ3GXOaLmI5FuaKDE5XXPerH/view?usp=drive_link" TargetMode="External"/><Relationship Id="rId88" Type="http://schemas.openxmlformats.org/officeDocument/2006/relationships/hyperlink" Target="https://drive.google.com/file/d/1UmLtZAbfBC1e9WtXLnNv1r6AmGefSTHd/view?usp=drive_link" TargetMode="External"/><Relationship Id="rId91" Type="http://schemas.openxmlformats.org/officeDocument/2006/relationships/hyperlink" Target="https://drive.google.com/file/d/19xP5Cc6bCJrYLXhSG5_e0dnNe_CdToEF/view?usp=drive_link" TargetMode="External"/><Relationship Id="rId96" Type="http://schemas.openxmlformats.org/officeDocument/2006/relationships/hyperlink" Target="https://drive.google.com/file/d/16teqkniKekRhQGcGyxcK2-aMs6t2oujr/view?usp=drive_link" TargetMode="External"/><Relationship Id="rId1" Type="http://schemas.openxmlformats.org/officeDocument/2006/relationships/hyperlink" Target="http://gofile.me/4xaew/7aOuuBbKP" TargetMode="External"/><Relationship Id="rId6" Type="http://schemas.openxmlformats.org/officeDocument/2006/relationships/hyperlink" Target="https://drive.google.com/file/d/1_OrCTCQe1j7KkKNRi2DsjjujJigALz3q/view?usp=drive_link" TargetMode="External"/><Relationship Id="rId15" Type="http://schemas.openxmlformats.org/officeDocument/2006/relationships/hyperlink" Target="http://gofile.me/4xaew/T81wxlebv" TargetMode="External"/><Relationship Id="rId23" Type="http://schemas.openxmlformats.org/officeDocument/2006/relationships/hyperlink" Target="http://gofile.me/4xaew/ZKop9c3eZ" TargetMode="External"/><Relationship Id="rId28" Type="http://schemas.openxmlformats.org/officeDocument/2006/relationships/hyperlink" Target="https://drive.google.com/file/d/1qCfE3aUNDMnBvFiCZuZihjf9PmdHgMgk/view?usp=drive_link" TargetMode="External"/><Relationship Id="rId36" Type="http://schemas.openxmlformats.org/officeDocument/2006/relationships/hyperlink" Target="https://drive.google.com/file/d/1ADsw18WepMt8RHb6zj8V99uxLsa0bZjW/view?usp=drive_link" TargetMode="External"/><Relationship Id="rId49" Type="http://schemas.openxmlformats.org/officeDocument/2006/relationships/hyperlink" Target="http://gofile.me/4xaew/iOaMO53Rl" TargetMode="External"/><Relationship Id="rId57" Type="http://schemas.openxmlformats.org/officeDocument/2006/relationships/hyperlink" Target="https://drive.google.com/file/d/1vfVr2xaGSgNgwLwb7VoacGJ8vQU6lQyX/view?usp=drive_link" TargetMode="External"/><Relationship Id="rId10" Type="http://schemas.openxmlformats.org/officeDocument/2006/relationships/hyperlink" Target="https://drive.google.com/file/d/1N0qfSLzivmG6q1mASgm3CBuAxi81RGzx/view?usp=drive_link" TargetMode="External"/><Relationship Id="rId31" Type="http://schemas.openxmlformats.org/officeDocument/2006/relationships/hyperlink" Target="http://gofile.me/4xaew/sAqtEcxwJ" TargetMode="External"/><Relationship Id="rId44" Type="http://schemas.openxmlformats.org/officeDocument/2006/relationships/hyperlink" Target="https://drive.google.com/file/d/1KmizeRiRPcREjP-npQM7d7UZ6hnah3Wf/view?usp=drive_link" TargetMode="External"/><Relationship Id="rId52" Type="http://schemas.openxmlformats.org/officeDocument/2006/relationships/hyperlink" Target="https://drive.google.com/file/d/12sA7lOXv8nKdAhhAaEubCiGIGMPkr3ju/view?usp=drive_link" TargetMode="External"/><Relationship Id="rId60" Type="http://schemas.openxmlformats.org/officeDocument/2006/relationships/hyperlink" Target="https://drive.google.com/file/d/1U4A5XHTlSlxCEFIpJN8YSshY_TSMvP_K/view?usp=drive_link" TargetMode="External"/><Relationship Id="rId65" Type="http://schemas.openxmlformats.org/officeDocument/2006/relationships/hyperlink" Target="https://drive.google.com/file/d/1ymemqxS1dEVRpqiHfRYLNvRxG-PK4HXi/view?usp=drive_link" TargetMode="External"/><Relationship Id="rId73" Type="http://schemas.openxmlformats.org/officeDocument/2006/relationships/hyperlink" Target="https://drive.google.com/file/d/1La0kSO-AAal8MvTRs6admfPOin3JwRL_/view?usp=drive_link" TargetMode="External"/><Relationship Id="rId78" Type="http://schemas.openxmlformats.org/officeDocument/2006/relationships/hyperlink" Target="https://drive.google.com/file/d/1yNiBAaTn_leam_-V2E-1INZEOJqLHA4M/view?usp=drive_link" TargetMode="External"/><Relationship Id="rId81" Type="http://schemas.openxmlformats.org/officeDocument/2006/relationships/hyperlink" Target="https://drive.google.com/file/d/1XSiKIi4aCxbEp3lP82LLkZuQB7I3ZMsK/view?usp=drive_link" TargetMode="External"/><Relationship Id="rId86" Type="http://schemas.openxmlformats.org/officeDocument/2006/relationships/hyperlink" Target="https://drive.google.com/file/d/1hBxKX9FoC_dvwe0QBqabbcTT7dkZQkaj/view?usp=drive_link" TargetMode="External"/><Relationship Id="rId94" Type="http://schemas.openxmlformats.org/officeDocument/2006/relationships/hyperlink" Target="https://drive.google.com/file/d/1BYtKddTEp2jccpdYOggUo8ltYX3Dw4sE/view?usp=drive_link" TargetMode="External"/><Relationship Id="rId99" Type="http://schemas.openxmlformats.org/officeDocument/2006/relationships/hyperlink" Target="https://drive.google.com/file/d/1_xaR_46q8AuXoAIC2qYFyubgqTiAbhQ0/view?usp=drive_link" TargetMode="External"/><Relationship Id="rId101" Type="http://schemas.openxmlformats.org/officeDocument/2006/relationships/hyperlink" Target="https://drive.google.com/file/d/14rtgT0cnKSaN17TtRQaGVj9zQRDJcJDL/view?usp=drive_link" TargetMode="External"/><Relationship Id="rId4" Type="http://schemas.openxmlformats.org/officeDocument/2006/relationships/hyperlink" Target="https://drive.google.com/file/d/1ZjEEmmm837nfYeT3rhOMxz4nkgp5lvll/view?usp=drive_link" TargetMode="External"/><Relationship Id="rId9" Type="http://schemas.openxmlformats.org/officeDocument/2006/relationships/hyperlink" Target="http://gofile.me/4xaew/HhLUCwvex" TargetMode="External"/><Relationship Id="rId13" Type="http://schemas.openxmlformats.org/officeDocument/2006/relationships/hyperlink" Target="http://gofile.me/4xaew/rTpk3YXCr" TargetMode="External"/><Relationship Id="rId18" Type="http://schemas.openxmlformats.org/officeDocument/2006/relationships/hyperlink" Target="https://drive.google.com/file/d/1rRWhIRLPRNUgPCpSllkFaHkCQg7ITj-l/view?usp=drive_link" TargetMode="External"/><Relationship Id="rId39" Type="http://schemas.openxmlformats.org/officeDocument/2006/relationships/hyperlink" Target="http://gofile.me/4xaew/xfb8gQgHl" TargetMode="External"/><Relationship Id="rId34" Type="http://schemas.openxmlformats.org/officeDocument/2006/relationships/hyperlink" Target="https://drive.google.com/file/d/1YJCrO9Z_55fvgRqkBebPrtrw8TO5jXZl/view?usp=drive_link" TargetMode="External"/><Relationship Id="rId50" Type="http://schemas.openxmlformats.org/officeDocument/2006/relationships/hyperlink" Target="https://drive.google.com/file/d/1b8CAC2sxGH79n9EPQhRXw0fdM_3zSl1R/view?usp=drive_link" TargetMode="External"/><Relationship Id="rId55" Type="http://schemas.openxmlformats.org/officeDocument/2006/relationships/hyperlink" Target="https://drive.google.com/file/d/1PLtGxJvK03YwQfpYqRVxNS0GKzakO_Xg/view?usp=drive_link" TargetMode="External"/><Relationship Id="rId76" Type="http://schemas.openxmlformats.org/officeDocument/2006/relationships/hyperlink" Target="https://drive.google.com/file/d/153BFF_pCIpbiILoPdF-ZsxxlzxXb1mc6/view?usp=drive_link" TargetMode="External"/><Relationship Id="rId97" Type="http://schemas.openxmlformats.org/officeDocument/2006/relationships/hyperlink" Target="https://drive.google.com/file/d/1qENcQHRDBC7fqWehkoNdA0pcTPyHgnfh/view?usp=drive_link" TargetMode="External"/><Relationship Id="rId104" Type="http://schemas.openxmlformats.org/officeDocument/2006/relationships/hyperlink" Target="https://drive.google.com/file/d/1fuA6mpE9mnNZ19YWsecIYLHCxfWYe7dy/view?usp=drive_link" TargetMode="External"/><Relationship Id="rId7" Type="http://schemas.openxmlformats.org/officeDocument/2006/relationships/hyperlink" Target="http://gofile.me/4xaew/Qw7sVPgPd" TargetMode="External"/><Relationship Id="rId71" Type="http://schemas.openxmlformats.org/officeDocument/2006/relationships/hyperlink" Target="https://drive.google.com/file/d/1iHJLrv1Dxhzb-Gkm69wfaOb_UQjyOoqZ/view?usp=drive_link" TargetMode="External"/><Relationship Id="rId92" Type="http://schemas.openxmlformats.org/officeDocument/2006/relationships/hyperlink" Target="https://drive.google.com/file/d/1jOjS8Hjpmmt3br2b00SX2zDW-pU4y0DY/view?usp=drive_link" TargetMode="External"/><Relationship Id="rId2" Type="http://schemas.openxmlformats.org/officeDocument/2006/relationships/hyperlink" Target="http://gofile.me/4xaew/9KUuuY8W1" TargetMode="External"/><Relationship Id="rId29" Type="http://schemas.openxmlformats.org/officeDocument/2006/relationships/hyperlink" Target="http://gofile.me/4xaew/uVnyNbjhr" TargetMode="External"/><Relationship Id="rId24" Type="http://schemas.openxmlformats.org/officeDocument/2006/relationships/hyperlink" Target="https://drive.google.com/file/d/1zUjwhdJUFSbqPKnPh3OEoJVvvlqDvpg1/view?usp=drive_link" TargetMode="External"/><Relationship Id="rId40" Type="http://schemas.openxmlformats.org/officeDocument/2006/relationships/hyperlink" Target="https://drive.google.com/file/d/1cZjrmZ95vQXTWXpqC30_JxS5FD4SFQyl/view?usp=drive_link" TargetMode="External"/><Relationship Id="rId45" Type="http://schemas.openxmlformats.org/officeDocument/2006/relationships/hyperlink" Target="http://gofile.me/4xaew/AMeZ95j7u" TargetMode="External"/><Relationship Id="rId66" Type="http://schemas.openxmlformats.org/officeDocument/2006/relationships/hyperlink" Target="https://drive.google.com/file/d/1YwehQXYZMSy8o84Gqn2xXpjzglkNtw3X/view?usp=drive_link" TargetMode="External"/><Relationship Id="rId87" Type="http://schemas.openxmlformats.org/officeDocument/2006/relationships/hyperlink" Target="https://drive.google.com/file/d/1wJTiHB7vxyCKdhDB1oY9K0qzXs0JhKkG/view?usp=drive_link" TargetMode="External"/><Relationship Id="rId61" Type="http://schemas.openxmlformats.org/officeDocument/2006/relationships/hyperlink" Target="https://drive.google.com/file/d/1hpNbwKVs91Tb9avjV27IWj9pdNbeABMi/view?usp=drive_link" TargetMode="External"/><Relationship Id="rId82" Type="http://schemas.openxmlformats.org/officeDocument/2006/relationships/hyperlink" Target="https://drive.google.com/file/d/1qRaTmtp6BNDPGaiUL9Pv7cGdnOdi5krk/view?usp=drive_link" TargetMode="External"/><Relationship Id="rId19" Type="http://schemas.openxmlformats.org/officeDocument/2006/relationships/hyperlink" Target="http://gofile.me/4xaew/DcoN2pqR8" TargetMode="External"/><Relationship Id="rId14" Type="http://schemas.openxmlformats.org/officeDocument/2006/relationships/hyperlink" Target="https://drive.google.com/file/d/14cDev39Wr361yE-G-T_U7i9IVc0Xd-bb/view?usp=drive_link" TargetMode="External"/><Relationship Id="rId30" Type="http://schemas.openxmlformats.org/officeDocument/2006/relationships/hyperlink" Target="https://drive.google.com/file/d/1ooObijn3zWVE87vllMW-MsT4aHyf25D2/view?usp=drive_link" TargetMode="External"/><Relationship Id="rId35" Type="http://schemas.openxmlformats.org/officeDocument/2006/relationships/hyperlink" Target="http://gofile.me/4xaew/3zFpiBpud" TargetMode="External"/><Relationship Id="rId56" Type="http://schemas.openxmlformats.org/officeDocument/2006/relationships/hyperlink" Target="https://drive.google.com/file/d/1YCdvQTQFFiyPcdmsxY-Ky7g-WueVXaUM/view?usp=drive_link" TargetMode="External"/><Relationship Id="rId77" Type="http://schemas.openxmlformats.org/officeDocument/2006/relationships/hyperlink" Target="https://drive.google.com/file/d/1OVZtX3IO-QctPIJNaK3x7lp13-xKm_Wm/view?usp=drive_link" TargetMode="External"/><Relationship Id="rId100" Type="http://schemas.openxmlformats.org/officeDocument/2006/relationships/hyperlink" Target="https://drive.google.com/file/d/11WHFD2HK7kGVqQttTba36Bn0L2azqfEe/view?usp=drive_link" TargetMode="External"/><Relationship Id="rId105" Type="http://schemas.openxmlformats.org/officeDocument/2006/relationships/hyperlink" Target="https://drive.google.com/file/d/1Da54OuJO0m02UnLyqqR2ZQ0V-X8lzmKQ/view?usp=drive_link" TargetMode="External"/><Relationship Id="rId8" Type="http://schemas.openxmlformats.org/officeDocument/2006/relationships/hyperlink" Target="https://drive.google.com/file/d/1hZmnmHL5AgLCjg6fHsct1UIcb-NEp6ZX/view?usp=drive_link" TargetMode="External"/><Relationship Id="rId51" Type="http://schemas.openxmlformats.org/officeDocument/2006/relationships/hyperlink" Target="http://gofile.me/4xaew/NNOjDvlJE" TargetMode="External"/><Relationship Id="rId72" Type="http://schemas.openxmlformats.org/officeDocument/2006/relationships/hyperlink" Target="https://drive.google.com/file/d/1ExUCjCxyl5o9V0uBGuRU_5oDUu2rc_dC/view?usp=drive_link" TargetMode="External"/><Relationship Id="rId93" Type="http://schemas.openxmlformats.org/officeDocument/2006/relationships/hyperlink" Target="https://drive.google.com/file/d/1tvac8fdRveSzkh1yK97leDElJOjlpJ6C/view?usp=drive_link" TargetMode="External"/><Relationship Id="rId98" Type="http://schemas.openxmlformats.org/officeDocument/2006/relationships/hyperlink" Target="https://drive.google.com/file/d/1kYT3SohK-1hUJQCjJdmwmLu-USHrsPxY/view?usp=drive_link" TargetMode="External"/><Relationship Id="rId3" Type="http://schemas.openxmlformats.org/officeDocument/2006/relationships/hyperlink" Target="http://gofile.me/4xaew/4jJV9ig6N" TargetMode="External"/><Relationship Id="rId25" Type="http://schemas.openxmlformats.org/officeDocument/2006/relationships/hyperlink" Target="http://gofile.me/4xaew/M2dRICC8h" TargetMode="External"/><Relationship Id="rId46" Type="http://schemas.openxmlformats.org/officeDocument/2006/relationships/hyperlink" Target="https://drive.google.com/file/d/1J58IR6Sd3VSDcxameN_klyFKR05kYkUu/view?usp=drive_link" TargetMode="External"/><Relationship Id="rId67" Type="http://schemas.openxmlformats.org/officeDocument/2006/relationships/hyperlink" Target="https://drive.google.com/file/d/1CemnKf7mXF9bfgqd4atn7T8uEF4XovLe/view?usp=drive_link" TargetMode="External"/></Relationships>
</file>

<file path=xl/worksheets/_rels/sheet29.xml.rels><?xml version="1.0" encoding="UTF-8" standalone="yes"?>
<Relationships xmlns="http://schemas.openxmlformats.org/package/2006/relationships"><Relationship Id="rId26" Type="http://schemas.openxmlformats.org/officeDocument/2006/relationships/hyperlink" Target="https://drive.google.com/file/d/1TZS6AC1VQf9QhesjD-Z_gFNcG0xxpNIQ/view?usp=drive_link" TargetMode="External"/><Relationship Id="rId21" Type="http://schemas.openxmlformats.org/officeDocument/2006/relationships/hyperlink" Target="http://gofile.me/4xaew/CwX7pkY9x" TargetMode="External"/><Relationship Id="rId42" Type="http://schemas.openxmlformats.org/officeDocument/2006/relationships/hyperlink" Target="https://drive.google.com/file/d/13cS2vyEBLExJ-enefdPHYDG27MxyxEA3/view?usp=drive_link" TargetMode="External"/><Relationship Id="rId47" Type="http://schemas.openxmlformats.org/officeDocument/2006/relationships/hyperlink" Target="https://drive.google.com/file/d/1GaH0IXCXKWpUKZiVuakOY2UkfeaQwJu-/view?usp=drive_link" TargetMode="External"/><Relationship Id="rId63" Type="http://schemas.openxmlformats.org/officeDocument/2006/relationships/hyperlink" Target="https://drive.google.com/file/d/1onCtt6lglGbv7Hm3aJryzqVXO1nsbxlg/view?usp=drive_link" TargetMode="External"/><Relationship Id="rId68" Type="http://schemas.openxmlformats.org/officeDocument/2006/relationships/hyperlink" Target="https://drive.google.com/file/d/11fqUUUQlg8oUdDX2WIkp2m1fuFTHHI0D/view?usp=drive_link" TargetMode="External"/><Relationship Id="rId84" Type="http://schemas.openxmlformats.org/officeDocument/2006/relationships/hyperlink" Target="https://drive.google.com/file/d/1ye5t7hOykJGY645O_B2ZMKeP9OcVpxvH/view?usp=drive_link" TargetMode="External"/><Relationship Id="rId89" Type="http://schemas.openxmlformats.org/officeDocument/2006/relationships/hyperlink" Target="https://drive.google.com/file/d/1VyA8Onkx6-vDeWOC0SI1PHu2JEcLte9H/view?usp=drive_link" TargetMode="External"/><Relationship Id="rId16" Type="http://schemas.openxmlformats.org/officeDocument/2006/relationships/hyperlink" Target="https://drive.google.com/file/d/1ykhtONZ9WAtMki2hBJafS--vWCpu8jXg/view?usp=drive_link" TargetMode="External"/><Relationship Id="rId11" Type="http://schemas.openxmlformats.org/officeDocument/2006/relationships/hyperlink" Target="http://gofile.me/4xaew/FJQ5VGRyt" TargetMode="External"/><Relationship Id="rId32" Type="http://schemas.openxmlformats.org/officeDocument/2006/relationships/hyperlink" Target="https://drive.google.com/file/d/1OyRJ-5AWN3GliSUcMQDfn0EwxA6MFNdQ/view?usp=drive_link" TargetMode="External"/><Relationship Id="rId37" Type="http://schemas.openxmlformats.org/officeDocument/2006/relationships/hyperlink" Target="https://drive.google.com/file/d/1pYGjPB_VXAE2LB5g5V4TYqsgzTaeLK0U/view?usp=drive_link" TargetMode="External"/><Relationship Id="rId53" Type="http://schemas.openxmlformats.org/officeDocument/2006/relationships/hyperlink" Target="https://drive.google.com/file/d/1cy4x83r4VKSTEDFZFjKQZ7MRZ6t35zjh/view?usp=drive_link" TargetMode="External"/><Relationship Id="rId58" Type="http://schemas.openxmlformats.org/officeDocument/2006/relationships/hyperlink" Target="https://drive.google.com/file/d/177VEx0_D0TZbeqFcPsg1-OcBpdnQOmN2/view?usp=drive_link" TargetMode="External"/><Relationship Id="rId74" Type="http://schemas.openxmlformats.org/officeDocument/2006/relationships/hyperlink" Target="https://drive.google.com/file/d/1xhsnIgOSZxrg7SllF_ehS-OnYPHU0EBe/view?usp=drive_link" TargetMode="External"/><Relationship Id="rId79" Type="http://schemas.openxmlformats.org/officeDocument/2006/relationships/hyperlink" Target="https://drive.google.com/file/d/1oeh-uOvMT3-P1Yd_72jLvxLzfaM7CuOj/view?usp=drive_link" TargetMode="External"/><Relationship Id="rId5" Type="http://schemas.openxmlformats.org/officeDocument/2006/relationships/hyperlink" Target="http://gofile.me/4xaew/whcuvIMYY" TargetMode="External"/><Relationship Id="rId90" Type="http://schemas.openxmlformats.org/officeDocument/2006/relationships/hyperlink" Target="https://drive.google.com/file/d/1ZL6thbNDHOzzEsJJCBHM36AaPucolbhP/view?usp=drive_link" TargetMode="External"/><Relationship Id="rId95" Type="http://schemas.openxmlformats.org/officeDocument/2006/relationships/hyperlink" Target="https://drive.google.com/file/d/1B_NYYF6dYpFtXMSKu6hqTH3-9P4SvhVm/view?usp=drive_link" TargetMode="External"/><Relationship Id="rId22" Type="http://schemas.openxmlformats.org/officeDocument/2006/relationships/hyperlink" Target="https://drive.google.com/file/d/1bPwLY8UxX5DfOjWrrFmqQVpIeF5-RFGS/view?usp=drive_link" TargetMode="External"/><Relationship Id="rId27" Type="http://schemas.openxmlformats.org/officeDocument/2006/relationships/hyperlink" Target="http://gofile.me/4xaew/xmFRT2EPI" TargetMode="External"/><Relationship Id="rId43" Type="http://schemas.openxmlformats.org/officeDocument/2006/relationships/hyperlink" Target="https://drive.google.com/file/d/1ojAsdR614cxUCAzhJgLRMb0jyeDWju13/view?usp=drive_link" TargetMode="External"/><Relationship Id="rId48" Type="http://schemas.openxmlformats.org/officeDocument/2006/relationships/hyperlink" Target="https://drive.google.com/file/d/1-rEmgYBGBOnqkzYFfA1mL8LotcQIetw_/view?usp=drive_link" TargetMode="External"/><Relationship Id="rId64" Type="http://schemas.openxmlformats.org/officeDocument/2006/relationships/hyperlink" Target="https://drive.google.com/file/d/1wp6aZkbm3S3FaiBPs1oZDzP-VsfCZY9w/view?usp=drive_link" TargetMode="External"/><Relationship Id="rId69" Type="http://schemas.openxmlformats.org/officeDocument/2006/relationships/hyperlink" Target="https://drive.google.com/file/d/1KCcuZqMwYPLTn5W_p1zkZg-zhjKAGi1K/view?usp=drive_link" TargetMode="External"/><Relationship Id="rId80" Type="http://schemas.openxmlformats.org/officeDocument/2006/relationships/hyperlink" Target="https://drive.google.com/file/d/1-X6oH1GeWghdwQp28v-fqixGnUvwI0Wg/view?usp=drive_link" TargetMode="External"/><Relationship Id="rId85" Type="http://schemas.openxmlformats.org/officeDocument/2006/relationships/hyperlink" Target="https://drive.google.com/file/d/14D_L2g1eIhFzT0kr0xl7TnepIFrYHzn_/view?usp=drive_link" TargetMode="External"/><Relationship Id="rId3" Type="http://schemas.openxmlformats.org/officeDocument/2006/relationships/hyperlink" Target="http://gofile.me/4xaew/r5oh8lwIP" TargetMode="External"/><Relationship Id="rId12" Type="http://schemas.openxmlformats.org/officeDocument/2006/relationships/hyperlink" Target="https://drive.google.com/file/d/1MTUs3_wEK2aW6GYgcv3t0BcpNrF930sv/view?usp=drive_link" TargetMode="External"/><Relationship Id="rId17" Type="http://schemas.openxmlformats.org/officeDocument/2006/relationships/hyperlink" Target="http://gofile.me/4xaew/JrB4Z4OoG" TargetMode="External"/><Relationship Id="rId25" Type="http://schemas.openxmlformats.org/officeDocument/2006/relationships/hyperlink" Target="http://gofile.me/4xaew/2aNuoXGD8" TargetMode="External"/><Relationship Id="rId33" Type="http://schemas.openxmlformats.org/officeDocument/2006/relationships/hyperlink" Target="http://gofile.me/4xaew/wXn59jw9J" TargetMode="External"/><Relationship Id="rId38" Type="http://schemas.openxmlformats.org/officeDocument/2006/relationships/hyperlink" Target="https://drive.google.com/file/d/1l_okounc9WgyvYkt1vWcLoF3ZdXT1TAW/view?usp=drive_link" TargetMode="External"/><Relationship Id="rId46" Type="http://schemas.openxmlformats.org/officeDocument/2006/relationships/hyperlink" Target="https://drive.google.com/file/d/1E2dtDFthTKIRfQXVPfnfGmHkfOlp_Z97/view?usp=drive_link" TargetMode="External"/><Relationship Id="rId59" Type="http://schemas.openxmlformats.org/officeDocument/2006/relationships/hyperlink" Target="https://drive.google.com/file/d/1KZdZWOLQB82sMdowi39nInYH-x46f-IY/view?usp=drive_link" TargetMode="External"/><Relationship Id="rId67" Type="http://schemas.openxmlformats.org/officeDocument/2006/relationships/hyperlink" Target="https://drive.google.com/file/d/19DqjNdHQdtAXwgSkH6Uj7CyvOjG0BOfZ/view?usp=drive_link" TargetMode="External"/><Relationship Id="rId20" Type="http://schemas.openxmlformats.org/officeDocument/2006/relationships/hyperlink" Target="https://drive.google.com/file/d/1Oxor7NW9MSKV5i2Lge0S3V3IqqJ6kEqY/view?usp=drive_link" TargetMode="External"/><Relationship Id="rId41" Type="http://schemas.openxmlformats.org/officeDocument/2006/relationships/hyperlink" Target="https://drive.google.com/file/d/18CEhWJhXhEcpdhjEXrip3PWmSlu9gVRs/view?usp=drive_link" TargetMode="External"/><Relationship Id="rId54" Type="http://schemas.openxmlformats.org/officeDocument/2006/relationships/hyperlink" Target="https://drive.google.com/file/d/17NdCr779aDBAHqTupNu3Ypelx7XCl4VX/view?usp=drive_link" TargetMode="External"/><Relationship Id="rId62" Type="http://schemas.openxmlformats.org/officeDocument/2006/relationships/hyperlink" Target="https://drive.google.com/file/d/1onCtt6lglGbv7Hm3aJryzqVXO1nsbxlg/view?usp=drive_link" TargetMode="External"/><Relationship Id="rId70" Type="http://schemas.openxmlformats.org/officeDocument/2006/relationships/hyperlink" Target="https://drive.google.com/file/d/1DpmhUNSenR2Suy2PlxDz0BY0u8eYfZ0S/view?usp=drive_link" TargetMode="External"/><Relationship Id="rId75" Type="http://schemas.openxmlformats.org/officeDocument/2006/relationships/hyperlink" Target="https://drive.google.com/file/d/1fuDzGruclimDPCjowzmMKN-ItYafFyvX/view?usp=drive_link" TargetMode="External"/><Relationship Id="rId83" Type="http://schemas.openxmlformats.org/officeDocument/2006/relationships/hyperlink" Target="https://drive.google.com/file/d/1HkAWNFuM5IqJHBOUefK_HD2Menkt0mbm/view?usp=drive_link" TargetMode="External"/><Relationship Id="rId88" Type="http://schemas.openxmlformats.org/officeDocument/2006/relationships/hyperlink" Target="https://drive.google.com/file/d/1A8isG_rv3dt8Aj_q9R7Kf9DuY205tIlE/view?usp=drive_link" TargetMode="External"/><Relationship Id="rId91" Type="http://schemas.openxmlformats.org/officeDocument/2006/relationships/hyperlink" Target="https://drive.google.com/file/d/17k40JsZzh_JFWpKHn93I788FG2X5mmf9/view?usp=drive_link" TargetMode="External"/><Relationship Id="rId96" Type="http://schemas.openxmlformats.org/officeDocument/2006/relationships/hyperlink" Target="https://drive.google.com/file/d/1-UYwlAn2sd51K0UAsD1MyKLdIP5n2_97/view?usp=drive_link" TargetMode="External"/><Relationship Id="rId1" Type="http://schemas.openxmlformats.org/officeDocument/2006/relationships/hyperlink" Target="http://gofile.me/4xaew/hNo4piJQa" TargetMode="External"/><Relationship Id="rId6" Type="http://schemas.openxmlformats.org/officeDocument/2006/relationships/hyperlink" Target="https://drive.google.com/file/d/1qdKpib2-wrNLoDTXUUsVjbIyhsENdBPl/view?usp=drive_link" TargetMode="External"/><Relationship Id="rId15" Type="http://schemas.openxmlformats.org/officeDocument/2006/relationships/hyperlink" Target="http://gofile.me/4xaew/KTlAtyJxh" TargetMode="External"/><Relationship Id="rId23" Type="http://schemas.openxmlformats.org/officeDocument/2006/relationships/hyperlink" Target="http://gofile.me/4xaew/6EfOx5m6t" TargetMode="External"/><Relationship Id="rId28" Type="http://schemas.openxmlformats.org/officeDocument/2006/relationships/hyperlink" Target="https://drive.google.com/file/d/1O5TSLsXtM4X66kR40PYdxw6aeWHSeiVK/view?usp=drive_link" TargetMode="External"/><Relationship Id="rId36" Type="http://schemas.openxmlformats.org/officeDocument/2006/relationships/hyperlink" Target="https://drive.google.com/file/d/1abZhe0m7bcr5TQYY0nEpo4xrKLvQvZHM/view?usp=drive_link" TargetMode="External"/><Relationship Id="rId49" Type="http://schemas.openxmlformats.org/officeDocument/2006/relationships/hyperlink" Target="https://drive.google.com/file/d/1dG7pl0BWWIUOqu2F6wp2_Ufgq4r_iGKp/view?usp=drive_link" TargetMode="External"/><Relationship Id="rId57" Type="http://schemas.openxmlformats.org/officeDocument/2006/relationships/hyperlink" Target="https://drive.google.com/file/d/1x07zlGAbt5J-t1lXK3aGtfwJXGc5MbYJ/view?usp=drive_link" TargetMode="External"/><Relationship Id="rId10" Type="http://schemas.openxmlformats.org/officeDocument/2006/relationships/hyperlink" Target="https://drive.google.com/file/d/1ut9rt5RjpMTsUEtzMOZx0LTpBV7HKkyw/view?usp=drive_link" TargetMode="External"/><Relationship Id="rId31" Type="http://schemas.openxmlformats.org/officeDocument/2006/relationships/hyperlink" Target="http://gofile.me/4xaew/YH4W9mT4K" TargetMode="External"/><Relationship Id="rId44" Type="http://schemas.openxmlformats.org/officeDocument/2006/relationships/hyperlink" Target="https://drive.google.com/file/d/1zo5uY0LIEfBtovkp_QynNWnyGZyo8Kj9/view?usp=drive_link" TargetMode="External"/><Relationship Id="rId52" Type="http://schemas.openxmlformats.org/officeDocument/2006/relationships/hyperlink" Target="https://drive.google.com/file/d/1EX2rVScH76_YaaYYJ8PEb7Ts-_P3JZ9Z/view?usp=drive_link" TargetMode="External"/><Relationship Id="rId60" Type="http://schemas.openxmlformats.org/officeDocument/2006/relationships/hyperlink" Target="https://drive.google.com/file/d/1ABIRVkwF2RuTF67CMDiWvoFtuo-krLQX/view?usp=drive_link" TargetMode="External"/><Relationship Id="rId65" Type="http://schemas.openxmlformats.org/officeDocument/2006/relationships/hyperlink" Target="https://drive.google.com/file/d/1fBFEr6IvFL-nShmVzF1dJocXOfLKw8Bv/view?usp=drive_link" TargetMode="External"/><Relationship Id="rId73" Type="http://schemas.openxmlformats.org/officeDocument/2006/relationships/hyperlink" Target="https://drive.google.com/file/d/1ZqnFf-V8VI-PR35CJGSn5UZMe7YEgZ_6/view?usp=drive_link" TargetMode="External"/><Relationship Id="rId78" Type="http://schemas.openxmlformats.org/officeDocument/2006/relationships/hyperlink" Target="https://drive.google.com/file/d/1G5jsa6dqfzQRJFIZwoN2FdJxT04TbRXd/view?usp=drive_link" TargetMode="External"/><Relationship Id="rId81" Type="http://schemas.openxmlformats.org/officeDocument/2006/relationships/hyperlink" Target="https://drive.google.com/file/d/16C10s8wZegexjRlJ78OB6tLHLu0X9Dk9/view?usp=drive_link" TargetMode="External"/><Relationship Id="rId86" Type="http://schemas.openxmlformats.org/officeDocument/2006/relationships/hyperlink" Target="https://drive.google.com/file/d/1NfF8rVfoFvTvgwJgA4ENeR7O88l1ieMb/view?usp=drive_link" TargetMode="External"/><Relationship Id="rId94" Type="http://schemas.openxmlformats.org/officeDocument/2006/relationships/hyperlink" Target="https://drive.google.com/file/d/1kBQjXr6HylKNilxeKk12OFeE8ge9HjKs/view?usp=drive_link" TargetMode="External"/><Relationship Id="rId4" Type="http://schemas.openxmlformats.org/officeDocument/2006/relationships/hyperlink" Target="https://drive.google.com/file/d/1aS1vxe6wE9129IRs-5NNRXLYzVATz2N9/view?usp=drive_link" TargetMode="External"/><Relationship Id="rId9" Type="http://schemas.openxmlformats.org/officeDocument/2006/relationships/hyperlink" Target="http://gofile.me/4xaew/d6U6oxeAG" TargetMode="External"/><Relationship Id="rId13" Type="http://schemas.openxmlformats.org/officeDocument/2006/relationships/hyperlink" Target="http://gofile.me/4xaew/lccuaQ3tn" TargetMode="External"/><Relationship Id="rId18" Type="http://schemas.openxmlformats.org/officeDocument/2006/relationships/hyperlink" Target="https://drive.google.com/file/d/1-Pz074jAFf7aQfQPdygua-BxmwMAGU3c/view?usp=drive_link" TargetMode="External"/><Relationship Id="rId39" Type="http://schemas.openxmlformats.org/officeDocument/2006/relationships/hyperlink" Target="https://drive.google.com/file/d/1Q5dS9FESOKiwTvZEZKCJ2JEoY6vBKFhG/view?usp=drive_link" TargetMode="External"/><Relationship Id="rId34" Type="http://schemas.openxmlformats.org/officeDocument/2006/relationships/hyperlink" Target="https://drive.google.com/file/d/1KtmPd2YLgWpD0q-2msDlbMt1wvBvPywD/view?usp=drive_link" TargetMode="External"/><Relationship Id="rId50" Type="http://schemas.openxmlformats.org/officeDocument/2006/relationships/hyperlink" Target="https://drive.google.com/file/d/1l137_9H55hB0-qczxtBwAp9kM9s-PVWr/view?usp=drive_link" TargetMode="External"/><Relationship Id="rId55" Type="http://schemas.openxmlformats.org/officeDocument/2006/relationships/hyperlink" Target="https://drive.google.com/file/d/171S9Go0qbBdr1k16RWoAC73DHWmIlkTO/view?usp=drive_link" TargetMode="External"/><Relationship Id="rId76" Type="http://schemas.openxmlformats.org/officeDocument/2006/relationships/hyperlink" Target="https://drive.google.com/file/d/1K-pkogfn-E-tQaLUkM-NP9bKaB0nx4ee/view?usp=drive_link" TargetMode="External"/><Relationship Id="rId97" Type="http://schemas.openxmlformats.org/officeDocument/2006/relationships/hyperlink" Target="https://drive.google.com/file/d/13ToPzq07kMEZj0FjOyvLwfbOmGbZwEOY/view?usp=drive_link" TargetMode="External"/><Relationship Id="rId7" Type="http://schemas.openxmlformats.org/officeDocument/2006/relationships/hyperlink" Target="http://gofile.me/4xaew/mE9i8jVQm" TargetMode="External"/><Relationship Id="rId71" Type="http://schemas.openxmlformats.org/officeDocument/2006/relationships/hyperlink" Target="https://drive.google.com/file/d/1IMounkTLe5wVUWNvLJ1ZmwfuBO55QdJW/view?usp=drive_link" TargetMode="External"/><Relationship Id="rId92" Type="http://schemas.openxmlformats.org/officeDocument/2006/relationships/hyperlink" Target="https://drive.google.com/file/d/1qPCEkS_H8q3Bn4CfFFilAzN_0o-exKay/view?usp=drive_link" TargetMode="External"/><Relationship Id="rId2" Type="http://schemas.openxmlformats.org/officeDocument/2006/relationships/hyperlink" Target="https://drive.google.com/file/d/1jC74KhZ7Nq-2ss5T8JNnG8Z1HeSx2tIP/view?usp=drive_link" TargetMode="External"/><Relationship Id="rId29" Type="http://schemas.openxmlformats.org/officeDocument/2006/relationships/hyperlink" Target="http://gofile.me/4xaew/hqHG7w8cY" TargetMode="External"/><Relationship Id="rId24" Type="http://schemas.openxmlformats.org/officeDocument/2006/relationships/hyperlink" Target="https://drive.google.com/file/d/1DvvcRxuFnCWnOBaH5QzHHgOhgmRhwrXJ/view?usp=drive_link" TargetMode="External"/><Relationship Id="rId40" Type="http://schemas.openxmlformats.org/officeDocument/2006/relationships/hyperlink" Target="https://drive.google.com/file/d/1T4orXHxYsFNe2_JRqQQNZYu6x4jp9riz/view?usp=drive_link" TargetMode="External"/><Relationship Id="rId45" Type="http://schemas.openxmlformats.org/officeDocument/2006/relationships/hyperlink" Target="https://drive.google.com/file/d/15kHuzY0h43Qm_C6Y4lWbLMUC3JL164g0/view?usp=drive_link" TargetMode="External"/><Relationship Id="rId66" Type="http://schemas.openxmlformats.org/officeDocument/2006/relationships/hyperlink" Target="https://drive.google.com/file/d/1kpvjrl7k60rz5hwXQQPrNetCzQfo-PI6/view?usp=drive_link" TargetMode="External"/><Relationship Id="rId87" Type="http://schemas.openxmlformats.org/officeDocument/2006/relationships/hyperlink" Target="https://drive.google.com/file/d/1-eIaIeHhu6Fun7-c9JF3YOHyqt3iAri9/view?usp=drive_link" TargetMode="External"/><Relationship Id="rId61" Type="http://schemas.openxmlformats.org/officeDocument/2006/relationships/hyperlink" Target="https://drive.google.com/file/d/1vGwsFaURGttxuZSZp0IruqY8EiYl5lf5/view?usp=drive_link" TargetMode="External"/><Relationship Id="rId82" Type="http://schemas.openxmlformats.org/officeDocument/2006/relationships/hyperlink" Target="https://drive.google.com/file/d/1HJkOGL6kTE1arHcd6ca1o1YrX0OtzjiU/view?usp=drive_link" TargetMode="External"/><Relationship Id="rId19" Type="http://schemas.openxmlformats.org/officeDocument/2006/relationships/hyperlink" Target="http://gofile.me/4xaew/JrB4Z4OoG" TargetMode="External"/><Relationship Id="rId14" Type="http://schemas.openxmlformats.org/officeDocument/2006/relationships/hyperlink" Target="https://drive.google.com/file/d/14K4MSrW_veMThC1nc9E00ADBrSfd50_r/view?usp=drive_link" TargetMode="External"/><Relationship Id="rId30" Type="http://schemas.openxmlformats.org/officeDocument/2006/relationships/hyperlink" Target="https://drive.google.com/file/d/1OJ_I5CTMFfNKQziblch0aGB3I2V8yfqj/view?usp=drive_link" TargetMode="External"/><Relationship Id="rId35" Type="http://schemas.openxmlformats.org/officeDocument/2006/relationships/hyperlink" Target="http://gofile.me/4xaew/J1LJRPGw8" TargetMode="External"/><Relationship Id="rId56" Type="http://schemas.openxmlformats.org/officeDocument/2006/relationships/hyperlink" Target="https://drive.google.com/file/d/1_IN0Pc6hG1pIbmOz0os6UMgcV3Q_fyY2/view?usp=drive_link" TargetMode="External"/><Relationship Id="rId77" Type="http://schemas.openxmlformats.org/officeDocument/2006/relationships/hyperlink" Target="https://drive.google.com/file/d/1g8jtOfwQUlKflZU1J89g67Vn3aY_fRoa/view?usp=drive_link" TargetMode="External"/><Relationship Id="rId8" Type="http://schemas.openxmlformats.org/officeDocument/2006/relationships/hyperlink" Target="https://drive.google.com/file/d/1jW3agTe5S9YhMROId3kKqY6zRv8cbRhH/view?usp=drive_link" TargetMode="External"/><Relationship Id="rId51" Type="http://schemas.openxmlformats.org/officeDocument/2006/relationships/hyperlink" Target="https://drive.google.com/file/d/1pPP9HyxDNCatTZ0_aZ_jrXiW3IjDSLWU/view?usp=drive_link" TargetMode="External"/><Relationship Id="rId72" Type="http://schemas.openxmlformats.org/officeDocument/2006/relationships/hyperlink" Target="https://drive.google.com/file/d/1L4Rm9bLT1On_t7LSLQ4IRxE9f2uHEWTM/view?usp=drive_link" TargetMode="External"/><Relationship Id="rId93" Type="http://schemas.openxmlformats.org/officeDocument/2006/relationships/hyperlink" Target="https://drive.google.com/file/d/1FGR_f54TX083A5e1G7nHM2_sS7n39Feo/view?usp=drive_link" TargetMode="External"/><Relationship Id="rId98" Type="http://schemas.openxmlformats.org/officeDocument/2006/relationships/hyperlink" Target="https://drive.google.com/file/d/1XHw_VuSXYqYKkt9ELl_gZAayeG1uxplu/view?usp=sharing" TargetMode="External"/></Relationships>
</file>

<file path=xl/worksheets/_rels/sheet30.xml.rels><?xml version="1.0" encoding="UTF-8" standalone="yes"?>
<Relationships xmlns="http://schemas.openxmlformats.org/package/2006/relationships"><Relationship Id="rId26" Type="http://schemas.openxmlformats.org/officeDocument/2006/relationships/hyperlink" Target="https://drive.google.com/file/d/1S0Beusxsy5QP1AUvgpykA5q8PYIwIjn5/view?usp=drive_link" TargetMode="External"/><Relationship Id="rId21" Type="http://schemas.openxmlformats.org/officeDocument/2006/relationships/hyperlink" Target="http://gofile.me/4xaew/BDZALWl8l" TargetMode="External"/><Relationship Id="rId42" Type="http://schemas.openxmlformats.org/officeDocument/2006/relationships/hyperlink" Target="https://drive.google.com/file/d/1m0hL2EoJSvHQOHhzJKzcd1u4DcVEZ1op/view?usp=drive_link" TargetMode="External"/><Relationship Id="rId47" Type="http://schemas.openxmlformats.org/officeDocument/2006/relationships/hyperlink" Target="https://drive.google.com/file/d/1pmp6E7xOBvbkyWvdMx-hmGhbw7SHH2AI/view?usp=drive_link" TargetMode="External"/><Relationship Id="rId63" Type="http://schemas.openxmlformats.org/officeDocument/2006/relationships/hyperlink" Target="https://drive.google.com/file/d/1fVt6AruRLPrej0j5svQGJKOaqAsvAsUD/view?usp=drive_link" TargetMode="External"/><Relationship Id="rId68" Type="http://schemas.openxmlformats.org/officeDocument/2006/relationships/hyperlink" Target="https://drive.google.com/file/d/1E1uIzV6ONoaQm_CGz_3k6o-DVPzULkYv/view?usp=drive_link" TargetMode="External"/><Relationship Id="rId16" Type="http://schemas.openxmlformats.org/officeDocument/2006/relationships/hyperlink" Target="https://drive.google.com/file/d/1Faa1D2zeIuVZVvz1SURQY3hVWx7F1SOi/view?usp=drive_link" TargetMode="External"/><Relationship Id="rId11" Type="http://schemas.openxmlformats.org/officeDocument/2006/relationships/hyperlink" Target="http://gofile.me/4xaew/qZEPxpblO" TargetMode="External"/><Relationship Id="rId24" Type="http://schemas.openxmlformats.org/officeDocument/2006/relationships/hyperlink" Target="https://drive.google.com/file/d/1sXN65aHusjw0nmhzvTELyfja_kRCqQpB/view?usp=drive_link" TargetMode="External"/><Relationship Id="rId32" Type="http://schemas.openxmlformats.org/officeDocument/2006/relationships/hyperlink" Target="https://drive.google.com/file/d/1b14j-CQ2VkPZwteL1lmysIUS-IRy9vW9/view?usp=drive_link" TargetMode="External"/><Relationship Id="rId37" Type="http://schemas.openxmlformats.org/officeDocument/2006/relationships/hyperlink" Target="http://gofile.me/4xaew/sTieujFbi" TargetMode="External"/><Relationship Id="rId40" Type="http://schemas.openxmlformats.org/officeDocument/2006/relationships/hyperlink" Target="https://drive.google.com/file/d/1QNmMtv9NtYTPluyZiu9TQ5PDVAn1-Lhl/view?usp=drive_link" TargetMode="External"/><Relationship Id="rId45" Type="http://schemas.openxmlformats.org/officeDocument/2006/relationships/hyperlink" Target="https://drive.google.com/file/d/1N40UwoxTuQGlbBtWy2DXnvOcu0uLXmb9/view?usp=drive_link" TargetMode="External"/><Relationship Id="rId53" Type="http://schemas.openxmlformats.org/officeDocument/2006/relationships/hyperlink" Target="https://drive.google.com/file/d/1xFGHrB0jOa-avz5kWPuoA0KQtLvlTDaa/view?usp=drive_link" TargetMode="External"/><Relationship Id="rId58" Type="http://schemas.openxmlformats.org/officeDocument/2006/relationships/hyperlink" Target="https://drive.google.com/file/d/1QkATVsA6CcprK59NhEEKqDYB70HckFKz/view?usp=drive_link" TargetMode="External"/><Relationship Id="rId66" Type="http://schemas.openxmlformats.org/officeDocument/2006/relationships/hyperlink" Target="https://drive.google.com/file/d/1hOIFrrgH0SxA9GWW2bVVNW4xOTdNoL6A/view?usp=drive_link" TargetMode="External"/><Relationship Id="rId74" Type="http://schemas.openxmlformats.org/officeDocument/2006/relationships/hyperlink" Target="https://drive.google.com/file/d/1lqhhiHkA0RVuHsUsASuzEs3-VFRB07-u/view?usp=drive_link" TargetMode="External"/><Relationship Id="rId5" Type="http://schemas.openxmlformats.org/officeDocument/2006/relationships/hyperlink" Target="http://gofile.me/4xaew/v5QIshBCd" TargetMode="External"/><Relationship Id="rId61" Type="http://schemas.openxmlformats.org/officeDocument/2006/relationships/hyperlink" Target="https://drive.google.com/file/d/1jtpCmH10uTSVIylgxXWSwg_FrTXrV1U8/view?usp=drive_link" TargetMode="External"/><Relationship Id="rId19" Type="http://schemas.openxmlformats.org/officeDocument/2006/relationships/hyperlink" Target="http://gofile.me/4xaew/4PmKFQ0on" TargetMode="External"/><Relationship Id="rId14" Type="http://schemas.openxmlformats.org/officeDocument/2006/relationships/hyperlink" Target="https://drive.google.com/file/d/1ZnIyjSBLsE9TtFPjkScshJgUyOHFiW2D/view?usp=drive_link" TargetMode="External"/><Relationship Id="rId22" Type="http://schemas.openxmlformats.org/officeDocument/2006/relationships/hyperlink" Target="https://drive.google.com/file/d/1wsasnEq2F8RXi6SX2L9HVTTaLdGlO5wB/view?usp=drive_link" TargetMode="External"/><Relationship Id="rId27" Type="http://schemas.openxmlformats.org/officeDocument/2006/relationships/hyperlink" Target="http://gofile.me/4xaew/bN9oq3zH0" TargetMode="External"/><Relationship Id="rId30" Type="http://schemas.openxmlformats.org/officeDocument/2006/relationships/hyperlink" Target="https://drive.google.com/file/d/1jplicxseeJaeHGZoAJRfFI6XDKwtevcz/view?usp=drive_link" TargetMode="External"/><Relationship Id="rId35" Type="http://schemas.openxmlformats.org/officeDocument/2006/relationships/hyperlink" Target="http://gofile.me/4xaew/QGbfKnAXe" TargetMode="External"/><Relationship Id="rId43" Type="http://schemas.openxmlformats.org/officeDocument/2006/relationships/hyperlink" Target="https://drive.google.com/file/d/1lx6dpx6QgPfJ6a_rh1kD07AsCiUanYlv/view?usp=drive_link" TargetMode="External"/><Relationship Id="rId48" Type="http://schemas.openxmlformats.org/officeDocument/2006/relationships/hyperlink" Target="https://drive.google.com/file/d/10XsYuD5N2KuZAx9y8jQJIZ9eW4vZFADz/view?usp=drive_link" TargetMode="External"/><Relationship Id="rId56" Type="http://schemas.openxmlformats.org/officeDocument/2006/relationships/hyperlink" Target="https://drive.google.com/file/d/1kTHjtIT_P6WOaXJDWya4-AGXGYebhmvo/view?usp=drive_link" TargetMode="External"/><Relationship Id="rId64" Type="http://schemas.openxmlformats.org/officeDocument/2006/relationships/hyperlink" Target="https://drive.google.com/file/d/1LNcAje4bc9tnLWIQxljBejVcQBEFEtnt/view?usp=drive_link" TargetMode="External"/><Relationship Id="rId69" Type="http://schemas.openxmlformats.org/officeDocument/2006/relationships/hyperlink" Target="https://drive.google.com/file/d/1hjrsiHcubOAvPAPrIUOswZ2rHp1GeYWw/view?usp=drive_link" TargetMode="External"/><Relationship Id="rId77" Type="http://schemas.openxmlformats.org/officeDocument/2006/relationships/hyperlink" Target="https://drive.google.com/file/d/1R05Xk0ClCcVH_Sx1RwqZH3ogjNkBiD-D/view?usp=drive_link" TargetMode="External"/><Relationship Id="rId8" Type="http://schemas.openxmlformats.org/officeDocument/2006/relationships/hyperlink" Target="https://drive.google.com/file/d/1BfBVJHqOqv58uB-E3QfpIb1VhH600Arg/view?usp=drive_link" TargetMode="External"/><Relationship Id="rId51" Type="http://schemas.openxmlformats.org/officeDocument/2006/relationships/hyperlink" Target="https://drive.google.com/file/d/1ui6RfUkftwlO9d1OJn88vTtPjkZ5x3Xp/view?usp=drive_link" TargetMode="External"/><Relationship Id="rId72" Type="http://schemas.openxmlformats.org/officeDocument/2006/relationships/hyperlink" Target="https://drive.google.com/file/d/1ACKP9QildpoI9uA01MNI6iMzdibS5AXt/view?usp=drive_link" TargetMode="External"/><Relationship Id="rId3" Type="http://schemas.openxmlformats.org/officeDocument/2006/relationships/hyperlink" Target="http://gofile.me/4xaew/GVNvqdgQt" TargetMode="External"/><Relationship Id="rId12" Type="http://schemas.openxmlformats.org/officeDocument/2006/relationships/hyperlink" Target="https://drive.google.com/file/d/1ED54n54SelTT3C6qpmljdnSjXOPk0-VZ/view?usp=drive_link" TargetMode="External"/><Relationship Id="rId17" Type="http://schemas.openxmlformats.org/officeDocument/2006/relationships/hyperlink" Target="http://gofile.me/4xaew/8ZMHSKpSz" TargetMode="External"/><Relationship Id="rId25" Type="http://schemas.openxmlformats.org/officeDocument/2006/relationships/hyperlink" Target="http://gofile.me/4xaew/Mip5Hy4MD" TargetMode="External"/><Relationship Id="rId33" Type="http://schemas.openxmlformats.org/officeDocument/2006/relationships/hyperlink" Target="http://gofile.me/4xaew/sTwmVKEkg" TargetMode="External"/><Relationship Id="rId38" Type="http://schemas.openxmlformats.org/officeDocument/2006/relationships/hyperlink" Target="https://drive.google.com/file/d/1ko3GRjKfLzdu2T0Jik6kGO0RUp9CpJri/view?usp=drive_link" TargetMode="External"/><Relationship Id="rId46" Type="http://schemas.openxmlformats.org/officeDocument/2006/relationships/hyperlink" Target="https://drive.google.com/file/d/16hRONBqG9nZseV_SmrPQlZawKpNpLVHN/view?usp=drive_link" TargetMode="External"/><Relationship Id="rId59" Type="http://schemas.openxmlformats.org/officeDocument/2006/relationships/hyperlink" Target="https://drive.google.com/file/d/1J_zAgAL4O0LO5376F4tei0DuNExAUB4I/view?usp=drive_link" TargetMode="External"/><Relationship Id="rId67" Type="http://schemas.openxmlformats.org/officeDocument/2006/relationships/hyperlink" Target="https://drive.google.com/file/d/18Lg7ztWjyC_UVsIq2S_ha4DKPkW6J2rx/view?usp=drive_link" TargetMode="External"/><Relationship Id="rId20" Type="http://schemas.openxmlformats.org/officeDocument/2006/relationships/hyperlink" Target="https://drive.google.com/file/d/1ezGklwuJsZq_YvLeEIhkdS5OGG1ObhNX/view?usp=drive_link" TargetMode="External"/><Relationship Id="rId41" Type="http://schemas.openxmlformats.org/officeDocument/2006/relationships/hyperlink" Target="http://gofile.me/4xaew/DfGw9wfD6" TargetMode="External"/><Relationship Id="rId54" Type="http://schemas.openxmlformats.org/officeDocument/2006/relationships/hyperlink" Target="https://drive.google.com/file/d/1ZmUMmyOmFrycvIMAvIR7LDCRR753Q5hT/view?usp=drive_link" TargetMode="External"/><Relationship Id="rId62" Type="http://schemas.openxmlformats.org/officeDocument/2006/relationships/hyperlink" Target="https://drive.google.com/file/d/1Rh2k1RqOY958HHgPqt1aJ5uhL596kA_3/view?usp=sharing" TargetMode="External"/><Relationship Id="rId70" Type="http://schemas.openxmlformats.org/officeDocument/2006/relationships/hyperlink" Target="https://drive.google.com/file/d/1t-CetPFoCkQKpIoIURpU0BJHv9j2p9Wx/view?usp=drive_link" TargetMode="External"/><Relationship Id="rId75" Type="http://schemas.openxmlformats.org/officeDocument/2006/relationships/hyperlink" Target="https://drive.google.com/file/d/1o-6LpOzufxlc8kLH_CmU3WLjqeAyqDWA/view?usp=drive_link" TargetMode="External"/><Relationship Id="rId1" Type="http://schemas.openxmlformats.org/officeDocument/2006/relationships/hyperlink" Target="http://gofile.me/4xaew/il6ooFSgf" TargetMode="External"/><Relationship Id="rId6" Type="http://schemas.openxmlformats.org/officeDocument/2006/relationships/hyperlink" Target="https://drive.google.com/file/d/1pS5938VztamCcAAPD6Lxt-WM6Dky_7VD/view?usp=drive_link" TargetMode="External"/><Relationship Id="rId15" Type="http://schemas.openxmlformats.org/officeDocument/2006/relationships/hyperlink" Target="http://gofile.me/4xaew/y7HdlI8dk" TargetMode="External"/><Relationship Id="rId23" Type="http://schemas.openxmlformats.org/officeDocument/2006/relationships/hyperlink" Target="http://gofile.me/4xaew/vomrKgKKW" TargetMode="External"/><Relationship Id="rId28" Type="http://schemas.openxmlformats.org/officeDocument/2006/relationships/hyperlink" Target="https://drive.google.com/file/d/1dlEOQ0Cf82QuQ6q0mB30XMeRCYojy40K/view?usp=drive_link" TargetMode="External"/><Relationship Id="rId36" Type="http://schemas.openxmlformats.org/officeDocument/2006/relationships/hyperlink" Target="https://drive.google.com/file/d/1s2c3ZCWrHMirfBYoHTZF89YyAJmITXnw/view?usp=drive_link" TargetMode="External"/><Relationship Id="rId49" Type="http://schemas.openxmlformats.org/officeDocument/2006/relationships/hyperlink" Target="https://drive.google.com/file/d/1s-hBeGKbUcPbg3_4nVCKiLWm0RBUzWYp/view?usp=drive_link" TargetMode="External"/><Relationship Id="rId57" Type="http://schemas.openxmlformats.org/officeDocument/2006/relationships/hyperlink" Target="https://drive.google.com/file/d/1dWwycSCbJHoRGAHu-YRwDl99ENs1RVt2/view?usp=drive_link" TargetMode="External"/><Relationship Id="rId10" Type="http://schemas.openxmlformats.org/officeDocument/2006/relationships/hyperlink" Target="https://drive.google.com/file/d/1JDika8tzemrcx1_VvXr-8YXyZCBkxV4w/view?usp=drive_link" TargetMode="External"/><Relationship Id="rId31" Type="http://schemas.openxmlformats.org/officeDocument/2006/relationships/hyperlink" Target="http://gofile.me/4xaew/zpE4V5tRx" TargetMode="External"/><Relationship Id="rId44" Type="http://schemas.openxmlformats.org/officeDocument/2006/relationships/hyperlink" Target="https://drive.google.com/file/d/1bBY_rgs2aDuqHKwP1QZ0BAF1SR8fvFXp/view?usp=sharing" TargetMode="External"/><Relationship Id="rId52" Type="http://schemas.openxmlformats.org/officeDocument/2006/relationships/hyperlink" Target="https://drive.google.com/file/d/1WDQ-uik_S8rCmPWZZDiQ3lzitcYnvl-S/view?usp=drive_link" TargetMode="External"/><Relationship Id="rId60" Type="http://schemas.openxmlformats.org/officeDocument/2006/relationships/hyperlink" Target="https://drive.google.com/file/d/12MRsAiFmvZoCxsQJxb7qpPCAesu8cKmc/view?usp=drive_link" TargetMode="External"/><Relationship Id="rId65" Type="http://schemas.openxmlformats.org/officeDocument/2006/relationships/hyperlink" Target="https://drive.google.com/file/d/1XfRWFVFlLpY05EEIDrsaXtLF1GQe2u7W/view?usp=drive_link" TargetMode="External"/><Relationship Id="rId73" Type="http://schemas.openxmlformats.org/officeDocument/2006/relationships/hyperlink" Target="https://drive.google.com/file/d/1xjhpnTNCmdkcOyp9OJfALIDtCa7aExy7/view?usp=drive_link" TargetMode="External"/><Relationship Id="rId78" Type="http://schemas.openxmlformats.org/officeDocument/2006/relationships/hyperlink" Target="https://drive.google.com/file/d/1dMPxUU3359lDyaUeMteH4HgTgFKPOYez/view?usp=drive_link" TargetMode="External"/><Relationship Id="rId4" Type="http://schemas.openxmlformats.org/officeDocument/2006/relationships/hyperlink" Target="https://drive.google.com/file/d/1C_bZsi9JKt12lD17wJjP5a9C2NMQI2c9/view?usp=drive_link" TargetMode="External"/><Relationship Id="rId9" Type="http://schemas.openxmlformats.org/officeDocument/2006/relationships/hyperlink" Target="http://gofile.me/4xaew/m55zN4gzH" TargetMode="External"/><Relationship Id="rId13" Type="http://schemas.openxmlformats.org/officeDocument/2006/relationships/hyperlink" Target="http://gofile.me/4xaew/kgdVuRhdj" TargetMode="External"/><Relationship Id="rId18" Type="http://schemas.openxmlformats.org/officeDocument/2006/relationships/hyperlink" Target="https://drive.google.com/file/d/1pULaHhGeKQiJ76kE40T70SpzidqWqwgi/view?usp=drive_link" TargetMode="External"/><Relationship Id="rId39" Type="http://schemas.openxmlformats.org/officeDocument/2006/relationships/hyperlink" Target="http://gofile.me/4xaew/unXCa8hqD" TargetMode="External"/><Relationship Id="rId34" Type="http://schemas.openxmlformats.org/officeDocument/2006/relationships/hyperlink" Target="https://drive.google.com/file/d/1zrnIPR0wNppZ6RH6LxpwSV2HxTECBiOg/view?usp=drive_link" TargetMode="External"/><Relationship Id="rId50" Type="http://schemas.openxmlformats.org/officeDocument/2006/relationships/hyperlink" Target="https://drive.google.com/file/d/1nfZd8_4knVaMV7jVB6vGZit66_zoD9ua/view?usp=drive_link" TargetMode="External"/><Relationship Id="rId55" Type="http://schemas.openxmlformats.org/officeDocument/2006/relationships/hyperlink" Target="https://drive.google.com/file/d/1cr2wjiXoRhX6YPghTve3bQul4oZ5MGUq/view?usp=drive_link" TargetMode="External"/><Relationship Id="rId76" Type="http://schemas.openxmlformats.org/officeDocument/2006/relationships/hyperlink" Target="https://drive.google.com/file/d/1cojFXB65cck6aG52pqAlUghXU5LVc7mw/view?usp=drive_link" TargetMode="External"/><Relationship Id="rId7" Type="http://schemas.openxmlformats.org/officeDocument/2006/relationships/hyperlink" Target="http://gofile.me/4xaew/hIoJ9Fhh0" TargetMode="External"/><Relationship Id="rId71" Type="http://schemas.openxmlformats.org/officeDocument/2006/relationships/hyperlink" Target="https://drive.google.com/file/d/1PMee1k9900M2Dx1fhNQR3gYa2q2K6ml4/view?usp=drive_link" TargetMode="External"/><Relationship Id="rId2" Type="http://schemas.openxmlformats.org/officeDocument/2006/relationships/hyperlink" Target="https://drive.google.com/file/d/1sILm1Ee7cJRF1sAaqCb_UlD7HKpJgx1S/view?usp=drive_link" TargetMode="External"/><Relationship Id="rId29" Type="http://schemas.openxmlformats.org/officeDocument/2006/relationships/hyperlink" Target="http://gofile.me/4xaew/Wuy4oRNTG" TargetMode="External"/></Relationships>
</file>

<file path=xl/worksheets/_rels/sheet31.xml.rels><?xml version="1.0" encoding="UTF-8" standalone="yes"?>
<Relationships xmlns="http://schemas.openxmlformats.org/package/2006/relationships"><Relationship Id="rId117" Type="http://schemas.openxmlformats.org/officeDocument/2006/relationships/hyperlink" Target="https://drive.google.com/file/d/1Ja6ePUz2SeVFkdkaFUFSWYcI33W4Wx7J/view?usp=drive_link" TargetMode="External"/><Relationship Id="rId21" Type="http://schemas.openxmlformats.org/officeDocument/2006/relationships/hyperlink" Target="http://gofile.me/4xaew/BIseDiuNL" TargetMode="External"/><Relationship Id="rId42" Type="http://schemas.openxmlformats.org/officeDocument/2006/relationships/hyperlink" Target="https://drive.google.com/file/d/1iDxHFsfS2gDFUqaqwW-Xm_Lt45qZLSbK/view?usp=drive_link" TargetMode="External"/><Relationship Id="rId63" Type="http://schemas.openxmlformats.org/officeDocument/2006/relationships/hyperlink" Target="http://gofile.me/4xaew/QE4ABhGIz" TargetMode="External"/><Relationship Id="rId84" Type="http://schemas.openxmlformats.org/officeDocument/2006/relationships/hyperlink" Target="https://drive.google.com/file/d/1VlXxq_A49NNOyBQVRqhhCnlKY-nh790l/view?usp=drive_link" TargetMode="External"/><Relationship Id="rId138" Type="http://schemas.openxmlformats.org/officeDocument/2006/relationships/hyperlink" Target="https://drive.google.com/file/d/1NsLS9gfmeii9X_nNx7uF321yuEr4Y9wN/view?usp=drive_link" TargetMode="External"/><Relationship Id="rId16" Type="http://schemas.openxmlformats.org/officeDocument/2006/relationships/hyperlink" Target="https://drive.google.com/file/d/1TGq3vtr8x0H8Si0-8KmQ2C37FNgOrmhG/view?usp=drive_link" TargetMode="External"/><Relationship Id="rId107" Type="http://schemas.openxmlformats.org/officeDocument/2006/relationships/hyperlink" Target="https://drive.google.com/file/d/1mC6UgEHRib0CEfRBQIQdf9HK0430h5Tx/view?usp=drive_link" TargetMode="External"/><Relationship Id="rId11" Type="http://schemas.openxmlformats.org/officeDocument/2006/relationships/hyperlink" Target="http://gofile.me/4xaew/9WUPJ36pI" TargetMode="External"/><Relationship Id="rId32" Type="http://schemas.openxmlformats.org/officeDocument/2006/relationships/hyperlink" Target="https://drive.google.com/file/d/1jypHTxO8mVqPn7zq21oTHOim9HWqU2sS/view?usp=drive_link" TargetMode="External"/><Relationship Id="rId37" Type="http://schemas.openxmlformats.org/officeDocument/2006/relationships/hyperlink" Target="http://gofile.me/4xaew/reDYdWrCU" TargetMode="External"/><Relationship Id="rId53" Type="http://schemas.openxmlformats.org/officeDocument/2006/relationships/hyperlink" Target="http://gofile.me/4xaew/yVXKVGjlk" TargetMode="External"/><Relationship Id="rId58" Type="http://schemas.openxmlformats.org/officeDocument/2006/relationships/hyperlink" Target="https://drive.google.com/file/d/1nnVGWNwIP9m-RnmjpxM7q1y7UXrFpEva/view?usp=drive_link" TargetMode="External"/><Relationship Id="rId74" Type="http://schemas.openxmlformats.org/officeDocument/2006/relationships/hyperlink" Target="https://drive.google.com/file/d/1PgjQuWl6kxVOI1GpNOVIiE85DxQNLJH7/view?usp=drive_link" TargetMode="External"/><Relationship Id="rId79" Type="http://schemas.openxmlformats.org/officeDocument/2006/relationships/hyperlink" Target="https://drive.google.com/file/d/1-6aQ36tLY82GKyCn9Q2j0YO-TIecGwRf/view?usp=drive_link" TargetMode="External"/><Relationship Id="rId102" Type="http://schemas.openxmlformats.org/officeDocument/2006/relationships/hyperlink" Target="https://drive.google.com/file/d/1nGbEh1u3UPuC4abQ7wCMwAuyV2TnFdmf/view?usp=drive_link" TargetMode="External"/><Relationship Id="rId123" Type="http://schemas.openxmlformats.org/officeDocument/2006/relationships/hyperlink" Target="https://drive.google.com/file/d/1ttRD_4ou89gW-Hz_Kg29E5hBU9bR5kVf/view?usp=drive_link" TargetMode="External"/><Relationship Id="rId128" Type="http://schemas.openxmlformats.org/officeDocument/2006/relationships/hyperlink" Target="https://drive.google.com/file/d/1n7BDLcE7U-55ed6ovMuVjdhbQBGbU-oH/view?usp=drive_link" TargetMode="External"/><Relationship Id="rId5" Type="http://schemas.openxmlformats.org/officeDocument/2006/relationships/hyperlink" Target="http://gofile.me/4xaew/wozbegWgL" TargetMode="External"/><Relationship Id="rId90" Type="http://schemas.openxmlformats.org/officeDocument/2006/relationships/hyperlink" Target="https://drive.google.com/file/d/1bs9FtiRO-XmmDv1NL8WPavc3Aa0nkf5_/view?usp=drive_link" TargetMode="External"/><Relationship Id="rId95" Type="http://schemas.openxmlformats.org/officeDocument/2006/relationships/hyperlink" Target="https://drive.google.com/file/d/1ju3h904vYkP5OcxnVsFAgU0KLdjZ2vr4/view?usp=drive_link" TargetMode="External"/><Relationship Id="rId22" Type="http://schemas.openxmlformats.org/officeDocument/2006/relationships/hyperlink" Target="https://drive.google.com/file/d/1CJ4nNalA1B3NAz6UbTUuGnDyHwvQLa50/view?usp=drive_link" TargetMode="External"/><Relationship Id="rId27" Type="http://schemas.openxmlformats.org/officeDocument/2006/relationships/hyperlink" Target="http://gofile.me/4xaew/PiQTaKl6A" TargetMode="External"/><Relationship Id="rId43" Type="http://schemas.openxmlformats.org/officeDocument/2006/relationships/hyperlink" Target="http://gofile.me/4xaew/W77KTWuf3" TargetMode="External"/><Relationship Id="rId48" Type="http://schemas.openxmlformats.org/officeDocument/2006/relationships/hyperlink" Target="https://drive.google.com/file/d/1H_feDgK9iwOl6xddOf4osttY87_gEWxX/view?usp=drive_link" TargetMode="External"/><Relationship Id="rId64" Type="http://schemas.openxmlformats.org/officeDocument/2006/relationships/hyperlink" Target="https://drive.google.com/file/d/1Ikw4PiAspqjFXmQQlFx2zF4t5A5_XfGa/view?usp=drive_link" TargetMode="External"/><Relationship Id="rId69" Type="http://schemas.openxmlformats.org/officeDocument/2006/relationships/hyperlink" Target="https://drive.google.com/file/d/1AwHruxhm3TGr0OMj7fpMgeF9uDXpxO-5/view?usp=drive_link" TargetMode="External"/><Relationship Id="rId113" Type="http://schemas.openxmlformats.org/officeDocument/2006/relationships/hyperlink" Target="https://drive.google.com/file/d/1LI4JbHQER72fOP5rM3Q7w6DMJruSmE6H/view?usp=drive_link" TargetMode="External"/><Relationship Id="rId118" Type="http://schemas.openxmlformats.org/officeDocument/2006/relationships/hyperlink" Target="https://drive.google.com/file/d/1yEJTnqO7zuU5M42S6bTPPHTH5IRCSWQn/view?usp=drive_link" TargetMode="External"/><Relationship Id="rId134" Type="http://schemas.openxmlformats.org/officeDocument/2006/relationships/hyperlink" Target="https://drive.google.com/file/d/10jEZvwLsKzi_8OCFYFGkHUXOyct27gEG/view?usp=drive_link" TargetMode="External"/><Relationship Id="rId80" Type="http://schemas.openxmlformats.org/officeDocument/2006/relationships/hyperlink" Target="https://drive.google.com/file/d/1V-iywccCg3s_jYXWMJHQVyzc9cbPE_0I/view?usp=drive_link" TargetMode="External"/><Relationship Id="rId85" Type="http://schemas.openxmlformats.org/officeDocument/2006/relationships/hyperlink" Target="https://drive.google.com/file/d/1tdntdjL5BRBle1bHoSw8nEZ89KixPZpx/view?usp=drive_link" TargetMode="External"/><Relationship Id="rId12" Type="http://schemas.openxmlformats.org/officeDocument/2006/relationships/hyperlink" Target="https://drive.google.com/file/d/1ck3RFl79YRFwrZUG0cPa4d6E_qNLGLnk/view?usp=drive_link" TargetMode="External"/><Relationship Id="rId17" Type="http://schemas.openxmlformats.org/officeDocument/2006/relationships/hyperlink" Target="http://gofile.me/4xaew/gKrVtDUKL" TargetMode="External"/><Relationship Id="rId33" Type="http://schemas.openxmlformats.org/officeDocument/2006/relationships/hyperlink" Target="http://gofile.me/4xaew/4w4GOXcuq" TargetMode="External"/><Relationship Id="rId38" Type="http://schemas.openxmlformats.org/officeDocument/2006/relationships/hyperlink" Target="https://drive.google.com/file/d/1r_UIjX5W-RCl5fDATCmLc67sIKzGjyIv/view?usp=drive_link" TargetMode="External"/><Relationship Id="rId59" Type="http://schemas.openxmlformats.org/officeDocument/2006/relationships/hyperlink" Target="http://gofile.me/4xaew/I60lyQqXG" TargetMode="External"/><Relationship Id="rId103" Type="http://schemas.openxmlformats.org/officeDocument/2006/relationships/hyperlink" Target="https://drive.google.com/file/d/1Hk4J06VlPKv3FxqD3oIcARaoMAmrsV7q/view?usp=drive_link" TargetMode="External"/><Relationship Id="rId108" Type="http://schemas.openxmlformats.org/officeDocument/2006/relationships/hyperlink" Target="https://drive.google.com/file/d/1chURRL5H5NpOKaaURcF8pLlvPbINH2Du/view?usp=drive_link" TargetMode="External"/><Relationship Id="rId124" Type="http://schemas.openxmlformats.org/officeDocument/2006/relationships/hyperlink" Target="https://drive.google.com/file/d/1SkcjBPSnIP1VBnqedZl_8bk-NFKPiZQ3/view?usp=drive_link" TargetMode="External"/><Relationship Id="rId129" Type="http://schemas.openxmlformats.org/officeDocument/2006/relationships/hyperlink" Target="https://drive.google.com/file/d/1X2ny8JkM23RGZrOmgks83pPCau0H5c_4/view?usp=drive_link" TargetMode="External"/><Relationship Id="rId54" Type="http://schemas.openxmlformats.org/officeDocument/2006/relationships/hyperlink" Target="https://drive.google.com/file/d/1Kl8DsL0gtdIW0S7iy5kzdE3lrc8xDBZj/view?usp=drive_link" TargetMode="External"/><Relationship Id="rId70" Type="http://schemas.openxmlformats.org/officeDocument/2006/relationships/hyperlink" Target="https://drive.google.com/file/d/16CfvSIMqRy8qqSvIkB4g2FhNzHpY6kyZ/view?usp=drive_link" TargetMode="External"/><Relationship Id="rId75" Type="http://schemas.openxmlformats.org/officeDocument/2006/relationships/hyperlink" Target="https://drive.google.com/file/d/1jFzqdMIUmd47ivv_ifNVdqUE1kQQV4bF/view?usp=drive_link" TargetMode="External"/><Relationship Id="rId91" Type="http://schemas.openxmlformats.org/officeDocument/2006/relationships/hyperlink" Target="https://drive.google.com/file/d/1fiF4FSK_KIfMCtOTx3-kJBTtXYrVmOGa/view?usp=drive_link" TargetMode="External"/><Relationship Id="rId96" Type="http://schemas.openxmlformats.org/officeDocument/2006/relationships/hyperlink" Target="https://drive.google.com/file/d/1sO_MHaOqqAGPJDD8a802J9ahYnL8vtIF/view?usp=drive_link" TargetMode="External"/><Relationship Id="rId1" Type="http://schemas.openxmlformats.org/officeDocument/2006/relationships/hyperlink" Target="http://gofile.me/4xaew/t9NE1pBzI" TargetMode="External"/><Relationship Id="rId6" Type="http://schemas.openxmlformats.org/officeDocument/2006/relationships/hyperlink" Target="https://drive.google.com/file/d/1Qy5Etm-9CDZIe2cRhc_ghkmfZgfswxrN/view?usp=drive_link" TargetMode="External"/><Relationship Id="rId23" Type="http://schemas.openxmlformats.org/officeDocument/2006/relationships/hyperlink" Target="http://gofile.me/4xaew/7NXa1ozvO" TargetMode="External"/><Relationship Id="rId28" Type="http://schemas.openxmlformats.org/officeDocument/2006/relationships/hyperlink" Target="https://drive.google.com/file/d/1moci0s3nkUtvPMBH4-Dx6jfhCCl1a0ei/view?usp=drive_link" TargetMode="External"/><Relationship Id="rId49" Type="http://schemas.openxmlformats.org/officeDocument/2006/relationships/hyperlink" Target="http://gofile.me/4xaew/8OIodTnLb" TargetMode="External"/><Relationship Id="rId114" Type="http://schemas.openxmlformats.org/officeDocument/2006/relationships/hyperlink" Target="https://drive.google.com/file/d/1hSWvay2ORa1Oe3IeFRVQUftDJWLLcPgx/view?usp=drive_link" TargetMode="External"/><Relationship Id="rId119" Type="http://schemas.openxmlformats.org/officeDocument/2006/relationships/hyperlink" Target="https://drive.google.com/file/d/12Mj7oMfqV5cCJAN_fQWc4nQGpg6UaA6A/view?usp=drive_link" TargetMode="External"/><Relationship Id="rId44" Type="http://schemas.openxmlformats.org/officeDocument/2006/relationships/hyperlink" Target="https://drive.google.com/file/d/1LN6oI0td5AdZTUpEFpuT16zgoTq_DMSQ/view?usp=drive_link" TargetMode="External"/><Relationship Id="rId60" Type="http://schemas.openxmlformats.org/officeDocument/2006/relationships/hyperlink" Target="https://drive.google.com/file/d/1jXcDTberqiyXQtPONICtYxXNDRPpIdn1/view?usp=drive_link" TargetMode="External"/><Relationship Id="rId65" Type="http://schemas.openxmlformats.org/officeDocument/2006/relationships/hyperlink" Target="http://gofile.me/4xaew/0zlZkKe8J" TargetMode="External"/><Relationship Id="rId81" Type="http://schemas.openxmlformats.org/officeDocument/2006/relationships/hyperlink" Target="https://drive.google.com/file/d/1rm9mC1IRl2WQ9koivvm4TRR6RWxK7lPP/view?usp=drive_link" TargetMode="External"/><Relationship Id="rId86" Type="http://schemas.openxmlformats.org/officeDocument/2006/relationships/hyperlink" Target="https://drive.google.com/file/d/1MXU2o9UTXPQZedNsLbaDFN3c8iRBf6UX/view?usp=drive_link" TargetMode="External"/><Relationship Id="rId130" Type="http://schemas.openxmlformats.org/officeDocument/2006/relationships/hyperlink" Target="https://drive.google.com/file/d/1EjM8DiSFK49qmBHN_pQVp2gCCzGnHHFp/view?usp=drive_link" TargetMode="External"/><Relationship Id="rId135" Type="http://schemas.openxmlformats.org/officeDocument/2006/relationships/hyperlink" Target="https://drive.google.com/file/d/1O5fKpyq5Cay78eJ8ckMbM8jd1MlHWwx1/view?usp=drive_link" TargetMode="External"/><Relationship Id="rId13" Type="http://schemas.openxmlformats.org/officeDocument/2006/relationships/hyperlink" Target="http://gofile.me/4xaew/OJzNuSatT" TargetMode="External"/><Relationship Id="rId18" Type="http://schemas.openxmlformats.org/officeDocument/2006/relationships/hyperlink" Target="https://drive.google.com/file/d/1xjsSsQV7eKvojsbrQsQ3m8r5iUDTPoSE/view?usp=drive_link" TargetMode="External"/><Relationship Id="rId39" Type="http://schemas.openxmlformats.org/officeDocument/2006/relationships/hyperlink" Target="http://gofile.me/4xaew/KoHOGh3yc" TargetMode="External"/><Relationship Id="rId109" Type="http://schemas.openxmlformats.org/officeDocument/2006/relationships/hyperlink" Target="https://drive.google.com/file/d/1MC6Ep8brDL9iCBjQCsrxlFS-x2SlSenm/view?usp=drive_link" TargetMode="External"/><Relationship Id="rId34" Type="http://schemas.openxmlformats.org/officeDocument/2006/relationships/hyperlink" Target="https://drive.google.com/file/d/1RoWN0Q5i8OIhIVt4_UIref66QfhLFs_z/view?usp=drive_link" TargetMode="External"/><Relationship Id="rId50" Type="http://schemas.openxmlformats.org/officeDocument/2006/relationships/hyperlink" Target="https://drive.google.com/file/d/10msTftlT-m76G4AXe7wzlHn5ws54mC2c/view?usp=drive_link" TargetMode="External"/><Relationship Id="rId55" Type="http://schemas.openxmlformats.org/officeDocument/2006/relationships/hyperlink" Target="http://gofile.me/4xaew/VajvYYd5e" TargetMode="External"/><Relationship Id="rId76" Type="http://schemas.openxmlformats.org/officeDocument/2006/relationships/hyperlink" Target="https://drive.google.com/file/d/1z8Jwx8zBthOT7rC9BFwmnOR8pE_z_gJV/view?usp=drive_link" TargetMode="External"/><Relationship Id="rId97" Type="http://schemas.openxmlformats.org/officeDocument/2006/relationships/hyperlink" Target="https://drive.google.com/file/d/1rf09DxlrFAWWdxSC8UDYy_AwsBfLuYM5/view?usp=drive_link" TargetMode="External"/><Relationship Id="rId104" Type="http://schemas.openxmlformats.org/officeDocument/2006/relationships/hyperlink" Target="https://drive.google.com/file/d/1nstUh1iOeXkGW3cgZAz6KtnZa2oDaqTf/view?usp=drive_link" TargetMode="External"/><Relationship Id="rId120" Type="http://schemas.openxmlformats.org/officeDocument/2006/relationships/hyperlink" Target="https://drive.google.com/file/d/14Lr6-6gVIN1LmyKdlt_Ft7mwSOMvlt7i/view?usp=drive_link" TargetMode="External"/><Relationship Id="rId125" Type="http://schemas.openxmlformats.org/officeDocument/2006/relationships/hyperlink" Target="https://drive.google.com/file/d/1BCzsnBYTJCy-IvYaXp1-XhVirVt4tWUB/view?usp=drive_link" TargetMode="External"/><Relationship Id="rId7" Type="http://schemas.openxmlformats.org/officeDocument/2006/relationships/hyperlink" Target="http://gofile.me/4xaew/uKSFfif3A" TargetMode="External"/><Relationship Id="rId71" Type="http://schemas.openxmlformats.org/officeDocument/2006/relationships/hyperlink" Target="https://drive.google.com/file/d/1OmoKQ07H4jYdJcx_5cJqPdCbkrnCdlfU/view?usp=drive_link" TargetMode="External"/><Relationship Id="rId92" Type="http://schemas.openxmlformats.org/officeDocument/2006/relationships/hyperlink" Target="https://drive.google.com/file/d/1MCPfNw5Ca-UOVAYElkZ6YN6I-fBXyihd/view?usp=drive_link" TargetMode="External"/><Relationship Id="rId2" Type="http://schemas.openxmlformats.org/officeDocument/2006/relationships/hyperlink" Target="https://drive.google.com/file/d/1ZyhxhC9j4CxR5khRqfdt9Re7uWCsZo49/view?usp=drive_link" TargetMode="External"/><Relationship Id="rId29" Type="http://schemas.openxmlformats.org/officeDocument/2006/relationships/hyperlink" Target="http://gofile.me/4xaew/2L7D9UMga" TargetMode="External"/><Relationship Id="rId24" Type="http://schemas.openxmlformats.org/officeDocument/2006/relationships/hyperlink" Target="https://drive.google.com/file/d/1pZFkMwTv1mS3-AFKQkstIOYPk_5ZJTm4/view?usp=drive_link" TargetMode="External"/><Relationship Id="rId40" Type="http://schemas.openxmlformats.org/officeDocument/2006/relationships/hyperlink" Target="https://drive.google.com/file/d/1KysN34jlc4DqXFngFOQ7nsGybmfE9P7U/view?usp=drive_link" TargetMode="External"/><Relationship Id="rId45" Type="http://schemas.openxmlformats.org/officeDocument/2006/relationships/hyperlink" Target="http://gofile.me/4xaew/vbbu1pSdp" TargetMode="External"/><Relationship Id="rId66" Type="http://schemas.openxmlformats.org/officeDocument/2006/relationships/hyperlink" Target="https://drive.google.com/file/d/10Wo10mp9N08kQaWdWDPKqpXzjO2cwoRI/view?usp=drive_link" TargetMode="External"/><Relationship Id="rId87" Type="http://schemas.openxmlformats.org/officeDocument/2006/relationships/hyperlink" Target="https://drive.google.com/file/d/1kViQpSnkaCDIjFGtoqO1x4M1avq1pEKS/view?usp=drive_link" TargetMode="External"/><Relationship Id="rId110" Type="http://schemas.openxmlformats.org/officeDocument/2006/relationships/hyperlink" Target="https://drive.google.com/file/d/1MEQCoIyHvsd9tYNllgfzmOcpVPRTDbLQ/view?usp=drive_link" TargetMode="External"/><Relationship Id="rId115" Type="http://schemas.openxmlformats.org/officeDocument/2006/relationships/hyperlink" Target="https://drive.google.com/file/d/1DbmVEA7mUnod0jhZOLEwMiD9Mrl3LvvY/view?usp=drive_link" TargetMode="External"/><Relationship Id="rId131" Type="http://schemas.openxmlformats.org/officeDocument/2006/relationships/hyperlink" Target="https://drive.google.com/file/d/1USaLQD_hql7LCrw2Xb-YOOwKoutU2PXl/view?usp=drive_link" TargetMode="External"/><Relationship Id="rId136" Type="http://schemas.openxmlformats.org/officeDocument/2006/relationships/hyperlink" Target="https://drive.google.com/file/d/1wcSFORU7Y21sDXDIliAAvoxBzdp5Xv4I/view?usp=drive_link" TargetMode="External"/><Relationship Id="rId61" Type="http://schemas.openxmlformats.org/officeDocument/2006/relationships/hyperlink" Target="http://gofile.me/4xaew/myRQpwWIX" TargetMode="External"/><Relationship Id="rId82" Type="http://schemas.openxmlformats.org/officeDocument/2006/relationships/hyperlink" Target="https://drive.google.com/file/d/1uoa_cpZ2EEl7IHnzKW-EXaG_5gH3RjRc/view?usp=drive_link" TargetMode="External"/><Relationship Id="rId19" Type="http://schemas.openxmlformats.org/officeDocument/2006/relationships/hyperlink" Target="http://gofile.me/4xaew/bHPkMQN6f" TargetMode="External"/><Relationship Id="rId14" Type="http://schemas.openxmlformats.org/officeDocument/2006/relationships/hyperlink" Target="https://drive.google.com/file/d/1NxkBazcI3Ctx1NiuVFycMBKVhX4QsoQb/view?usp=drive_link" TargetMode="External"/><Relationship Id="rId30" Type="http://schemas.openxmlformats.org/officeDocument/2006/relationships/hyperlink" Target="https://drive.google.com/file/d/1d5v091_OPYgkINmLvl3PHz1I66eTSFgh/view?usp=drive_link" TargetMode="External"/><Relationship Id="rId35" Type="http://schemas.openxmlformats.org/officeDocument/2006/relationships/hyperlink" Target="http://gofile.me/4xaew/0TJ8pr4Vc" TargetMode="External"/><Relationship Id="rId56" Type="http://schemas.openxmlformats.org/officeDocument/2006/relationships/hyperlink" Target="https://drive.google.com/file/d/1iGRGMQ_-LhwgqKpTjY7Yrkot53qOYDOG/view?usp=drive_link" TargetMode="External"/><Relationship Id="rId77" Type="http://schemas.openxmlformats.org/officeDocument/2006/relationships/hyperlink" Target="https://drive.google.com/file/d/1weiVl1tngrmeQJ4_69WG7BaNeHL4Dvy3/view?usp=drive_link" TargetMode="External"/><Relationship Id="rId100" Type="http://schemas.openxmlformats.org/officeDocument/2006/relationships/hyperlink" Target="https://drive.google.com/file/d/1WPmYnBFEBP3noY_bO18JgNXncb1nNpX-/view?usp=drive_link" TargetMode="External"/><Relationship Id="rId105" Type="http://schemas.openxmlformats.org/officeDocument/2006/relationships/hyperlink" Target="https://drive.google.com/file/d/1HQQjsnvYhpuahfqQAo-moVPBFoQdjp_u/view?usp=drive_link" TargetMode="External"/><Relationship Id="rId126" Type="http://schemas.openxmlformats.org/officeDocument/2006/relationships/hyperlink" Target="https://drive.google.com/file/d/1dsJqidc6Y0WpycLmVBoIr54BpMlxFE1t/view?usp=drive_link" TargetMode="External"/><Relationship Id="rId8" Type="http://schemas.openxmlformats.org/officeDocument/2006/relationships/hyperlink" Target="https://drive.google.com/file/d/19-0imbdUQOskwxu9l0p_3nLC6Mbf-dbm/view?usp=drive_link" TargetMode="External"/><Relationship Id="rId51" Type="http://schemas.openxmlformats.org/officeDocument/2006/relationships/hyperlink" Target="http://gofile.me/4xaew/gh7uPiOtZ" TargetMode="External"/><Relationship Id="rId72" Type="http://schemas.openxmlformats.org/officeDocument/2006/relationships/hyperlink" Target="https://drive.google.com/file/d/1jZtf9tHjxgQPSFE-itbNUKwRNUjbhjhX/view?usp=drive_link" TargetMode="External"/><Relationship Id="rId93" Type="http://schemas.openxmlformats.org/officeDocument/2006/relationships/hyperlink" Target="https://drive.google.com/file/d/1pGFNlgvkV4sDnBdJP4-cktaHAuTffj5O/view?usp=drive_link" TargetMode="External"/><Relationship Id="rId98" Type="http://schemas.openxmlformats.org/officeDocument/2006/relationships/hyperlink" Target="https://drive.google.com/file/d/1xig2viHOJv1UCkgcdHJ5SmRfFUI8z65K/view?usp=drive_link" TargetMode="External"/><Relationship Id="rId121" Type="http://schemas.openxmlformats.org/officeDocument/2006/relationships/hyperlink" Target="https://drive.google.com/file/d/1prEm-nbaUgCmox9v4cgYvkcem6ZVkw1k/view?usp=drive_link" TargetMode="External"/><Relationship Id="rId3" Type="http://schemas.openxmlformats.org/officeDocument/2006/relationships/hyperlink" Target="http://gofile.me/4xaew/I2rlt4pG3" TargetMode="External"/><Relationship Id="rId25" Type="http://schemas.openxmlformats.org/officeDocument/2006/relationships/hyperlink" Target="http://gofile.me/4xaew/p4jNgIQ9A" TargetMode="External"/><Relationship Id="rId46" Type="http://schemas.openxmlformats.org/officeDocument/2006/relationships/hyperlink" Target="https://drive.google.com/file/d/1Udq9QBHdT-4PqE2xCplOT3u9-2cEr1jf/view?usp=drive_link" TargetMode="External"/><Relationship Id="rId67" Type="http://schemas.openxmlformats.org/officeDocument/2006/relationships/hyperlink" Target="http://gofile.me/4xaew/DcLMlq8YU" TargetMode="External"/><Relationship Id="rId116" Type="http://schemas.openxmlformats.org/officeDocument/2006/relationships/hyperlink" Target="https://drive.google.com/file/d/1IDYLmos5WwrBlSH1YVQ4wifRsKm4xNRf/view?usp=drive_link" TargetMode="External"/><Relationship Id="rId137" Type="http://schemas.openxmlformats.org/officeDocument/2006/relationships/hyperlink" Target="https://drive.google.com/file/d/1fxWwnSjeqlNQBRvDH9aovtD_UAbjmCOs/view?usp=drive_link" TargetMode="External"/><Relationship Id="rId20" Type="http://schemas.openxmlformats.org/officeDocument/2006/relationships/hyperlink" Target="https://drive.google.com/file/d/1EFMZgFQEHYkoIZz19g25C4dKpkj4O8bk/view?usp=drive_link" TargetMode="External"/><Relationship Id="rId41" Type="http://schemas.openxmlformats.org/officeDocument/2006/relationships/hyperlink" Target="http://gofile.me/4xaew/ZBjdhIEtb" TargetMode="External"/><Relationship Id="rId62" Type="http://schemas.openxmlformats.org/officeDocument/2006/relationships/hyperlink" Target="https://drive.google.com/file/d/1uTlZyAQeYN8cItN7Cj4Rdrso3yIXLJ5l/view?usp=drive_link" TargetMode="External"/><Relationship Id="rId83" Type="http://schemas.openxmlformats.org/officeDocument/2006/relationships/hyperlink" Target="https://drive.google.com/file/d/1L-SX6D0i7kySuBp4UYCb2eIJbmZUyStT/view?usp=drive_link" TargetMode="External"/><Relationship Id="rId88" Type="http://schemas.openxmlformats.org/officeDocument/2006/relationships/hyperlink" Target="https://drive.google.com/file/d/11conG5k8-3oSuT9sgih46S08IqQoKn7X/view?usp=drive_link" TargetMode="External"/><Relationship Id="rId111" Type="http://schemas.openxmlformats.org/officeDocument/2006/relationships/hyperlink" Target="https://drive.google.com/file/d/1PXDCbQGcFID2KMU7OG17EACrgp6n_5Du/view?usp=drive_link" TargetMode="External"/><Relationship Id="rId132" Type="http://schemas.openxmlformats.org/officeDocument/2006/relationships/hyperlink" Target="https://drive.google.com/file/d/1XyyarGaU5jGSyFUUEsR1N2p1OwhrSSuD/view?usp=drive_link" TargetMode="External"/><Relationship Id="rId15" Type="http://schemas.openxmlformats.org/officeDocument/2006/relationships/hyperlink" Target="http://gofile.me/4xaew/s5YqzCzPS" TargetMode="External"/><Relationship Id="rId36" Type="http://schemas.openxmlformats.org/officeDocument/2006/relationships/hyperlink" Target="https://drive.google.com/file/d/1N3gHsOft1dI5zstWCbpk5jZOPNODvAgh/view?usp=drive_link" TargetMode="External"/><Relationship Id="rId57" Type="http://schemas.openxmlformats.org/officeDocument/2006/relationships/hyperlink" Target="http://gofile.me/4xaew/QRGdWEPTp" TargetMode="External"/><Relationship Id="rId106" Type="http://schemas.openxmlformats.org/officeDocument/2006/relationships/hyperlink" Target="https://drive.google.com/file/d/1C3sabW7firzb1yWtdGXqFAGcd_1xrwp-/view?usp=drive_link" TargetMode="External"/><Relationship Id="rId127" Type="http://schemas.openxmlformats.org/officeDocument/2006/relationships/hyperlink" Target="https://drive.google.com/file/d/1TGS8S90hMzVWESKoUL8phNTu2iO_VD9O/view?usp=drive_link" TargetMode="External"/><Relationship Id="rId10" Type="http://schemas.openxmlformats.org/officeDocument/2006/relationships/hyperlink" Target="https://drive.google.com/file/d/1M4GDcJmDtdsWaj1RpQucjFTii5ipn2Y0/view?usp=drive_link" TargetMode="External"/><Relationship Id="rId31" Type="http://schemas.openxmlformats.org/officeDocument/2006/relationships/hyperlink" Target="http://gofile.me/4xaew/G0nTfs8zr" TargetMode="External"/><Relationship Id="rId52" Type="http://schemas.openxmlformats.org/officeDocument/2006/relationships/hyperlink" Target="https://drive.google.com/file/d/1otT9UskAkblnavuENXvVN5LxKGCH0rwo/view?usp=drive_link" TargetMode="External"/><Relationship Id="rId73" Type="http://schemas.openxmlformats.org/officeDocument/2006/relationships/hyperlink" Target="https://drive.google.com/file/d/1YcVKHgCNBX6-mO7M3P4C_zNknzktF9LB/view?usp=drive_link" TargetMode="External"/><Relationship Id="rId78" Type="http://schemas.openxmlformats.org/officeDocument/2006/relationships/hyperlink" Target="https://drive.google.com/file/d/1sQGA527RekpTfCDTfcktk_gKZckzeXjv/view?usp=drive_link" TargetMode="External"/><Relationship Id="rId94" Type="http://schemas.openxmlformats.org/officeDocument/2006/relationships/hyperlink" Target="https://drive.google.com/file/d/1Udd5jlkZzCR37W84_DaDA1H9OKbtek8f/view?usp=drive_link" TargetMode="External"/><Relationship Id="rId99" Type="http://schemas.openxmlformats.org/officeDocument/2006/relationships/hyperlink" Target="https://drive.google.com/file/d/1aVp-Bhmgq4Sw9nTiW1spZNc0tYCZxqmH/view?usp=drive_link" TargetMode="External"/><Relationship Id="rId101" Type="http://schemas.openxmlformats.org/officeDocument/2006/relationships/hyperlink" Target="https://drive.google.com/file/d/1h6mnmK72ckQXiiiHLXumEHbi_XQyfcRP/view?usp=drive_link" TargetMode="External"/><Relationship Id="rId122" Type="http://schemas.openxmlformats.org/officeDocument/2006/relationships/hyperlink" Target="https://drive.google.com/file/d/1ixRVMvEa3SQQ9lFPZck8gqMvMg32q-Y2/view?usp=drive_link" TargetMode="External"/><Relationship Id="rId4" Type="http://schemas.openxmlformats.org/officeDocument/2006/relationships/hyperlink" Target="https://drive.google.com/file/d/1J-Twktf3KhbSy8_ZQ-0sEG2MTn7gO1rG/view?usp=drive_link" TargetMode="External"/><Relationship Id="rId9" Type="http://schemas.openxmlformats.org/officeDocument/2006/relationships/hyperlink" Target="http://gofile.me/4xaew/pgMSJ5vED" TargetMode="External"/><Relationship Id="rId26" Type="http://schemas.openxmlformats.org/officeDocument/2006/relationships/hyperlink" Target="https://drive.google.com/file/d/1aDBUtdHFg70n0_AIpX-vhQ4JLVdPiG3B/view?usp=drive_link" TargetMode="External"/><Relationship Id="rId47" Type="http://schemas.openxmlformats.org/officeDocument/2006/relationships/hyperlink" Target="http://gofile.me/4xaew/O1MyZyknQ" TargetMode="External"/><Relationship Id="rId68" Type="http://schemas.openxmlformats.org/officeDocument/2006/relationships/hyperlink" Target="https://drive.google.com/file/d/11fPu6gkfaby0fcCk3kE6up1n-UNqbrN1/view?usp=drive_link" TargetMode="External"/><Relationship Id="rId89" Type="http://schemas.openxmlformats.org/officeDocument/2006/relationships/hyperlink" Target="https://drive.google.com/file/d/1QF8OcrfuGtMCtd6Rnzvj8JiEFNlc1H0P/view?usp=drive_link" TargetMode="External"/><Relationship Id="rId112" Type="http://schemas.openxmlformats.org/officeDocument/2006/relationships/hyperlink" Target="https://drive.google.com/file/d/1rScq_0hwkfOnCekvF4TWVdf4YrYGaY2U/view?usp=drive_link" TargetMode="External"/><Relationship Id="rId133" Type="http://schemas.openxmlformats.org/officeDocument/2006/relationships/hyperlink" Target="https://drive.google.com/file/d/1PGpJd8OpkfrhK_HwqYuPntrArFxjgUrR/view?usp=drive_link"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https://drive.google.com/file/d/1WYJ2GZghJI1WwlSHnNeNSZd57Cm6nCV7/view?usp=drive_link" TargetMode="External"/><Relationship Id="rId13" Type="http://schemas.openxmlformats.org/officeDocument/2006/relationships/hyperlink" Target="http://gofile.me/4xaew/umREfZaNj" TargetMode="External"/><Relationship Id="rId18" Type="http://schemas.openxmlformats.org/officeDocument/2006/relationships/hyperlink" Target="https://drive.google.com/file/d/1dj-hpOFTE3pASQEAbnf1xPoKlGei1nfk/view?usp=drive_link" TargetMode="External"/><Relationship Id="rId3" Type="http://schemas.openxmlformats.org/officeDocument/2006/relationships/hyperlink" Target="http://gofile.me/4xaew/eKx7kHUyL" TargetMode="External"/><Relationship Id="rId7" Type="http://schemas.openxmlformats.org/officeDocument/2006/relationships/hyperlink" Target="http://gofile.me/4xaew/ass5roN89" TargetMode="External"/><Relationship Id="rId12" Type="http://schemas.openxmlformats.org/officeDocument/2006/relationships/hyperlink" Target="https://drive.google.com/file/d/1nxp-hMuYn2xzLATRjl-C8ouRt3bCoiG7/view?usp=drive_link" TargetMode="External"/><Relationship Id="rId17" Type="http://schemas.openxmlformats.org/officeDocument/2006/relationships/hyperlink" Target="http://gofile.me/4xaew/Z5sOOqnbI" TargetMode="External"/><Relationship Id="rId2" Type="http://schemas.openxmlformats.org/officeDocument/2006/relationships/hyperlink" Target="https://drive.google.com/file/d/1SYfkIhQFXCP0D4nngFScJPYZvk5V-0k7/view?usp=drive_link" TargetMode="External"/><Relationship Id="rId16" Type="http://schemas.openxmlformats.org/officeDocument/2006/relationships/hyperlink" Target="https://drive.google.com/file/d/1JhNWkl3QSngmJOcO9LrUl2t9EvdiE0Rt/view?usp=drive_link" TargetMode="External"/><Relationship Id="rId20" Type="http://schemas.openxmlformats.org/officeDocument/2006/relationships/hyperlink" Target="https://drive.google.com/file/d/13eTk6gOxVWBpYAS-J9ZMNlm4YM1QyyL9/view?usp=drive_link" TargetMode="External"/><Relationship Id="rId1" Type="http://schemas.openxmlformats.org/officeDocument/2006/relationships/hyperlink" Target="http://gofile.me/4xaew/niUK4WyyB" TargetMode="External"/><Relationship Id="rId6" Type="http://schemas.openxmlformats.org/officeDocument/2006/relationships/hyperlink" Target="https://drive.google.com/file/d/1F6dEmjdjcNoOH10t0AyLv37OnnYgCK7U/view?usp=drive_link" TargetMode="External"/><Relationship Id="rId11" Type="http://schemas.openxmlformats.org/officeDocument/2006/relationships/hyperlink" Target="http://gofile.me/4xaew/dunh6ugKT" TargetMode="External"/><Relationship Id="rId5" Type="http://schemas.openxmlformats.org/officeDocument/2006/relationships/hyperlink" Target="http://gofile.me/4xaew/A4nz1P1ts" TargetMode="External"/><Relationship Id="rId15" Type="http://schemas.openxmlformats.org/officeDocument/2006/relationships/hyperlink" Target="http://gofile.me/4xaew/M0Zk60Uog" TargetMode="External"/><Relationship Id="rId10" Type="http://schemas.openxmlformats.org/officeDocument/2006/relationships/hyperlink" Target="https://drive.google.com/file/d/1WMWWQKUbfYrNUSYWQbXtzxh65o0lK0mD/view?usp=drive_link" TargetMode="External"/><Relationship Id="rId19" Type="http://schemas.openxmlformats.org/officeDocument/2006/relationships/hyperlink" Target="http://gofile.me/4xaew/prS1k1cxH" TargetMode="External"/><Relationship Id="rId4" Type="http://schemas.openxmlformats.org/officeDocument/2006/relationships/hyperlink" Target="https://drive.google.com/file/d/1x7ipeNDxv_9CrjnbdsotZhxKPaOHMDIE/view?usp=drive_link" TargetMode="External"/><Relationship Id="rId9" Type="http://schemas.openxmlformats.org/officeDocument/2006/relationships/hyperlink" Target="http://gofile.me/4xaew/8P5aelxtE" TargetMode="External"/><Relationship Id="rId14" Type="http://schemas.openxmlformats.org/officeDocument/2006/relationships/hyperlink" Target="https://drive.google.com/file/d/1d56Y20ewhWC6SH1sUBCJaygJNcbfIYsL/view?usp=drive_link" TargetMode="External"/></Relationships>
</file>

<file path=xl/worksheets/_rels/sheet34.xml.rels><?xml version="1.0" encoding="UTF-8" standalone="yes"?>
<Relationships xmlns="http://schemas.openxmlformats.org/package/2006/relationships"><Relationship Id="rId26" Type="http://schemas.openxmlformats.org/officeDocument/2006/relationships/hyperlink" Target="https://drive.google.com/file/d/1mOwg6ozbo3tqazyf8nlQHCiGWD-oTWpO/view?usp=drive_link" TargetMode="External"/><Relationship Id="rId21" Type="http://schemas.openxmlformats.org/officeDocument/2006/relationships/hyperlink" Target="http://gofile.me/4xaew/X4LUtD6tp" TargetMode="External"/><Relationship Id="rId34" Type="http://schemas.openxmlformats.org/officeDocument/2006/relationships/hyperlink" Target="https://drive.google.com/file/d/1TwYk3KzCo8xcQ-rJZVu321wLndImgFE-/view?usp=drive_link" TargetMode="External"/><Relationship Id="rId42" Type="http://schemas.openxmlformats.org/officeDocument/2006/relationships/hyperlink" Target="https://drive.google.com/file/d/12X2A-Nf84x2OkjcK18SziA3v8CS9r9Ju/view?usp=drive_link" TargetMode="External"/><Relationship Id="rId47" Type="http://schemas.openxmlformats.org/officeDocument/2006/relationships/hyperlink" Target="http://gofile.me/4xaew/Wzv5ZwNq1" TargetMode="External"/><Relationship Id="rId50" Type="http://schemas.openxmlformats.org/officeDocument/2006/relationships/hyperlink" Target="https://drive.google.com/file/d/1RrWOFsI8E8ZBPnqRw1-WIuufCw7BT8Mg/view?usp=drive_link" TargetMode="External"/><Relationship Id="rId55" Type="http://schemas.openxmlformats.org/officeDocument/2006/relationships/hyperlink" Target="http://gofile.me/4xaew/UcPg2jFE8" TargetMode="External"/><Relationship Id="rId63" Type="http://schemas.openxmlformats.org/officeDocument/2006/relationships/hyperlink" Target="http://gofile.me/4xaew/Y1T0nSOt8" TargetMode="External"/><Relationship Id="rId7" Type="http://schemas.openxmlformats.org/officeDocument/2006/relationships/hyperlink" Target="http://gofile.me/4xaew/mFqrsWNuk" TargetMode="External"/><Relationship Id="rId2" Type="http://schemas.openxmlformats.org/officeDocument/2006/relationships/hyperlink" Target="https://drive.google.com/file/d/1Rszuss6ium5RcOEY_chBZNfOD9Zw2njH/view?usp=drive_link" TargetMode="External"/><Relationship Id="rId16" Type="http://schemas.openxmlformats.org/officeDocument/2006/relationships/hyperlink" Target="https://drive.google.com/file/d/1ElxWnEDHEXC_J0soZVKPIyLhOpYm0qq_/view?usp=drive_link" TargetMode="External"/><Relationship Id="rId29" Type="http://schemas.openxmlformats.org/officeDocument/2006/relationships/hyperlink" Target="http://gofile.me/4xaew/29pEHbVv3" TargetMode="External"/><Relationship Id="rId11" Type="http://schemas.openxmlformats.org/officeDocument/2006/relationships/hyperlink" Target="http://gofile.me/4xaew/iVRWqWBsR" TargetMode="External"/><Relationship Id="rId24" Type="http://schemas.openxmlformats.org/officeDocument/2006/relationships/hyperlink" Target="https://drive.google.com/file/d/1ImKMv4cbxyFvkxlHQt46Wxr5CzDkP6k0/view?usp=drive_link" TargetMode="External"/><Relationship Id="rId32" Type="http://schemas.openxmlformats.org/officeDocument/2006/relationships/hyperlink" Target="https://drive.google.com/file/d/1VFQ--XB7EUGteJG43OAnJWUfjuqAbpul/view?usp=drive_link" TargetMode="External"/><Relationship Id="rId37" Type="http://schemas.openxmlformats.org/officeDocument/2006/relationships/hyperlink" Target="http://gofile.me/4xaew/MoXB01180" TargetMode="External"/><Relationship Id="rId40" Type="http://schemas.openxmlformats.org/officeDocument/2006/relationships/hyperlink" Target="https://drive.google.com/file/d/1cZx9sGlftbZP0Cv7-I1gwNPfdUlXqfCc/view?usp=drive_link" TargetMode="External"/><Relationship Id="rId45" Type="http://schemas.openxmlformats.org/officeDocument/2006/relationships/hyperlink" Target="http://gofile.me/4xaew/5cbeVx71L" TargetMode="External"/><Relationship Id="rId53" Type="http://schemas.openxmlformats.org/officeDocument/2006/relationships/hyperlink" Target="http://gofile.me/4xaew/GX9onQGG3" TargetMode="External"/><Relationship Id="rId58" Type="http://schemas.openxmlformats.org/officeDocument/2006/relationships/hyperlink" Target="https://drive.google.com/file/d/1VDDzlWt8eGAHedX3msc_sVF3ECAfz4Bd/view?usp=drive_link" TargetMode="External"/><Relationship Id="rId66" Type="http://schemas.openxmlformats.org/officeDocument/2006/relationships/hyperlink" Target="https://drive.google.com/file/d/11fUKubPdcYSjCOJSjzMSDdLFEoTUx4-3/view?usp=drive_link" TargetMode="External"/><Relationship Id="rId5" Type="http://schemas.openxmlformats.org/officeDocument/2006/relationships/hyperlink" Target="http://gofile.me/4xaew/CmRXeJJVf" TargetMode="External"/><Relationship Id="rId61" Type="http://schemas.openxmlformats.org/officeDocument/2006/relationships/hyperlink" Target="http://gofile.me/4xaew/UWyUcJtsR" TargetMode="External"/><Relationship Id="rId19" Type="http://schemas.openxmlformats.org/officeDocument/2006/relationships/hyperlink" Target="http://gofile.me/4xaew/lQKUWjTSR" TargetMode="External"/><Relationship Id="rId14" Type="http://schemas.openxmlformats.org/officeDocument/2006/relationships/hyperlink" Target="https://drive.google.com/file/d/1OIGE1sLinxRs7vS6nbJcdafUjb78n6Q1/view?usp=drive_link" TargetMode="External"/><Relationship Id="rId22" Type="http://schemas.openxmlformats.org/officeDocument/2006/relationships/hyperlink" Target="https://drive.google.com/file/d/1hw29wZH5XmKqvfyt7p5dOQVo-ZUW3jV8/view?usp=drive_link" TargetMode="External"/><Relationship Id="rId27" Type="http://schemas.openxmlformats.org/officeDocument/2006/relationships/hyperlink" Target="http://gofile.me/4xaew/DbDOVqi6q" TargetMode="External"/><Relationship Id="rId30" Type="http://schemas.openxmlformats.org/officeDocument/2006/relationships/hyperlink" Target="https://drive.google.com/file/d/1dULC9prwHERA-EWm0Qga4TxaNCu0aLMl/view?usp=drive_link" TargetMode="External"/><Relationship Id="rId35" Type="http://schemas.openxmlformats.org/officeDocument/2006/relationships/hyperlink" Target="http://gofile.me/4xaew/vc0H89jHy" TargetMode="External"/><Relationship Id="rId43" Type="http://schemas.openxmlformats.org/officeDocument/2006/relationships/hyperlink" Target="http://gofile.me/4xaew/40rcpfa7z" TargetMode="External"/><Relationship Id="rId48" Type="http://schemas.openxmlformats.org/officeDocument/2006/relationships/hyperlink" Target="https://drive.google.com/file/d/1RdbxCtqicZHhwI6CRTp8JldRnbtWgesY/view?usp=drive_link" TargetMode="External"/><Relationship Id="rId56" Type="http://schemas.openxmlformats.org/officeDocument/2006/relationships/hyperlink" Target="https://drive.google.com/file/d/1C9vzacfwBppKZ6TQws2-2iTzAIwyJVri/view?usp=drive_link" TargetMode="External"/><Relationship Id="rId64" Type="http://schemas.openxmlformats.org/officeDocument/2006/relationships/hyperlink" Target="https://drive.google.com/file/d/17Q4cjj_5MESnIQRXLlUFTSi1t1ld0lkV/view?usp=drive_link" TargetMode="External"/><Relationship Id="rId8" Type="http://schemas.openxmlformats.org/officeDocument/2006/relationships/hyperlink" Target="https://drive.google.com/file/d/1DBT5-g_r5JdDZf_Zi3lb1hPe-2v-90W7/view?usp=drive_link" TargetMode="External"/><Relationship Id="rId51" Type="http://schemas.openxmlformats.org/officeDocument/2006/relationships/hyperlink" Target="http://gofile.me/4xaew/rKJSdOKUf" TargetMode="External"/><Relationship Id="rId3" Type="http://schemas.openxmlformats.org/officeDocument/2006/relationships/hyperlink" Target="http://gofile.me/4xaew/fblQ9nWVw" TargetMode="External"/><Relationship Id="rId12" Type="http://schemas.openxmlformats.org/officeDocument/2006/relationships/hyperlink" Target="https://drive.google.com/file/d/1AA35_sGZAJrrr8j2VdhQ70CAUUk6fpv1/view?usp=drive_link" TargetMode="External"/><Relationship Id="rId17" Type="http://schemas.openxmlformats.org/officeDocument/2006/relationships/hyperlink" Target="http://gofile.me/4xaew/TtYCHvbRu" TargetMode="External"/><Relationship Id="rId25" Type="http://schemas.openxmlformats.org/officeDocument/2006/relationships/hyperlink" Target="http://gofile.me/4xaew/a6ihhFQ3L" TargetMode="External"/><Relationship Id="rId33" Type="http://schemas.openxmlformats.org/officeDocument/2006/relationships/hyperlink" Target="http://gofile.me/4xaew/sM0AodYFA" TargetMode="External"/><Relationship Id="rId38" Type="http://schemas.openxmlformats.org/officeDocument/2006/relationships/hyperlink" Target="https://drive.google.com/file/d/1cZx9sGlftbZP0Cv7-I1gwNPfdUlXqfCc/view?usp=drive_link" TargetMode="External"/><Relationship Id="rId46" Type="http://schemas.openxmlformats.org/officeDocument/2006/relationships/hyperlink" Target="https://drive.google.com/file/d/1Bgr4bV95FEEaPOG9wOl2LVp6gUKSofdi/view?usp=drive_link" TargetMode="External"/><Relationship Id="rId59" Type="http://schemas.openxmlformats.org/officeDocument/2006/relationships/hyperlink" Target="http://gofile.me/4xaew/XCVlBr4B4" TargetMode="External"/><Relationship Id="rId20" Type="http://schemas.openxmlformats.org/officeDocument/2006/relationships/hyperlink" Target="https://drive.google.com/file/d/1IhGC1JUr4G0rsBD5OomCzj3p2OSsNVTF/view?usp=drive_link" TargetMode="External"/><Relationship Id="rId41" Type="http://schemas.openxmlformats.org/officeDocument/2006/relationships/hyperlink" Target="http://gofile.me/4xaew/agbaiAUcz" TargetMode="External"/><Relationship Id="rId54" Type="http://schemas.openxmlformats.org/officeDocument/2006/relationships/hyperlink" Target="https://drive.google.com/file/d/18kVu4MgbvO9A1q0qV_bFdExP1WHNmKV_/view?usp=drive_link" TargetMode="External"/><Relationship Id="rId62" Type="http://schemas.openxmlformats.org/officeDocument/2006/relationships/hyperlink" Target="https://drive.google.com/file/d/1TndL4S-CzFmpKtX1eYGdU9uDJai6snqx/view?usp=drive_link" TargetMode="External"/><Relationship Id="rId1" Type="http://schemas.openxmlformats.org/officeDocument/2006/relationships/hyperlink" Target="http://gofile.me/4xaew/13xUezjZY" TargetMode="External"/><Relationship Id="rId6" Type="http://schemas.openxmlformats.org/officeDocument/2006/relationships/hyperlink" Target="https://drive.google.com/file/d/1bB15eEr6K1jsRCg_AzFJAZQvy1oQ6YWh/view?usp=drive_link" TargetMode="External"/><Relationship Id="rId15" Type="http://schemas.openxmlformats.org/officeDocument/2006/relationships/hyperlink" Target="http://gofile.me/4xaew/fpqNDnFCl" TargetMode="External"/><Relationship Id="rId23" Type="http://schemas.openxmlformats.org/officeDocument/2006/relationships/hyperlink" Target="http://gofile.me/4xaew/Bkv4uOus4" TargetMode="External"/><Relationship Id="rId28" Type="http://schemas.openxmlformats.org/officeDocument/2006/relationships/hyperlink" Target="https://drive.google.com/file/d/1dULC9prwHERA-EWm0Qga4TxaNCu0aLMl/view?usp=drive_link" TargetMode="External"/><Relationship Id="rId36" Type="http://schemas.openxmlformats.org/officeDocument/2006/relationships/hyperlink" Target="https://drive.google.com/file/d/1lrrWy09HWy3q7bR7GCOvw14QZgIDPSqz/view?usp=drive_link" TargetMode="External"/><Relationship Id="rId49" Type="http://schemas.openxmlformats.org/officeDocument/2006/relationships/hyperlink" Target="http://gofile.me/4xaew/1ZUQiCwBd" TargetMode="External"/><Relationship Id="rId57" Type="http://schemas.openxmlformats.org/officeDocument/2006/relationships/hyperlink" Target="http://gofile.me/4xaew/UIedkju98" TargetMode="External"/><Relationship Id="rId10" Type="http://schemas.openxmlformats.org/officeDocument/2006/relationships/hyperlink" Target="https://drive.google.com/file/d/1X3vKW6AnbDWKgDze3PkiGDoK4g9FRSUT/view?usp=drive_link" TargetMode="External"/><Relationship Id="rId31" Type="http://schemas.openxmlformats.org/officeDocument/2006/relationships/hyperlink" Target="http://gofile.me/4xaew/JYBa3Otej" TargetMode="External"/><Relationship Id="rId44" Type="http://schemas.openxmlformats.org/officeDocument/2006/relationships/hyperlink" Target="https://drive.google.com/file/d/156CfEYjU_8HnXIE9fk4N8kMVQdYpgxLM/view?usp=drive_link" TargetMode="External"/><Relationship Id="rId52" Type="http://schemas.openxmlformats.org/officeDocument/2006/relationships/hyperlink" Target="https://drive.google.com/file/d/1lfJgDI1kAEW90TNgZX5mrAS5-SQMSUzw/view?usp=drive_link" TargetMode="External"/><Relationship Id="rId60" Type="http://schemas.openxmlformats.org/officeDocument/2006/relationships/hyperlink" Target="https://drive.google.com/file/d/1rxUn9Uop8UxbrnfA95kMhY70lYo5N95M/view?usp=drive_link" TargetMode="External"/><Relationship Id="rId65" Type="http://schemas.openxmlformats.org/officeDocument/2006/relationships/hyperlink" Target="http://gofile.me/4xaew/IqffQPYIv" TargetMode="External"/><Relationship Id="rId4" Type="http://schemas.openxmlformats.org/officeDocument/2006/relationships/hyperlink" Target="https://drive.google.com/file/d/1eToWeBggAob261tM5uk5Kn-znVGB22we/view?usp=drive_link" TargetMode="External"/><Relationship Id="rId9" Type="http://schemas.openxmlformats.org/officeDocument/2006/relationships/hyperlink" Target="http://gofile.me/4xaew/seoQtRLHr" TargetMode="External"/><Relationship Id="rId13" Type="http://schemas.openxmlformats.org/officeDocument/2006/relationships/hyperlink" Target="http://gofile.me/4xaew/kWjteKprD" TargetMode="External"/><Relationship Id="rId18" Type="http://schemas.openxmlformats.org/officeDocument/2006/relationships/hyperlink" Target="https://drive.google.com/file/d/1-I8nVsfezjaOwLygb_P5NYfMhYkvcsvY/view?usp=drive_link" TargetMode="External"/><Relationship Id="rId39" Type="http://schemas.openxmlformats.org/officeDocument/2006/relationships/hyperlink" Target="http://gofile.me/4xaew/dKrRXPpkS" TargetMode="External"/></Relationships>
</file>

<file path=xl/worksheets/_rels/sheet35.xml.rels><?xml version="1.0" encoding="UTF-8" standalone="yes"?>
<Relationships xmlns="http://schemas.openxmlformats.org/package/2006/relationships"><Relationship Id="rId26" Type="http://schemas.openxmlformats.org/officeDocument/2006/relationships/hyperlink" Target="https://drive.google.com/file/d/11r4yKtUxWrNzYvTCfDV6WMjem8h_-0cU/view?usp=drive_link" TargetMode="External"/><Relationship Id="rId21" Type="http://schemas.openxmlformats.org/officeDocument/2006/relationships/hyperlink" Target="http://gofile.me/4xaew/EXi3OJjkL" TargetMode="External"/><Relationship Id="rId42" Type="http://schemas.openxmlformats.org/officeDocument/2006/relationships/hyperlink" Target="https://drive.google.com/file/d/1H5O1HjMyZNaFt-DjpuTh_jSHB8avHqAK/view?usp=drive_link" TargetMode="External"/><Relationship Id="rId47" Type="http://schemas.openxmlformats.org/officeDocument/2006/relationships/hyperlink" Target="http://gofile.me/4xaew/ZqUcV146Y" TargetMode="External"/><Relationship Id="rId63" Type="http://schemas.openxmlformats.org/officeDocument/2006/relationships/hyperlink" Target="http://gofile.me/4xaew/5WyHwpgjn" TargetMode="External"/><Relationship Id="rId68" Type="http://schemas.openxmlformats.org/officeDocument/2006/relationships/hyperlink" Target="https://drive.google.com/file/d/1woM2DT9UkZxX-Df-sF58nmwgkp9_P8l1/view?usp=drive_link" TargetMode="External"/><Relationship Id="rId84" Type="http://schemas.openxmlformats.org/officeDocument/2006/relationships/hyperlink" Target="https://drive.google.com/file/d/1dIGTTgr1UYswQ9c5iOArOOQLuFfptMQv/view?usp=drive_link" TargetMode="External"/><Relationship Id="rId16" Type="http://schemas.openxmlformats.org/officeDocument/2006/relationships/hyperlink" Target="https://drive.google.com/file/d/1Y3OqRJEO0rc7dLdbar3j4d9Xfw1VoFIL/view?usp=drive_link" TargetMode="External"/><Relationship Id="rId11" Type="http://schemas.openxmlformats.org/officeDocument/2006/relationships/hyperlink" Target="http://gofile.me/4xaew/41L7Sg9JB" TargetMode="External"/><Relationship Id="rId32" Type="http://schemas.openxmlformats.org/officeDocument/2006/relationships/hyperlink" Target="https://drive.google.com/file/d/18tQ6zmxu7IiB5K9r66T0Ct4GVGv1Oi4W/view?usp=drive_link" TargetMode="External"/><Relationship Id="rId37" Type="http://schemas.openxmlformats.org/officeDocument/2006/relationships/hyperlink" Target="http://gofile.me/4xaew/AwzOeOsy7" TargetMode="External"/><Relationship Id="rId53" Type="http://schemas.openxmlformats.org/officeDocument/2006/relationships/hyperlink" Target="http://gofile.me/4xaew/BuYV1jMF0" TargetMode="External"/><Relationship Id="rId58" Type="http://schemas.openxmlformats.org/officeDocument/2006/relationships/hyperlink" Target="https://drive.google.com/file/d/1rQ3icl4S-w1DBVxJi___RwiqedtsiCH3/view?usp=drive_link" TargetMode="External"/><Relationship Id="rId74" Type="http://schemas.openxmlformats.org/officeDocument/2006/relationships/hyperlink" Target="https://drive.google.com/file/d/1omi2mZVrMuWiO20QkwJgCCNcxl3dO3Bk/view?usp=drive_link" TargetMode="External"/><Relationship Id="rId79" Type="http://schemas.openxmlformats.org/officeDocument/2006/relationships/hyperlink" Target="http://gofile.me/4xaew/6v7E5Leaa" TargetMode="External"/><Relationship Id="rId5" Type="http://schemas.openxmlformats.org/officeDocument/2006/relationships/hyperlink" Target="http://gofile.me/4xaew/tIR4CVhtl" TargetMode="External"/><Relationship Id="rId19" Type="http://schemas.openxmlformats.org/officeDocument/2006/relationships/hyperlink" Target="http://gofile.me/4xaew/8XtB94vls" TargetMode="External"/><Relationship Id="rId14" Type="http://schemas.openxmlformats.org/officeDocument/2006/relationships/hyperlink" Target="https://drive.google.com/file/d/1tizhnQqm1XOWH8LUclrs4V5GAlDeeima/view?usp=drive_link" TargetMode="External"/><Relationship Id="rId22" Type="http://schemas.openxmlformats.org/officeDocument/2006/relationships/hyperlink" Target="https://drive.google.com/file/d/16ClCgwLc5Tbq071iVXs53GzqBHxLinx8/view?usp=drive_link" TargetMode="External"/><Relationship Id="rId27" Type="http://schemas.openxmlformats.org/officeDocument/2006/relationships/hyperlink" Target="http://gofile.me/4xaew/H4q5UvCM5" TargetMode="External"/><Relationship Id="rId30" Type="http://schemas.openxmlformats.org/officeDocument/2006/relationships/hyperlink" Target="https://drive.google.com/file/d/1WMyNNLjSIWlcixcAfSUhmKErJtfh7Rla/view?usp=drive_link" TargetMode="External"/><Relationship Id="rId35" Type="http://schemas.openxmlformats.org/officeDocument/2006/relationships/hyperlink" Target="http://gofile.me/4xaew/YMMGsdRII" TargetMode="External"/><Relationship Id="rId43" Type="http://schemas.openxmlformats.org/officeDocument/2006/relationships/hyperlink" Target="http://gofile.me/4xaew/ePoDtMFtW" TargetMode="External"/><Relationship Id="rId48" Type="http://schemas.openxmlformats.org/officeDocument/2006/relationships/hyperlink" Target="https://drive.google.com/file/d/1xWtuRV45gx2NW1rW34-gn8pzgFZDkw1p/view?usp=drive_link" TargetMode="External"/><Relationship Id="rId56" Type="http://schemas.openxmlformats.org/officeDocument/2006/relationships/hyperlink" Target="https://drive.google.com/file/d/1Hs59DEA0OtzLiUZ1RT_GXWMmLCJGtOqk/view?usp=drive_link" TargetMode="External"/><Relationship Id="rId64" Type="http://schemas.openxmlformats.org/officeDocument/2006/relationships/hyperlink" Target="https://drive.google.com/file/d/13uRy_B-9I0xwLrCki-lqbu3wYu2v5D7x/view?usp=drive_link" TargetMode="External"/><Relationship Id="rId69" Type="http://schemas.openxmlformats.org/officeDocument/2006/relationships/hyperlink" Target="http://gofile.me/4xaew/fUvJKmUKE" TargetMode="External"/><Relationship Id="rId77" Type="http://schemas.openxmlformats.org/officeDocument/2006/relationships/hyperlink" Target="http://gofile.me/4xaew/ckInXlpCk" TargetMode="External"/><Relationship Id="rId8" Type="http://schemas.openxmlformats.org/officeDocument/2006/relationships/hyperlink" Target="https://drive.google.com/file/d/1160VD0C81-k5Png5aNNx3mSO1uXcEsEo/view?usp=drive_link" TargetMode="External"/><Relationship Id="rId51" Type="http://schemas.openxmlformats.org/officeDocument/2006/relationships/hyperlink" Target="http://gofile.me/4xaew/npVJSMbvw" TargetMode="External"/><Relationship Id="rId72" Type="http://schemas.openxmlformats.org/officeDocument/2006/relationships/hyperlink" Target="https://drive.google.com/file/d/1a4cjaOkN2QpvZwZhDLq2AOvd6st2_R3L/view?usp=drive_link" TargetMode="External"/><Relationship Id="rId80" Type="http://schemas.openxmlformats.org/officeDocument/2006/relationships/hyperlink" Target="https://drive.google.com/file/d/14CpJNOjDFEsaXhPjV3ltk51ChG63A8wk/view?usp=drive_link" TargetMode="External"/><Relationship Id="rId85" Type="http://schemas.openxmlformats.org/officeDocument/2006/relationships/hyperlink" Target="https://drive.google.com/file/d/14ejgeY4zKd9aVFce-A1UjI822RbpLApk/view?usp=drive_link" TargetMode="External"/><Relationship Id="rId3" Type="http://schemas.openxmlformats.org/officeDocument/2006/relationships/hyperlink" Target="http://gofile.me/4xaew/RlWBXKUhr" TargetMode="External"/><Relationship Id="rId12" Type="http://schemas.openxmlformats.org/officeDocument/2006/relationships/hyperlink" Target="https://drive.google.com/file/d/1DRw5zLzVi9c4oqjNj3bv-gkD-TITNrwv/view?usp=drive_link" TargetMode="External"/><Relationship Id="rId17" Type="http://schemas.openxmlformats.org/officeDocument/2006/relationships/hyperlink" Target="http://gofile.me/4xaew/FOC77NmPm" TargetMode="External"/><Relationship Id="rId25" Type="http://schemas.openxmlformats.org/officeDocument/2006/relationships/hyperlink" Target="http://gofile.me/4xaew/Vot4q5RpR" TargetMode="External"/><Relationship Id="rId33" Type="http://schemas.openxmlformats.org/officeDocument/2006/relationships/hyperlink" Target="http://gofile.me/4xaew/ipbWfuwOp" TargetMode="External"/><Relationship Id="rId38" Type="http://schemas.openxmlformats.org/officeDocument/2006/relationships/hyperlink" Target="https://drive.google.com/file/d/1GnBkyxW9HRDsVfCyqb5VG5A82V-8usOU/view?usp=drive_link" TargetMode="External"/><Relationship Id="rId46" Type="http://schemas.openxmlformats.org/officeDocument/2006/relationships/hyperlink" Target="https://drive.google.com/file/d/1ATgMwvqGYPtS_hId8Tv1UR9H7CAMBpXo/view?usp=drive_link" TargetMode="External"/><Relationship Id="rId59" Type="http://schemas.openxmlformats.org/officeDocument/2006/relationships/hyperlink" Target="http://gofile.me/4xaew/YDMmq8i1d" TargetMode="External"/><Relationship Id="rId67" Type="http://schemas.openxmlformats.org/officeDocument/2006/relationships/hyperlink" Target="http://gofile.me/4xaew/zFYwOFxrY" TargetMode="External"/><Relationship Id="rId20" Type="http://schemas.openxmlformats.org/officeDocument/2006/relationships/hyperlink" Target="https://drive.google.com/file/d/1VivR0bVb9YqMF7yhetWkw1U6bzno9hoj/view?usp=drive_link" TargetMode="External"/><Relationship Id="rId41" Type="http://schemas.openxmlformats.org/officeDocument/2006/relationships/hyperlink" Target="http://gofile.me/4xaew/YUEEWcoiG" TargetMode="External"/><Relationship Id="rId54" Type="http://schemas.openxmlformats.org/officeDocument/2006/relationships/hyperlink" Target="https://drive.google.com/file/d/1e_243-F4-BolGGl3tHp95VPNXtkWPPf2/view?usp=drive_link" TargetMode="External"/><Relationship Id="rId62" Type="http://schemas.openxmlformats.org/officeDocument/2006/relationships/hyperlink" Target="https://drive.google.com/file/d/1EZKYkZ5hmyihrvBdhmmFRYorcv9HX418/view?usp=drive_link" TargetMode="External"/><Relationship Id="rId70" Type="http://schemas.openxmlformats.org/officeDocument/2006/relationships/hyperlink" Target="https://drive.google.com/file/d/1eSnRZjO7C437L5L0gMjXM99X8QPJHJeG/view?usp=drive_link" TargetMode="External"/><Relationship Id="rId75" Type="http://schemas.openxmlformats.org/officeDocument/2006/relationships/hyperlink" Target="http://gofile.me/4xaew/0pzVSWm5g" TargetMode="External"/><Relationship Id="rId83" Type="http://schemas.openxmlformats.org/officeDocument/2006/relationships/hyperlink" Target="https://drive.google.com/file/d/15f7lLGIhxFe4GalGdk4TNImrHwt7u4i0/view?usp=drive_link" TargetMode="External"/><Relationship Id="rId1" Type="http://schemas.openxmlformats.org/officeDocument/2006/relationships/hyperlink" Target="http://gofile.me/4xaew/k09UjQMzz" TargetMode="External"/><Relationship Id="rId6" Type="http://schemas.openxmlformats.org/officeDocument/2006/relationships/hyperlink" Target="https://drive.google.com/file/d/12kZ_sxoEMZKof-8K12Hn0jyGJx-AlZsg/view?usp=drive_link" TargetMode="External"/><Relationship Id="rId15" Type="http://schemas.openxmlformats.org/officeDocument/2006/relationships/hyperlink" Target="http://gofile.me/4xaew/gm2eVUNOE" TargetMode="External"/><Relationship Id="rId23" Type="http://schemas.openxmlformats.org/officeDocument/2006/relationships/hyperlink" Target="http://gofile.me/4xaew/BDOaQ1L0U" TargetMode="External"/><Relationship Id="rId28" Type="http://schemas.openxmlformats.org/officeDocument/2006/relationships/hyperlink" Target="https://drive.google.com/file/d/1JKBuz5Jmv5ubdwhiaMz43mQquhnZeb6Q/view?usp=drive_link" TargetMode="External"/><Relationship Id="rId36" Type="http://schemas.openxmlformats.org/officeDocument/2006/relationships/hyperlink" Target="https://drive.google.com/file/d/1hbJ6r4uAxM-QgVHJP_2FUnFdQTG-hMTc/view?usp=drive_link" TargetMode="External"/><Relationship Id="rId49" Type="http://schemas.openxmlformats.org/officeDocument/2006/relationships/hyperlink" Target="http://gofile.me/4xaew/c10xFORoc" TargetMode="External"/><Relationship Id="rId57" Type="http://schemas.openxmlformats.org/officeDocument/2006/relationships/hyperlink" Target="http://gofile.me/4xaew/HZYWSgQnq" TargetMode="External"/><Relationship Id="rId10" Type="http://schemas.openxmlformats.org/officeDocument/2006/relationships/hyperlink" Target="https://drive.google.com/file/d/1JGzrz83OliIZTQ2TJQpMJnu1tQpUZjQO/view?usp=drive_link" TargetMode="External"/><Relationship Id="rId31" Type="http://schemas.openxmlformats.org/officeDocument/2006/relationships/hyperlink" Target="http://gofile.me/4xaew/1Zm6Z69Wo" TargetMode="External"/><Relationship Id="rId44" Type="http://schemas.openxmlformats.org/officeDocument/2006/relationships/hyperlink" Target="https://drive.google.com/file/d/1H5O1HjMyZNaFt-DjpuTh_jSHB8avHqAK/view?usp=drive_link" TargetMode="External"/><Relationship Id="rId52" Type="http://schemas.openxmlformats.org/officeDocument/2006/relationships/hyperlink" Target="https://drive.google.com/file/d/1B1D_gVZ6mbGX5Ko0iz0PqRPJ7bwHUw6v/view?usp=drive_link" TargetMode="External"/><Relationship Id="rId60" Type="http://schemas.openxmlformats.org/officeDocument/2006/relationships/hyperlink" Target="https://drive.google.com/file/d/1hSsYiSZm-vlLO4NBbWRa9L8_4BY5harV/view?usp=drive_link" TargetMode="External"/><Relationship Id="rId65" Type="http://schemas.openxmlformats.org/officeDocument/2006/relationships/hyperlink" Target="http://gofile.me/4xaew/abpCmkJ9c" TargetMode="External"/><Relationship Id="rId73" Type="http://schemas.openxmlformats.org/officeDocument/2006/relationships/hyperlink" Target="http://gofile.me/4xaew/5AZxXNk6r" TargetMode="External"/><Relationship Id="rId78" Type="http://schemas.openxmlformats.org/officeDocument/2006/relationships/hyperlink" Target="https://drive.google.com/file/d/1wv5IVeaS5zwrIt7ARDHw0J37SgV-ILbQ/view?usp=drive_link" TargetMode="External"/><Relationship Id="rId81" Type="http://schemas.openxmlformats.org/officeDocument/2006/relationships/hyperlink" Target="http://gofile.me/4xaew/7eqBdBbk7" TargetMode="External"/><Relationship Id="rId86" Type="http://schemas.openxmlformats.org/officeDocument/2006/relationships/hyperlink" Target="https://drive.google.com/file/d/1QWtipq1agOXBJUuR1fe0hmrGnMOrkaRE/view?usp=drive_link" TargetMode="External"/><Relationship Id="rId4" Type="http://schemas.openxmlformats.org/officeDocument/2006/relationships/hyperlink" Target="https://drive.google.com/file/d/101_K0EvzIIgI3AzaeFDwVvpcc66wQFUJ/view?usp=drive_link" TargetMode="External"/><Relationship Id="rId9" Type="http://schemas.openxmlformats.org/officeDocument/2006/relationships/hyperlink" Target="http://gofile.me/4xaew/cQGeOMKGr" TargetMode="External"/><Relationship Id="rId13" Type="http://schemas.openxmlformats.org/officeDocument/2006/relationships/hyperlink" Target="http://gofile.me/4xaew/95wxX3WWt" TargetMode="External"/><Relationship Id="rId18" Type="http://schemas.openxmlformats.org/officeDocument/2006/relationships/hyperlink" Target="https://drive.google.com/file/d/1e48OM0gZQqsz-aSXDEKRSa79oGItJAtO/view?usp=drive_link" TargetMode="External"/><Relationship Id="rId39" Type="http://schemas.openxmlformats.org/officeDocument/2006/relationships/hyperlink" Target="http://gofile.me/4xaew/URhBQmULu" TargetMode="External"/><Relationship Id="rId34" Type="http://schemas.openxmlformats.org/officeDocument/2006/relationships/hyperlink" Target="https://drive.google.com/file/d/1IpvtXICaQpwAHYjKV8dBAz0I9leW2xXb/view?usp=drive_link" TargetMode="External"/><Relationship Id="rId50" Type="http://schemas.openxmlformats.org/officeDocument/2006/relationships/hyperlink" Target="https://drive.google.com/file/d/1nJlbkCR1ipDr00ElrXq2qIL8DBhYbo7f/view?usp=drive_link" TargetMode="External"/><Relationship Id="rId55" Type="http://schemas.openxmlformats.org/officeDocument/2006/relationships/hyperlink" Target="http://gofile.me/4xaew/8wrtClFfq" TargetMode="External"/><Relationship Id="rId76" Type="http://schemas.openxmlformats.org/officeDocument/2006/relationships/hyperlink" Target="https://drive.google.com/file/d/1qen4FLYSi5uA9A5lMRQ47M4YTnG-eFwU/view?usp=drive_link" TargetMode="External"/><Relationship Id="rId7" Type="http://schemas.openxmlformats.org/officeDocument/2006/relationships/hyperlink" Target="http://gofile.me/4xaew/XMqX1Lqv0" TargetMode="External"/><Relationship Id="rId71" Type="http://schemas.openxmlformats.org/officeDocument/2006/relationships/hyperlink" Target="http://gofile.me/4xaew/2A4REhhRb" TargetMode="External"/><Relationship Id="rId2" Type="http://schemas.openxmlformats.org/officeDocument/2006/relationships/hyperlink" Target="https://drive.google.com/file/d/18YXCDtpd41QOHeySYdbTxxdzqLayI5H5/view?usp=drive_link" TargetMode="External"/><Relationship Id="rId29" Type="http://schemas.openxmlformats.org/officeDocument/2006/relationships/hyperlink" Target="http://gofile.me/4xaew/57vf1lMvM" TargetMode="External"/><Relationship Id="rId24" Type="http://schemas.openxmlformats.org/officeDocument/2006/relationships/hyperlink" Target="https://drive.google.com/file/d/1YjzihjcBrwPG0XAHZMyYrzd1aaM5H3Jp/view?usp=drive_link" TargetMode="External"/><Relationship Id="rId40" Type="http://schemas.openxmlformats.org/officeDocument/2006/relationships/hyperlink" Target="https://drive.google.com/file/d/14ROoBB-VJeFCj89inXCJC0FrGqtjb8xB/view?usp=drive_link" TargetMode="External"/><Relationship Id="rId45" Type="http://schemas.openxmlformats.org/officeDocument/2006/relationships/hyperlink" Target="http://gofile.me/4xaew/2ohU18RSV" TargetMode="External"/><Relationship Id="rId66" Type="http://schemas.openxmlformats.org/officeDocument/2006/relationships/hyperlink" Target="https://drive.google.com/file/d/1aVJU5QRb8QmJe2NXGHQd6httspIubns2/view?usp=drive_link" TargetMode="External"/><Relationship Id="rId61" Type="http://schemas.openxmlformats.org/officeDocument/2006/relationships/hyperlink" Target="http://gofile.me/4xaew/1oAURN29J" TargetMode="External"/><Relationship Id="rId82" Type="http://schemas.openxmlformats.org/officeDocument/2006/relationships/hyperlink" Target="https://drive.google.com/file/d/1n7zegjDzQAeLwZTBFXAFRrJvbR1Zbgtm/view?usp=drive_link" TargetMode="External"/></Relationships>
</file>

<file path=xl/worksheets/_rels/sheet36.xml.rels><?xml version="1.0" encoding="UTF-8" standalone="yes"?>
<Relationships xmlns="http://schemas.openxmlformats.org/package/2006/relationships"><Relationship Id="rId117" Type="http://schemas.openxmlformats.org/officeDocument/2006/relationships/hyperlink" Target="https://drive.google.com/file/d/1OiC9iVbQIks5o_WjklAnnU3clp4mda_-/view?usp=drive_link" TargetMode="External"/><Relationship Id="rId21" Type="http://schemas.openxmlformats.org/officeDocument/2006/relationships/hyperlink" Target="https://drive.google.com/file/d/1xCw4c-T5mmmgSwrp4nzBT4aIN8f9Ysxz/view?usp=drive_link" TargetMode="External"/><Relationship Id="rId42" Type="http://schemas.openxmlformats.org/officeDocument/2006/relationships/hyperlink" Target="http://gofile.me/4xaew/4OK83Cs1H" TargetMode="External"/><Relationship Id="rId63" Type="http://schemas.openxmlformats.org/officeDocument/2006/relationships/hyperlink" Target="https://drive.google.com/file/d/17YDCxIgbA80Lt55PJl-Y84TjGysrPUY6/view?usp=drive_link" TargetMode="External"/><Relationship Id="rId84" Type="http://schemas.openxmlformats.org/officeDocument/2006/relationships/hyperlink" Target="http://gofile.me/4xaew/GUqZrKCND" TargetMode="External"/><Relationship Id="rId138" Type="http://schemas.openxmlformats.org/officeDocument/2006/relationships/hyperlink" Target="https://drive.google.com/file/d/1X4NbryCNmJ3ZSJnmWwVYlDbaXCiclhPl/view?usp=drive_link" TargetMode="External"/><Relationship Id="rId107" Type="http://schemas.openxmlformats.org/officeDocument/2006/relationships/hyperlink" Target="https://drive.google.com/file/d/1xVyTDgPl1_YUyUXDXQvpzORI-6bnI1hL/view?usp=drive_link" TargetMode="External"/><Relationship Id="rId11" Type="http://schemas.openxmlformats.org/officeDocument/2006/relationships/hyperlink" Target="https://drive.google.com/file/d/1bP56e4uETKwcxX_73B4vvrqHGwVqKeMr/view?usp=drive_link" TargetMode="External"/><Relationship Id="rId32" Type="http://schemas.openxmlformats.org/officeDocument/2006/relationships/hyperlink" Target="http://gofile.me/4xaew/yG0vNZ41m" TargetMode="External"/><Relationship Id="rId53" Type="http://schemas.openxmlformats.org/officeDocument/2006/relationships/hyperlink" Target="https://drive.google.com/file/d/15RmO7vWJj1B6TteFot_m_RLRkELwRAZe/view?usp=drive_link" TargetMode="External"/><Relationship Id="rId74" Type="http://schemas.openxmlformats.org/officeDocument/2006/relationships/hyperlink" Target="http://gofile.me/4xaew/WetDDdTAI" TargetMode="External"/><Relationship Id="rId128" Type="http://schemas.openxmlformats.org/officeDocument/2006/relationships/hyperlink" Target="http://gofile.me/4xaew/4X14Ejw8l" TargetMode="External"/><Relationship Id="rId149" Type="http://schemas.openxmlformats.org/officeDocument/2006/relationships/hyperlink" Target="https://drive.google.com/file/d/1b4saPTxcc3Sq-rXzj3PEaf50VyV_XSai/view?usp=drive_link" TargetMode="External"/><Relationship Id="rId5" Type="http://schemas.openxmlformats.org/officeDocument/2006/relationships/hyperlink" Target="http://gofile.me/4xaew/2YJR0Rpj0" TargetMode="External"/><Relationship Id="rId95" Type="http://schemas.openxmlformats.org/officeDocument/2006/relationships/hyperlink" Target="https://drive.google.com/file/d/16_ri9wxCcukiQkruFml-e9au9Eh0UWU2/view?usp=drive_link" TargetMode="External"/><Relationship Id="rId22" Type="http://schemas.openxmlformats.org/officeDocument/2006/relationships/hyperlink" Target="http://gofile.me/4xaew/eR9KmlXlW" TargetMode="External"/><Relationship Id="rId27" Type="http://schemas.openxmlformats.org/officeDocument/2006/relationships/hyperlink" Target="https://drive.google.com/file/d/1_KufjMWM_RJAkWsQGZ2fgFXJpnmS9mTn/view?usp=drive_link" TargetMode="External"/><Relationship Id="rId43" Type="http://schemas.openxmlformats.org/officeDocument/2006/relationships/hyperlink" Target="https://drive.google.com/file/d/1vojgWhczy5g0AcKzV6iT9S08gXPmF_yF/view?usp=drive_link" TargetMode="External"/><Relationship Id="rId48" Type="http://schemas.openxmlformats.org/officeDocument/2006/relationships/hyperlink" Target="http://gofile.me/4xaew/Jcam5uMgE" TargetMode="External"/><Relationship Id="rId64" Type="http://schemas.openxmlformats.org/officeDocument/2006/relationships/hyperlink" Target="http://gofile.me/4xaew/PnEDPdTD7" TargetMode="External"/><Relationship Id="rId69" Type="http://schemas.openxmlformats.org/officeDocument/2006/relationships/hyperlink" Target="https://drive.google.com/file/d/1yfiuog2KhoZhl327GR0RyE01k0mqClDT/view?usp=drive_link" TargetMode="External"/><Relationship Id="rId113" Type="http://schemas.openxmlformats.org/officeDocument/2006/relationships/hyperlink" Target="https://drive.google.com/file/d/1agjCcv7dfuaUst2d9jdBklHQq-1pRWvK/view?usp=drive_link" TargetMode="External"/><Relationship Id="rId118" Type="http://schemas.openxmlformats.org/officeDocument/2006/relationships/hyperlink" Target="http://gofile.me/4xaew/mmWNIREbD" TargetMode="External"/><Relationship Id="rId134" Type="http://schemas.openxmlformats.org/officeDocument/2006/relationships/hyperlink" Target="http://gofile.me/4xaew/O99KoeUie" TargetMode="External"/><Relationship Id="rId139" Type="http://schemas.openxmlformats.org/officeDocument/2006/relationships/hyperlink" Target="https://drive.google.com/file/d/1p2r4O70iK1v9Fjdwu4OI6vG2PqJoxHt1/view?usp=drive_link" TargetMode="External"/><Relationship Id="rId80" Type="http://schemas.openxmlformats.org/officeDocument/2006/relationships/hyperlink" Target="http://gofile.me/4xaew/0bwfVfRZ1" TargetMode="External"/><Relationship Id="rId85" Type="http://schemas.openxmlformats.org/officeDocument/2006/relationships/hyperlink" Target="https://drive.google.com/file/d/1wiqbGtLs1OoD30pLux1OH7tQg_jP-LjT/view?usp=drive_link" TargetMode="External"/><Relationship Id="rId150" Type="http://schemas.openxmlformats.org/officeDocument/2006/relationships/hyperlink" Target="http://gofile.me/4xaew/mAXdcjGfo" TargetMode="External"/><Relationship Id="rId12" Type="http://schemas.openxmlformats.org/officeDocument/2006/relationships/hyperlink" Target="http://gofile.me/4xaew/4Bj7d2LdN" TargetMode="External"/><Relationship Id="rId17" Type="http://schemas.openxmlformats.org/officeDocument/2006/relationships/hyperlink" Target="https://drive.google.com/file/d/1iAdElL_hRJtoynF5PClchCy4zwgPtjHG/view?usp=drive_link" TargetMode="External"/><Relationship Id="rId33" Type="http://schemas.openxmlformats.org/officeDocument/2006/relationships/hyperlink" Target="https://drive.google.com/file/d/1hGdyrFDUd92-MaZTtoZgIQGMtg63dpCj/view?usp=drive_link" TargetMode="External"/><Relationship Id="rId38" Type="http://schemas.openxmlformats.org/officeDocument/2006/relationships/hyperlink" Target="http://gofile.me/4xaew/gasiyxlZR" TargetMode="External"/><Relationship Id="rId59" Type="http://schemas.openxmlformats.org/officeDocument/2006/relationships/hyperlink" Target="https://drive.google.com/file/d/1CG8f90NtjBa7Lfg9oAywAxfKfjQCpzAY/view?usp=drive_link" TargetMode="External"/><Relationship Id="rId103" Type="http://schemas.openxmlformats.org/officeDocument/2006/relationships/hyperlink" Target="https://drive.google.com/file/d/1P9-ERMIcCyKIwZN9dNeYqFbzzLiTJEml/view?usp=drive_link" TargetMode="External"/><Relationship Id="rId108" Type="http://schemas.openxmlformats.org/officeDocument/2006/relationships/hyperlink" Target="http://gofile.me/4xaew/otVoa9xyQ" TargetMode="External"/><Relationship Id="rId124" Type="http://schemas.openxmlformats.org/officeDocument/2006/relationships/hyperlink" Target="http://gofile.me/4xaew/ketZagtJN" TargetMode="External"/><Relationship Id="rId129" Type="http://schemas.openxmlformats.org/officeDocument/2006/relationships/hyperlink" Target="https://drive.google.com/file/d/1quP6axTCGwWrWMBDdHr3c6R7pwP70fhB/view?usp=drive_link" TargetMode="External"/><Relationship Id="rId54" Type="http://schemas.openxmlformats.org/officeDocument/2006/relationships/hyperlink" Target="http://gofile.me/4xaew/yC8VKjC3R" TargetMode="External"/><Relationship Id="rId70" Type="http://schemas.openxmlformats.org/officeDocument/2006/relationships/hyperlink" Target="http://gofile.me/4xaew/f3ctrOL4D" TargetMode="External"/><Relationship Id="rId75" Type="http://schemas.openxmlformats.org/officeDocument/2006/relationships/hyperlink" Target="https://drive.google.com/file/d/1_rYHk-MNRan4ZPyyFAP5HeWPlIabmHYu/view?usp=drive_link" TargetMode="External"/><Relationship Id="rId91" Type="http://schemas.openxmlformats.org/officeDocument/2006/relationships/hyperlink" Target="https://drive.google.com/file/d/1w5NjWjYeG9UKkeYDZluhOR5PblPQeJ_z/view?usp=drive_link" TargetMode="External"/><Relationship Id="rId96" Type="http://schemas.openxmlformats.org/officeDocument/2006/relationships/hyperlink" Target="http://gofile.me/4xaew/5AiLcfEZe" TargetMode="External"/><Relationship Id="rId140" Type="http://schemas.openxmlformats.org/officeDocument/2006/relationships/hyperlink" Target="https://drive.google.com/file/d/1DfsCg3GvoYXPozwcMDetfvQJ80_cpyzJ/view?usp=drive_link" TargetMode="External"/><Relationship Id="rId145" Type="http://schemas.openxmlformats.org/officeDocument/2006/relationships/hyperlink" Target="https://drive.google.com/file/d/1vStWtUFGjZl8HPngX8ap16CdnqsTAaFA/view?usp=drive_link" TargetMode="External"/><Relationship Id="rId1" Type="http://schemas.openxmlformats.org/officeDocument/2006/relationships/hyperlink" Target="http://gofile.me/4xaew/3m7Oe0457" TargetMode="External"/><Relationship Id="rId6" Type="http://schemas.openxmlformats.org/officeDocument/2006/relationships/hyperlink" Target="https://drive.google.com/file/d/12BHjTD-ffbMAAGOR_ji4oMV7uoICCnDS/view?usp=drive_link" TargetMode="External"/><Relationship Id="rId23" Type="http://schemas.openxmlformats.org/officeDocument/2006/relationships/hyperlink" Target="https://drive.google.com/file/d/1Qr7-P-2rMS5tSNQkj8K5Zfp6cM8hB5R9/view?usp=drive_link" TargetMode="External"/><Relationship Id="rId28" Type="http://schemas.openxmlformats.org/officeDocument/2006/relationships/hyperlink" Target="http://gofile.me/4xaew/woSk4ixbT" TargetMode="External"/><Relationship Id="rId49" Type="http://schemas.openxmlformats.org/officeDocument/2006/relationships/hyperlink" Target="https://drive.google.com/file/d/1lYMnZUeigVxDn93HB8tXKuifr1qQ4zPM/view?usp=drive_link" TargetMode="External"/><Relationship Id="rId114" Type="http://schemas.openxmlformats.org/officeDocument/2006/relationships/hyperlink" Target="http://gofile.me/4xaew/1SxQAob4B" TargetMode="External"/><Relationship Id="rId119" Type="http://schemas.openxmlformats.org/officeDocument/2006/relationships/hyperlink" Target="https://drive.google.com/file/d/1EUCMpEuyuXc4gOwzy4DTLh0M7DaMc4mx/view?usp=drive_link" TargetMode="External"/><Relationship Id="rId44" Type="http://schemas.openxmlformats.org/officeDocument/2006/relationships/hyperlink" Target="http://gofile.me/4xaew/1djpdn9Nb" TargetMode="External"/><Relationship Id="rId60" Type="http://schemas.openxmlformats.org/officeDocument/2006/relationships/hyperlink" Target="http://gofile.me/4xaew/N1H4nbuYR" TargetMode="External"/><Relationship Id="rId65" Type="http://schemas.openxmlformats.org/officeDocument/2006/relationships/hyperlink" Target="https://drive.google.com/file/d/1RORRN96YBw-bcax3YEH35hITHKXc6AIY/view?usp=drive_link" TargetMode="External"/><Relationship Id="rId81" Type="http://schemas.openxmlformats.org/officeDocument/2006/relationships/hyperlink" Target="https://drive.google.com/file/d/1v5SU2XK9w-I5wKPBLPgMrLbSTZwCtPTl/view?usp=drive_link" TargetMode="External"/><Relationship Id="rId86" Type="http://schemas.openxmlformats.org/officeDocument/2006/relationships/hyperlink" Target="http://gofile.me/4xaew/lFrSjtqhX" TargetMode="External"/><Relationship Id="rId130" Type="http://schemas.openxmlformats.org/officeDocument/2006/relationships/hyperlink" Target="http://gofile.me/4xaew/kUGva1rG1" TargetMode="External"/><Relationship Id="rId135" Type="http://schemas.openxmlformats.org/officeDocument/2006/relationships/hyperlink" Target="https://drive.google.com/file/d/1o6tiB4sFJ4Usr9fdkacc4PVHJK46xsYA/view?usp=drive_link" TargetMode="External"/><Relationship Id="rId151" Type="http://schemas.openxmlformats.org/officeDocument/2006/relationships/hyperlink" Target="https://drive.google.com/file/d/19G_Ud6EqWteoXSJkc2MQY7LDZ9CJIKor/view?usp=drive_link" TargetMode="External"/><Relationship Id="rId13" Type="http://schemas.openxmlformats.org/officeDocument/2006/relationships/hyperlink" Target="https://drive.google.com/file/d/1N_8VwmXlUc7n0BXNjLyQrxth66clSZq2/view?usp=drive_link" TargetMode="External"/><Relationship Id="rId18" Type="http://schemas.openxmlformats.org/officeDocument/2006/relationships/hyperlink" Target="http://gofile.me/4xaew/M61i8AcYA" TargetMode="External"/><Relationship Id="rId39" Type="http://schemas.openxmlformats.org/officeDocument/2006/relationships/hyperlink" Target="https://drive.google.com/file/d/1zdWbRbbMNUIBQPOeECa2oF5Kual-sXNA/view?usp=drive_link" TargetMode="External"/><Relationship Id="rId109" Type="http://schemas.openxmlformats.org/officeDocument/2006/relationships/hyperlink" Target="https://drive.google.com/file/d/1CRlgZDdBWexm6xL3UryeRftJgqwPmfpy/view?usp=drive_link" TargetMode="External"/><Relationship Id="rId34" Type="http://schemas.openxmlformats.org/officeDocument/2006/relationships/hyperlink" Target="http://gofile.me/4xaew/mfQRi3QNj" TargetMode="External"/><Relationship Id="rId50" Type="http://schemas.openxmlformats.org/officeDocument/2006/relationships/hyperlink" Target="http://gofile.me/4xaew/Wzz6G1Ig6" TargetMode="External"/><Relationship Id="rId55" Type="http://schemas.openxmlformats.org/officeDocument/2006/relationships/hyperlink" Target="https://drive.google.com/file/d/1BAprzsXIxe4aKKVnQt1Y6Rl4WlbSZXlk/view?usp=drive_link" TargetMode="External"/><Relationship Id="rId76" Type="http://schemas.openxmlformats.org/officeDocument/2006/relationships/hyperlink" Target="http://gofile.me/4xaew/OgDCXuqsB" TargetMode="External"/><Relationship Id="rId97" Type="http://schemas.openxmlformats.org/officeDocument/2006/relationships/hyperlink" Target="https://drive.google.com/file/d/13GPKskpcpxR72YpI0BZqvjG6iMKqV-WO/view?usp=drive_link" TargetMode="External"/><Relationship Id="rId104" Type="http://schemas.openxmlformats.org/officeDocument/2006/relationships/hyperlink" Target="http://gofile.me/4xaew/bfSD3aCGu" TargetMode="External"/><Relationship Id="rId120" Type="http://schemas.openxmlformats.org/officeDocument/2006/relationships/hyperlink" Target="http://gofile.me/4xaew/mxdnNfq7r" TargetMode="External"/><Relationship Id="rId125" Type="http://schemas.openxmlformats.org/officeDocument/2006/relationships/hyperlink" Target="https://drive.google.com/file/d/1bArr-qaw8dJALhjiXdL8btnwCF2InGl2/view?usp=drive_link" TargetMode="External"/><Relationship Id="rId141" Type="http://schemas.openxmlformats.org/officeDocument/2006/relationships/hyperlink" Target="https://drive.google.com/file/d/15z4KuB59bRus-5KQlVjZBozP8garaQmt/view?usp=drive_link" TargetMode="External"/><Relationship Id="rId146" Type="http://schemas.openxmlformats.org/officeDocument/2006/relationships/hyperlink" Target="https://drive.google.com/file/d/12eMxhtF36YSXbt2ojt1UEgn81CojSkxb/view?usp=drive_link" TargetMode="External"/><Relationship Id="rId7" Type="http://schemas.openxmlformats.org/officeDocument/2006/relationships/hyperlink" Target="http://gofile.me/4xaew/47hymXuFU" TargetMode="External"/><Relationship Id="rId71" Type="http://schemas.openxmlformats.org/officeDocument/2006/relationships/hyperlink" Target="https://drive.google.com/file/d/1AVsNv-SEO_MQTzQ4MCquFO0gzUo-8pHR/view?usp=drive_link" TargetMode="External"/><Relationship Id="rId92" Type="http://schemas.openxmlformats.org/officeDocument/2006/relationships/hyperlink" Target="http://gofile.me/4xaew/viB9T9TlZ" TargetMode="External"/><Relationship Id="rId2" Type="http://schemas.openxmlformats.org/officeDocument/2006/relationships/hyperlink" Target="https://drive.google.com/file/d/1bEZz-QiJv6PYHNIwX6k7VN6PGVOA3scY/view?usp=drive_link" TargetMode="External"/><Relationship Id="rId29" Type="http://schemas.openxmlformats.org/officeDocument/2006/relationships/hyperlink" Target="https://drive.google.com/file/d/1E6i3CVIo7-lCls-0xwEiaqefEpGi6-Ly/view?usp=drive_link" TargetMode="External"/><Relationship Id="rId24" Type="http://schemas.openxmlformats.org/officeDocument/2006/relationships/hyperlink" Target="http://gofile.me/4xaew/KblIE5djV" TargetMode="External"/><Relationship Id="rId40" Type="http://schemas.openxmlformats.org/officeDocument/2006/relationships/hyperlink" Target="http://gofile.me/4xaew/KHD3RVfzb" TargetMode="External"/><Relationship Id="rId45" Type="http://schemas.openxmlformats.org/officeDocument/2006/relationships/hyperlink" Target="https://drive.google.com/file/d/1w9FsLgXIoqCaY2kCPfg4Yi4TgSyMFWZw/view?usp=drive_link" TargetMode="External"/><Relationship Id="rId66" Type="http://schemas.openxmlformats.org/officeDocument/2006/relationships/hyperlink" Target="http://gofile.me/4xaew/qDg1JfwDV" TargetMode="External"/><Relationship Id="rId87" Type="http://schemas.openxmlformats.org/officeDocument/2006/relationships/hyperlink" Target="https://drive.google.com/file/d/1S4N6pSmmCxDZeEPXsW2reAn1-3RMM387/view?usp=drive_link" TargetMode="External"/><Relationship Id="rId110" Type="http://schemas.openxmlformats.org/officeDocument/2006/relationships/hyperlink" Target="http://gofile.me/4xaew/mAx4dzCiK" TargetMode="External"/><Relationship Id="rId115" Type="http://schemas.openxmlformats.org/officeDocument/2006/relationships/hyperlink" Target="https://drive.google.com/file/d/1Ue5NKsdlLB-qNJwU8t0GnR1lrMAC09rY/view?usp=drive_link" TargetMode="External"/><Relationship Id="rId131" Type="http://schemas.openxmlformats.org/officeDocument/2006/relationships/hyperlink" Target="https://drive.google.com/file/d/1Ld252Ft6vyggVRN9sBxx-z6G_hoS7jVb/view?usp=drive_link" TargetMode="External"/><Relationship Id="rId136" Type="http://schemas.openxmlformats.org/officeDocument/2006/relationships/hyperlink" Target="http://gofile.me/4xaew/HilHDza2V" TargetMode="External"/><Relationship Id="rId61" Type="http://schemas.openxmlformats.org/officeDocument/2006/relationships/hyperlink" Target="https://drive.google.com/file/d/1QlRrTN43cdkMeYYIrhTHXK8Rs8W8LAXQ/view?usp=drive_link" TargetMode="External"/><Relationship Id="rId82" Type="http://schemas.openxmlformats.org/officeDocument/2006/relationships/hyperlink" Target="http://gofile.me/4xaew/iapJaJNd0" TargetMode="External"/><Relationship Id="rId19" Type="http://schemas.openxmlformats.org/officeDocument/2006/relationships/hyperlink" Target="https://drive.google.com/file/d/1sgA1UlwgbMIobm0uhoIOtSsh5d1zkIMk/view?usp=drive_link" TargetMode="External"/><Relationship Id="rId14" Type="http://schemas.openxmlformats.org/officeDocument/2006/relationships/hyperlink" Target="http://gofile.me/4xaew/WX5VE19uQ" TargetMode="External"/><Relationship Id="rId30" Type="http://schemas.openxmlformats.org/officeDocument/2006/relationships/hyperlink" Target="http://gofile.me/4xaew/DZH849gg7" TargetMode="External"/><Relationship Id="rId35" Type="http://schemas.openxmlformats.org/officeDocument/2006/relationships/hyperlink" Target="https://drive.google.com/file/d/11Kpwg5b6KD2lRSzY0HWQc7kbgmSsL5VN/view?usp=drive_link" TargetMode="External"/><Relationship Id="rId56" Type="http://schemas.openxmlformats.org/officeDocument/2006/relationships/hyperlink" Target="http://gofile.me/4xaew/BvbFvYoiI" TargetMode="External"/><Relationship Id="rId77" Type="http://schemas.openxmlformats.org/officeDocument/2006/relationships/hyperlink" Target="https://drive.google.com/file/d/11zxut4YrVQLQWcm6ZAocOL8Dx-YSgekI/view?usp=drive_link" TargetMode="External"/><Relationship Id="rId100" Type="http://schemas.openxmlformats.org/officeDocument/2006/relationships/hyperlink" Target="http://gofile.me/4xaew/kv3uucfg8" TargetMode="External"/><Relationship Id="rId105" Type="http://schemas.openxmlformats.org/officeDocument/2006/relationships/hyperlink" Target="https://drive.google.com/file/d/1cnZ2ZuXtHdGT6ywVvq6AQYixdXU4aywM/view?usp=drive_link" TargetMode="External"/><Relationship Id="rId126" Type="http://schemas.openxmlformats.org/officeDocument/2006/relationships/hyperlink" Target="http://gofile.me/4xaew/Vv9ccwWWw" TargetMode="External"/><Relationship Id="rId147" Type="http://schemas.openxmlformats.org/officeDocument/2006/relationships/hyperlink" Target="https://drive.google.com/file/d/1WRfuxaTY5Q155hw9SsA-KCaVIOIYLRa2/view?usp=drive_link" TargetMode="External"/><Relationship Id="rId8" Type="http://schemas.openxmlformats.org/officeDocument/2006/relationships/hyperlink" Target="https://drive.google.com/file/d/1-XZNRYs7kMenUI0astfB2BolhSEiYYlM/view?usp=drive_link" TargetMode="External"/><Relationship Id="rId51" Type="http://schemas.openxmlformats.org/officeDocument/2006/relationships/hyperlink" Target="https://drive.google.com/file/d/1WaXVIa53hJfGPJB7rov2fGFuJoP2F1G9/view?usp=sharing" TargetMode="External"/><Relationship Id="rId72" Type="http://schemas.openxmlformats.org/officeDocument/2006/relationships/hyperlink" Target="http://gofile.me/4xaew/7RE33wSGn" TargetMode="External"/><Relationship Id="rId93" Type="http://schemas.openxmlformats.org/officeDocument/2006/relationships/hyperlink" Target="https://drive.google.com/file/d/1tO2nvNbarHHAFVLt62db-0vWfF6JJEdm/view?usp=drive_link" TargetMode="External"/><Relationship Id="rId98" Type="http://schemas.openxmlformats.org/officeDocument/2006/relationships/hyperlink" Target="http://gofile.me/4xaew/vkdufadOD" TargetMode="External"/><Relationship Id="rId121" Type="http://schemas.openxmlformats.org/officeDocument/2006/relationships/hyperlink" Target="https://drive.google.com/file/d/17FnUcye9ulkxqic5W_3dlsm0YiWTMLKy/view?usp=drive_link" TargetMode="External"/><Relationship Id="rId142" Type="http://schemas.openxmlformats.org/officeDocument/2006/relationships/hyperlink" Target="https://drive.google.com/file/d/1PUa1AMQppGDRqcy2FTEa1jJmOLn7KM37/view?usp=drive_link" TargetMode="External"/><Relationship Id="rId3" Type="http://schemas.openxmlformats.org/officeDocument/2006/relationships/hyperlink" Target="http://gofile.me/4xaew/0GpwBgtgw" TargetMode="External"/><Relationship Id="rId25" Type="http://schemas.openxmlformats.org/officeDocument/2006/relationships/hyperlink" Target="https://drive.google.com/file/d/1HUyfZOkPSt0Hc-Kmn9IAwctGEmFYFLM4/view?usp=drive_link" TargetMode="External"/><Relationship Id="rId46" Type="http://schemas.openxmlformats.org/officeDocument/2006/relationships/hyperlink" Target="https://drive.google.com/file/d/1UYbw5hFUBCRIb1u6yJuX8uu28pogx4BF/view?usp=drive_link" TargetMode="External"/><Relationship Id="rId67" Type="http://schemas.openxmlformats.org/officeDocument/2006/relationships/hyperlink" Target="https://drive.google.com/file/d/1AIG5mMtdZhJiyr9dVk7fk6hdHuWUu-xz/view?usp=drive_link" TargetMode="External"/><Relationship Id="rId116" Type="http://schemas.openxmlformats.org/officeDocument/2006/relationships/hyperlink" Target="http://gofile.me/4xaew/ed8UX0znM" TargetMode="External"/><Relationship Id="rId137" Type="http://schemas.openxmlformats.org/officeDocument/2006/relationships/hyperlink" Target="https://drive.google.com/file/d/1cdl4JKV0Vs-s1PU9R02v_STC7eqbQyb_/view?usp=drive_link" TargetMode="External"/><Relationship Id="rId20" Type="http://schemas.openxmlformats.org/officeDocument/2006/relationships/hyperlink" Target="http://gofile.me/4xaew/4a1ebppuv" TargetMode="External"/><Relationship Id="rId41" Type="http://schemas.openxmlformats.org/officeDocument/2006/relationships/hyperlink" Target="https://drive.google.com/file/d/1g1uX2S5WVt1n2Jd63jvyfxhBnSeFZ24x/view?usp=drive_link" TargetMode="External"/><Relationship Id="rId62" Type="http://schemas.openxmlformats.org/officeDocument/2006/relationships/hyperlink" Target="http://gofile.me/4xaew/fkOBsgs6i" TargetMode="External"/><Relationship Id="rId83" Type="http://schemas.openxmlformats.org/officeDocument/2006/relationships/hyperlink" Target="https://drive.google.com/file/d/1-iKEvNVk0D3RgBG_0kWsyjbKLqet2sR5/view?usp=drive_link" TargetMode="External"/><Relationship Id="rId88" Type="http://schemas.openxmlformats.org/officeDocument/2006/relationships/hyperlink" Target="http://gofile.me/4xaew/NfIFu2rc4" TargetMode="External"/><Relationship Id="rId111" Type="http://schemas.openxmlformats.org/officeDocument/2006/relationships/hyperlink" Target="https://drive.google.com/file/d/1QoDTvwRezuV5QGwPPh8Jt0fJ_34GcSol/view?usp=drive_link" TargetMode="External"/><Relationship Id="rId132" Type="http://schemas.openxmlformats.org/officeDocument/2006/relationships/hyperlink" Target="http://gofile.me/4xaew/j251RlFtI" TargetMode="External"/><Relationship Id="rId15" Type="http://schemas.openxmlformats.org/officeDocument/2006/relationships/hyperlink" Target="https://drive.google.com/file/d/18otfkSJdMa3kK61EWa8npg4WmA1fLzZ0/view?usp=drive_link" TargetMode="External"/><Relationship Id="rId36" Type="http://schemas.openxmlformats.org/officeDocument/2006/relationships/hyperlink" Target="http://gofile.me/4xaew/0aWA4Oqv4" TargetMode="External"/><Relationship Id="rId57" Type="http://schemas.openxmlformats.org/officeDocument/2006/relationships/hyperlink" Target="https://drive.google.com/file/d/189mY9wGnHUjsfXanB2Mt2u3SjDQ8wBHT/view?usp=drive_link" TargetMode="External"/><Relationship Id="rId106" Type="http://schemas.openxmlformats.org/officeDocument/2006/relationships/hyperlink" Target="http://gofile.me/4xaew/ZVSlg4CMM" TargetMode="External"/><Relationship Id="rId127" Type="http://schemas.openxmlformats.org/officeDocument/2006/relationships/hyperlink" Target="https://drive.google.com/file/d/19ngEZfm14ukklcGHMj6bnslascnXCZw6/view?usp=drive_link" TargetMode="External"/><Relationship Id="rId10" Type="http://schemas.openxmlformats.org/officeDocument/2006/relationships/hyperlink" Target="https://drive.google.com/file/d/1d-MkmvzJiCZVewX6SFH3c6VKTi-4ZYim/view?usp=drive_link" TargetMode="External"/><Relationship Id="rId31" Type="http://schemas.openxmlformats.org/officeDocument/2006/relationships/hyperlink" Target="https://drive.google.com/file/d/1otCo4oUbjps4W_BORhL6pCduz3x7CznL/view?usp=drive_link" TargetMode="External"/><Relationship Id="rId52" Type="http://schemas.openxmlformats.org/officeDocument/2006/relationships/hyperlink" Target="http://gofile.me/4xaew/Cess7jEMG" TargetMode="External"/><Relationship Id="rId73" Type="http://schemas.openxmlformats.org/officeDocument/2006/relationships/hyperlink" Target="https://drive.google.com/file/d/1d_XgJEGO8ApOZZXjev_ZWsHJ5u8hCSSs/view?usp=drive_link" TargetMode="External"/><Relationship Id="rId78" Type="http://schemas.openxmlformats.org/officeDocument/2006/relationships/hyperlink" Target="http://gofile.me/4xaew/LHRI3nlwn" TargetMode="External"/><Relationship Id="rId94" Type="http://schemas.openxmlformats.org/officeDocument/2006/relationships/hyperlink" Target="http://gofile.me/4xaew/6MGuJW5xF" TargetMode="External"/><Relationship Id="rId99" Type="http://schemas.openxmlformats.org/officeDocument/2006/relationships/hyperlink" Target="https://drive.google.com/file/d/1pSccqTweGaXkZbkaeXMsu_PtaQ1vrJji/view?usp=drive_link" TargetMode="External"/><Relationship Id="rId101" Type="http://schemas.openxmlformats.org/officeDocument/2006/relationships/hyperlink" Target="https://drive.google.com/file/d/1YNuu4bzWvBK2W83MwgLBGy72IU7_g0pg/view?usp=drive_link" TargetMode="External"/><Relationship Id="rId122" Type="http://schemas.openxmlformats.org/officeDocument/2006/relationships/hyperlink" Target="http://gofile.me/4xaew/MWJq5kSK4" TargetMode="External"/><Relationship Id="rId143" Type="http://schemas.openxmlformats.org/officeDocument/2006/relationships/hyperlink" Target="https://drive.google.com/file/d/1n8MIx8rCUP60dNGh74dcD-qzdND7iknM/view?usp=drive_link" TargetMode="External"/><Relationship Id="rId148" Type="http://schemas.openxmlformats.org/officeDocument/2006/relationships/hyperlink" Target="https://drive.google.com/file/d/1WIWA-PujRx4-ZcapFrQd9UKwrn5Lo-rt/view?usp=drive_link" TargetMode="External"/><Relationship Id="rId4" Type="http://schemas.openxmlformats.org/officeDocument/2006/relationships/hyperlink" Target="https://drive.google.com/file/d/1Uh4MZCmr2Gdsmgx1VkWI1tbniIS5ZAbY/view?usp=drive_link" TargetMode="External"/><Relationship Id="rId9" Type="http://schemas.openxmlformats.org/officeDocument/2006/relationships/hyperlink" Target="http://gofile.me/4xaew/oqf5HSBV1" TargetMode="External"/><Relationship Id="rId26" Type="http://schemas.openxmlformats.org/officeDocument/2006/relationships/hyperlink" Target="http://gofile.me/4xaew/SgxVTHlcg" TargetMode="External"/><Relationship Id="rId47" Type="http://schemas.openxmlformats.org/officeDocument/2006/relationships/hyperlink" Target="https://drive.google.com/file/d/1YeblCXVAfljx8YHsCtBzOXpdPdqqioay/view?usp=drive_link" TargetMode="External"/><Relationship Id="rId68" Type="http://schemas.openxmlformats.org/officeDocument/2006/relationships/hyperlink" Target="http://gofile.me/4xaew/xKYH6cjhO" TargetMode="External"/><Relationship Id="rId89" Type="http://schemas.openxmlformats.org/officeDocument/2006/relationships/hyperlink" Target="https://drive.google.com/file/d/1Uqe0l1Y-3GZTvK83Knmm5ajcKJ9WPn_y/view?usp=drive_link" TargetMode="External"/><Relationship Id="rId112" Type="http://schemas.openxmlformats.org/officeDocument/2006/relationships/hyperlink" Target="http://gofile.me/4xaew/TRB8Nh7F8" TargetMode="External"/><Relationship Id="rId133" Type="http://schemas.openxmlformats.org/officeDocument/2006/relationships/hyperlink" Target="https://drive.google.com/file/d/1N0ZbHuke3IBnv-pdKX6cn1KmYLHI4n6R/view?usp=drive_link" TargetMode="External"/><Relationship Id="rId16" Type="http://schemas.openxmlformats.org/officeDocument/2006/relationships/hyperlink" Target="http://gofile.me/4xaew/aWQuuN5Oa" TargetMode="External"/><Relationship Id="rId37" Type="http://schemas.openxmlformats.org/officeDocument/2006/relationships/hyperlink" Target="https://drive.google.com/file/d/1Obe8yPZcAPK_l9o_q0cLBE2pLPLPE9yp/view?usp=drive_link" TargetMode="External"/><Relationship Id="rId58" Type="http://schemas.openxmlformats.org/officeDocument/2006/relationships/hyperlink" Target="http://gofile.me/4xaew/r5Dnu2Tg6" TargetMode="External"/><Relationship Id="rId79" Type="http://schemas.openxmlformats.org/officeDocument/2006/relationships/hyperlink" Target="https://drive.google.com/file/d/1IJb_GMO4JALsbhGmx-TZRDaiVowMlkT_/view?usp=drive_link" TargetMode="External"/><Relationship Id="rId102" Type="http://schemas.openxmlformats.org/officeDocument/2006/relationships/hyperlink" Target="http://gofile.me/4xaew/gMYgaeMaj" TargetMode="External"/><Relationship Id="rId123" Type="http://schemas.openxmlformats.org/officeDocument/2006/relationships/hyperlink" Target="https://drive.google.com/file/d/1IpZoT1ErQsptrvT1MWjbhi1aoxSYSyXi/view?usp=drive_link" TargetMode="External"/><Relationship Id="rId144" Type="http://schemas.openxmlformats.org/officeDocument/2006/relationships/hyperlink" Target="https://drive.google.com/file/d/1c6u1RsQqp5vWBkMtV4ggGXBia4iY2XvW/view?usp=drive_link" TargetMode="External"/><Relationship Id="rId90" Type="http://schemas.openxmlformats.org/officeDocument/2006/relationships/hyperlink" Target="http://gofile.me/4xaew/Txa4zeXQ6" TargetMode="External"/></Relationships>
</file>

<file path=xl/worksheets/_rels/sheet37.xml.rels><?xml version="1.0" encoding="UTF-8" standalone="yes"?>
<Relationships xmlns="http://schemas.openxmlformats.org/package/2006/relationships"><Relationship Id="rId26" Type="http://schemas.openxmlformats.org/officeDocument/2006/relationships/hyperlink" Target="https://drive.google.com/file/d/1NTttdYObjTDZW2zHI_TXcQ-DhQ4w1l64/view?usp=drive_link" TargetMode="External"/><Relationship Id="rId21" Type="http://schemas.openxmlformats.org/officeDocument/2006/relationships/hyperlink" Target="https://drive.google.com/file/d/1rktfpR_MAlPWMJel15n5MyitREz1z-Lr/view?usp=drive_link" TargetMode="External"/><Relationship Id="rId42" Type="http://schemas.openxmlformats.org/officeDocument/2006/relationships/hyperlink" Target="https://drive.google.com/file/d/1bIdRzbJKPBnKztll20-OC1UGtJaKBVQg/view?usp=drive_link" TargetMode="External"/><Relationship Id="rId47" Type="http://schemas.openxmlformats.org/officeDocument/2006/relationships/hyperlink" Target="https://drive.google.com/file/d/1EmhWq9Nh8Wb0uNm6SS7Y3499Qx0RVnxR/view?usp=drive_link" TargetMode="External"/><Relationship Id="rId63" Type="http://schemas.openxmlformats.org/officeDocument/2006/relationships/hyperlink" Target="https://drive.google.com/file/d/1D7jJi9KKLs-otY4jk7sZ9DY2bBDTB6eZ/view?usp=drive_link" TargetMode="External"/><Relationship Id="rId68" Type="http://schemas.openxmlformats.org/officeDocument/2006/relationships/hyperlink" Target="https://drive.google.com/file/d/1WViMYttZduP-qUZC_W90-gzofDnhdm6D/view?usp=drive_link" TargetMode="External"/><Relationship Id="rId84" Type="http://schemas.openxmlformats.org/officeDocument/2006/relationships/hyperlink" Target="https://drive.google.com/file/d/1nXx94ESS9DVVb_q8T9YsH6zOXv8SR0Um/view?usp=drive_link" TargetMode="External"/><Relationship Id="rId89" Type="http://schemas.openxmlformats.org/officeDocument/2006/relationships/hyperlink" Target="https://drive.google.com/file/d/188EZKljZRcFEYtk_s-xOLQG0YOQ1-ehF/view?usp=drive_link" TargetMode="External"/><Relationship Id="rId16" Type="http://schemas.openxmlformats.org/officeDocument/2006/relationships/hyperlink" Target="https://drive.google.com/file/d/1MWNlIJrkefuu2znSEqk0rEFdm0Mnl7q7/view?usp=drive_link" TargetMode="External"/><Relationship Id="rId11" Type="http://schemas.openxmlformats.org/officeDocument/2006/relationships/hyperlink" Target="https://drive.google.com/file/d/14biVWLKkMPMO7Bj6jspAz3p2sVukcvxQ/view?usp=drive_link" TargetMode="External"/><Relationship Id="rId32" Type="http://schemas.openxmlformats.org/officeDocument/2006/relationships/hyperlink" Target="https://drive.google.com/file/d/1E85Ua1TVKKzdqG7WVkw9YsPQ7J1c_Yva/view?usp=drive_link" TargetMode="External"/><Relationship Id="rId37" Type="http://schemas.openxmlformats.org/officeDocument/2006/relationships/hyperlink" Target="https://drive.google.com/file/d/1OfqyIXkU-FvafswB9OsDLi83KvgkiLW9/view?usp=drive_link" TargetMode="External"/><Relationship Id="rId53" Type="http://schemas.openxmlformats.org/officeDocument/2006/relationships/hyperlink" Target="https://drive.google.com/file/d/1_F3ezA6uNtYseWr3eChMUOV55mWLane8/view?usp=drive_link" TargetMode="External"/><Relationship Id="rId58" Type="http://schemas.openxmlformats.org/officeDocument/2006/relationships/hyperlink" Target="https://drive.google.com/file/d/1ltQaKbqQAPkHUtll79ObHu-C_OkiK_nl/view?usp=drive_link" TargetMode="External"/><Relationship Id="rId74" Type="http://schemas.openxmlformats.org/officeDocument/2006/relationships/hyperlink" Target="https://drive.google.com/file/d/1inm4r-B6a29akMgef-knALnAm6CzBQBd/view?usp=drive_link" TargetMode="External"/><Relationship Id="rId79" Type="http://schemas.openxmlformats.org/officeDocument/2006/relationships/hyperlink" Target="https://drive.google.com/file/d/1lA68MyI88z7a-6isWBL0CTYqrSZy50zt/view?usp=drive_link" TargetMode="External"/><Relationship Id="rId5" Type="http://schemas.openxmlformats.org/officeDocument/2006/relationships/hyperlink" Target="https://drive.google.com/file/d/1JAF4S_fD5Lv299MAese_Of9nkkIHsgLS/view?usp=drive_link" TargetMode="External"/><Relationship Id="rId90" Type="http://schemas.openxmlformats.org/officeDocument/2006/relationships/hyperlink" Target="https://drive.google.com/file/d/1OvVPJLQ7kJ4xgrm6wd_8gZbT3OV0A-LG/view?usp=drive_link" TargetMode="External"/><Relationship Id="rId95" Type="http://schemas.openxmlformats.org/officeDocument/2006/relationships/hyperlink" Target="https://drive.google.com/file/d/1yESjuvNCqfe61zFxWIoN9P3kWTzkbn46/view?usp=drive_link" TargetMode="External"/><Relationship Id="rId22" Type="http://schemas.openxmlformats.org/officeDocument/2006/relationships/hyperlink" Target="https://drive.google.com/file/d/1j9Z5g5QoXkTpuQ8LHE5-4on6ezZCP3wB/view?usp=drive_link" TargetMode="External"/><Relationship Id="rId27" Type="http://schemas.openxmlformats.org/officeDocument/2006/relationships/hyperlink" Target="https://drive.google.com/file/d/1KYdDthLcV2VQ6YXGlQ6DzMIAioRxeO5B/view?usp=drive_link" TargetMode="External"/><Relationship Id="rId43" Type="http://schemas.openxmlformats.org/officeDocument/2006/relationships/hyperlink" Target="https://drive.google.com/file/d/1bwbnsBgegK_LSYqaeJxjHdaFw7_GU6_E/view?usp=drive_link" TargetMode="External"/><Relationship Id="rId48" Type="http://schemas.openxmlformats.org/officeDocument/2006/relationships/hyperlink" Target="https://drive.google.com/file/d/12QCNbjBO0529EsBQRzk5n4is1q0IKsgO/view?usp=drive_link" TargetMode="External"/><Relationship Id="rId64" Type="http://schemas.openxmlformats.org/officeDocument/2006/relationships/hyperlink" Target="https://drive.google.com/file/d/1FiIx013UH2-DRw4gvTo5DRs2njAUHGN7/view?usp=drive_link" TargetMode="External"/><Relationship Id="rId69" Type="http://schemas.openxmlformats.org/officeDocument/2006/relationships/hyperlink" Target="https://drive.google.com/file/d/1N2gytlqL8t4wF3Mgk1TS3qvliC-PDrHj/view?usp=drive_link" TargetMode="External"/><Relationship Id="rId8" Type="http://schemas.openxmlformats.org/officeDocument/2006/relationships/hyperlink" Target="https://drive.google.com/file/d/1xH_CSHv9eGvVzx7xUqBHWSJ1aJt_WTsg/view?usp=drive_link" TargetMode="External"/><Relationship Id="rId51" Type="http://schemas.openxmlformats.org/officeDocument/2006/relationships/hyperlink" Target="https://drive.google.com/file/d/1CKmmKD74B_A1o0ZvRbtytrz68mCwzts-/view?usp=drive_link" TargetMode="External"/><Relationship Id="rId72" Type="http://schemas.openxmlformats.org/officeDocument/2006/relationships/hyperlink" Target="https://drive.google.com/file/d/1BofAbvFiQFvCWrLRKAl71dyIl3hRuKKl/view?usp=drive_link" TargetMode="External"/><Relationship Id="rId80" Type="http://schemas.openxmlformats.org/officeDocument/2006/relationships/hyperlink" Target="https://drive.google.com/file/d/1S4h-QUht6SKw5EHbwLwaK3_R7dezyY4m/view?usp=drive_link" TargetMode="External"/><Relationship Id="rId85" Type="http://schemas.openxmlformats.org/officeDocument/2006/relationships/hyperlink" Target="https://drive.google.com/file/d/1iYcZ_twsRk7jtd4dJzQNVEq_dOYZ--wh/view?usp=drive_link" TargetMode="External"/><Relationship Id="rId93" Type="http://schemas.openxmlformats.org/officeDocument/2006/relationships/hyperlink" Target="https://drive.google.com/file/d/1uLFfH3pkrmjEj3VZq4rg8dIiR7ZDMckv/view?usp=drive_link" TargetMode="External"/><Relationship Id="rId3" Type="http://schemas.openxmlformats.org/officeDocument/2006/relationships/hyperlink" Target="https://drive.google.com/file/d/1a3KvzGsiXvpxdcmFhZ76FNNxTZvwVZZB/view?usp=drive_link" TargetMode="External"/><Relationship Id="rId12" Type="http://schemas.openxmlformats.org/officeDocument/2006/relationships/hyperlink" Target="https://drive.google.com/file/d/1mKFGBS43Jn36pOA1fqRRXXe6cfGYzSut/view?usp=drive_link" TargetMode="External"/><Relationship Id="rId17" Type="http://schemas.openxmlformats.org/officeDocument/2006/relationships/hyperlink" Target="https://drive.google.com/file/d/1KNLGS5l6UaIcj7qVvRLx5HwbbYwgya_8/view?usp=drive_link" TargetMode="External"/><Relationship Id="rId25" Type="http://schemas.openxmlformats.org/officeDocument/2006/relationships/hyperlink" Target="https://drive.google.com/file/d/1sRgt00cu0tjxOUU_nOiSRzI7iFm222xf/view?usp=drive_link" TargetMode="External"/><Relationship Id="rId33" Type="http://schemas.openxmlformats.org/officeDocument/2006/relationships/hyperlink" Target="https://drive.google.com/file/d/1wL2UWvI7OUN1MM88y4ywjUWrkFTV68VI/view?usp=drive_link" TargetMode="External"/><Relationship Id="rId38" Type="http://schemas.openxmlformats.org/officeDocument/2006/relationships/hyperlink" Target="https://drive.google.com/file/d/1QwjGiOLMh6BsKyLEhcrThp31m1FlVy_Y/view?usp=drive_link" TargetMode="External"/><Relationship Id="rId46" Type="http://schemas.openxmlformats.org/officeDocument/2006/relationships/hyperlink" Target="https://drive.google.com/file/d/1mZ1RYuddwg75hYzNde_zFgtNKmz0RM6o/view?usp=drive_link" TargetMode="External"/><Relationship Id="rId59" Type="http://schemas.openxmlformats.org/officeDocument/2006/relationships/hyperlink" Target="https://drive.google.com/file/d/186LlUkAUZ45FcokI7DW6Ganv0k2EGgcx/view?usp=drive_link" TargetMode="External"/><Relationship Id="rId67" Type="http://schemas.openxmlformats.org/officeDocument/2006/relationships/hyperlink" Target="https://drive.google.com/file/d/1UeU1gsDSR3Y6pe6OqtZG-WnCfHbjBcQV/view?usp=drive_link" TargetMode="External"/><Relationship Id="rId20" Type="http://schemas.openxmlformats.org/officeDocument/2006/relationships/hyperlink" Target="https://drive.google.com/file/d/1jS81ix06-b8gwcXc6ZFwHtNlwm17EYxR/view?usp=drive_link" TargetMode="External"/><Relationship Id="rId41" Type="http://schemas.openxmlformats.org/officeDocument/2006/relationships/hyperlink" Target="https://drive.google.com/file/d/13YcGUnjH3_lDXkamTru96ZS8bUgNo1x_/view?usp=drive_link" TargetMode="External"/><Relationship Id="rId54" Type="http://schemas.openxmlformats.org/officeDocument/2006/relationships/hyperlink" Target="https://drive.google.com/file/d/17pHQ6-GkZlzCAE6JPDXug4FJoFjWRcJP/view?usp=drive_link" TargetMode="External"/><Relationship Id="rId62" Type="http://schemas.openxmlformats.org/officeDocument/2006/relationships/hyperlink" Target="https://drive.google.com/file/d/12k2MZp4JewviDqpv4NW2VMWmNU2jjL_J/view?usp=drive_link" TargetMode="External"/><Relationship Id="rId70" Type="http://schemas.openxmlformats.org/officeDocument/2006/relationships/hyperlink" Target="https://drive.google.com/file/d/1hJEGbmFWtuwCOwy7LRzoQrAJ6pKAX7RQ/view?usp=drive_link" TargetMode="External"/><Relationship Id="rId75" Type="http://schemas.openxmlformats.org/officeDocument/2006/relationships/hyperlink" Target="https://drive.google.com/file/d/1z0JNrF4LkxYvNJrtFtYEvNl5-0XRMg9u/view?usp=drive_link" TargetMode="External"/><Relationship Id="rId83" Type="http://schemas.openxmlformats.org/officeDocument/2006/relationships/hyperlink" Target="https://drive.google.com/file/d/1eMszYnZgDDodJ-I6-HfuWNFOp3Qf85ur/view?usp=drive_link" TargetMode="External"/><Relationship Id="rId88" Type="http://schemas.openxmlformats.org/officeDocument/2006/relationships/hyperlink" Target="https://drive.google.com/file/d/12z75X6jRFqQmeDHRizXqNRQ8_QopanlM/view?usp=drive_link" TargetMode="External"/><Relationship Id="rId91" Type="http://schemas.openxmlformats.org/officeDocument/2006/relationships/hyperlink" Target="https://drive.google.com/file/d/1WcUoon56aRlHZQ0NX9IcGnszRatrJKVg/view?usp=drive_link" TargetMode="External"/><Relationship Id="rId96" Type="http://schemas.openxmlformats.org/officeDocument/2006/relationships/hyperlink" Target="https://drive.google.com/file/d/1chjmntPpGY4QzVjoEqfvYkEuB2o9TyiF/view?usp=drive_link" TargetMode="External"/><Relationship Id="rId1" Type="http://schemas.openxmlformats.org/officeDocument/2006/relationships/hyperlink" Target="https://drive.google.com/file/d/1qXZecVVRatIRVOcbdrHlygVC1oo8JtjH/view?usp=drive_link" TargetMode="External"/><Relationship Id="rId6" Type="http://schemas.openxmlformats.org/officeDocument/2006/relationships/hyperlink" Target="https://drive.google.com/file/d/1UNMixF2ei9pkGo6mrdcDYMRBC5SiwyDT/view?usp=drive_link" TargetMode="External"/><Relationship Id="rId15" Type="http://schemas.openxmlformats.org/officeDocument/2006/relationships/hyperlink" Target="https://drive.google.com/file/d/1IE5qYAJKQdEfkIzIIsAl5jRT4IAxcQyP/view?usp=drive_link" TargetMode="External"/><Relationship Id="rId23" Type="http://schemas.openxmlformats.org/officeDocument/2006/relationships/hyperlink" Target="https://drive.google.com/file/d/1rvx7w09JeiQQsBjzYJ_9TXjhDYlah-1t/view?usp=drive_link" TargetMode="External"/><Relationship Id="rId28" Type="http://schemas.openxmlformats.org/officeDocument/2006/relationships/hyperlink" Target="https://drive.google.com/file/d/1r2G_-n9L93878eP9RoaoZPLaGknUyLhr/view?usp=drive_link" TargetMode="External"/><Relationship Id="rId36" Type="http://schemas.openxmlformats.org/officeDocument/2006/relationships/hyperlink" Target="https://drive.google.com/file/d/1N2PN0RgFc00ErgkMPvR-2bIFbsnPMsld/view?usp=drive_link" TargetMode="External"/><Relationship Id="rId49" Type="http://schemas.openxmlformats.org/officeDocument/2006/relationships/hyperlink" Target="https://drive.google.com/file/d/1PAcKTWLI0bRX6QleAU-8cV00HpFZPFty/view?usp=drive_link" TargetMode="External"/><Relationship Id="rId57" Type="http://schemas.openxmlformats.org/officeDocument/2006/relationships/hyperlink" Target="https://drive.google.com/file/d/1vJJH4icxnMpOg7KRYW1-AhioBU72FKq2/view?usp=drive_link" TargetMode="External"/><Relationship Id="rId10" Type="http://schemas.openxmlformats.org/officeDocument/2006/relationships/hyperlink" Target="https://drive.google.com/file/d/1zTywx7p6O6k1MDDOJJuoUX9EqkXp41Og/view?usp=drive_link" TargetMode="External"/><Relationship Id="rId31" Type="http://schemas.openxmlformats.org/officeDocument/2006/relationships/hyperlink" Target="https://drive.google.com/file/d/12Vff-WDDnSAClZ4UdS7fBHg5I2zRk5xn/view?usp=drive_link" TargetMode="External"/><Relationship Id="rId44" Type="http://schemas.openxmlformats.org/officeDocument/2006/relationships/hyperlink" Target="https://drive.google.com/file/d/1MgQaXfKODaDwIP_eQeLPp9HbiVCz-u0r/view?usp=drive_link" TargetMode="External"/><Relationship Id="rId52" Type="http://schemas.openxmlformats.org/officeDocument/2006/relationships/hyperlink" Target="https://drive.google.com/file/d/1PvvNSLSGrY5LETnPT8xRnzZnRPnp-uDf/view?usp=drive_link" TargetMode="External"/><Relationship Id="rId60" Type="http://schemas.openxmlformats.org/officeDocument/2006/relationships/hyperlink" Target="https://drive.google.com/file/d/1oIqba6dsaZ559Nf_5o1K92ThUCmJYdyZ/view?usp=drive_link" TargetMode="External"/><Relationship Id="rId65" Type="http://schemas.openxmlformats.org/officeDocument/2006/relationships/hyperlink" Target="https://drive.google.com/file/d/1djth_QUw-BStD2y8toktxBa4Yt4eiOsY/view?usp=drive_link" TargetMode="External"/><Relationship Id="rId73" Type="http://schemas.openxmlformats.org/officeDocument/2006/relationships/hyperlink" Target="https://drive.google.com/file/d/1IX16Bp3k2-AnvWice4m270IO-8c1UOzp/view?usp=drive_link" TargetMode="External"/><Relationship Id="rId78" Type="http://schemas.openxmlformats.org/officeDocument/2006/relationships/hyperlink" Target="https://drive.google.com/file/d/1xP7vMY5tOlR0ikJLdHq97Ndi6AAcAxzK/view?usp=drive_link" TargetMode="External"/><Relationship Id="rId81" Type="http://schemas.openxmlformats.org/officeDocument/2006/relationships/hyperlink" Target="https://drive.google.com/file/d/1YU2yg1AbKMozDjAC4JYUSChJ00rawj9G/view?usp=drive_link" TargetMode="External"/><Relationship Id="rId86" Type="http://schemas.openxmlformats.org/officeDocument/2006/relationships/hyperlink" Target="https://drive.google.com/file/d/1qEDO_iCTAD4ZPKCJLERlb3weuILQEybB/view?usp=drive_link" TargetMode="External"/><Relationship Id="rId94" Type="http://schemas.openxmlformats.org/officeDocument/2006/relationships/hyperlink" Target="https://drive.google.com/file/d/10UtBz6ZuMutse971wbPiN8cJCEUXJ7l2/view?usp=drive_link" TargetMode="External"/><Relationship Id="rId4" Type="http://schemas.openxmlformats.org/officeDocument/2006/relationships/hyperlink" Target="https://drive.google.com/file/d/1FEvNfm1KwaKDCBbD_FrUpa0rmVp2AqNk/view?usp=drive_link" TargetMode="External"/><Relationship Id="rId9" Type="http://schemas.openxmlformats.org/officeDocument/2006/relationships/hyperlink" Target="https://drive.google.com/file/d/1f6QkaC_E2H8_kM_xUFiIF-3Awp4_qd9a/view?usp=drive_link" TargetMode="External"/><Relationship Id="rId13" Type="http://schemas.openxmlformats.org/officeDocument/2006/relationships/hyperlink" Target="https://drive.google.com/file/d/1Tt9HWtrLL7Gu-qhu3hEk7NIeATmNUXkk/view?usp=drive_link" TargetMode="External"/><Relationship Id="rId18" Type="http://schemas.openxmlformats.org/officeDocument/2006/relationships/hyperlink" Target="https://drive.google.com/file/d/1iUJUV1LJYajQHYE70Kegg_ASnhWtu1Mj/view?usp=drive_link" TargetMode="External"/><Relationship Id="rId39" Type="http://schemas.openxmlformats.org/officeDocument/2006/relationships/hyperlink" Target="https://drive.google.com/file/d/1TrR9d_Ris5pljF7uUOCuu1VFeoNTGM4m/view?usp=drive_link" TargetMode="External"/><Relationship Id="rId34" Type="http://schemas.openxmlformats.org/officeDocument/2006/relationships/hyperlink" Target="https://drive.google.com/file/d/1J0w_R24jN7cavbYnbkS5JUylR3YaNXt5/view?usp=drive_link" TargetMode="External"/><Relationship Id="rId50" Type="http://schemas.openxmlformats.org/officeDocument/2006/relationships/hyperlink" Target="https://drive.google.com/file/d/1-ykRFfXwf6VleVOIobJlpKhKAPIdvskX/view?usp=drive_link" TargetMode="External"/><Relationship Id="rId55" Type="http://schemas.openxmlformats.org/officeDocument/2006/relationships/hyperlink" Target="https://drive.google.com/file/d/1TiRzPs5OSzXFYjnsLnzC0B2GtCEdTub9/view?usp=drive_link" TargetMode="External"/><Relationship Id="rId76" Type="http://schemas.openxmlformats.org/officeDocument/2006/relationships/hyperlink" Target="https://drive.google.com/file/d/1jTWop3qJXAW5ufxhiDwnkFGhVzcbiRvC/view?usp=drive_link" TargetMode="External"/><Relationship Id="rId7" Type="http://schemas.openxmlformats.org/officeDocument/2006/relationships/hyperlink" Target="https://drive.google.com/file/d/10NwUX9hI6z6u-v8h32ntia2Pm6GfMPnS/view?usp=drive_link" TargetMode="External"/><Relationship Id="rId71" Type="http://schemas.openxmlformats.org/officeDocument/2006/relationships/hyperlink" Target="https://drive.google.com/file/d/1QCaeWp1ICG3C2TTtGqBU3b9sq68u8hf5/view?usp=drive_link" TargetMode="External"/><Relationship Id="rId92" Type="http://schemas.openxmlformats.org/officeDocument/2006/relationships/hyperlink" Target="https://drive.google.com/file/d/14PriwDzJ3EJSl50oD3YYAjTFwmuvGpSp/view?usp=drive_link" TargetMode="External"/><Relationship Id="rId2" Type="http://schemas.openxmlformats.org/officeDocument/2006/relationships/hyperlink" Target="https://drive.google.com/file/d/1gjiuTXR1VNPfvrPvcpt7wv4rC9pAwsuS/view?usp=drive_link" TargetMode="External"/><Relationship Id="rId29" Type="http://schemas.openxmlformats.org/officeDocument/2006/relationships/hyperlink" Target="https://drive.google.com/file/d/1uTbMBjT2ol2trUWjjj4ZUmD3nlGyqemO/view?usp=drive_link" TargetMode="External"/><Relationship Id="rId24" Type="http://schemas.openxmlformats.org/officeDocument/2006/relationships/hyperlink" Target="https://drive.google.com/file/d/1eaxst1P47Ou8R7V_19CB3qTfx5lOhSg7/view?usp=drive_link" TargetMode="External"/><Relationship Id="rId40" Type="http://schemas.openxmlformats.org/officeDocument/2006/relationships/hyperlink" Target="https://drive.google.com/file/d/1hyZI1tuzKXMEw5k-WrNz-PzixUsW8MAu/view?usp=drive_link" TargetMode="External"/><Relationship Id="rId45" Type="http://schemas.openxmlformats.org/officeDocument/2006/relationships/hyperlink" Target="https://drive.google.com/file/d/1tGsw6P2VA1OUWHavvbsnUiPMrSVYm75i/view?usp=drive_link" TargetMode="External"/><Relationship Id="rId66" Type="http://schemas.openxmlformats.org/officeDocument/2006/relationships/hyperlink" Target="https://drive.google.com/file/d/1m0o_QJnW0gYyzIduUlylEIg0FQtxxIJF/view?usp=drive_link" TargetMode="External"/><Relationship Id="rId87" Type="http://schemas.openxmlformats.org/officeDocument/2006/relationships/hyperlink" Target="https://drive.google.com/file/d/1s16CCDmgWSzmS67JdJ6MXSpNAH96J_xf/view?usp=drive_link" TargetMode="External"/><Relationship Id="rId61" Type="http://schemas.openxmlformats.org/officeDocument/2006/relationships/hyperlink" Target="https://drive.google.com/file/d/1SF5-DgfkNfxfyWaadp88KD3IDFx1hCW7/view?usp=drive_link" TargetMode="External"/><Relationship Id="rId82" Type="http://schemas.openxmlformats.org/officeDocument/2006/relationships/hyperlink" Target="https://drive.google.com/file/d/1n-BTTivprsIE_hBKjgFEg3vhlYbGQDMq/view?usp=drive_link" TargetMode="External"/><Relationship Id="rId19" Type="http://schemas.openxmlformats.org/officeDocument/2006/relationships/hyperlink" Target="https://drive.google.com/file/d/13lWSAP7xxW9ZRkTy2mMEI50RPHVDbNg_/view?usp=drive_link" TargetMode="External"/><Relationship Id="rId14" Type="http://schemas.openxmlformats.org/officeDocument/2006/relationships/hyperlink" Target="https://drive.google.com/file/d/1ayWfPda5XnSr0bpOAIM8XqBsd_mfUqsL/view?usp=drive_link" TargetMode="External"/><Relationship Id="rId30" Type="http://schemas.openxmlformats.org/officeDocument/2006/relationships/hyperlink" Target="https://drive.google.com/file/d/1IOfGgGX05kxaboS-971lDqWoBWrYLoVA/view?usp=drive_link" TargetMode="External"/><Relationship Id="rId35" Type="http://schemas.openxmlformats.org/officeDocument/2006/relationships/hyperlink" Target="https://drive.google.com/file/d/1R0-S0SYepySM9XTNPWE0BwRz2C3uSgi5/view?usp=drive_link" TargetMode="External"/><Relationship Id="rId56" Type="http://schemas.openxmlformats.org/officeDocument/2006/relationships/hyperlink" Target="https://drive.google.com/file/d/1OGWd3lzGCWcZo2Un3G9OHDNhz4Iyqifr/view?usp=drive_link" TargetMode="External"/><Relationship Id="rId77" Type="http://schemas.openxmlformats.org/officeDocument/2006/relationships/hyperlink" Target="https://drive.google.com/file/d/1QFZrXKx5CruCL0XdE_bsjPE1Vpv6uaJd/view?usp=drive_link" TargetMode="External"/></Relationships>
</file>

<file path=xl/worksheets/_rels/sheet38.xml.rels><?xml version="1.0" encoding="UTF-8" standalone="yes"?>
<Relationships xmlns="http://schemas.openxmlformats.org/package/2006/relationships"><Relationship Id="rId26" Type="http://schemas.openxmlformats.org/officeDocument/2006/relationships/hyperlink" Target="https://drive.google.com/file/d/15Nf4OGA3si6HjQvd95bl7s7E_CkMKXz4/view?usp=drive_link" TargetMode="External"/><Relationship Id="rId21" Type="http://schemas.openxmlformats.org/officeDocument/2006/relationships/hyperlink" Target="https://drive.google.com/file/d/1oZSBp37crhBJi8ZQp9JPqDTssUs09Sdo/view?usp=drive_link" TargetMode="External"/><Relationship Id="rId42" Type="http://schemas.openxmlformats.org/officeDocument/2006/relationships/hyperlink" Target="https://drive.google.com/file/d/1fqPmeADIwuumw9jTTHh8oxeoOaYbJwD1/view?usp=drive_link" TargetMode="External"/><Relationship Id="rId47" Type="http://schemas.openxmlformats.org/officeDocument/2006/relationships/hyperlink" Target="https://drive.google.com/file/d/1PA2e0aiLuihibCYRAGTA5B7Eq8pNUZ_v/view?usp=drive_link" TargetMode="External"/><Relationship Id="rId63" Type="http://schemas.openxmlformats.org/officeDocument/2006/relationships/hyperlink" Target="https://drive.google.com/file/d/1Rjirjb8Jt9hmRZnVkpsRg85hzQpfxeAI/view?usp=drive_link" TargetMode="External"/><Relationship Id="rId68" Type="http://schemas.openxmlformats.org/officeDocument/2006/relationships/hyperlink" Target="https://drive.google.com/file/d/1nD0_lGCgGA4HFmRBj-1nuLzuFZfn9jZt/view?usp=drive_link" TargetMode="External"/><Relationship Id="rId84" Type="http://schemas.openxmlformats.org/officeDocument/2006/relationships/hyperlink" Target="https://drive.google.com/file/d/1kyXesiQ6lO2i-2vX03HYO_s20Zh-kpNz/view?usp=drive_link" TargetMode="External"/><Relationship Id="rId16" Type="http://schemas.openxmlformats.org/officeDocument/2006/relationships/hyperlink" Target="https://drive.google.com/file/d/167x5dPKI8tMSrp_bBsB5tG0r_OWhiVlM/view?usp=drive_link" TargetMode="External"/><Relationship Id="rId11" Type="http://schemas.openxmlformats.org/officeDocument/2006/relationships/hyperlink" Target="https://drive.google.com/file/d/1OlkN3xIktcnLTvdF9McoiIbW_KmjK9IQ/view?usp=drive_link" TargetMode="External"/><Relationship Id="rId32" Type="http://schemas.openxmlformats.org/officeDocument/2006/relationships/hyperlink" Target="https://drive.google.com/file/d/1LF99rImHIDdmjSke6oFwuDNrmPIzYBrh/view?usp=drive_link" TargetMode="External"/><Relationship Id="rId37" Type="http://schemas.openxmlformats.org/officeDocument/2006/relationships/hyperlink" Target="https://drive.google.com/file/d/1dmINW07Y_qnjfKeCnzTGEibMCqD_YlaO/view?usp=drive_link" TargetMode="External"/><Relationship Id="rId53" Type="http://schemas.openxmlformats.org/officeDocument/2006/relationships/hyperlink" Target="https://drive.google.com/file/d/1GuYhToDGi_61oB5fcrO2DIpf9L0SqapV/view?usp=drive_link" TargetMode="External"/><Relationship Id="rId58" Type="http://schemas.openxmlformats.org/officeDocument/2006/relationships/hyperlink" Target="https://drive.google.com/file/d/1NzYu7CSYvAcifuUA5yrcQYjIhoBA-r2H/view?usp=drive_link" TargetMode="External"/><Relationship Id="rId74" Type="http://schemas.openxmlformats.org/officeDocument/2006/relationships/hyperlink" Target="https://drive.google.com/file/d/1iIJ3Vw6l2o74_5ImCRBtxGhjHSrReJSS/view?usp=drive_link" TargetMode="External"/><Relationship Id="rId79" Type="http://schemas.openxmlformats.org/officeDocument/2006/relationships/hyperlink" Target="https://drive.google.com/file/d/16yDjmU9o3FxS2jAzfmhUd1OoPMn0bAcK/view?usp=drive_link" TargetMode="External"/><Relationship Id="rId5" Type="http://schemas.openxmlformats.org/officeDocument/2006/relationships/hyperlink" Target="https://drive.google.com/file/d/1OsKSiE4Lwf5G2xsjFVNva53WWYbEgHIq/view?usp=drive_link" TargetMode="External"/><Relationship Id="rId19" Type="http://schemas.openxmlformats.org/officeDocument/2006/relationships/hyperlink" Target="https://drive.google.com/file/d/17KAzEVevL4jRB86bkCxEzomMNgtwfpr3/view?usp=drive_link" TargetMode="External"/><Relationship Id="rId14" Type="http://schemas.openxmlformats.org/officeDocument/2006/relationships/hyperlink" Target="https://drive.google.com/file/d/1sYcBFW3wh82e3bQA96mE-S-4aywC2Fvq/view?usp=drive_link" TargetMode="External"/><Relationship Id="rId22" Type="http://schemas.openxmlformats.org/officeDocument/2006/relationships/hyperlink" Target="https://drive.google.com/file/d/1Fp18r6im77iO39EcKCP1QrH7G8vMUZuq/view?usp=drive_link" TargetMode="External"/><Relationship Id="rId27" Type="http://schemas.openxmlformats.org/officeDocument/2006/relationships/hyperlink" Target="https://drive.google.com/file/d/1zsZXcGvi0bqhydHqk8duALCZVhr4Ejpl/view?usp=drive_link" TargetMode="External"/><Relationship Id="rId30" Type="http://schemas.openxmlformats.org/officeDocument/2006/relationships/hyperlink" Target="https://drive.google.com/file/d/15StpMbymI5umQx05MrFrpDkfbB2rA13S/view?usp=drive_link" TargetMode="External"/><Relationship Id="rId35" Type="http://schemas.openxmlformats.org/officeDocument/2006/relationships/hyperlink" Target="https://drive.google.com/file/d/1SBcBG3dl0ehU2AXlHILg_tacUpSDAX4X/view?usp=drive_link" TargetMode="External"/><Relationship Id="rId43" Type="http://schemas.openxmlformats.org/officeDocument/2006/relationships/hyperlink" Target="https://drive.google.com/file/d/1XB6WQXlTqkdf21GNq89AZXNMiqgiz3g1/view?usp=drive_link" TargetMode="External"/><Relationship Id="rId48" Type="http://schemas.openxmlformats.org/officeDocument/2006/relationships/hyperlink" Target="https://drive.google.com/file/d/19y_8k2rVpNLLuIcSeJeoy-T3k2ZjNs2O/view?usp=drive_link" TargetMode="External"/><Relationship Id="rId56" Type="http://schemas.openxmlformats.org/officeDocument/2006/relationships/hyperlink" Target="https://drive.google.com/file/d/1Wgxc4-S-dIjW5PGC5QYlHMGH9RbswsDi/view?usp=drive_link" TargetMode="External"/><Relationship Id="rId64" Type="http://schemas.openxmlformats.org/officeDocument/2006/relationships/hyperlink" Target="https://drive.google.com/file/d/1DQLnaUEPjUidnWcUY7KtwBa41unyNIwr/view?usp=drive_link" TargetMode="External"/><Relationship Id="rId69" Type="http://schemas.openxmlformats.org/officeDocument/2006/relationships/hyperlink" Target="https://drive.google.com/file/d/1AUXmLx8KHr9AVBqglvZPdDLXLNF7HGzY/view?usp=drive_link" TargetMode="External"/><Relationship Id="rId77" Type="http://schemas.openxmlformats.org/officeDocument/2006/relationships/hyperlink" Target="https://drive.google.com/file/d/15virOlSr79YANd0ROK6su4TrrsX4oZKD/view?usp=drive_link" TargetMode="External"/><Relationship Id="rId8" Type="http://schemas.openxmlformats.org/officeDocument/2006/relationships/hyperlink" Target="https://drive.google.com/file/d/18vF4929LuieBHJDsb8sBRmao7VYXuaYe/view?usp=drive_link" TargetMode="External"/><Relationship Id="rId51" Type="http://schemas.openxmlformats.org/officeDocument/2006/relationships/hyperlink" Target="https://drive.google.com/file/d/1rUMKpbhdeR8BSNgqARHcoNP6rrsUmY6U/view?usp=drive_link" TargetMode="External"/><Relationship Id="rId72" Type="http://schemas.openxmlformats.org/officeDocument/2006/relationships/hyperlink" Target="https://drive.google.com/file/d/1DYRfX6aOFsyLKy3dg9uLCtm-FeYRbrDG/view?usp=drive_link" TargetMode="External"/><Relationship Id="rId80" Type="http://schemas.openxmlformats.org/officeDocument/2006/relationships/hyperlink" Target="https://drive.google.com/file/d/1SbzSzOwV0MIYrR7NDvGMDty7IEj6bUZq/view?usp=drive_link" TargetMode="External"/><Relationship Id="rId85" Type="http://schemas.openxmlformats.org/officeDocument/2006/relationships/hyperlink" Target="https://drive.google.com/file/d/1l7oB7KhCphbSTtN84IzCtNsMR2K1rfAk/view?usp=drive_link" TargetMode="External"/><Relationship Id="rId3" Type="http://schemas.openxmlformats.org/officeDocument/2006/relationships/hyperlink" Target="https://drive.google.com/file/d/1lYnfmd1c4wm8lg4-x72Aa_jB5yWOKQD3/view?usp=drive_link" TargetMode="External"/><Relationship Id="rId12" Type="http://schemas.openxmlformats.org/officeDocument/2006/relationships/hyperlink" Target="https://drive.google.com/file/d/1kwGKetao52KxY83bY46L5va6VpfNsAYA/view?usp=drive_link" TargetMode="External"/><Relationship Id="rId17" Type="http://schemas.openxmlformats.org/officeDocument/2006/relationships/hyperlink" Target="https://drive.google.com/file/d/1sV6qNZE8KsarB03YUuMfrULpkJURSceA/view?usp=drive_link" TargetMode="External"/><Relationship Id="rId25" Type="http://schemas.openxmlformats.org/officeDocument/2006/relationships/hyperlink" Target="https://drive.google.com/file/d/12yEebx2zv15Gj_GhdlV_csSM4cQlZoIK/view?usp=drive_link" TargetMode="External"/><Relationship Id="rId33" Type="http://schemas.openxmlformats.org/officeDocument/2006/relationships/hyperlink" Target="https://drive.google.com/file/d/1WyI4XZgowAgjOvJ2-wuKhYtd62Grcxc0/view?usp=drive_link" TargetMode="External"/><Relationship Id="rId38" Type="http://schemas.openxmlformats.org/officeDocument/2006/relationships/hyperlink" Target="https://drive.google.com/file/d/1mTKENAjNlu38k4f8UtRoqxHJK2Hdj4GP/view?usp=drive_link" TargetMode="External"/><Relationship Id="rId46" Type="http://schemas.openxmlformats.org/officeDocument/2006/relationships/hyperlink" Target="https://drive.google.com/file/d/1XZuKMdLSfGg3ebqLwhwRqc1N1-_EXkxw/view?usp=drive_link" TargetMode="External"/><Relationship Id="rId59" Type="http://schemas.openxmlformats.org/officeDocument/2006/relationships/hyperlink" Target="https://drive.google.com/file/d/1KV3BSrjFkW6SEeAYgCWZg4-MUMRhDqdp/view?usp=drive_link" TargetMode="External"/><Relationship Id="rId67" Type="http://schemas.openxmlformats.org/officeDocument/2006/relationships/hyperlink" Target="https://drive.google.com/file/d/1scthhQEbDpHJvap4rkl9umbu2sO2rKuP/view?usp=drive_link" TargetMode="External"/><Relationship Id="rId20" Type="http://schemas.openxmlformats.org/officeDocument/2006/relationships/hyperlink" Target="https://drive.google.com/file/d/1rz09nmHH9OzT6ySX0zGgfIOBFCuGC27_/view?usp=drive_link" TargetMode="External"/><Relationship Id="rId41" Type="http://schemas.openxmlformats.org/officeDocument/2006/relationships/hyperlink" Target="https://drive.google.com/file/d/15dDazTqOrtd9iA0FmBa2qrs8LdECfBnc/view?usp=drive_link" TargetMode="External"/><Relationship Id="rId54" Type="http://schemas.openxmlformats.org/officeDocument/2006/relationships/hyperlink" Target="https://drive.google.com/file/d/1xPUaQ7pm17Xs-sXzf3lxMSlpEwSWnYXk/view?usp=drive_link" TargetMode="External"/><Relationship Id="rId62" Type="http://schemas.openxmlformats.org/officeDocument/2006/relationships/hyperlink" Target="https://drive.google.com/file/d/1ojPOM_-JorpbmCid-igmO4bB6tlabtGW/view?usp=drive_link" TargetMode="External"/><Relationship Id="rId70" Type="http://schemas.openxmlformats.org/officeDocument/2006/relationships/hyperlink" Target="https://drive.google.com/file/d/1n0W_TwVWnp9ZtgBrjW09ZwxFoot8JUVq/view?usp=drive_link" TargetMode="External"/><Relationship Id="rId75" Type="http://schemas.openxmlformats.org/officeDocument/2006/relationships/hyperlink" Target="https://drive.google.com/file/d/1j8LxDJWXPqMdexkquYxg9dMHV3xG9MHU/view?usp=drive_link" TargetMode="External"/><Relationship Id="rId83" Type="http://schemas.openxmlformats.org/officeDocument/2006/relationships/hyperlink" Target="https://drive.google.com/file/d/1IbcTGlsebrZJxDxMop77THtWOZrr2lhJ/view?usp=drive_link" TargetMode="External"/><Relationship Id="rId1" Type="http://schemas.openxmlformats.org/officeDocument/2006/relationships/hyperlink" Target="https://drive.google.com/file/d/16L_B9hzJvZNnzGT8DeN4y-gp3tX6o_1m/view?usp=drive_link" TargetMode="External"/><Relationship Id="rId6" Type="http://schemas.openxmlformats.org/officeDocument/2006/relationships/hyperlink" Target="https://drive.google.com/file/d/19Ln4UmynQDwKHmSnMTd2xR4trFRcATu_/view?usp=drive_link" TargetMode="External"/><Relationship Id="rId15" Type="http://schemas.openxmlformats.org/officeDocument/2006/relationships/hyperlink" Target="https://drive.google.com/file/d/1XJE0BxsJ42zFNrCxYLaHnFQVOqPy3xxW/view?usp=drive_link" TargetMode="External"/><Relationship Id="rId23" Type="http://schemas.openxmlformats.org/officeDocument/2006/relationships/hyperlink" Target="https://drive.google.com/file/d/15FrBQijA3WQ75pQd-HqwqvwTM4Q_tG3_/view?usp=drive_link" TargetMode="External"/><Relationship Id="rId28" Type="http://schemas.openxmlformats.org/officeDocument/2006/relationships/hyperlink" Target="https://drive.google.com/file/d/1t9G1Xyo-rJBnQxAw0X81tJvzVwmp6rpI/view?usp=drive_link" TargetMode="External"/><Relationship Id="rId36" Type="http://schemas.openxmlformats.org/officeDocument/2006/relationships/hyperlink" Target="https://drive.google.com/file/d/1i6vNdGJrQ-e8ygYrAsozz8bTi_aBk1dG/view?usp=drive_link" TargetMode="External"/><Relationship Id="rId49" Type="http://schemas.openxmlformats.org/officeDocument/2006/relationships/hyperlink" Target="https://drive.google.com/file/d/1A3Kfd9Z42B9yCtNeKdADtdzhjmg0B68S/view?usp=drive_link" TargetMode="External"/><Relationship Id="rId57" Type="http://schemas.openxmlformats.org/officeDocument/2006/relationships/hyperlink" Target="https://drive.google.com/file/d/1xce72dLG3eIus511BG4z9yHwYZNX-9Wx/view?usp=drive_link" TargetMode="External"/><Relationship Id="rId10" Type="http://schemas.openxmlformats.org/officeDocument/2006/relationships/hyperlink" Target="https://drive.google.com/file/d/1nCuk5k1uhdUw_SYiTpn0GaXLHaRPd2ot/view?usp=drive_link" TargetMode="External"/><Relationship Id="rId31" Type="http://schemas.openxmlformats.org/officeDocument/2006/relationships/hyperlink" Target="https://drive.google.com/file/d/11BhqsOEHh5CWY-6t0B4GPvem_cevcfmi/view?usp=drive_link" TargetMode="External"/><Relationship Id="rId44" Type="http://schemas.openxmlformats.org/officeDocument/2006/relationships/hyperlink" Target="https://drive.google.com/file/d/143kXRr5Z8A4Kk1M0T0Jg5M14M6mkJaZi/view?usp=drive_link" TargetMode="External"/><Relationship Id="rId52" Type="http://schemas.openxmlformats.org/officeDocument/2006/relationships/hyperlink" Target="https://drive.google.com/file/d/1RWRJNJEra3SQ5787_FvJqbKvE4QPzEKn/view?usp=drive_link" TargetMode="External"/><Relationship Id="rId60" Type="http://schemas.openxmlformats.org/officeDocument/2006/relationships/hyperlink" Target="https://drive.google.com/file/d/15t54UoFgSJH7efGF2NPCI0nfLyinaPJj/view?usp=drive_link" TargetMode="External"/><Relationship Id="rId65" Type="http://schemas.openxmlformats.org/officeDocument/2006/relationships/hyperlink" Target="https://drive.google.com/file/d/1ipFMyVXzfw4_QLs70C8oFaKpqUJ3rLPX/view?usp=drive_link" TargetMode="External"/><Relationship Id="rId73" Type="http://schemas.openxmlformats.org/officeDocument/2006/relationships/hyperlink" Target="https://drive.google.com/file/d/18nKcg3_gPbHLXxQkJZEMUmQABGt0AGSO/view?usp=drive_link" TargetMode="External"/><Relationship Id="rId78" Type="http://schemas.openxmlformats.org/officeDocument/2006/relationships/hyperlink" Target="https://drive.google.com/file/d/1K_hltnGafpFv8gZu8-OW2JbjP6gnDq4-/view?usp=drive_link" TargetMode="External"/><Relationship Id="rId81" Type="http://schemas.openxmlformats.org/officeDocument/2006/relationships/hyperlink" Target="https://drive.google.com/file/d/1_0N_BtTzO10z1modQ3EDEInwQ-t-1HUg/view?usp=drive_link" TargetMode="External"/><Relationship Id="rId4" Type="http://schemas.openxmlformats.org/officeDocument/2006/relationships/hyperlink" Target="https://drive.google.com/file/d/1uZxXjaUbcQfv0LPBlh67-aUBk84WfR2S/view?usp=drive_link" TargetMode="External"/><Relationship Id="rId9" Type="http://schemas.openxmlformats.org/officeDocument/2006/relationships/hyperlink" Target="https://drive.google.com/file/d/1iS7BIrodUXaEOBthjWtgFSHwQVZLnV46/view?usp=drive_link" TargetMode="External"/><Relationship Id="rId13" Type="http://schemas.openxmlformats.org/officeDocument/2006/relationships/hyperlink" Target="https://drive.google.com/file/d/19UsM9_vcRnZkrm_bH90Mp8mAAWMrmfeZ/view?usp=drive_link" TargetMode="External"/><Relationship Id="rId18" Type="http://schemas.openxmlformats.org/officeDocument/2006/relationships/hyperlink" Target="https://drive.google.com/file/d/1LpWxlOQ--2HmFblwz210PHvjDR8q0rve/view?usp=drive_link" TargetMode="External"/><Relationship Id="rId39" Type="http://schemas.openxmlformats.org/officeDocument/2006/relationships/hyperlink" Target="https://drive.google.com/file/d/1bxJfLGUyhwiJmY_CkaoGHMba0INUsSdG/view?usp=drive_link" TargetMode="External"/><Relationship Id="rId34" Type="http://schemas.openxmlformats.org/officeDocument/2006/relationships/hyperlink" Target="https://drive.google.com/file/d/1dKU6o9oEU5kltgvHiuc0rSdic05y_VmS/view?usp=drive_link" TargetMode="External"/><Relationship Id="rId50" Type="http://schemas.openxmlformats.org/officeDocument/2006/relationships/hyperlink" Target="https://drive.google.com/file/d/1lElJT1BBDnfl7Vdzkj7EcIR0RYczhJmK/view?usp=drive_link" TargetMode="External"/><Relationship Id="rId55" Type="http://schemas.openxmlformats.org/officeDocument/2006/relationships/hyperlink" Target="https://drive.google.com/file/d/1lkH3MFVwQy6uG8bWqTr7n2LzobttkMsi/view?usp=drive_link" TargetMode="External"/><Relationship Id="rId76" Type="http://schemas.openxmlformats.org/officeDocument/2006/relationships/hyperlink" Target="https://drive.google.com/file/d/1mdDPONWjSAn9sCfxbfV8yOp7vgfPfmYJ/view?usp=drive_link" TargetMode="External"/><Relationship Id="rId7" Type="http://schemas.openxmlformats.org/officeDocument/2006/relationships/hyperlink" Target="https://drive.google.com/file/d/1j01JqfpknxONWlLuFB_kHngNLfjRXZ1n/view?usp=drive_link" TargetMode="External"/><Relationship Id="rId71" Type="http://schemas.openxmlformats.org/officeDocument/2006/relationships/hyperlink" Target="https://drive.google.com/file/d/1R1eVnf17ezE0LIqADzWcBK2U3SIhkkx4/view?usp=drive_link" TargetMode="External"/><Relationship Id="rId2" Type="http://schemas.openxmlformats.org/officeDocument/2006/relationships/hyperlink" Target="https://drive.google.com/file/d/1KMDqPqFGd5CTvWFiJLHzmXahdgUovVyz/view?usp=drive_link" TargetMode="External"/><Relationship Id="rId29" Type="http://schemas.openxmlformats.org/officeDocument/2006/relationships/hyperlink" Target="https://drive.google.com/file/d/1QSmy-em7RWpUmHh4dS9k8SkGs6x1jmcD/view?usp=drive_link" TargetMode="External"/><Relationship Id="rId24" Type="http://schemas.openxmlformats.org/officeDocument/2006/relationships/hyperlink" Target="https://drive.google.com/file/d/1luiO0dD8Fct7f1MtYH4afJWpIlC_uoWl/view?usp=drive_link" TargetMode="External"/><Relationship Id="rId40" Type="http://schemas.openxmlformats.org/officeDocument/2006/relationships/hyperlink" Target="https://drive.google.com/file/d/1EAMu_YdNfcH-Ga-OreP_RzmXk9I9WoPx/view?usp=drive_link" TargetMode="External"/><Relationship Id="rId45" Type="http://schemas.openxmlformats.org/officeDocument/2006/relationships/hyperlink" Target="https://drive.google.com/file/d/1vjOiLnM0S35GaxkH3q4wGn5U6vge-NmR/view?usp=drive_link" TargetMode="External"/><Relationship Id="rId66" Type="http://schemas.openxmlformats.org/officeDocument/2006/relationships/hyperlink" Target="https://drive.google.com/file/d/1pXCvYi6feglKUDI8gGzCr3f1oi1TdPPZ/view?usp=drive_link" TargetMode="External"/><Relationship Id="rId61" Type="http://schemas.openxmlformats.org/officeDocument/2006/relationships/hyperlink" Target="https://drive.google.com/file/d/1oK662uPcrtPd3gijevdRjtq4QNw4KW9w/view?usp=drive_link" TargetMode="External"/><Relationship Id="rId82" Type="http://schemas.openxmlformats.org/officeDocument/2006/relationships/hyperlink" Target="https://drive.google.com/file/d/1nbB70SlYPRwD3bMkFHSWGqqxB-Iq5ysb/view?usp=drive_link"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s://drive.google.com/file/d/1ZTttDIMGMLSjXtLXF-7wiOU_jTR_W3Jq/view?usp=drive_link" TargetMode="External"/><Relationship Id="rId2" Type="http://schemas.openxmlformats.org/officeDocument/2006/relationships/hyperlink" Target="https://drive.google.com/file/d/1OQcZ2ywdk8D3bu-2oVAlhjfl2BfTDhex/view?usp=drive_link" TargetMode="External"/><Relationship Id="rId1" Type="http://schemas.openxmlformats.org/officeDocument/2006/relationships/hyperlink" Target="https://drive.google.com/file/d/1t5Ey9YfrIn7zHHdPMNyPNNB9O-DvDPxr/view?usp=drive_link" TargetMode="External"/><Relationship Id="rId6" Type="http://schemas.openxmlformats.org/officeDocument/2006/relationships/hyperlink" Target="https://drive.google.com/file/d/19zZCOsaxgmnuLBMRTa7qm3JhEb06EpvM/view?usp=drive_link" TargetMode="External"/><Relationship Id="rId5" Type="http://schemas.openxmlformats.org/officeDocument/2006/relationships/hyperlink" Target="https://drive.google.com/file/d/1nBZ1jxkuMTUKNAXcnQ-lf3hrMbsQ5yT2/view?usp=drive_link" TargetMode="External"/><Relationship Id="rId4" Type="http://schemas.openxmlformats.org/officeDocument/2006/relationships/hyperlink" Target="https://drive.google.com/file/d/1pfeolUpKnCILyw1AyQSETutHw6_HWQWR/view?usp=drive_link" TargetMode="External"/></Relationships>
</file>

<file path=xl/worksheets/_rels/sheet41.xml.rels><?xml version="1.0" encoding="UTF-8" standalone="yes"?>
<Relationships xmlns="http://schemas.openxmlformats.org/package/2006/relationships"><Relationship Id="rId117" Type="http://schemas.openxmlformats.org/officeDocument/2006/relationships/hyperlink" Target="http://gofile.me/4xaew/Gxio4V81f" TargetMode="External"/><Relationship Id="rId21" Type="http://schemas.openxmlformats.org/officeDocument/2006/relationships/hyperlink" Target="http://gofile.me/4xaew/AZD62GfAL" TargetMode="External"/><Relationship Id="rId63" Type="http://schemas.openxmlformats.org/officeDocument/2006/relationships/hyperlink" Target="http://gofile.me/4xaew/NSJwwjwln" TargetMode="External"/><Relationship Id="rId159" Type="http://schemas.openxmlformats.org/officeDocument/2006/relationships/hyperlink" Target="https://drive.google.com/drive/folders/1526w1eR63SS_p-0nrPMLNWuY-l57DjKu?fbclid=IwAR0sHr_Ud9eOP7_1sgGKE4LJZzlUFVAoOXSXDRrhguvwhXzWHt5euwg7iPk" TargetMode="External"/><Relationship Id="rId170" Type="http://schemas.openxmlformats.org/officeDocument/2006/relationships/hyperlink" Target="https://drive.google.com/drive/folders/1526w1eR63SS_p-0nrPMLNWuY-l57DjKu?fbclid=IwAR0sHr_Ud9eOP7_1sgGKE4LJZzlUFVAoOXSXDRrhguvwhXzWHt5euwg7iPk" TargetMode="External"/><Relationship Id="rId191" Type="http://schemas.openxmlformats.org/officeDocument/2006/relationships/hyperlink" Target="https://drive.google.com/drive/folders/1yOTxApu38-QOsM5UvTUlOUFWRlCvvuCw?fbclid=IwAR0sHr_Ud9eOP7_1sgGKE4LJZzlUFVAoOXSXDRrhguvwhXzWHt5euwg7iPk" TargetMode="External"/><Relationship Id="rId205" Type="http://schemas.openxmlformats.org/officeDocument/2006/relationships/hyperlink" Target="http://gofile.me/4xaew/OzATTiQZ8" TargetMode="External"/><Relationship Id="rId226" Type="http://schemas.openxmlformats.org/officeDocument/2006/relationships/hyperlink" Target="http://gofile.me/4xaew/YVpi4tUdJ" TargetMode="External"/><Relationship Id="rId247" Type="http://schemas.openxmlformats.org/officeDocument/2006/relationships/hyperlink" Target="http://gofile.me/4xaew/P29lFIpXP" TargetMode="External"/><Relationship Id="rId107" Type="http://schemas.openxmlformats.org/officeDocument/2006/relationships/hyperlink" Target="http://gofile.me/4xaew/T1oPwqbC0" TargetMode="External"/><Relationship Id="rId11" Type="http://schemas.openxmlformats.org/officeDocument/2006/relationships/hyperlink" Target="http://gofile.me/4xaew/bxkNTWqod" TargetMode="External"/><Relationship Id="rId32" Type="http://schemas.openxmlformats.org/officeDocument/2006/relationships/hyperlink" Target="https://drive.google.com/file/d/13HtBQkpQjT8nElD301zYR3TOgQDVJl3X/view?usp=share_link" TargetMode="External"/><Relationship Id="rId53" Type="http://schemas.openxmlformats.org/officeDocument/2006/relationships/hyperlink" Target="http://gofile.me/4xaew/geMyPRsTw" TargetMode="External"/><Relationship Id="rId74" Type="http://schemas.openxmlformats.org/officeDocument/2006/relationships/hyperlink" Target="http://gofile.me/4xaew/4px7A5Eji" TargetMode="External"/><Relationship Id="rId128" Type="http://schemas.openxmlformats.org/officeDocument/2006/relationships/hyperlink" Target="https://drive.google.com/file/d/1aV9DO7oN2HiZx_9UjqGRDlQfZgTIDtYd/view?usp=share_link" TargetMode="External"/><Relationship Id="rId149" Type="http://schemas.openxmlformats.org/officeDocument/2006/relationships/hyperlink" Target="https://drive.google.com/drive/folders/1IqItPoN9Kj2D6EBLtI7sZjZIseEdjI7j?fbclid=IwAR0sHr_Ud9eOP7_1sgGKE4LJZzlUFVAoOXSXDRrhguvwhXzWHt5euwg7iPk" TargetMode="External"/><Relationship Id="rId5" Type="http://schemas.openxmlformats.org/officeDocument/2006/relationships/hyperlink" Target="https://docs.google.com/document/d/1Qkv65DnUkfiGv4tBMWbGN4d_qhjLSHxU/edit?usp=share_link&amp;ouid=108396888121477022776&amp;rtpof=true&amp;sd=true" TargetMode="External"/><Relationship Id="rId95" Type="http://schemas.openxmlformats.org/officeDocument/2006/relationships/hyperlink" Target="http://gofile.me/4xaew/akRQ8vyRw" TargetMode="External"/><Relationship Id="rId160" Type="http://schemas.openxmlformats.org/officeDocument/2006/relationships/hyperlink" Target="https://drive.google.com/drive/folders/1526w1eR63SS_p-0nrPMLNWuY-l57DjKu?fbclid=IwAR0sHr_Ud9eOP7_1sgGKE4LJZzlUFVAoOXSXDRrhguvwhXzWHt5euwg7iPk" TargetMode="External"/><Relationship Id="rId181" Type="http://schemas.openxmlformats.org/officeDocument/2006/relationships/hyperlink" Target="https://drive.google.com/drive/folders/1f33qk28egqMQEf9BMfm9oOPEOn9OcL-k?fbclid=IwAR0sHr_Ud9eOP7_1sgGKE4LJZzlUFVAoOXSXDRrhguvwhXzWHt5euwg7iPk" TargetMode="External"/><Relationship Id="rId216" Type="http://schemas.openxmlformats.org/officeDocument/2006/relationships/hyperlink" Target="http://gofile.me/4xaew/g8uJinBDd" TargetMode="External"/><Relationship Id="rId237" Type="http://schemas.openxmlformats.org/officeDocument/2006/relationships/hyperlink" Target="http://gofile.me/4xaew/SPTj4sav2" TargetMode="External"/><Relationship Id="rId258" Type="http://schemas.openxmlformats.org/officeDocument/2006/relationships/hyperlink" Target="http://gofile.me/4xaew/sKaGBlKrS" TargetMode="External"/><Relationship Id="rId22" Type="http://schemas.openxmlformats.org/officeDocument/2006/relationships/hyperlink" Target="https://drive.google.com/file/d/1OYQmyw4kzKoB0GRvlTGAuzXMrR-RevjZ/view?usp=share_link" TargetMode="External"/><Relationship Id="rId43" Type="http://schemas.openxmlformats.org/officeDocument/2006/relationships/hyperlink" Target="https://docs.google.com/presentation/d/1znZMXjVXRvBNBTjyBYZUHrNXNuJavGH8/edit?usp=share_link&amp;ouid=108396888121477022776&amp;rtpof=true&amp;sd=true" TargetMode="External"/><Relationship Id="rId64" Type="http://schemas.openxmlformats.org/officeDocument/2006/relationships/hyperlink" Target="http://gofile.me/4xaew/YlSGerLCp" TargetMode="External"/><Relationship Id="rId118" Type="http://schemas.openxmlformats.org/officeDocument/2006/relationships/hyperlink" Target="http://gofile.me/4xaew/snkQtTUTn" TargetMode="External"/><Relationship Id="rId139" Type="http://schemas.openxmlformats.org/officeDocument/2006/relationships/hyperlink" Target="http://gofile.me/4xaew/HjUvAIzDr" TargetMode="External"/><Relationship Id="rId85" Type="http://schemas.openxmlformats.org/officeDocument/2006/relationships/hyperlink" Target="http://gofile.me/4xaew/WLiWXZJSL" TargetMode="External"/><Relationship Id="rId150" Type="http://schemas.openxmlformats.org/officeDocument/2006/relationships/hyperlink" Target="https://drive.google.com/drive/folders/16N_QWTqz4PSZtbj2A_pq_pygCFTUgr2E?fbclid=IwAR0sHr_Ud9eOP7_1sgGKE4LJZzlUFVAoOXSXDRrhguvwhXzWHt5euwg7iPk" TargetMode="External"/><Relationship Id="rId171" Type="http://schemas.openxmlformats.org/officeDocument/2006/relationships/hyperlink" Target="https://drive.google.com/drive/folders/1S71cFrHAY75k4zTHWwPpNk33WvpYFApQ?fbclid=IwAR0sHr_Ud9eOP7_1sgGKE4LJZzlUFVAoOXSXDRrhguvwhXzWHt5euwg7iPk" TargetMode="External"/><Relationship Id="rId192" Type="http://schemas.openxmlformats.org/officeDocument/2006/relationships/hyperlink" Target="https://drive.google.com/drive/folders/1yOTxApu38-QOsM5UvTUlOUFWRlCvvuCw?fbclid=IwAR0sHr_Ud9eOP7_1sgGKE4LJZzlUFVAoOXSXDRrhguvwhXzWHt5euwg7iPk" TargetMode="External"/><Relationship Id="rId206" Type="http://schemas.openxmlformats.org/officeDocument/2006/relationships/hyperlink" Target="http://gofile.me/4xaew/T31fgtZYr" TargetMode="External"/><Relationship Id="rId227" Type="http://schemas.openxmlformats.org/officeDocument/2006/relationships/hyperlink" Target="http://gofile.me/4xaew/uy3nSulV4" TargetMode="External"/><Relationship Id="rId248" Type="http://schemas.openxmlformats.org/officeDocument/2006/relationships/hyperlink" Target="http://gofile.me/4xaew/N9e4fFods" TargetMode="External"/><Relationship Id="rId12" Type="http://schemas.openxmlformats.org/officeDocument/2006/relationships/hyperlink" Target="http://gofile.me/4xaew/tvJkDnKsL" TargetMode="External"/><Relationship Id="rId33" Type="http://schemas.openxmlformats.org/officeDocument/2006/relationships/hyperlink" Target="http://gofile.me/4xaew/nyshimZbc" TargetMode="External"/><Relationship Id="rId108" Type="http://schemas.openxmlformats.org/officeDocument/2006/relationships/hyperlink" Target="http://gofile.me/4xaew/RjIQDDRSW" TargetMode="External"/><Relationship Id="rId129" Type="http://schemas.openxmlformats.org/officeDocument/2006/relationships/hyperlink" Target="http://gofile.me/4xaew/5fXSQjnbL" TargetMode="External"/><Relationship Id="rId54" Type="http://schemas.openxmlformats.org/officeDocument/2006/relationships/hyperlink" Target="https://drive.google.com/file/d/1D1srn3ljvi0fXZxJOOz1idi1WRXs2oHR/view?usp=share_link" TargetMode="External"/><Relationship Id="rId75" Type="http://schemas.openxmlformats.org/officeDocument/2006/relationships/hyperlink" Target="http://gofile.me/4xaew/4px7A5Eji" TargetMode="External"/><Relationship Id="rId96" Type="http://schemas.openxmlformats.org/officeDocument/2006/relationships/hyperlink" Target="http://gofile.me/4xaew/3Zj43dagQ" TargetMode="External"/><Relationship Id="rId140" Type="http://schemas.openxmlformats.org/officeDocument/2006/relationships/hyperlink" Target="https://drive.google.com/file/d/1UGYfjiZa72NaG6Go9ZUdENGAne7wKD1L/view?usp=share_link" TargetMode="External"/><Relationship Id="rId161" Type="http://schemas.openxmlformats.org/officeDocument/2006/relationships/hyperlink" Target="https://drive.google.com/drive/folders/1526w1eR63SS_p-0nrPMLNWuY-l57DjKu?fbclid=IwAR0sHr_Ud9eOP7_1sgGKE4LJZzlUFVAoOXSXDRrhguvwhXzWHt5euwg7iPk" TargetMode="External"/><Relationship Id="rId182" Type="http://schemas.openxmlformats.org/officeDocument/2006/relationships/hyperlink" Target="https://drive.google.com/drive/folders/1f33qk28egqMQEf9BMfm9oOPEOn9OcL-k?fbclid=IwAR0sHr_Ud9eOP7_1sgGKE4LJZzlUFVAoOXSXDRrhguvwhXzWHt5euwg7iPk" TargetMode="External"/><Relationship Id="rId217" Type="http://schemas.openxmlformats.org/officeDocument/2006/relationships/hyperlink" Target="http://gofile.me/4xaew/QpUxi6am0" TargetMode="External"/><Relationship Id="rId6" Type="http://schemas.openxmlformats.org/officeDocument/2006/relationships/hyperlink" Target="http://gofile.me/4xaew/4FgvmJQ7d" TargetMode="External"/><Relationship Id="rId238" Type="http://schemas.openxmlformats.org/officeDocument/2006/relationships/hyperlink" Target="http://gofile.me/4xaew/1EVGZfI7S" TargetMode="External"/><Relationship Id="rId259" Type="http://schemas.openxmlformats.org/officeDocument/2006/relationships/hyperlink" Target="http://gofile.me/4xaew/UEX30iQG1" TargetMode="External"/><Relationship Id="rId23" Type="http://schemas.openxmlformats.org/officeDocument/2006/relationships/hyperlink" Target="http://gofile.me/4xaew/nJXbhrghe" TargetMode="External"/><Relationship Id="rId119" Type="http://schemas.openxmlformats.org/officeDocument/2006/relationships/hyperlink" Target="https://drive.google.com/drive/folders/1n-PSGn8y6Io9Pf_08hiRlM1TI6acxTc0?usp=share_link" TargetMode="External"/><Relationship Id="rId44" Type="http://schemas.openxmlformats.org/officeDocument/2006/relationships/hyperlink" Target="http://gofile.me/4xaew/dz6iFNePq" TargetMode="External"/><Relationship Id="rId65" Type="http://schemas.openxmlformats.org/officeDocument/2006/relationships/hyperlink" Target="http://gofile.me/4xaew/fs1isbibh" TargetMode="External"/><Relationship Id="rId86" Type="http://schemas.openxmlformats.org/officeDocument/2006/relationships/hyperlink" Target="http://gofile.me/4xaew/BMI0Q9gpU" TargetMode="External"/><Relationship Id="rId130" Type="http://schemas.openxmlformats.org/officeDocument/2006/relationships/hyperlink" Target="http://gofile.me/4xaew/FX6dtuJWr" TargetMode="External"/><Relationship Id="rId151" Type="http://schemas.openxmlformats.org/officeDocument/2006/relationships/hyperlink" Target="https://drive.google.com/drive/folders/10lI141ylMzB4AnJdqf20ViGH6xw5RVIc?fbclid=IwAR0sHr_Ud9eOP7_1sgGKE4LJZzlUFVAoOXSXDRrhguvwhXzWHt5euwg7iPk" TargetMode="External"/><Relationship Id="rId172" Type="http://schemas.openxmlformats.org/officeDocument/2006/relationships/hyperlink" Target="https://drive.google.com/drive/folders/1S71cFrHAY75k4zTHWwPpNk33WvpYFApQ?fbclid=IwAR0sHr_Ud9eOP7_1sgGKE4LJZzlUFVAoOXSXDRrhguvwhXzWHt5euwg7iPk" TargetMode="External"/><Relationship Id="rId193" Type="http://schemas.openxmlformats.org/officeDocument/2006/relationships/hyperlink" Target="http://gofile.me/4xaew/fcDt7SjmL" TargetMode="External"/><Relationship Id="rId207" Type="http://schemas.openxmlformats.org/officeDocument/2006/relationships/hyperlink" Target="http://gofile.me/4xaew/qQqAGKqgC" TargetMode="External"/><Relationship Id="rId228" Type="http://schemas.openxmlformats.org/officeDocument/2006/relationships/hyperlink" Target="http://gofile.me/4xaew/T80UjLqyb" TargetMode="External"/><Relationship Id="rId249" Type="http://schemas.openxmlformats.org/officeDocument/2006/relationships/hyperlink" Target="http://gofile.me/4xaew/2UysDd699" TargetMode="External"/><Relationship Id="rId13" Type="http://schemas.openxmlformats.org/officeDocument/2006/relationships/hyperlink" Target="http://gofile.me/4xaew/8Tq6hmYn8" TargetMode="External"/><Relationship Id="rId109" Type="http://schemas.openxmlformats.org/officeDocument/2006/relationships/hyperlink" Target="http://gofile.me/4xaew/I0r6ibWq8" TargetMode="External"/><Relationship Id="rId260" Type="http://schemas.openxmlformats.org/officeDocument/2006/relationships/hyperlink" Target="http://gofile.me/4xaew/H6Amdezp0" TargetMode="External"/><Relationship Id="rId34" Type="http://schemas.openxmlformats.org/officeDocument/2006/relationships/hyperlink" Target="https://drive.google.com/file/d/10__WTGX8aKfRbdN6kgys0eBUTIocdftm/view?usp=share_link" TargetMode="External"/><Relationship Id="rId55" Type="http://schemas.openxmlformats.org/officeDocument/2006/relationships/hyperlink" Target="http://gofile.me/4xaew/CI4xGheKx" TargetMode="External"/><Relationship Id="rId76" Type="http://schemas.openxmlformats.org/officeDocument/2006/relationships/hyperlink" Target="http://gofile.me/4xaew/AammMhrQr" TargetMode="External"/><Relationship Id="rId97" Type="http://schemas.openxmlformats.org/officeDocument/2006/relationships/hyperlink" Target="http://gofile.me/4xaew/Q9qezXvbb" TargetMode="External"/><Relationship Id="rId120" Type="http://schemas.openxmlformats.org/officeDocument/2006/relationships/hyperlink" Target="https://docs.google.com/presentation/d/1M9Qh5YFzGASV4GufTIovqSlwhMcyEywc/edit?usp=share_link&amp;ouid=108396888121477022776&amp;rtpof=true&amp;sd=true" TargetMode="External"/><Relationship Id="rId141" Type="http://schemas.openxmlformats.org/officeDocument/2006/relationships/hyperlink" Target="https://drive.google.com/file/d/1A14RvMVjWLTKXnhr61ebnIkCoxqrcV_l/view?usp=share_link" TargetMode="External"/><Relationship Id="rId7" Type="http://schemas.openxmlformats.org/officeDocument/2006/relationships/hyperlink" Target="https://docs.google.com/document/d/1noqr8VLpQDVMIZmEo47szAAL0rBcMp5-/edit?usp=share_link&amp;ouid=108396888121477022776&amp;rtpof=true&amp;sd=true" TargetMode="External"/><Relationship Id="rId162" Type="http://schemas.openxmlformats.org/officeDocument/2006/relationships/hyperlink" Target="https://drive.google.com/file/d/1M8m7bFv7tdj1EWupGANJrOJ8TWUhw8gU/view?usp=sharing" TargetMode="External"/><Relationship Id="rId183" Type="http://schemas.openxmlformats.org/officeDocument/2006/relationships/hyperlink" Target="https://drive.google.com/drive/folders/1f33qk28egqMQEf9BMfm9oOPEOn9OcL-k?fbclid=IwAR0sHr_Ud9eOP7_1sgGKE4LJZzlUFVAoOXSXDRrhguvwhXzWHt5euwg7iPk" TargetMode="External"/><Relationship Id="rId218" Type="http://schemas.openxmlformats.org/officeDocument/2006/relationships/hyperlink" Target="http://gofile.me/4xaew/h5tXOfD0a" TargetMode="External"/><Relationship Id="rId239" Type="http://schemas.openxmlformats.org/officeDocument/2006/relationships/hyperlink" Target="http://gofile.me/4xaew/2eF8a8u2t" TargetMode="External"/><Relationship Id="rId250" Type="http://schemas.openxmlformats.org/officeDocument/2006/relationships/hyperlink" Target="http://gofile.me/4xaew/gU538FtX3" TargetMode="External"/><Relationship Id="rId24" Type="http://schemas.openxmlformats.org/officeDocument/2006/relationships/hyperlink" Target="https://drive.google.com/file/d/1sT9NGoPg7mhF9vNjnMSNE17F_KKLNxpk/view?usp=share_link" TargetMode="External"/><Relationship Id="rId45" Type="http://schemas.openxmlformats.org/officeDocument/2006/relationships/hyperlink" Target="https://drive.google.com/file/d/1sxlMlwlpdQGTbpGtukZuMya5ATS1eiPL/view?usp=share_link" TargetMode="External"/><Relationship Id="rId66" Type="http://schemas.openxmlformats.org/officeDocument/2006/relationships/hyperlink" Target="https://drive.google.com/file/d/1D8TdMQp9BS83-ubV88x2hvgFBtdowh1h/view?usp=share_link" TargetMode="External"/><Relationship Id="rId87" Type="http://schemas.openxmlformats.org/officeDocument/2006/relationships/hyperlink" Target="http://gofile.me/4xaew/47xpLjHMw" TargetMode="External"/><Relationship Id="rId110" Type="http://schemas.openxmlformats.org/officeDocument/2006/relationships/hyperlink" Target="http://gofile.me/4xaew/pMggvoYBu" TargetMode="External"/><Relationship Id="rId131" Type="http://schemas.openxmlformats.org/officeDocument/2006/relationships/hyperlink" Target="http://gofile.me/4xaew/x5DkxZtwv" TargetMode="External"/><Relationship Id="rId152" Type="http://schemas.openxmlformats.org/officeDocument/2006/relationships/hyperlink" Target="https://drive.google.com/drive/folders/1Dwm_boc3TA2_W500hVj0kRWsE0xiPuUx?fbclid=IwAR0sHr_Ud9eOP7_1sgGKE4LJZzlUFVAoOXSXDRrhguvwhXzWHt5euwg7iPk" TargetMode="External"/><Relationship Id="rId173" Type="http://schemas.openxmlformats.org/officeDocument/2006/relationships/hyperlink" Target="https://drive.google.com/drive/folders/1A_jrIBUSAuHvPa4MUDnilt6gGPxLCw8N?fbclid=IwAR0sHr_Ud9eOP7_1sgGKE4LJZzlUFVAoOXSXDRrhguvwhXzWHt5euwg7iPk" TargetMode="External"/><Relationship Id="rId194" Type="http://schemas.openxmlformats.org/officeDocument/2006/relationships/hyperlink" Target="http://gofile.me/4xaew/R2gJ4VcUc" TargetMode="External"/><Relationship Id="rId208" Type="http://schemas.openxmlformats.org/officeDocument/2006/relationships/hyperlink" Target="http://gofile.me/4xaew/pF17D9y5T" TargetMode="External"/><Relationship Id="rId229" Type="http://schemas.openxmlformats.org/officeDocument/2006/relationships/hyperlink" Target="http://gofile.me/4xaew/Yjme5JcPx" TargetMode="External"/><Relationship Id="rId240" Type="http://schemas.openxmlformats.org/officeDocument/2006/relationships/hyperlink" Target="http://gofile.me/4xaew/Blz42HXYJ" TargetMode="External"/><Relationship Id="rId261" Type="http://schemas.openxmlformats.org/officeDocument/2006/relationships/hyperlink" Target="http://gofile.me/4xaew/bylHm6zJ9" TargetMode="External"/><Relationship Id="rId14" Type="http://schemas.openxmlformats.org/officeDocument/2006/relationships/hyperlink" Target="https://drive.google.com/file/d/1ijOiC8yxqiDBjnTxBAEDm-mCbxMTq1cy/view?usp=share_link" TargetMode="External"/><Relationship Id="rId35" Type="http://schemas.openxmlformats.org/officeDocument/2006/relationships/hyperlink" Target="http://gofile.me/4xaew/EXmKqCL5x" TargetMode="External"/><Relationship Id="rId56" Type="http://schemas.openxmlformats.org/officeDocument/2006/relationships/hyperlink" Target="http://gofile.me/4xaew/B0uizvMXd" TargetMode="External"/><Relationship Id="rId77" Type="http://schemas.openxmlformats.org/officeDocument/2006/relationships/hyperlink" Target="http://gofile.me/4xaew/DZIiekPVV" TargetMode="External"/><Relationship Id="rId100" Type="http://schemas.openxmlformats.org/officeDocument/2006/relationships/hyperlink" Target="http://gofile.me/4xaew/5alFFzctr" TargetMode="External"/><Relationship Id="rId8" Type="http://schemas.openxmlformats.org/officeDocument/2006/relationships/hyperlink" Target="http://gofile.me/4xaew/Qlk8R4pRT" TargetMode="External"/><Relationship Id="rId98" Type="http://schemas.openxmlformats.org/officeDocument/2006/relationships/hyperlink" Target="http://gofile.me/4xaew/uWHuXxw6C" TargetMode="External"/><Relationship Id="rId121" Type="http://schemas.openxmlformats.org/officeDocument/2006/relationships/hyperlink" Target="http://gofile.me/4xaew/1ZzOtwuUx" TargetMode="External"/><Relationship Id="rId142" Type="http://schemas.openxmlformats.org/officeDocument/2006/relationships/hyperlink" Target="https://drive.google.com/drive/folders/1YYYvTCNHTK2dm0p2bmmbLX6UWTmgJLjD?fbclid=IwAR0sHr_Ud9eOP7_1sgGKE4LJZzlUFVAoOXSXDRrhguvwhXzWHt5euwg7iPk" TargetMode="External"/><Relationship Id="rId163" Type="http://schemas.openxmlformats.org/officeDocument/2006/relationships/hyperlink" Target="https://drive.google.com/drive/folders/1526w1eR63SS_p-0nrPMLNWuY-l57DjKu?fbclid=IwAR0sHr_Ud9eOP7_1sgGKE4LJZzlUFVAoOXSXDRrhguvwhXzWHt5euwg7iPk" TargetMode="External"/><Relationship Id="rId184" Type="http://schemas.openxmlformats.org/officeDocument/2006/relationships/hyperlink" Target="https://drive.google.com/drive/folders/1f33qk28egqMQEf9BMfm9oOPEOn9OcL-k?fbclid=IwAR0sHr_Ud9eOP7_1sgGKE4LJZzlUFVAoOXSXDRrhguvwhXzWHt5euwg7iPk" TargetMode="External"/><Relationship Id="rId219" Type="http://schemas.openxmlformats.org/officeDocument/2006/relationships/hyperlink" Target="http://gofile.me/4xaew/OeW0LwMl0" TargetMode="External"/><Relationship Id="rId230" Type="http://schemas.openxmlformats.org/officeDocument/2006/relationships/hyperlink" Target="http://gofile.me/4xaew/3r2qT9am9" TargetMode="External"/><Relationship Id="rId251" Type="http://schemas.openxmlformats.org/officeDocument/2006/relationships/hyperlink" Target="http://gofile.me/4xaew/cFQn6MFX1" TargetMode="External"/><Relationship Id="rId25" Type="http://schemas.openxmlformats.org/officeDocument/2006/relationships/hyperlink" Target="http://gofile.me/4xaew/JQU1OuJLi" TargetMode="External"/><Relationship Id="rId46" Type="http://schemas.openxmlformats.org/officeDocument/2006/relationships/hyperlink" Target="http://gofile.me/4xaew/Vz3zxDv5p" TargetMode="External"/><Relationship Id="rId67" Type="http://schemas.openxmlformats.org/officeDocument/2006/relationships/hyperlink" Target="http://gofile.me/4xaew/Pg39i8WU3" TargetMode="External"/><Relationship Id="rId88" Type="http://schemas.openxmlformats.org/officeDocument/2006/relationships/hyperlink" Target="http://gofile.me/4xaew/YT8QWQlKO" TargetMode="External"/><Relationship Id="rId111" Type="http://schemas.openxmlformats.org/officeDocument/2006/relationships/hyperlink" Target="http://gofile.me/4xaew/MkDprXOdo" TargetMode="External"/><Relationship Id="rId132" Type="http://schemas.openxmlformats.org/officeDocument/2006/relationships/hyperlink" Target="http://gofile.me/4xaew/Wp5PLpZXm" TargetMode="External"/><Relationship Id="rId153" Type="http://schemas.openxmlformats.org/officeDocument/2006/relationships/hyperlink" Target="https://drive.google.com/file/d/1JsO9PmDK2LhaLIQ-fM-NpUBMfWylAq-e/view?usp=sharing" TargetMode="External"/><Relationship Id="rId174" Type="http://schemas.openxmlformats.org/officeDocument/2006/relationships/hyperlink" Target="https://drive.google.com/drive/folders/1eoetnsOSD-JC7C3-85z8RltcJPPe0dsb?fbclid=IwAR0sHr_Ud9eOP7_1sgGKE4LJZzlUFVAoOXSXDRrhguvwhXzWHt5euwg7iPk" TargetMode="External"/><Relationship Id="rId195" Type="http://schemas.openxmlformats.org/officeDocument/2006/relationships/hyperlink" Target="https://drive.google.com/file/d/1l64c_fP_JXMAh1U7p1jvKGOvZj8QqA2N/view?usp=share_link" TargetMode="External"/><Relationship Id="rId209" Type="http://schemas.openxmlformats.org/officeDocument/2006/relationships/hyperlink" Target="http://gofile.me/4xaew/hwsHUqNjj" TargetMode="External"/><Relationship Id="rId220" Type="http://schemas.openxmlformats.org/officeDocument/2006/relationships/hyperlink" Target="http://gofile.me/4xaew/7twjE9S85" TargetMode="External"/><Relationship Id="rId241" Type="http://schemas.openxmlformats.org/officeDocument/2006/relationships/hyperlink" Target="http://gofile.me/4xaew/nIhE8QHle" TargetMode="External"/><Relationship Id="rId15" Type="http://schemas.openxmlformats.org/officeDocument/2006/relationships/hyperlink" Target="http://gofile.me/4xaew/7HjNO3XMy" TargetMode="External"/><Relationship Id="rId36" Type="http://schemas.openxmlformats.org/officeDocument/2006/relationships/hyperlink" Target="http://gofile.me/4xaew/GlHvFSZfo" TargetMode="External"/><Relationship Id="rId57" Type="http://schemas.openxmlformats.org/officeDocument/2006/relationships/hyperlink" Target="http://gofile.me/4xaew/buFgxUhGU" TargetMode="External"/><Relationship Id="rId262" Type="http://schemas.openxmlformats.org/officeDocument/2006/relationships/hyperlink" Target="http://gofile.me/4xaew/SxyAkvr3x" TargetMode="External"/><Relationship Id="rId78" Type="http://schemas.openxmlformats.org/officeDocument/2006/relationships/hyperlink" Target="http://gofile.me/4xaew/NmKbl1JeE" TargetMode="External"/><Relationship Id="rId99" Type="http://schemas.openxmlformats.org/officeDocument/2006/relationships/hyperlink" Target="http://gofile.me/4xaew/4X2Hvp5nK" TargetMode="External"/><Relationship Id="rId101" Type="http://schemas.openxmlformats.org/officeDocument/2006/relationships/hyperlink" Target="http://gofile.me/4xaew/iMjcORrN3" TargetMode="External"/><Relationship Id="rId122" Type="http://schemas.openxmlformats.org/officeDocument/2006/relationships/hyperlink" Target="https://docs.google.com/presentation/d/1Ct2Ufan55pH1fZhQjxz4-GskxVQ7JVpQ/edit?usp=share_link&amp;ouid=108396888121477022776&amp;rtpof=true&amp;sd=true" TargetMode="External"/><Relationship Id="rId143" Type="http://schemas.openxmlformats.org/officeDocument/2006/relationships/hyperlink" Target="https://drive.google.com/drive/folders/1YYYvTCNHTK2dm0p2bmmbLX6UWTmgJLjD?fbclid=IwAR0sHr_Ud9eOP7_1sgGKE4LJZzlUFVAoOXSXDRrhguvwhXzWHt5euwg7iPk" TargetMode="External"/><Relationship Id="rId164" Type="http://schemas.openxmlformats.org/officeDocument/2006/relationships/hyperlink" Target="https://drive.google.com/drive/folders/1nGrnjlyEa_Covpoln-MTwnRpLCH6-yY-?fbclid=IwAR0sHr_Ud9eOP7_1sgGKE4LJZzlUFVAoOXSXDRrhguvwhXzWHt5euwg7iPk" TargetMode="External"/><Relationship Id="rId185" Type="http://schemas.openxmlformats.org/officeDocument/2006/relationships/hyperlink" Target="https://drive.google.com/drive/folders/1f33qk28egqMQEf9BMfm9oOPEOn9OcL-k?fbclid=IwAR0sHr_Ud9eOP7_1sgGKE4LJZzlUFVAoOXSXDRrhguvwhXzWHt5euwg7iPk" TargetMode="External"/><Relationship Id="rId9" Type="http://schemas.openxmlformats.org/officeDocument/2006/relationships/hyperlink" Target="http://gofile.me/4xaew/Oz3LrQ4dC" TargetMode="External"/><Relationship Id="rId210" Type="http://schemas.openxmlformats.org/officeDocument/2006/relationships/hyperlink" Target="http://gofile.me/4xaew/fXZHrtT4e" TargetMode="External"/><Relationship Id="rId26" Type="http://schemas.openxmlformats.org/officeDocument/2006/relationships/hyperlink" Target="https://drive.google.com/file/d/12nNqKiauytc9DBAnpZYWN4AsuDxdjLnU/view?usp=share_link" TargetMode="External"/><Relationship Id="rId231" Type="http://schemas.openxmlformats.org/officeDocument/2006/relationships/hyperlink" Target="http://gofile.me/4xaew/BqE3lUfKy" TargetMode="External"/><Relationship Id="rId252" Type="http://schemas.openxmlformats.org/officeDocument/2006/relationships/hyperlink" Target="http://gofile.me/4xaew/qatHb7Ibc" TargetMode="External"/><Relationship Id="rId47" Type="http://schemas.openxmlformats.org/officeDocument/2006/relationships/hyperlink" Target="https://docs.google.com/document/d/1V7_p9C6mtRPeXVRzXfOpSUNCO-3xLBJp/edit?usp=share_link&amp;ouid=108396888121477022776&amp;rtpof=true&amp;sd=true" TargetMode="External"/><Relationship Id="rId68" Type="http://schemas.openxmlformats.org/officeDocument/2006/relationships/hyperlink" Target="http://gofile.me/4xaew/6qMxcp1qt" TargetMode="External"/><Relationship Id="rId89" Type="http://schemas.openxmlformats.org/officeDocument/2006/relationships/hyperlink" Target="http://gofile.me/4xaew/jfG1EF99c" TargetMode="External"/><Relationship Id="rId112" Type="http://schemas.openxmlformats.org/officeDocument/2006/relationships/hyperlink" Target="http://gofile.me/4xaew/wF6AJdHQS" TargetMode="External"/><Relationship Id="rId133" Type="http://schemas.openxmlformats.org/officeDocument/2006/relationships/hyperlink" Target="https://drive.google.com/drive/folders/1S71cFrHAY75k4zTHWwPpNk33WvpYFApQ?fbclid=IwAR0sHr_Ud9eOP7_1sgGKE4LJZzlUFVAoOXSXDRrhguvwhXzWHt5euwg7iPk" TargetMode="External"/><Relationship Id="rId154" Type="http://schemas.openxmlformats.org/officeDocument/2006/relationships/hyperlink" Target="https://drive.google.com/drive/folders/1Dwm_boc3TA2_W500hVj0kRWsE0xiPuUx?fbclid=IwAR0sHr_Ud9eOP7_1sgGKE4LJZzlUFVAoOXSXDRrhguvwhXzWHt5euwg7iPk" TargetMode="External"/><Relationship Id="rId175" Type="http://schemas.openxmlformats.org/officeDocument/2006/relationships/hyperlink" Target="https://drive.google.com/drive/folders/1eoetnsOSD-JC7C3-85z8RltcJPPe0dsb?fbclid=IwAR0sHr_Ud9eOP7_1sgGKE4LJZzlUFVAoOXSXDRrhguvwhXzWHt5euwg7iPk" TargetMode="External"/><Relationship Id="rId196" Type="http://schemas.openxmlformats.org/officeDocument/2006/relationships/hyperlink" Target="http://gofile.me/4xaew/cem2U6mnU" TargetMode="External"/><Relationship Id="rId200" Type="http://schemas.openxmlformats.org/officeDocument/2006/relationships/hyperlink" Target="http://gofile.me/4xaew/fJVotv3BM" TargetMode="External"/><Relationship Id="rId16" Type="http://schemas.openxmlformats.org/officeDocument/2006/relationships/hyperlink" Target="http://gofile.me/4xaew/ubA6QOD0h" TargetMode="External"/><Relationship Id="rId221" Type="http://schemas.openxmlformats.org/officeDocument/2006/relationships/hyperlink" Target="http://gofile.me/4xaew/oiXukv1Jp" TargetMode="External"/><Relationship Id="rId242" Type="http://schemas.openxmlformats.org/officeDocument/2006/relationships/hyperlink" Target="http://gofile.me/4xaew/NCWeqCkBG" TargetMode="External"/><Relationship Id="rId263" Type="http://schemas.openxmlformats.org/officeDocument/2006/relationships/hyperlink" Target="http://gofile.me/4xaew/59awSqjV8" TargetMode="External"/><Relationship Id="rId37" Type="http://schemas.openxmlformats.org/officeDocument/2006/relationships/hyperlink" Target="https://docs.google.com/document/d/1bTEBUAU0ST-etCdrgR9GMu9g1Ucx-am0/edit?usp=share_link&amp;ouid=108396888121477022776&amp;rtpof=true&amp;sd=true" TargetMode="External"/><Relationship Id="rId58" Type="http://schemas.openxmlformats.org/officeDocument/2006/relationships/hyperlink" Target="https://docs.google.com/document/d/1QOKD5zVjCok2VREpONeiEM73_fBhA19p/edit?usp=share_link&amp;ouid=108396888121477022776&amp;rtpof=true&amp;sd=true" TargetMode="External"/><Relationship Id="rId79" Type="http://schemas.openxmlformats.org/officeDocument/2006/relationships/hyperlink" Target="http://gofile.me/4xaew/0bG8gPFY8" TargetMode="External"/><Relationship Id="rId102" Type="http://schemas.openxmlformats.org/officeDocument/2006/relationships/hyperlink" Target="http://gofile.me/4xaew/6Xp72w1rF" TargetMode="External"/><Relationship Id="rId123" Type="http://schemas.openxmlformats.org/officeDocument/2006/relationships/hyperlink" Target="http://gofile.me/4xaew/Yw0RT4OZ0" TargetMode="External"/><Relationship Id="rId144" Type="http://schemas.openxmlformats.org/officeDocument/2006/relationships/hyperlink" Target="https://drive.google.com/file/d/1DntiRIqc3geFJEOpKbUIg8noqA8SGANi/view?usp=share_link" TargetMode="External"/><Relationship Id="rId90" Type="http://schemas.openxmlformats.org/officeDocument/2006/relationships/hyperlink" Target="http://gofile.me/4xaew/Nv3ndJaHK" TargetMode="External"/><Relationship Id="rId165" Type="http://schemas.openxmlformats.org/officeDocument/2006/relationships/hyperlink" Target="https://drive.google.com/drive/folders/1nGrnjlyEa_Covpoln-MTwnRpLCH6-yY-?fbclid=IwAR0sHr_Ud9eOP7_1sgGKE4LJZzlUFVAoOXSXDRrhguvwhXzWHt5euwg7iPk" TargetMode="External"/><Relationship Id="rId186" Type="http://schemas.openxmlformats.org/officeDocument/2006/relationships/hyperlink" Target="https://drive.google.com/drive/folders/1IqItPoN9Kj2D6EBLtI7sZjZIseEdjI7j?fbclid=IwAR0sHr_Ud9eOP7_1sgGKE4LJZzlUFVAoOXSXDRrhguvwhXzWHt5euwg7iPk" TargetMode="External"/><Relationship Id="rId211" Type="http://schemas.openxmlformats.org/officeDocument/2006/relationships/hyperlink" Target="http://gofile.me/4xaew/kLj4nQKul" TargetMode="External"/><Relationship Id="rId232" Type="http://schemas.openxmlformats.org/officeDocument/2006/relationships/hyperlink" Target="http://gofile.me/4xaew/XFltxuX4W" TargetMode="External"/><Relationship Id="rId253" Type="http://schemas.openxmlformats.org/officeDocument/2006/relationships/hyperlink" Target="http://gofile.me/4xaew/CssiRSmio" TargetMode="External"/><Relationship Id="rId27" Type="http://schemas.openxmlformats.org/officeDocument/2006/relationships/hyperlink" Target="http://gofile.me/4xaew/uFttosQ4c" TargetMode="External"/><Relationship Id="rId48" Type="http://schemas.openxmlformats.org/officeDocument/2006/relationships/hyperlink" Target="http://gofile.me/4xaew/CgvtDkEv2" TargetMode="External"/><Relationship Id="rId69" Type="http://schemas.openxmlformats.org/officeDocument/2006/relationships/hyperlink" Target="https://drive.google.com/file/d/1x1tqW3_LCGNn8MNDEac3EB6pCMigJ0H-/view?usp=share_link" TargetMode="External"/><Relationship Id="rId113" Type="http://schemas.openxmlformats.org/officeDocument/2006/relationships/hyperlink" Target="http://gofile.me/4xaew/hYrbJDmdu" TargetMode="External"/><Relationship Id="rId134" Type="http://schemas.openxmlformats.org/officeDocument/2006/relationships/hyperlink" Target="http://gofile.me/4xaew/UlnSGTUaa" TargetMode="External"/><Relationship Id="rId80" Type="http://schemas.openxmlformats.org/officeDocument/2006/relationships/hyperlink" Target="http://gofile.me/4xaew/ktwJxrUaO" TargetMode="External"/><Relationship Id="rId155" Type="http://schemas.openxmlformats.org/officeDocument/2006/relationships/hyperlink" Target="https://drive.google.com/drive/folders/1Q8haZuQvCudMqsvtJp0h5umHfGMxtQYv?fbclid=IwAR0sHr_Ud9eOP7_1sgGKE4LJZzlUFVAoOXSXDRrhguvwhXzWHt5euwg7iPk" TargetMode="External"/><Relationship Id="rId176" Type="http://schemas.openxmlformats.org/officeDocument/2006/relationships/hyperlink" Target="https://drive.google.com/drive/folders/1sYphBNhG9FYo7COrWlXFEeUWUq-_Kqol?fbclid=IwAR0sHr_Ud9eOP7_1sgGKE4LJZzlUFVAoOXSXDRrhguvwhXzWHt5euwg7iPk" TargetMode="External"/><Relationship Id="rId197" Type="http://schemas.openxmlformats.org/officeDocument/2006/relationships/hyperlink" Target="http://gofile.me/4xaew/COl9gc5QZ" TargetMode="External"/><Relationship Id="rId201" Type="http://schemas.openxmlformats.org/officeDocument/2006/relationships/hyperlink" Target="http://gofile.me/4xaew/b90XvEnuO" TargetMode="External"/><Relationship Id="rId222" Type="http://schemas.openxmlformats.org/officeDocument/2006/relationships/hyperlink" Target="http://gofile.me/4xaew/foIPkmBhc" TargetMode="External"/><Relationship Id="rId243" Type="http://schemas.openxmlformats.org/officeDocument/2006/relationships/hyperlink" Target="http://gofile.me/4xaew/Djh7niW6N" TargetMode="External"/><Relationship Id="rId17" Type="http://schemas.openxmlformats.org/officeDocument/2006/relationships/hyperlink" Target="http://gofile.me/4xaew/QeDqideKe" TargetMode="External"/><Relationship Id="rId38" Type="http://schemas.openxmlformats.org/officeDocument/2006/relationships/hyperlink" Target="http://gofile.me/4xaew/r9YRFxOCg" TargetMode="External"/><Relationship Id="rId59" Type="http://schemas.openxmlformats.org/officeDocument/2006/relationships/hyperlink" Target="http://gofile.me/4xaew/1C4Ku2kvC" TargetMode="External"/><Relationship Id="rId103" Type="http://schemas.openxmlformats.org/officeDocument/2006/relationships/hyperlink" Target="http://gofile.me/4xaew/ZYL6MsOue" TargetMode="External"/><Relationship Id="rId124" Type="http://schemas.openxmlformats.org/officeDocument/2006/relationships/hyperlink" Target="https://docs.google.com/presentation/d/1IZ0mmAnxty-rV3DxLocjD9Axkx2USMOa/edit?usp=share_link&amp;ouid=108396888121477022776&amp;rtpof=true&amp;sd=true" TargetMode="External"/><Relationship Id="rId70" Type="http://schemas.openxmlformats.org/officeDocument/2006/relationships/hyperlink" Target="http://gofile.me/4xaew/Tn5ngrbcI" TargetMode="External"/><Relationship Id="rId91" Type="http://schemas.openxmlformats.org/officeDocument/2006/relationships/hyperlink" Target="http://gofile.me/4xaew/sR8VSodZa" TargetMode="External"/><Relationship Id="rId145" Type="http://schemas.openxmlformats.org/officeDocument/2006/relationships/hyperlink" Target="http://gofile.me/4xaew/eE5EsD59J" TargetMode="External"/><Relationship Id="rId166" Type="http://schemas.openxmlformats.org/officeDocument/2006/relationships/hyperlink" Target="http://gofile.me/4xaew/EXkPIe7b0" TargetMode="External"/><Relationship Id="rId187" Type="http://schemas.openxmlformats.org/officeDocument/2006/relationships/hyperlink" Target="https://drive.google.com/drive/folders/1f33qk28egqMQEf9BMfm9oOPEOn9OcL-k?fbclid=IwAR0sHr_Ud9eOP7_1sgGKE4LJZzlUFVAoOXSXDRrhguvwhXzWHt5euwg7iPk" TargetMode="External"/><Relationship Id="rId1" Type="http://schemas.openxmlformats.org/officeDocument/2006/relationships/hyperlink" Target="http://gofile.me/4xaew/4JIuSos4q" TargetMode="External"/><Relationship Id="rId212" Type="http://schemas.openxmlformats.org/officeDocument/2006/relationships/hyperlink" Target="http://gofile.me/4xaew/qk28NmyEs" TargetMode="External"/><Relationship Id="rId233" Type="http://schemas.openxmlformats.org/officeDocument/2006/relationships/hyperlink" Target="http://gofile.me/4xaew/FTaPatPeP" TargetMode="External"/><Relationship Id="rId254" Type="http://schemas.openxmlformats.org/officeDocument/2006/relationships/hyperlink" Target="http://gofile.me/4xaew/XgOdBLUr9" TargetMode="External"/><Relationship Id="rId28" Type="http://schemas.openxmlformats.org/officeDocument/2006/relationships/hyperlink" Target="https://docs.google.com/document/d/15Mm-EHfKkjv49KCKhfVqf-6j2jEL-cJW/edit?usp=share_link&amp;ouid=108396888121477022776&amp;rtpof=true&amp;sd=true" TargetMode="External"/><Relationship Id="rId49" Type="http://schemas.openxmlformats.org/officeDocument/2006/relationships/hyperlink" Target="http://gofile.me/4xaew/SJWaLq7LJ" TargetMode="External"/><Relationship Id="rId114" Type="http://schemas.openxmlformats.org/officeDocument/2006/relationships/hyperlink" Target="http://gofile.me/4xaew/1mHb8uxMD" TargetMode="External"/><Relationship Id="rId60" Type="http://schemas.openxmlformats.org/officeDocument/2006/relationships/hyperlink" Target="https://drive.google.com/file/d/12Sdxe-SggSZglylU0OxRi4DcVaRxNK9g/view?usp=share_link" TargetMode="External"/><Relationship Id="rId81" Type="http://schemas.openxmlformats.org/officeDocument/2006/relationships/hyperlink" Target="http://gofile.me/4xaew/pVPjNvrQr" TargetMode="External"/><Relationship Id="rId135" Type="http://schemas.openxmlformats.org/officeDocument/2006/relationships/hyperlink" Target="http://gofile.me/4xaew/uivKsiJM2" TargetMode="External"/><Relationship Id="rId156" Type="http://schemas.openxmlformats.org/officeDocument/2006/relationships/hyperlink" Target="https://drive.google.com/drive/folders/1TyXo3Dlaz_E21dKg_5fgTBnGh_8xcKkB?fbclid=IwAR0sHr_Ud9eOP7_1sgGKE4LJZzlUFVAoOXSXDRrhguvwhXzWHt5euwg7iPk" TargetMode="External"/><Relationship Id="rId177" Type="http://schemas.openxmlformats.org/officeDocument/2006/relationships/hyperlink" Target="https://drive.google.com/drive/folders/1sYphBNhG9FYo7COrWlXFEeUWUq-_Kqol?fbclid=IwAR0sHr_Ud9eOP7_1sgGKE4LJZzlUFVAoOXSXDRrhguvwhXzWHt5euwg7iPk" TargetMode="External"/><Relationship Id="rId198" Type="http://schemas.openxmlformats.org/officeDocument/2006/relationships/hyperlink" Target="http://gofile.me/4xaew/5g0pWVWvo" TargetMode="External"/><Relationship Id="rId202" Type="http://schemas.openxmlformats.org/officeDocument/2006/relationships/hyperlink" Target="http://gofile.me/4xaew/Kbgoqe54h" TargetMode="External"/><Relationship Id="rId223" Type="http://schemas.openxmlformats.org/officeDocument/2006/relationships/hyperlink" Target="http://gofile.me/4xaew/SklOr9Cgo" TargetMode="External"/><Relationship Id="rId244" Type="http://schemas.openxmlformats.org/officeDocument/2006/relationships/hyperlink" Target="http://gofile.me/4xaew/CjgGagZn0" TargetMode="External"/><Relationship Id="rId18" Type="http://schemas.openxmlformats.org/officeDocument/2006/relationships/hyperlink" Target="http://gofile.me/4xaew/kxj7mAxUQ" TargetMode="External"/><Relationship Id="rId39" Type="http://schemas.openxmlformats.org/officeDocument/2006/relationships/hyperlink" Target="https://docs.google.com/document/d/1EgCeQpQPtMDYEzUeqVQKPR6zLsMAY5P3/edit?usp=share_link&amp;ouid=108396888121477022776&amp;rtpof=true&amp;sd=true" TargetMode="External"/><Relationship Id="rId50" Type="http://schemas.openxmlformats.org/officeDocument/2006/relationships/hyperlink" Target="http://gofile.me/4xaew/aI5sC1IzI" TargetMode="External"/><Relationship Id="rId104" Type="http://schemas.openxmlformats.org/officeDocument/2006/relationships/hyperlink" Target="http://gofile.me/4xaew/fbGUmjnKk" TargetMode="External"/><Relationship Id="rId125" Type="http://schemas.openxmlformats.org/officeDocument/2006/relationships/hyperlink" Target="http://gofile.me/4xaew/iFahZZ0xz" TargetMode="External"/><Relationship Id="rId146" Type="http://schemas.openxmlformats.org/officeDocument/2006/relationships/hyperlink" Target="https://drive.google.com/drive/folders/1BxrN7cnsBiZRzd6m5DKruhbuWcrAh5Z8?fbclid=IwAR0sHr_Ud9eOP7_1sgGKE4LJZzlUFVAoOXSXDRrhguvwhXzWHt5euwg7iPk" TargetMode="External"/><Relationship Id="rId167" Type="http://schemas.openxmlformats.org/officeDocument/2006/relationships/hyperlink" Target="https://drive.google.com/drive/folders/1S71cFrHAY75k4zTHWwPpNk33WvpYFApQ?fbclid=IwAR0sHr_Ud9eOP7_1sgGKE4LJZzlUFVAoOXSXDRrhguvwhXzWHt5euwg7iPk" TargetMode="External"/><Relationship Id="rId188" Type="http://schemas.openxmlformats.org/officeDocument/2006/relationships/hyperlink" Target="http://gofile.me/4xaew/JrMMETtGV" TargetMode="External"/><Relationship Id="rId71" Type="http://schemas.openxmlformats.org/officeDocument/2006/relationships/hyperlink" Target="http://gofile.me/4xaew/DT0iDvU2i" TargetMode="External"/><Relationship Id="rId92" Type="http://schemas.openxmlformats.org/officeDocument/2006/relationships/hyperlink" Target="http://gofile.me/4xaew/bGhKPmijy" TargetMode="External"/><Relationship Id="rId213" Type="http://schemas.openxmlformats.org/officeDocument/2006/relationships/hyperlink" Target="http://gofile.me/4xaew/ZCWb8HiOq" TargetMode="External"/><Relationship Id="rId234" Type="http://schemas.openxmlformats.org/officeDocument/2006/relationships/hyperlink" Target="http://gofile.me/4xaew/YsgOCRx3V" TargetMode="External"/><Relationship Id="rId2" Type="http://schemas.openxmlformats.org/officeDocument/2006/relationships/hyperlink" Target="http://gofile.me/4xaew/cwJzQrC89" TargetMode="External"/><Relationship Id="rId29" Type="http://schemas.openxmlformats.org/officeDocument/2006/relationships/hyperlink" Target="http://gofile.me/4xaew/tYC5f0Vwl" TargetMode="External"/><Relationship Id="rId255" Type="http://schemas.openxmlformats.org/officeDocument/2006/relationships/hyperlink" Target="http://gofile.me/4xaew/WLm7iQHyT" TargetMode="External"/><Relationship Id="rId40" Type="http://schemas.openxmlformats.org/officeDocument/2006/relationships/hyperlink" Target="http://gofile.me/4xaew/BAMJRIstZ" TargetMode="External"/><Relationship Id="rId115" Type="http://schemas.openxmlformats.org/officeDocument/2006/relationships/hyperlink" Target="http://gofile.me/4xaew/qPTlxR8E1" TargetMode="External"/><Relationship Id="rId136" Type="http://schemas.openxmlformats.org/officeDocument/2006/relationships/hyperlink" Target="https://drive.google.com/drive/folders/13b-7PgJfZewELjn1gn2XvZ37bV6gqExx?fbclid=IwAR0sHr_Ud9eOP7_1sgGKE4LJZzlUFVAoOXSXDRrhguvwhXzWHt5euwg7iPk" TargetMode="External"/><Relationship Id="rId157" Type="http://schemas.openxmlformats.org/officeDocument/2006/relationships/hyperlink" Target="https://drive.google.com/drive/folders/1TyXo3Dlaz_E21dKg_5fgTBnGh_8xcKkB?fbclid=IwAR0sHr_Ud9eOP7_1sgGKE4LJZzlUFVAoOXSXDRrhguvwhXzWHt5euwg7iPk" TargetMode="External"/><Relationship Id="rId178" Type="http://schemas.openxmlformats.org/officeDocument/2006/relationships/hyperlink" Target="https://drive.google.com/drive/folders/1sYphBNhG9FYo7COrWlXFEeUWUq-_Kqol?fbclid=IwAR0sHr_Ud9eOP7_1sgGKE4LJZzlUFVAoOXSXDRrhguvwhXzWHt5euwg7iPk" TargetMode="External"/><Relationship Id="rId61" Type="http://schemas.openxmlformats.org/officeDocument/2006/relationships/hyperlink" Target="http://gofile.me/4xaew/xBReGsvV6" TargetMode="External"/><Relationship Id="rId82" Type="http://schemas.openxmlformats.org/officeDocument/2006/relationships/hyperlink" Target="http://gofile.me/4xaew/gdQ3l7dGS" TargetMode="External"/><Relationship Id="rId199" Type="http://schemas.openxmlformats.org/officeDocument/2006/relationships/hyperlink" Target="http://gofile.me/4xaew/YKxnHzdjZ" TargetMode="External"/><Relationship Id="rId203" Type="http://schemas.openxmlformats.org/officeDocument/2006/relationships/hyperlink" Target="http://gofile.me/4xaew/IWLWOfBuI" TargetMode="External"/><Relationship Id="rId19" Type="http://schemas.openxmlformats.org/officeDocument/2006/relationships/hyperlink" Target="http://gofile.me/4xaew/bwAfwjVC2" TargetMode="External"/><Relationship Id="rId224" Type="http://schemas.openxmlformats.org/officeDocument/2006/relationships/hyperlink" Target="http://gofile.me/4xaew/bCoX4qqhl" TargetMode="External"/><Relationship Id="rId245" Type="http://schemas.openxmlformats.org/officeDocument/2006/relationships/hyperlink" Target="http://gofile.me/4xaew/Yjiz9RkWT" TargetMode="External"/><Relationship Id="rId30" Type="http://schemas.openxmlformats.org/officeDocument/2006/relationships/hyperlink" Target="https://docs.google.com/document/d/10YxfwKIbjIjbOiZM7qfUH6qgyl8MI4Cs/edit?usp=share_link&amp;ouid=108396888121477022776&amp;rtpof=true&amp;sd=true" TargetMode="External"/><Relationship Id="rId105" Type="http://schemas.openxmlformats.org/officeDocument/2006/relationships/hyperlink" Target="http://gofile.me/4xaew/69pwRyJb1" TargetMode="External"/><Relationship Id="rId126" Type="http://schemas.openxmlformats.org/officeDocument/2006/relationships/hyperlink" Target="https://docs.google.com/presentation/d/1IZ0mmAnxty-rV3DxLocjD9Axkx2USMOa/edit?usp=share_link&amp;ouid=108396888121477022776&amp;rtpof=true&amp;sd=true" TargetMode="External"/><Relationship Id="rId147" Type="http://schemas.openxmlformats.org/officeDocument/2006/relationships/hyperlink" Target="https://drive.google.com/drive/folders/1tY5N4fmCNp5yHLTc0j3oQd5AgE4axKRN?fbclid=IwAR0sHr_Ud9eOP7_1sgGKE4LJZzlUFVAoOXSXDRrhguvwhXzWHt5euwg7iPk" TargetMode="External"/><Relationship Id="rId168" Type="http://schemas.openxmlformats.org/officeDocument/2006/relationships/hyperlink" Target="https://drive.google.com/drive/folders/1S71cFrHAY75k4zTHWwPpNk33WvpYFApQ?fbclid=IwAR0sHr_Ud9eOP7_1sgGKE4LJZzlUFVAoOXSXDRrhguvwhXzWHt5euwg7iPk" TargetMode="External"/><Relationship Id="rId51" Type="http://schemas.openxmlformats.org/officeDocument/2006/relationships/hyperlink" Target="https://drive.google.com/file/d/1ho9KCwiL0ibN61KRxhWzbLhkMQ4SfAyB/view?usp=share_link" TargetMode="External"/><Relationship Id="rId72" Type="http://schemas.openxmlformats.org/officeDocument/2006/relationships/hyperlink" Target="http://gofile.me/4xaew/xjakNsupq" TargetMode="External"/><Relationship Id="rId93" Type="http://schemas.openxmlformats.org/officeDocument/2006/relationships/hyperlink" Target="http://gofile.me/4xaew/uoPNLlydK" TargetMode="External"/><Relationship Id="rId189" Type="http://schemas.openxmlformats.org/officeDocument/2006/relationships/hyperlink" Target="https://drive.google.com/file/d/1IHk3cTQ06j8DPXARuZfCj-44ty30cozB/view?usp=share_link" TargetMode="External"/><Relationship Id="rId3" Type="http://schemas.openxmlformats.org/officeDocument/2006/relationships/hyperlink" Target="http://gofile.me/4xaew/fBMKXcLVX" TargetMode="External"/><Relationship Id="rId214" Type="http://schemas.openxmlformats.org/officeDocument/2006/relationships/hyperlink" Target="http://gofile.me/4xaew/jw6HDsUxS" TargetMode="External"/><Relationship Id="rId235" Type="http://schemas.openxmlformats.org/officeDocument/2006/relationships/hyperlink" Target="http://gofile.me/4xaew/wKPm95fqo" TargetMode="External"/><Relationship Id="rId256" Type="http://schemas.openxmlformats.org/officeDocument/2006/relationships/hyperlink" Target="http://gofile.me/4xaew/hzWO0cgyu" TargetMode="External"/><Relationship Id="rId116" Type="http://schemas.openxmlformats.org/officeDocument/2006/relationships/hyperlink" Target="https://drive.google.com/file/d/19jUeM0-kNSlF-zo7iZTQhD-8bAxYhsPK/view?usp=share_link" TargetMode="External"/><Relationship Id="rId137" Type="http://schemas.openxmlformats.org/officeDocument/2006/relationships/hyperlink" Target="https://drive.google.com/drive/folders/13b-7PgJfZewELjn1gn2XvZ37bV6gqExx?fbclid=IwAR0sHr_Ud9eOP7_1sgGKE4LJZzlUFVAoOXSXDRrhguvwhXzWHt5euwg7iPk" TargetMode="External"/><Relationship Id="rId158" Type="http://schemas.openxmlformats.org/officeDocument/2006/relationships/hyperlink" Target="https://drive.google.com/drive/folders/1IqItPoN9Kj2D6EBLtI7sZjZIseEdjI7j?fbclid=IwAR0sHr_Ud9eOP7_1sgGKE4LJZzlUFVAoOXSXDRrhguvwhXzWHt5euwg7iPk" TargetMode="External"/><Relationship Id="rId20" Type="http://schemas.openxmlformats.org/officeDocument/2006/relationships/hyperlink" Target="https://drive.google.com/file/d/1XII12x9BIkyAqwjRhEkFoKQkAjpjtgwY/view?usp=share_link" TargetMode="External"/><Relationship Id="rId41" Type="http://schemas.openxmlformats.org/officeDocument/2006/relationships/hyperlink" Target="https://drive.google.com/file/d/10__WTGX8aKfRbdN6kgys0eBUTIocdftm/view?usp=share_link" TargetMode="External"/><Relationship Id="rId62" Type="http://schemas.openxmlformats.org/officeDocument/2006/relationships/hyperlink" Target="http://gofile.me/4xaew/BwDU6J7al" TargetMode="External"/><Relationship Id="rId83" Type="http://schemas.openxmlformats.org/officeDocument/2006/relationships/hyperlink" Target="http://gofile.me/4xaew/L8qbUamz2" TargetMode="External"/><Relationship Id="rId179" Type="http://schemas.openxmlformats.org/officeDocument/2006/relationships/hyperlink" Target="https://drive.google.com/drive/folders/1sYphBNhG9FYo7COrWlXFEeUWUq-_Kqol?fbclid=IwAR0sHr_Ud9eOP7_1sgGKE4LJZzlUFVAoOXSXDRrhguvwhXzWHt5euwg7iPk" TargetMode="External"/><Relationship Id="rId190" Type="http://schemas.openxmlformats.org/officeDocument/2006/relationships/hyperlink" Target="http://gofile.me/4xaew/FaRWFs9Xe" TargetMode="External"/><Relationship Id="rId204" Type="http://schemas.openxmlformats.org/officeDocument/2006/relationships/hyperlink" Target="http://gofile.me/4xaew/Oe7owZAw6" TargetMode="External"/><Relationship Id="rId225" Type="http://schemas.openxmlformats.org/officeDocument/2006/relationships/hyperlink" Target="http://gofile.me/4xaew/mDOPhQLwm" TargetMode="External"/><Relationship Id="rId246" Type="http://schemas.openxmlformats.org/officeDocument/2006/relationships/hyperlink" Target="http://gofile.me/4xaew/FiOg5TidU" TargetMode="External"/><Relationship Id="rId106" Type="http://schemas.openxmlformats.org/officeDocument/2006/relationships/hyperlink" Target="http://gofile.me/4xaew/Dpr1GzXGq" TargetMode="External"/><Relationship Id="rId127" Type="http://schemas.openxmlformats.org/officeDocument/2006/relationships/hyperlink" Target="http://gofile.me/4xaew/SVxdyrvTp" TargetMode="External"/><Relationship Id="rId10" Type="http://schemas.openxmlformats.org/officeDocument/2006/relationships/hyperlink" Target="https://drive.google.com/file/d/1R1lkhObQLObKOnacxqZEcJL6ONrwmEoO/view?usp=share_link" TargetMode="External"/><Relationship Id="rId31" Type="http://schemas.openxmlformats.org/officeDocument/2006/relationships/hyperlink" Target="http://gofile.me/4xaew/aG5eGIFdx" TargetMode="External"/><Relationship Id="rId52" Type="http://schemas.openxmlformats.org/officeDocument/2006/relationships/hyperlink" Target="http://gofile.me/4xaew/BJLY78Ath" TargetMode="External"/><Relationship Id="rId73" Type="http://schemas.openxmlformats.org/officeDocument/2006/relationships/hyperlink" Target="http://gofile.me/4xaew/fN3lFWUuc" TargetMode="External"/><Relationship Id="rId94" Type="http://schemas.openxmlformats.org/officeDocument/2006/relationships/hyperlink" Target="http://gofile.me/4xaew/gUj9ZCufG" TargetMode="External"/><Relationship Id="rId148" Type="http://schemas.openxmlformats.org/officeDocument/2006/relationships/hyperlink" Target="https://drive.google.com/drive/folders/1MPf8712f_8Tri7Hqww77MbAlgLGj26nJ?fbclid=IwAR0sHr_Ud9eOP7_1sgGKE4LJZzlUFVAoOXSXDRrhguvwhXzWHt5euwg7iPk" TargetMode="External"/><Relationship Id="rId169" Type="http://schemas.openxmlformats.org/officeDocument/2006/relationships/hyperlink" Target="https://drive.google.com/drive/folders/1S71cFrHAY75k4zTHWwPpNk33WvpYFApQ?fbclid=IwAR0sHr_Ud9eOP7_1sgGKE4LJZzlUFVAoOXSXDRrhguvwhXzWHt5euwg7iPk" TargetMode="External"/><Relationship Id="rId4" Type="http://schemas.openxmlformats.org/officeDocument/2006/relationships/hyperlink" Target="http://gofile.me/4xaew/kVTtmDyFX" TargetMode="External"/><Relationship Id="rId180" Type="http://schemas.openxmlformats.org/officeDocument/2006/relationships/hyperlink" Target="https://drive.google.com/drive/folders/1sYphBNhG9FYo7COrWlXFEeUWUq-_Kqol?fbclid=IwAR0sHr_Ud9eOP7_1sgGKE4LJZzlUFVAoOXSXDRrhguvwhXzWHt5euwg7iPk" TargetMode="External"/><Relationship Id="rId215" Type="http://schemas.openxmlformats.org/officeDocument/2006/relationships/hyperlink" Target="http://gofile.me/4xaew/pvm67R24d" TargetMode="External"/><Relationship Id="rId236" Type="http://schemas.openxmlformats.org/officeDocument/2006/relationships/hyperlink" Target="http://gofile.me/4xaew/FHYvFBC68" TargetMode="External"/><Relationship Id="rId257" Type="http://schemas.openxmlformats.org/officeDocument/2006/relationships/hyperlink" Target="http://gofile.me/4xaew/jtYhOJTG6" TargetMode="External"/><Relationship Id="rId42" Type="http://schemas.openxmlformats.org/officeDocument/2006/relationships/hyperlink" Target="http://gofile.me/4xaew/qiXvuC0HZ" TargetMode="External"/><Relationship Id="rId84" Type="http://schemas.openxmlformats.org/officeDocument/2006/relationships/hyperlink" Target="http://gofile.me/4xaew/d9DXOpDNN" TargetMode="External"/><Relationship Id="rId138" Type="http://schemas.openxmlformats.org/officeDocument/2006/relationships/hyperlink" Target="http://gofile.me/4xaew/uVFd1f7y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6B26B"/>
    <outlinePr summaryBelow="0" summaryRight="0"/>
  </sheetPr>
  <dimension ref="A1:S101"/>
  <sheetViews>
    <sheetView tabSelected="1" topLeftCell="D1" workbookViewId="0">
      <pane ySplit="1" topLeftCell="A2" activePane="bottomLeft" state="frozen"/>
      <selection pane="bottomLeft" activeCell="F1" sqref="F1:F1048576"/>
    </sheetView>
  </sheetViews>
  <sheetFormatPr defaultColWidth="12.5703125" defaultRowHeight="15.75" customHeight="1"/>
  <cols>
    <col min="1" max="1" width="6.28515625" customWidth="1"/>
    <col min="5" max="5" width="55.140625" customWidth="1"/>
    <col min="6" max="6" width="52.5703125" customWidth="1"/>
    <col min="7" max="7" width="31.42578125" customWidth="1"/>
    <col min="8" max="8" width="29.5703125" customWidth="1"/>
    <col min="11" max="11" width="16.42578125" customWidth="1"/>
    <col min="12" max="12" width="28.42578125" customWidth="1"/>
    <col min="13" max="13" width="20" customWidth="1"/>
    <col min="14" max="14" width="17" customWidth="1"/>
    <col min="15" max="15" width="20.28515625" customWidth="1"/>
    <col min="16" max="16" width="14.85546875" customWidth="1"/>
    <col min="17" max="17" width="19" customWidth="1"/>
    <col min="19" max="19" width="15.5703125" customWidth="1"/>
  </cols>
  <sheetData>
    <row r="1" spans="1:19">
      <c r="A1" s="1" t="s">
        <v>0</v>
      </c>
      <c r="B1" s="1" t="s">
        <v>1</v>
      </c>
      <c r="C1" s="1" t="s">
        <v>2</v>
      </c>
      <c r="D1" s="1" t="s">
        <v>3</v>
      </c>
      <c r="E1" s="1" t="s">
        <v>4</v>
      </c>
      <c r="F1" s="1" t="s">
        <v>6</v>
      </c>
      <c r="G1" s="1" t="s">
        <v>7</v>
      </c>
      <c r="H1" s="1" t="s">
        <v>9</v>
      </c>
      <c r="I1" s="2" t="s">
        <v>10</v>
      </c>
      <c r="J1" s="3" t="s">
        <v>11</v>
      </c>
      <c r="K1" s="3" t="s">
        <v>12</v>
      </c>
      <c r="L1" s="4" t="s">
        <v>13</v>
      </c>
      <c r="M1" s="1" t="s">
        <v>14</v>
      </c>
      <c r="N1" s="1" t="s">
        <v>15</v>
      </c>
      <c r="O1" s="1" t="s">
        <v>16</v>
      </c>
      <c r="P1" s="1" t="s">
        <v>17</v>
      </c>
      <c r="Q1" s="1" t="s">
        <v>18</v>
      </c>
      <c r="R1" s="4" t="s">
        <v>19</v>
      </c>
      <c r="S1" s="1" t="s">
        <v>20</v>
      </c>
    </row>
    <row r="2" spans="1:19">
      <c r="A2" s="5" t="s">
        <v>21</v>
      </c>
      <c r="B2" s="5">
        <v>2018</v>
      </c>
      <c r="C2" s="6" t="s">
        <v>22</v>
      </c>
      <c r="D2" s="6" t="s">
        <v>23</v>
      </c>
      <c r="E2" s="6" t="s">
        <v>24</v>
      </c>
      <c r="F2" s="6" t="s">
        <v>25</v>
      </c>
      <c r="G2" s="6" t="s">
        <v>26</v>
      </c>
      <c r="H2" s="6" t="s">
        <v>27</v>
      </c>
      <c r="I2" s="8">
        <v>4999045</v>
      </c>
      <c r="J2" s="8" t="s">
        <v>28</v>
      </c>
      <c r="K2" s="8"/>
      <c r="L2" s="9"/>
      <c r="M2" s="10"/>
      <c r="N2" s="10"/>
      <c r="O2" s="10"/>
      <c r="P2" s="10"/>
      <c r="Q2" s="10"/>
      <c r="R2" s="10"/>
      <c r="S2" s="10"/>
    </row>
    <row r="3" spans="1:19">
      <c r="A3" s="5" t="s">
        <v>29</v>
      </c>
      <c r="B3" s="5">
        <v>2018</v>
      </c>
      <c r="C3" s="6" t="s">
        <v>22</v>
      </c>
      <c r="D3" s="6" t="s">
        <v>23</v>
      </c>
      <c r="E3" s="6" t="s">
        <v>24</v>
      </c>
      <c r="F3" s="6" t="s">
        <v>30</v>
      </c>
      <c r="G3" s="6" t="s">
        <v>31</v>
      </c>
      <c r="H3" s="11" t="s">
        <v>32</v>
      </c>
      <c r="I3" s="8">
        <v>3058155.2</v>
      </c>
      <c r="J3" s="8" t="s">
        <v>28</v>
      </c>
      <c r="K3" s="8"/>
      <c r="L3" s="9"/>
      <c r="M3" s="10"/>
      <c r="N3" s="10"/>
      <c r="O3" s="10"/>
      <c r="P3" s="10"/>
      <c r="Q3" s="10"/>
      <c r="R3" s="10"/>
      <c r="S3" s="10"/>
    </row>
    <row r="4" spans="1:19">
      <c r="A4" s="5" t="s">
        <v>33</v>
      </c>
      <c r="B4" s="5">
        <v>2018</v>
      </c>
      <c r="C4" s="5" t="s">
        <v>22</v>
      </c>
      <c r="D4" s="6" t="s">
        <v>23</v>
      </c>
      <c r="E4" s="6" t="s">
        <v>24</v>
      </c>
      <c r="F4" s="6" t="s">
        <v>34</v>
      </c>
      <c r="G4" s="6" t="s">
        <v>35</v>
      </c>
      <c r="H4" s="6" t="s">
        <v>36</v>
      </c>
      <c r="I4" s="8">
        <v>3551018</v>
      </c>
      <c r="J4" s="8" t="s">
        <v>28</v>
      </c>
      <c r="K4" s="8"/>
      <c r="L4" s="9"/>
      <c r="M4" s="10"/>
      <c r="N4" s="10"/>
      <c r="O4" s="10"/>
      <c r="P4" s="10"/>
      <c r="Q4" s="10"/>
      <c r="R4" s="10"/>
      <c r="S4" s="10"/>
    </row>
    <row r="5" spans="1:19">
      <c r="A5" s="5" t="s">
        <v>37</v>
      </c>
      <c r="B5" s="5">
        <v>2019</v>
      </c>
      <c r="C5" s="6" t="s">
        <v>22</v>
      </c>
      <c r="D5" s="6" t="s">
        <v>23</v>
      </c>
      <c r="E5" s="6" t="s">
        <v>24</v>
      </c>
      <c r="F5" s="6" t="s">
        <v>38</v>
      </c>
      <c r="G5" s="6" t="s">
        <v>39</v>
      </c>
      <c r="H5" s="6" t="s">
        <v>40</v>
      </c>
      <c r="I5" s="8">
        <v>1636971</v>
      </c>
      <c r="J5" s="8" t="s">
        <v>28</v>
      </c>
      <c r="K5" s="8"/>
      <c r="L5" s="9"/>
      <c r="M5" s="10"/>
      <c r="N5" s="10"/>
      <c r="O5" s="10"/>
      <c r="P5" s="10"/>
      <c r="Q5" s="10"/>
      <c r="R5" s="10"/>
      <c r="S5" s="10"/>
    </row>
    <row r="6" spans="1:19">
      <c r="A6" s="5" t="s">
        <v>41</v>
      </c>
      <c r="B6" s="5">
        <v>2019</v>
      </c>
      <c r="C6" s="5" t="s">
        <v>22</v>
      </c>
      <c r="D6" s="6" t="s">
        <v>23</v>
      </c>
      <c r="E6" s="6" t="s">
        <v>24</v>
      </c>
      <c r="F6" s="6" t="s">
        <v>42</v>
      </c>
      <c r="G6" s="6" t="s">
        <v>43</v>
      </c>
      <c r="H6" s="6" t="s">
        <v>44</v>
      </c>
      <c r="I6" s="8">
        <v>3258768</v>
      </c>
      <c r="J6" s="8" t="s">
        <v>28</v>
      </c>
      <c r="K6" s="8"/>
      <c r="L6" s="9"/>
      <c r="M6" s="10"/>
      <c r="N6" s="10"/>
      <c r="O6" s="10"/>
      <c r="P6" s="10"/>
      <c r="Q6" s="10"/>
      <c r="R6" s="10"/>
      <c r="S6" s="10"/>
    </row>
    <row r="7" spans="1:19">
      <c r="A7" s="5" t="s">
        <v>45</v>
      </c>
      <c r="B7" s="5">
        <v>2019</v>
      </c>
      <c r="C7" s="6" t="s">
        <v>22</v>
      </c>
      <c r="D7" s="6" t="s">
        <v>23</v>
      </c>
      <c r="E7" s="6" t="s">
        <v>24</v>
      </c>
      <c r="F7" s="6" t="s">
        <v>46</v>
      </c>
      <c r="G7" s="6" t="s">
        <v>47</v>
      </c>
      <c r="H7" s="6" t="s">
        <v>48</v>
      </c>
      <c r="I7" s="8">
        <v>4019382</v>
      </c>
      <c r="J7" s="8" t="s">
        <v>28</v>
      </c>
      <c r="K7" s="8"/>
      <c r="L7" s="9"/>
      <c r="M7" s="10"/>
      <c r="N7" s="10"/>
      <c r="O7" s="10"/>
      <c r="P7" s="10"/>
      <c r="Q7" s="10"/>
      <c r="R7" s="10"/>
      <c r="S7" s="10"/>
    </row>
    <row r="8" spans="1:19">
      <c r="A8" s="5" t="s">
        <v>49</v>
      </c>
      <c r="B8" s="5">
        <v>2019</v>
      </c>
      <c r="C8" s="5" t="s">
        <v>22</v>
      </c>
      <c r="D8" s="6" t="s">
        <v>23</v>
      </c>
      <c r="E8" s="6" t="s">
        <v>24</v>
      </c>
      <c r="F8" s="6" t="s">
        <v>50</v>
      </c>
      <c r="G8" s="6" t="s">
        <v>51</v>
      </c>
      <c r="H8" s="6"/>
      <c r="I8" s="8">
        <v>3135851.2</v>
      </c>
      <c r="J8" s="8" t="s">
        <v>28</v>
      </c>
      <c r="K8" s="8"/>
      <c r="L8" s="9"/>
      <c r="M8" s="10"/>
      <c r="N8" s="10"/>
      <c r="O8" s="10"/>
      <c r="P8" s="10"/>
      <c r="Q8" s="10"/>
      <c r="R8" s="10"/>
      <c r="S8" s="10"/>
    </row>
    <row r="9" spans="1:19">
      <c r="A9" s="5" t="s">
        <v>52</v>
      </c>
      <c r="B9" s="5">
        <v>2019</v>
      </c>
      <c r="C9" s="5" t="s">
        <v>22</v>
      </c>
      <c r="D9" s="6" t="s">
        <v>23</v>
      </c>
      <c r="E9" s="6" t="s">
        <v>24</v>
      </c>
      <c r="F9" s="6" t="s">
        <v>53</v>
      </c>
      <c r="G9" s="6" t="s">
        <v>54</v>
      </c>
      <c r="H9" s="6" t="s">
        <v>55</v>
      </c>
      <c r="I9" s="8">
        <v>16926594.199999999</v>
      </c>
      <c r="J9" s="8" t="s">
        <v>28</v>
      </c>
      <c r="K9" s="8"/>
      <c r="L9" s="9"/>
      <c r="M9" s="10"/>
      <c r="N9" s="10"/>
      <c r="O9" s="10"/>
      <c r="P9" s="10"/>
      <c r="Q9" s="10"/>
      <c r="R9" s="10"/>
      <c r="S9" s="10"/>
    </row>
    <row r="10" spans="1:19">
      <c r="A10" s="5" t="s">
        <v>56</v>
      </c>
      <c r="B10" s="5">
        <v>2019</v>
      </c>
      <c r="C10" s="6" t="s">
        <v>22</v>
      </c>
      <c r="D10" s="6" t="s">
        <v>23</v>
      </c>
      <c r="E10" s="6" t="s">
        <v>24</v>
      </c>
      <c r="F10" s="6" t="s">
        <v>57</v>
      </c>
      <c r="G10" s="6" t="s">
        <v>58</v>
      </c>
      <c r="H10" s="6" t="s">
        <v>59</v>
      </c>
      <c r="I10" s="8">
        <v>4394800</v>
      </c>
      <c r="J10" s="8" t="s">
        <v>28</v>
      </c>
      <c r="K10" s="8"/>
      <c r="L10" s="9"/>
      <c r="M10" s="10"/>
      <c r="N10" s="10"/>
      <c r="O10" s="10"/>
      <c r="P10" s="10"/>
      <c r="Q10" s="10"/>
      <c r="R10" s="10"/>
      <c r="S10" s="10"/>
    </row>
    <row r="11" spans="1:19">
      <c r="A11" s="6">
        <v>10</v>
      </c>
      <c r="B11" s="6">
        <v>2019</v>
      </c>
      <c r="C11" s="6" t="s">
        <v>60</v>
      </c>
      <c r="D11" s="6" t="s">
        <v>61</v>
      </c>
      <c r="E11" s="6" t="s">
        <v>62</v>
      </c>
      <c r="F11" s="6" t="s">
        <v>63</v>
      </c>
      <c r="G11" s="6" t="s">
        <v>64</v>
      </c>
      <c r="H11" s="9" t="s">
        <v>65</v>
      </c>
      <c r="I11" s="8">
        <v>3792164.92</v>
      </c>
      <c r="J11" s="8" t="s">
        <v>28</v>
      </c>
      <c r="K11" s="8" t="s">
        <v>66</v>
      </c>
      <c r="L11" s="9"/>
      <c r="M11" s="10"/>
      <c r="N11" s="10"/>
      <c r="O11" s="10"/>
      <c r="P11" s="10"/>
      <c r="Q11" s="10"/>
      <c r="R11" s="10"/>
      <c r="S11" s="10"/>
    </row>
    <row r="12" spans="1:19">
      <c r="A12" s="6">
        <v>11</v>
      </c>
      <c r="B12" s="6">
        <v>2020</v>
      </c>
      <c r="C12" s="6" t="s">
        <v>67</v>
      </c>
      <c r="D12" s="6" t="s">
        <v>61</v>
      </c>
      <c r="E12" s="6" t="s">
        <v>68</v>
      </c>
      <c r="F12" s="6" t="s">
        <v>69</v>
      </c>
      <c r="G12" s="6" t="s">
        <v>70</v>
      </c>
      <c r="H12" s="9" t="s">
        <v>71</v>
      </c>
      <c r="I12" s="13">
        <v>409314</v>
      </c>
      <c r="J12" s="9" t="s">
        <v>28</v>
      </c>
      <c r="K12" s="8"/>
      <c r="L12" s="9"/>
      <c r="M12" s="10"/>
      <c r="N12" s="10"/>
      <c r="O12" s="10"/>
      <c r="P12" s="10"/>
      <c r="Q12" s="10"/>
      <c r="R12" s="10"/>
      <c r="S12" s="10"/>
    </row>
    <row r="13" spans="1:19">
      <c r="A13" s="6">
        <v>12</v>
      </c>
      <c r="B13" s="6">
        <v>2021</v>
      </c>
      <c r="C13" s="6" t="s">
        <v>72</v>
      </c>
      <c r="D13" s="6" t="s">
        <v>61</v>
      </c>
      <c r="E13" s="6" t="s">
        <v>68</v>
      </c>
      <c r="F13" s="6" t="s">
        <v>73</v>
      </c>
      <c r="G13" s="6" t="s">
        <v>74</v>
      </c>
      <c r="H13" s="9" t="s">
        <v>71</v>
      </c>
      <c r="I13" s="13">
        <v>349800</v>
      </c>
      <c r="J13" s="9" t="s">
        <v>28</v>
      </c>
      <c r="K13" s="8"/>
      <c r="L13" s="9"/>
      <c r="M13" s="10"/>
      <c r="N13" s="10"/>
      <c r="O13" s="10"/>
      <c r="P13" s="10"/>
      <c r="Q13" s="10"/>
      <c r="R13" s="10"/>
      <c r="S13" s="10"/>
    </row>
    <row r="14" spans="1:19">
      <c r="A14" s="6">
        <v>13</v>
      </c>
      <c r="B14" s="6">
        <v>2022</v>
      </c>
      <c r="C14" s="6" t="s">
        <v>75</v>
      </c>
      <c r="D14" s="6" t="s">
        <v>61</v>
      </c>
      <c r="E14" s="6" t="s">
        <v>76</v>
      </c>
      <c r="F14" s="6" t="s">
        <v>78</v>
      </c>
      <c r="G14" s="6" t="s">
        <v>79</v>
      </c>
      <c r="H14" s="6"/>
      <c r="I14" s="8">
        <v>1083679</v>
      </c>
      <c r="J14" s="8" t="s">
        <v>28</v>
      </c>
      <c r="K14" s="8" t="s">
        <v>80</v>
      </c>
      <c r="L14" s="9"/>
      <c r="M14" s="10"/>
      <c r="N14" s="10"/>
      <c r="O14" s="10"/>
      <c r="P14" s="10"/>
      <c r="Q14" s="10"/>
      <c r="R14" s="10"/>
      <c r="S14" s="10"/>
    </row>
    <row r="15" spans="1:19">
      <c r="A15" s="14" t="s">
        <v>81</v>
      </c>
      <c r="B15" s="14">
        <v>2022</v>
      </c>
      <c r="C15" s="14" t="s">
        <v>75</v>
      </c>
      <c r="D15" s="15" t="s">
        <v>82</v>
      </c>
      <c r="E15" s="16" t="s">
        <v>76</v>
      </c>
      <c r="F15" s="16" t="s">
        <v>78</v>
      </c>
      <c r="G15" s="16" t="s">
        <v>79</v>
      </c>
      <c r="H15" s="17" t="s">
        <v>83</v>
      </c>
      <c r="I15" s="18">
        <v>1083679</v>
      </c>
      <c r="J15" s="19" t="s">
        <v>28</v>
      </c>
      <c r="K15" s="19" t="s">
        <v>66</v>
      </c>
      <c r="L15" s="19" t="s">
        <v>84</v>
      </c>
      <c r="M15" s="10"/>
      <c r="N15" s="10"/>
      <c r="O15" s="10"/>
      <c r="P15" s="10"/>
      <c r="Q15" s="10"/>
      <c r="R15" s="10"/>
      <c r="S15" s="10"/>
    </row>
    <row r="16" spans="1:19">
      <c r="A16" s="20">
        <v>15</v>
      </c>
      <c r="B16" s="20">
        <v>2023</v>
      </c>
      <c r="C16" s="6" t="s">
        <v>22</v>
      </c>
      <c r="D16" s="15" t="s">
        <v>82</v>
      </c>
      <c r="E16" s="16" t="s">
        <v>85</v>
      </c>
      <c r="F16" s="16" t="s">
        <v>86</v>
      </c>
      <c r="G16" s="16" t="s">
        <v>87</v>
      </c>
      <c r="H16" s="21" t="s">
        <v>88</v>
      </c>
      <c r="I16" s="21">
        <v>349799.56</v>
      </c>
      <c r="J16" s="19" t="s">
        <v>28</v>
      </c>
      <c r="K16" s="19" t="s">
        <v>89</v>
      </c>
      <c r="L16" s="19" t="s">
        <v>90</v>
      </c>
      <c r="M16" s="10"/>
      <c r="N16" s="10"/>
      <c r="O16" s="10"/>
      <c r="P16" s="10"/>
      <c r="Q16" s="10"/>
      <c r="R16" s="10"/>
      <c r="S16" s="10"/>
    </row>
    <row r="17" spans="1:19">
      <c r="A17" s="20">
        <v>16</v>
      </c>
      <c r="B17" s="20">
        <v>2023</v>
      </c>
      <c r="C17" s="6" t="s">
        <v>22</v>
      </c>
      <c r="D17" s="15" t="s">
        <v>82</v>
      </c>
      <c r="E17" s="16" t="s">
        <v>85</v>
      </c>
      <c r="F17" s="16" t="s">
        <v>91</v>
      </c>
      <c r="G17" s="16" t="s">
        <v>92</v>
      </c>
      <c r="H17" s="21" t="s">
        <v>93</v>
      </c>
      <c r="I17" s="18">
        <v>96107</v>
      </c>
      <c r="J17" s="19" t="s">
        <v>28</v>
      </c>
      <c r="K17" s="19"/>
      <c r="L17" s="19" t="s">
        <v>94</v>
      </c>
      <c r="M17" s="10"/>
      <c r="N17" s="10"/>
      <c r="O17" s="10"/>
      <c r="P17" s="10"/>
      <c r="Q17" s="10"/>
      <c r="R17" s="10"/>
      <c r="S17" s="10"/>
    </row>
    <row r="18" spans="1:19">
      <c r="A18" s="20">
        <v>17</v>
      </c>
      <c r="B18" s="20">
        <v>2023</v>
      </c>
      <c r="C18" s="6" t="s">
        <v>22</v>
      </c>
      <c r="D18" s="15" t="s">
        <v>82</v>
      </c>
      <c r="E18" s="16" t="s">
        <v>85</v>
      </c>
      <c r="F18" s="16" t="s">
        <v>95</v>
      </c>
      <c r="G18" s="16" t="s">
        <v>96</v>
      </c>
      <c r="H18" s="21" t="s">
        <v>97</v>
      </c>
      <c r="I18" s="18">
        <v>191500</v>
      </c>
      <c r="J18" s="19" t="s">
        <v>28</v>
      </c>
      <c r="K18" s="19"/>
      <c r="L18" s="19" t="s">
        <v>90</v>
      </c>
      <c r="M18" s="10"/>
      <c r="N18" s="10"/>
      <c r="O18" s="10"/>
      <c r="P18" s="10"/>
      <c r="Q18" s="10"/>
      <c r="R18" s="10"/>
      <c r="S18" s="10"/>
    </row>
    <row r="19" spans="1:19">
      <c r="A19" s="9">
        <v>18</v>
      </c>
      <c r="B19" s="9">
        <v>2025</v>
      </c>
      <c r="C19" s="9" t="s">
        <v>98</v>
      </c>
      <c r="D19" s="6" t="s">
        <v>61</v>
      </c>
      <c r="E19" s="6" t="s">
        <v>85</v>
      </c>
      <c r="F19" s="6" t="s">
        <v>99</v>
      </c>
      <c r="G19" s="6" t="s">
        <v>100</v>
      </c>
      <c r="H19" s="6" t="s">
        <v>102</v>
      </c>
      <c r="I19" s="8">
        <v>358538</v>
      </c>
      <c r="J19" s="8" t="s">
        <v>28</v>
      </c>
      <c r="K19" s="8" t="s">
        <v>89</v>
      </c>
      <c r="L19" s="9"/>
      <c r="M19" s="10"/>
      <c r="N19" s="10"/>
      <c r="O19" s="10"/>
      <c r="P19" s="10"/>
      <c r="Q19" s="10"/>
      <c r="R19" s="10"/>
      <c r="S19" s="10"/>
    </row>
    <row r="20" spans="1:19">
      <c r="A20" s="9">
        <v>19</v>
      </c>
      <c r="B20" s="9">
        <v>2025</v>
      </c>
      <c r="C20" s="6" t="s">
        <v>22</v>
      </c>
      <c r="D20" s="6"/>
      <c r="E20" s="9" t="s">
        <v>103</v>
      </c>
      <c r="F20" s="22" t="s">
        <v>104</v>
      </c>
      <c r="G20" s="6" t="s">
        <v>105</v>
      </c>
      <c r="H20" s="9" t="s">
        <v>106</v>
      </c>
      <c r="I20" s="23"/>
      <c r="J20" s="8" t="s">
        <v>28</v>
      </c>
      <c r="K20" s="8" t="s">
        <v>89</v>
      </c>
      <c r="L20" s="9"/>
      <c r="M20" s="10"/>
      <c r="N20" s="10"/>
      <c r="O20" s="10"/>
      <c r="P20" s="10"/>
      <c r="Q20" s="10"/>
      <c r="R20" s="10"/>
      <c r="S20" s="10"/>
    </row>
    <row r="21" spans="1:19">
      <c r="A21" s="9">
        <v>20</v>
      </c>
      <c r="B21" s="9">
        <v>2025</v>
      </c>
      <c r="C21" s="6" t="s">
        <v>22</v>
      </c>
      <c r="D21" s="6"/>
      <c r="E21" s="9" t="s">
        <v>103</v>
      </c>
      <c r="F21" s="22" t="s">
        <v>107</v>
      </c>
      <c r="G21" s="6" t="s">
        <v>108</v>
      </c>
      <c r="H21" s="9" t="s">
        <v>71</v>
      </c>
      <c r="I21" s="23"/>
      <c r="J21" s="8" t="s">
        <v>28</v>
      </c>
      <c r="K21" s="8" t="s">
        <v>89</v>
      </c>
      <c r="L21" s="9"/>
      <c r="M21" s="10"/>
      <c r="N21" s="10"/>
      <c r="O21" s="10"/>
      <c r="P21" s="10"/>
      <c r="Q21" s="10"/>
      <c r="R21" s="10"/>
      <c r="S21" s="10"/>
    </row>
    <row r="22" spans="1:19">
      <c r="A22" s="9">
        <v>21</v>
      </c>
      <c r="B22" s="9">
        <v>2025</v>
      </c>
      <c r="C22" s="6" t="s">
        <v>22</v>
      </c>
      <c r="D22" s="6"/>
      <c r="E22" s="9" t="s">
        <v>103</v>
      </c>
      <c r="F22" s="22" t="s">
        <v>109</v>
      </c>
      <c r="G22" s="6" t="s">
        <v>110</v>
      </c>
      <c r="H22" s="9" t="s">
        <v>111</v>
      </c>
      <c r="I22" s="23"/>
      <c r="J22" s="8" t="s">
        <v>28</v>
      </c>
      <c r="K22" s="8" t="s">
        <v>89</v>
      </c>
      <c r="L22" s="9"/>
      <c r="M22" s="10"/>
      <c r="N22" s="10"/>
      <c r="O22" s="10"/>
      <c r="P22" s="10"/>
      <c r="Q22" s="10"/>
      <c r="R22" s="10"/>
      <c r="S22" s="10"/>
    </row>
    <row r="23" spans="1:19">
      <c r="A23" s="6">
        <v>22</v>
      </c>
      <c r="B23" s="6">
        <v>2025</v>
      </c>
      <c r="C23" s="5" t="s">
        <v>22</v>
      </c>
      <c r="D23" s="6" t="s">
        <v>112</v>
      </c>
      <c r="E23" s="6" t="s">
        <v>113</v>
      </c>
      <c r="F23" s="22" t="s">
        <v>114</v>
      </c>
      <c r="G23" s="6" t="s">
        <v>110</v>
      </c>
      <c r="H23" s="9" t="s">
        <v>111</v>
      </c>
      <c r="I23" s="23"/>
      <c r="J23" s="9" t="s">
        <v>28</v>
      </c>
      <c r="K23" s="8" t="s">
        <v>89</v>
      </c>
      <c r="L23" s="9"/>
      <c r="M23" s="10"/>
      <c r="N23" s="10"/>
      <c r="O23" s="10"/>
      <c r="P23" s="10"/>
      <c r="Q23" s="10"/>
      <c r="R23" s="10"/>
      <c r="S23" s="10"/>
    </row>
    <row r="24" spans="1:19">
      <c r="A24" s="6">
        <v>23</v>
      </c>
      <c r="B24" s="6">
        <v>2025</v>
      </c>
      <c r="C24" s="5" t="s">
        <v>22</v>
      </c>
      <c r="D24" s="6" t="s">
        <v>112</v>
      </c>
      <c r="E24" s="6" t="s">
        <v>113</v>
      </c>
      <c r="F24" s="22" t="s">
        <v>115</v>
      </c>
      <c r="G24" s="6" t="s">
        <v>116</v>
      </c>
      <c r="H24" s="9" t="s">
        <v>117</v>
      </c>
      <c r="I24" s="23"/>
      <c r="J24" s="9" t="s">
        <v>28</v>
      </c>
      <c r="K24" s="8"/>
      <c r="L24" s="9"/>
      <c r="M24" s="10"/>
      <c r="N24" s="10"/>
      <c r="O24" s="10"/>
      <c r="P24" s="10"/>
      <c r="Q24" s="10"/>
      <c r="R24" s="10"/>
      <c r="S24" s="10"/>
    </row>
    <row r="25" spans="1:19">
      <c r="A25" s="6">
        <v>24</v>
      </c>
      <c r="B25" s="6">
        <v>2025</v>
      </c>
      <c r="C25" s="6" t="s">
        <v>22</v>
      </c>
      <c r="D25" s="6" t="s">
        <v>112</v>
      </c>
      <c r="E25" s="6" t="s">
        <v>113</v>
      </c>
      <c r="F25" s="22" t="s">
        <v>118</v>
      </c>
      <c r="G25" s="6" t="s">
        <v>119</v>
      </c>
      <c r="H25" s="9" t="s">
        <v>120</v>
      </c>
      <c r="I25" s="23"/>
      <c r="J25" s="9" t="s">
        <v>28</v>
      </c>
      <c r="K25" s="8" t="s">
        <v>89</v>
      </c>
      <c r="L25" s="9"/>
      <c r="M25" s="10"/>
      <c r="N25" s="10"/>
      <c r="O25" s="10"/>
      <c r="P25" s="10"/>
      <c r="Q25" s="10"/>
      <c r="R25" s="10"/>
      <c r="S25" s="10"/>
    </row>
    <row r="26" spans="1:19">
      <c r="A26" s="16">
        <v>25</v>
      </c>
      <c r="B26" s="16">
        <v>2025</v>
      </c>
      <c r="C26" s="6" t="s">
        <v>22</v>
      </c>
      <c r="D26" s="15" t="s">
        <v>82</v>
      </c>
      <c r="E26" s="20" t="s">
        <v>103</v>
      </c>
      <c r="F26" s="24" t="s">
        <v>104</v>
      </c>
      <c r="G26" s="16" t="s">
        <v>105</v>
      </c>
      <c r="H26" s="20" t="s">
        <v>106</v>
      </c>
      <c r="I26" s="25">
        <v>2384720</v>
      </c>
      <c r="J26" s="19" t="s">
        <v>28</v>
      </c>
      <c r="K26" s="26" t="s">
        <v>89</v>
      </c>
      <c r="L26" s="19" t="s">
        <v>121</v>
      </c>
      <c r="M26" s="10"/>
      <c r="N26" s="10"/>
      <c r="O26" s="10"/>
      <c r="P26" s="10"/>
      <c r="Q26" s="10"/>
      <c r="R26" s="10"/>
      <c r="S26" s="10"/>
    </row>
    <row r="27" spans="1:19">
      <c r="A27" s="20">
        <v>26</v>
      </c>
      <c r="B27" s="20">
        <v>2025</v>
      </c>
      <c r="C27" s="6" t="s">
        <v>22</v>
      </c>
      <c r="D27" s="15" t="s">
        <v>82</v>
      </c>
      <c r="E27" s="20" t="s">
        <v>103</v>
      </c>
      <c r="F27" s="24" t="s">
        <v>109</v>
      </c>
      <c r="G27" s="16" t="s">
        <v>110</v>
      </c>
      <c r="H27" s="20" t="s">
        <v>111</v>
      </c>
      <c r="I27" s="25">
        <v>2332760.88</v>
      </c>
      <c r="J27" s="19" t="s">
        <v>28</v>
      </c>
      <c r="K27" s="26" t="s">
        <v>89</v>
      </c>
      <c r="L27" s="19" t="s">
        <v>122</v>
      </c>
      <c r="M27" s="10"/>
      <c r="N27" s="10"/>
      <c r="O27" s="10"/>
      <c r="P27" s="10"/>
      <c r="Q27" s="10"/>
      <c r="R27" s="10"/>
      <c r="S27" s="10"/>
    </row>
    <row r="28" spans="1:19">
      <c r="A28" s="20">
        <v>27</v>
      </c>
      <c r="B28" s="20">
        <v>2025</v>
      </c>
      <c r="C28" s="6" t="s">
        <v>22</v>
      </c>
      <c r="D28" s="15" t="s">
        <v>82</v>
      </c>
      <c r="E28" s="16" t="s">
        <v>85</v>
      </c>
      <c r="F28" s="16" t="s">
        <v>99</v>
      </c>
      <c r="G28" s="16" t="s">
        <v>100</v>
      </c>
      <c r="H28" s="16" t="s">
        <v>102</v>
      </c>
      <c r="I28" s="18">
        <v>358538</v>
      </c>
      <c r="J28" s="19" t="s">
        <v>28</v>
      </c>
      <c r="K28" s="19" t="s">
        <v>89</v>
      </c>
      <c r="L28" s="19"/>
      <c r="M28" s="10"/>
      <c r="N28" s="10"/>
      <c r="O28" s="10"/>
      <c r="P28" s="10"/>
      <c r="Q28" s="10"/>
      <c r="R28" s="10"/>
      <c r="S28" s="10"/>
    </row>
    <row r="29" spans="1:19">
      <c r="A29" s="5" t="s">
        <v>123</v>
      </c>
      <c r="B29" s="5" t="s">
        <v>124</v>
      </c>
      <c r="C29" s="6" t="s">
        <v>22</v>
      </c>
      <c r="D29" s="6" t="s">
        <v>23</v>
      </c>
      <c r="E29" s="6" t="s">
        <v>125</v>
      </c>
      <c r="F29" s="6" t="s">
        <v>126</v>
      </c>
      <c r="G29" s="6" t="s">
        <v>127</v>
      </c>
      <c r="H29" s="6" t="s">
        <v>117</v>
      </c>
      <c r="I29" s="8">
        <v>5867730.2000000002</v>
      </c>
      <c r="J29" s="8" t="s">
        <v>28</v>
      </c>
      <c r="K29" s="8" t="s">
        <v>89</v>
      </c>
      <c r="L29" s="9"/>
      <c r="M29" s="10"/>
      <c r="N29" s="10"/>
      <c r="O29" s="10"/>
      <c r="P29" s="10"/>
      <c r="Q29" s="10"/>
      <c r="R29" s="10"/>
      <c r="S29" s="10"/>
    </row>
    <row r="30" spans="1:19">
      <c r="A30" s="5" t="s">
        <v>128</v>
      </c>
      <c r="B30" s="5" t="s">
        <v>129</v>
      </c>
      <c r="C30" s="27" t="s">
        <v>130</v>
      </c>
      <c r="D30" s="6" t="s">
        <v>61</v>
      </c>
      <c r="E30" s="6" t="s">
        <v>85</v>
      </c>
      <c r="F30" s="6" t="s">
        <v>91</v>
      </c>
      <c r="G30" s="6" t="s">
        <v>131</v>
      </c>
      <c r="H30" s="6" t="s">
        <v>132</v>
      </c>
      <c r="I30" s="8">
        <v>96107</v>
      </c>
      <c r="J30" s="8" t="s">
        <v>28</v>
      </c>
      <c r="K30" s="8" t="s">
        <v>89</v>
      </c>
      <c r="L30" s="9"/>
      <c r="M30" s="10"/>
      <c r="N30" s="10"/>
      <c r="O30" s="10"/>
      <c r="P30" s="10"/>
      <c r="Q30" s="10"/>
      <c r="R30" s="10"/>
      <c r="S30" s="10"/>
    </row>
    <row r="31" spans="1:19">
      <c r="A31" s="28" t="s">
        <v>133</v>
      </c>
      <c r="B31" s="28" t="s">
        <v>129</v>
      </c>
      <c r="C31" s="28" t="s">
        <v>134</v>
      </c>
      <c r="D31" s="6" t="s">
        <v>61</v>
      </c>
      <c r="E31" s="6" t="s">
        <v>85</v>
      </c>
      <c r="F31" s="29" t="s">
        <v>95</v>
      </c>
      <c r="G31" s="29" t="s">
        <v>96</v>
      </c>
      <c r="H31" s="6" t="s">
        <v>136</v>
      </c>
      <c r="I31" s="30">
        <v>191500</v>
      </c>
      <c r="J31" s="8" t="s">
        <v>28</v>
      </c>
      <c r="K31" s="8" t="s">
        <v>66</v>
      </c>
      <c r="L31" s="9"/>
      <c r="M31" s="10"/>
      <c r="N31" s="10"/>
      <c r="O31" s="10"/>
      <c r="P31" s="10"/>
      <c r="Q31" s="10"/>
      <c r="R31" s="10"/>
      <c r="S31" s="10"/>
    </row>
    <row r="32" spans="1:19">
      <c r="A32" s="5" t="s">
        <v>137</v>
      </c>
      <c r="B32" s="5" t="s">
        <v>129</v>
      </c>
      <c r="C32" s="5" t="s">
        <v>138</v>
      </c>
      <c r="D32" s="6" t="s">
        <v>61</v>
      </c>
      <c r="E32" s="6" t="s">
        <v>85</v>
      </c>
      <c r="F32" s="6" t="s">
        <v>86</v>
      </c>
      <c r="G32" s="6" t="s">
        <v>87</v>
      </c>
      <c r="H32" s="6" t="s">
        <v>139</v>
      </c>
      <c r="I32" s="8">
        <v>349799.56</v>
      </c>
      <c r="J32" s="8" t="s">
        <v>28</v>
      </c>
      <c r="K32" s="8" t="s">
        <v>89</v>
      </c>
      <c r="L32" s="9"/>
      <c r="M32" s="10"/>
      <c r="N32" s="10"/>
      <c r="O32" s="10"/>
      <c r="P32" s="10"/>
      <c r="Q32" s="10"/>
      <c r="R32" s="10"/>
      <c r="S32" s="10"/>
    </row>
    <row r="33" spans="1:19">
      <c r="A33" s="5" t="s">
        <v>140</v>
      </c>
      <c r="B33" s="5" t="s">
        <v>129</v>
      </c>
      <c r="C33" s="5" t="s">
        <v>141</v>
      </c>
      <c r="D33" s="6" t="s">
        <v>61</v>
      </c>
      <c r="E33" s="6" t="s">
        <v>125</v>
      </c>
      <c r="F33" s="6" t="s">
        <v>142</v>
      </c>
      <c r="G33" s="6" t="s">
        <v>143</v>
      </c>
      <c r="H33" s="6" t="s">
        <v>145</v>
      </c>
      <c r="I33" s="8">
        <v>2715682.84</v>
      </c>
      <c r="J33" s="8" t="s">
        <v>28</v>
      </c>
      <c r="K33" s="8" t="s">
        <v>89</v>
      </c>
      <c r="L33" s="9"/>
      <c r="M33" s="10"/>
      <c r="N33" s="10"/>
      <c r="O33" s="10"/>
      <c r="P33" s="10"/>
      <c r="Q33" s="10"/>
      <c r="R33" s="10"/>
      <c r="S33" s="10"/>
    </row>
    <row r="34" spans="1:19">
      <c r="A34" s="5" t="s">
        <v>146</v>
      </c>
      <c r="B34" s="5" t="s">
        <v>129</v>
      </c>
      <c r="C34" s="5" t="s">
        <v>147</v>
      </c>
      <c r="D34" s="6" t="s">
        <v>61</v>
      </c>
      <c r="E34" s="6" t="s">
        <v>125</v>
      </c>
      <c r="F34" s="8" t="s">
        <v>148</v>
      </c>
      <c r="G34" s="6" t="s">
        <v>149</v>
      </c>
      <c r="H34" s="6" t="s">
        <v>150</v>
      </c>
      <c r="I34" s="8">
        <v>2398683</v>
      </c>
      <c r="J34" s="8" t="s">
        <v>28</v>
      </c>
      <c r="K34" s="8" t="s">
        <v>89</v>
      </c>
      <c r="L34" s="9"/>
      <c r="M34" s="10"/>
      <c r="N34" s="10"/>
      <c r="O34" s="10"/>
      <c r="P34" s="10"/>
      <c r="Q34" s="10"/>
      <c r="R34" s="10"/>
      <c r="S34" s="10"/>
    </row>
    <row r="35" spans="1:19">
      <c r="A35" s="5" t="s">
        <v>151</v>
      </c>
      <c r="B35" s="5" t="s">
        <v>129</v>
      </c>
      <c r="C35" s="6" t="s">
        <v>23</v>
      </c>
      <c r="D35" s="6" t="s">
        <v>61</v>
      </c>
      <c r="E35" s="6" t="s">
        <v>125</v>
      </c>
      <c r="F35" s="6" t="s">
        <v>152</v>
      </c>
      <c r="G35" s="6" t="s">
        <v>153</v>
      </c>
      <c r="H35" s="6" t="s">
        <v>155</v>
      </c>
      <c r="I35" s="8">
        <v>7936800</v>
      </c>
      <c r="J35" s="8" t="s">
        <v>28</v>
      </c>
      <c r="K35" s="8" t="s">
        <v>89</v>
      </c>
      <c r="L35" s="9"/>
      <c r="M35" s="10"/>
      <c r="N35" s="10"/>
      <c r="O35" s="10"/>
      <c r="P35" s="10"/>
      <c r="Q35" s="10"/>
      <c r="R35" s="10"/>
      <c r="S35" s="10"/>
    </row>
    <row r="36" spans="1:19">
      <c r="A36" s="14" t="s">
        <v>156</v>
      </c>
      <c r="B36" s="14" t="s">
        <v>129</v>
      </c>
      <c r="C36" s="6" t="s">
        <v>22</v>
      </c>
      <c r="D36" s="15" t="s">
        <v>82</v>
      </c>
      <c r="E36" s="16" t="s">
        <v>85</v>
      </c>
      <c r="F36" s="16" t="s">
        <v>91</v>
      </c>
      <c r="G36" s="16" t="s">
        <v>131</v>
      </c>
      <c r="H36" s="16" t="s">
        <v>132</v>
      </c>
      <c r="I36" s="18">
        <v>96107</v>
      </c>
      <c r="J36" s="19" t="s">
        <v>28</v>
      </c>
      <c r="K36" s="19" t="s">
        <v>89</v>
      </c>
      <c r="L36" s="19" t="s">
        <v>157</v>
      </c>
      <c r="M36" s="10"/>
      <c r="N36" s="10"/>
      <c r="O36" s="10"/>
      <c r="P36" s="10"/>
      <c r="Q36" s="10"/>
      <c r="R36" s="10"/>
      <c r="S36" s="10"/>
    </row>
    <row r="37" spans="1:19">
      <c r="A37" s="14" t="s">
        <v>158</v>
      </c>
      <c r="B37" s="14" t="s">
        <v>129</v>
      </c>
      <c r="C37" s="6" t="s">
        <v>22</v>
      </c>
      <c r="D37" s="15" t="s">
        <v>82</v>
      </c>
      <c r="E37" s="16" t="s">
        <v>85</v>
      </c>
      <c r="F37" s="16" t="s">
        <v>95</v>
      </c>
      <c r="G37" s="16" t="s">
        <v>96</v>
      </c>
      <c r="H37" s="16" t="s">
        <v>136</v>
      </c>
      <c r="I37" s="32">
        <v>191500</v>
      </c>
      <c r="J37" s="19" t="s">
        <v>28</v>
      </c>
      <c r="K37" s="19" t="s">
        <v>66</v>
      </c>
      <c r="L37" s="19" t="s">
        <v>159</v>
      </c>
      <c r="M37" s="10"/>
      <c r="N37" s="10"/>
      <c r="O37" s="10"/>
      <c r="P37" s="10"/>
      <c r="Q37" s="10"/>
      <c r="R37" s="10"/>
      <c r="S37" s="10"/>
    </row>
    <row r="38" spans="1:19">
      <c r="A38" s="14" t="s">
        <v>160</v>
      </c>
      <c r="B38" s="14" t="s">
        <v>129</v>
      </c>
      <c r="C38" s="6" t="s">
        <v>22</v>
      </c>
      <c r="D38" s="15" t="s">
        <v>82</v>
      </c>
      <c r="E38" s="16" t="s">
        <v>85</v>
      </c>
      <c r="F38" s="16" t="s">
        <v>86</v>
      </c>
      <c r="G38" s="16" t="s">
        <v>87</v>
      </c>
      <c r="H38" s="16" t="s">
        <v>139</v>
      </c>
      <c r="I38" s="19">
        <v>349799.56</v>
      </c>
      <c r="J38" s="19" t="s">
        <v>28</v>
      </c>
      <c r="K38" s="19" t="s">
        <v>89</v>
      </c>
      <c r="L38" s="19" t="s">
        <v>161</v>
      </c>
      <c r="M38" s="10"/>
      <c r="N38" s="10"/>
      <c r="O38" s="10"/>
      <c r="P38" s="10"/>
      <c r="Q38" s="10"/>
      <c r="R38" s="10"/>
      <c r="S38" s="10"/>
    </row>
    <row r="39" spans="1:19">
      <c r="A39" s="14" t="s">
        <v>162</v>
      </c>
      <c r="B39" s="14" t="s">
        <v>129</v>
      </c>
      <c r="C39" s="6" t="s">
        <v>22</v>
      </c>
      <c r="D39" s="15" t="s">
        <v>82</v>
      </c>
      <c r="E39" s="16" t="s">
        <v>125</v>
      </c>
      <c r="F39" s="16" t="s">
        <v>142</v>
      </c>
      <c r="G39" s="16" t="s">
        <v>143</v>
      </c>
      <c r="H39" s="16" t="s">
        <v>145</v>
      </c>
      <c r="I39" s="18">
        <v>2715682.84</v>
      </c>
      <c r="J39" s="19" t="s">
        <v>28</v>
      </c>
      <c r="K39" s="19" t="s">
        <v>89</v>
      </c>
      <c r="L39" s="19"/>
      <c r="M39" s="10"/>
      <c r="N39" s="10"/>
      <c r="O39" s="10"/>
      <c r="P39" s="10"/>
      <c r="Q39" s="10"/>
      <c r="R39" s="10"/>
      <c r="S39" s="10"/>
    </row>
    <row r="40" spans="1:19">
      <c r="A40" s="14" t="s">
        <v>163</v>
      </c>
      <c r="B40" s="14" t="s">
        <v>129</v>
      </c>
      <c r="C40" s="6" t="s">
        <v>22</v>
      </c>
      <c r="D40" s="15" t="s">
        <v>82</v>
      </c>
      <c r="E40" s="16" t="s">
        <v>125</v>
      </c>
      <c r="F40" s="19" t="s">
        <v>148</v>
      </c>
      <c r="G40" s="16" t="s">
        <v>149</v>
      </c>
      <c r="H40" s="16" t="s">
        <v>150</v>
      </c>
      <c r="I40" s="18">
        <v>2398683</v>
      </c>
      <c r="J40" s="19" t="s">
        <v>28</v>
      </c>
      <c r="K40" s="19" t="s">
        <v>89</v>
      </c>
      <c r="L40" s="19"/>
      <c r="M40" s="10"/>
      <c r="N40" s="10"/>
      <c r="O40" s="10"/>
      <c r="P40" s="10"/>
      <c r="Q40" s="10"/>
      <c r="R40" s="10"/>
      <c r="S40" s="10"/>
    </row>
    <row r="41" spans="1:19">
      <c r="A41" s="14" t="s">
        <v>164</v>
      </c>
      <c r="B41" s="14" t="s">
        <v>129</v>
      </c>
      <c r="C41" s="6" t="s">
        <v>22</v>
      </c>
      <c r="D41" s="15" t="s">
        <v>82</v>
      </c>
      <c r="E41" s="16" t="s">
        <v>125</v>
      </c>
      <c r="F41" s="16" t="s">
        <v>152</v>
      </c>
      <c r="G41" s="16" t="s">
        <v>153</v>
      </c>
      <c r="H41" s="16" t="s">
        <v>155</v>
      </c>
      <c r="I41" s="18">
        <v>7936800</v>
      </c>
      <c r="J41" s="19" t="s">
        <v>28</v>
      </c>
      <c r="K41" s="19" t="s">
        <v>89</v>
      </c>
      <c r="L41" s="19"/>
      <c r="M41" s="10"/>
      <c r="N41" s="10"/>
      <c r="O41" s="10"/>
      <c r="P41" s="10"/>
      <c r="Q41" s="10"/>
      <c r="R41" s="10"/>
      <c r="S41" s="10"/>
    </row>
    <row r="42" spans="1:19">
      <c r="A42" s="5" t="s">
        <v>165</v>
      </c>
      <c r="B42" s="5" t="s">
        <v>166</v>
      </c>
      <c r="C42" s="27" t="s">
        <v>167</v>
      </c>
      <c r="D42" s="6" t="s">
        <v>61</v>
      </c>
      <c r="E42" s="6" t="s">
        <v>85</v>
      </c>
      <c r="F42" s="6" t="s">
        <v>168</v>
      </c>
      <c r="G42" s="6" t="s">
        <v>169</v>
      </c>
      <c r="H42" s="6" t="s">
        <v>170</v>
      </c>
      <c r="I42" s="8">
        <v>395212</v>
      </c>
      <c r="J42" s="8" t="s">
        <v>28</v>
      </c>
      <c r="K42" s="8" t="s">
        <v>89</v>
      </c>
      <c r="L42" s="9"/>
      <c r="M42" s="10"/>
      <c r="N42" s="10"/>
      <c r="O42" s="10"/>
      <c r="P42" s="10"/>
      <c r="Q42" s="10"/>
      <c r="R42" s="10"/>
      <c r="S42" s="10"/>
    </row>
    <row r="43" spans="1:19">
      <c r="A43" s="5" t="s">
        <v>171</v>
      </c>
      <c r="B43" s="5" t="s">
        <v>166</v>
      </c>
      <c r="C43" s="5" t="s">
        <v>172</v>
      </c>
      <c r="D43" s="6" t="s">
        <v>61</v>
      </c>
      <c r="E43" s="6" t="s">
        <v>85</v>
      </c>
      <c r="F43" s="6" t="s">
        <v>173</v>
      </c>
      <c r="G43" s="6" t="s">
        <v>174</v>
      </c>
      <c r="H43" s="6" t="s">
        <v>175</v>
      </c>
      <c r="I43" s="8">
        <v>43250</v>
      </c>
      <c r="J43" s="8" t="s">
        <v>28</v>
      </c>
      <c r="K43" s="8" t="s">
        <v>66</v>
      </c>
      <c r="L43" s="9"/>
      <c r="M43" s="10"/>
      <c r="N43" s="10"/>
      <c r="O43" s="10"/>
      <c r="P43" s="10"/>
      <c r="Q43" s="10"/>
      <c r="R43" s="10"/>
      <c r="S43" s="10"/>
    </row>
    <row r="44" spans="1:19">
      <c r="A44" s="5" t="s">
        <v>176</v>
      </c>
      <c r="B44" s="5" t="s">
        <v>166</v>
      </c>
      <c r="C44" s="5" t="s">
        <v>177</v>
      </c>
      <c r="D44" s="6" t="s">
        <v>61</v>
      </c>
      <c r="E44" s="6" t="s">
        <v>85</v>
      </c>
      <c r="F44" s="6" t="s">
        <v>178</v>
      </c>
      <c r="G44" s="6" t="s">
        <v>179</v>
      </c>
      <c r="H44" s="6" t="s">
        <v>180</v>
      </c>
      <c r="I44" s="8">
        <v>236341.77</v>
      </c>
      <c r="J44" s="8" t="s">
        <v>28</v>
      </c>
      <c r="K44" s="8" t="s">
        <v>89</v>
      </c>
      <c r="L44" s="9"/>
      <c r="M44" s="10"/>
      <c r="N44" s="10"/>
      <c r="O44" s="10"/>
      <c r="P44" s="10"/>
      <c r="Q44" s="10"/>
      <c r="R44" s="10"/>
      <c r="S44" s="10"/>
    </row>
    <row r="45" spans="1:19">
      <c r="A45" s="5" t="s">
        <v>181</v>
      </c>
      <c r="B45" s="5" t="s">
        <v>166</v>
      </c>
      <c r="C45" s="5" t="s">
        <v>182</v>
      </c>
      <c r="D45" s="6" t="s">
        <v>61</v>
      </c>
      <c r="E45" s="6" t="s">
        <v>125</v>
      </c>
      <c r="F45" s="6" t="s">
        <v>183</v>
      </c>
      <c r="G45" s="6" t="s">
        <v>184</v>
      </c>
      <c r="H45" s="6" t="s">
        <v>185</v>
      </c>
      <c r="I45" s="8">
        <v>2998072</v>
      </c>
      <c r="J45" s="8" t="s">
        <v>28</v>
      </c>
      <c r="K45" s="8" t="s">
        <v>89</v>
      </c>
      <c r="L45" s="9"/>
      <c r="M45" s="10"/>
      <c r="N45" s="10"/>
      <c r="O45" s="10"/>
      <c r="P45" s="10"/>
      <c r="Q45" s="10"/>
      <c r="R45" s="10"/>
      <c r="S45" s="10"/>
    </row>
    <row r="46" spans="1:19">
      <c r="A46" s="5" t="s">
        <v>186</v>
      </c>
      <c r="B46" s="5" t="s">
        <v>166</v>
      </c>
      <c r="C46" s="5" t="s">
        <v>187</v>
      </c>
      <c r="D46" s="6" t="s">
        <v>61</v>
      </c>
      <c r="E46" s="6" t="s">
        <v>125</v>
      </c>
      <c r="F46" s="6" t="s">
        <v>188</v>
      </c>
      <c r="G46" s="6" t="s">
        <v>189</v>
      </c>
      <c r="H46" s="6" t="s">
        <v>190</v>
      </c>
      <c r="I46" s="8">
        <v>2911170</v>
      </c>
      <c r="J46" s="8" t="s">
        <v>28</v>
      </c>
      <c r="K46" s="8" t="s">
        <v>89</v>
      </c>
      <c r="L46" s="9"/>
      <c r="M46" s="10"/>
      <c r="N46" s="10"/>
      <c r="O46" s="10"/>
      <c r="P46" s="10"/>
      <c r="Q46" s="10"/>
      <c r="R46" s="10"/>
      <c r="S46" s="10"/>
    </row>
    <row r="47" spans="1:19">
      <c r="A47" s="5" t="s">
        <v>191</v>
      </c>
      <c r="B47" s="5" t="s">
        <v>166</v>
      </c>
      <c r="C47" s="5" t="s">
        <v>192</v>
      </c>
      <c r="D47" s="6" t="s">
        <v>61</v>
      </c>
      <c r="E47" s="6" t="s">
        <v>125</v>
      </c>
      <c r="F47" s="6" t="s">
        <v>193</v>
      </c>
      <c r="G47" s="6" t="s">
        <v>194</v>
      </c>
      <c r="H47" s="6" t="s">
        <v>106</v>
      </c>
      <c r="I47" s="8">
        <v>2384720</v>
      </c>
      <c r="J47" s="8" t="s">
        <v>28</v>
      </c>
      <c r="K47" s="8" t="s">
        <v>89</v>
      </c>
      <c r="L47" s="9"/>
      <c r="M47" s="10"/>
      <c r="N47" s="10"/>
      <c r="O47" s="10"/>
      <c r="P47" s="10"/>
      <c r="Q47" s="10"/>
      <c r="R47" s="10"/>
      <c r="S47" s="10"/>
    </row>
    <row r="48" spans="1:19">
      <c r="A48" s="5" t="s">
        <v>195</v>
      </c>
      <c r="B48" s="5" t="s">
        <v>166</v>
      </c>
      <c r="C48" s="5" t="s">
        <v>196</v>
      </c>
      <c r="D48" s="6" t="s">
        <v>61</v>
      </c>
      <c r="E48" s="6" t="s">
        <v>197</v>
      </c>
      <c r="F48" s="6" t="s">
        <v>198</v>
      </c>
      <c r="G48" s="6" t="s">
        <v>199</v>
      </c>
      <c r="H48" s="6" t="s">
        <v>200</v>
      </c>
      <c r="I48" s="8">
        <v>2975715</v>
      </c>
      <c r="J48" s="8" t="s">
        <v>28</v>
      </c>
      <c r="K48" s="8" t="s">
        <v>89</v>
      </c>
      <c r="L48" s="9"/>
      <c r="M48" s="10"/>
      <c r="N48" s="10"/>
      <c r="O48" s="10"/>
      <c r="P48" s="10"/>
      <c r="Q48" s="10"/>
      <c r="R48" s="10"/>
      <c r="S48" s="10"/>
    </row>
    <row r="49" spans="1:19">
      <c r="A49" s="5" t="s">
        <v>201</v>
      </c>
      <c r="B49" s="5" t="s">
        <v>166</v>
      </c>
      <c r="C49" s="5" t="s">
        <v>202</v>
      </c>
      <c r="D49" s="6" t="s">
        <v>61</v>
      </c>
      <c r="E49" s="6" t="s">
        <v>125</v>
      </c>
      <c r="F49" s="6" t="s">
        <v>203</v>
      </c>
      <c r="G49" s="6" t="s">
        <v>204</v>
      </c>
      <c r="H49" s="6" t="s">
        <v>205</v>
      </c>
      <c r="I49" s="8">
        <v>2999945.74</v>
      </c>
      <c r="J49" s="8" t="s">
        <v>28</v>
      </c>
      <c r="K49" s="8" t="s">
        <v>89</v>
      </c>
      <c r="L49" s="9"/>
      <c r="M49" s="10"/>
      <c r="N49" s="10"/>
      <c r="O49" s="10"/>
      <c r="P49" s="10"/>
      <c r="Q49" s="10"/>
      <c r="R49" s="10"/>
      <c r="S49" s="10"/>
    </row>
    <row r="50" spans="1:19">
      <c r="A50" s="5" t="s">
        <v>206</v>
      </c>
      <c r="B50" s="5" t="s">
        <v>166</v>
      </c>
      <c r="C50" s="5" t="s">
        <v>207</v>
      </c>
      <c r="D50" s="6" t="s">
        <v>61</v>
      </c>
      <c r="E50" s="6" t="s">
        <v>125</v>
      </c>
      <c r="F50" s="6" t="s">
        <v>208</v>
      </c>
      <c r="G50" s="6" t="s">
        <v>209</v>
      </c>
      <c r="H50" s="6" t="s">
        <v>211</v>
      </c>
      <c r="I50" s="8">
        <v>2789556</v>
      </c>
      <c r="J50" s="8" t="s">
        <v>28</v>
      </c>
      <c r="K50" s="8" t="s">
        <v>89</v>
      </c>
      <c r="L50" s="9"/>
      <c r="M50" s="10"/>
      <c r="N50" s="10"/>
      <c r="O50" s="10"/>
      <c r="P50" s="10"/>
      <c r="Q50" s="10"/>
      <c r="R50" s="10"/>
      <c r="S50" s="10"/>
    </row>
    <row r="51" spans="1:19">
      <c r="A51" s="5" t="s">
        <v>212</v>
      </c>
      <c r="B51" s="5" t="s">
        <v>166</v>
      </c>
      <c r="C51" s="33" t="s">
        <v>213</v>
      </c>
      <c r="D51" s="6" t="s">
        <v>61</v>
      </c>
      <c r="E51" s="6" t="s">
        <v>125</v>
      </c>
      <c r="F51" s="6" t="s">
        <v>214</v>
      </c>
      <c r="G51" s="6" t="s">
        <v>215</v>
      </c>
      <c r="H51" s="6" t="s">
        <v>217</v>
      </c>
      <c r="I51" s="8">
        <v>2896644</v>
      </c>
      <c r="J51" s="8" t="s">
        <v>28</v>
      </c>
      <c r="K51" s="8" t="s">
        <v>89</v>
      </c>
      <c r="L51" s="9"/>
      <c r="M51" s="10"/>
      <c r="N51" s="10"/>
      <c r="O51" s="10"/>
      <c r="P51" s="10"/>
      <c r="Q51" s="10"/>
      <c r="R51" s="10"/>
      <c r="S51" s="10"/>
    </row>
    <row r="52" spans="1:19">
      <c r="A52" s="5" t="s">
        <v>218</v>
      </c>
      <c r="B52" s="5" t="s">
        <v>166</v>
      </c>
      <c r="C52" s="5" t="s">
        <v>219</v>
      </c>
      <c r="D52" s="6" t="s">
        <v>61</v>
      </c>
      <c r="E52" s="6" t="s">
        <v>125</v>
      </c>
      <c r="F52" s="6" t="s">
        <v>220</v>
      </c>
      <c r="G52" s="6" t="s">
        <v>221</v>
      </c>
      <c r="H52" s="6" t="s">
        <v>222</v>
      </c>
      <c r="I52" s="8">
        <v>2785599</v>
      </c>
      <c r="J52" s="8" t="s">
        <v>28</v>
      </c>
      <c r="K52" s="8" t="s">
        <v>89</v>
      </c>
      <c r="L52" s="9"/>
      <c r="M52" s="10"/>
      <c r="N52" s="10"/>
      <c r="O52" s="10"/>
      <c r="P52" s="10"/>
      <c r="Q52" s="10"/>
      <c r="R52" s="10"/>
      <c r="S52" s="10"/>
    </row>
    <row r="53" spans="1:19">
      <c r="A53" s="5" t="s">
        <v>223</v>
      </c>
      <c r="B53" s="5" t="s">
        <v>166</v>
      </c>
      <c r="C53" s="5" t="s">
        <v>224</v>
      </c>
      <c r="D53" s="6" t="s">
        <v>61</v>
      </c>
      <c r="E53" s="6" t="s">
        <v>225</v>
      </c>
      <c r="F53" s="6" t="s">
        <v>226</v>
      </c>
      <c r="G53" s="6" t="s">
        <v>227</v>
      </c>
      <c r="H53" s="6" t="s">
        <v>228</v>
      </c>
      <c r="I53" s="8">
        <v>3412000</v>
      </c>
      <c r="J53" s="8" t="s">
        <v>28</v>
      </c>
      <c r="K53" s="8" t="s">
        <v>89</v>
      </c>
      <c r="L53" s="9"/>
      <c r="M53" s="10"/>
      <c r="N53" s="10"/>
      <c r="O53" s="10"/>
      <c r="P53" s="10"/>
      <c r="Q53" s="10"/>
      <c r="R53" s="10"/>
      <c r="S53" s="10"/>
    </row>
    <row r="54" spans="1:19">
      <c r="A54" s="5" t="s">
        <v>229</v>
      </c>
      <c r="B54" s="5" t="s">
        <v>166</v>
      </c>
      <c r="C54" s="5" t="s">
        <v>230</v>
      </c>
      <c r="D54" s="6" t="s">
        <v>61</v>
      </c>
      <c r="E54" s="6" t="s">
        <v>225</v>
      </c>
      <c r="F54" s="6" t="s">
        <v>231</v>
      </c>
      <c r="G54" s="6" t="s">
        <v>232</v>
      </c>
      <c r="H54" s="34" t="s">
        <v>111</v>
      </c>
      <c r="I54" s="8">
        <v>2332760.88</v>
      </c>
      <c r="J54" s="8" t="s">
        <v>28</v>
      </c>
      <c r="K54" s="8" t="s">
        <v>89</v>
      </c>
      <c r="L54" s="9"/>
      <c r="M54" s="10"/>
      <c r="N54" s="10"/>
      <c r="O54" s="10"/>
      <c r="P54" s="10"/>
      <c r="Q54" s="10"/>
      <c r="R54" s="10"/>
      <c r="S54" s="10"/>
    </row>
    <row r="55" spans="1:19">
      <c r="A55" s="5" t="s">
        <v>233</v>
      </c>
      <c r="B55" s="5" t="s">
        <v>166</v>
      </c>
      <c r="C55" s="5" t="s">
        <v>234</v>
      </c>
      <c r="D55" s="6" t="s">
        <v>61</v>
      </c>
      <c r="E55" s="6" t="s">
        <v>225</v>
      </c>
      <c r="F55" s="6" t="s">
        <v>235</v>
      </c>
      <c r="G55" s="6" t="s">
        <v>236</v>
      </c>
      <c r="H55" s="6" t="s">
        <v>238</v>
      </c>
      <c r="I55" s="8">
        <v>4000000</v>
      </c>
      <c r="J55" s="8" t="s">
        <v>28</v>
      </c>
      <c r="K55" s="8" t="s">
        <v>89</v>
      </c>
      <c r="L55" s="9"/>
      <c r="M55" s="10"/>
      <c r="N55" s="10"/>
      <c r="O55" s="10"/>
      <c r="P55" s="10"/>
      <c r="Q55" s="10"/>
      <c r="R55" s="10"/>
      <c r="S55" s="10"/>
    </row>
    <row r="56" spans="1:19">
      <c r="A56" s="5" t="s">
        <v>239</v>
      </c>
      <c r="B56" s="5" t="s">
        <v>166</v>
      </c>
      <c r="C56" s="5" t="s">
        <v>240</v>
      </c>
      <c r="D56" s="6" t="s">
        <v>61</v>
      </c>
      <c r="E56" s="6" t="s">
        <v>225</v>
      </c>
      <c r="F56" s="6" t="s">
        <v>241</v>
      </c>
      <c r="G56" s="6" t="s">
        <v>242</v>
      </c>
      <c r="H56" s="6" t="s">
        <v>244</v>
      </c>
      <c r="I56" s="8">
        <v>4771250</v>
      </c>
      <c r="J56" s="8" t="s">
        <v>28</v>
      </c>
      <c r="K56" s="8" t="s">
        <v>89</v>
      </c>
      <c r="L56" s="9"/>
      <c r="M56" s="10"/>
      <c r="N56" s="10"/>
      <c r="O56" s="10"/>
      <c r="P56" s="10"/>
      <c r="Q56" s="10"/>
      <c r="R56" s="10"/>
      <c r="S56" s="10"/>
    </row>
    <row r="57" spans="1:19">
      <c r="A57" s="5" t="s">
        <v>245</v>
      </c>
      <c r="B57" s="5" t="s">
        <v>166</v>
      </c>
      <c r="C57" s="5" t="s">
        <v>246</v>
      </c>
      <c r="D57" s="6" t="s">
        <v>61</v>
      </c>
      <c r="E57" s="6" t="s">
        <v>225</v>
      </c>
      <c r="F57" s="6" t="s">
        <v>247</v>
      </c>
      <c r="G57" s="6" t="s">
        <v>248</v>
      </c>
      <c r="H57" s="6" t="s">
        <v>250</v>
      </c>
      <c r="I57" s="8" t="s">
        <v>251</v>
      </c>
      <c r="J57" s="8" t="s">
        <v>28</v>
      </c>
      <c r="K57" s="8" t="s">
        <v>89</v>
      </c>
      <c r="L57" s="9"/>
      <c r="M57" s="10"/>
      <c r="N57" s="10"/>
      <c r="O57" s="10"/>
      <c r="P57" s="10"/>
      <c r="Q57" s="10"/>
      <c r="R57" s="10"/>
      <c r="S57" s="10"/>
    </row>
    <row r="58" spans="1:19">
      <c r="A58" s="5" t="s">
        <v>252</v>
      </c>
      <c r="B58" s="5" t="s">
        <v>166</v>
      </c>
      <c r="C58" s="5" t="s">
        <v>253</v>
      </c>
      <c r="D58" s="6" t="s">
        <v>61</v>
      </c>
      <c r="E58" s="6" t="s">
        <v>225</v>
      </c>
      <c r="F58" s="6" t="s">
        <v>254</v>
      </c>
      <c r="G58" s="6" t="s">
        <v>255</v>
      </c>
      <c r="H58" s="6" t="s">
        <v>257</v>
      </c>
      <c r="I58" s="8">
        <v>4000000</v>
      </c>
      <c r="J58" s="8" t="s">
        <v>28</v>
      </c>
      <c r="K58" s="8" t="s">
        <v>89</v>
      </c>
      <c r="L58" s="9"/>
      <c r="M58" s="10"/>
      <c r="N58" s="10"/>
      <c r="O58" s="10"/>
      <c r="P58" s="10"/>
      <c r="Q58" s="10"/>
      <c r="R58" s="10"/>
      <c r="S58" s="10"/>
    </row>
    <row r="59" spans="1:19">
      <c r="A59" s="5" t="s">
        <v>258</v>
      </c>
      <c r="B59" s="5" t="s">
        <v>166</v>
      </c>
      <c r="C59" s="5" t="s">
        <v>259</v>
      </c>
      <c r="D59" s="6" t="s">
        <v>61</v>
      </c>
      <c r="E59" s="6" t="s">
        <v>225</v>
      </c>
      <c r="F59" s="6" t="s">
        <v>260</v>
      </c>
      <c r="G59" s="6" t="s">
        <v>261</v>
      </c>
      <c r="H59" s="6" t="s">
        <v>263</v>
      </c>
      <c r="I59" s="8">
        <v>5000000</v>
      </c>
      <c r="J59" s="8" t="s">
        <v>28</v>
      </c>
      <c r="K59" s="8" t="s">
        <v>89</v>
      </c>
      <c r="L59" s="9"/>
      <c r="M59" s="10"/>
      <c r="N59" s="10"/>
      <c r="O59" s="10"/>
      <c r="P59" s="10"/>
      <c r="Q59" s="10"/>
      <c r="R59" s="10"/>
      <c r="S59" s="10"/>
    </row>
    <row r="60" spans="1:19">
      <c r="A60" s="5" t="s">
        <v>264</v>
      </c>
      <c r="B60" s="5" t="s">
        <v>166</v>
      </c>
      <c r="C60" s="5" t="s">
        <v>265</v>
      </c>
      <c r="D60" s="6" t="s">
        <v>61</v>
      </c>
      <c r="E60" s="6" t="s">
        <v>225</v>
      </c>
      <c r="F60" s="6" t="s">
        <v>266</v>
      </c>
      <c r="G60" s="6" t="s">
        <v>267</v>
      </c>
      <c r="H60" s="6" t="s">
        <v>269</v>
      </c>
      <c r="I60" s="8">
        <v>4668619.32</v>
      </c>
      <c r="J60" s="8" t="s">
        <v>28</v>
      </c>
      <c r="K60" s="8" t="s">
        <v>89</v>
      </c>
      <c r="L60" s="9"/>
      <c r="M60" s="10"/>
      <c r="N60" s="10"/>
      <c r="O60" s="10"/>
      <c r="P60" s="10"/>
      <c r="Q60" s="10"/>
      <c r="R60" s="10"/>
      <c r="S60" s="10"/>
    </row>
    <row r="61" spans="1:19">
      <c r="A61" s="14" t="s">
        <v>270</v>
      </c>
      <c r="B61" s="14" t="s">
        <v>166</v>
      </c>
      <c r="C61" s="14" t="s">
        <v>224</v>
      </c>
      <c r="D61" s="15" t="s">
        <v>82</v>
      </c>
      <c r="E61" s="16" t="s">
        <v>225</v>
      </c>
      <c r="F61" s="16" t="s">
        <v>226</v>
      </c>
      <c r="G61" s="16" t="s">
        <v>227</v>
      </c>
      <c r="H61" s="16" t="s">
        <v>228</v>
      </c>
      <c r="I61" s="18">
        <v>3412000</v>
      </c>
      <c r="J61" s="19" t="s">
        <v>28</v>
      </c>
      <c r="K61" s="19" t="s">
        <v>89</v>
      </c>
      <c r="L61" s="19"/>
      <c r="M61" s="10"/>
      <c r="N61" s="10"/>
      <c r="O61" s="10"/>
      <c r="P61" s="10"/>
      <c r="Q61" s="10"/>
      <c r="R61" s="10"/>
      <c r="S61" s="10"/>
    </row>
    <row r="62" spans="1:19">
      <c r="A62" s="14" t="s">
        <v>271</v>
      </c>
      <c r="B62" s="14" t="s">
        <v>166</v>
      </c>
      <c r="C62" s="14" t="s">
        <v>230</v>
      </c>
      <c r="D62" s="15" t="s">
        <v>82</v>
      </c>
      <c r="E62" s="16" t="s">
        <v>225</v>
      </c>
      <c r="F62" s="16" t="s">
        <v>231</v>
      </c>
      <c r="G62" s="16" t="s">
        <v>232</v>
      </c>
      <c r="H62" s="16" t="s">
        <v>111</v>
      </c>
      <c r="I62" s="18">
        <v>2332760.88</v>
      </c>
      <c r="J62" s="19" t="s">
        <v>28</v>
      </c>
      <c r="K62" s="19" t="s">
        <v>89</v>
      </c>
      <c r="L62" s="19"/>
      <c r="M62" s="10"/>
      <c r="N62" s="10"/>
      <c r="O62" s="10"/>
      <c r="P62" s="10"/>
      <c r="Q62" s="10"/>
      <c r="R62" s="10"/>
      <c r="S62" s="10"/>
    </row>
    <row r="63" spans="1:19">
      <c r="A63" s="14" t="s">
        <v>272</v>
      </c>
      <c r="B63" s="14" t="s">
        <v>166</v>
      </c>
      <c r="C63" s="14" t="s">
        <v>234</v>
      </c>
      <c r="D63" s="15" t="s">
        <v>82</v>
      </c>
      <c r="E63" s="16" t="s">
        <v>225</v>
      </c>
      <c r="F63" s="16" t="s">
        <v>235</v>
      </c>
      <c r="G63" s="16" t="s">
        <v>236</v>
      </c>
      <c r="H63" s="16" t="s">
        <v>238</v>
      </c>
      <c r="I63" s="18">
        <v>4000000</v>
      </c>
      <c r="J63" s="19" t="s">
        <v>28</v>
      </c>
      <c r="K63" s="19" t="s">
        <v>89</v>
      </c>
      <c r="L63" s="19"/>
      <c r="M63" s="10"/>
      <c r="N63" s="10"/>
      <c r="O63" s="10"/>
      <c r="P63" s="10"/>
      <c r="Q63" s="10"/>
      <c r="R63" s="10"/>
      <c r="S63" s="10"/>
    </row>
    <row r="64" spans="1:19">
      <c r="A64" s="14" t="s">
        <v>273</v>
      </c>
      <c r="B64" s="14" t="s">
        <v>166</v>
      </c>
      <c r="C64" s="14" t="s">
        <v>240</v>
      </c>
      <c r="D64" s="15" t="s">
        <v>82</v>
      </c>
      <c r="E64" s="16" t="s">
        <v>225</v>
      </c>
      <c r="F64" s="16" t="s">
        <v>241</v>
      </c>
      <c r="G64" s="16" t="s">
        <v>242</v>
      </c>
      <c r="H64" s="16" t="s">
        <v>244</v>
      </c>
      <c r="I64" s="18">
        <v>4771250</v>
      </c>
      <c r="J64" s="19" t="s">
        <v>28</v>
      </c>
      <c r="K64" s="19" t="s">
        <v>89</v>
      </c>
      <c r="L64" s="19"/>
      <c r="M64" s="10"/>
      <c r="N64" s="10"/>
      <c r="O64" s="10"/>
      <c r="P64" s="10"/>
      <c r="Q64" s="10"/>
      <c r="R64" s="10"/>
      <c r="S64" s="10"/>
    </row>
    <row r="65" spans="1:19">
      <c r="A65" s="14" t="s">
        <v>274</v>
      </c>
      <c r="B65" s="14" t="s">
        <v>166</v>
      </c>
      <c r="C65" s="14" t="s">
        <v>246</v>
      </c>
      <c r="D65" s="15" t="s">
        <v>82</v>
      </c>
      <c r="E65" s="16" t="s">
        <v>225</v>
      </c>
      <c r="F65" s="16" t="s">
        <v>247</v>
      </c>
      <c r="G65" s="16" t="s">
        <v>248</v>
      </c>
      <c r="H65" s="16" t="s">
        <v>250</v>
      </c>
      <c r="I65" s="18" t="s">
        <v>251</v>
      </c>
      <c r="J65" s="19" t="s">
        <v>28</v>
      </c>
      <c r="K65" s="19" t="s">
        <v>89</v>
      </c>
      <c r="L65" s="19" t="s">
        <v>275</v>
      </c>
      <c r="M65" s="10"/>
      <c r="N65" s="10"/>
      <c r="O65" s="10"/>
      <c r="P65" s="10"/>
      <c r="Q65" s="10"/>
      <c r="R65" s="10"/>
      <c r="S65" s="10"/>
    </row>
    <row r="66" spans="1:19">
      <c r="A66" s="14" t="s">
        <v>276</v>
      </c>
      <c r="B66" s="14" t="s">
        <v>166</v>
      </c>
      <c r="C66" s="14" t="s">
        <v>253</v>
      </c>
      <c r="D66" s="15" t="s">
        <v>82</v>
      </c>
      <c r="E66" s="16" t="s">
        <v>225</v>
      </c>
      <c r="F66" s="16" t="s">
        <v>254</v>
      </c>
      <c r="G66" s="16" t="s">
        <v>255</v>
      </c>
      <c r="H66" s="16" t="s">
        <v>257</v>
      </c>
      <c r="I66" s="18">
        <v>4000000</v>
      </c>
      <c r="J66" s="19" t="s">
        <v>28</v>
      </c>
      <c r="K66" s="19" t="s">
        <v>89</v>
      </c>
      <c r="L66" s="19" t="s">
        <v>277</v>
      </c>
      <c r="M66" s="10"/>
      <c r="N66" s="10"/>
      <c r="O66" s="10"/>
      <c r="P66" s="10"/>
      <c r="Q66" s="10"/>
      <c r="R66" s="10"/>
      <c r="S66" s="10"/>
    </row>
    <row r="67" spans="1:19">
      <c r="A67" s="14" t="s">
        <v>278</v>
      </c>
      <c r="B67" s="14" t="s">
        <v>166</v>
      </c>
      <c r="C67" s="37" t="s">
        <v>259</v>
      </c>
      <c r="D67" s="15" t="s">
        <v>82</v>
      </c>
      <c r="E67" s="16" t="s">
        <v>225</v>
      </c>
      <c r="F67" s="16" t="s">
        <v>260</v>
      </c>
      <c r="G67" s="16" t="s">
        <v>261</v>
      </c>
      <c r="H67" s="16" t="s">
        <v>263</v>
      </c>
      <c r="I67" s="18">
        <v>5000000</v>
      </c>
      <c r="J67" s="19" t="s">
        <v>28</v>
      </c>
      <c r="K67" s="19" t="s">
        <v>89</v>
      </c>
      <c r="L67" s="19" t="s">
        <v>279</v>
      </c>
      <c r="M67" s="10"/>
      <c r="N67" s="10"/>
      <c r="O67" s="10"/>
      <c r="P67" s="10"/>
      <c r="Q67" s="10"/>
      <c r="R67" s="10"/>
      <c r="S67" s="10"/>
    </row>
    <row r="68" spans="1:19">
      <c r="A68" s="14" t="s">
        <v>280</v>
      </c>
      <c r="B68" s="14" t="s">
        <v>166</v>
      </c>
      <c r="C68" s="14" t="s">
        <v>265</v>
      </c>
      <c r="D68" s="15" t="s">
        <v>82</v>
      </c>
      <c r="E68" s="16" t="s">
        <v>225</v>
      </c>
      <c r="F68" s="16" t="s">
        <v>266</v>
      </c>
      <c r="G68" s="16" t="s">
        <v>267</v>
      </c>
      <c r="H68" s="16" t="s">
        <v>269</v>
      </c>
      <c r="I68" s="18">
        <v>4668619.32</v>
      </c>
      <c r="J68" s="19" t="s">
        <v>28</v>
      </c>
      <c r="K68" s="19" t="s">
        <v>89</v>
      </c>
      <c r="L68" s="19"/>
      <c r="M68" s="10"/>
      <c r="N68" s="10"/>
      <c r="O68" s="10"/>
      <c r="P68" s="10"/>
      <c r="Q68" s="10"/>
      <c r="R68" s="10"/>
      <c r="S68" s="10"/>
    </row>
    <row r="69" spans="1:19">
      <c r="A69" s="14" t="s">
        <v>281</v>
      </c>
      <c r="B69" s="14" t="s">
        <v>166</v>
      </c>
      <c r="C69" s="5" t="s">
        <v>22</v>
      </c>
      <c r="D69" s="15" t="s">
        <v>82</v>
      </c>
      <c r="E69" s="16" t="s">
        <v>85</v>
      </c>
      <c r="F69" s="16" t="s">
        <v>168</v>
      </c>
      <c r="G69" s="16" t="s">
        <v>169</v>
      </c>
      <c r="H69" s="16" t="s">
        <v>170</v>
      </c>
      <c r="I69" s="18">
        <v>395212</v>
      </c>
      <c r="J69" s="19" t="s">
        <v>28</v>
      </c>
      <c r="K69" s="19" t="s">
        <v>89</v>
      </c>
      <c r="L69" s="19" t="s">
        <v>282</v>
      </c>
      <c r="M69" s="10"/>
      <c r="N69" s="10"/>
      <c r="O69" s="10"/>
      <c r="P69" s="10"/>
      <c r="Q69" s="10"/>
      <c r="R69" s="10"/>
      <c r="S69" s="10"/>
    </row>
    <row r="70" spans="1:19">
      <c r="A70" s="14" t="s">
        <v>283</v>
      </c>
      <c r="B70" s="14" t="s">
        <v>166</v>
      </c>
      <c r="C70" s="5" t="s">
        <v>22</v>
      </c>
      <c r="D70" s="15" t="s">
        <v>82</v>
      </c>
      <c r="E70" s="16" t="s">
        <v>85</v>
      </c>
      <c r="F70" s="16" t="s">
        <v>173</v>
      </c>
      <c r="G70" s="16" t="s">
        <v>174</v>
      </c>
      <c r="H70" s="38" t="s">
        <v>175</v>
      </c>
      <c r="I70" s="18">
        <v>43250</v>
      </c>
      <c r="J70" s="19" t="s">
        <v>28</v>
      </c>
      <c r="K70" s="19" t="s">
        <v>66</v>
      </c>
      <c r="L70" s="19" t="s">
        <v>284</v>
      </c>
      <c r="M70" s="10"/>
      <c r="N70" s="10"/>
      <c r="O70" s="10"/>
      <c r="P70" s="10"/>
      <c r="Q70" s="10"/>
      <c r="R70" s="10"/>
      <c r="S70" s="10"/>
    </row>
    <row r="71" spans="1:19">
      <c r="A71" s="14" t="s">
        <v>285</v>
      </c>
      <c r="B71" s="14" t="s">
        <v>166</v>
      </c>
      <c r="C71" s="6" t="s">
        <v>22</v>
      </c>
      <c r="D71" s="15" t="s">
        <v>82</v>
      </c>
      <c r="E71" s="16" t="s">
        <v>85</v>
      </c>
      <c r="F71" s="16" t="s">
        <v>178</v>
      </c>
      <c r="G71" s="16" t="s">
        <v>179</v>
      </c>
      <c r="H71" s="16" t="s">
        <v>180</v>
      </c>
      <c r="I71" s="19">
        <v>236341.77</v>
      </c>
      <c r="J71" s="19" t="s">
        <v>28</v>
      </c>
      <c r="K71" s="19" t="s">
        <v>89</v>
      </c>
      <c r="L71" s="19" t="s">
        <v>282</v>
      </c>
      <c r="M71" s="10"/>
      <c r="N71" s="10"/>
      <c r="O71" s="10"/>
      <c r="P71" s="10"/>
      <c r="Q71" s="10"/>
      <c r="R71" s="10"/>
      <c r="S71" s="10"/>
    </row>
    <row r="72" spans="1:19">
      <c r="A72" s="14" t="s">
        <v>286</v>
      </c>
      <c r="B72" s="14" t="s">
        <v>166</v>
      </c>
      <c r="C72" s="5" t="s">
        <v>22</v>
      </c>
      <c r="D72" s="15" t="s">
        <v>82</v>
      </c>
      <c r="E72" s="16" t="s">
        <v>125</v>
      </c>
      <c r="F72" s="16" t="s">
        <v>183</v>
      </c>
      <c r="G72" s="16" t="s">
        <v>184</v>
      </c>
      <c r="H72" s="16" t="s">
        <v>185</v>
      </c>
      <c r="I72" s="18">
        <v>2998072</v>
      </c>
      <c r="J72" s="19" t="s">
        <v>28</v>
      </c>
      <c r="K72" s="19" t="s">
        <v>89</v>
      </c>
      <c r="L72" s="19"/>
      <c r="M72" s="10"/>
      <c r="N72" s="10"/>
      <c r="O72" s="10"/>
      <c r="P72" s="10"/>
      <c r="Q72" s="10"/>
      <c r="R72" s="10"/>
      <c r="S72" s="10"/>
    </row>
    <row r="73" spans="1:19">
      <c r="A73" s="14" t="s">
        <v>287</v>
      </c>
      <c r="B73" s="14" t="s">
        <v>166</v>
      </c>
      <c r="C73" s="5" t="s">
        <v>22</v>
      </c>
      <c r="D73" s="15" t="s">
        <v>82</v>
      </c>
      <c r="E73" s="16" t="s">
        <v>125</v>
      </c>
      <c r="F73" s="16" t="s">
        <v>188</v>
      </c>
      <c r="G73" s="16" t="s">
        <v>189</v>
      </c>
      <c r="H73" s="16" t="s">
        <v>190</v>
      </c>
      <c r="I73" s="18">
        <v>2911170</v>
      </c>
      <c r="J73" s="19" t="s">
        <v>28</v>
      </c>
      <c r="K73" s="19" t="s">
        <v>89</v>
      </c>
      <c r="L73" s="19"/>
      <c r="M73" s="10"/>
      <c r="N73" s="10"/>
      <c r="O73" s="10"/>
      <c r="P73" s="10"/>
      <c r="Q73" s="10"/>
      <c r="R73" s="10"/>
      <c r="S73" s="10"/>
    </row>
    <row r="74" spans="1:19">
      <c r="A74" s="14" t="s">
        <v>288</v>
      </c>
      <c r="B74" s="14" t="s">
        <v>166</v>
      </c>
      <c r="C74" s="5" t="s">
        <v>22</v>
      </c>
      <c r="D74" s="15" t="s">
        <v>82</v>
      </c>
      <c r="E74" s="16" t="s">
        <v>125</v>
      </c>
      <c r="F74" s="16" t="s">
        <v>193</v>
      </c>
      <c r="G74" s="16" t="s">
        <v>194</v>
      </c>
      <c r="H74" s="16" t="s">
        <v>106</v>
      </c>
      <c r="I74" s="18">
        <v>2384720</v>
      </c>
      <c r="J74" s="19" t="s">
        <v>28</v>
      </c>
      <c r="K74" s="19" t="s">
        <v>89</v>
      </c>
      <c r="L74" s="16"/>
      <c r="M74" s="10"/>
      <c r="N74" s="10"/>
      <c r="O74" s="10"/>
      <c r="P74" s="10"/>
      <c r="Q74" s="10"/>
      <c r="R74" s="10"/>
      <c r="S74" s="10"/>
    </row>
    <row r="75" spans="1:19">
      <c r="A75" s="14" t="s">
        <v>289</v>
      </c>
      <c r="B75" s="14" t="s">
        <v>166</v>
      </c>
      <c r="C75" s="5" t="s">
        <v>22</v>
      </c>
      <c r="D75" s="15" t="s">
        <v>82</v>
      </c>
      <c r="E75" s="16" t="s">
        <v>197</v>
      </c>
      <c r="F75" s="16" t="s">
        <v>198</v>
      </c>
      <c r="G75" s="16" t="s">
        <v>199</v>
      </c>
      <c r="H75" s="16" t="s">
        <v>200</v>
      </c>
      <c r="I75" s="18">
        <v>2975715</v>
      </c>
      <c r="J75" s="19" t="s">
        <v>28</v>
      </c>
      <c r="K75" s="19" t="s">
        <v>89</v>
      </c>
      <c r="L75" s="19"/>
      <c r="M75" s="10"/>
      <c r="N75" s="10"/>
      <c r="O75" s="10"/>
      <c r="P75" s="10"/>
      <c r="Q75" s="10"/>
      <c r="R75" s="10"/>
      <c r="S75" s="10"/>
    </row>
    <row r="76" spans="1:19">
      <c r="A76" s="14" t="s">
        <v>290</v>
      </c>
      <c r="B76" s="14" t="s">
        <v>166</v>
      </c>
      <c r="C76" s="6" t="s">
        <v>22</v>
      </c>
      <c r="D76" s="15" t="s">
        <v>82</v>
      </c>
      <c r="E76" s="16" t="s">
        <v>125</v>
      </c>
      <c r="F76" s="16" t="s">
        <v>203</v>
      </c>
      <c r="G76" s="16" t="s">
        <v>204</v>
      </c>
      <c r="H76" s="16" t="s">
        <v>205</v>
      </c>
      <c r="I76" s="18">
        <v>2999945.74</v>
      </c>
      <c r="J76" s="19" t="s">
        <v>28</v>
      </c>
      <c r="K76" s="19" t="s">
        <v>89</v>
      </c>
      <c r="L76" s="19"/>
      <c r="M76" s="10"/>
      <c r="N76" s="10"/>
      <c r="O76" s="10"/>
      <c r="P76" s="10"/>
      <c r="Q76" s="10"/>
      <c r="R76" s="10"/>
      <c r="S76" s="10"/>
    </row>
    <row r="77" spans="1:19">
      <c r="A77" s="14" t="s">
        <v>291</v>
      </c>
      <c r="B77" s="14" t="s">
        <v>166</v>
      </c>
      <c r="C77" s="5" t="s">
        <v>22</v>
      </c>
      <c r="D77" s="15" t="s">
        <v>82</v>
      </c>
      <c r="E77" s="16" t="s">
        <v>125</v>
      </c>
      <c r="F77" s="16" t="s">
        <v>208</v>
      </c>
      <c r="G77" s="16" t="s">
        <v>209</v>
      </c>
      <c r="H77" s="16" t="s">
        <v>211</v>
      </c>
      <c r="I77" s="18">
        <v>2789556</v>
      </c>
      <c r="J77" s="19" t="s">
        <v>28</v>
      </c>
      <c r="K77" s="19" t="s">
        <v>89</v>
      </c>
      <c r="L77" s="19"/>
      <c r="M77" s="10"/>
      <c r="N77" s="10"/>
      <c r="O77" s="10"/>
      <c r="P77" s="10"/>
      <c r="Q77" s="10"/>
      <c r="R77" s="10"/>
      <c r="S77" s="10"/>
    </row>
    <row r="78" spans="1:19">
      <c r="A78" s="14" t="s">
        <v>292</v>
      </c>
      <c r="B78" s="14" t="s">
        <v>166</v>
      </c>
      <c r="C78" s="5" t="s">
        <v>22</v>
      </c>
      <c r="D78" s="15" t="s">
        <v>82</v>
      </c>
      <c r="E78" s="16" t="s">
        <v>125</v>
      </c>
      <c r="F78" s="16" t="s">
        <v>214</v>
      </c>
      <c r="G78" s="16" t="s">
        <v>215</v>
      </c>
      <c r="H78" s="16" t="s">
        <v>217</v>
      </c>
      <c r="I78" s="18">
        <v>2896644</v>
      </c>
      <c r="J78" s="19" t="s">
        <v>28</v>
      </c>
      <c r="K78" s="19" t="s">
        <v>89</v>
      </c>
      <c r="L78" s="19"/>
      <c r="M78" s="10"/>
      <c r="N78" s="10"/>
      <c r="O78" s="10"/>
      <c r="P78" s="10"/>
      <c r="Q78" s="10"/>
      <c r="R78" s="10"/>
      <c r="S78" s="10"/>
    </row>
    <row r="79" spans="1:19">
      <c r="A79" s="14" t="s">
        <v>293</v>
      </c>
      <c r="B79" s="14" t="s">
        <v>166</v>
      </c>
      <c r="C79" s="6" t="s">
        <v>22</v>
      </c>
      <c r="D79" s="15" t="s">
        <v>82</v>
      </c>
      <c r="E79" s="16" t="s">
        <v>125</v>
      </c>
      <c r="F79" s="16" t="s">
        <v>220</v>
      </c>
      <c r="G79" s="16" t="s">
        <v>221</v>
      </c>
      <c r="H79" s="16" t="s">
        <v>222</v>
      </c>
      <c r="I79" s="18">
        <v>2785599</v>
      </c>
      <c r="J79" s="19" t="s">
        <v>28</v>
      </c>
      <c r="K79" s="19" t="s">
        <v>89</v>
      </c>
      <c r="L79" s="19"/>
      <c r="M79" s="10"/>
      <c r="N79" s="10"/>
      <c r="O79" s="10"/>
      <c r="P79" s="10"/>
      <c r="Q79" s="10"/>
      <c r="R79" s="10"/>
      <c r="S79" s="10"/>
    </row>
    <row r="80" spans="1:19">
      <c r="A80" s="5" t="s">
        <v>294</v>
      </c>
      <c r="B80" s="5" t="s">
        <v>295</v>
      </c>
      <c r="C80" s="5" t="s">
        <v>296</v>
      </c>
      <c r="D80" s="6" t="s">
        <v>61</v>
      </c>
      <c r="E80" s="6" t="s">
        <v>225</v>
      </c>
      <c r="F80" s="6" t="s">
        <v>297</v>
      </c>
      <c r="G80" s="6" t="s">
        <v>298</v>
      </c>
      <c r="H80" s="6" t="s">
        <v>300</v>
      </c>
      <c r="I80" s="8">
        <v>4551960</v>
      </c>
      <c r="J80" s="8" t="s">
        <v>28</v>
      </c>
      <c r="K80" s="8" t="s">
        <v>89</v>
      </c>
      <c r="L80" s="9"/>
      <c r="M80" s="10"/>
      <c r="N80" s="10"/>
      <c r="O80" s="10"/>
      <c r="P80" s="10"/>
      <c r="Q80" s="10"/>
      <c r="R80" s="10"/>
      <c r="S80" s="10"/>
    </row>
    <row r="81" spans="1:19">
      <c r="A81" s="5" t="s">
        <v>301</v>
      </c>
      <c r="B81" s="5" t="s">
        <v>295</v>
      </c>
      <c r="C81" s="5" t="s">
        <v>302</v>
      </c>
      <c r="D81" s="6" t="s">
        <v>61</v>
      </c>
      <c r="E81" s="6" t="s">
        <v>225</v>
      </c>
      <c r="F81" s="6" t="s">
        <v>303</v>
      </c>
      <c r="G81" s="6" t="s">
        <v>304</v>
      </c>
      <c r="H81" s="6" t="s">
        <v>306</v>
      </c>
      <c r="I81" s="39">
        <v>4143400.5</v>
      </c>
      <c r="J81" s="8" t="s">
        <v>28</v>
      </c>
      <c r="K81" s="8" t="s">
        <v>89</v>
      </c>
      <c r="L81" s="9"/>
      <c r="M81" s="10"/>
      <c r="N81" s="10"/>
      <c r="O81" s="10"/>
      <c r="P81" s="10"/>
      <c r="Q81" s="10"/>
      <c r="R81" s="10"/>
      <c r="S81" s="10"/>
    </row>
    <row r="82" spans="1:19">
      <c r="A82" s="14" t="s">
        <v>307</v>
      </c>
      <c r="B82" s="14" t="s">
        <v>295</v>
      </c>
      <c r="C82" s="14" t="s">
        <v>296</v>
      </c>
      <c r="D82" s="15" t="s">
        <v>82</v>
      </c>
      <c r="E82" s="16" t="s">
        <v>225</v>
      </c>
      <c r="F82" s="16" t="s">
        <v>297</v>
      </c>
      <c r="G82" s="16" t="s">
        <v>298</v>
      </c>
      <c r="H82" s="16" t="s">
        <v>300</v>
      </c>
      <c r="I82" s="18">
        <v>4551960</v>
      </c>
      <c r="J82" s="19" t="s">
        <v>28</v>
      </c>
      <c r="K82" s="19" t="s">
        <v>89</v>
      </c>
      <c r="L82" s="19" t="s">
        <v>308</v>
      </c>
      <c r="M82" s="10"/>
      <c r="N82" s="10"/>
      <c r="O82" s="10"/>
      <c r="P82" s="10"/>
      <c r="Q82" s="10"/>
      <c r="R82" s="10"/>
      <c r="S82" s="10"/>
    </row>
    <row r="83" spans="1:19">
      <c r="A83" s="14" t="s">
        <v>309</v>
      </c>
      <c r="B83" s="14" t="s">
        <v>295</v>
      </c>
      <c r="C83" s="14" t="s">
        <v>302</v>
      </c>
      <c r="D83" s="15" t="s">
        <v>82</v>
      </c>
      <c r="E83" s="16" t="s">
        <v>225</v>
      </c>
      <c r="F83" s="16" t="s">
        <v>303</v>
      </c>
      <c r="G83" s="16" t="s">
        <v>304</v>
      </c>
      <c r="H83" s="16" t="s">
        <v>306</v>
      </c>
      <c r="I83" s="18">
        <v>4143400.5</v>
      </c>
      <c r="J83" s="19" t="s">
        <v>28</v>
      </c>
      <c r="K83" s="19" t="s">
        <v>89</v>
      </c>
      <c r="L83" s="19" t="s">
        <v>310</v>
      </c>
      <c r="M83" s="10"/>
      <c r="N83" s="10"/>
      <c r="O83" s="10"/>
      <c r="P83" s="10"/>
      <c r="Q83" s="10"/>
      <c r="R83" s="10"/>
      <c r="S83" s="10"/>
    </row>
    <row r="84" spans="1:19">
      <c r="A84" s="20">
        <v>83</v>
      </c>
      <c r="B84" s="20" t="s">
        <v>311</v>
      </c>
      <c r="C84" s="40"/>
      <c r="D84" s="15" t="s">
        <v>82</v>
      </c>
      <c r="E84" s="20" t="s">
        <v>103</v>
      </c>
      <c r="F84" s="41" t="s">
        <v>107</v>
      </c>
      <c r="G84" s="16" t="s">
        <v>108</v>
      </c>
      <c r="H84" s="20"/>
      <c r="I84" s="25"/>
      <c r="J84" s="19" t="s">
        <v>28</v>
      </c>
      <c r="K84" s="26" t="s">
        <v>89</v>
      </c>
      <c r="L84" s="19" t="s">
        <v>312</v>
      </c>
      <c r="M84" s="10"/>
      <c r="N84" s="10"/>
      <c r="O84" s="10"/>
      <c r="P84" s="10"/>
      <c r="Q84" s="10"/>
      <c r="R84" s="10"/>
      <c r="S84" s="10"/>
    </row>
    <row r="85" spans="1:19">
      <c r="A85" s="5" t="s">
        <v>313</v>
      </c>
      <c r="B85" s="5" t="s">
        <v>314</v>
      </c>
      <c r="C85" s="5" t="s">
        <v>315</v>
      </c>
      <c r="D85" s="6" t="s">
        <v>61</v>
      </c>
      <c r="E85" s="6" t="s">
        <v>85</v>
      </c>
      <c r="F85" s="6" t="s">
        <v>316</v>
      </c>
      <c r="G85" s="6" t="s">
        <v>317</v>
      </c>
      <c r="H85" s="6" t="s">
        <v>318</v>
      </c>
      <c r="I85" s="8">
        <v>229654</v>
      </c>
      <c r="J85" s="8" t="s">
        <v>28</v>
      </c>
      <c r="K85" s="8" t="s">
        <v>89</v>
      </c>
      <c r="L85" s="9"/>
      <c r="M85" s="10"/>
      <c r="N85" s="10"/>
      <c r="O85" s="10"/>
      <c r="P85" s="10"/>
      <c r="Q85" s="10"/>
      <c r="R85" s="10"/>
      <c r="S85" s="10"/>
    </row>
    <row r="86" spans="1:19">
      <c r="A86" s="5" t="s">
        <v>319</v>
      </c>
      <c r="B86" s="5" t="s">
        <v>314</v>
      </c>
      <c r="C86" s="5" t="s">
        <v>22</v>
      </c>
      <c r="D86" s="6" t="s">
        <v>23</v>
      </c>
      <c r="E86" s="6" t="s">
        <v>125</v>
      </c>
      <c r="F86" s="6" t="s">
        <v>320</v>
      </c>
      <c r="G86" s="6" t="s">
        <v>321</v>
      </c>
      <c r="H86" s="6" t="s">
        <v>323</v>
      </c>
      <c r="I86" s="8">
        <v>7175464</v>
      </c>
      <c r="J86" s="8" t="s">
        <v>28</v>
      </c>
      <c r="K86" s="8" t="s">
        <v>89</v>
      </c>
      <c r="L86" s="9"/>
      <c r="M86" s="10"/>
      <c r="N86" s="10"/>
      <c r="O86" s="10"/>
      <c r="P86" s="10"/>
      <c r="Q86" s="10"/>
      <c r="R86" s="10"/>
      <c r="S86" s="10"/>
    </row>
    <row r="87" spans="1:19">
      <c r="A87" s="5" t="s">
        <v>324</v>
      </c>
      <c r="B87" s="5" t="s">
        <v>314</v>
      </c>
      <c r="C87" s="5" t="s">
        <v>22</v>
      </c>
      <c r="D87" s="6" t="s">
        <v>23</v>
      </c>
      <c r="E87" s="6" t="s">
        <v>125</v>
      </c>
      <c r="F87" s="6" t="s">
        <v>325</v>
      </c>
      <c r="G87" s="6" t="s">
        <v>51</v>
      </c>
      <c r="H87" s="42" t="s">
        <v>326</v>
      </c>
      <c r="I87" s="8">
        <v>4998689</v>
      </c>
      <c r="J87" s="8" t="s">
        <v>28</v>
      </c>
      <c r="K87" s="8" t="s">
        <v>89</v>
      </c>
      <c r="L87" s="9"/>
      <c r="M87" s="10"/>
      <c r="N87" s="10"/>
      <c r="O87" s="10"/>
      <c r="P87" s="10"/>
      <c r="Q87" s="10"/>
      <c r="R87" s="10"/>
      <c r="S87" s="10"/>
    </row>
    <row r="88" spans="1:19">
      <c r="A88" s="5" t="s">
        <v>327</v>
      </c>
      <c r="B88" s="5" t="s">
        <v>314</v>
      </c>
      <c r="C88" s="5" t="s">
        <v>22</v>
      </c>
      <c r="D88" s="6" t="s">
        <v>23</v>
      </c>
      <c r="E88" s="6" t="s">
        <v>125</v>
      </c>
      <c r="F88" s="6" t="s">
        <v>328</v>
      </c>
      <c r="G88" s="6" t="s">
        <v>329</v>
      </c>
      <c r="H88" s="6" t="s">
        <v>120</v>
      </c>
      <c r="I88" s="8">
        <v>4999988</v>
      </c>
      <c r="J88" s="8" t="s">
        <v>28</v>
      </c>
      <c r="K88" s="8" t="s">
        <v>89</v>
      </c>
      <c r="L88" s="9"/>
      <c r="M88" s="10"/>
      <c r="N88" s="10"/>
      <c r="O88" s="10"/>
      <c r="P88" s="10"/>
      <c r="Q88" s="10"/>
      <c r="R88" s="10"/>
      <c r="S88" s="10"/>
    </row>
    <row r="89" spans="1:19">
      <c r="A89" s="5" t="s">
        <v>330</v>
      </c>
      <c r="B89" s="5" t="s">
        <v>314</v>
      </c>
      <c r="C89" s="5" t="s">
        <v>22</v>
      </c>
      <c r="D89" s="6" t="s">
        <v>23</v>
      </c>
      <c r="E89" s="6" t="s">
        <v>125</v>
      </c>
      <c r="F89" s="6" t="s">
        <v>331</v>
      </c>
      <c r="G89" s="6" t="s">
        <v>332</v>
      </c>
      <c r="H89" s="6" t="s">
        <v>333</v>
      </c>
      <c r="I89" s="8">
        <v>5000000</v>
      </c>
      <c r="J89" s="8" t="s">
        <v>28</v>
      </c>
      <c r="K89" s="8" t="s">
        <v>89</v>
      </c>
      <c r="L89" s="9"/>
      <c r="M89" s="10"/>
      <c r="N89" s="10"/>
      <c r="O89" s="10"/>
      <c r="P89" s="10"/>
      <c r="Q89" s="10"/>
      <c r="R89" s="10"/>
      <c r="S89" s="10"/>
    </row>
    <row r="90" spans="1:19">
      <c r="A90" s="5" t="s">
        <v>334</v>
      </c>
      <c r="B90" s="5" t="s">
        <v>314</v>
      </c>
      <c r="C90" s="5" t="s">
        <v>22</v>
      </c>
      <c r="D90" s="6" t="s">
        <v>23</v>
      </c>
      <c r="E90" s="6" t="s">
        <v>125</v>
      </c>
      <c r="F90" s="6" t="s">
        <v>335</v>
      </c>
      <c r="G90" s="6" t="s">
        <v>336</v>
      </c>
      <c r="H90" s="6" t="s">
        <v>337</v>
      </c>
      <c r="I90" s="8">
        <v>4884739</v>
      </c>
      <c r="J90" s="8" t="s">
        <v>28</v>
      </c>
      <c r="K90" s="8" t="s">
        <v>89</v>
      </c>
      <c r="L90" s="9"/>
      <c r="M90" s="10"/>
      <c r="N90" s="10"/>
      <c r="O90" s="10"/>
      <c r="P90" s="10"/>
      <c r="Q90" s="10"/>
      <c r="R90" s="10"/>
      <c r="S90" s="10"/>
    </row>
    <row r="91" spans="1:19">
      <c r="A91" s="5" t="s">
        <v>338</v>
      </c>
      <c r="B91" s="5" t="s">
        <v>314</v>
      </c>
      <c r="C91" s="5" t="s">
        <v>22</v>
      </c>
      <c r="D91" s="6" t="s">
        <v>23</v>
      </c>
      <c r="E91" s="6" t="s">
        <v>125</v>
      </c>
      <c r="F91" s="6" t="s">
        <v>339</v>
      </c>
      <c r="G91" s="6" t="s">
        <v>340</v>
      </c>
      <c r="H91" s="6" t="s">
        <v>341</v>
      </c>
      <c r="I91" s="8">
        <v>4993468</v>
      </c>
      <c r="J91" s="8" t="s">
        <v>28</v>
      </c>
      <c r="K91" s="8" t="s">
        <v>89</v>
      </c>
      <c r="L91" s="9"/>
      <c r="M91" s="10"/>
      <c r="N91" s="10"/>
      <c r="O91" s="10"/>
      <c r="P91" s="10"/>
      <c r="Q91" s="10"/>
      <c r="R91" s="10"/>
      <c r="S91" s="10"/>
    </row>
    <row r="92" spans="1:19">
      <c r="A92" s="5" t="s">
        <v>342</v>
      </c>
      <c r="B92" s="5" t="s">
        <v>314</v>
      </c>
      <c r="C92" s="5" t="s">
        <v>343</v>
      </c>
      <c r="D92" s="6" t="s">
        <v>61</v>
      </c>
      <c r="E92" s="6" t="s">
        <v>225</v>
      </c>
      <c r="F92" s="6" t="s">
        <v>344</v>
      </c>
      <c r="G92" s="6" t="s">
        <v>345</v>
      </c>
      <c r="H92" s="6" t="s">
        <v>347</v>
      </c>
      <c r="I92" s="8">
        <v>4500000</v>
      </c>
      <c r="J92" s="8" t="s">
        <v>28</v>
      </c>
      <c r="K92" s="8" t="s">
        <v>89</v>
      </c>
      <c r="L92" s="9"/>
      <c r="M92" s="10"/>
      <c r="N92" s="10"/>
      <c r="O92" s="10"/>
      <c r="P92" s="10"/>
      <c r="Q92" s="10"/>
      <c r="R92" s="10"/>
      <c r="S92" s="10"/>
    </row>
    <row r="93" spans="1:19">
      <c r="A93" s="14" t="s">
        <v>348</v>
      </c>
      <c r="B93" s="14" t="s">
        <v>314</v>
      </c>
      <c r="C93" s="14" t="s">
        <v>343</v>
      </c>
      <c r="D93" s="15" t="s">
        <v>82</v>
      </c>
      <c r="E93" s="16" t="s">
        <v>225</v>
      </c>
      <c r="F93" s="16" t="s">
        <v>344</v>
      </c>
      <c r="G93" s="16" t="s">
        <v>345</v>
      </c>
      <c r="H93" s="16" t="s">
        <v>347</v>
      </c>
      <c r="I93" s="18">
        <v>4500000</v>
      </c>
      <c r="J93" s="19" t="s">
        <v>28</v>
      </c>
      <c r="K93" s="19" t="s">
        <v>89</v>
      </c>
      <c r="L93" s="19"/>
      <c r="M93" s="10"/>
      <c r="N93" s="10"/>
      <c r="O93" s="10"/>
      <c r="P93" s="10"/>
      <c r="Q93" s="10"/>
      <c r="R93" s="10"/>
      <c r="S93" s="10"/>
    </row>
    <row r="94" spans="1:19">
      <c r="A94" s="14" t="s">
        <v>349</v>
      </c>
      <c r="B94" s="14" t="s">
        <v>314</v>
      </c>
      <c r="C94" s="5" t="s">
        <v>22</v>
      </c>
      <c r="D94" s="15" t="s">
        <v>82</v>
      </c>
      <c r="E94" s="16" t="s">
        <v>85</v>
      </c>
      <c r="F94" s="16" t="s">
        <v>316</v>
      </c>
      <c r="G94" s="16" t="s">
        <v>317</v>
      </c>
      <c r="H94" s="16" t="s">
        <v>318</v>
      </c>
      <c r="I94" s="18">
        <v>229654</v>
      </c>
      <c r="J94" s="19" t="s">
        <v>28</v>
      </c>
      <c r="K94" s="19" t="s">
        <v>89</v>
      </c>
      <c r="L94" s="19" t="s">
        <v>350</v>
      </c>
      <c r="M94" s="10"/>
      <c r="N94" s="10"/>
      <c r="O94" s="10"/>
      <c r="P94" s="10"/>
      <c r="Q94" s="10"/>
      <c r="R94" s="10"/>
      <c r="S94" s="10"/>
    </row>
    <row r="95" spans="1:19">
      <c r="A95" s="14" t="s">
        <v>351</v>
      </c>
      <c r="B95" s="14" t="s">
        <v>314</v>
      </c>
      <c r="C95" s="5" t="s">
        <v>22</v>
      </c>
      <c r="D95" s="15" t="s">
        <v>82</v>
      </c>
      <c r="E95" s="16" t="s">
        <v>125</v>
      </c>
      <c r="F95" s="16" t="s">
        <v>320</v>
      </c>
      <c r="G95" s="16" t="s">
        <v>321</v>
      </c>
      <c r="H95" s="16" t="s">
        <v>323</v>
      </c>
      <c r="I95" s="18">
        <v>7175464</v>
      </c>
      <c r="J95" s="19" t="s">
        <v>28</v>
      </c>
      <c r="K95" s="19" t="s">
        <v>89</v>
      </c>
      <c r="L95" s="19"/>
      <c r="M95" s="10"/>
      <c r="N95" s="10"/>
      <c r="O95" s="10"/>
      <c r="P95" s="10"/>
      <c r="Q95" s="10"/>
      <c r="R95" s="10"/>
      <c r="S95" s="10"/>
    </row>
    <row r="96" spans="1:19">
      <c r="A96" s="14" t="s">
        <v>352</v>
      </c>
      <c r="B96" s="14" t="s">
        <v>314</v>
      </c>
      <c r="C96" s="6" t="s">
        <v>22</v>
      </c>
      <c r="D96" s="15" t="s">
        <v>82</v>
      </c>
      <c r="E96" s="16" t="s">
        <v>125</v>
      </c>
      <c r="F96" s="16" t="s">
        <v>325</v>
      </c>
      <c r="G96" s="16" t="s">
        <v>51</v>
      </c>
      <c r="H96" s="42" t="s">
        <v>353</v>
      </c>
      <c r="I96" s="18">
        <v>4998689</v>
      </c>
      <c r="J96" s="19" t="s">
        <v>28</v>
      </c>
      <c r="K96" s="19" t="s">
        <v>89</v>
      </c>
      <c r="L96" s="19" t="s">
        <v>282</v>
      </c>
      <c r="M96" s="10"/>
      <c r="N96" s="10"/>
      <c r="O96" s="10"/>
      <c r="P96" s="10"/>
      <c r="Q96" s="10"/>
      <c r="R96" s="10"/>
      <c r="S96" s="10"/>
    </row>
    <row r="97" spans="1:19">
      <c r="A97" s="14" t="s">
        <v>354</v>
      </c>
      <c r="B97" s="14" t="s">
        <v>314</v>
      </c>
      <c r="C97" s="5" t="s">
        <v>22</v>
      </c>
      <c r="D97" s="15" t="s">
        <v>82</v>
      </c>
      <c r="E97" s="16" t="s">
        <v>125</v>
      </c>
      <c r="F97" s="16" t="s">
        <v>328</v>
      </c>
      <c r="G97" s="16" t="s">
        <v>329</v>
      </c>
      <c r="H97" s="16" t="s">
        <v>120</v>
      </c>
      <c r="I97" s="18">
        <v>4999988</v>
      </c>
      <c r="J97" s="19" t="s">
        <v>28</v>
      </c>
      <c r="K97" s="19" t="s">
        <v>89</v>
      </c>
      <c r="L97" s="19" t="s">
        <v>282</v>
      </c>
      <c r="M97" s="10"/>
      <c r="N97" s="10"/>
      <c r="O97" s="10"/>
      <c r="P97" s="10"/>
      <c r="Q97" s="10"/>
      <c r="R97" s="10"/>
      <c r="S97" s="10"/>
    </row>
    <row r="98" spans="1:19">
      <c r="A98" s="14" t="s">
        <v>355</v>
      </c>
      <c r="B98" s="14" t="s">
        <v>314</v>
      </c>
      <c r="C98" s="5" t="s">
        <v>22</v>
      </c>
      <c r="D98" s="15" t="s">
        <v>82</v>
      </c>
      <c r="E98" s="16" t="s">
        <v>125</v>
      </c>
      <c r="F98" s="16" t="s">
        <v>331</v>
      </c>
      <c r="G98" s="16" t="s">
        <v>332</v>
      </c>
      <c r="H98" s="16" t="s">
        <v>333</v>
      </c>
      <c r="I98" s="18">
        <v>5000000</v>
      </c>
      <c r="J98" s="19" t="s">
        <v>28</v>
      </c>
      <c r="K98" s="19" t="s">
        <v>89</v>
      </c>
      <c r="L98" s="19"/>
      <c r="M98" s="10"/>
      <c r="N98" s="10"/>
      <c r="O98" s="10"/>
      <c r="P98" s="10"/>
      <c r="Q98" s="10"/>
      <c r="R98" s="10"/>
      <c r="S98" s="10"/>
    </row>
    <row r="99" spans="1:19">
      <c r="A99" s="14" t="s">
        <v>356</v>
      </c>
      <c r="B99" s="14" t="s">
        <v>314</v>
      </c>
      <c r="C99" s="6" t="s">
        <v>22</v>
      </c>
      <c r="D99" s="15" t="s">
        <v>82</v>
      </c>
      <c r="E99" s="16" t="s">
        <v>125</v>
      </c>
      <c r="F99" s="16" t="s">
        <v>335</v>
      </c>
      <c r="G99" s="16" t="s">
        <v>336</v>
      </c>
      <c r="H99" s="16" t="s">
        <v>337</v>
      </c>
      <c r="I99" s="18">
        <v>4884739</v>
      </c>
      <c r="J99" s="19" t="s">
        <v>28</v>
      </c>
      <c r="K99" s="19" t="s">
        <v>89</v>
      </c>
      <c r="L99" s="19"/>
      <c r="M99" s="10"/>
      <c r="N99" s="10"/>
      <c r="O99" s="10"/>
      <c r="P99" s="10"/>
      <c r="Q99" s="10"/>
      <c r="R99" s="10"/>
      <c r="S99" s="10"/>
    </row>
    <row r="100" spans="1:19">
      <c r="A100" s="14" t="s">
        <v>357</v>
      </c>
      <c r="B100" s="14" t="s">
        <v>314</v>
      </c>
      <c r="C100" s="6" t="s">
        <v>22</v>
      </c>
      <c r="D100" s="15" t="s">
        <v>82</v>
      </c>
      <c r="E100" s="16" t="s">
        <v>125</v>
      </c>
      <c r="F100" s="16" t="s">
        <v>339</v>
      </c>
      <c r="G100" s="16" t="s">
        <v>340</v>
      </c>
      <c r="H100" s="16" t="s">
        <v>341</v>
      </c>
      <c r="I100" s="18">
        <v>4993468</v>
      </c>
      <c r="J100" s="19" t="s">
        <v>28</v>
      </c>
      <c r="K100" s="19" t="s">
        <v>89</v>
      </c>
      <c r="L100" s="19"/>
      <c r="M100" s="10"/>
      <c r="N100" s="10"/>
      <c r="O100" s="10"/>
      <c r="P100" s="10"/>
      <c r="Q100" s="10"/>
      <c r="R100" s="10"/>
      <c r="S100" s="10"/>
    </row>
    <row r="101" spans="1:19">
      <c r="A101" s="9"/>
      <c r="B101" s="43"/>
      <c r="G101" s="43"/>
      <c r="H101" s="44"/>
      <c r="I101" s="45"/>
      <c r="L101" s="43"/>
    </row>
  </sheetData>
  <dataValidations count="1">
    <dataValidation type="list" allowBlank="1" showErrorMessage="1" sqref="K2:K100" xr:uid="{00000000-0002-0000-0000-000000000000}">
      <formula1>"COMPLETED,ONGOING,WIDTHRAWN,DELINQUENT"</formula1>
    </dataValidation>
  </dataValidations>
  <hyperlinks>
    <hyperlink ref="H3" r:id="rId1" xr:uid="{00000000-0004-0000-0000-000000000000}"/>
    <hyperlink ref="H87" r:id="rId2" xr:uid="{00000000-0004-0000-0000-000001000000}"/>
    <hyperlink ref="H96"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6B26B"/>
    <outlinePr summaryBelow="0" summaryRight="0"/>
  </sheetPr>
  <dimension ref="A1:M822"/>
  <sheetViews>
    <sheetView workbookViewId="0">
      <pane ySplit="1" topLeftCell="A2" activePane="bottomLeft" state="frozen"/>
      <selection pane="bottomLeft" activeCell="B3" sqref="B3"/>
    </sheetView>
  </sheetViews>
  <sheetFormatPr defaultColWidth="12.5703125" defaultRowHeight="15.75" customHeight="1"/>
  <cols>
    <col min="4" max="4" width="21.42578125" customWidth="1"/>
    <col min="5" max="5" width="12.5703125" hidden="1"/>
    <col min="6" max="6" width="52.5703125" customWidth="1"/>
    <col min="7" max="7" width="31.42578125" customWidth="1"/>
    <col min="8" max="8" width="31.42578125" hidden="1" customWidth="1"/>
    <col min="9" max="9" width="29.5703125" customWidth="1"/>
    <col min="12" max="12" width="16.42578125" customWidth="1"/>
    <col min="13" max="13" width="16" customWidth="1"/>
  </cols>
  <sheetData>
    <row r="1" spans="1:13">
      <c r="A1" s="46" t="s">
        <v>1</v>
      </c>
      <c r="B1" s="46" t="s">
        <v>2</v>
      </c>
      <c r="C1" s="46" t="s">
        <v>3</v>
      </c>
      <c r="D1" s="46" t="s">
        <v>4</v>
      </c>
      <c r="E1" s="46" t="s">
        <v>5</v>
      </c>
      <c r="F1" s="46" t="s">
        <v>6</v>
      </c>
      <c r="G1" s="46" t="s">
        <v>7</v>
      </c>
      <c r="H1" s="46" t="s">
        <v>8</v>
      </c>
      <c r="I1" s="46" t="s">
        <v>9</v>
      </c>
      <c r="J1" s="47" t="s">
        <v>10</v>
      </c>
      <c r="K1" s="48" t="s">
        <v>11</v>
      </c>
      <c r="L1" s="48" t="s">
        <v>12</v>
      </c>
      <c r="M1" s="48" t="s">
        <v>358</v>
      </c>
    </row>
    <row r="2" spans="1:13">
      <c r="A2" s="5" t="s">
        <v>314</v>
      </c>
      <c r="B2" s="5" t="s">
        <v>315</v>
      </c>
      <c r="C2" s="6" t="s">
        <v>61</v>
      </c>
      <c r="D2" s="6" t="s">
        <v>85</v>
      </c>
      <c r="E2" s="6">
        <v>2025</v>
      </c>
      <c r="F2" s="6" t="s">
        <v>316</v>
      </c>
      <c r="G2" s="6" t="s">
        <v>317</v>
      </c>
      <c r="H2" s="6"/>
      <c r="I2" s="6" t="s">
        <v>318</v>
      </c>
      <c r="J2" s="8">
        <v>229654</v>
      </c>
      <c r="K2" s="8" t="s">
        <v>28</v>
      </c>
      <c r="L2" s="8" t="s">
        <v>89</v>
      </c>
      <c r="M2" s="8"/>
    </row>
    <row r="3" spans="1:13">
      <c r="A3" s="5" t="s">
        <v>166</v>
      </c>
      <c r="B3" s="27" t="s">
        <v>167</v>
      </c>
      <c r="C3" s="6" t="s">
        <v>61</v>
      </c>
      <c r="D3" s="6" t="s">
        <v>85</v>
      </c>
      <c r="E3" s="7">
        <v>45625</v>
      </c>
      <c r="F3" s="6" t="s">
        <v>168</v>
      </c>
      <c r="G3" s="6" t="s">
        <v>169</v>
      </c>
      <c r="H3" s="6"/>
      <c r="I3" s="6" t="s">
        <v>170</v>
      </c>
      <c r="J3" s="8">
        <v>395212</v>
      </c>
      <c r="K3" s="8" t="s">
        <v>28</v>
      </c>
      <c r="L3" s="8" t="s">
        <v>89</v>
      </c>
      <c r="M3" s="8"/>
    </row>
    <row r="4" spans="1:13">
      <c r="A4" s="5" t="s">
        <v>166</v>
      </c>
      <c r="B4" s="5" t="s">
        <v>172</v>
      </c>
      <c r="C4" s="6" t="s">
        <v>61</v>
      </c>
      <c r="D4" s="6" t="s">
        <v>85</v>
      </c>
      <c r="E4" s="7">
        <v>45469</v>
      </c>
      <c r="F4" s="6" t="s">
        <v>173</v>
      </c>
      <c r="G4" s="6" t="s">
        <v>174</v>
      </c>
      <c r="H4" s="6"/>
      <c r="I4" s="6" t="s">
        <v>175</v>
      </c>
      <c r="J4" s="8">
        <v>43250</v>
      </c>
      <c r="K4" s="8" t="s">
        <v>28</v>
      </c>
      <c r="L4" s="8" t="s">
        <v>66</v>
      </c>
      <c r="M4" s="8" t="s">
        <v>359</v>
      </c>
    </row>
    <row r="5" spans="1:13">
      <c r="A5" s="5" t="s">
        <v>166</v>
      </c>
      <c r="B5" s="5" t="s">
        <v>177</v>
      </c>
      <c r="C5" s="6" t="s">
        <v>61</v>
      </c>
      <c r="D5" s="6" t="s">
        <v>85</v>
      </c>
      <c r="E5" s="7">
        <v>45544</v>
      </c>
      <c r="F5" s="6" t="s">
        <v>178</v>
      </c>
      <c r="G5" s="6" t="s">
        <v>179</v>
      </c>
      <c r="H5" s="6"/>
      <c r="I5" s="6" t="s">
        <v>180</v>
      </c>
      <c r="J5" s="8">
        <v>236341.77</v>
      </c>
      <c r="K5" s="8" t="s">
        <v>28</v>
      </c>
      <c r="L5" s="8" t="s">
        <v>89</v>
      </c>
      <c r="M5" s="8" t="s">
        <v>359</v>
      </c>
    </row>
    <row r="6" spans="1:13">
      <c r="A6" s="5" t="s">
        <v>129</v>
      </c>
      <c r="B6" s="27" t="s">
        <v>130</v>
      </c>
      <c r="C6" s="6" t="s">
        <v>61</v>
      </c>
      <c r="D6" s="6" t="s">
        <v>85</v>
      </c>
      <c r="E6" s="7">
        <v>45225</v>
      </c>
      <c r="F6" s="6" t="s">
        <v>91</v>
      </c>
      <c r="G6" s="6" t="s">
        <v>131</v>
      </c>
      <c r="H6" s="6"/>
      <c r="I6" s="6" t="s">
        <v>132</v>
      </c>
      <c r="J6" s="8">
        <v>96107</v>
      </c>
      <c r="K6" s="8" t="s">
        <v>28</v>
      </c>
      <c r="L6" s="8" t="s">
        <v>89</v>
      </c>
      <c r="M6" s="8"/>
    </row>
    <row r="7" spans="1:13">
      <c r="A7" s="49" t="s">
        <v>129</v>
      </c>
      <c r="B7" s="49" t="s">
        <v>134</v>
      </c>
      <c r="C7" s="6" t="s">
        <v>61</v>
      </c>
      <c r="D7" s="6" t="s">
        <v>85</v>
      </c>
      <c r="E7" s="7">
        <v>45154</v>
      </c>
      <c r="F7" s="50" t="s">
        <v>95</v>
      </c>
      <c r="G7" s="50" t="s">
        <v>96</v>
      </c>
      <c r="H7" s="6" t="s">
        <v>135</v>
      </c>
      <c r="I7" s="6" t="s">
        <v>136</v>
      </c>
      <c r="J7" s="30">
        <v>191500</v>
      </c>
      <c r="K7" s="8" t="s">
        <v>28</v>
      </c>
      <c r="L7" s="8" t="s">
        <v>66</v>
      </c>
      <c r="M7" s="8"/>
    </row>
    <row r="8" spans="1:13">
      <c r="A8" s="5" t="s">
        <v>129</v>
      </c>
      <c r="B8" s="5" t="s">
        <v>138</v>
      </c>
      <c r="C8" s="6" t="s">
        <v>61</v>
      </c>
      <c r="D8" s="6" t="s">
        <v>85</v>
      </c>
      <c r="E8" s="7">
        <v>45086</v>
      </c>
      <c r="F8" s="6" t="s">
        <v>86</v>
      </c>
      <c r="G8" s="6" t="s">
        <v>87</v>
      </c>
      <c r="H8" s="6"/>
      <c r="I8" s="6" t="s">
        <v>139</v>
      </c>
      <c r="J8" s="8">
        <v>349799.56</v>
      </c>
      <c r="K8" s="8" t="s">
        <v>28</v>
      </c>
      <c r="L8" s="8" t="s">
        <v>89</v>
      </c>
      <c r="M8" s="8"/>
    </row>
    <row r="9" spans="1:13">
      <c r="A9" s="9">
        <v>2025</v>
      </c>
      <c r="B9" s="9" t="s">
        <v>98</v>
      </c>
      <c r="C9" s="6" t="s">
        <v>61</v>
      </c>
      <c r="D9" s="6" t="s">
        <v>85</v>
      </c>
      <c r="E9" s="7"/>
      <c r="F9" s="6" t="s">
        <v>99</v>
      </c>
      <c r="G9" s="6" t="s">
        <v>100</v>
      </c>
      <c r="H9" s="6" t="s">
        <v>101</v>
      </c>
      <c r="I9" s="6" t="s">
        <v>102</v>
      </c>
      <c r="J9" s="8">
        <v>358538</v>
      </c>
      <c r="K9" s="8" t="s">
        <v>28</v>
      </c>
      <c r="L9" s="8" t="s">
        <v>89</v>
      </c>
      <c r="M9" s="8"/>
    </row>
    <row r="10" spans="1:13">
      <c r="A10" s="5" t="s">
        <v>314</v>
      </c>
      <c r="B10" s="5" t="s">
        <v>22</v>
      </c>
      <c r="C10" s="6" t="s">
        <v>23</v>
      </c>
      <c r="D10" s="6" t="s">
        <v>125</v>
      </c>
      <c r="E10" s="6">
        <v>2025</v>
      </c>
      <c r="F10" s="6" t="s">
        <v>320</v>
      </c>
      <c r="G10" s="6" t="s">
        <v>321</v>
      </c>
      <c r="H10" s="6" t="s">
        <v>322</v>
      </c>
      <c r="I10" s="6" t="s">
        <v>323</v>
      </c>
      <c r="J10" s="8">
        <v>7175464</v>
      </c>
      <c r="K10" s="8" t="s">
        <v>28</v>
      </c>
      <c r="L10" s="8" t="s">
        <v>89</v>
      </c>
      <c r="M10" s="8"/>
    </row>
    <row r="11" spans="1:13">
      <c r="A11" s="5" t="s">
        <v>314</v>
      </c>
      <c r="B11" s="5" t="s">
        <v>22</v>
      </c>
      <c r="C11" s="6" t="s">
        <v>23</v>
      </c>
      <c r="D11" s="6" t="s">
        <v>125</v>
      </c>
      <c r="E11" s="6">
        <v>2025</v>
      </c>
      <c r="F11" s="6" t="s">
        <v>325</v>
      </c>
      <c r="G11" s="6" t="s">
        <v>51</v>
      </c>
      <c r="H11" s="6"/>
      <c r="I11" s="51" t="s">
        <v>360</v>
      </c>
      <c r="J11" s="8">
        <v>4998689</v>
      </c>
      <c r="K11" s="8" t="s">
        <v>28</v>
      </c>
      <c r="L11" s="8" t="s">
        <v>89</v>
      </c>
      <c r="M11" s="8"/>
    </row>
    <row r="12" spans="1:13">
      <c r="A12" s="5" t="s">
        <v>314</v>
      </c>
      <c r="B12" s="5" t="s">
        <v>22</v>
      </c>
      <c r="C12" s="6" t="s">
        <v>23</v>
      </c>
      <c r="D12" s="6" t="s">
        <v>125</v>
      </c>
      <c r="E12" s="6">
        <v>2025</v>
      </c>
      <c r="F12" s="6" t="s">
        <v>328</v>
      </c>
      <c r="G12" s="6" t="s">
        <v>329</v>
      </c>
      <c r="H12" s="6"/>
      <c r="I12" s="6" t="s">
        <v>120</v>
      </c>
      <c r="J12" s="8">
        <v>4999988</v>
      </c>
      <c r="K12" s="8" t="s">
        <v>28</v>
      </c>
      <c r="L12" s="8" t="s">
        <v>89</v>
      </c>
      <c r="M12" s="8" t="s">
        <v>361</v>
      </c>
    </row>
    <row r="13" spans="1:13">
      <c r="A13" s="5" t="s">
        <v>314</v>
      </c>
      <c r="B13" s="5" t="s">
        <v>22</v>
      </c>
      <c r="C13" s="6" t="s">
        <v>23</v>
      </c>
      <c r="D13" s="6" t="s">
        <v>125</v>
      </c>
      <c r="E13" s="6">
        <v>2025</v>
      </c>
      <c r="F13" s="6" t="s">
        <v>331</v>
      </c>
      <c r="G13" s="6" t="s">
        <v>332</v>
      </c>
      <c r="H13" s="6"/>
      <c r="I13" s="6" t="s">
        <v>333</v>
      </c>
      <c r="J13" s="8">
        <v>5000000</v>
      </c>
      <c r="K13" s="8" t="s">
        <v>28</v>
      </c>
      <c r="L13" s="8" t="s">
        <v>89</v>
      </c>
      <c r="M13" s="8"/>
    </row>
    <row r="14" spans="1:13">
      <c r="A14" s="5" t="s">
        <v>314</v>
      </c>
      <c r="B14" s="5" t="s">
        <v>22</v>
      </c>
      <c r="C14" s="6" t="s">
        <v>23</v>
      </c>
      <c r="D14" s="6" t="s">
        <v>125</v>
      </c>
      <c r="E14" s="6">
        <v>2025</v>
      </c>
      <c r="F14" s="6" t="s">
        <v>335</v>
      </c>
      <c r="G14" s="6" t="s">
        <v>336</v>
      </c>
      <c r="H14" s="6"/>
      <c r="I14" s="6" t="s">
        <v>337</v>
      </c>
      <c r="J14" s="8">
        <v>4884739</v>
      </c>
      <c r="K14" s="8" t="s">
        <v>28</v>
      </c>
      <c r="L14" s="8" t="s">
        <v>89</v>
      </c>
      <c r="M14" s="8"/>
    </row>
    <row r="15" spans="1:13">
      <c r="A15" s="5" t="s">
        <v>314</v>
      </c>
      <c r="B15" s="5" t="s">
        <v>22</v>
      </c>
      <c r="C15" s="6" t="s">
        <v>23</v>
      </c>
      <c r="D15" s="6" t="s">
        <v>125</v>
      </c>
      <c r="E15" s="6">
        <v>2025</v>
      </c>
      <c r="F15" s="6" t="s">
        <v>339</v>
      </c>
      <c r="G15" s="6" t="s">
        <v>340</v>
      </c>
      <c r="H15" s="6"/>
      <c r="I15" s="6" t="s">
        <v>341</v>
      </c>
      <c r="J15" s="8">
        <v>4993468</v>
      </c>
      <c r="K15" s="8" t="s">
        <v>28</v>
      </c>
      <c r="L15" s="8" t="s">
        <v>89</v>
      </c>
      <c r="M15" s="8"/>
    </row>
    <row r="16" spans="1:13">
      <c r="A16" s="5" t="s">
        <v>166</v>
      </c>
      <c r="B16" s="5" t="s">
        <v>182</v>
      </c>
      <c r="C16" s="6" t="s">
        <v>61</v>
      </c>
      <c r="D16" s="6" t="s">
        <v>125</v>
      </c>
      <c r="E16" s="7">
        <v>45574</v>
      </c>
      <c r="F16" s="6" t="s">
        <v>183</v>
      </c>
      <c r="G16" s="6" t="s">
        <v>184</v>
      </c>
      <c r="H16" s="6"/>
      <c r="I16" s="6" t="s">
        <v>185</v>
      </c>
      <c r="J16" s="8">
        <v>2998072</v>
      </c>
      <c r="K16" s="8" t="s">
        <v>28</v>
      </c>
      <c r="L16" s="8" t="s">
        <v>89</v>
      </c>
      <c r="M16" s="8" t="s">
        <v>359</v>
      </c>
    </row>
    <row r="17" spans="1:13">
      <c r="A17" s="5" t="s">
        <v>166</v>
      </c>
      <c r="B17" s="5" t="s">
        <v>187</v>
      </c>
      <c r="C17" s="6" t="s">
        <v>61</v>
      </c>
      <c r="D17" s="6" t="s">
        <v>125</v>
      </c>
      <c r="E17" s="7">
        <v>45581</v>
      </c>
      <c r="F17" s="6" t="s">
        <v>188</v>
      </c>
      <c r="G17" s="6" t="s">
        <v>189</v>
      </c>
      <c r="H17" s="6"/>
      <c r="I17" s="6" t="s">
        <v>190</v>
      </c>
      <c r="J17" s="8">
        <v>2911170</v>
      </c>
      <c r="K17" s="8" t="s">
        <v>28</v>
      </c>
      <c r="L17" s="8" t="s">
        <v>89</v>
      </c>
      <c r="M17" s="8"/>
    </row>
    <row r="18" spans="1:13">
      <c r="A18" s="5" t="s">
        <v>166</v>
      </c>
      <c r="B18" s="5" t="s">
        <v>192</v>
      </c>
      <c r="C18" s="6" t="s">
        <v>61</v>
      </c>
      <c r="D18" s="6" t="s">
        <v>125</v>
      </c>
      <c r="E18" s="7">
        <v>45601</v>
      </c>
      <c r="F18" s="6" t="s">
        <v>193</v>
      </c>
      <c r="G18" s="6" t="s">
        <v>194</v>
      </c>
      <c r="H18" s="6"/>
      <c r="I18" s="6" t="s">
        <v>106</v>
      </c>
      <c r="J18" s="8">
        <v>2384720</v>
      </c>
      <c r="K18" s="8" t="s">
        <v>28</v>
      </c>
      <c r="L18" s="8" t="s">
        <v>89</v>
      </c>
      <c r="M18" s="8"/>
    </row>
    <row r="19" spans="1:13">
      <c r="A19" s="5" t="s">
        <v>166</v>
      </c>
      <c r="B19" s="5" t="s">
        <v>196</v>
      </c>
      <c r="C19" s="6" t="s">
        <v>61</v>
      </c>
      <c r="D19" s="6" t="s">
        <v>197</v>
      </c>
      <c r="E19" s="7">
        <v>45609</v>
      </c>
      <c r="F19" s="6" t="s">
        <v>198</v>
      </c>
      <c r="G19" s="6" t="s">
        <v>199</v>
      </c>
      <c r="H19" s="6"/>
      <c r="I19" s="6" t="s">
        <v>200</v>
      </c>
      <c r="J19" s="8">
        <v>2975715</v>
      </c>
      <c r="K19" s="8" t="s">
        <v>28</v>
      </c>
      <c r="L19" s="8" t="s">
        <v>89</v>
      </c>
      <c r="M19" s="8"/>
    </row>
    <row r="20" spans="1:13">
      <c r="A20" s="5" t="s">
        <v>166</v>
      </c>
      <c r="B20" s="5" t="s">
        <v>202</v>
      </c>
      <c r="C20" s="6" t="s">
        <v>61</v>
      </c>
      <c r="D20" s="6" t="s">
        <v>125</v>
      </c>
      <c r="E20" s="7">
        <v>45574</v>
      </c>
      <c r="F20" s="6" t="s">
        <v>203</v>
      </c>
      <c r="G20" s="6" t="s">
        <v>204</v>
      </c>
      <c r="H20" s="6"/>
      <c r="I20" s="6" t="s">
        <v>205</v>
      </c>
      <c r="J20" s="8">
        <v>2999945.74</v>
      </c>
      <c r="K20" s="8" t="s">
        <v>28</v>
      </c>
      <c r="L20" s="8" t="s">
        <v>89</v>
      </c>
      <c r="M20" s="8"/>
    </row>
    <row r="21" spans="1:13">
      <c r="A21" s="5" t="s">
        <v>166</v>
      </c>
      <c r="B21" s="5" t="s">
        <v>207</v>
      </c>
      <c r="C21" s="6" t="s">
        <v>61</v>
      </c>
      <c r="D21" s="6" t="s">
        <v>125</v>
      </c>
      <c r="E21" s="7">
        <v>45441</v>
      </c>
      <c r="F21" s="6" t="s">
        <v>208</v>
      </c>
      <c r="G21" s="6" t="s">
        <v>209</v>
      </c>
      <c r="H21" s="6" t="s">
        <v>210</v>
      </c>
      <c r="I21" s="6" t="s">
        <v>211</v>
      </c>
      <c r="J21" s="8">
        <v>2789556</v>
      </c>
      <c r="K21" s="8" t="s">
        <v>28</v>
      </c>
      <c r="L21" s="8" t="s">
        <v>89</v>
      </c>
      <c r="M21" s="8"/>
    </row>
    <row r="22" spans="1:13">
      <c r="A22" s="5" t="s">
        <v>166</v>
      </c>
      <c r="B22" s="5" t="s">
        <v>213</v>
      </c>
      <c r="C22" s="6" t="s">
        <v>61</v>
      </c>
      <c r="D22" s="6" t="s">
        <v>125</v>
      </c>
      <c r="E22" s="7">
        <v>45448</v>
      </c>
      <c r="F22" s="6" t="s">
        <v>214</v>
      </c>
      <c r="G22" s="6" t="s">
        <v>215</v>
      </c>
      <c r="H22" s="6" t="s">
        <v>216</v>
      </c>
      <c r="I22" s="6" t="s">
        <v>217</v>
      </c>
      <c r="J22" s="8">
        <v>2896644</v>
      </c>
      <c r="K22" s="8" t="s">
        <v>28</v>
      </c>
      <c r="L22" s="8" t="s">
        <v>89</v>
      </c>
      <c r="M22" s="8"/>
    </row>
    <row r="23" spans="1:13">
      <c r="A23" s="5" t="s">
        <v>166</v>
      </c>
      <c r="B23" s="5" t="s">
        <v>219</v>
      </c>
      <c r="C23" s="6" t="s">
        <v>61</v>
      </c>
      <c r="D23" s="6" t="s">
        <v>125</v>
      </c>
      <c r="E23" s="7">
        <v>45441</v>
      </c>
      <c r="F23" s="6" t="s">
        <v>220</v>
      </c>
      <c r="G23" s="6" t="s">
        <v>221</v>
      </c>
      <c r="H23" s="6"/>
      <c r="I23" s="6" t="s">
        <v>222</v>
      </c>
      <c r="J23" s="8">
        <v>2785599</v>
      </c>
      <c r="K23" s="8" t="s">
        <v>28</v>
      </c>
      <c r="L23" s="8" t="s">
        <v>89</v>
      </c>
      <c r="M23" s="8"/>
    </row>
    <row r="24" spans="1:13">
      <c r="A24" s="5" t="s">
        <v>129</v>
      </c>
      <c r="B24" s="5" t="s">
        <v>141</v>
      </c>
      <c r="C24" s="6" t="s">
        <v>61</v>
      </c>
      <c r="D24" s="6" t="s">
        <v>125</v>
      </c>
      <c r="E24" s="7">
        <v>45225</v>
      </c>
      <c r="F24" s="6" t="s">
        <v>142</v>
      </c>
      <c r="G24" s="6" t="s">
        <v>143</v>
      </c>
      <c r="H24" s="6" t="s">
        <v>144</v>
      </c>
      <c r="I24" s="6" t="s">
        <v>145</v>
      </c>
      <c r="J24" s="8">
        <v>2715682.84</v>
      </c>
      <c r="K24" s="8" t="s">
        <v>28</v>
      </c>
      <c r="L24" s="8" t="s">
        <v>89</v>
      </c>
      <c r="M24" s="8"/>
    </row>
    <row r="25" spans="1:13">
      <c r="A25" s="5" t="s">
        <v>129</v>
      </c>
      <c r="B25" s="5" t="s">
        <v>147</v>
      </c>
      <c r="C25" s="6" t="s">
        <v>61</v>
      </c>
      <c r="D25" s="6" t="s">
        <v>125</v>
      </c>
      <c r="E25" s="7">
        <v>45236</v>
      </c>
      <c r="F25" s="8" t="s">
        <v>148</v>
      </c>
      <c r="G25" s="6" t="s">
        <v>149</v>
      </c>
      <c r="H25" s="6"/>
      <c r="I25" s="6" t="s">
        <v>150</v>
      </c>
      <c r="J25" s="8">
        <v>2398683</v>
      </c>
      <c r="K25" s="8" t="s">
        <v>28</v>
      </c>
      <c r="L25" s="8" t="s">
        <v>89</v>
      </c>
      <c r="M25" s="8"/>
    </row>
    <row r="26" spans="1:13">
      <c r="A26" s="5" t="s">
        <v>129</v>
      </c>
      <c r="B26" s="6" t="s">
        <v>23</v>
      </c>
      <c r="C26" s="6" t="s">
        <v>61</v>
      </c>
      <c r="D26" s="6" t="s">
        <v>125</v>
      </c>
      <c r="E26" s="31">
        <v>45275</v>
      </c>
      <c r="F26" s="6" t="s">
        <v>152</v>
      </c>
      <c r="G26" s="6" t="s">
        <v>153</v>
      </c>
      <c r="H26" s="6" t="s">
        <v>154</v>
      </c>
      <c r="I26" s="6" t="s">
        <v>155</v>
      </c>
      <c r="J26" s="8">
        <v>7936800</v>
      </c>
      <c r="K26" s="8" t="s">
        <v>28</v>
      </c>
      <c r="L26" s="8" t="s">
        <v>89</v>
      </c>
      <c r="M26" s="8"/>
    </row>
    <row r="27" spans="1:13">
      <c r="A27" s="5" t="s">
        <v>124</v>
      </c>
      <c r="B27" s="5"/>
      <c r="C27" s="6" t="s">
        <v>23</v>
      </c>
      <c r="D27" s="6" t="s">
        <v>125</v>
      </c>
      <c r="E27" s="7"/>
      <c r="F27" s="6" t="s">
        <v>126</v>
      </c>
      <c r="G27" s="6" t="s">
        <v>127</v>
      </c>
      <c r="H27" s="6"/>
      <c r="I27" s="6" t="s">
        <v>117</v>
      </c>
      <c r="J27" s="8">
        <v>5867730.2000000002</v>
      </c>
      <c r="K27" s="8" t="s">
        <v>28</v>
      </c>
      <c r="L27" s="8" t="s">
        <v>89</v>
      </c>
      <c r="M27" s="8" t="s">
        <v>225</v>
      </c>
    </row>
    <row r="28" spans="1:13">
      <c r="A28" s="5">
        <v>2019</v>
      </c>
      <c r="B28" s="6" t="s">
        <v>22</v>
      </c>
      <c r="C28" s="6" t="s">
        <v>23</v>
      </c>
      <c r="D28" s="6" t="s">
        <v>24</v>
      </c>
      <c r="E28" s="7"/>
      <c r="F28" s="6" t="s">
        <v>38</v>
      </c>
      <c r="G28" s="6" t="s">
        <v>39</v>
      </c>
      <c r="H28" s="6"/>
      <c r="I28" s="6" t="s">
        <v>40</v>
      </c>
      <c r="J28" s="8">
        <v>1636971</v>
      </c>
      <c r="K28" s="8" t="s">
        <v>28</v>
      </c>
      <c r="L28" s="8"/>
      <c r="M28" s="8"/>
    </row>
    <row r="29" spans="1:13">
      <c r="A29" s="5">
        <v>2019</v>
      </c>
      <c r="B29" s="5" t="s">
        <v>22</v>
      </c>
      <c r="C29" s="6" t="s">
        <v>23</v>
      </c>
      <c r="D29" s="6" t="s">
        <v>24</v>
      </c>
      <c r="E29" s="7"/>
      <c r="F29" s="6" t="s">
        <v>42</v>
      </c>
      <c r="G29" s="6" t="s">
        <v>43</v>
      </c>
      <c r="H29" s="6"/>
      <c r="I29" s="6" t="s">
        <v>44</v>
      </c>
      <c r="J29" s="8">
        <v>3258768</v>
      </c>
      <c r="K29" s="8" t="s">
        <v>28</v>
      </c>
      <c r="L29" s="8"/>
      <c r="M29" s="8"/>
    </row>
    <row r="30" spans="1:13">
      <c r="A30" s="5">
        <v>2019</v>
      </c>
      <c r="B30" s="6" t="s">
        <v>22</v>
      </c>
      <c r="C30" s="6" t="s">
        <v>23</v>
      </c>
      <c r="D30" s="6" t="s">
        <v>24</v>
      </c>
      <c r="E30" s="7"/>
      <c r="F30" s="6" t="s">
        <v>46</v>
      </c>
      <c r="G30" s="6" t="s">
        <v>47</v>
      </c>
      <c r="H30" s="6"/>
      <c r="I30" s="6" t="s">
        <v>48</v>
      </c>
      <c r="J30" s="8">
        <v>4019382</v>
      </c>
      <c r="K30" s="8" t="s">
        <v>28</v>
      </c>
      <c r="L30" s="8"/>
      <c r="M30" s="8"/>
    </row>
    <row r="31" spans="1:13">
      <c r="A31" s="5">
        <v>2019</v>
      </c>
      <c r="B31" s="5" t="s">
        <v>22</v>
      </c>
      <c r="C31" s="6" t="s">
        <v>23</v>
      </c>
      <c r="D31" s="6" t="s">
        <v>24</v>
      </c>
      <c r="E31" s="7"/>
      <c r="F31" s="6" t="s">
        <v>50</v>
      </c>
      <c r="G31" s="6" t="s">
        <v>362</v>
      </c>
      <c r="H31" s="6"/>
      <c r="I31" s="6"/>
      <c r="J31" s="8">
        <v>3135851.2</v>
      </c>
      <c r="K31" s="8" t="s">
        <v>28</v>
      </c>
      <c r="L31" s="8"/>
      <c r="M31" s="8"/>
    </row>
    <row r="32" spans="1:13">
      <c r="A32" s="5">
        <v>2019</v>
      </c>
      <c r="B32" s="5" t="s">
        <v>22</v>
      </c>
      <c r="C32" s="6" t="s">
        <v>23</v>
      </c>
      <c r="D32" s="6" t="s">
        <v>24</v>
      </c>
      <c r="E32" s="7"/>
      <c r="F32" s="6" t="s">
        <v>53</v>
      </c>
      <c r="G32" s="6" t="s">
        <v>54</v>
      </c>
      <c r="H32" s="6"/>
      <c r="I32" s="6" t="s">
        <v>55</v>
      </c>
      <c r="J32" s="8">
        <v>16926594.199999999</v>
      </c>
      <c r="K32" s="8" t="s">
        <v>28</v>
      </c>
      <c r="L32" s="8"/>
      <c r="M32" s="8"/>
    </row>
    <row r="33" spans="1:13">
      <c r="A33" s="5">
        <v>2019</v>
      </c>
      <c r="B33" s="6" t="s">
        <v>22</v>
      </c>
      <c r="C33" s="6" t="s">
        <v>23</v>
      </c>
      <c r="D33" s="6" t="s">
        <v>24</v>
      </c>
      <c r="E33" s="7"/>
      <c r="F33" s="6" t="s">
        <v>57</v>
      </c>
      <c r="G33" s="6" t="s">
        <v>58</v>
      </c>
      <c r="H33" s="6"/>
      <c r="I33" s="6" t="s">
        <v>59</v>
      </c>
      <c r="J33" s="8">
        <v>4394800</v>
      </c>
      <c r="K33" s="8" t="s">
        <v>28</v>
      </c>
      <c r="L33" s="8"/>
      <c r="M33" s="8"/>
    </row>
    <row r="34" spans="1:13">
      <c r="A34" s="5">
        <v>2018</v>
      </c>
      <c r="B34" s="6" t="s">
        <v>22</v>
      </c>
      <c r="C34" s="6" t="s">
        <v>23</v>
      </c>
      <c r="D34" s="6" t="s">
        <v>24</v>
      </c>
      <c r="E34" s="7"/>
      <c r="F34" s="6" t="s">
        <v>25</v>
      </c>
      <c r="G34" s="6" t="s">
        <v>26</v>
      </c>
      <c r="H34" s="6"/>
      <c r="I34" s="6" t="s">
        <v>27</v>
      </c>
      <c r="J34" s="8">
        <v>4999045</v>
      </c>
      <c r="K34" s="8" t="s">
        <v>28</v>
      </c>
      <c r="L34" s="8"/>
      <c r="M34" s="8"/>
    </row>
    <row r="35" spans="1:13">
      <c r="A35" s="5">
        <v>2018</v>
      </c>
      <c r="B35" s="6" t="s">
        <v>22</v>
      </c>
      <c r="C35" s="6" t="s">
        <v>23</v>
      </c>
      <c r="D35" s="6" t="s">
        <v>24</v>
      </c>
      <c r="E35" s="7"/>
      <c r="F35" s="6" t="s">
        <v>30</v>
      </c>
      <c r="G35" s="6" t="s">
        <v>31</v>
      </c>
      <c r="H35" s="6"/>
      <c r="I35" s="11" t="s">
        <v>32</v>
      </c>
      <c r="J35" s="8">
        <v>3058155.2</v>
      </c>
      <c r="K35" s="8" t="s">
        <v>28</v>
      </c>
      <c r="L35" s="8"/>
      <c r="M35" s="8"/>
    </row>
    <row r="36" spans="1:13">
      <c r="A36" s="5">
        <v>2018</v>
      </c>
      <c r="B36" s="5" t="s">
        <v>22</v>
      </c>
      <c r="C36" s="6" t="s">
        <v>23</v>
      </c>
      <c r="D36" s="6" t="s">
        <v>24</v>
      </c>
      <c r="E36" s="7"/>
      <c r="F36" s="6" t="s">
        <v>34</v>
      </c>
      <c r="G36" s="6" t="s">
        <v>35</v>
      </c>
      <c r="H36" s="6"/>
      <c r="I36" s="6" t="s">
        <v>36</v>
      </c>
      <c r="J36" s="8">
        <v>3551018</v>
      </c>
      <c r="K36" s="8" t="s">
        <v>28</v>
      </c>
      <c r="L36" s="8"/>
      <c r="M36" s="8"/>
    </row>
    <row r="37" spans="1:13">
      <c r="A37" s="5">
        <v>2017</v>
      </c>
      <c r="B37" s="6" t="s">
        <v>22</v>
      </c>
      <c r="C37" s="6" t="s">
        <v>23</v>
      </c>
      <c r="D37" s="6" t="s">
        <v>24</v>
      </c>
      <c r="E37" s="7"/>
      <c r="F37" s="6" t="s">
        <v>363</v>
      </c>
      <c r="G37" s="6" t="s">
        <v>364</v>
      </c>
      <c r="H37" s="6"/>
      <c r="I37" s="6" t="s">
        <v>365</v>
      </c>
      <c r="J37" s="8">
        <v>4294326.4000000004</v>
      </c>
      <c r="K37" s="8" t="s">
        <v>28</v>
      </c>
      <c r="L37" s="8"/>
      <c r="M37" s="8"/>
    </row>
    <row r="38" spans="1:13">
      <c r="A38" s="5">
        <v>2017</v>
      </c>
      <c r="B38" s="5" t="s">
        <v>22</v>
      </c>
      <c r="C38" s="6" t="s">
        <v>23</v>
      </c>
      <c r="D38" s="6" t="s">
        <v>24</v>
      </c>
      <c r="E38" s="7"/>
      <c r="F38" s="6" t="s">
        <v>366</v>
      </c>
      <c r="G38" s="6" t="s">
        <v>367</v>
      </c>
      <c r="H38" s="6"/>
      <c r="I38" s="6" t="s">
        <v>368</v>
      </c>
      <c r="J38" s="8">
        <v>1892235</v>
      </c>
      <c r="K38" s="8" t="s">
        <v>28</v>
      </c>
      <c r="L38" s="8"/>
      <c r="M38" s="8"/>
    </row>
    <row r="39" spans="1:13">
      <c r="A39" s="6">
        <v>2016</v>
      </c>
      <c r="B39" s="6" t="s">
        <v>22</v>
      </c>
      <c r="C39" s="6" t="s">
        <v>23</v>
      </c>
      <c r="D39" s="6" t="s">
        <v>24</v>
      </c>
      <c r="E39" s="6"/>
      <c r="F39" s="6" t="s">
        <v>369</v>
      </c>
      <c r="G39" s="6" t="s">
        <v>370</v>
      </c>
      <c r="H39" s="6"/>
      <c r="I39" s="6" t="s">
        <v>371</v>
      </c>
      <c r="J39" s="8">
        <v>4736242.4000000004</v>
      </c>
      <c r="K39" s="8" t="s">
        <v>28</v>
      </c>
      <c r="L39" s="8"/>
      <c r="M39" s="8"/>
    </row>
    <row r="40" spans="1:13">
      <c r="A40" s="52">
        <v>2025</v>
      </c>
      <c r="B40" s="6" t="s">
        <v>22</v>
      </c>
      <c r="C40" s="6" t="s">
        <v>22</v>
      </c>
      <c r="D40" s="53" t="s">
        <v>103</v>
      </c>
      <c r="E40" s="52"/>
      <c r="F40" s="54" t="s">
        <v>104</v>
      </c>
      <c r="G40" s="6" t="s">
        <v>105</v>
      </c>
      <c r="H40" s="52"/>
      <c r="I40" s="9" t="s">
        <v>106</v>
      </c>
      <c r="J40" s="55"/>
      <c r="K40" s="8" t="s">
        <v>28</v>
      </c>
      <c r="L40" s="8"/>
      <c r="M40" s="52"/>
    </row>
    <row r="41" spans="1:13">
      <c r="A41" s="52">
        <v>2025</v>
      </c>
      <c r="B41" s="6" t="s">
        <v>22</v>
      </c>
      <c r="C41" s="6" t="s">
        <v>22</v>
      </c>
      <c r="D41" s="53" t="s">
        <v>103</v>
      </c>
      <c r="E41" s="52"/>
      <c r="F41" s="54" t="s">
        <v>107</v>
      </c>
      <c r="G41" s="6" t="s">
        <v>108</v>
      </c>
      <c r="H41" s="52"/>
      <c r="I41" s="52"/>
      <c r="J41" s="55"/>
      <c r="K41" s="8" t="s">
        <v>28</v>
      </c>
      <c r="L41" s="8"/>
      <c r="M41" s="52"/>
    </row>
    <row r="42" spans="1:13">
      <c r="A42" s="52">
        <v>2025</v>
      </c>
      <c r="B42" s="6" t="s">
        <v>22</v>
      </c>
      <c r="C42" s="6" t="s">
        <v>22</v>
      </c>
      <c r="D42" s="53" t="s">
        <v>103</v>
      </c>
      <c r="E42" s="52"/>
      <c r="F42" s="54" t="s">
        <v>109</v>
      </c>
      <c r="G42" s="6" t="s">
        <v>110</v>
      </c>
      <c r="H42" s="52"/>
      <c r="I42" s="9" t="s">
        <v>111</v>
      </c>
      <c r="J42" s="55"/>
      <c r="K42" s="8" t="s">
        <v>28</v>
      </c>
      <c r="L42" s="8"/>
      <c r="M42" s="52"/>
    </row>
    <row r="43" spans="1:13">
      <c r="A43" s="56">
        <v>2021</v>
      </c>
      <c r="B43" s="56" t="s">
        <v>72</v>
      </c>
      <c r="C43" s="56" t="s">
        <v>61</v>
      </c>
      <c r="D43" s="56" t="s">
        <v>68</v>
      </c>
      <c r="E43" s="52"/>
      <c r="F43" s="56" t="s">
        <v>73</v>
      </c>
      <c r="G43" s="56" t="s">
        <v>74</v>
      </c>
      <c r="H43" s="57">
        <v>349800</v>
      </c>
      <c r="I43" s="53" t="s">
        <v>71</v>
      </c>
      <c r="J43" s="58">
        <v>349800</v>
      </c>
      <c r="K43" s="53" t="s">
        <v>28</v>
      </c>
      <c r="L43" s="8"/>
      <c r="M43" s="52"/>
    </row>
    <row r="44" spans="1:13">
      <c r="A44" s="56">
        <v>2020</v>
      </c>
      <c r="B44" s="56" t="s">
        <v>67</v>
      </c>
      <c r="C44" s="56" t="s">
        <v>61</v>
      </c>
      <c r="D44" s="56" t="s">
        <v>68</v>
      </c>
      <c r="E44" s="52"/>
      <c r="F44" s="56" t="s">
        <v>69</v>
      </c>
      <c r="G44" s="56" t="s">
        <v>70</v>
      </c>
      <c r="H44" s="57">
        <v>409314</v>
      </c>
      <c r="I44" s="53" t="s">
        <v>71</v>
      </c>
      <c r="J44" s="58">
        <v>409314</v>
      </c>
      <c r="K44" s="53" t="s">
        <v>28</v>
      </c>
      <c r="L44" s="8"/>
      <c r="M44" s="52"/>
    </row>
    <row r="45" spans="1:13">
      <c r="A45" s="6">
        <v>2018</v>
      </c>
      <c r="B45" s="6"/>
      <c r="C45" s="6"/>
      <c r="D45" s="6" t="s">
        <v>113</v>
      </c>
      <c r="E45" s="52"/>
      <c r="F45" s="6" t="s">
        <v>372</v>
      </c>
      <c r="G45" s="6" t="s">
        <v>373</v>
      </c>
      <c r="H45" s="52"/>
      <c r="I45" s="53" t="s">
        <v>71</v>
      </c>
      <c r="J45" s="55"/>
      <c r="K45" s="52"/>
      <c r="L45" s="52"/>
      <c r="M45" s="52"/>
    </row>
    <row r="46" spans="1:13">
      <c r="A46" s="6">
        <v>2019</v>
      </c>
      <c r="B46" s="6"/>
      <c r="C46" s="6"/>
      <c r="D46" s="6" t="s">
        <v>113</v>
      </c>
      <c r="E46" s="52"/>
      <c r="F46" s="6" t="s">
        <v>374</v>
      </c>
      <c r="G46" s="6" t="s">
        <v>375</v>
      </c>
      <c r="H46" s="52"/>
      <c r="I46" s="53" t="s">
        <v>71</v>
      </c>
      <c r="J46" s="55"/>
      <c r="K46" s="52"/>
      <c r="L46" s="52"/>
      <c r="M46" s="52"/>
    </row>
    <row r="47" spans="1:13">
      <c r="A47" s="6">
        <v>2020</v>
      </c>
      <c r="B47" s="6"/>
      <c r="C47" s="6"/>
      <c r="D47" s="6" t="s">
        <v>113</v>
      </c>
      <c r="E47" s="52"/>
      <c r="F47" s="6" t="s">
        <v>376</v>
      </c>
      <c r="G47" s="6" t="s">
        <v>377</v>
      </c>
      <c r="H47" s="52"/>
      <c r="I47" s="53" t="s">
        <v>71</v>
      </c>
      <c r="J47" s="55"/>
      <c r="K47" s="52"/>
      <c r="L47" s="52"/>
      <c r="M47" s="52"/>
    </row>
    <row r="48" spans="1:13">
      <c r="A48" s="6">
        <v>2020</v>
      </c>
      <c r="B48" s="6"/>
      <c r="C48" s="6"/>
      <c r="D48" s="6" t="s">
        <v>113</v>
      </c>
      <c r="E48" s="52"/>
      <c r="F48" s="6" t="s">
        <v>378</v>
      </c>
      <c r="G48" s="6" t="s">
        <v>379</v>
      </c>
      <c r="H48" s="52"/>
      <c r="I48" s="53" t="s">
        <v>71</v>
      </c>
      <c r="J48" s="55"/>
      <c r="K48" s="52"/>
      <c r="L48" s="52"/>
      <c r="M48" s="52"/>
    </row>
    <row r="49" spans="1:13">
      <c r="A49" s="6">
        <v>2020</v>
      </c>
      <c r="B49" s="6"/>
      <c r="C49" s="6"/>
      <c r="D49" s="6" t="s">
        <v>113</v>
      </c>
      <c r="E49" s="52"/>
      <c r="F49" s="6" t="s">
        <v>380</v>
      </c>
      <c r="G49" s="6" t="s">
        <v>381</v>
      </c>
      <c r="H49" s="52"/>
      <c r="I49" s="53" t="s">
        <v>71</v>
      </c>
      <c r="J49" s="55"/>
      <c r="K49" s="52"/>
      <c r="L49" s="52"/>
      <c r="M49" s="52"/>
    </row>
    <row r="50" spans="1:13">
      <c r="A50" s="6">
        <v>2020</v>
      </c>
      <c r="B50" s="6"/>
      <c r="C50" s="6"/>
      <c r="D50" s="6" t="s">
        <v>113</v>
      </c>
      <c r="E50" s="52"/>
      <c r="F50" s="6" t="s">
        <v>382</v>
      </c>
      <c r="G50" s="6" t="s">
        <v>383</v>
      </c>
      <c r="H50" s="52"/>
      <c r="I50" s="53" t="s">
        <v>71</v>
      </c>
      <c r="J50" s="55"/>
      <c r="K50" s="52"/>
      <c r="L50" s="52"/>
      <c r="M50" s="52"/>
    </row>
    <row r="51" spans="1:13">
      <c r="A51" s="6">
        <v>2021</v>
      </c>
      <c r="B51" s="6"/>
      <c r="C51" s="6"/>
      <c r="D51" s="6" t="s">
        <v>113</v>
      </c>
      <c r="E51" s="52"/>
      <c r="F51" s="6" t="s">
        <v>384</v>
      </c>
      <c r="G51" s="6" t="s">
        <v>385</v>
      </c>
      <c r="H51" s="52"/>
      <c r="I51" s="53" t="s">
        <v>71</v>
      </c>
      <c r="J51" s="55"/>
      <c r="K51" s="52"/>
      <c r="L51" s="52"/>
      <c r="M51" s="52"/>
    </row>
    <row r="52" spans="1:13">
      <c r="A52" s="6">
        <v>2024</v>
      </c>
      <c r="B52" s="6"/>
      <c r="C52" s="6"/>
      <c r="D52" s="6" t="s">
        <v>113</v>
      </c>
      <c r="E52" s="52"/>
      <c r="F52" s="6" t="s">
        <v>386</v>
      </c>
      <c r="G52" s="6" t="s">
        <v>387</v>
      </c>
      <c r="H52" s="52"/>
      <c r="I52" s="53" t="s">
        <v>71</v>
      </c>
      <c r="J52" s="55"/>
      <c r="K52" s="52"/>
      <c r="L52" s="52"/>
      <c r="M52" s="52"/>
    </row>
    <row r="53" spans="1:13">
      <c r="A53" s="6">
        <v>2025</v>
      </c>
      <c r="B53" s="6"/>
      <c r="C53" s="6"/>
      <c r="D53" s="6" t="s">
        <v>113</v>
      </c>
      <c r="E53" s="52"/>
      <c r="F53" s="6" t="s">
        <v>114</v>
      </c>
      <c r="G53" s="6" t="s">
        <v>110</v>
      </c>
      <c r="H53" s="52"/>
      <c r="I53" s="52" t="s">
        <v>111</v>
      </c>
      <c r="J53" s="55"/>
      <c r="K53" s="53" t="s">
        <v>28</v>
      </c>
      <c r="L53" s="52"/>
      <c r="M53" s="52"/>
    </row>
    <row r="54" spans="1:13">
      <c r="A54" s="6">
        <v>2025</v>
      </c>
      <c r="B54" s="6"/>
      <c r="C54" s="6"/>
      <c r="D54" s="6" t="s">
        <v>113</v>
      </c>
      <c r="E54" s="52"/>
      <c r="F54" s="6" t="s">
        <v>115</v>
      </c>
      <c r="G54" s="6" t="s">
        <v>116</v>
      </c>
      <c r="H54" s="52"/>
      <c r="I54" s="52" t="s">
        <v>117</v>
      </c>
      <c r="J54" s="55"/>
      <c r="K54" s="53" t="s">
        <v>28</v>
      </c>
      <c r="L54" s="52"/>
      <c r="M54" s="52"/>
    </row>
    <row r="55" spans="1:13">
      <c r="A55" s="6">
        <v>2025</v>
      </c>
      <c r="B55" s="6"/>
      <c r="C55" s="6"/>
      <c r="D55" s="6" t="s">
        <v>113</v>
      </c>
      <c r="E55" s="52"/>
      <c r="F55" s="6" t="s">
        <v>118</v>
      </c>
      <c r="G55" s="6" t="s">
        <v>119</v>
      </c>
      <c r="H55" s="52"/>
      <c r="I55" s="52" t="s">
        <v>120</v>
      </c>
      <c r="J55" s="55"/>
      <c r="K55" s="53" t="s">
        <v>28</v>
      </c>
      <c r="L55" s="52"/>
      <c r="M55" s="52"/>
    </row>
    <row r="56" spans="1:13">
      <c r="J56" s="59"/>
    </row>
    <row r="57" spans="1:13">
      <c r="J57" s="59"/>
    </row>
    <row r="58" spans="1:13">
      <c r="J58" s="59"/>
    </row>
    <row r="59" spans="1:13">
      <c r="J59" s="59"/>
    </row>
    <row r="60" spans="1:13">
      <c r="J60" s="59"/>
    </row>
    <row r="61" spans="1:13">
      <c r="J61" s="59"/>
    </row>
    <row r="62" spans="1:13">
      <c r="J62" s="59"/>
    </row>
    <row r="63" spans="1:13">
      <c r="J63" s="59"/>
    </row>
    <row r="64" spans="1:13">
      <c r="J64" s="59"/>
    </row>
    <row r="65" spans="10:10">
      <c r="J65" s="59"/>
    </row>
    <row r="66" spans="10:10">
      <c r="J66" s="59"/>
    </row>
    <row r="67" spans="10:10">
      <c r="J67" s="59"/>
    </row>
    <row r="68" spans="10:10">
      <c r="J68" s="59"/>
    </row>
    <row r="69" spans="10:10">
      <c r="J69" s="59"/>
    </row>
    <row r="70" spans="10:10">
      <c r="J70" s="59"/>
    </row>
    <row r="71" spans="10:10">
      <c r="J71" s="59"/>
    </row>
    <row r="72" spans="10:10">
      <c r="J72" s="59"/>
    </row>
    <row r="73" spans="10:10">
      <c r="J73" s="59"/>
    </row>
    <row r="74" spans="10:10">
      <c r="J74" s="59"/>
    </row>
    <row r="75" spans="10:10">
      <c r="J75" s="59"/>
    </row>
    <row r="76" spans="10:10">
      <c r="J76" s="59"/>
    </row>
    <row r="77" spans="10:10">
      <c r="J77" s="59"/>
    </row>
    <row r="78" spans="10:10">
      <c r="J78" s="59"/>
    </row>
    <row r="79" spans="10:10">
      <c r="J79" s="59"/>
    </row>
    <row r="80" spans="10:10">
      <c r="J80" s="59"/>
    </row>
    <row r="81" spans="10:10">
      <c r="J81" s="59"/>
    </row>
    <row r="82" spans="10:10">
      <c r="J82" s="59"/>
    </row>
    <row r="83" spans="10:10">
      <c r="J83" s="59"/>
    </row>
    <row r="84" spans="10:10">
      <c r="J84" s="59"/>
    </row>
    <row r="85" spans="10:10">
      <c r="J85" s="59"/>
    </row>
    <row r="86" spans="10:10">
      <c r="J86" s="59"/>
    </row>
    <row r="87" spans="10:10">
      <c r="J87" s="59"/>
    </row>
    <row r="88" spans="10:10">
      <c r="J88" s="59"/>
    </row>
    <row r="89" spans="10:10">
      <c r="J89" s="59"/>
    </row>
    <row r="90" spans="10:10">
      <c r="J90" s="59"/>
    </row>
    <row r="91" spans="10:10">
      <c r="J91" s="59"/>
    </row>
    <row r="92" spans="10:10">
      <c r="J92" s="59"/>
    </row>
    <row r="93" spans="10:10">
      <c r="J93" s="59"/>
    </row>
    <row r="94" spans="10:10">
      <c r="J94" s="59"/>
    </row>
    <row r="95" spans="10:10">
      <c r="J95" s="59"/>
    </row>
    <row r="96" spans="10:10">
      <c r="J96" s="59"/>
    </row>
    <row r="97" spans="10:10">
      <c r="J97" s="59"/>
    </row>
    <row r="98" spans="10:10">
      <c r="J98" s="59"/>
    </row>
    <row r="99" spans="10:10">
      <c r="J99" s="59"/>
    </row>
    <row r="100" spans="10:10">
      <c r="J100" s="59"/>
    </row>
    <row r="101" spans="10:10">
      <c r="J101" s="59"/>
    </row>
    <row r="102" spans="10:10">
      <c r="J102" s="59"/>
    </row>
    <row r="103" spans="10:10">
      <c r="J103" s="59"/>
    </row>
    <row r="104" spans="10:10">
      <c r="J104" s="59"/>
    </row>
    <row r="105" spans="10:10">
      <c r="J105" s="59"/>
    </row>
    <row r="106" spans="10:10">
      <c r="J106" s="59"/>
    </row>
    <row r="107" spans="10:10">
      <c r="J107" s="59"/>
    </row>
    <row r="108" spans="10:10">
      <c r="J108" s="59"/>
    </row>
    <row r="109" spans="10:10">
      <c r="J109" s="59"/>
    </row>
    <row r="110" spans="10:10">
      <c r="J110" s="59"/>
    </row>
    <row r="111" spans="10:10">
      <c r="J111" s="59"/>
    </row>
    <row r="112" spans="10:10">
      <c r="J112" s="59"/>
    </row>
    <row r="113" spans="10:10">
      <c r="J113" s="59"/>
    </row>
    <row r="114" spans="10:10">
      <c r="J114" s="59"/>
    </row>
    <row r="115" spans="10:10">
      <c r="J115" s="59"/>
    </row>
    <row r="116" spans="10:10">
      <c r="J116" s="59"/>
    </row>
    <row r="117" spans="10:10">
      <c r="J117" s="59"/>
    </row>
    <row r="118" spans="10:10">
      <c r="J118" s="59"/>
    </row>
    <row r="119" spans="10:10">
      <c r="J119" s="59"/>
    </row>
    <row r="120" spans="10:10">
      <c r="J120" s="59"/>
    </row>
    <row r="121" spans="10:10">
      <c r="J121" s="59"/>
    </row>
    <row r="122" spans="10:10">
      <c r="J122" s="59"/>
    </row>
    <row r="123" spans="10:10">
      <c r="J123" s="59"/>
    </row>
    <row r="124" spans="10:10">
      <c r="J124" s="59"/>
    </row>
    <row r="125" spans="10:10">
      <c r="J125" s="59"/>
    </row>
    <row r="126" spans="10:10">
      <c r="J126" s="59"/>
    </row>
    <row r="127" spans="10:10">
      <c r="J127" s="59"/>
    </row>
    <row r="128" spans="10:10">
      <c r="J128" s="59"/>
    </row>
    <row r="129" spans="10:10">
      <c r="J129" s="59"/>
    </row>
    <row r="130" spans="10:10">
      <c r="J130" s="59"/>
    </row>
    <row r="131" spans="10:10">
      <c r="J131" s="59"/>
    </row>
    <row r="132" spans="10:10">
      <c r="J132" s="59"/>
    </row>
    <row r="133" spans="10:10">
      <c r="J133" s="59"/>
    </row>
    <row r="134" spans="10:10">
      <c r="J134" s="59"/>
    </row>
    <row r="135" spans="10:10">
      <c r="J135" s="59"/>
    </row>
    <row r="136" spans="10:10">
      <c r="J136" s="59"/>
    </row>
    <row r="137" spans="10:10">
      <c r="J137" s="59"/>
    </row>
    <row r="138" spans="10:10">
      <c r="J138" s="59"/>
    </row>
    <row r="139" spans="10:10">
      <c r="J139" s="59"/>
    </row>
    <row r="140" spans="10:10">
      <c r="J140" s="59"/>
    </row>
    <row r="141" spans="10:10">
      <c r="J141" s="59"/>
    </row>
    <row r="142" spans="10:10">
      <c r="J142" s="59"/>
    </row>
    <row r="143" spans="10:10">
      <c r="J143" s="59"/>
    </row>
    <row r="144" spans="10:10">
      <c r="J144" s="59"/>
    </row>
    <row r="145" spans="10:10">
      <c r="J145" s="59"/>
    </row>
    <row r="146" spans="10:10">
      <c r="J146" s="59"/>
    </row>
    <row r="147" spans="10:10">
      <c r="J147" s="59"/>
    </row>
    <row r="148" spans="10:10">
      <c r="J148" s="59"/>
    </row>
    <row r="149" spans="10:10">
      <c r="J149" s="59"/>
    </row>
    <row r="150" spans="10:10">
      <c r="J150" s="59"/>
    </row>
    <row r="151" spans="10:10">
      <c r="J151" s="59"/>
    </row>
    <row r="152" spans="10:10">
      <c r="J152" s="59"/>
    </row>
    <row r="153" spans="10:10">
      <c r="J153" s="59"/>
    </row>
    <row r="154" spans="10:10">
      <c r="J154" s="59"/>
    </row>
    <row r="155" spans="10:10">
      <c r="J155" s="59"/>
    </row>
    <row r="156" spans="10:10">
      <c r="J156" s="59"/>
    </row>
    <row r="157" spans="10:10">
      <c r="J157" s="59"/>
    </row>
    <row r="158" spans="10:10">
      <c r="J158" s="59"/>
    </row>
    <row r="159" spans="10:10">
      <c r="J159" s="59"/>
    </row>
    <row r="160" spans="10:10">
      <c r="J160" s="59"/>
    </row>
    <row r="161" spans="10:10">
      <c r="J161" s="59"/>
    </row>
    <row r="162" spans="10:10">
      <c r="J162" s="59"/>
    </row>
    <row r="163" spans="10:10">
      <c r="J163" s="59"/>
    </row>
    <row r="164" spans="10:10">
      <c r="J164" s="59"/>
    </row>
    <row r="165" spans="10:10">
      <c r="J165" s="59"/>
    </row>
    <row r="166" spans="10:10">
      <c r="J166" s="59"/>
    </row>
    <row r="167" spans="10:10">
      <c r="J167" s="59"/>
    </row>
    <row r="168" spans="10:10">
      <c r="J168" s="59"/>
    </row>
    <row r="169" spans="10:10">
      <c r="J169" s="59"/>
    </row>
    <row r="170" spans="10:10">
      <c r="J170" s="59"/>
    </row>
    <row r="171" spans="10:10">
      <c r="J171" s="59"/>
    </row>
    <row r="172" spans="10:10">
      <c r="J172" s="59"/>
    </row>
    <row r="173" spans="10:10">
      <c r="J173" s="59"/>
    </row>
    <row r="174" spans="10:10">
      <c r="J174" s="59"/>
    </row>
    <row r="175" spans="10:10">
      <c r="J175" s="59"/>
    </row>
    <row r="176" spans="10:10">
      <c r="J176" s="59"/>
    </row>
    <row r="177" spans="10:10">
      <c r="J177" s="59"/>
    </row>
    <row r="178" spans="10:10">
      <c r="J178" s="59"/>
    </row>
    <row r="179" spans="10:10">
      <c r="J179" s="59"/>
    </row>
    <row r="180" spans="10:10">
      <c r="J180" s="59"/>
    </row>
    <row r="181" spans="10:10">
      <c r="J181" s="59"/>
    </row>
    <row r="182" spans="10:10">
      <c r="J182" s="59"/>
    </row>
    <row r="183" spans="10:10">
      <c r="J183" s="59"/>
    </row>
    <row r="184" spans="10:10">
      <c r="J184" s="59"/>
    </row>
    <row r="185" spans="10:10">
      <c r="J185" s="59"/>
    </row>
    <row r="186" spans="10:10">
      <c r="J186" s="59"/>
    </row>
    <row r="187" spans="10:10">
      <c r="J187" s="59"/>
    </row>
    <row r="188" spans="10:10">
      <c r="J188" s="59"/>
    </row>
    <row r="189" spans="10:10">
      <c r="J189" s="59"/>
    </row>
    <row r="190" spans="10:10">
      <c r="J190" s="59"/>
    </row>
    <row r="191" spans="10:10">
      <c r="J191" s="59"/>
    </row>
    <row r="192" spans="10:10">
      <c r="J192" s="59"/>
    </row>
    <row r="193" spans="10:10">
      <c r="J193" s="59"/>
    </row>
    <row r="194" spans="10:10">
      <c r="J194" s="59"/>
    </row>
    <row r="195" spans="10:10">
      <c r="J195" s="59"/>
    </row>
    <row r="196" spans="10:10">
      <c r="J196" s="59"/>
    </row>
    <row r="197" spans="10:10">
      <c r="J197" s="59"/>
    </row>
    <row r="198" spans="10:10">
      <c r="J198" s="59"/>
    </row>
    <row r="199" spans="10:10">
      <c r="J199" s="59"/>
    </row>
    <row r="200" spans="10:10">
      <c r="J200" s="59"/>
    </row>
    <row r="201" spans="10:10">
      <c r="J201" s="59"/>
    </row>
    <row r="202" spans="10:10">
      <c r="J202" s="59"/>
    </row>
    <row r="203" spans="10:10">
      <c r="J203" s="59"/>
    </row>
    <row r="204" spans="10:10">
      <c r="J204" s="59"/>
    </row>
    <row r="205" spans="10:10">
      <c r="J205" s="59"/>
    </row>
    <row r="206" spans="10:10">
      <c r="J206" s="59"/>
    </row>
    <row r="207" spans="10:10">
      <c r="J207" s="59"/>
    </row>
    <row r="208" spans="10:10">
      <c r="J208" s="59"/>
    </row>
    <row r="209" spans="10:10">
      <c r="J209" s="59"/>
    </row>
    <row r="210" spans="10:10">
      <c r="J210" s="59"/>
    </row>
    <row r="211" spans="10:10">
      <c r="J211" s="59"/>
    </row>
    <row r="212" spans="10:10">
      <c r="J212" s="59"/>
    </row>
    <row r="213" spans="10:10">
      <c r="J213" s="59"/>
    </row>
    <row r="214" spans="10:10">
      <c r="J214" s="59"/>
    </row>
    <row r="215" spans="10:10">
      <c r="J215" s="59"/>
    </row>
    <row r="216" spans="10:10">
      <c r="J216" s="59"/>
    </row>
    <row r="217" spans="10:10">
      <c r="J217" s="59"/>
    </row>
    <row r="218" spans="10:10">
      <c r="J218" s="59"/>
    </row>
    <row r="219" spans="10:10">
      <c r="J219" s="59"/>
    </row>
    <row r="220" spans="10:10">
      <c r="J220" s="59"/>
    </row>
    <row r="221" spans="10:10">
      <c r="J221" s="59"/>
    </row>
    <row r="222" spans="10:10">
      <c r="J222" s="59"/>
    </row>
    <row r="223" spans="10:10">
      <c r="J223" s="59"/>
    </row>
    <row r="224" spans="10:10">
      <c r="J224" s="59"/>
    </row>
    <row r="225" spans="10:10">
      <c r="J225" s="59"/>
    </row>
    <row r="226" spans="10:10">
      <c r="J226" s="59"/>
    </row>
    <row r="227" spans="10:10">
      <c r="J227" s="59"/>
    </row>
    <row r="228" spans="10:10">
      <c r="J228" s="59"/>
    </row>
    <row r="229" spans="10:10">
      <c r="J229" s="59"/>
    </row>
    <row r="230" spans="10:10">
      <c r="J230" s="59"/>
    </row>
    <row r="231" spans="10:10">
      <c r="J231" s="59"/>
    </row>
    <row r="232" spans="10:10">
      <c r="J232" s="59"/>
    </row>
    <row r="233" spans="10:10">
      <c r="J233" s="59"/>
    </row>
    <row r="234" spans="10:10">
      <c r="J234" s="59"/>
    </row>
    <row r="235" spans="10:10">
      <c r="J235" s="59"/>
    </row>
    <row r="236" spans="10:10">
      <c r="J236" s="59"/>
    </row>
    <row r="237" spans="10:10">
      <c r="J237" s="59"/>
    </row>
    <row r="238" spans="10:10">
      <c r="J238" s="59"/>
    </row>
    <row r="239" spans="10:10">
      <c r="J239" s="59"/>
    </row>
    <row r="240" spans="10:10">
      <c r="J240" s="59"/>
    </row>
    <row r="241" spans="10:10">
      <c r="J241" s="59"/>
    </row>
    <row r="242" spans="10:10">
      <c r="J242" s="59"/>
    </row>
    <row r="243" spans="10:10">
      <c r="J243" s="59"/>
    </row>
    <row r="244" spans="10:10">
      <c r="J244" s="59"/>
    </row>
    <row r="245" spans="10:10">
      <c r="J245" s="59"/>
    </row>
    <row r="246" spans="10:10">
      <c r="J246" s="59"/>
    </row>
    <row r="247" spans="10:10">
      <c r="J247" s="59"/>
    </row>
    <row r="248" spans="10:10">
      <c r="J248" s="59"/>
    </row>
    <row r="249" spans="10:10">
      <c r="J249" s="59"/>
    </row>
    <row r="250" spans="10:10">
      <c r="J250" s="59"/>
    </row>
    <row r="251" spans="10:10">
      <c r="J251" s="59"/>
    </row>
    <row r="252" spans="10:10">
      <c r="J252" s="59"/>
    </row>
    <row r="253" spans="10:10">
      <c r="J253" s="59"/>
    </row>
    <row r="254" spans="10:10">
      <c r="J254" s="59"/>
    </row>
    <row r="255" spans="10:10">
      <c r="J255" s="59"/>
    </row>
    <row r="256" spans="10:10">
      <c r="J256" s="59"/>
    </row>
    <row r="257" spans="10:10">
      <c r="J257" s="59"/>
    </row>
    <row r="258" spans="10:10">
      <c r="J258" s="59"/>
    </row>
    <row r="259" spans="10:10">
      <c r="J259" s="59"/>
    </row>
    <row r="260" spans="10:10">
      <c r="J260" s="59"/>
    </row>
    <row r="261" spans="10:10">
      <c r="J261" s="59"/>
    </row>
    <row r="262" spans="10:10">
      <c r="J262" s="59"/>
    </row>
    <row r="263" spans="10:10">
      <c r="J263" s="59"/>
    </row>
    <row r="264" spans="10:10">
      <c r="J264" s="59"/>
    </row>
    <row r="265" spans="10:10">
      <c r="J265" s="59"/>
    </row>
    <row r="266" spans="10:10">
      <c r="J266" s="59"/>
    </row>
    <row r="267" spans="10:10">
      <c r="J267" s="59"/>
    </row>
    <row r="268" spans="10:10">
      <c r="J268" s="59"/>
    </row>
    <row r="269" spans="10:10">
      <c r="J269" s="59"/>
    </row>
    <row r="270" spans="10:10">
      <c r="J270" s="59"/>
    </row>
    <row r="271" spans="10:10">
      <c r="J271" s="59"/>
    </row>
    <row r="272" spans="10:10">
      <c r="J272" s="59"/>
    </row>
    <row r="273" spans="10:10">
      <c r="J273" s="59"/>
    </row>
    <row r="274" spans="10:10">
      <c r="J274" s="59"/>
    </row>
    <row r="275" spans="10:10">
      <c r="J275" s="59"/>
    </row>
    <row r="276" spans="10:10">
      <c r="J276" s="59"/>
    </row>
    <row r="277" spans="10:10">
      <c r="J277" s="59"/>
    </row>
    <row r="278" spans="10:10">
      <c r="J278" s="59"/>
    </row>
    <row r="279" spans="10:10">
      <c r="J279" s="59"/>
    </row>
    <row r="280" spans="10:10">
      <c r="J280" s="59"/>
    </row>
    <row r="281" spans="10:10">
      <c r="J281" s="59"/>
    </row>
    <row r="282" spans="10:10">
      <c r="J282" s="59"/>
    </row>
    <row r="283" spans="10:10">
      <c r="J283" s="59"/>
    </row>
    <row r="284" spans="10:10">
      <c r="J284" s="59"/>
    </row>
    <row r="285" spans="10:10">
      <c r="J285" s="59"/>
    </row>
    <row r="286" spans="10:10">
      <c r="J286" s="59"/>
    </row>
    <row r="287" spans="10:10">
      <c r="J287" s="59"/>
    </row>
    <row r="288" spans="10:10">
      <c r="J288" s="59"/>
    </row>
    <row r="289" spans="10:10">
      <c r="J289" s="59"/>
    </row>
    <row r="290" spans="10:10">
      <c r="J290" s="59"/>
    </row>
    <row r="291" spans="10:10">
      <c r="J291" s="59"/>
    </row>
    <row r="292" spans="10:10">
      <c r="J292" s="59"/>
    </row>
    <row r="293" spans="10:10">
      <c r="J293" s="59"/>
    </row>
    <row r="294" spans="10:10">
      <c r="J294" s="59"/>
    </row>
    <row r="295" spans="10:10">
      <c r="J295" s="59"/>
    </row>
    <row r="296" spans="10:10">
      <c r="J296" s="59"/>
    </row>
    <row r="297" spans="10:10">
      <c r="J297" s="59"/>
    </row>
    <row r="298" spans="10:10">
      <c r="J298" s="59"/>
    </row>
    <row r="299" spans="10:10">
      <c r="J299" s="59"/>
    </row>
    <row r="300" spans="10:10">
      <c r="J300" s="59"/>
    </row>
    <row r="301" spans="10:10">
      <c r="J301" s="59"/>
    </row>
    <row r="302" spans="10:10">
      <c r="J302" s="59"/>
    </row>
    <row r="303" spans="10:10">
      <c r="J303" s="59"/>
    </row>
    <row r="304" spans="10:10">
      <c r="J304" s="59"/>
    </row>
    <row r="305" spans="10:10">
      <c r="J305" s="59"/>
    </row>
    <row r="306" spans="10:10">
      <c r="J306" s="59"/>
    </row>
    <row r="307" spans="10:10">
      <c r="J307" s="59"/>
    </row>
    <row r="308" spans="10:10">
      <c r="J308" s="59"/>
    </row>
    <row r="309" spans="10:10">
      <c r="J309" s="59"/>
    </row>
    <row r="310" spans="10:10">
      <c r="J310" s="59"/>
    </row>
    <row r="311" spans="10:10">
      <c r="J311" s="59"/>
    </row>
    <row r="312" spans="10:10">
      <c r="J312" s="59"/>
    </row>
    <row r="313" spans="10:10">
      <c r="J313" s="59"/>
    </row>
    <row r="314" spans="10:10">
      <c r="J314" s="59"/>
    </row>
    <row r="315" spans="10:10">
      <c r="J315" s="59"/>
    </row>
    <row r="316" spans="10:10">
      <c r="J316" s="59"/>
    </row>
    <row r="317" spans="10:10">
      <c r="J317" s="59"/>
    </row>
    <row r="318" spans="10:10">
      <c r="J318" s="59"/>
    </row>
    <row r="319" spans="10:10">
      <c r="J319" s="59"/>
    </row>
    <row r="320" spans="10:10">
      <c r="J320" s="59"/>
    </row>
    <row r="321" spans="10:10">
      <c r="J321" s="59"/>
    </row>
    <row r="322" spans="10:10">
      <c r="J322" s="59"/>
    </row>
    <row r="323" spans="10:10">
      <c r="J323" s="59"/>
    </row>
    <row r="324" spans="10:10">
      <c r="J324" s="59"/>
    </row>
    <row r="325" spans="10:10">
      <c r="J325" s="59"/>
    </row>
    <row r="326" spans="10:10">
      <c r="J326" s="59"/>
    </row>
    <row r="327" spans="10:10">
      <c r="J327" s="59"/>
    </row>
    <row r="328" spans="10:10">
      <c r="J328" s="59"/>
    </row>
    <row r="329" spans="10:10">
      <c r="J329" s="59"/>
    </row>
    <row r="330" spans="10:10">
      <c r="J330" s="59"/>
    </row>
    <row r="331" spans="10:10">
      <c r="J331" s="59"/>
    </row>
    <row r="332" spans="10:10">
      <c r="J332" s="59"/>
    </row>
    <row r="333" spans="10:10">
      <c r="J333" s="59"/>
    </row>
    <row r="334" spans="10:10">
      <c r="J334" s="59"/>
    </row>
    <row r="335" spans="10:10">
      <c r="J335" s="59"/>
    </row>
    <row r="336" spans="10:10">
      <c r="J336" s="59"/>
    </row>
    <row r="337" spans="10:10">
      <c r="J337" s="59"/>
    </row>
    <row r="338" spans="10:10">
      <c r="J338" s="59"/>
    </row>
    <row r="339" spans="10:10">
      <c r="J339" s="59"/>
    </row>
    <row r="340" spans="10:10">
      <c r="J340" s="59"/>
    </row>
    <row r="341" spans="10:10">
      <c r="J341" s="59"/>
    </row>
    <row r="342" spans="10:10">
      <c r="J342" s="59"/>
    </row>
    <row r="343" spans="10:10">
      <c r="J343" s="59"/>
    </row>
    <row r="344" spans="10:10">
      <c r="J344" s="59"/>
    </row>
    <row r="345" spans="10:10">
      <c r="J345" s="59"/>
    </row>
    <row r="346" spans="10:10">
      <c r="J346" s="59"/>
    </row>
    <row r="347" spans="10:10">
      <c r="J347" s="59"/>
    </row>
    <row r="348" spans="10:10">
      <c r="J348" s="59"/>
    </row>
    <row r="349" spans="10:10">
      <c r="J349" s="59"/>
    </row>
    <row r="350" spans="10:10">
      <c r="J350" s="59"/>
    </row>
    <row r="351" spans="10:10">
      <c r="J351" s="59"/>
    </row>
    <row r="352" spans="10:10">
      <c r="J352" s="59"/>
    </row>
    <row r="353" spans="10:10">
      <c r="J353" s="59"/>
    </row>
    <row r="354" spans="10:10">
      <c r="J354" s="59"/>
    </row>
    <row r="355" spans="10:10">
      <c r="J355" s="59"/>
    </row>
    <row r="356" spans="10:10">
      <c r="J356" s="59"/>
    </row>
    <row r="357" spans="10:10">
      <c r="J357" s="59"/>
    </row>
    <row r="358" spans="10:10">
      <c r="J358" s="59"/>
    </row>
    <row r="359" spans="10:10">
      <c r="J359" s="59"/>
    </row>
    <row r="360" spans="10:10">
      <c r="J360" s="59"/>
    </row>
    <row r="361" spans="10:10">
      <c r="J361" s="59"/>
    </row>
    <row r="362" spans="10:10">
      <c r="J362" s="59"/>
    </row>
    <row r="363" spans="10:10">
      <c r="J363" s="59"/>
    </row>
    <row r="364" spans="10:10">
      <c r="J364" s="59"/>
    </row>
    <row r="365" spans="10:10">
      <c r="J365" s="59"/>
    </row>
    <row r="366" spans="10:10">
      <c r="J366" s="59"/>
    </row>
    <row r="367" spans="10:10">
      <c r="J367" s="59"/>
    </row>
    <row r="368" spans="10:10">
      <c r="J368" s="59"/>
    </row>
    <row r="369" spans="10:10">
      <c r="J369" s="59"/>
    </row>
    <row r="370" spans="10:10">
      <c r="J370" s="59"/>
    </row>
    <row r="371" spans="10:10">
      <c r="J371" s="59"/>
    </row>
    <row r="372" spans="10:10">
      <c r="J372" s="59"/>
    </row>
    <row r="373" spans="10:10">
      <c r="J373" s="59"/>
    </row>
    <row r="374" spans="10:10">
      <c r="J374" s="59"/>
    </row>
    <row r="375" spans="10:10">
      <c r="J375" s="59"/>
    </row>
    <row r="376" spans="10:10">
      <c r="J376" s="59"/>
    </row>
    <row r="377" spans="10:10">
      <c r="J377" s="59"/>
    </row>
    <row r="378" spans="10:10">
      <c r="J378" s="59"/>
    </row>
    <row r="379" spans="10:10">
      <c r="J379" s="59"/>
    </row>
    <row r="380" spans="10:10">
      <c r="J380" s="59"/>
    </row>
    <row r="381" spans="10:10">
      <c r="J381" s="59"/>
    </row>
    <row r="382" spans="10:10">
      <c r="J382" s="59"/>
    </row>
    <row r="383" spans="10:10">
      <c r="J383" s="59"/>
    </row>
    <row r="384" spans="10:10">
      <c r="J384" s="59"/>
    </row>
    <row r="385" spans="10:10">
      <c r="J385" s="59"/>
    </row>
    <row r="386" spans="10:10">
      <c r="J386" s="59"/>
    </row>
    <row r="387" spans="10:10">
      <c r="J387" s="59"/>
    </row>
    <row r="388" spans="10:10">
      <c r="J388" s="59"/>
    </row>
    <row r="389" spans="10:10">
      <c r="J389" s="59"/>
    </row>
    <row r="390" spans="10:10">
      <c r="J390" s="59"/>
    </row>
    <row r="391" spans="10:10">
      <c r="J391" s="59"/>
    </row>
    <row r="392" spans="10:10">
      <c r="J392" s="59"/>
    </row>
    <row r="393" spans="10:10">
      <c r="J393" s="59"/>
    </row>
    <row r="394" spans="10:10">
      <c r="J394" s="59"/>
    </row>
    <row r="395" spans="10:10">
      <c r="J395" s="59"/>
    </row>
    <row r="396" spans="10:10">
      <c r="J396" s="59"/>
    </row>
    <row r="397" spans="10:10">
      <c r="J397" s="59"/>
    </row>
    <row r="398" spans="10:10">
      <c r="J398" s="59"/>
    </row>
    <row r="399" spans="10:10">
      <c r="J399" s="59"/>
    </row>
    <row r="400" spans="10:10">
      <c r="J400" s="59"/>
    </row>
    <row r="401" spans="10:10">
      <c r="J401" s="59"/>
    </row>
    <row r="402" spans="10:10">
      <c r="J402" s="59"/>
    </row>
    <row r="403" spans="10:10">
      <c r="J403" s="59"/>
    </row>
    <row r="404" spans="10:10">
      <c r="J404" s="59"/>
    </row>
    <row r="405" spans="10:10">
      <c r="J405" s="59"/>
    </row>
    <row r="406" spans="10:10">
      <c r="J406" s="59"/>
    </row>
    <row r="407" spans="10:10">
      <c r="J407" s="59"/>
    </row>
    <row r="408" spans="10:10">
      <c r="J408" s="59"/>
    </row>
    <row r="409" spans="10:10">
      <c r="J409" s="59"/>
    </row>
    <row r="410" spans="10:10">
      <c r="J410" s="59"/>
    </row>
    <row r="411" spans="10:10">
      <c r="J411" s="59"/>
    </row>
    <row r="412" spans="10:10">
      <c r="J412" s="59"/>
    </row>
    <row r="413" spans="10:10">
      <c r="J413" s="59"/>
    </row>
    <row r="414" spans="10:10">
      <c r="J414" s="59"/>
    </row>
    <row r="415" spans="10:10">
      <c r="J415" s="59"/>
    </row>
    <row r="416" spans="10:10">
      <c r="J416" s="59"/>
    </row>
    <row r="417" spans="10:10">
      <c r="J417" s="59"/>
    </row>
    <row r="418" spans="10:10">
      <c r="J418" s="59"/>
    </row>
    <row r="419" spans="10:10">
      <c r="J419" s="59"/>
    </row>
    <row r="420" spans="10:10">
      <c r="J420" s="59"/>
    </row>
    <row r="421" spans="10:10">
      <c r="J421" s="59"/>
    </row>
    <row r="422" spans="10:10">
      <c r="J422" s="59"/>
    </row>
    <row r="423" spans="10:10">
      <c r="J423" s="59"/>
    </row>
    <row r="424" spans="10:10">
      <c r="J424" s="59"/>
    </row>
    <row r="425" spans="10:10">
      <c r="J425" s="59"/>
    </row>
    <row r="426" spans="10:10">
      <c r="J426" s="59"/>
    </row>
    <row r="427" spans="10:10">
      <c r="J427" s="59"/>
    </row>
    <row r="428" spans="10:10">
      <c r="J428" s="59"/>
    </row>
    <row r="429" spans="10:10">
      <c r="J429" s="59"/>
    </row>
    <row r="430" spans="10:10">
      <c r="J430" s="59"/>
    </row>
    <row r="431" spans="10:10">
      <c r="J431" s="59"/>
    </row>
    <row r="432" spans="10:10">
      <c r="J432" s="59"/>
    </row>
    <row r="433" spans="10:10">
      <c r="J433" s="59"/>
    </row>
    <row r="434" spans="10:10">
      <c r="J434" s="59"/>
    </row>
    <row r="435" spans="10:10">
      <c r="J435" s="59"/>
    </row>
    <row r="436" spans="10:10">
      <c r="J436" s="59"/>
    </row>
    <row r="437" spans="10:10">
      <c r="J437" s="59"/>
    </row>
    <row r="438" spans="10:10">
      <c r="J438" s="59"/>
    </row>
    <row r="439" spans="10:10">
      <c r="J439" s="59"/>
    </row>
    <row r="440" spans="10:10">
      <c r="J440" s="59"/>
    </row>
    <row r="441" spans="10:10">
      <c r="J441" s="59"/>
    </row>
    <row r="442" spans="10:10">
      <c r="J442" s="59"/>
    </row>
    <row r="443" spans="10:10">
      <c r="J443" s="59"/>
    </row>
    <row r="444" spans="10:10">
      <c r="J444" s="59"/>
    </row>
    <row r="445" spans="10:10">
      <c r="J445" s="59"/>
    </row>
    <row r="446" spans="10:10">
      <c r="J446" s="59"/>
    </row>
    <row r="447" spans="10:10">
      <c r="J447" s="59"/>
    </row>
    <row r="448" spans="10:10">
      <c r="J448" s="59"/>
    </row>
    <row r="449" spans="10:10">
      <c r="J449" s="59"/>
    </row>
    <row r="450" spans="10:10">
      <c r="J450" s="59"/>
    </row>
    <row r="451" spans="10:10">
      <c r="J451" s="59"/>
    </row>
    <row r="452" spans="10:10">
      <c r="J452" s="59"/>
    </row>
    <row r="453" spans="10:10">
      <c r="J453" s="59"/>
    </row>
    <row r="454" spans="10:10">
      <c r="J454" s="59"/>
    </row>
    <row r="455" spans="10:10">
      <c r="J455" s="59"/>
    </row>
    <row r="456" spans="10:10">
      <c r="J456" s="59"/>
    </row>
    <row r="457" spans="10:10">
      <c r="J457" s="59"/>
    </row>
    <row r="458" spans="10:10">
      <c r="J458" s="59"/>
    </row>
    <row r="459" spans="10:10">
      <c r="J459" s="59"/>
    </row>
    <row r="460" spans="10:10">
      <c r="J460" s="59"/>
    </row>
    <row r="461" spans="10:10">
      <c r="J461" s="59"/>
    </row>
    <row r="462" spans="10:10">
      <c r="J462" s="59"/>
    </row>
    <row r="463" spans="10:10">
      <c r="J463" s="59"/>
    </row>
    <row r="464" spans="10:10">
      <c r="J464" s="59"/>
    </row>
    <row r="465" spans="10:10">
      <c r="J465" s="59"/>
    </row>
    <row r="466" spans="10:10">
      <c r="J466" s="59"/>
    </row>
    <row r="467" spans="10:10">
      <c r="J467" s="59"/>
    </row>
    <row r="468" spans="10:10">
      <c r="J468" s="59"/>
    </row>
    <row r="469" spans="10:10">
      <c r="J469" s="59"/>
    </row>
    <row r="470" spans="10:10">
      <c r="J470" s="59"/>
    </row>
    <row r="471" spans="10:10">
      <c r="J471" s="59"/>
    </row>
    <row r="472" spans="10:10">
      <c r="J472" s="59"/>
    </row>
    <row r="473" spans="10:10">
      <c r="J473" s="59"/>
    </row>
    <row r="474" spans="10:10">
      <c r="J474" s="59"/>
    </row>
    <row r="475" spans="10:10">
      <c r="J475" s="59"/>
    </row>
    <row r="476" spans="10:10">
      <c r="J476" s="59"/>
    </row>
    <row r="477" spans="10:10">
      <c r="J477" s="59"/>
    </row>
    <row r="478" spans="10:10">
      <c r="J478" s="59"/>
    </row>
    <row r="479" spans="10:10">
      <c r="J479" s="59"/>
    </row>
    <row r="480" spans="10:10">
      <c r="J480" s="59"/>
    </row>
    <row r="481" spans="10:10">
      <c r="J481" s="59"/>
    </row>
    <row r="482" spans="10:10">
      <c r="J482" s="59"/>
    </row>
    <row r="483" spans="10:10">
      <c r="J483" s="59"/>
    </row>
    <row r="484" spans="10:10">
      <c r="J484" s="59"/>
    </row>
    <row r="485" spans="10:10">
      <c r="J485" s="59"/>
    </row>
    <row r="486" spans="10:10">
      <c r="J486" s="59"/>
    </row>
    <row r="487" spans="10:10">
      <c r="J487" s="59"/>
    </row>
    <row r="488" spans="10:10">
      <c r="J488" s="59"/>
    </row>
    <row r="489" spans="10:10">
      <c r="J489" s="59"/>
    </row>
    <row r="490" spans="10:10">
      <c r="J490" s="59"/>
    </row>
    <row r="491" spans="10:10">
      <c r="J491" s="59"/>
    </row>
    <row r="492" spans="10:10">
      <c r="J492" s="59"/>
    </row>
    <row r="493" spans="10:10">
      <c r="J493" s="59"/>
    </row>
    <row r="494" spans="10:10">
      <c r="J494" s="59"/>
    </row>
    <row r="495" spans="10:10">
      <c r="J495" s="59"/>
    </row>
    <row r="496" spans="10:10">
      <c r="J496" s="59"/>
    </row>
    <row r="497" spans="10:10">
      <c r="J497" s="59"/>
    </row>
    <row r="498" spans="10:10">
      <c r="J498" s="59"/>
    </row>
    <row r="499" spans="10:10">
      <c r="J499" s="59"/>
    </row>
    <row r="500" spans="10:10">
      <c r="J500" s="59"/>
    </row>
    <row r="501" spans="10:10">
      <c r="J501" s="59"/>
    </row>
    <row r="502" spans="10:10">
      <c r="J502" s="59"/>
    </row>
    <row r="503" spans="10:10">
      <c r="J503" s="59"/>
    </row>
    <row r="504" spans="10:10">
      <c r="J504" s="59"/>
    </row>
    <row r="505" spans="10:10">
      <c r="J505" s="59"/>
    </row>
    <row r="506" spans="10:10">
      <c r="J506" s="59"/>
    </row>
    <row r="507" spans="10:10">
      <c r="J507" s="59"/>
    </row>
    <row r="508" spans="10:10">
      <c r="J508" s="59"/>
    </row>
    <row r="509" spans="10:10">
      <c r="J509" s="59"/>
    </row>
    <row r="510" spans="10:10">
      <c r="J510" s="59"/>
    </row>
    <row r="511" spans="10:10">
      <c r="J511" s="59"/>
    </row>
    <row r="512" spans="10:10">
      <c r="J512" s="59"/>
    </row>
    <row r="513" spans="10:10">
      <c r="J513" s="59"/>
    </row>
    <row r="514" spans="10:10">
      <c r="J514" s="59"/>
    </row>
    <row r="515" spans="10:10">
      <c r="J515" s="59"/>
    </row>
    <row r="516" spans="10:10">
      <c r="J516" s="59"/>
    </row>
    <row r="517" spans="10:10">
      <c r="J517" s="59"/>
    </row>
    <row r="518" spans="10:10">
      <c r="J518" s="59"/>
    </row>
    <row r="519" spans="10:10">
      <c r="J519" s="59"/>
    </row>
    <row r="520" spans="10:10">
      <c r="J520" s="59"/>
    </row>
    <row r="521" spans="10:10">
      <c r="J521" s="59"/>
    </row>
    <row r="522" spans="10:10">
      <c r="J522" s="59"/>
    </row>
    <row r="523" spans="10:10">
      <c r="J523" s="59"/>
    </row>
    <row r="524" spans="10:10">
      <c r="J524" s="59"/>
    </row>
    <row r="525" spans="10:10">
      <c r="J525" s="59"/>
    </row>
    <row r="526" spans="10:10">
      <c r="J526" s="59"/>
    </row>
    <row r="527" spans="10:10">
      <c r="J527" s="59"/>
    </row>
    <row r="528" spans="10:10">
      <c r="J528" s="59"/>
    </row>
    <row r="529" spans="10:10">
      <c r="J529" s="59"/>
    </row>
    <row r="530" spans="10:10">
      <c r="J530" s="59"/>
    </row>
    <row r="531" spans="10:10">
      <c r="J531" s="59"/>
    </row>
    <row r="532" spans="10:10">
      <c r="J532" s="59"/>
    </row>
    <row r="533" spans="10:10">
      <c r="J533" s="59"/>
    </row>
    <row r="534" spans="10:10">
      <c r="J534" s="59"/>
    </row>
    <row r="535" spans="10:10">
      <c r="J535" s="59"/>
    </row>
    <row r="536" spans="10:10">
      <c r="J536" s="59"/>
    </row>
    <row r="537" spans="10:10">
      <c r="J537" s="59"/>
    </row>
    <row r="538" spans="10:10">
      <c r="J538" s="59"/>
    </row>
    <row r="539" spans="10:10">
      <c r="J539" s="59"/>
    </row>
    <row r="540" spans="10:10">
      <c r="J540" s="59"/>
    </row>
    <row r="541" spans="10:10">
      <c r="J541" s="59"/>
    </row>
    <row r="542" spans="10:10">
      <c r="J542" s="59"/>
    </row>
    <row r="543" spans="10:10">
      <c r="J543" s="59"/>
    </row>
    <row r="544" spans="10:10">
      <c r="J544" s="59"/>
    </row>
    <row r="545" spans="10:10">
      <c r="J545" s="59"/>
    </row>
    <row r="546" spans="10:10">
      <c r="J546" s="59"/>
    </row>
    <row r="547" spans="10:10">
      <c r="J547" s="59"/>
    </row>
    <row r="548" spans="10:10">
      <c r="J548" s="59"/>
    </row>
    <row r="549" spans="10:10">
      <c r="J549" s="59"/>
    </row>
    <row r="550" spans="10:10">
      <c r="J550" s="59"/>
    </row>
    <row r="551" spans="10:10">
      <c r="J551" s="59"/>
    </row>
    <row r="552" spans="10:10">
      <c r="J552" s="59"/>
    </row>
    <row r="553" spans="10:10">
      <c r="J553" s="59"/>
    </row>
    <row r="554" spans="10:10">
      <c r="J554" s="59"/>
    </row>
    <row r="555" spans="10:10">
      <c r="J555" s="59"/>
    </row>
    <row r="556" spans="10:10">
      <c r="J556" s="59"/>
    </row>
    <row r="557" spans="10:10">
      <c r="J557" s="59"/>
    </row>
    <row r="558" spans="10:10">
      <c r="J558" s="59"/>
    </row>
    <row r="559" spans="10:10">
      <c r="J559" s="59"/>
    </row>
    <row r="560" spans="10:10">
      <c r="J560" s="59"/>
    </row>
    <row r="561" spans="10:10">
      <c r="J561" s="59"/>
    </row>
    <row r="562" spans="10:10">
      <c r="J562" s="59"/>
    </row>
    <row r="563" spans="10:10">
      <c r="J563" s="59"/>
    </row>
    <row r="564" spans="10:10">
      <c r="J564" s="59"/>
    </row>
    <row r="565" spans="10:10">
      <c r="J565" s="59"/>
    </row>
    <row r="566" spans="10:10">
      <c r="J566" s="59"/>
    </row>
    <row r="567" spans="10:10">
      <c r="J567" s="59"/>
    </row>
    <row r="568" spans="10:10">
      <c r="J568" s="59"/>
    </row>
    <row r="569" spans="10:10">
      <c r="J569" s="59"/>
    </row>
    <row r="570" spans="10:10">
      <c r="J570" s="59"/>
    </row>
    <row r="571" spans="10:10">
      <c r="J571" s="59"/>
    </row>
    <row r="572" spans="10:10">
      <c r="J572" s="59"/>
    </row>
    <row r="573" spans="10:10">
      <c r="J573" s="59"/>
    </row>
    <row r="574" spans="10:10">
      <c r="J574" s="59"/>
    </row>
    <row r="575" spans="10:10">
      <c r="J575" s="59"/>
    </row>
    <row r="576" spans="10:10">
      <c r="J576" s="59"/>
    </row>
    <row r="577" spans="10:10">
      <c r="J577" s="59"/>
    </row>
    <row r="578" spans="10:10">
      <c r="J578" s="59"/>
    </row>
    <row r="579" spans="10:10">
      <c r="J579" s="59"/>
    </row>
    <row r="580" spans="10:10">
      <c r="J580" s="59"/>
    </row>
    <row r="581" spans="10:10">
      <c r="J581" s="59"/>
    </row>
    <row r="582" spans="10:10">
      <c r="J582" s="59"/>
    </row>
    <row r="583" spans="10:10">
      <c r="J583" s="59"/>
    </row>
    <row r="584" spans="10:10">
      <c r="J584" s="59"/>
    </row>
    <row r="585" spans="10:10">
      <c r="J585" s="59"/>
    </row>
    <row r="586" spans="10:10">
      <c r="J586" s="59"/>
    </row>
    <row r="587" spans="10:10">
      <c r="J587" s="59"/>
    </row>
    <row r="588" spans="10:10">
      <c r="J588" s="59"/>
    </row>
    <row r="589" spans="10:10">
      <c r="J589" s="59"/>
    </row>
    <row r="590" spans="10:10">
      <c r="J590" s="59"/>
    </row>
    <row r="591" spans="10:10">
      <c r="J591" s="59"/>
    </row>
    <row r="592" spans="10:10">
      <c r="J592" s="59"/>
    </row>
    <row r="593" spans="10:10">
      <c r="J593" s="59"/>
    </row>
    <row r="594" spans="10:10">
      <c r="J594" s="59"/>
    </row>
    <row r="595" spans="10:10">
      <c r="J595" s="59"/>
    </row>
    <row r="596" spans="10:10">
      <c r="J596" s="59"/>
    </row>
    <row r="597" spans="10:10">
      <c r="J597" s="59"/>
    </row>
    <row r="598" spans="10:10">
      <c r="J598" s="59"/>
    </row>
    <row r="599" spans="10:10">
      <c r="J599" s="59"/>
    </row>
    <row r="600" spans="10:10">
      <c r="J600" s="59"/>
    </row>
    <row r="601" spans="10:10">
      <c r="J601" s="59"/>
    </row>
    <row r="602" spans="10:10">
      <c r="J602" s="59"/>
    </row>
    <row r="603" spans="10:10">
      <c r="J603" s="59"/>
    </row>
    <row r="604" spans="10:10">
      <c r="J604" s="59"/>
    </row>
    <row r="605" spans="10:10">
      <c r="J605" s="59"/>
    </row>
    <row r="606" spans="10:10">
      <c r="J606" s="59"/>
    </row>
    <row r="607" spans="10:10">
      <c r="J607" s="59"/>
    </row>
    <row r="608" spans="10:10">
      <c r="J608" s="59"/>
    </row>
    <row r="609" spans="10:10">
      <c r="J609" s="59"/>
    </row>
    <row r="610" spans="10:10">
      <c r="J610" s="59"/>
    </row>
    <row r="611" spans="10:10">
      <c r="J611" s="59"/>
    </row>
    <row r="612" spans="10:10">
      <c r="J612" s="59"/>
    </row>
    <row r="613" spans="10:10">
      <c r="J613" s="59"/>
    </row>
    <row r="614" spans="10:10">
      <c r="J614" s="59"/>
    </row>
    <row r="615" spans="10:10">
      <c r="J615" s="59"/>
    </row>
    <row r="616" spans="10:10">
      <c r="J616" s="59"/>
    </row>
    <row r="617" spans="10:10">
      <c r="J617" s="59"/>
    </row>
    <row r="618" spans="10:10">
      <c r="J618" s="59"/>
    </row>
    <row r="619" spans="10:10">
      <c r="J619" s="59"/>
    </row>
    <row r="620" spans="10:10">
      <c r="J620" s="59"/>
    </row>
    <row r="621" spans="10:10">
      <c r="J621" s="59"/>
    </row>
    <row r="622" spans="10:10">
      <c r="J622" s="59"/>
    </row>
    <row r="623" spans="10:10">
      <c r="J623" s="59"/>
    </row>
    <row r="624" spans="10:10">
      <c r="J624" s="59"/>
    </row>
    <row r="625" spans="10:10">
      <c r="J625" s="59"/>
    </row>
    <row r="626" spans="10:10">
      <c r="J626" s="59"/>
    </row>
    <row r="627" spans="10:10">
      <c r="J627" s="59"/>
    </row>
    <row r="628" spans="10:10">
      <c r="J628" s="59"/>
    </row>
    <row r="629" spans="10:10">
      <c r="J629" s="59"/>
    </row>
    <row r="630" spans="10:10">
      <c r="J630" s="59"/>
    </row>
    <row r="631" spans="10:10">
      <c r="J631" s="59"/>
    </row>
    <row r="632" spans="10:10">
      <c r="J632" s="59"/>
    </row>
    <row r="633" spans="10:10">
      <c r="J633" s="59"/>
    </row>
    <row r="634" spans="10:10">
      <c r="J634" s="59"/>
    </row>
    <row r="635" spans="10:10">
      <c r="J635" s="59"/>
    </row>
    <row r="636" spans="10:10">
      <c r="J636" s="59"/>
    </row>
    <row r="637" spans="10:10">
      <c r="J637" s="59"/>
    </row>
    <row r="638" spans="10:10">
      <c r="J638" s="59"/>
    </row>
    <row r="639" spans="10:10">
      <c r="J639" s="59"/>
    </row>
    <row r="640" spans="10:10">
      <c r="J640" s="59"/>
    </row>
    <row r="641" spans="10:10">
      <c r="J641" s="59"/>
    </row>
    <row r="642" spans="10:10">
      <c r="J642" s="59"/>
    </row>
    <row r="643" spans="10:10">
      <c r="J643" s="59"/>
    </row>
    <row r="644" spans="10:10">
      <c r="J644" s="59"/>
    </row>
    <row r="645" spans="10:10">
      <c r="J645" s="59"/>
    </row>
    <row r="646" spans="10:10">
      <c r="J646" s="59"/>
    </row>
    <row r="647" spans="10:10">
      <c r="J647" s="59"/>
    </row>
    <row r="648" spans="10:10">
      <c r="J648" s="59"/>
    </row>
    <row r="649" spans="10:10">
      <c r="J649" s="59"/>
    </row>
    <row r="650" spans="10:10">
      <c r="J650" s="59"/>
    </row>
    <row r="651" spans="10:10">
      <c r="J651" s="59"/>
    </row>
    <row r="652" spans="10:10">
      <c r="J652" s="59"/>
    </row>
    <row r="653" spans="10:10">
      <c r="J653" s="59"/>
    </row>
    <row r="654" spans="10:10">
      <c r="J654" s="59"/>
    </row>
    <row r="655" spans="10:10">
      <c r="J655" s="59"/>
    </row>
    <row r="656" spans="10:10">
      <c r="J656" s="59"/>
    </row>
    <row r="657" spans="10:10">
      <c r="J657" s="59"/>
    </row>
    <row r="658" spans="10:10">
      <c r="J658" s="59"/>
    </row>
    <row r="659" spans="10:10">
      <c r="J659" s="59"/>
    </row>
    <row r="660" spans="10:10">
      <c r="J660" s="59"/>
    </row>
    <row r="661" spans="10:10">
      <c r="J661" s="59"/>
    </row>
    <row r="662" spans="10:10">
      <c r="J662" s="59"/>
    </row>
    <row r="663" spans="10:10">
      <c r="J663" s="59"/>
    </row>
    <row r="664" spans="10:10">
      <c r="J664" s="59"/>
    </row>
    <row r="665" spans="10:10">
      <c r="J665" s="59"/>
    </row>
    <row r="666" spans="10:10">
      <c r="J666" s="59"/>
    </row>
    <row r="667" spans="10:10">
      <c r="J667" s="59"/>
    </row>
    <row r="668" spans="10:10">
      <c r="J668" s="59"/>
    </row>
    <row r="669" spans="10:10">
      <c r="J669" s="59"/>
    </row>
    <row r="670" spans="10:10">
      <c r="J670" s="59"/>
    </row>
    <row r="671" spans="10:10">
      <c r="J671" s="59"/>
    </row>
    <row r="672" spans="10:10">
      <c r="J672" s="59"/>
    </row>
    <row r="673" spans="10:10">
      <c r="J673" s="59"/>
    </row>
    <row r="674" spans="10:10">
      <c r="J674" s="59"/>
    </row>
    <row r="675" spans="10:10">
      <c r="J675" s="59"/>
    </row>
    <row r="676" spans="10:10">
      <c r="J676" s="59"/>
    </row>
    <row r="677" spans="10:10">
      <c r="J677" s="59"/>
    </row>
    <row r="678" spans="10:10">
      <c r="J678" s="59"/>
    </row>
    <row r="679" spans="10:10">
      <c r="J679" s="59"/>
    </row>
    <row r="680" spans="10:10">
      <c r="J680" s="59"/>
    </row>
    <row r="681" spans="10:10">
      <c r="J681" s="59"/>
    </row>
    <row r="682" spans="10:10">
      <c r="J682" s="59"/>
    </row>
    <row r="683" spans="10:10">
      <c r="J683" s="59"/>
    </row>
    <row r="684" spans="10:10">
      <c r="J684" s="59"/>
    </row>
    <row r="685" spans="10:10">
      <c r="J685" s="59"/>
    </row>
    <row r="686" spans="10:10">
      <c r="J686" s="59"/>
    </row>
    <row r="687" spans="10:10">
      <c r="J687" s="59"/>
    </row>
    <row r="688" spans="10:10">
      <c r="J688" s="59"/>
    </row>
    <row r="689" spans="10:10">
      <c r="J689" s="59"/>
    </row>
    <row r="690" spans="10:10">
      <c r="J690" s="59"/>
    </row>
    <row r="691" spans="10:10">
      <c r="J691" s="59"/>
    </row>
    <row r="692" spans="10:10">
      <c r="J692" s="59"/>
    </row>
    <row r="693" spans="10:10">
      <c r="J693" s="59"/>
    </row>
    <row r="694" spans="10:10">
      <c r="J694" s="59"/>
    </row>
    <row r="695" spans="10:10">
      <c r="J695" s="59"/>
    </row>
    <row r="696" spans="10:10">
      <c r="J696" s="59"/>
    </row>
    <row r="697" spans="10:10">
      <c r="J697" s="59"/>
    </row>
    <row r="698" spans="10:10">
      <c r="J698" s="59"/>
    </row>
    <row r="699" spans="10:10">
      <c r="J699" s="59"/>
    </row>
    <row r="700" spans="10:10">
      <c r="J700" s="59"/>
    </row>
    <row r="701" spans="10:10">
      <c r="J701" s="59"/>
    </row>
    <row r="702" spans="10:10">
      <c r="J702" s="59"/>
    </row>
    <row r="703" spans="10:10">
      <c r="J703" s="59"/>
    </row>
    <row r="704" spans="10:10">
      <c r="J704" s="59"/>
    </row>
    <row r="705" spans="10:10">
      <c r="J705" s="59"/>
    </row>
    <row r="706" spans="10:10">
      <c r="J706" s="59"/>
    </row>
    <row r="707" spans="10:10">
      <c r="J707" s="59"/>
    </row>
    <row r="708" spans="10:10">
      <c r="J708" s="59"/>
    </row>
    <row r="709" spans="10:10">
      <c r="J709" s="59"/>
    </row>
    <row r="710" spans="10:10">
      <c r="J710" s="59"/>
    </row>
    <row r="711" spans="10:10">
      <c r="J711" s="59"/>
    </row>
    <row r="712" spans="10:10">
      <c r="J712" s="59"/>
    </row>
    <row r="713" spans="10:10">
      <c r="J713" s="59"/>
    </row>
    <row r="714" spans="10:10">
      <c r="J714" s="59"/>
    </row>
    <row r="715" spans="10:10">
      <c r="J715" s="59"/>
    </row>
    <row r="716" spans="10:10">
      <c r="J716" s="59"/>
    </row>
    <row r="717" spans="10:10">
      <c r="J717" s="59"/>
    </row>
    <row r="718" spans="10:10">
      <c r="J718" s="59"/>
    </row>
    <row r="719" spans="10:10">
      <c r="J719" s="59"/>
    </row>
    <row r="720" spans="10:10">
      <c r="J720" s="59"/>
    </row>
    <row r="721" spans="10:10">
      <c r="J721" s="59"/>
    </row>
    <row r="722" spans="10:10">
      <c r="J722" s="59"/>
    </row>
    <row r="723" spans="10:10">
      <c r="J723" s="59"/>
    </row>
    <row r="724" spans="10:10">
      <c r="J724" s="59"/>
    </row>
    <row r="725" spans="10:10">
      <c r="J725" s="59"/>
    </row>
    <row r="726" spans="10:10">
      <c r="J726" s="59"/>
    </row>
    <row r="727" spans="10:10">
      <c r="J727" s="59"/>
    </row>
    <row r="728" spans="10:10">
      <c r="J728" s="59"/>
    </row>
    <row r="729" spans="10:10">
      <c r="J729" s="59"/>
    </row>
    <row r="730" spans="10:10">
      <c r="J730" s="59"/>
    </row>
    <row r="731" spans="10:10">
      <c r="J731" s="59"/>
    </row>
    <row r="732" spans="10:10">
      <c r="J732" s="59"/>
    </row>
    <row r="733" spans="10:10">
      <c r="J733" s="59"/>
    </row>
    <row r="734" spans="10:10">
      <c r="J734" s="59"/>
    </row>
    <row r="735" spans="10:10">
      <c r="J735" s="59"/>
    </row>
    <row r="736" spans="10:10">
      <c r="J736" s="59"/>
    </row>
    <row r="737" spans="10:10">
      <c r="J737" s="59"/>
    </row>
    <row r="738" spans="10:10">
      <c r="J738" s="59"/>
    </row>
    <row r="739" spans="10:10">
      <c r="J739" s="59"/>
    </row>
    <row r="740" spans="10:10">
      <c r="J740" s="59"/>
    </row>
    <row r="741" spans="10:10">
      <c r="J741" s="59"/>
    </row>
    <row r="742" spans="10:10">
      <c r="J742" s="59"/>
    </row>
    <row r="743" spans="10:10">
      <c r="J743" s="59"/>
    </row>
    <row r="744" spans="10:10">
      <c r="J744" s="59"/>
    </row>
    <row r="745" spans="10:10">
      <c r="J745" s="59"/>
    </row>
    <row r="746" spans="10:10">
      <c r="J746" s="59"/>
    </row>
    <row r="747" spans="10:10">
      <c r="J747" s="59"/>
    </row>
    <row r="748" spans="10:10">
      <c r="J748" s="59"/>
    </row>
    <row r="749" spans="10:10">
      <c r="J749" s="59"/>
    </row>
    <row r="750" spans="10:10">
      <c r="J750" s="59"/>
    </row>
    <row r="751" spans="10:10">
      <c r="J751" s="59"/>
    </row>
    <row r="752" spans="10:10">
      <c r="J752" s="59"/>
    </row>
    <row r="753" spans="10:10">
      <c r="J753" s="59"/>
    </row>
    <row r="754" spans="10:10">
      <c r="J754" s="59"/>
    </row>
    <row r="755" spans="10:10">
      <c r="J755" s="59"/>
    </row>
    <row r="756" spans="10:10">
      <c r="J756" s="59"/>
    </row>
    <row r="757" spans="10:10">
      <c r="J757" s="59"/>
    </row>
    <row r="758" spans="10:10">
      <c r="J758" s="59"/>
    </row>
    <row r="759" spans="10:10">
      <c r="J759" s="59"/>
    </row>
    <row r="760" spans="10:10">
      <c r="J760" s="59"/>
    </row>
    <row r="761" spans="10:10">
      <c r="J761" s="59"/>
    </row>
    <row r="762" spans="10:10">
      <c r="J762" s="59"/>
    </row>
    <row r="763" spans="10:10">
      <c r="J763" s="59"/>
    </row>
    <row r="764" spans="10:10">
      <c r="J764" s="59"/>
    </row>
    <row r="765" spans="10:10">
      <c r="J765" s="59"/>
    </row>
    <row r="766" spans="10:10">
      <c r="J766" s="59"/>
    </row>
    <row r="767" spans="10:10">
      <c r="J767" s="59"/>
    </row>
    <row r="768" spans="10:10">
      <c r="J768" s="59"/>
    </row>
    <row r="769" spans="10:10">
      <c r="J769" s="59"/>
    </row>
    <row r="770" spans="10:10">
      <c r="J770" s="59"/>
    </row>
    <row r="771" spans="10:10">
      <c r="J771" s="59"/>
    </row>
    <row r="772" spans="10:10">
      <c r="J772" s="59"/>
    </row>
    <row r="773" spans="10:10">
      <c r="J773" s="59"/>
    </row>
    <row r="774" spans="10:10">
      <c r="J774" s="59"/>
    </row>
    <row r="775" spans="10:10">
      <c r="J775" s="59"/>
    </row>
    <row r="776" spans="10:10">
      <c r="J776" s="59"/>
    </row>
    <row r="777" spans="10:10">
      <c r="J777" s="59"/>
    </row>
    <row r="778" spans="10:10">
      <c r="J778" s="59"/>
    </row>
    <row r="779" spans="10:10">
      <c r="J779" s="59"/>
    </row>
    <row r="780" spans="10:10">
      <c r="J780" s="59"/>
    </row>
    <row r="781" spans="10:10">
      <c r="J781" s="59"/>
    </row>
    <row r="782" spans="10:10">
      <c r="J782" s="59"/>
    </row>
    <row r="783" spans="10:10">
      <c r="J783" s="59"/>
    </row>
    <row r="784" spans="10:10">
      <c r="J784" s="59"/>
    </row>
    <row r="785" spans="10:10">
      <c r="J785" s="59"/>
    </row>
    <row r="786" spans="10:10">
      <c r="J786" s="59"/>
    </row>
    <row r="787" spans="10:10">
      <c r="J787" s="59"/>
    </row>
    <row r="788" spans="10:10">
      <c r="J788" s="59"/>
    </row>
    <row r="789" spans="10:10">
      <c r="J789" s="59"/>
    </row>
    <row r="790" spans="10:10">
      <c r="J790" s="59"/>
    </row>
    <row r="791" spans="10:10">
      <c r="J791" s="59"/>
    </row>
    <row r="792" spans="10:10">
      <c r="J792" s="59"/>
    </row>
    <row r="793" spans="10:10">
      <c r="J793" s="59"/>
    </row>
    <row r="794" spans="10:10">
      <c r="J794" s="59"/>
    </row>
    <row r="795" spans="10:10">
      <c r="J795" s="59"/>
    </row>
    <row r="796" spans="10:10">
      <c r="J796" s="59"/>
    </row>
    <row r="797" spans="10:10">
      <c r="J797" s="59"/>
    </row>
    <row r="798" spans="10:10">
      <c r="J798" s="59"/>
    </row>
    <row r="799" spans="10:10">
      <c r="J799" s="59"/>
    </row>
    <row r="800" spans="10:10">
      <c r="J800" s="59"/>
    </row>
    <row r="801" spans="10:10">
      <c r="J801" s="59"/>
    </row>
    <row r="802" spans="10:10">
      <c r="J802" s="59"/>
    </row>
    <row r="803" spans="10:10">
      <c r="J803" s="59"/>
    </row>
    <row r="804" spans="10:10">
      <c r="J804" s="59"/>
    </row>
    <row r="805" spans="10:10">
      <c r="J805" s="59"/>
    </row>
    <row r="806" spans="10:10">
      <c r="J806" s="59"/>
    </row>
    <row r="807" spans="10:10">
      <c r="J807" s="59"/>
    </row>
    <row r="808" spans="10:10">
      <c r="J808" s="59"/>
    </row>
    <row r="809" spans="10:10">
      <c r="J809" s="59"/>
    </row>
    <row r="810" spans="10:10">
      <c r="J810" s="59"/>
    </row>
    <row r="811" spans="10:10">
      <c r="J811" s="59"/>
    </row>
    <row r="812" spans="10:10">
      <c r="J812" s="59"/>
    </row>
    <row r="813" spans="10:10">
      <c r="J813" s="59"/>
    </row>
    <row r="814" spans="10:10">
      <c r="J814" s="59"/>
    </row>
    <row r="815" spans="10:10">
      <c r="J815" s="59"/>
    </row>
    <row r="816" spans="10:10">
      <c r="J816" s="59"/>
    </row>
    <row r="817" spans="10:10">
      <c r="J817" s="59"/>
    </row>
    <row r="818" spans="10:10">
      <c r="J818" s="59"/>
    </row>
    <row r="819" spans="10:10">
      <c r="J819" s="59"/>
    </row>
    <row r="820" spans="10:10">
      <c r="J820" s="59"/>
    </row>
    <row r="821" spans="10:10">
      <c r="J821" s="59"/>
    </row>
    <row r="822" spans="10:10">
      <c r="J822" s="59"/>
    </row>
  </sheetData>
  <dataValidations count="1">
    <dataValidation type="list" allowBlank="1" showErrorMessage="1" sqref="L2:L44" xr:uid="{00000000-0002-0000-0100-000000000000}">
      <formula1>"COMPLETED,ONGOING,WIDTHRAWN,DELINQUENT"</formula1>
    </dataValidation>
  </dataValidations>
  <hyperlinks>
    <hyperlink ref="I11" r:id="rId1" xr:uid="{00000000-0004-0000-0100-000000000000}"/>
    <hyperlink ref="I35"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6B26B"/>
    <outlinePr summaryBelow="0" summaryRight="0"/>
  </sheetPr>
  <dimension ref="A1:L253"/>
  <sheetViews>
    <sheetView workbookViewId="0"/>
  </sheetViews>
  <sheetFormatPr defaultColWidth="12.5703125" defaultRowHeight="15.75" customHeight="1"/>
  <cols>
    <col min="4" max="4" width="12.28515625" customWidth="1"/>
    <col min="5" max="5" width="33" customWidth="1"/>
    <col min="6" max="6" width="25.140625" customWidth="1"/>
    <col min="7" max="7" width="27.140625" customWidth="1"/>
  </cols>
  <sheetData>
    <row r="1" spans="1:8">
      <c r="A1" s="60" t="s">
        <v>1</v>
      </c>
      <c r="B1" s="60" t="s">
        <v>388</v>
      </c>
      <c r="C1" s="60" t="s">
        <v>389</v>
      </c>
      <c r="D1" s="60" t="s">
        <v>4</v>
      </c>
      <c r="E1" s="60" t="s">
        <v>6</v>
      </c>
      <c r="F1" s="60" t="s">
        <v>390</v>
      </c>
      <c r="G1" s="60" t="s">
        <v>391</v>
      </c>
    </row>
    <row r="2" spans="1:8">
      <c r="A2" s="6">
        <v>2025</v>
      </c>
      <c r="B2" s="61">
        <v>45901</v>
      </c>
      <c r="C2" s="6" t="s">
        <v>61</v>
      </c>
      <c r="D2" s="6" t="s">
        <v>85</v>
      </c>
      <c r="E2" s="6" t="s">
        <v>392</v>
      </c>
      <c r="F2" s="6" t="s">
        <v>393</v>
      </c>
      <c r="G2" s="8">
        <v>81439.679999999993</v>
      </c>
    </row>
    <row r="3" spans="1:8">
      <c r="A3" s="6">
        <v>2025</v>
      </c>
      <c r="B3" s="62">
        <v>45931</v>
      </c>
      <c r="C3" s="6" t="s">
        <v>61</v>
      </c>
      <c r="D3" s="6" t="s">
        <v>394</v>
      </c>
      <c r="E3" s="6" t="s">
        <v>395</v>
      </c>
      <c r="F3" s="6" t="s">
        <v>396</v>
      </c>
      <c r="G3" s="8">
        <v>110000</v>
      </c>
    </row>
    <row r="4" spans="1:8">
      <c r="A4" s="6">
        <v>2025</v>
      </c>
      <c r="B4" s="62">
        <v>45962</v>
      </c>
      <c r="C4" s="6" t="s">
        <v>61</v>
      </c>
      <c r="D4" s="6" t="s">
        <v>394</v>
      </c>
      <c r="E4" s="6" t="s">
        <v>397</v>
      </c>
      <c r="F4" s="6" t="s">
        <v>398</v>
      </c>
      <c r="G4" s="8">
        <v>21000</v>
      </c>
    </row>
    <row r="5" spans="1:8">
      <c r="A5" s="56">
        <v>2025</v>
      </c>
      <c r="B5" s="56" t="s">
        <v>98</v>
      </c>
      <c r="C5" s="56" t="s">
        <v>61</v>
      </c>
      <c r="D5" s="56" t="s">
        <v>85</v>
      </c>
      <c r="E5" s="56" t="s">
        <v>99</v>
      </c>
      <c r="F5" s="56" t="s">
        <v>399</v>
      </c>
      <c r="G5" s="57">
        <v>358538</v>
      </c>
      <c r="H5" s="63" t="s">
        <v>28</v>
      </c>
    </row>
    <row r="6" spans="1:8">
      <c r="A6" s="56">
        <v>2025</v>
      </c>
      <c r="B6" s="56" t="s">
        <v>315</v>
      </c>
      <c r="C6" s="56" t="s">
        <v>61</v>
      </c>
      <c r="D6" s="56" t="s">
        <v>85</v>
      </c>
      <c r="E6" s="56" t="s">
        <v>316</v>
      </c>
      <c r="F6" s="56" t="s">
        <v>400</v>
      </c>
      <c r="G6" s="57">
        <v>229654</v>
      </c>
      <c r="H6" s="63" t="s">
        <v>28</v>
      </c>
    </row>
    <row r="7" spans="1:8">
      <c r="A7" s="6">
        <v>2025</v>
      </c>
      <c r="B7" s="6" t="s">
        <v>401</v>
      </c>
      <c r="C7" s="6" t="s">
        <v>61</v>
      </c>
      <c r="D7" s="6" t="s">
        <v>394</v>
      </c>
      <c r="E7" s="6" t="s">
        <v>402</v>
      </c>
      <c r="F7" s="6" t="s">
        <v>403</v>
      </c>
      <c r="G7" s="8">
        <v>75000</v>
      </c>
    </row>
    <row r="8" spans="1:8">
      <c r="A8" s="6">
        <v>2025</v>
      </c>
      <c r="B8" s="6" t="s">
        <v>404</v>
      </c>
      <c r="C8" s="6" t="s">
        <v>61</v>
      </c>
      <c r="D8" s="6" t="s">
        <v>394</v>
      </c>
      <c r="E8" s="6" t="s">
        <v>405</v>
      </c>
      <c r="F8" s="6" t="s">
        <v>406</v>
      </c>
      <c r="G8" s="8">
        <v>65000</v>
      </c>
    </row>
    <row r="9" spans="1:8">
      <c r="A9" s="6">
        <v>2025</v>
      </c>
      <c r="B9" s="6" t="s">
        <v>407</v>
      </c>
      <c r="C9" s="6" t="s">
        <v>61</v>
      </c>
      <c r="D9" s="6" t="s">
        <v>394</v>
      </c>
      <c r="E9" s="6" t="s">
        <v>408</v>
      </c>
      <c r="F9" s="6" t="s">
        <v>409</v>
      </c>
      <c r="G9" s="8">
        <v>75000</v>
      </c>
    </row>
    <row r="10" spans="1:8">
      <c r="A10" s="6">
        <v>2025</v>
      </c>
      <c r="B10" s="6" t="s">
        <v>410</v>
      </c>
      <c r="C10" s="6" t="s">
        <v>61</v>
      </c>
      <c r="D10" s="6" t="s">
        <v>85</v>
      </c>
      <c r="E10" s="6" t="s">
        <v>411</v>
      </c>
      <c r="F10" s="6" t="s">
        <v>412</v>
      </c>
      <c r="G10" s="8">
        <v>263282.5</v>
      </c>
    </row>
    <row r="11" spans="1:8">
      <c r="A11" s="6">
        <v>2025</v>
      </c>
      <c r="B11" s="6" t="s">
        <v>413</v>
      </c>
      <c r="C11" s="6" t="s">
        <v>61</v>
      </c>
      <c r="D11" s="6" t="s">
        <v>414</v>
      </c>
      <c r="E11" s="6" t="s">
        <v>415</v>
      </c>
      <c r="F11" s="6" t="s">
        <v>416</v>
      </c>
      <c r="G11" s="8">
        <v>4990000</v>
      </c>
    </row>
    <row r="12" spans="1:8">
      <c r="A12" s="6">
        <v>2025</v>
      </c>
      <c r="B12" s="6" t="s">
        <v>417</v>
      </c>
      <c r="C12" s="6" t="s">
        <v>61</v>
      </c>
      <c r="D12" s="6" t="s">
        <v>85</v>
      </c>
      <c r="E12" s="6" t="s">
        <v>418</v>
      </c>
      <c r="F12" s="6" t="s">
        <v>419</v>
      </c>
      <c r="G12" s="8">
        <v>197490.2</v>
      </c>
    </row>
    <row r="13" spans="1:8">
      <c r="A13" s="6">
        <v>2024</v>
      </c>
      <c r="B13" s="61">
        <v>45444</v>
      </c>
      <c r="C13" s="6" t="s">
        <v>61</v>
      </c>
      <c r="D13" s="6" t="s">
        <v>394</v>
      </c>
      <c r="E13" s="6" t="s">
        <v>420</v>
      </c>
      <c r="F13" s="6" t="s">
        <v>421</v>
      </c>
      <c r="G13" s="8">
        <v>18900</v>
      </c>
    </row>
    <row r="14" spans="1:8">
      <c r="A14" s="6">
        <v>2024</v>
      </c>
      <c r="B14" s="61">
        <v>45505</v>
      </c>
      <c r="C14" s="6" t="s">
        <v>61</v>
      </c>
      <c r="D14" s="6" t="s">
        <v>394</v>
      </c>
      <c r="E14" s="6" t="s">
        <v>422</v>
      </c>
      <c r="F14" s="6" t="s">
        <v>423</v>
      </c>
      <c r="G14" s="8">
        <v>122000</v>
      </c>
    </row>
    <row r="15" spans="1:8">
      <c r="A15" s="6">
        <v>2024</v>
      </c>
      <c r="B15" s="61">
        <v>45536</v>
      </c>
      <c r="C15" s="6" t="s">
        <v>61</v>
      </c>
      <c r="D15" s="6" t="s">
        <v>394</v>
      </c>
      <c r="E15" s="6" t="s">
        <v>424</v>
      </c>
      <c r="F15" s="6" t="s">
        <v>425</v>
      </c>
      <c r="G15" s="8">
        <v>8000</v>
      </c>
    </row>
    <row r="16" spans="1:8">
      <c r="A16" s="6">
        <v>2024</v>
      </c>
      <c r="B16" s="62">
        <v>45566</v>
      </c>
      <c r="C16" s="6" t="s">
        <v>61</v>
      </c>
      <c r="D16" s="6" t="s">
        <v>85</v>
      </c>
      <c r="E16" s="6" t="s">
        <v>426</v>
      </c>
      <c r="F16" s="6" t="s">
        <v>427</v>
      </c>
      <c r="G16" s="8">
        <v>227925</v>
      </c>
    </row>
    <row r="17" spans="1:8">
      <c r="A17" s="6">
        <v>2024</v>
      </c>
      <c r="B17" s="62">
        <v>45597</v>
      </c>
      <c r="C17" s="6" t="s">
        <v>61</v>
      </c>
      <c r="D17" s="6" t="s">
        <v>394</v>
      </c>
      <c r="E17" s="6" t="s">
        <v>428</v>
      </c>
      <c r="F17" s="6" t="s">
        <v>429</v>
      </c>
      <c r="G17" s="8">
        <v>77500</v>
      </c>
    </row>
    <row r="18" spans="1:8">
      <c r="A18" s="6">
        <v>2024</v>
      </c>
      <c r="B18" s="62">
        <v>45627</v>
      </c>
      <c r="C18" s="6" t="s">
        <v>61</v>
      </c>
      <c r="D18" s="6" t="s">
        <v>394</v>
      </c>
      <c r="E18" s="6" t="s">
        <v>430</v>
      </c>
      <c r="F18" s="6" t="s">
        <v>431</v>
      </c>
      <c r="G18" s="8">
        <v>51300</v>
      </c>
    </row>
    <row r="19" spans="1:8">
      <c r="A19" s="6">
        <v>2024</v>
      </c>
      <c r="B19" s="6" t="s">
        <v>432</v>
      </c>
      <c r="C19" s="6" t="s">
        <v>61</v>
      </c>
      <c r="D19" s="6" t="s">
        <v>85</v>
      </c>
      <c r="E19" s="6" t="s">
        <v>433</v>
      </c>
      <c r="F19" s="6" t="s">
        <v>434</v>
      </c>
      <c r="G19" s="8">
        <v>32252</v>
      </c>
    </row>
    <row r="20" spans="1:8">
      <c r="A20" s="6">
        <v>2024</v>
      </c>
      <c r="B20" s="6" t="s">
        <v>435</v>
      </c>
      <c r="C20" s="6" t="s">
        <v>61</v>
      </c>
      <c r="D20" s="6" t="s">
        <v>394</v>
      </c>
      <c r="E20" s="6" t="s">
        <v>436</v>
      </c>
      <c r="F20" s="6" t="s">
        <v>437</v>
      </c>
      <c r="G20" s="8">
        <v>60000</v>
      </c>
    </row>
    <row r="21" spans="1:8">
      <c r="A21" s="6">
        <v>2024</v>
      </c>
      <c r="B21" s="6" t="s">
        <v>438</v>
      </c>
      <c r="C21" s="6" t="s">
        <v>61</v>
      </c>
      <c r="D21" s="6" t="s">
        <v>85</v>
      </c>
      <c r="E21" s="6" t="s">
        <v>439</v>
      </c>
      <c r="F21" s="6" t="s">
        <v>440</v>
      </c>
      <c r="G21" s="8">
        <v>71385</v>
      </c>
    </row>
    <row r="22" spans="1:8">
      <c r="A22" s="6">
        <v>2024</v>
      </c>
      <c r="B22" s="6" t="s">
        <v>441</v>
      </c>
      <c r="C22" s="6" t="s">
        <v>61</v>
      </c>
      <c r="D22" s="6" t="s">
        <v>394</v>
      </c>
      <c r="E22" s="6" t="s">
        <v>442</v>
      </c>
      <c r="F22" s="6" t="s">
        <v>443</v>
      </c>
      <c r="G22" s="8">
        <v>76000</v>
      </c>
    </row>
    <row r="23" spans="1:8">
      <c r="A23" s="6">
        <v>2024</v>
      </c>
      <c r="B23" s="6" t="s">
        <v>444</v>
      </c>
      <c r="C23" s="6" t="s">
        <v>61</v>
      </c>
      <c r="D23" s="6" t="s">
        <v>394</v>
      </c>
      <c r="E23" s="6" t="s">
        <v>445</v>
      </c>
      <c r="F23" s="6" t="s">
        <v>446</v>
      </c>
      <c r="G23" s="8">
        <v>111000</v>
      </c>
    </row>
    <row r="24" spans="1:8">
      <c r="A24" s="56">
        <v>2024</v>
      </c>
      <c r="B24" s="56" t="s">
        <v>172</v>
      </c>
      <c r="C24" s="56" t="s">
        <v>61</v>
      </c>
      <c r="D24" s="56" t="s">
        <v>85</v>
      </c>
      <c r="E24" s="56" t="s">
        <v>173</v>
      </c>
      <c r="F24" s="56" t="s">
        <v>447</v>
      </c>
      <c r="G24" s="57">
        <v>43250</v>
      </c>
      <c r="H24" s="63" t="s">
        <v>28</v>
      </c>
    </row>
    <row r="25" spans="1:8">
      <c r="A25" s="6">
        <v>2024</v>
      </c>
      <c r="B25" s="6" t="s">
        <v>448</v>
      </c>
      <c r="C25" s="6" t="s">
        <v>61</v>
      </c>
      <c r="D25" s="6" t="s">
        <v>394</v>
      </c>
      <c r="E25" s="6" t="s">
        <v>449</v>
      </c>
      <c r="F25" s="6" t="s">
        <v>450</v>
      </c>
      <c r="G25" s="8">
        <v>112800</v>
      </c>
    </row>
    <row r="26" spans="1:8">
      <c r="A26" s="6">
        <v>2024</v>
      </c>
      <c r="B26" s="6" t="s">
        <v>451</v>
      </c>
      <c r="C26" s="6" t="s">
        <v>61</v>
      </c>
      <c r="D26" s="6" t="s">
        <v>85</v>
      </c>
      <c r="E26" s="6" t="s">
        <v>452</v>
      </c>
      <c r="F26" s="6" t="s">
        <v>453</v>
      </c>
      <c r="G26" s="8">
        <v>57667.56</v>
      </c>
    </row>
    <row r="27" spans="1:8">
      <c r="A27" s="56">
        <v>2024</v>
      </c>
      <c r="B27" s="56" t="s">
        <v>177</v>
      </c>
      <c r="C27" s="56" t="s">
        <v>61</v>
      </c>
      <c r="D27" s="56" t="s">
        <v>85</v>
      </c>
      <c r="E27" s="56" t="s">
        <v>178</v>
      </c>
      <c r="F27" s="56" t="s">
        <v>454</v>
      </c>
      <c r="G27" s="57">
        <v>236341.77</v>
      </c>
      <c r="H27" s="63" t="s">
        <v>28</v>
      </c>
    </row>
    <row r="28" spans="1:8">
      <c r="A28" s="6">
        <v>2024</v>
      </c>
      <c r="B28" s="6" t="s">
        <v>455</v>
      </c>
      <c r="C28" s="6" t="s">
        <v>61</v>
      </c>
      <c r="D28" s="6" t="s">
        <v>456</v>
      </c>
      <c r="E28" s="6" t="s">
        <v>457</v>
      </c>
      <c r="F28" s="6" t="s">
        <v>458</v>
      </c>
      <c r="G28" s="8">
        <v>186495.06</v>
      </c>
    </row>
    <row r="29" spans="1:8">
      <c r="A29" s="6">
        <v>2024</v>
      </c>
      <c r="B29" s="6" t="s">
        <v>459</v>
      </c>
      <c r="C29" s="6" t="s">
        <v>61</v>
      </c>
      <c r="D29" s="6" t="s">
        <v>456</v>
      </c>
      <c r="E29" s="6" t="s">
        <v>460</v>
      </c>
      <c r="F29" s="6" t="s">
        <v>461</v>
      </c>
      <c r="G29" s="8">
        <v>197182.36</v>
      </c>
    </row>
    <row r="30" spans="1:8">
      <c r="A30" s="56">
        <v>2024</v>
      </c>
      <c r="B30" s="56" t="s">
        <v>462</v>
      </c>
      <c r="C30" s="56" t="s">
        <v>61</v>
      </c>
      <c r="D30" s="56" t="s">
        <v>125</v>
      </c>
      <c r="E30" s="56" t="s">
        <v>463</v>
      </c>
      <c r="F30" s="56" t="s">
        <v>464</v>
      </c>
      <c r="G30" s="57">
        <v>2344480</v>
      </c>
      <c r="H30" s="63" t="s">
        <v>28</v>
      </c>
    </row>
    <row r="31" spans="1:8">
      <c r="A31" s="56">
        <v>2024</v>
      </c>
      <c r="B31" s="56" t="s">
        <v>182</v>
      </c>
      <c r="C31" s="56" t="s">
        <v>61</v>
      </c>
      <c r="D31" s="56" t="s">
        <v>125</v>
      </c>
      <c r="E31" s="56" t="s">
        <v>183</v>
      </c>
      <c r="F31" s="56" t="s">
        <v>184</v>
      </c>
      <c r="G31" s="57">
        <v>2998072</v>
      </c>
      <c r="H31" s="63" t="s">
        <v>28</v>
      </c>
    </row>
    <row r="32" spans="1:8">
      <c r="A32" s="56">
        <v>2024</v>
      </c>
      <c r="B32" s="56" t="s">
        <v>187</v>
      </c>
      <c r="C32" s="56" t="s">
        <v>61</v>
      </c>
      <c r="D32" s="56" t="s">
        <v>125</v>
      </c>
      <c r="E32" s="56" t="s">
        <v>188</v>
      </c>
      <c r="F32" s="56" t="s">
        <v>189</v>
      </c>
      <c r="G32" s="57">
        <v>2911170</v>
      </c>
      <c r="H32" s="63" t="s">
        <v>28</v>
      </c>
    </row>
    <row r="33" spans="1:8">
      <c r="A33" s="6">
        <v>2024</v>
      </c>
      <c r="B33" s="6" t="s">
        <v>465</v>
      </c>
      <c r="C33" s="6" t="s">
        <v>61</v>
      </c>
      <c r="D33" s="6" t="s">
        <v>394</v>
      </c>
      <c r="E33" s="6" t="s">
        <v>466</v>
      </c>
      <c r="F33" s="6" t="s">
        <v>467</v>
      </c>
      <c r="G33" s="8">
        <v>119250</v>
      </c>
    </row>
    <row r="34" spans="1:8">
      <c r="A34" s="6">
        <v>2024</v>
      </c>
      <c r="B34" s="6" t="s">
        <v>468</v>
      </c>
      <c r="C34" s="6" t="s">
        <v>61</v>
      </c>
      <c r="D34" s="6" t="s">
        <v>85</v>
      </c>
      <c r="E34" s="6" t="s">
        <v>469</v>
      </c>
      <c r="F34" s="6" t="s">
        <v>470</v>
      </c>
      <c r="G34" s="8">
        <v>105791</v>
      </c>
    </row>
    <row r="35" spans="1:8">
      <c r="A35" s="56">
        <v>2024</v>
      </c>
      <c r="B35" s="56" t="s">
        <v>192</v>
      </c>
      <c r="C35" s="56" t="s">
        <v>61</v>
      </c>
      <c r="D35" s="56" t="s">
        <v>125</v>
      </c>
      <c r="E35" s="56" t="s">
        <v>193</v>
      </c>
      <c r="F35" s="56" t="s">
        <v>194</v>
      </c>
      <c r="G35" s="57">
        <v>2384720</v>
      </c>
      <c r="H35" s="63" t="s">
        <v>28</v>
      </c>
    </row>
    <row r="36" spans="1:8">
      <c r="A36" s="6">
        <v>2024</v>
      </c>
      <c r="B36" s="6" t="s">
        <v>471</v>
      </c>
      <c r="C36" s="6" t="s">
        <v>61</v>
      </c>
      <c r="D36" s="6" t="s">
        <v>125</v>
      </c>
      <c r="E36" s="6" t="s">
        <v>472</v>
      </c>
      <c r="F36" s="6" t="s">
        <v>473</v>
      </c>
      <c r="G36" s="8">
        <v>2715984</v>
      </c>
    </row>
    <row r="37" spans="1:8">
      <c r="A37" s="56">
        <v>2024</v>
      </c>
      <c r="B37" s="56" t="s">
        <v>196</v>
      </c>
      <c r="C37" s="56" t="s">
        <v>61</v>
      </c>
      <c r="D37" s="56" t="s">
        <v>197</v>
      </c>
      <c r="E37" s="56" t="s">
        <v>198</v>
      </c>
      <c r="F37" s="56" t="s">
        <v>199</v>
      </c>
      <c r="G37" s="57">
        <v>2975715</v>
      </c>
      <c r="H37" s="63" t="s">
        <v>28</v>
      </c>
    </row>
    <row r="38" spans="1:8">
      <c r="A38" s="6">
        <v>2024</v>
      </c>
      <c r="B38" s="6" t="s">
        <v>474</v>
      </c>
      <c r="C38" s="6" t="s">
        <v>61</v>
      </c>
      <c r="D38" s="6" t="s">
        <v>85</v>
      </c>
      <c r="E38" s="6" t="s">
        <v>475</v>
      </c>
      <c r="F38" s="6" t="s">
        <v>476</v>
      </c>
      <c r="G38" s="6"/>
    </row>
    <row r="39" spans="1:8">
      <c r="A39" s="56">
        <v>2024</v>
      </c>
      <c r="B39" s="56" t="s">
        <v>202</v>
      </c>
      <c r="C39" s="56" t="s">
        <v>61</v>
      </c>
      <c r="D39" s="56" t="s">
        <v>125</v>
      </c>
      <c r="E39" s="56" t="s">
        <v>203</v>
      </c>
      <c r="F39" s="56" t="s">
        <v>204</v>
      </c>
      <c r="G39" s="57">
        <v>2999945.74</v>
      </c>
      <c r="H39" s="63" t="s">
        <v>28</v>
      </c>
    </row>
    <row r="40" spans="1:8">
      <c r="A40" s="6">
        <v>2024</v>
      </c>
      <c r="B40" s="6" t="s">
        <v>477</v>
      </c>
      <c r="C40" s="6" t="s">
        <v>61</v>
      </c>
      <c r="D40" s="6" t="s">
        <v>103</v>
      </c>
      <c r="E40" s="6" t="s">
        <v>478</v>
      </c>
      <c r="F40" s="6" t="s">
        <v>479</v>
      </c>
      <c r="G40" s="8">
        <v>4180264</v>
      </c>
    </row>
    <row r="41" spans="1:8">
      <c r="A41" s="6">
        <v>2024</v>
      </c>
      <c r="B41" s="6" t="s">
        <v>480</v>
      </c>
      <c r="C41" s="6" t="s">
        <v>61</v>
      </c>
      <c r="D41" s="6" t="s">
        <v>394</v>
      </c>
      <c r="E41" s="6" t="s">
        <v>481</v>
      </c>
      <c r="F41" s="6" t="s">
        <v>482</v>
      </c>
      <c r="G41" s="8">
        <v>231162.5</v>
      </c>
    </row>
    <row r="42" spans="1:8">
      <c r="A42" s="6">
        <v>2024</v>
      </c>
      <c r="B42" s="6" t="s">
        <v>483</v>
      </c>
      <c r="C42" s="6" t="s">
        <v>61</v>
      </c>
      <c r="D42" s="6" t="s">
        <v>394</v>
      </c>
      <c r="E42" s="6" t="s">
        <v>484</v>
      </c>
      <c r="F42" s="6" t="s">
        <v>485</v>
      </c>
      <c r="G42" s="8">
        <v>36000</v>
      </c>
    </row>
    <row r="43" spans="1:8">
      <c r="A43" s="56">
        <v>2024</v>
      </c>
      <c r="B43" s="56" t="s">
        <v>207</v>
      </c>
      <c r="C43" s="56" t="s">
        <v>61</v>
      </c>
      <c r="D43" s="56" t="s">
        <v>125</v>
      </c>
      <c r="E43" s="56" t="s">
        <v>208</v>
      </c>
      <c r="F43" s="56" t="s">
        <v>209</v>
      </c>
      <c r="G43" s="57">
        <v>2789556</v>
      </c>
      <c r="H43" s="63" t="s">
        <v>28</v>
      </c>
    </row>
    <row r="44" spans="1:8">
      <c r="A44" s="56">
        <v>2024</v>
      </c>
      <c r="B44" s="56" t="s">
        <v>213</v>
      </c>
      <c r="C44" s="56" t="s">
        <v>61</v>
      </c>
      <c r="D44" s="56" t="s">
        <v>125</v>
      </c>
      <c r="E44" s="56" t="s">
        <v>214</v>
      </c>
      <c r="F44" s="56" t="s">
        <v>215</v>
      </c>
      <c r="G44" s="57">
        <v>2896644</v>
      </c>
      <c r="H44" s="63" t="s">
        <v>28</v>
      </c>
    </row>
    <row r="45" spans="1:8">
      <c r="A45" s="56">
        <v>2024</v>
      </c>
      <c r="B45" s="56" t="s">
        <v>219</v>
      </c>
      <c r="C45" s="56" t="s">
        <v>61</v>
      </c>
      <c r="D45" s="56" t="s">
        <v>125</v>
      </c>
      <c r="E45" s="56" t="s">
        <v>486</v>
      </c>
      <c r="F45" s="56" t="s">
        <v>487</v>
      </c>
      <c r="G45" s="57">
        <v>2785599</v>
      </c>
      <c r="H45" s="63" t="s">
        <v>28</v>
      </c>
    </row>
    <row r="46" spans="1:8">
      <c r="A46" s="6">
        <v>2024</v>
      </c>
      <c r="B46" s="6" t="s">
        <v>488</v>
      </c>
      <c r="C46" s="6" t="s">
        <v>61</v>
      </c>
      <c r="D46" s="6" t="s">
        <v>394</v>
      </c>
      <c r="E46" s="6" t="s">
        <v>489</v>
      </c>
      <c r="F46" s="6" t="s">
        <v>490</v>
      </c>
      <c r="G46" s="8">
        <v>115435</v>
      </c>
    </row>
    <row r="47" spans="1:8">
      <c r="A47" s="56">
        <v>2024</v>
      </c>
      <c r="B47" s="56" t="s">
        <v>167</v>
      </c>
      <c r="C47" s="56" t="s">
        <v>61</v>
      </c>
      <c r="D47" s="56" t="s">
        <v>85</v>
      </c>
      <c r="E47" s="56" t="s">
        <v>168</v>
      </c>
      <c r="F47" s="56" t="s">
        <v>491</v>
      </c>
      <c r="G47" s="57">
        <v>395212</v>
      </c>
      <c r="H47" s="63" t="s">
        <v>28</v>
      </c>
    </row>
    <row r="48" spans="1:8">
      <c r="A48" s="56">
        <v>2023</v>
      </c>
      <c r="B48" s="56" t="s">
        <v>492</v>
      </c>
      <c r="C48" s="56" t="s">
        <v>61</v>
      </c>
      <c r="D48" s="56" t="s">
        <v>394</v>
      </c>
      <c r="E48" s="56" t="s">
        <v>493</v>
      </c>
      <c r="F48" s="56" t="s">
        <v>494</v>
      </c>
      <c r="G48" s="57">
        <v>101820</v>
      </c>
      <c r="H48" s="63" t="s">
        <v>28</v>
      </c>
    </row>
    <row r="49" spans="1:8">
      <c r="A49" s="6">
        <v>2023</v>
      </c>
      <c r="B49" s="6" t="s">
        <v>495</v>
      </c>
      <c r="C49" s="6" t="s">
        <v>61</v>
      </c>
      <c r="D49" s="6" t="s">
        <v>394</v>
      </c>
      <c r="E49" s="6" t="s">
        <v>496</v>
      </c>
      <c r="F49" s="6" t="s">
        <v>497</v>
      </c>
      <c r="G49" s="8">
        <v>134575</v>
      </c>
    </row>
    <row r="50" spans="1:8">
      <c r="A50" s="6">
        <v>2023</v>
      </c>
      <c r="B50" s="6" t="s">
        <v>498</v>
      </c>
      <c r="C50" s="6" t="s">
        <v>61</v>
      </c>
      <c r="D50" s="6" t="s">
        <v>394</v>
      </c>
      <c r="E50" s="6" t="s">
        <v>499</v>
      </c>
      <c r="F50" s="6" t="s">
        <v>500</v>
      </c>
      <c r="G50" s="6"/>
    </row>
    <row r="51" spans="1:8">
      <c r="A51" s="6">
        <v>2023</v>
      </c>
      <c r="B51" s="6" t="s">
        <v>501</v>
      </c>
      <c r="C51" s="6" t="s">
        <v>61</v>
      </c>
      <c r="D51" s="6" t="s">
        <v>394</v>
      </c>
      <c r="E51" s="6" t="s">
        <v>502</v>
      </c>
      <c r="F51" s="6" t="s">
        <v>497</v>
      </c>
      <c r="G51" s="8">
        <v>26000</v>
      </c>
    </row>
    <row r="52" spans="1:8">
      <c r="A52" s="6">
        <v>2023</v>
      </c>
      <c r="B52" s="6" t="s">
        <v>503</v>
      </c>
      <c r="C52" s="6" t="s">
        <v>61</v>
      </c>
      <c r="D52" s="6" t="s">
        <v>85</v>
      </c>
      <c r="E52" s="6" t="s">
        <v>504</v>
      </c>
      <c r="F52" s="6" t="s">
        <v>505</v>
      </c>
      <c r="G52" s="8">
        <v>185078</v>
      </c>
    </row>
    <row r="53" spans="1:8">
      <c r="A53" s="6">
        <v>2023</v>
      </c>
      <c r="B53" s="6" t="s">
        <v>506</v>
      </c>
      <c r="C53" s="6" t="s">
        <v>61</v>
      </c>
      <c r="D53" s="6" t="s">
        <v>85</v>
      </c>
      <c r="E53" s="6" t="s">
        <v>507</v>
      </c>
      <c r="F53" s="6" t="s">
        <v>508</v>
      </c>
      <c r="G53" s="8">
        <v>51292</v>
      </c>
    </row>
    <row r="54" spans="1:8">
      <c r="A54" s="56">
        <v>2023</v>
      </c>
      <c r="B54" s="56" t="s">
        <v>138</v>
      </c>
      <c r="C54" s="56" t="s">
        <v>61</v>
      </c>
      <c r="D54" s="56" t="s">
        <v>85</v>
      </c>
      <c r="E54" s="56" t="s">
        <v>86</v>
      </c>
      <c r="F54" s="56" t="s">
        <v>87</v>
      </c>
      <c r="G54" s="57">
        <v>349799.56</v>
      </c>
      <c r="H54" s="63" t="s">
        <v>28</v>
      </c>
    </row>
    <row r="55" spans="1:8">
      <c r="A55" s="6">
        <v>2023</v>
      </c>
      <c r="B55" s="6" t="s">
        <v>509</v>
      </c>
      <c r="C55" s="6" t="s">
        <v>61</v>
      </c>
      <c r="D55" s="6" t="s">
        <v>85</v>
      </c>
      <c r="E55" s="6" t="s">
        <v>510</v>
      </c>
      <c r="F55" s="6" t="s">
        <v>511</v>
      </c>
      <c r="G55" s="8">
        <v>218000</v>
      </c>
    </row>
    <row r="56" spans="1:8">
      <c r="A56" s="6">
        <v>2023</v>
      </c>
      <c r="B56" s="6" t="s">
        <v>512</v>
      </c>
      <c r="C56" s="6" t="s">
        <v>61</v>
      </c>
      <c r="D56" s="6" t="s">
        <v>85</v>
      </c>
      <c r="E56" s="6" t="s">
        <v>513</v>
      </c>
      <c r="F56" s="6" t="s">
        <v>514</v>
      </c>
      <c r="G56" s="8">
        <v>35620</v>
      </c>
    </row>
    <row r="57" spans="1:8">
      <c r="A57" s="6">
        <v>2023</v>
      </c>
      <c r="B57" s="6" t="s">
        <v>515</v>
      </c>
      <c r="C57" s="6" t="s">
        <v>61</v>
      </c>
      <c r="D57" s="6" t="s">
        <v>85</v>
      </c>
      <c r="E57" s="6" t="s">
        <v>516</v>
      </c>
      <c r="F57" s="6" t="s">
        <v>517</v>
      </c>
      <c r="G57" s="8">
        <v>55730</v>
      </c>
    </row>
    <row r="58" spans="1:8">
      <c r="A58" s="6">
        <v>2023</v>
      </c>
      <c r="B58" s="6" t="s">
        <v>518</v>
      </c>
      <c r="C58" s="6" t="s">
        <v>61</v>
      </c>
      <c r="D58" s="6" t="s">
        <v>85</v>
      </c>
      <c r="E58" s="6" t="s">
        <v>519</v>
      </c>
      <c r="F58" s="6" t="s">
        <v>520</v>
      </c>
      <c r="G58" s="8">
        <v>99750</v>
      </c>
    </row>
    <row r="59" spans="1:8">
      <c r="A59" s="6">
        <v>2023</v>
      </c>
      <c r="B59" s="6" t="s">
        <v>521</v>
      </c>
      <c r="C59" s="6" t="s">
        <v>61</v>
      </c>
      <c r="D59" s="6" t="s">
        <v>85</v>
      </c>
      <c r="E59" s="6" t="s">
        <v>522</v>
      </c>
      <c r="F59" s="6" t="s">
        <v>523</v>
      </c>
      <c r="G59" s="8">
        <v>94750</v>
      </c>
    </row>
    <row r="60" spans="1:8">
      <c r="A60" s="6">
        <v>2023</v>
      </c>
      <c r="B60" s="6" t="s">
        <v>524</v>
      </c>
      <c r="C60" s="6" t="s">
        <v>61</v>
      </c>
      <c r="D60" s="6" t="s">
        <v>125</v>
      </c>
      <c r="E60" s="6" t="s">
        <v>525</v>
      </c>
      <c r="F60" s="6" t="s">
        <v>526</v>
      </c>
      <c r="G60" s="8">
        <v>2518284</v>
      </c>
    </row>
    <row r="61" spans="1:8">
      <c r="A61" s="6">
        <v>2023</v>
      </c>
      <c r="B61" s="6" t="s">
        <v>527</v>
      </c>
      <c r="C61" s="6" t="s">
        <v>61</v>
      </c>
      <c r="D61" s="6" t="s">
        <v>456</v>
      </c>
      <c r="E61" s="6" t="s">
        <v>528</v>
      </c>
      <c r="F61" s="6" t="s">
        <v>529</v>
      </c>
      <c r="G61" s="8">
        <v>66200</v>
      </c>
    </row>
    <row r="62" spans="1:8">
      <c r="A62" s="6">
        <v>2023</v>
      </c>
      <c r="B62" s="6" t="s">
        <v>530</v>
      </c>
      <c r="C62" s="6" t="s">
        <v>61</v>
      </c>
      <c r="D62" s="6" t="s">
        <v>85</v>
      </c>
      <c r="E62" s="6" t="s">
        <v>531</v>
      </c>
      <c r="F62" s="6" t="s">
        <v>532</v>
      </c>
      <c r="G62" s="8">
        <v>142051</v>
      </c>
    </row>
    <row r="63" spans="1:8">
      <c r="A63" s="6">
        <v>2023</v>
      </c>
      <c r="B63" s="6" t="s">
        <v>533</v>
      </c>
      <c r="C63" s="6" t="s">
        <v>61</v>
      </c>
      <c r="D63" s="6" t="s">
        <v>85</v>
      </c>
      <c r="E63" s="6" t="s">
        <v>534</v>
      </c>
      <c r="F63" s="6" t="s">
        <v>535</v>
      </c>
      <c r="G63" s="8">
        <v>79200</v>
      </c>
    </row>
    <row r="64" spans="1:8">
      <c r="A64" s="6">
        <v>2023</v>
      </c>
      <c r="B64" s="6" t="s">
        <v>536</v>
      </c>
      <c r="C64" s="6" t="s">
        <v>61</v>
      </c>
      <c r="D64" s="6" t="s">
        <v>85</v>
      </c>
      <c r="E64" s="6" t="s">
        <v>537</v>
      </c>
      <c r="F64" s="6" t="s">
        <v>538</v>
      </c>
      <c r="G64" s="8">
        <v>170921.5</v>
      </c>
    </row>
    <row r="65" spans="1:8">
      <c r="A65" s="6">
        <v>2023</v>
      </c>
      <c r="B65" s="6" t="s">
        <v>539</v>
      </c>
      <c r="C65" s="6" t="s">
        <v>61</v>
      </c>
      <c r="D65" s="6" t="s">
        <v>85</v>
      </c>
      <c r="E65" s="6" t="s">
        <v>540</v>
      </c>
      <c r="F65" s="6" t="s">
        <v>541</v>
      </c>
      <c r="G65" s="8">
        <v>96088.5</v>
      </c>
    </row>
    <row r="66" spans="1:8">
      <c r="A66" s="6">
        <v>2023</v>
      </c>
      <c r="B66" s="6" t="s">
        <v>542</v>
      </c>
      <c r="C66" s="6" t="s">
        <v>61</v>
      </c>
      <c r="D66" s="6" t="s">
        <v>125</v>
      </c>
      <c r="E66" s="6" t="s">
        <v>543</v>
      </c>
      <c r="F66" s="6" t="s">
        <v>544</v>
      </c>
      <c r="G66" s="8">
        <v>2743807.5</v>
      </c>
    </row>
    <row r="67" spans="1:8">
      <c r="A67" s="6">
        <v>2023</v>
      </c>
      <c r="B67" s="6" t="s">
        <v>545</v>
      </c>
      <c r="C67" s="6" t="s">
        <v>61</v>
      </c>
      <c r="D67" s="6" t="s">
        <v>85</v>
      </c>
      <c r="E67" s="6" t="s">
        <v>546</v>
      </c>
      <c r="F67" s="6" t="s">
        <v>547</v>
      </c>
      <c r="G67" s="8">
        <v>66103</v>
      </c>
    </row>
    <row r="68" spans="1:8">
      <c r="A68" s="6">
        <v>2023</v>
      </c>
      <c r="B68" s="6" t="s">
        <v>548</v>
      </c>
      <c r="C68" s="6" t="s">
        <v>61</v>
      </c>
      <c r="D68" s="6" t="s">
        <v>85</v>
      </c>
      <c r="E68" s="6" t="s">
        <v>549</v>
      </c>
      <c r="F68" s="6" t="s">
        <v>550</v>
      </c>
      <c r="G68" s="8">
        <v>185800</v>
      </c>
    </row>
    <row r="69" spans="1:8">
      <c r="A69" s="6">
        <v>2023</v>
      </c>
      <c r="B69" s="6" t="s">
        <v>551</v>
      </c>
      <c r="C69" s="6" t="s">
        <v>61</v>
      </c>
      <c r="D69" s="6" t="s">
        <v>85</v>
      </c>
      <c r="E69" s="6" t="s">
        <v>552</v>
      </c>
      <c r="F69" s="6" t="s">
        <v>553</v>
      </c>
      <c r="G69" s="8">
        <v>93350</v>
      </c>
    </row>
    <row r="70" spans="1:8">
      <c r="A70" s="56">
        <v>2023</v>
      </c>
      <c r="B70" s="56" t="s">
        <v>134</v>
      </c>
      <c r="C70" s="56" t="s">
        <v>61</v>
      </c>
      <c r="D70" s="56" t="s">
        <v>85</v>
      </c>
      <c r="E70" s="56" t="s">
        <v>95</v>
      </c>
      <c r="F70" s="56" t="s">
        <v>96</v>
      </c>
      <c r="G70" s="57">
        <v>191500</v>
      </c>
      <c r="H70" s="63" t="s">
        <v>28</v>
      </c>
    </row>
    <row r="71" spans="1:8">
      <c r="A71" s="6">
        <v>2023</v>
      </c>
      <c r="B71" s="6" t="s">
        <v>554</v>
      </c>
      <c r="C71" s="6" t="s">
        <v>61</v>
      </c>
      <c r="D71" s="6" t="s">
        <v>85</v>
      </c>
      <c r="E71" s="6" t="s">
        <v>555</v>
      </c>
      <c r="F71" s="6" t="s">
        <v>556</v>
      </c>
      <c r="G71" s="8">
        <v>24450</v>
      </c>
    </row>
    <row r="72" spans="1:8">
      <c r="A72" s="6">
        <v>2023</v>
      </c>
      <c r="B72" s="6" t="s">
        <v>557</v>
      </c>
      <c r="C72" s="6" t="s">
        <v>61</v>
      </c>
      <c r="D72" s="6" t="s">
        <v>85</v>
      </c>
      <c r="E72" s="6" t="s">
        <v>558</v>
      </c>
      <c r="F72" s="6" t="s">
        <v>559</v>
      </c>
      <c r="G72" s="8">
        <v>104239</v>
      </c>
    </row>
    <row r="73" spans="1:8">
      <c r="A73" s="6">
        <v>2023</v>
      </c>
      <c r="B73" s="6" t="s">
        <v>560</v>
      </c>
      <c r="C73" s="6" t="s">
        <v>61</v>
      </c>
      <c r="D73" s="6" t="s">
        <v>456</v>
      </c>
      <c r="E73" s="6" t="s">
        <v>561</v>
      </c>
      <c r="F73" s="6" t="s">
        <v>562</v>
      </c>
      <c r="G73" s="8">
        <v>162240</v>
      </c>
    </row>
    <row r="74" spans="1:8">
      <c r="A74" s="6">
        <v>2023</v>
      </c>
      <c r="B74" s="6" t="s">
        <v>563</v>
      </c>
      <c r="C74" s="6" t="s">
        <v>61</v>
      </c>
      <c r="D74" s="6" t="s">
        <v>394</v>
      </c>
      <c r="E74" s="6" t="s">
        <v>564</v>
      </c>
      <c r="F74" s="6" t="s">
        <v>565</v>
      </c>
      <c r="G74" s="8">
        <v>68450</v>
      </c>
    </row>
    <row r="75" spans="1:8">
      <c r="A75" s="56">
        <v>2023</v>
      </c>
      <c r="B75" s="56" t="s">
        <v>130</v>
      </c>
      <c r="C75" s="56" t="s">
        <v>61</v>
      </c>
      <c r="D75" s="56" t="s">
        <v>85</v>
      </c>
      <c r="E75" s="56" t="s">
        <v>91</v>
      </c>
      <c r="F75" s="56" t="s">
        <v>566</v>
      </c>
      <c r="G75" s="57">
        <v>96107</v>
      </c>
      <c r="H75" s="63" t="s">
        <v>28</v>
      </c>
    </row>
    <row r="76" spans="1:8">
      <c r="A76" s="56">
        <v>2023</v>
      </c>
      <c r="B76" s="56" t="s">
        <v>141</v>
      </c>
      <c r="C76" s="56" t="s">
        <v>61</v>
      </c>
      <c r="D76" s="56" t="s">
        <v>125</v>
      </c>
      <c r="E76" s="56" t="s">
        <v>567</v>
      </c>
      <c r="F76" s="56" t="s">
        <v>568</v>
      </c>
      <c r="G76" s="57">
        <v>2715682.84</v>
      </c>
      <c r="H76" s="63" t="s">
        <v>28</v>
      </c>
    </row>
    <row r="77" spans="1:8">
      <c r="A77" s="56">
        <v>2023</v>
      </c>
      <c r="B77" s="56" t="s">
        <v>147</v>
      </c>
      <c r="C77" s="56" t="s">
        <v>61</v>
      </c>
      <c r="D77" s="56" t="s">
        <v>125</v>
      </c>
      <c r="E77" s="56" t="s">
        <v>148</v>
      </c>
      <c r="F77" s="56" t="s">
        <v>569</v>
      </c>
      <c r="G77" s="57">
        <v>2398683</v>
      </c>
      <c r="H77" s="63" t="s">
        <v>28</v>
      </c>
    </row>
    <row r="78" spans="1:8">
      <c r="A78" s="56">
        <v>2023</v>
      </c>
      <c r="B78" s="56"/>
      <c r="C78" s="56" t="s">
        <v>61</v>
      </c>
      <c r="D78" s="56" t="s">
        <v>125</v>
      </c>
      <c r="E78" s="56" t="s">
        <v>152</v>
      </c>
      <c r="F78" s="56"/>
      <c r="G78" s="57">
        <v>7936800</v>
      </c>
      <c r="H78" s="63" t="s">
        <v>28</v>
      </c>
    </row>
    <row r="79" spans="1:8">
      <c r="A79" s="56">
        <v>2023</v>
      </c>
      <c r="B79" s="56"/>
      <c r="C79" s="56" t="s">
        <v>61</v>
      </c>
      <c r="D79" s="56" t="s">
        <v>125</v>
      </c>
      <c r="E79" s="56" t="s">
        <v>570</v>
      </c>
      <c r="F79" s="56"/>
      <c r="G79" s="57">
        <v>2999996.32</v>
      </c>
      <c r="H79" s="63" t="s">
        <v>28</v>
      </c>
    </row>
    <row r="80" spans="1:8">
      <c r="A80" s="6">
        <v>2022</v>
      </c>
      <c r="B80" s="62">
        <v>44866</v>
      </c>
      <c r="C80" s="6" t="s">
        <v>61</v>
      </c>
      <c r="D80" s="6" t="s">
        <v>394</v>
      </c>
      <c r="E80" s="6" t="s">
        <v>571</v>
      </c>
      <c r="F80" s="6" t="s">
        <v>572</v>
      </c>
      <c r="G80" s="8">
        <v>19000</v>
      </c>
    </row>
    <row r="81" spans="1:7">
      <c r="A81" s="6">
        <v>2022</v>
      </c>
      <c r="B81" s="62">
        <v>44896</v>
      </c>
      <c r="C81" s="6" t="s">
        <v>61</v>
      </c>
      <c r="D81" s="6" t="s">
        <v>573</v>
      </c>
      <c r="E81" s="6" t="s">
        <v>574</v>
      </c>
      <c r="F81" s="6" t="s">
        <v>575</v>
      </c>
      <c r="G81" s="8">
        <v>345000</v>
      </c>
    </row>
    <row r="82" spans="1:7">
      <c r="A82" s="6">
        <v>2022</v>
      </c>
      <c r="B82" s="6" t="s">
        <v>576</v>
      </c>
      <c r="C82" s="6" t="s">
        <v>61</v>
      </c>
      <c r="D82" s="6" t="s">
        <v>125</v>
      </c>
      <c r="E82" s="6" t="s">
        <v>577</v>
      </c>
      <c r="F82" s="6" t="s">
        <v>578</v>
      </c>
      <c r="G82" s="8">
        <v>2353196</v>
      </c>
    </row>
    <row r="83" spans="1:7">
      <c r="A83" s="6">
        <v>2022</v>
      </c>
      <c r="B83" s="6" t="s">
        <v>579</v>
      </c>
      <c r="C83" s="6" t="s">
        <v>61</v>
      </c>
      <c r="D83" s="6" t="s">
        <v>394</v>
      </c>
      <c r="E83" s="6" t="s">
        <v>580</v>
      </c>
      <c r="F83" s="6" t="s">
        <v>581</v>
      </c>
      <c r="G83" s="8">
        <v>20000</v>
      </c>
    </row>
    <row r="84" spans="1:7">
      <c r="A84" s="6">
        <v>2022</v>
      </c>
      <c r="B84" s="6" t="s">
        <v>582</v>
      </c>
      <c r="C84" s="6" t="s">
        <v>61</v>
      </c>
      <c r="D84" s="6" t="s">
        <v>68</v>
      </c>
      <c r="E84" s="6" t="s">
        <v>583</v>
      </c>
      <c r="F84" s="6" t="s">
        <v>584</v>
      </c>
      <c r="G84" s="8">
        <v>300700</v>
      </c>
    </row>
    <row r="85" spans="1:7">
      <c r="A85" s="6">
        <v>2022</v>
      </c>
      <c r="B85" s="6" t="s">
        <v>585</v>
      </c>
      <c r="C85" s="6" t="s">
        <v>61</v>
      </c>
      <c r="D85" s="6" t="s">
        <v>586</v>
      </c>
      <c r="E85" s="6" t="s">
        <v>587</v>
      </c>
      <c r="F85" s="6" t="s">
        <v>588</v>
      </c>
      <c r="G85" s="8">
        <v>17575</v>
      </c>
    </row>
    <row r="86" spans="1:7">
      <c r="A86" s="6">
        <v>2022</v>
      </c>
      <c r="B86" s="6" t="s">
        <v>589</v>
      </c>
      <c r="C86" s="6" t="s">
        <v>61</v>
      </c>
      <c r="D86" s="6" t="s">
        <v>125</v>
      </c>
      <c r="E86" s="6" t="s">
        <v>590</v>
      </c>
      <c r="F86" s="6" t="s">
        <v>591</v>
      </c>
      <c r="G86" s="8">
        <v>2802604</v>
      </c>
    </row>
    <row r="87" spans="1:7">
      <c r="A87" s="6">
        <v>2022</v>
      </c>
      <c r="B87" s="6" t="s">
        <v>592</v>
      </c>
      <c r="C87" s="6" t="s">
        <v>61</v>
      </c>
      <c r="D87" s="6" t="s">
        <v>125</v>
      </c>
      <c r="E87" s="6" t="s">
        <v>593</v>
      </c>
      <c r="F87" s="6" t="s">
        <v>594</v>
      </c>
      <c r="G87" s="8">
        <v>2692520</v>
      </c>
    </row>
    <row r="88" spans="1:7">
      <c r="A88" s="6">
        <v>2022</v>
      </c>
      <c r="B88" s="6" t="s">
        <v>595</v>
      </c>
      <c r="C88" s="6" t="s">
        <v>61</v>
      </c>
      <c r="D88" s="6" t="s">
        <v>125</v>
      </c>
      <c r="E88" s="6" t="s">
        <v>596</v>
      </c>
      <c r="F88" s="6" t="s">
        <v>597</v>
      </c>
      <c r="G88" s="8">
        <v>1450894</v>
      </c>
    </row>
    <row r="89" spans="1:7">
      <c r="A89" s="6">
        <v>2022</v>
      </c>
      <c r="B89" s="6" t="s">
        <v>598</v>
      </c>
      <c r="C89" s="6" t="s">
        <v>61</v>
      </c>
      <c r="D89" s="6" t="s">
        <v>125</v>
      </c>
      <c r="E89" s="6" t="s">
        <v>599</v>
      </c>
      <c r="F89" s="6" t="s">
        <v>600</v>
      </c>
      <c r="G89" s="8">
        <v>1780736</v>
      </c>
    </row>
    <row r="90" spans="1:7">
      <c r="A90" s="6">
        <v>2022</v>
      </c>
      <c r="B90" s="6" t="s">
        <v>601</v>
      </c>
      <c r="C90" s="6" t="s">
        <v>61</v>
      </c>
      <c r="D90" s="6" t="s">
        <v>125</v>
      </c>
      <c r="E90" s="6" t="s">
        <v>602</v>
      </c>
      <c r="F90" s="6" t="s">
        <v>603</v>
      </c>
      <c r="G90" s="8">
        <v>2995096</v>
      </c>
    </row>
    <row r="91" spans="1:7">
      <c r="A91" s="6">
        <v>2022</v>
      </c>
      <c r="B91" s="6" t="s">
        <v>604</v>
      </c>
      <c r="C91" s="6" t="s">
        <v>61</v>
      </c>
      <c r="D91" s="6" t="s">
        <v>573</v>
      </c>
      <c r="E91" s="6" t="s">
        <v>605</v>
      </c>
      <c r="F91" s="6" t="s">
        <v>575</v>
      </c>
      <c r="G91" s="8">
        <v>1201148.8799999999</v>
      </c>
    </row>
    <row r="92" spans="1:7">
      <c r="A92" s="6">
        <v>2022</v>
      </c>
      <c r="B92" s="6" t="s">
        <v>606</v>
      </c>
      <c r="C92" s="6" t="s">
        <v>61</v>
      </c>
      <c r="D92" s="6" t="s">
        <v>394</v>
      </c>
      <c r="E92" s="6" t="s">
        <v>607</v>
      </c>
      <c r="F92" s="6" t="s">
        <v>608</v>
      </c>
      <c r="G92" s="8">
        <v>38400</v>
      </c>
    </row>
    <row r="93" spans="1:7">
      <c r="A93" s="6">
        <v>2022</v>
      </c>
      <c r="B93" s="6" t="s">
        <v>609</v>
      </c>
      <c r="C93" s="6" t="s">
        <v>61</v>
      </c>
      <c r="D93" s="6" t="s">
        <v>394</v>
      </c>
      <c r="E93" s="6" t="s">
        <v>610</v>
      </c>
      <c r="F93" s="6" t="s">
        <v>611</v>
      </c>
      <c r="G93" s="8">
        <v>419537.6</v>
      </c>
    </row>
    <row r="94" spans="1:7">
      <c r="A94" s="6">
        <v>2022</v>
      </c>
      <c r="B94" s="6" t="s">
        <v>612</v>
      </c>
      <c r="C94" s="6" t="s">
        <v>61</v>
      </c>
      <c r="D94" s="6" t="s">
        <v>456</v>
      </c>
      <c r="E94" s="6" t="s">
        <v>613</v>
      </c>
      <c r="F94" s="6" t="s">
        <v>614</v>
      </c>
      <c r="G94" s="8">
        <v>174759.01</v>
      </c>
    </row>
    <row r="95" spans="1:7">
      <c r="A95" s="6">
        <v>2022</v>
      </c>
      <c r="B95" s="6" t="s">
        <v>615</v>
      </c>
      <c r="C95" s="6" t="s">
        <v>61</v>
      </c>
      <c r="D95" s="6" t="s">
        <v>456</v>
      </c>
      <c r="E95" s="6" t="s">
        <v>616</v>
      </c>
      <c r="F95" s="6" t="s">
        <v>617</v>
      </c>
      <c r="G95" s="8">
        <v>60837.599999999999</v>
      </c>
    </row>
    <row r="96" spans="1:7">
      <c r="A96" s="6">
        <v>2022</v>
      </c>
      <c r="B96" s="6" t="s">
        <v>618</v>
      </c>
      <c r="C96" s="6" t="s">
        <v>61</v>
      </c>
      <c r="D96" s="6" t="s">
        <v>197</v>
      </c>
      <c r="E96" s="6" t="s">
        <v>619</v>
      </c>
      <c r="F96" s="6" t="s">
        <v>620</v>
      </c>
      <c r="G96" s="8">
        <v>2001920</v>
      </c>
    </row>
    <row r="97" spans="1:7">
      <c r="A97" s="6">
        <v>2022</v>
      </c>
      <c r="B97" s="6" t="s">
        <v>621</v>
      </c>
      <c r="C97" s="6" t="s">
        <v>61</v>
      </c>
      <c r="D97" s="6" t="s">
        <v>197</v>
      </c>
      <c r="E97" s="6" t="s">
        <v>622</v>
      </c>
      <c r="F97" s="6" t="s">
        <v>623</v>
      </c>
      <c r="G97" s="8">
        <v>2435960</v>
      </c>
    </row>
    <row r="98" spans="1:7">
      <c r="A98" s="6">
        <v>2022</v>
      </c>
      <c r="B98" s="6" t="s">
        <v>624</v>
      </c>
      <c r="C98" s="6" t="s">
        <v>61</v>
      </c>
      <c r="D98" s="6" t="s">
        <v>456</v>
      </c>
      <c r="E98" s="6" t="s">
        <v>625</v>
      </c>
      <c r="F98" s="6" t="s">
        <v>626</v>
      </c>
      <c r="G98" s="8">
        <v>31804.6</v>
      </c>
    </row>
    <row r="99" spans="1:7">
      <c r="A99" s="6">
        <v>2022</v>
      </c>
      <c r="B99" s="6" t="s">
        <v>627</v>
      </c>
      <c r="C99" s="6" t="s">
        <v>61</v>
      </c>
      <c r="D99" s="6" t="s">
        <v>456</v>
      </c>
      <c r="E99" s="6" t="s">
        <v>628</v>
      </c>
      <c r="F99" s="6" t="s">
        <v>629</v>
      </c>
      <c r="G99" s="8">
        <v>10160</v>
      </c>
    </row>
    <row r="100" spans="1:7">
      <c r="A100" s="6">
        <v>2022</v>
      </c>
      <c r="B100" s="6" t="s">
        <v>630</v>
      </c>
      <c r="C100" s="6" t="s">
        <v>61</v>
      </c>
      <c r="D100" s="6" t="s">
        <v>456</v>
      </c>
      <c r="E100" s="6" t="s">
        <v>631</v>
      </c>
      <c r="F100" s="6" t="s">
        <v>632</v>
      </c>
      <c r="G100" s="8">
        <v>199727</v>
      </c>
    </row>
    <row r="101" spans="1:7">
      <c r="A101" s="6">
        <v>2022</v>
      </c>
      <c r="B101" s="6" t="s">
        <v>633</v>
      </c>
      <c r="C101" s="6" t="s">
        <v>61</v>
      </c>
      <c r="D101" s="6" t="s">
        <v>125</v>
      </c>
      <c r="E101" s="6" t="s">
        <v>634</v>
      </c>
      <c r="F101" s="6" t="s">
        <v>635</v>
      </c>
      <c r="G101" s="8">
        <v>2251504</v>
      </c>
    </row>
    <row r="102" spans="1:7">
      <c r="A102" s="6">
        <v>2022</v>
      </c>
      <c r="B102" s="6" t="s">
        <v>636</v>
      </c>
      <c r="C102" s="6" t="s">
        <v>61</v>
      </c>
      <c r="D102" s="6" t="s">
        <v>456</v>
      </c>
      <c r="E102" s="6" t="s">
        <v>637</v>
      </c>
      <c r="F102" s="6" t="s">
        <v>638</v>
      </c>
      <c r="G102" s="8">
        <v>199950</v>
      </c>
    </row>
    <row r="103" spans="1:7">
      <c r="A103" s="6">
        <v>2022</v>
      </c>
      <c r="B103" s="6" t="s">
        <v>639</v>
      </c>
      <c r="C103" s="6" t="s">
        <v>61</v>
      </c>
      <c r="D103" s="6" t="s">
        <v>586</v>
      </c>
      <c r="E103" s="6" t="s">
        <v>640</v>
      </c>
      <c r="F103" s="6" t="s">
        <v>641</v>
      </c>
      <c r="G103" s="8">
        <v>17575</v>
      </c>
    </row>
    <row r="104" spans="1:7">
      <c r="A104" s="6">
        <v>2022</v>
      </c>
      <c r="B104" s="6" t="s">
        <v>642</v>
      </c>
      <c r="C104" s="6" t="s">
        <v>61</v>
      </c>
      <c r="D104" s="6" t="s">
        <v>456</v>
      </c>
      <c r="E104" s="6" t="s">
        <v>643</v>
      </c>
      <c r="F104" s="6" t="s">
        <v>644</v>
      </c>
      <c r="G104" s="8">
        <v>48250</v>
      </c>
    </row>
    <row r="105" spans="1:7">
      <c r="A105" s="6">
        <v>2022</v>
      </c>
      <c r="B105" s="6" t="s">
        <v>645</v>
      </c>
      <c r="C105" s="6" t="s">
        <v>61</v>
      </c>
      <c r="D105" s="6" t="s">
        <v>456</v>
      </c>
      <c r="E105" s="6" t="s">
        <v>646</v>
      </c>
      <c r="F105" s="6" t="s">
        <v>647</v>
      </c>
      <c r="G105" s="8">
        <v>27532</v>
      </c>
    </row>
    <row r="106" spans="1:7">
      <c r="A106" s="6">
        <v>2022</v>
      </c>
      <c r="B106" s="6" t="s">
        <v>648</v>
      </c>
      <c r="C106" s="6" t="s">
        <v>61</v>
      </c>
      <c r="D106" s="6" t="s">
        <v>394</v>
      </c>
      <c r="E106" s="6" t="s">
        <v>649</v>
      </c>
      <c r="F106" s="6" t="s">
        <v>650</v>
      </c>
      <c r="G106" s="8">
        <v>37075</v>
      </c>
    </row>
    <row r="107" spans="1:7">
      <c r="A107" s="6">
        <v>2022</v>
      </c>
      <c r="B107" s="6" t="s">
        <v>651</v>
      </c>
      <c r="C107" s="6" t="s">
        <v>61</v>
      </c>
      <c r="D107" s="6" t="s">
        <v>652</v>
      </c>
      <c r="E107" s="6" t="s">
        <v>653</v>
      </c>
      <c r="F107" s="6" t="s">
        <v>654</v>
      </c>
      <c r="G107" s="8">
        <v>14793</v>
      </c>
    </row>
    <row r="108" spans="1:7">
      <c r="A108" s="6">
        <v>2022</v>
      </c>
      <c r="B108" s="6" t="s">
        <v>655</v>
      </c>
      <c r="C108" s="6" t="s">
        <v>61</v>
      </c>
      <c r="D108" s="6" t="s">
        <v>456</v>
      </c>
      <c r="E108" s="6" t="s">
        <v>656</v>
      </c>
      <c r="F108" s="6" t="s">
        <v>657</v>
      </c>
      <c r="G108" s="8">
        <v>19555</v>
      </c>
    </row>
    <row r="109" spans="1:7">
      <c r="A109" s="6">
        <v>2022</v>
      </c>
      <c r="B109" s="6" t="s">
        <v>658</v>
      </c>
      <c r="C109" s="6" t="s">
        <v>61</v>
      </c>
      <c r="D109" s="6" t="s">
        <v>456</v>
      </c>
      <c r="E109" s="6" t="s">
        <v>659</v>
      </c>
      <c r="F109" s="6" t="s">
        <v>660</v>
      </c>
      <c r="G109" s="8">
        <v>194052.75</v>
      </c>
    </row>
    <row r="110" spans="1:7">
      <c r="A110" s="6">
        <v>2022</v>
      </c>
      <c r="B110" s="6" t="s">
        <v>661</v>
      </c>
      <c r="C110" s="6" t="s">
        <v>61</v>
      </c>
      <c r="D110" s="6" t="s">
        <v>456</v>
      </c>
      <c r="E110" s="6" t="s">
        <v>662</v>
      </c>
      <c r="F110" s="6" t="s">
        <v>663</v>
      </c>
      <c r="G110" s="8">
        <v>24430</v>
      </c>
    </row>
    <row r="111" spans="1:7">
      <c r="A111" s="6">
        <v>2022</v>
      </c>
      <c r="B111" s="6" t="s">
        <v>664</v>
      </c>
      <c r="C111" s="6" t="s">
        <v>61</v>
      </c>
      <c r="D111" s="6" t="s">
        <v>456</v>
      </c>
      <c r="E111" s="6" t="s">
        <v>665</v>
      </c>
      <c r="F111" s="6" t="s">
        <v>666</v>
      </c>
      <c r="G111" s="8">
        <v>8500</v>
      </c>
    </row>
    <row r="112" spans="1:7">
      <c r="A112" s="6">
        <v>2022</v>
      </c>
      <c r="B112" s="6" t="s">
        <v>667</v>
      </c>
      <c r="C112" s="6" t="s">
        <v>61</v>
      </c>
      <c r="D112" s="6" t="s">
        <v>125</v>
      </c>
      <c r="E112" s="6" t="s">
        <v>668</v>
      </c>
      <c r="F112" s="6" t="s">
        <v>669</v>
      </c>
      <c r="G112" s="8">
        <v>2501824</v>
      </c>
    </row>
    <row r="113" spans="1:7">
      <c r="A113" s="6">
        <v>2022</v>
      </c>
      <c r="B113" s="6" t="s">
        <v>670</v>
      </c>
      <c r="C113" s="6" t="s">
        <v>61</v>
      </c>
      <c r="D113" s="6" t="s">
        <v>456</v>
      </c>
      <c r="E113" s="6" t="s">
        <v>671</v>
      </c>
      <c r="F113" s="6" t="s">
        <v>672</v>
      </c>
      <c r="G113" s="8">
        <v>151700</v>
      </c>
    </row>
    <row r="114" spans="1:7">
      <c r="A114" s="6">
        <v>2022</v>
      </c>
      <c r="B114" s="6" t="s">
        <v>673</v>
      </c>
      <c r="C114" s="6" t="s">
        <v>61</v>
      </c>
      <c r="D114" s="6" t="s">
        <v>456</v>
      </c>
      <c r="E114" s="6" t="s">
        <v>674</v>
      </c>
      <c r="F114" s="6" t="s">
        <v>675</v>
      </c>
      <c r="G114" s="8">
        <v>39600</v>
      </c>
    </row>
    <row r="115" spans="1:7">
      <c r="A115" s="6">
        <v>2022</v>
      </c>
      <c r="B115" s="6" t="s">
        <v>676</v>
      </c>
      <c r="C115" s="6" t="s">
        <v>61</v>
      </c>
      <c r="D115" s="6" t="s">
        <v>456</v>
      </c>
      <c r="E115" s="6" t="s">
        <v>677</v>
      </c>
      <c r="F115" s="6" t="s">
        <v>678</v>
      </c>
      <c r="G115" s="8">
        <v>94130</v>
      </c>
    </row>
    <row r="116" spans="1:7">
      <c r="A116" s="6">
        <v>2022</v>
      </c>
      <c r="B116" s="6" t="s">
        <v>679</v>
      </c>
      <c r="C116" s="6" t="s">
        <v>61</v>
      </c>
      <c r="D116" s="6" t="s">
        <v>456</v>
      </c>
      <c r="E116" s="6" t="s">
        <v>680</v>
      </c>
      <c r="F116" s="6" t="s">
        <v>681</v>
      </c>
      <c r="G116" s="8">
        <v>151870</v>
      </c>
    </row>
    <row r="117" spans="1:7">
      <c r="A117" s="6">
        <v>2022</v>
      </c>
      <c r="B117" s="6" t="s">
        <v>682</v>
      </c>
      <c r="C117" s="6" t="s">
        <v>61</v>
      </c>
      <c r="D117" s="6" t="s">
        <v>68</v>
      </c>
      <c r="E117" s="6" t="s">
        <v>683</v>
      </c>
      <c r="F117" s="6" t="s">
        <v>684</v>
      </c>
      <c r="G117" s="8">
        <v>73200</v>
      </c>
    </row>
    <row r="118" spans="1:7">
      <c r="A118" s="6">
        <v>2022</v>
      </c>
      <c r="B118" s="6" t="s">
        <v>685</v>
      </c>
      <c r="C118" s="6" t="s">
        <v>61</v>
      </c>
      <c r="D118" s="6" t="s">
        <v>456</v>
      </c>
      <c r="E118" s="6" t="s">
        <v>686</v>
      </c>
      <c r="F118" s="6" t="s">
        <v>520</v>
      </c>
      <c r="G118" s="8">
        <v>199890</v>
      </c>
    </row>
    <row r="119" spans="1:7">
      <c r="A119" s="6">
        <v>2022</v>
      </c>
      <c r="B119" s="6" t="s">
        <v>687</v>
      </c>
      <c r="C119" s="6" t="s">
        <v>61</v>
      </c>
      <c r="D119" s="6" t="s">
        <v>652</v>
      </c>
      <c r="E119" s="6" t="s">
        <v>688</v>
      </c>
      <c r="F119" s="6" t="s">
        <v>689</v>
      </c>
      <c r="G119" s="8">
        <v>18425</v>
      </c>
    </row>
    <row r="120" spans="1:7">
      <c r="A120" s="6">
        <v>2022</v>
      </c>
      <c r="B120" s="6" t="s">
        <v>690</v>
      </c>
      <c r="C120" s="6" t="s">
        <v>61</v>
      </c>
      <c r="D120" s="6" t="s">
        <v>125</v>
      </c>
      <c r="E120" s="6" t="s">
        <v>691</v>
      </c>
      <c r="F120" s="6" t="s">
        <v>692</v>
      </c>
      <c r="G120" s="8">
        <v>7155412</v>
      </c>
    </row>
    <row r="121" spans="1:7">
      <c r="A121" s="6">
        <v>2022</v>
      </c>
      <c r="B121" s="6" t="s">
        <v>690</v>
      </c>
      <c r="C121" s="6" t="s">
        <v>61</v>
      </c>
      <c r="D121" s="6" t="s">
        <v>125</v>
      </c>
      <c r="E121" s="6" t="s">
        <v>693</v>
      </c>
      <c r="F121" s="6" t="s">
        <v>694</v>
      </c>
      <c r="G121" s="8">
        <v>3897512</v>
      </c>
    </row>
    <row r="122" spans="1:7">
      <c r="A122" s="6">
        <v>2022</v>
      </c>
      <c r="B122" s="6" t="s">
        <v>690</v>
      </c>
      <c r="C122" s="6" t="s">
        <v>61</v>
      </c>
      <c r="D122" s="6" t="s">
        <v>125</v>
      </c>
      <c r="E122" s="6" t="s">
        <v>695</v>
      </c>
      <c r="F122" s="6" t="s">
        <v>696</v>
      </c>
      <c r="G122" s="8">
        <v>4161535.59</v>
      </c>
    </row>
    <row r="123" spans="1:7">
      <c r="A123" s="6">
        <v>2021</v>
      </c>
      <c r="B123" s="61">
        <v>44197</v>
      </c>
      <c r="C123" s="6" t="s">
        <v>61</v>
      </c>
      <c r="D123" s="6" t="s">
        <v>697</v>
      </c>
      <c r="E123" s="6" t="s">
        <v>698</v>
      </c>
      <c r="F123" s="6" t="s">
        <v>699</v>
      </c>
      <c r="G123" s="8">
        <v>414900</v>
      </c>
    </row>
    <row r="124" spans="1:7">
      <c r="A124" s="6">
        <v>2021</v>
      </c>
      <c r="B124" s="62">
        <v>44531</v>
      </c>
      <c r="C124" s="6" t="s">
        <v>61</v>
      </c>
      <c r="D124" s="6" t="s">
        <v>456</v>
      </c>
      <c r="E124" s="6" t="s">
        <v>700</v>
      </c>
      <c r="F124" s="6" t="s">
        <v>701</v>
      </c>
      <c r="G124" s="8">
        <v>50735</v>
      </c>
    </row>
    <row r="125" spans="1:7">
      <c r="A125" s="6">
        <v>2021</v>
      </c>
      <c r="B125" s="6" t="s">
        <v>702</v>
      </c>
      <c r="C125" s="6" t="s">
        <v>61</v>
      </c>
      <c r="D125" s="6" t="s">
        <v>394</v>
      </c>
      <c r="E125" s="6" t="s">
        <v>703</v>
      </c>
      <c r="F125" s="6" t="s">
        <v>704</v>
      </c>
      <c r="G125" s="8">
        <v>9000</v>
      </c>
    </row>
    <row r="126" spans="1:7">
      <c r="A126" s="6">
        <v>2021</v>
      </c>
      <c r="B126" s="6" t="s">
        <v>705</v>
      </c>
      <c r="C126" s="6" t="s">
        <v>61</v>
      </c>
      <c r="D126" s="6" t="s">
        <v>394</v>
      </c>
      <c r="E126" s="6" t="s">
        <v>706</v>
      </c>
      <c r="F126" s="6" t="s">
        <v>707</v>
      </c>
      <c r="G126" s="8">
        <v>20000</v>
      </c>
    </row>
    <row r="127" spans="1:7">
      <c r="A127" s="6">
        <v>2021</v>
      </c>
      <c r="B127" s="6" t="s">
        <v>708</v>
      </c>
      <c r="C127" s="6" t="s">
        <v>61</v>
      </c>
      <c r="D127" s="6" t="s">
        <v>586</v>
      </c>
      <c r="E127" s="6" t="s">
        <v>709</v>
      </c>
      <c r="F127" s="6" t="s">
        <v>710</v>
      </c>
      <c r="G127" s="8">
        <v>28450</v>
      </c>
    </row>
    <row r="128" spans="1:7">
      <c r="A128" s="6">
        <v>2021</v>
      </c>
      <c r="B128" s="6" t="s">
        <v>711</v>
      </c>
      <c r="C128" s="6" t="s">
        <v>61</v>
      </c>
      <c r="D128" s="6" t="s">
        <v>712</v>
      </c>
      <c r="E128" s="6" t="s">
        <v>713</v>
      </c>
      <c r="F128" s="6" t="s">
        <v>714</v>
      </c>
      <c r="G128" s="8">
        <v>222750</v>
      </c>
    </row>
    <row r="129" spans="1:8">
      <c r="A129" s="6">
        <v>2021</v>
      </c>
      <c r="B129" s="6" t="s">
        <v>715</v>
      </c>
      <c r="C129" s="6" t="s">
        <v>61</v>
      </c>
      <c r="D129" s="6" t="s">
        <v>394</v>
      </c>
      <c r="E129" s="6" t="s">
        <v>716</v>
      </c>
      <c r="F129" s="6" t="s">
        <v>572</v>
      </c>
      <c r="G129" s="8">
        <v>8000</v>
      </c>
    </row>
    <row r="130" spans="1:8">
      <c r="A130" s="6">
        <v>2021</v>
      </c>
      <c r="B130" s="6" t="s">
        <v>717</v>
      </c>
      <c r="C130" s="6" t="s">
        <v>61</v>
      </c>
      <c r="D130" s="6" t="s">
        <v>586</v>
      </c>
      <c r="E130" s="6" t="s">
        <v>718</v>
      </c>
      <c r="F130" s="6" t="s">
        <v>719</v>
      </c>
      <c r="G130" s="8">
        <v>8500</v>
      </c>
    </row>
    <row r="131" spans="1:8">
      <c r="A131" s="6">
        <v>2021</v>
      </c>
      <c r="B131" s="6" t="s">
        <v>720</v>
      </c>
      <c r="C131" s="6" t="s">
        <v>61</v>
      </c>
      <c r="D131" s="6" t="s">
        <v>394</v>
      </c>
      <c r="E131" s="6" t="s">
        <v>721</v>
      </c>
      <c r="F131" s="6" t="s">
        <v>722</v>
      </c>
      <c r="G131" s="8">
        <v>10000</v>
      </c>
    </row>
    <row r="132" spans="1:8">
      <c r="A132" s="56">
        <v>2021</v>
      </c>
      <c r="B132" s="56" t="s">
        <v>72</v>
      </c>
      <c r="C132" s="56" t="s">
        <v>61</v>
      </c>
      <c r="D132" s="56" t="s">
        <v>68</v>
      </c>
      <c r="E132" s="56" t="s">
        <v>73</v>
      </c>
      <c r="F132" s="56" t="s">
        <v>74</v>
      </c>
      <c r="G132" s="57">
        <v>349800</v>
      </c>
      <c r="H132" s="63" t="s">
        <v>723</v>
      </c>
    </row>
    <row r="133" spans="1:8">
      <c r="A133" s="6">
        <v>2021</v>
      </c>
      <c r="B133" s="6" t="s">
        <v>724</v>
      </c>
      <c r="C133" s="6" t="s">
        <v>61</v>
      </c>
      <c r="D133" s="6" t="s">
        <v>394</v>
      </c>
      <c r="E133" s="6" t="s">
        <v>725</v>
      </c>
      <c r="F133" s="6" t="s">
        <v>572</v>
      </c>
      <c r="G133" s="8">
        <v>8000</v>
      </c>
    </row>
    <row r="134" spans="1:8">
      <c r="A134" s="6">
        <v>2021</v>
      </c>
      <c r="B134" s="6" t="s">
        <v>726</v>
      </c>
      <c r="C134" s="6" t="s">
        <v>61</v>
      </c>
      <c r="D134" s="6" t="s">
        <v>68</v>
      </c>
      <c r="E134" s="6" t="s">
        <v>727</v>
      </c>
      <c r="F134" s="6" t="s">
        <v>728</v>
      </c>
      <c r="G134" s="8">
        <v>108540</v>
      </c>
    </row>
    <row r="135" spans="1:8">
      <c r="A135" s="6">
        <v>2021</v>
      </c>
      <c r="B135" s="6" t="s">
        <v>729</v>
      </c>
      <c r="C135" s="6" t="s">
        <v>61</v>
      </c>
      <c r="D135" s="6" t="s">
        <v>68</v>
      </c>
      <c r="E135" s="6" t="s">
        <v>730</v>
      </c>
      <c r="F135" s="6" t="s">
        <v>731</v>
      </c>
      <c r="G135" s="8">
        <v>108500</v>
      </c>
    </row>
    <row r="136" spans="1:8">
      <c r="A136" s="6">
        <v>2021</v>
      </c>
      <c r="B136" s="6" t="s">
        <v>732</v>
      </c>
      <c r="C136" s="6" t="s">
        <v>61</v>
      </c>
      <c r="D136" s="6" t="s">
        <v>394</v>
      </c>
      <c r="E136" s="6" t="s">
        <v>733</v>
      </c>
      <c r="F136" s="6" t="s">
        <v>734</v>
      </c>
      <c r="G136" s="8">
        <v>8000</v>
      </c>
    </row>
    <row r="137" spans="1:8">
      <c r="A137" s="6">
        <v>2021</v>
      </c>
      <c r="B137" s="6" t="s">
        <v>735</v>
      </c>
      <c r="C137" s="6" t="s">
        <v>61</v>
      </c>
      <c r="D137" s="6" t="s">
        <v>394</v>
      </c>
      <c r="E137" s="6" t="s">
        <v>736</v>
      </c>
      <c r="F137" s="6" t="s">
        <v>737</v>
      </c>
      <c r="G137" s="8">
        <v>10000</v>
      </c>
    </row>
    <row r="138" spans="1:8">
      <c r="A138" s="6">
        <v>2021</v>
      </c>
      <c r="B138" s="6" t="s">
        <v>738</v>
      </c>
      <c r="C138" s="6" t="s">
        <v>61</v>
      </c>
      <c r="D138" s="6" t="s">
        <v>652</v>
      </c>
      <c r="E138" s="6" t="s">
        <v>739</v>
      </c>
      <c r="F138" s="6" t="s">
        <v>740</v>
      </c>
      <c r="G138" s="8">
        <v>157139</v>
      </c>
    </row>
    <row r="139" spans="1:8">
      <c r="A139" s="6">
        <v>2021</v>
      </c>
      <c r="B139" s="6" t="s">
        <v>741</v>
      </c>
      <c r="C139" s="6" t="s">
        <v>61</v>
      </c>
      <c r="D139" s="6" t="s">
        <v>652</v>
      </c>
      <c r="E139" s="6" t="s">
        <v>742</v>
      </c>
      <c r="F139" s="6" t="s">
        <v>743</v>
      </c>
      <c r="G139" s="8">
        <v>28150</v>
      </c>
    </row>
    <row r="140" spans="1:8">
      <c r="A140" s="6">
        <v>2021</v>
      </c>
      <c r="B140" s="6" t="s">
        <v>744</v>
      </c>
      <c r="C140" s="6" t="s">
        <v>61</v>
      </c>
      <c r="D140" s="6" t="s">
        <v>652</v>
      </c>
      <c r="E140" s="6" t="s">
        <v>745</v>
      </c>
      <c r="F140" s="6" t="s">
        <v>746</v>
      </c>
      <c r="G140" s="8">
        <v>179435</v>
      </c>
    </row>
    <row r="141" spans="1:8">
      <c r="A141" s="6">
        <v>2021</v>
      </c>
      <c r="B141" s="6" t="s">
        <v>747</v>
      </c>
      <c r="C141" s="6" t="s">
        <v>61</v>
      </c>
      <c r="D141" s="6" t="s">
        <v>652</v>
      </c>
      <c r="E141" s="6" t="s">
        <v>748</v>
      </c>
      <c r="F141" s="6" t="s">
        <v>749</v>
      </c>
      <c r="G141" s="8">
        <v>30842</v>
      </c>
    </row>
    <row r="142" spans="1:8">
      <c r="A142" s="6">
        <v>2021</v>
      </c>
      <c r="B142" s="6" t="s">
        <v>750</v>
      </c>
      <c r="C142" s="6" t="s">
        <v>61</v>
      </c>
      <c r="D142" s="6" t="s">
        <v>652</v>
      </c>
      <c r="E142" s="6" t="s">
        <v>751</v>
      </c>
      <c r="F142" s="6" t="s">
        <v>752</v>
      </c>
      <c r="G142" s="8">
        <v>378009.46</v>
      </c>
    </row>
    <row r="143" spans="1:8">
      <c r="A143" s="6">
        <v>2021</v>
      </c>
      <c r="B143" s="6" t="s">
        <v>753</v>
      </c>
      <c r="C143" s="6" t="s">
        <v>61</v>
      </c>
      <c r="D143" s="6" t="s">
        <v>652</v>
      </c>
      <c r="E143" s="6" t="s">
        <v>754</v>
      </c>
      <c r="F143" s="6" t="s">
        <v>755</v>
      </c>
      <c r="G143" s="8">
        <v>29572.21</v>
      </c>
    </row>
    <row r="144" spans="1:8">
      <c r="A144" s="6">
        <v>2021</v>
      </c>
      <c r="B144" s="6" t="s">
        <v>756</v>
      </c>
      <c r="C144" s="6" t="s">
        <v>61</v>
      </c>
      <c r="D144" s="6" t="s">
        <v>586</v>
      </c>
      <c r="E144" s="6" t="s">
        <v>757</v>
      </c>
      <c r="F144" s="6" t="s">
        <v>74</v>
      </c>
      <c r="G144" s="8">
        <v>20000</v>
      </c>
    </row>
    <row r="145" spans="1:8">
      <c r="A145" s="6">
        <v>2021</v>
      </c>
      <c r="B145" s="6" t="s">
        <v>758</v>
      </c>
      <c r="C145" s="6" t="s">
        <v>61</v>
      </c>
      <c r="D145" s="6" t="s">
        <v>456</v>
      </c>
      <c r="E145" s="6" t="s">
        <v>759</v>
      </c>
      <c r="F145" s="6" t="s">
        <v>760</v>
      </c>
      <c r="G145" s="8">
        <v>46650</v>
      </c>
    </row>
    <row r="146" spans="1:8">
      <c r="A146" s="6">
        <v>2021</v>
      </c>
      <c r="B146" s="6" t="s">
        <v>761</v>
      </c>
      <c r="C146" s="6" t="s">
        <v>61</v>
      </c>
      <c r="D146" s="6" t="s">
        <v>68</v>
      </c>
      <c r="E146" s="6" t="s">
        <v>762</v>
      </c>
      <c r="F146" s="6" t="s">
        <v>763</v>
      </c>
      <c r="G146" s="8">
        <v>350000</v>
      </c>
    </row>
    <row r="147" spans="1:8">
      <c r="A147" s="6">
        <v>2021</v>
      </c>
      <c r="B147" s="6" t="s">
        <v>764</v>
      </c>
      <c r="C147" s="6" t="s">
        <v>61</v>
      </c>
      <c r="D147" s="6" t="s">
        <v>652</v>
      </c>
      <c r="E147" s="6" t="s">
        <v>765</v>
      </c>
      <c r="F147" s="6" t="s">
        <v>766</v>
      </c>
      <c r="G147" s="8">
        <v>201000</v>
      </c>
    </row>
    <row r="148" spans="1:8">
      <c r="A148" s="6">
        <v>2020</v>
      </c>
      <c r="B148" s="6" t="s">
        <v>767</v>
      </c>
      <c r="C148" s="6" t="s">
        <v>61</v>
      </c>
      <c r="D148" s="6" t="s">
        <v>68</v>
      </c>
      <c r="E148" s="6" t="s">
        <v>768</v>
      </c>
      <c r="F148" s="6" t="s">
        <v>769</v>
      </c>
      <c r="G148" s="8">
        <v>169000</v>
      </c>
    </row>
    <row r="149" spans="1:8">
      <c r="A149" s="6">
        <v>2020</v>
      </c>
      <c r="B149" s="6" t="s">
        <v>770</v>
      </c>
      <c r="C149" s="6" t="s">
        <v>61</v>
      </c>
      <c r="D149" s="6" t="s">
        <v>652</v>
      </c>
      <c r="E149" s="6" t="s">
        <v>771</v>
      </c>
      <c r="F149" s="6" t="s">
        <v>772</v>
      </c>
      <c r="G149" s="8">
        <v>29878</v>
      </c>
    </row>
    <row r="150" spans="1:8">
      <c r="A150" s="6">
        <v>2020</v>
      </c>
      <c r="B150" s="6" t="s">
        <v>773</v>
      </c>
      <c r="C150" s="6" t="s">
        <v>61</v>
      </c>
      <c r="D150" s="6" t="s">
        <v>652</v>
      </c>
      <c r="E150" s="6" t="s">
        <v>774</v>
      </c>
      <c r="F150" s="6" t="s">
        <v>775</v>
      </c>
      <c r="G150" s="6"/>
    </row>
    <row r="151" spans="1:8">
      <c r="A151" s="6">
        <v>2020</v>
      </c>
      <c r="B151" s="6" t="s">
        <v>776</v>
      </c>
      <c r="C151" s="6" t="s">
        <v>61</v>
      </c>
      <c r="D151" s="6" t="s">
        <v>652</v>
      </c>
      <c r="E151" s="6" t="s">
        <v>777</v>
      </c>
      <c r="F151" s="6" t="s">
        <v>778</v>
      </c>
      <c r="G151" s="8">
        <v>350000</v>
      </c>
    </row>
    <row r="152" spans="1:8">
      <c r="A152" s="56">
        <v>2020</v>
      </c>
      <c r="B152" s="56" t="s">
        <v>67</v>
      </c>
      <c r="C152" s="56" t="s">
        <v>61</v>
      </c>
      <c r="D152" s="56" t="s">
        <v>68</v>
      </c>
      <c r="E152" s="56" t="s">
        <v>69</v>
      </c>
      <c r="F152" s="56" t="s">
        <v>70</v>
      </c>
      <c r="G152" s="57">
        <v>409314</v>
      </c>
      <c r="H152" s="63" t="s">
        <v>723</v>
      </c>
    </row>
    <row r="153" spans="1:8">
      <c r="A153" s="6">
        <v>2020</v>
      </c>
      <c r="B153" s="6" t="s">
        <v>779</v>
      </c>
      <c r="C153" s="6" t="s">
        <v>61</v>
      </c>
      <c r="D153" s="6" t="s">
        <v>68</v>
      </c>
      <c r="E153" s="6" t="s">
        <v>780</v>
      </c>
      <c r="F153" s="6" t="s">
        <v>781</v>
      </c>
      <c r="G153" s="8">
        <v>156902.65</v>
      </c>
    </row>
    <row r="154" spans="1:8">
      <c r="A154" s="6">
        <v>2020</v>
      </c>
      <c r="B154" s="6" t="s">
        <v>782</v>
      </c>
      <c r="C154" s="6" t="s">
        <v>61</v>
      </c>
      <c r="D154" s="6" t="s">
        <v>68</v>
      </c>
      <c r="E154" s="6" t="s">
        <v>783</v>
      </c>
      <c r="F154" s="6" t="s">
        <v>784</v>
      </c>
      <c r="G154" s="8">
        <v>308708.2</v>
      </c>
    </row>
    <row r="155" spans="1:8">
      <c r="A155" s="6">
        <v>2020</v>
      </c>
      <c r="B155" s="6" t="s">
        <v>785</v>
      </c>
      <c r="C155" s="6" t="s">
        <v>61</v>
      </c>
      <c r="D155" s="6" t="s">
        <v>125</v>
      </c>
      <c r="E155" s="6" t="s">
        <v>786</v>
      </c>
      <c r="F155" s="6" t="s">
        <v>787</v>
      </c>
      <c r="G155" s="8">
        <v>500000</v>
      </c>
    </row>
    <row r="156" spans="1:8">
      <c r="A156" s="6">
        <v>2020</v>
      </c>
      <c r="B156" s="6" t="s">
        <v>788</v>
      </c>
      <c r="C156" s="6" t="s">
        <v>61</v>
      </c>
      <c r="D156" s="6" t="s">
        <v>789</v>
      </c>
      <c r="E156" s="6" t="s">
        <v>790</v>
      </c>
      <c r="F156" s="6" t="s">
        <v>791</v>
      </c>
      <c r="G156" s="8">
        <v>324750</v>
      </c>
    </row>
    <row r="157" spans="1:8">
      <c r="A157" s="6">
        <v>2020</v>
      </c>
      <c r="B157" s="6" t="s">
        <v>792</v>
      </c>
      <c r="C157" s="6" t="s">
        <v>61</v>
      </c>
      <c r="D157" s="6" t="s">
        <v>652</v>
      </c>
      <c r="E157" s="6" t="s">
        <v>793</v>
      </c>
      <c r="F157" s="6" t="s">
        <v>794</v>
      </c>
      <c r="G157" s="8">
        <v>284446.84000000003</v>
      </c>
    </row>
    <row r="158" spans="1:8">
      <c r="A158" s="6">
        <v>2020</v>
      </c>
      <c r="B158" s="6" t="s">
        <v>795</v>
      </c>
      <c r="C158" s="6" t="s">
        <v>61</v>
      </c>
      <c r="D158" s="6" t="s">
        <v>652</v>
      </c>
      <c r="E158" s="6" t="s">
        <v>796</v>
      </c>
      <c r="F158" s="6" t="s">
        <v>520</v>
      </c>
      <c r="G158" s="8">
        <v>349930</v>
      </c>
    </row>
    <row r="159" spans="1:8">
      <c r="A159" s="6">
        <v>2020</v>
      </c>
      <c r="B159" s="6" t="s">
        <v>797</v>
      </c>
      <c r="C159" s="6" t="s">
        <v>61</v>
      </c>
      <c r="D159" s="6" t="s">
        <v>652</v>
      </c>
      <c r="E159" s="6" t="s">
        <v>798</v>
      </c>
      <c r="F159" s="6" t="s">
        <v>799</v>
      </c>
      <c r="G159" s="8">
        <v>350000</v>
      </c>
    </row>
    <row r="160" spans="1:8">
      <c r="A160" s="6">
        <v>2019</v>
      </c>
      <c r="B160" s="61">
        <v>43556</v>
      </c>
      <c r="C160" s="6" t="s">
        <v>61</v>
      </c>
      <c r="D160" s="6" t="s">
        <v>652</v>
      </c>
      <c r="E160" s="6" t="s">
        <v>800</v>
      </c>
      <c r="F160" s="6" t="s">
        <v>801</v>
      </c>
      <c r="G160" s="8">
        <v>99860</v>
      </c>
    </row>
    <row r="161" spans="1:7">
      <c r="A161" s="6">
        <v>2019</v>
      </c>
      <c r="B161" s="61">
        <v>43586</v>
      </c>
      <c r="C161" s="6" t="s">
        <v>61</v>
      </c>
      <c r="D161" s="6" t="s">
        <v>652</v>
      </c>
      <c r="E161" s="6" t="s">
        <v>802</v>
      </c>
      <c r="F161" s="6" t="s">
        <v>803</v>
      </c>
      <c r="G161" s="8">
        <v>149860</v>
      </c>
    </row>
    <row r="162" spans="1:7">
      <c r="A162" s="6">
        <v>2019</v>
      </c>
      <c r="B162" s="6" t="s">
        <v>804</v>
      </c>
      <c r="C162" s="6" t="s">
        <v>61</v>
      </c>
      <c r="D162" s="6" t="s">
        <v>113</v>
      </c>
      <c r="E162" s="6" t="s">
        <v>805</v>
      </c>
      <c r="F162" s="6" t="s">
        <v>699</v>
      </c>
      <c r="G162" s="8">
        <v>711200</v>
      </c>
    </row>
    <row r="163" spans="1:7">
      <c r="A163" s="6">
        <v>2019</v>
      </c>
      <c r="B163" s="6" t="s">
        <v>806</v>
      </c>
      <c r="C163" s="6" t="s">
        <v>61</v>
      </c>
      <c r="D163" s="6" t="s">
        <v>125</v>
      </c>
      <c r="E163" s="6" t="s">
        <v>807</v>
      </c>
      <c r="F163" s="6" t="s">
        <v>808</v>
      </c>
      <c r="G163" s="8">
        <v>500000</v>
      </c>
    </row>
    <row r="164" spans="1:7">
      <c r="A164" s="6">
        <v>2019</v>
      </c>
      <c r="B164" s="6" t="s">
        <v>809</v>
      </c>
      <c r="C164" s="6" t="s">
        <v>61</v>
      </c>
      <c r="D164" s="6" t="s">
        <v>113</v>
      </c>
      <c r="E164" s="6" t="s">
        <v>810</v>
      </c>
      <c r="F164" s="6" t="s">
        <v>811</v>
      </c>
      <c r="G164" s="8">
        <v>182200</v>
      </c>
    </row>
    <row r="165" spans="1:7">
      <c r="A165" s="6">
        <v>2019</v>
      </c>
      <c r="B165" s="6" t="s">
        <v>812</v>
      </c>
      <c r="C165" s="6" t="s">
        <v>61</v>
      </c>
      <c r="D165" s="6" t="s">
        <v>68</v>
      </c>
      <c r="E165" s="6" t="s">
        <v>813</v>
      </c>
      <c r="F165" s="6" t="s">
        <v>814</v>
      </c>
      <c r="G165" s="8">
        <v>199388</v>
      </c>
    </row>
    <row r="166" spans="1:7">
      <c r="A166" s="6">
        <v>2019</v>
      </c>
      <c r="B166" s="6" t="s">
        <v>815</v>
      </c>
      <c r="C166" s="6" t="s">
        <v>61</v>
      </c>
      <c r="D166" s="6" t="s">
        <v>652</v>
      </c>
      <c r="E166" s="6" t="s">
        <v>816</v>
      </c>
      <c r="F166" s="6" t="s">
        <v>817</v>
      </c>
      <c r="G166" s="8">
        <v>146362</v>
      </c>
    </row>
    <row r="167" spans="1:7">
      <c r="A167" s="6">
        <v>2019</v>
      </c>
      <c r="B167" s="6" t="s">
        <v>818</v>
      </c>
      <c r="C167" s="6" t="s">
        <v>61</v>
      </c>
      <c r="D167" s="6" t="s">
        <v>394</v>
      </c>
      <c r="E167" s="6" t="s">
        <v>819</v>
      </c>
      <c r="F167" s="6" t="s">
        <v>820</v>
      </c>
      <c r="G167" s="6"/>
    </row>
    <row r="168" spans="1:7">
      <c r="A168" s="6">
        <v>2019</v>
      </c>
      <c r="B168" s="6" t="s">
        <v>821</v>
      </c>
      <c r="C168" s="6" t="s">
        <v>61</v>
      </c>
      <c r="D168" s="6" t="s">
        <v>394</v>
      </c>
      <c r="E168" s="6" t="s">
        <v>822</v>
      </c>
      <c r="F168" s="6" t="s">
        <v>704</v>
      </c>
      <c r="G168" s="8">
        <v>60000</v>
      </c>
    </row>
    <row r="169" spans="1:7">
      <c r="A169" s="6">
        <v>2019</v>
      </c>
      <c r="B169" s="6" t="s">
        <v>823</v>
      </c>
      <c r="C169" s="6" t="s">
        <v>61</v>
      </c>
      <c r="D169" s="6" t="s">
        <v>824</v>
      </c>
      <c r="E169" s="6" t="s">
        <v>825</v>
      </c>
      <c r="F169" s="6" t="s">
        <v>826</v>
      </c>
      <c r="G169" s="8">
        <v>28800</v>
      </c>
    </row>
    <row r="170" spans="1:7">
      <c r="A170" s="6">
        <v>2019</v>
      </c>
      <c r="B170" s="6" t="s">
        <v>827</v>
      </c>
      <c r="C170" s="6" t="s">
        <v>61</v>
      </c>
      <c r="D170" s="6" t="s">
        <v>824</v>
      </c>
      <c r="E170" s="6" t="s">
        <v>828</v>
      </c>
      <c r="F170" s="6" t="s">
        <v>829</v>
      </c>
      <c r="G170" s="8">
        <v>16346.44</v>
      </c>
    </row>
    <row r="171" spans="1:7">
      <c r="A171" s="6">
        <v>2019</v>
      </c>
      <c r="B171" s="6" t="s">
        <v>830</v>
      </c>
      <c r="C171" s="6" t="s">
        <v>61</v>
      </c>
      <c r="D171" s="6" t="s">
        <v>394</v>
      </c>
      <c r="E171" s="6" t="s">
        <v>831</v>
      </c>
      <c r="F171" s="6" t="s">
        <v>832</v>
      </c>
      <c r="G171" s="8">
        <v>39700</v>
      </c>
    </row>
    <row r="172" spans="1:7">
      <c r="A172" s="6">
        <v>2019</v>
      </c>
      <c r="B172" s="6" t="s">
        <v>833</v>
      </c>
      <c r="C172" s="6" t="s">
        <v>61</v>
      </c>
      <c r="D172" s="6" t="s">
        <v>394</v>
      </c>
      <c r="E172" s="6" t="s">
        <v>834</v>
      </c>
      <c r="F172" s="6" t="s">
        <v>835</v>
      </c>
      <c r="G172" s="8">
        <v>82500</v>
      </c>
    </row>
    <row r="173" spans="1:7">
      <c r="A173" s="6">
        <v>2019</v>
      </c>
      <c r="B173" s="6" t="s">
        <v>836</v>
      </c>
      <c r="C173" s="6" t="s">
        <v>61</v>
      </c>
      <c r="D173" s="6" t="s">
        <v>394</v>
      </c>
      <c r="E173" s="6" t="s">
        <v>837</v>
      </c>
      <c r="F173" s="6" t="s">
        <v>838</v>
      </c>
      <c r="G173" s="8">
        <v>88500</v>
      </c>
    </row>
    <row r="174" spans="1:7">
      <c r="A174" s="6">
        <v>2019</v>
      </c>
      <c r="B174" s="6" t="s">
        <v>809</v>
      </c>
      <c r="C174" s="6" t="s">
        <v>61</v>
      </c>
      <c r="D174" s="6" t="s">
        <v>394</v>
      </c>
      <c r="E174" s="6" t="s">
        <v>839</v>
      </c>
      <c r="F174" s="6" t="s">
        <v>840</v>
      </c>
      <c r="G174" s="8">
        <v>87000</v>
      </c>
    </row>
    <row r="175" spans="1:7">
      <c r="A175" s="6">
        <v>2019</v>
      </c>
      <c r="B175" s="6" t="s">
        <v>812</v>
      </c>
      <c r="C175" s="6" t="s">
        <v>61</v>
      </c>
      <c r="D175" s="6" t="s">
        <v>394</v>
      </c>
      <c r="E175" s="6" t="s">
        <v>841</v>
      </c>
      <c r="F175" s="6" t="s">
        <v>842</v>
      </c>
      <c r="G175" s="8">
        <v>91000</v>
      </c>
    </row>
    <row r="176" spans="1:7">
      <c r="A176" s="6">
        <v>2019</v>
      </c>
      <c r="B176" s="6" t="s">
        <v>815</v>
      </c>
      <c r="C176" s="6" t="s">
        <v>61</v>
      </c>
      <c r="D176" s="6" t="s">
        <v>394</v>
      </c>
      <c r="E176" s="6" t="s">
        <v>843</v>
      </c>
      <c r="F176" s="6" t="s">
        <v>844</v>
      </c>
      <c r="G176" s="8">
        <v>37000</v>
      </c>
    </row>
    <row r="177" spans="1:7">
      <c r="A177" s="6">
        <v>2019</v>
      </c>
      <c r="B177" s="6" t="s">
        <v>845</v>
      </c>
      <c r="C177" s="6" t="s">
        <v>61</v>
      </c>
      <c r="D177" s="6" t="s">
        <v>394</v>
      </c>
      <c r="E177" s="6" t="s">
        <v>846</v>
      </c>
      <c r="F177" s="6" t="s">
        <v>844</v>
      </c>
      <c r="G177" s="8">
        <v>79000</v>
      </c>
    </row>
    <row r="178" spans="1:7">
      <c r="A178" s="6">
        <v>2019</v>
      </c>
      <c r="B178" s="6" t="s">
        <v>847</v>
      </c>
      <c r="C178" s="6" t="s">
        <v>61</v>
      </c>
      <c r="D178" s="6" t="s">
        <v>394</v>
      </c>
      <c r="E178" s="6" t="s">
        <v>848</v>
      </c>
      <c r="F178" s="6" t="s">
        <v>849</v>
      </c>
      <c r="G178" s="8">
        <v>38250</v>
      </c>
    </row>
    <row r="179" spans="1:7">
      <c r="A179" s="6">
        <v>2019</v>
      </c>
      <c r="B179" s="6" t="s">
        <v>850</v>
      </c>
      <c r="C179" s="6" t="s">
        <v>61</v>
      </c>
      <c r="D179" s="6" t="s">
        <v>824</v>
      </c>
      <c r="E179" s="6" t="s">
        <v>851</v>
      </c>
      <c r="F179" s="6" t="s">
        <v>852</v>
      </c>
      <c r="G179" s="8">
        <v>7560</v>
      </c>
    </row>
    <row r="180" spans="1:7">
      <c r="A180" s="6">
        <v>2019</v>
      </c>
      <c r="B180" s="6" t="s">
        <v>818</v>
      </c>
      <c r="C180" s="6" t="s">
        <v>61</v>
      </c>
      <c r="D180" s="6" t="s">
        <v>394</v>
      </c>
      <c r="E180" s="6" t="s">
        <v>853</v>
      </c>
      <c r="F180" s="6" t="s">
        <v>854</v>
      </c>
      <c r="G180" s="8">
        <v>37500</v>
      </c>
    </row>
    <row r="181" spans="1:7">
      <c r="A181" s="6">
        <v>2019</v>
      </c>
      <c r="B181" s="6" t="s">
        <v>855</v>
      </c>
      <c r="C181" s="6" t="s">
        <v>61</v>
      </c>
      <c r="D181" s="6" t="s">
        <v>824</v>
      </c>
      <c r="E181" s="6" t="s">
        <v>825</v>
      </c>
      <c r="F181" s="6" t="s">
        <v>826</v>
      </c>
      <c r="G181" s="8">
        <v>4536</v>
      </c>
    </row>
    <row r="182" spans="1:7">
      <c r="A182" s="6">
        <v>2019</v>
      </c>
      <c r="B182" s="6" t="s">
        <v>856</v>
      </c>
      <c r="C182" s="6" t="s">
        <v>61</v>
      </c>
      <c r="D182" s="6" t="s">
        <v>824</v>
      </c>
      <c r="E182" s="6" t="s">
        <v>857</v>
      </c>
      <c r="F182" s="6" t="s">
        <v>858</v>
      </c>
      <c r="G182" s="8">
        <v>55000</v>
      </c>
    </row>
    <row r="183" spans="1:7">
      <c r="A183" s="6">
        <v>2019</v>
      </c>
      <c r="B183" s="6" t="s">
        <v>859</v>
      </c>
      <c r="C183" s="6" t="s">
        <v>61</v>
      </c>
      <c r="D183" s="6" t="s">
        <v>394</v>
      </c>
      <c r="E183" s="6" t="s">
        <v>860</v>
      </c>
      <c r="F183" s="6" t="s">
        <v>854</v>
      </c>
      <c r="G183" s="8">
        <v>79000</v>
      </c>
    </row>
    <row r="184" spans="1:7">
      <c r="A184" s="6">
        <v>2019</v>
      </c>
      <c r="B184" s="6" t="s">
        <v>861</v>
      </c>
      <c r="C184" s="6" t="s">
        <v>61</v>
      </c>
      <c r="D184" s="6" t="s">
        <v>824</v>
      </c>
      <c r="E184" s="6" t="s">
        <v>862</v>
      </c>
      <c r="F184" s="6" t="s">
        <v>863</v>
      </c>
      <c r="G184" s="8">
        <v>1400</v>
      </c>
    </row>
    <row r="185" spans="1:7">
      <c r="A185" s="6">
        <v>2019</v>
      </c>
      <c r="B185" s="6" t="s">
        <v>864</v>
      </c>
      <c r="C185" s="6" t="s">
        <v>61</v>
      </c>
      <c r="D185" s="6" t="s">
        <v>394</v>
      </c>
      <c r="E185" s="6" t="s">
        <v>865</v>
      </c>
      <c r="F185" s="6" t="s">
        <v>866</v>
      </c>
      <c r="G185" s="8">
        <v>82800</v>
      </c>
    </row>
    <row r="186" spans="1:7">
      <c r="A186" s="6">
        <v>2019</v>
      </c>
      <c r="B186" s="6" t="s">
        <v>867</v>
      </c>
      <c r="C186" s="6" t="s">
        <v>61</v>
      </c>
      <c r="D186" s="6" t="s">
        <v>394</v>
      </c>
      <c r="E186" s="6" t="s">
        <v>868</v>
      </c>
      <c r="F186" s="6" t="s">
        <v>849</v>
      </c>
      <c r="G186" s="8">
        <v>79000</v>
      </c>
    </row>
    <row r="187" spans="1:7">
      <c r="A187" s="6">
        <v>2019</v>
      </c>
      <c r="B187" s="6" t="s">
        <v>869</v>
      </c>
      <c r="C187" s="6" t="s">
        <v>61</v>
      </c>
      <c r="D187" s="6" t="s">
        <v>394</v>
      </c>
      <c r="E187" s="6" t="s">
        <v>870</v>
      </c>
      <c r="F187" s="6" t="s">
        <v>722</v>
      </c>
      <c r="G187" s="8">
        <v>90000</v>
      </c>
    </row>
    <row r="188" spans="1:7">
      <c r="A188" s="6">
        <v>2019</v>
      </c>
      <c r="B188" s="6" t="s">
        <v>871</v>
      </c>
      <c r="C188" s="6" t="s">
        <v>61</v>
      </c>
      <c r="D188" s="6" t="s">
        <v>394</v>
      </c>
      <c r="E188" s="6" t="s">
        <v>872</v>
      </c>
      <c r="F188" s="6" t="s">
        <v>820</v>
      </c>
      <c r="G188" s="8">
        <v>79000</v>
      </c>
    </row>
    <row r="189" spans="1:7">
      <c r="A189" s="6">
        <v>2019</v>
      </c>
      <c r="B189" s="6" t="s">
        <v>873</v>
      </c>
      <c r="C189" s="6" t="s">
        <v>61</v>
      </c>
      <c r="D189" s="6" t="s">
        <v>394</v>
      </c>
      <c r="E189" s="6" t="s">
        <v>874</v>
      </c>
      <c r="F189" s="6" t="s">
        <v>820</v>
      </c>
      <c r="G189" s="8">
        <v>34500</v>
      </c>
    </row>
    <row r="190" spans="1:7">
      <c r="A190" s="6">
        <v>2019</v>
      </c>
      <c r="B190" s="6" t="s">
        <v>875</v>
      </c>
      <c r="C190" s="6" t="s">
        <v>61</v>
      </c>
      <c r="D190" s="6" t="s">
        <v>113</v>
      </c>
      <c r="E190" s="6" t="s">
        <v>876</v>
      </c>
      <c r="F190" s="6" t="s">
        <v>575</v>
      </c>
      <c r="G190" s="6"/>
    </row>
    <row r="191" spans="1:7">
      <c r="A191" s="6">
        <v>2019</v>
      </c>
      <c r="B191" s="6" t="s">
        <v>877</v>
      </c>
      <c r="C191" s="6" t="s">
        <v>61</v>
      </c>
      <c r="D191" s="6" t="s">
        <v>68</v>
      </c>
      <c r="E191" s="6" t="s">
        <v>878</v>
      </c>
      <c r="F191" s="6" t="s">
        <v>879</v>
      </c>
      <c r="G191" s="8">
        <v>186604.41</v>
      </c>
    </row>
    <row r="192" spans="1:7">
      <c r="A192" s="6">
        <v>2019</v>
      </c>
      <c r="B192" s="6" t="s">
        <v>880</v>
      </c>
      <c r="C192" s="6" t="s">
        <v>61</v>
      </c>
      <c r="D192" s="6" t="s">
        <v>394</v>
      </c>
      <c r="E192" s="6" t="s">
        <v>881</v>
      </c>
      <c r="F192" s="6" t="s">
        <v>882</v>
      </c>
      <c r="G192" s="8">
        <v>74000</v>
      </c>
    </row>
    <row r="193" spans="1:11">
      <c r="A193" s="6">
        <v>2019</v>
      </c>
      <c r="B193" s="6" t="s">
        <v>883</v>
      </c>
      <c r="C193" s="6" t="s">
        <v>61</v>
      </c>
      <c r="D193" s="6" t="s">
        <v>68</v>
      </c>
      <c r="E193" s="6" t="s">
        <v>884</v>
      </c>
      <c r="F193" s="6" t="s">
        <v>885</v>
      </c>
      <c r="G193" s="8">
        <v>199300</v>
      </c>
    </row>
    <row r="194" spans="1:11">
      <c r="A194" s="6">
        <v>2019</v>
      </c>
      <c r="B194" s="6" t="s">
        <v>886</v>
      </c>
      <c r="C194" s="6" t="s">
        <v>61</v>
      </c>
      <c r="D194" s="6" t="s">
        <v>652</v>
      </c>
      <c r="E194" s="6" t="s">
        <v>887</v>
      </c>
      <c r="F194" s="6" t="s">
        <v>888</v>
      </c>
      <c r="G194" s="8">
        <v>182454</v>
      </c>
    </row>
    <row r="195" spans="1:11">
      <c r="A195" s="6">
        <v>2019</v>
      </c>
      <c r="B195" s="6" t="s">
        <v>889</v>
      </c>
      <c r="C195" s="6" t="s">
        <v>61</v>
      </c>
      <c r="D195" s="6" t="s">
        <v>824</v>
      </c>
      <c r="E195" s="6" t="s">
        <v>890</v>
      </c>
      <c r="F195" s="6" t="s">
        <v>891</v>
      </c>
      <c r="G195" s="8">
        <v>2350</v>
      </c>
    </row>
    <row r="196" spans="1:11">
      <c r="A196" s="6">
        <v>2019</v>
      </c>
      <c r="B196" s="6" t="s">
        <v>892</v>
      </c>
      <c r="C196" s="6" t="s">
        <v>61</v>
      </c>
      <c r="D196" s="6" t="s">
        <v>824</v>
      </c>
      <c r="E196" s="6" t="s">
        <v>893</v>
      </c>
      <c r="F196" s="6" t="s">
        <v>894</v>
      </c>
      <c r="G196" s="8">
        <v>18800</v>
      </c>
    </row>
    <row r="197" spans="1:11">
      <c r="A197" s="6">
        <v>2019</v>
      </c>
      <c r="B197" s="6" t="s">
        <v>895</v>
      </c>
      <c r="C197" s="6" t="s">
        <v>61</v>
      </c>
      <c r="D197" s="6" t="s">
        <v>394</v>
      </c>
      <c r="E197" s="6" t="s">
        <v>896</v>
      </c>
      <c r="F197" s="6" t="s">
        <v>897</v>
      </c>
      <c r="G197" s="8">
        <v>120000</v>
      </c>
    </row>
    <row r="198" spans="1:11">
      <c r="A198" s="6">
        <v>2019</v>
      </c>
      <c r="B198" s="6" t="s">
        <v>898</v>
      </c>
      <c r="C198" s="6" t="s">
        <v>61</v>
      </c>
      <c r="D198" s="6" t="s">
        <v>824</v>
      </c>
      <c r="E198" s="6" t="s">
        <v>899</v>
      </c>
      <c r="F198" s="6" t="s">
        <v>900</v>
      </c>
      <c r="G198" s="8">
        <v>8440</v>
      </c>
    </row>
    <row r="199" spans="1:11">
      <c r="A199" s="6">
        <v>2019</v>
      </c>
      <c r="B199" s="6" t="s">
        <v>901</v>
      </c>
      <c r="C199" s="6" t="s">
        <v>61</v>
      </c>
      <c r="D199" s="6" t="s">
        <v>824</v>
      </c>
      <c r="E199" s="6" t="s">
        <v>902</v>
      </c>
      <c r="F199" s="6" t="s">
        <v>903</v>
      </c>
      <c r="G199" s="8">
        <v>14400</v>
      </c>
    </row>
    <row r="200" spans="1:11">
      <c r="A200" s="6">
        <v>2019</v>
      </c>
      <c r="B200" s="6" t="s">
        <v>904</v>
      </c>
      <c r="C200" s="6" t="s">
        <v>61</v>
      </c>
      <c r="D200" s="6" t="s">
        <v>824</v>
      </c>
      <c r="E200" s="6" t="s">
        <v>905</v>
      </c>
      <c r="F200" s="6" t="s">
        <v>906</v>
      </c>
      <c r="G200" s="8">
        <v>10360</v>
      </c>
    </row>
    <row r="201" spans="1:11">
      <c r="A201" s="6">
        <v>2019</v>
      </c>
      <c r="B201" s="6" t="s">
        <v>907</v>
      </c>
      <c r="C201" s="6" t="s">
        <v>61</v>
      </c>
      <c r="D201" s="6" t="s">
        <v>68</v>
      </c>
      <c r="E201" s="6" t="s">
        <v>908</v>
      </c>
      <c r="F201" s="6" t="s">
        <v>909</v>
      </c>
      <c r="G201" s="8">
        <v>200000</v>
      </c>
    </row>
    <row r="202" spans="1:11">
      <c r="A202" s="6">
        <v>2019</v>
      </c>
      <c r="B202" s="6" t="s">
        <v>910</v>
      </c>
      <c r="C202" s="6" t="s">
        <v>61</v>
      </c>
      <c r="D202" s="6" t="s">
        <v>68</v>
      </c>
      <c r="E202" s="6" t="s">
        <v>911</v>
      </c>
      <c r="F202" s="6" t="s">
        <v>912</v>
      </c>
      <c r="G202" s="8">
        <v>200018.5</v>
      </c>
    </row>
    <row r="203" spans="1:11">
      <c r="A203" s="6">
        <v>2019</v>
      </c>
      <c r="B203" s="6" t="s">
        <v>913</v>
      </c>
      <c r="C203" s="6" t="s">
        <v>61</v>
      </c>
      <c r="D203" s="6" t="s">
        <v>652</v>
      </c>
      <c r="E203" s="6" t="s">
        <v>914</v>
      </c>
      <c r="F203" s="6" t="s">
        <v>915</v>
      </c>
      <c r="G203" s="8">
        <v>73365</v>
      </c>
    </row>
    <row r="204" spans="1:11">
      <c r="A204" s="6">
        <v>2019</v>
      </c>
      <c r="B204" s="6" t="s">
        <v>916</v>
      </c>
      <c r="C204" s="6" t="s">
        <v>61</v>
      </c>
      <c r="D204" s="6" t="s">
        <v>68</v>
      </c>
      <c r="E204" s="6" t="s">
        <v>917</v>
      </c>
      <c r="F204" s="6" t="s">
        <v>918</v>
      </c>
      <c r="G204" s="8">
        <v>199926</v>
      </c>
    </row>
    <row r="205" spans="1:11">
      <c r="A205" s="6">
        <v>2019</v>
      </c>
      <c r="B205" s="6" t="s">
        <v>919</v>
      </c>
      <c r="C205" s="6" t="s">
        <v>61</v>
      </c>
      <c r="D205" s="6" t="s">
        <v>68</v>
      </c>
      <c r="E205" s="6" t="s">
        <v>920</v>
      </c>
      <c r="F205" s="6" t="s">
        <v>921</v>
      </c>
      <c r="G205" s="8">
        <v>167255.79999999999</v>
      </c>
    </row>
    <row r="206" spans="1:11">
      <c r="A206" s="6">
        <v>2019</v>
      </c>
      <c r="B206" s="6" t="s">
        <v>922</v>
      </c>
      <c r="C206" s="6" t="s">
        <v>61</v>
      </c>
      <c r="D206" s="6" t="s">
        <v>456</v>
      </c>
      <c r="E206" s="6" t="s">
        <v>923</v>
      </c>
      <c r="F206" s="6" t="s">
        <v>924</v>
      </c>
      <c r="G206" s="8">
        <v>48100</v>
      </c>
    </row>
    <row r="207" spans="1:11">
      <c r="A207" s="5">
        <v>2019</v>
      </c>
      <c r="B207" s="6" t="s">
        <v>22</v>
      </c>
      <c r="C207" s="6" t="s">
        <v>23</v>
      </c>
      <c r="D207" s="6" t="s">
        <v>24</v>
      </c>
      <c r="E207" s="6" t="s">
        <v>38</v>
      </c>
      <c r="F207" s="6" t="s">
        <v>39</v>
      </c>
      <c r="G207" s="64">
        <v>1636971</v>
      </c>
      <c r="H207" s="34"/>
      <c r="I207" s="34"/>
      <c r="K207" s="65"/>
    </row>
    <row r="208" spans="1:11">
      <c r="A208" s="5">
        <v>2019</v>
      </c>
      <c r="B208" s="5" t="s">
        <v>22</v>
      </c>
      <c r="C208" s="6" t="s">
        <v>23</v>
      </c>
      <c r="D208" s="6" t="s">
        <v>24</v>
      </c>
      <c r="E208" s="6" t="s">
        <v>42</v>
      </c>
      <c r="F208" s="6" t="s">
        <v>43</v>
      </c>
      <c r="G208" s="64">
        <v>3258768</v>
      </c>
      <c r="H208" s="34"/>
      <c r="I208" s="34"/>
      <c r="K208" s="65"/>
    </row>
    <row r="209" spans="1:11">
      <c r="A209" s="5">
        <v>2019</v>
      </c>
      <c r="B209" s="6" t="s">
        <v>22</v>
      </c>
      <c r="C209" s="6" t="s">
        <v>23</v>
      </c>
      <c r="D209" s="6" t="s">
        <v>24</v>
      </c>
      <c r="E209" s="6" t="s">
        <v>46</v>
      </c>
      <c r="F209" s="6" t="s">
        <v>47</v>
      </c>
      <c r="G209" s="64">
        <v>4019382</v>
      </c>
      <c r="H209" s="34"/>
      <c r="I209" s="34"/>
      <c r="K209" s="65"/>
    </row>
    <row r="210" spans="1:11">
      <c r="A210" s="5">
        <v>2019</v>
      </c>
      <c r="B210" s="5" t="s">
        <v>22</v>
      </c>
      <c r="C210" s="6" t="s">
        <v>23</v>
      </c>
      <c r="D210" s="6" t="s">
        <v>24</v>
      </c>
      <c r="E210" s="6" t="s">
        <v>50</v>
      </c>
      <c r="F210" s="6" t="s">
        <v>362</v>
      </c>
      <c r="G210" s="64">
        <v>3135851.2</v>
      </c>
      <c r="H210" s="34"/>
      <c r="I210" s="34"/>
      <c r="K210" s="65"/>
    </row>
    <row r="211" spans="1:11">
      <c r="A211" s="5">
        <v>2019</v>
      </c>
      <c r="B211" s="5" t="s">
        <v>22</v>
      </c>
      <c r="C211" s="6" t="s">
        <v>23</v>
      </c>
      <c r="D211" s="6" t="s">
        <v>24</v>
      </c>
      <c r="E211" s="6" t="s">
        <v>53</v>
      </c>
      <c r="F211" s="6" t="s">
        <v>54</v>
      </c>
      <c r="G211" s="64">
        <v>16926594.199999999</v>
      </c>
      <c r="H211" s="34"/>
      <c r="I211" s="34"/>
      <c r="K211" s="65"/>
    </row>
    <row r="212" spans="1:11">
      <c r="A212" s="5">
        <v>2019</v>
      </c>
      <c r="B212" s="6" t="s">
        <v>22</v>
      </c>
      <c r="C212" s="6" t="s">
        <v>23</v>
      </c>
      <c r="D212" s="6" t="s">
        <v>24</v>
      </c>
      <c r="E212" s="6" t="s">
        <v>57</v>
      </c>
      <c r="F212" s="6" t="s">
        <v>58</v>
      </c>
      <c r="G212" s="64">
        <v>4394800</v>
      </c>
      <c r="H212" s="34"/>
      <c r="I212" s="34"/>
      <c r="K212" s="65"/>
    </row>
    <row r="213" spans="1:11">
      <c r="A213" s="6">
        <v>2018</v>
      </c>
      <c r="B213" s="61">
        <v>43191</v>
      </c>
      <c r="C213" s="6" t="s">
        <v>925</v>
      </c>
      <c r="D213" s="6" t="s">
        <v>68</v>
      </c>
      <c r="E213" s="6" t="s">
        <v>926</v>
      </c>
      <c r="F213" s="6" t="s">
        <v>927</v>
      </c>
      <c r="G213" s="8">
        <v>900000</v>
      </c>
    </row>
    <row r="214" spans="1:11">
      <c r="A214" s="6">
        <v>2018</v>
      </c>
      <c r="B214" s="62">
        <v>43374</v>
      </c>
      <c r="C214" s="6" t="s">
        <v>925</v>
      </c>
      <c r="D214" s="6" t="s">
        <v>928</v>
      </c>
      <c r="E214" s="6" t="s">
        <v>929</v>
      </c>
      <c r="F214" s="6" t="s">
        <v>699</v>
      </c>
      <c r="G214" s="8">
        <v>709420</v>
      </c>
    </row>
    <row r="215" spans="1:11">
      <c r="A215" s="6">
        <v>2018</v>
      </c>
      <c r="B215" s="6" t="s">
        <v>930</v>
      </c>
      <c r="C215" s="6" t="s">
        <v>925</v>
      </c>
      <c r="D215" s="6" t="s">
        <v>68</v>
      </c>
      <c r="E215" s="6" t="s">
        <v>931</v>
      </c>
      <c r="F215" s="6" t="s">
        <v>932</v>
      </c>
      <c r="G215" s="8">
        <v>988050</v>
      </c>
    </row>
    <row r="216" spans="1:11">
      <c r="A216" s="6">
        <v>2018</v>
      </c>
      <c r="B216" s="6" t="s">
        <v>933</v>
      </c>
      <c r="C216" s="6" t="s">
        <v>925</v>
      </c>
      <c r="D216" s="6" t="s">
        <v>394</v>
      </c>
      <c r="E216" s="6" t="s">
        <v>934</v>
      </c>
      <c r="F216" s="6" t="s">
        <v>935</v>
      </c>
      <c r="G216" s="8">
        <v>96186.96</v>
      </c>
    </row>
    <row r="217" spans="1:11">
      <c r="A217" s="6">
        <v>2018</v>
      </c>
      <c r="B217" s="6" t="s">
        <v>936</v>
      </c>
      <c r="C217" s="6" t="s">
        <v>925</v>
      </c>
      <c r="D217" s="6" t="s">
        <v>394</v>
      </c>
      <c r="E217" s="6" t="s">
        <v>937</v>
      </c>
      <c r="F217" s="6" t="s">
        <v>938</v>
      </c>
      <c r="G217" s="8">
        <v>80000</v>
      </c>
    </row>
    <row r="218" spans="1:11">
      <c r="A218" s="6">
        <v>2018</v>
      </c>
      <c r="B218" s="6" t="s">
        <v>939</v>
      </c>
      <c r="C218" s="6" t="s">
        <v>925</v>
      </c>
      <c r="D218" s="6" t="s">
        <v>394</v>
      </c>
      <c r="E218" s="6" t="s">
        <v>940</v>
      </c>
      <c r="F218" s="6" t="s">
        <v>941</v>
      </c>
      <c r="G218" s="8">
        <v>99000</v>
      </c>
    </row>
    <row r="219" spans="1:11">
      <c r="A219" s="6">
        <v>2018</v>
      </c>
      <c r="B219" s="6" t="s">
        <v>942</v>
      </c>
      <c r="C219" s="6" t="s">
        <v>925</v>
      </c>
      <c r="D219" s="6" t="s">
        <v>394</v>
      </c>
      <c r="E219" s="6" t="s">
        <v>937</v>
      </c>
      <c r="F219" s="6" t="s">
        <v>943</v>
      </c>
      <c r="G219" s="8">
        <v>80000</v>
      </c>
    </row>
    <row r="220" spans="1:11">
      <c r="A220" s="6">
        <v>2018</v>
      </c>
      <c r="B220" s="6" t="s">
        <v>944</v>
      </c>
      <c r="C220" s="6" t="s">
        <v>925</v>
      </c>
      <c r="D220" s="6" t="s">
        <v>394</v>
      </c>
      <c r="E220" s="6" t="s">
        <v>945</v>
      </c>
      <c r="F220" s="6" t="s">
        <v>946</v>
      </c>
      <c r="G220" s="8">
        <v>63500</v>
      </c>
    </row>
    <row r="221" spans="1:11">
      <c r="A221" s="6">
        <v>2018</v>
      </c>
      <c r="B221" s="6" t="s">
        <v>947</v>
      </c>
      <c r="C221" s="6" t="s">
        <v>925</v>
      </c>
      <c r="D221" s="6" t="s">
        <v>948</v>
      </c>
      <c r="E221" s="6" t="s">
        <v>949</v>
      </c>
      <c r="F221" s="6" t="s">
        <v>950</v>
      </c>
      <c r="G221" s="8">
        <v>42500</v>
      </c>
    </row>
    <row r="222" spans="1:11">
      <c r="A222" s="6">
        <v>2018</v>
      </c>
      <c r="B222" s="6" t="s">
        <v>951</v>
      </c>
      <c r="C222" s="6" t="s">
        <v>925</v>
      </c>
      <c r="D222" s="6" t="s">
        <v>394</v>
      </c>
      <c r="E222" s="6" t="s">
        <v>952</v>
      </c>
      <c r="F222" s="6" t="s">
        <v>953</v>
      </c>
      <c r="G222" s="8">
        <v>74000</v>
      </c>
    </row>
    <row r="223" spans="1:11">
      <c r="A223" s="6">
        <v>2018</v>
      </c>
      <c r="B223" s="6" t="s">
        <v>954</v>
      </c>
      <c r="C223" s="6" t="s">
        <v>925</v>
      </c>
      <c r="D223" s="6" t="s">
        <v>394</v>
      </c>
      <c r="E223" s="6" t="s">
        <v>955</v>
      </c>
      <c r="F223" s="6" t="s">
        <v>956</v>
      </c>
      <c r="G223" s="8">
        <v>139500</v>
      </c>
    </row>
    <row r="224" spans="1:11">
      <c r="A224" s="6">
        <v>2018</v>
      </c>
      <c r="B224" s="6" t="s">
        <v>957</v>
      </c>
      <c r="C224" s="6" t="s">
        <v>925</v>
      </c>
      <c r="D224" s="6" t="s">
        <v>394</v>
      </c>
      <c r="E224" s="6" t="s">
        <v>958</v>
      </c>
      <c r="F224" s="6" t="s">
        <v>959</v>
      </c>
      <c r="G224" s="8">
        <v>63500</v>
      </c>
    </row>
    <row r="225" spans="1:12">
      <c r="A225" s="6">
        <v>2018</v>
      </c>
      <c r="B225" s="6" t="s">
        <v>960</v>
      </c>
      <c r="C225" s="6" t="s">
        <v>925</v>
      </c>
      <c r="D225" s="6" t="s">
        <v>586</v>
      </c>
      <c r="E225" s="6" t="s">
        <v>961</v>
      </c>
      <c r="F225" s="6" t="s">
        <v>962</v>
      </c>
      <c r="G225" s="8">
        <v>8500</v>
      </c>
    </row>
    <row r="226" spans="1:12">
      <c r="A226" s="6">
        <v>2018</v>
      </c>
      <c r="B226" s="6" t="s">
        <v>963</v>
      </c>
      <c r="C226" s="6" t="s">
        <v>925</v>
      </c>
      <c r="D226" s="6" t="s">
        <v>652</v>
      </c>
      <c r="E226" s="6" t="s">
        <v>964</v>
      </c>
      <c r="F226" s="6" t="s">
        <v>511</v>
      </c>
      <c r="G226" s="8">
        <v>100000</v>
      </c>
    </row>
    <row r="227" spans="1:12">
      <c r="A227" s="6">
        <v>2018</v>
      </c>
      <c r="B227" s="6" t="s">
        <v>965</v>
      </c>
      <c r="C227" s="6" t="s">
        <v>925</v>
      </c>
      <c r="D227" s="6" t="s">
        <v>652</v>
      </c>
      <c r="E227" s="6" t="s">
        <v>966</v>
      </c>
      <c r="F227" s="6" t="s">
        <v>967</v>
      </c>
      <c r="G227" s="8">
        <v>18268</v>
      </c>
    </row>
    <row r="228" spans="1:12">
      <c r="A228" s="6">
        <v>2018</v>
      </c>
      <c r="B228" s="6" t="s">
        <v>968</v>
      </c>
      <c r="C228" s="6" t="s">
        <v>925</v>
      </c>
      <c r="D228" s="6" t="s">
        <v>652</v>
      </c>
      <c r="E228" s="6" t="s">
        <v>969</v>
      </c>
      <c r="F228" s="6" t="s">
        <v>970</v>
      </c>
      <c r="G228" s="8">
        <v>99200</v>
      </c>
    </row>
    <row r="229" spans="1:12">
      <c r="A229" s="6">
        <v>2018</v>
      </c>
      <c r="B229" s="6" t="s">
        <v>971</v>
      </c>
      <c r="C229" s="6" t="s">
        <v>925</v>
      </c>
      <c r="D229" s="6" t="s">
        <v>652</v>
      </c>
      <c r="E229" s="6" t="s">
        <v>972</v>
      </c>
      <c r="F229" s="6" t="s">
        <v>973</v>
      </c>
      <c r="G229" s="8">
        <v>87009</v>
      </c>
    </row>
    <row r="230" spans="1:12">
      <c r="A230" s="6">
        <v>2018</v>
      </c>
      <c r="B230" s="6" t="s">
        <v>974</v>
      </c>
      <c r="C230" s="6" t="s">
        <v>925</v>
      </c>
      <c r="D230" s="6" t="s">
        <v>652</v>
      </c>
      <c r="E230" s="6" t="s">
        <v>975</v>
      </c>
      <c r="F230" s="6" t="s">
        <v>976</v>
      </c>
      <c r="G230" s="8">
        <v>87880</v>
      </c>
    </row>
    <row r="231" spans="1:12">
      <c r="A231" s="6">
        <v>2018</v>
      </c>
      <c r="B231" s="6" t="s">
        <v>977</v>
      </c>
      <c r="C231" s="6" t="s">
        <v>925</v>
      </c>
      <c r="D231" s="6" t="s">
        <v>586</v>
      </c>
      <c r="E231" s="6" t="s">
        <v>978</v>
      </c>
      <c r="F231" s="6" t="s">
        <v>906</v>
      </c>
      <c r="G231" s="8">
        <v>20150</v>
      </c>
    </row>
    <row r="232" spans="1:12">
      <c r="A232" s="6">
        <v>2018</v>
      </c>
      <c r="B232" s="6" t="s">
        <v>979</v>
      </c>
      <c r="C232" s="6" t="s">
        <v>925</v>
      </c>
      <c r="D232" s="6" t="s">
        <v>652</v>
      </c>
      <c r="E232" s="6" t="s">
        <v>980</v>
      </c>
      <c r="F232" s="6" t="s">
        <v>981</v>
      </c>
      <c r="G232" s="8">
        <v>98750</v>
      </c>
    </row>
    <row r="233" spans="1:12">
      <c r="A233" s="6">
        <v>2018</v>
      </c>
      <c r="B233" s="6" t="s">
        <v>982</v>
      </c>
      <c r="C233" s="6" t="s">
        <v>925</v>
      </c>
      <c r="D233" s="6" t="s">
        <v>652</v>
      </c>
      <c r="E233" s="6" t="s">
        <v>983</v>
      </c>
      <c r="F233" s="6" t="s">
        <v>984</v>
      </c>
      <c r="G233" s="8">
        <v>100000</v>
      </c>
    </row>
    <row r="234" spans="1:12">
      <c r="A234" s="6">
        <v>2018</v>
      </c>
      <c r="B234" s="6" t="s">
        <v>985</v>
      </c>
      <c r="C234" s="6" t="s">
        <v>925</v>
      </c>
      <c r="D234" s="6" t="s">
        <v>586</v>
      </c>
      <c r="E234" s="6" t="s">
        <v>857</v>
      </c>
      <c r="F234" s="6" t="s">
        <v>986</v>
      </c>
      <c r="G234" s="8">
        <v>11620.76</v>
      </c>
    </row>
    <row r="235" spans="1:12">
      <c r="A235" s="6">
        <v>2018</v>
      </c>
      <c r="B235" s="6" t="s">
        <v>987</v>
      </c>
      <c r="C235" s="6" t="s">
        <v>925</v>
      </c>
      <c r="D235" s="6" t="s">
        <v>652</v>
      </c>
      <c r="E235" s="6" t="s">
        <v>988</v>
      </c>
      <c r="F235" s="6" t="s">
        <v>989</v>
      </c>
      <c r="G235" s="8">
        <v>92152.5</v>
      </c>
    </row>
    <row r="236" spans="1:12">
      <c r="A236" s="6">
        <v>2018</v>
      </c>
      <c r="B236" s="6" t="s">
        <v>990</v>
      </c>
      <c r="C236" s="6" t="s">
        <v>925</v>
      </c>
      <c r="D236" s="6" t="s">
        <v>652</v>
      </c>
      <c r="E236" s="6" t="s">
        <v>991</v>
      </c>
      <c r="F236" s="6" t="s">
        <v>992</v>
      </c>
      <c r="G236" s="8">
        <v>94000</v>
      </c>
    </row>
    <row r="237" spans="1:12">
      <c r="A237" s="5">
        <v>2018</v>
      </c>
      <c r="B237" s="6" t="s">
        <v>22</v>
      </c>
      <c r="C237" s="6" t="s">
        <v>23</v>
      </c>
      <c r="D237" s="6" t="s">
        <v>24</v>
      </c>
      <c r="E237" s="6" t="s">
        <v>25</v>
      </c>
      <c r="F237" s="6" t="s">
        <v>26</v>
      </c>
      <c r="G237" s="64">
        <v>4999045</v>
      </c>
      <c r="H237" s="34"/>
      <c r="I237" s="34"/>
      <c r="K237" s="65"/>
      <c r="L237" s="65"/>
    </row>
    <row r="238" spans="1:12">
      <c r="A238" s="5">
        <v>2018</v>
      </c>
      <c r="B238" s="6" t="s">
        <v>22</v>
      </c>
      <c r="C238" s="6" t="s">
        <v>23</v>
      </c>
      <c r="D238" s="6" t="s">
        <v>24</v>
      </c>
      <c r="E238" s="6" t="s">
        <v>30</v>
      </c>
      <c r="F238" s="6" t="s">
        <v>31</v>
      </c>
      <c r="G238" s="64">
        <v>3058155.2</v>
      </c>
      <c r="H238" s="34"/>
      <c r="I238" s="34"/>
      <c r="K238" s="65"/>
      <c r="L238" s="65"/>
    </row>
    <row r="239" spans="1:12">
      <c r="A239" s="5">
        <v>2018</v>
      </c>
      <c r="B239" s="5" t="s">
        <v>22</v>
      </c>
      <c r="C239" s="6" t="s">
        <v>23</v>
      </c>
      <c r="D239" s="6" t="s">
        <v>24</v>
      </c>
      <c r="E239" s="6" t="s">
        <v>34</v>
      </c>
      <c r="F239" s="6" t="s">
        <v>35</v>
      </c>
      <c r="G239" s="64">
        <v>3551018</v>
      </c>
      <c r="H239" s="34"/>
      <c r="I239" s="34"/>
      <c r="K239" s="65"/>
      <c r="L239" s="65"/>
    </row>
    <row r="240" spans="1:12">
      <c r="A240" s="5">
        <v>2017</v>
      </c>
      <c r="B240" s="6" t="s">
        <v>22</v>
      </c>
      <c r="C240" s="6" t="s">
        <v>23</v>
      </c>
      <c r="D240" s="6" t="s">
        <v>24</v>
      </c>
      <c r="E240" s="6" t="s">
        <v>363</v>
      </c>
      <c r="F240" s="6" t="s">
        <v>364</v>
      </c>
      <c r="G240" s="64">
        <v>4294326.4000000004</v>
      </c>
      <c r="H240" s="34"/>
      <c r="I240" s="34"/>
      <c r="K240" s="65"/>
      <c r="L240" s="65"/>
    </row>
    <row r="241" spans="1:12">
      <c r="A241" s="5">
        <v>2017</v>
      </c>
      <c r="B241" s="5" t="s">
        <v>22</v>
      </c>
      <c r="C241" s="6" t="s">
        <v>23</v>
      </c>
      <c r="D241" s="6" t="s">
        <v>24</v>
      </c>
      <c r="E241" s="6" t="s">
        <v>366</v>
      </c>
      <c r="F241" s="6" t="s">
        <v>367</v>
      </c>
      <c r="G241" s="64">
        <v>1892235</v>
      </c>
      <c r="H241" s="34"/>
      <c r="I241" s="34"/>
      <c r="K241" s="65"/>
      <c r="L241" s="65"/>
    </row>
    <row r="242" spans="1:12">
      <c r="A242" s="6">
        <v>2016</v>
      </c>
      <c r="B242" s="6" t="s">
        <v>22</v>
      </c>
      <c r="C242" s="6" t="s">
        <v>23</v>
      </c>
      <c r="D242" s="6" t="s">
        <v>24</v>
      </c>
      <c r="E242" s="6" t="s">
        <v>369</v>
      </c>
      <c r="F242" s="6" t="s">
        <v>370</v>
      </c>
      <c r="G242" s="64">
        <v>4736242.4000000004</v>
      </c>
      <c r="H242" s="34"/>
      <c r="I242" s="34"/>
      <c r="J242" s="66"/>
      <c r="K242" s="65"/>
      <c r="L242" s="65"/>
    </row>
    <row r="243" spans="1:12">
      <c r="A243" s="6">
        <v>2018</v>
      </c>
      <c r="B243" s="6"/>
      <c r="C243" s="6"/>
      <c r="D243" s="6" t="s">
        <v>113</v>
      </c>
      <c r="E243" s="6" t="s">
        <v>372</v>
      </c>
      <c r="F243" s="6" t="s">
        <v>373</v>
      </c>
      <c r="G243" s="6"/>
    </row>
    <row r="244" spans="1:12">
      <c r="A244" s="6">
        <v>2019</v>
      </c>
      <c r="B244" s="6"/>
      <c r="C244" s="6"/>
      <c r="D244" s="6" t="s">
        <v>113</v>
      </c>
      <c r="E244" s="6" t="s">
        <v>374</v>
      </c>
      <c r="F244" s="6" t="s">
        <v>375</v>
      </c>
      <c r="G244" s="6"/>
    </row>
    <row r="245" spans="1:12">
      <c r="A245" s="6">
        <v>2020</v>
      </c>
      <c r="B245" s="6"/>
      <c r="C245" s="6"/>
      <c r="D245" s="6" t="s">
        <v>113</v>
      </c>
      <c r="E245" s="6" t="s">
        <v>376</v>
      </c>
      <c r="F245" s="6" t="s">
        <v>377</v>
      </c>
      <c r="G245" s="6"/>
    </row>
    <row r="246" spans="1:12">
      <c r="A246" s="6">
        <v>2020</v>
      </c>
      <c r="B246" s="6"/>
      <c r="C246" s="6"/>
      <c r="D246" s="6" t="s">
        <v>113</v>
      </c>
      <c r="E246" s="6" t="s">
        <v>378</v>
      </c>
      <c r="F246" s="6" t="s">
        <v>379</v>
      </c>
      <c r="G246" s="6"/>
    </row>
    <row r="247" spans="1:12">
      <c r="A247" s="6">
        <v>2020</v>
      </c>
      <c r="B247" s="6"/>
      <c r="C247" s="6"/>
      <c r="D247" s="6" t="s">
        <v>113</v>
      </c>
      <c r="E247" s="6" t="s">
        <v>380</v>
      </c>
      <c r="F247" s="6" t="s">
        <v>381</v>
      </c>
      <c r="G247" s="6"/>
    </row>
    <row r="248" spans="1:12">
      <c r="A248" s="6">
        <v>2020</v>
      </c>
      <c r="B248" s="6"/>
      <c r="C248" s="6"/>
      <c r="D248" s="6" t="s">
        <v>113</v>
      </c>
      <c r="E248" s="6" t="s">
        <v>382</v>
      </c>
      <c r="F248" s="6" t="s">
        <v>383</v>
      </c>
      <c r="G248" s="6"/>
    </row>
    <row r="249" spans="1:12">
      <c r="A249" s="6">
        <v>2021</v>
      </c>
      <c r="B249" s="6"/>
      <c r="C249" s="6"/>
      <c r="D249" s="6" t="s">
        <v>113</v>
      </c>
      <c r="E249" s="6" t="s">
        <v>384</v>
      </c>
      <c r="F249" s="6" t="s">
        <v>385</v>
      </c>
      <c r="G249" s="6"/>
    </row>
    <row r="250" spans="1:12">
      <c r="A250" s="6">
        <v>2024</v>
      </c>
      <c r="B250" s="6"/>
      <c r="C250" s="6"/>
      <c r="D250" s="6" t="s">
        <v>113</v>
      </c>
      <c r="E250" s="6" t="s">
        <v>386</v>
      </c>
      <c r="F250" s="6" t="s">
        <v>387</v>
      </c>
      <c r="G250" s="6"/>
    </row>
    <row r="251" spans="1:12">
      <c r="A251" s="6">
        <v>2025</v>
      </c>
      <c r="B251" s="6"/>
      <c r="C251" s="6"/>
      <c r="D251" s="6" t="s">
        <v>113</v>
      </c>
      <c r="E251" s="6" t="s">
        <v>114</v>
      </c>
      <c r="F251" s="6" t="s">
        <v>110</v>
      </c>
      <c r="G251" s="6"/>
    </row>
    <row r="252" spans="1:12">
      <c r="A252" s="6">
        <v>2025</v>
      </c>
      <c r="B252" s="6"/>
      <c r="C252" s="6"/>
      <c r="D252" s="6" t="s">
        <v>113</v>
      </c>
      <c r="E252" s="6" t="s">
        <v>115</v>
      </c>
      <c r="F252" s="6" t="s">
        <v>116</v>
      </c>
      <c r="G252" s="6"/>
    </row>
    <row r="253" spans="1:12">
      <c r="A253" s="6">
        <v>2025</v>
      </c>
      <c r="B253" s="6"/>
      <c r="C253" s="6"/>
      <c r="D253" s="6" t="s">
        <v>113</v>
      </c>
      <c r="E253" s="6" t="s">
        <v>118</v>
      </c>
      <c r="F253" s="6" t="s">
        <v>119</v>
      </c>
      <c r="G25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0000"/>
    <outlinePr summaryBelow="0" summaryRight="0"/>
  </sheetPr>
  <dimension ref="A1:H122"/>
  <sheetViews>
    <sheetView workbookViewId="0"/>
  </sheetViews>
  <sheetFormatPr defaultColWidth="12.5703125" defaultRowHeight="15.75" customHeight="1"/>
  <cols>
    <col min="4" max="4" width="12.28515625" customWidth="1"/>
    <col min="5" max="5" width="33" customWidth="1"/>
    <col min="6" max="6" width="25.140625" customWidth="1"/>
    <col min="7" max="7" width="27.140625" customWidth="1"/>
  </cols>
  <sheetData>
    <row r="1" spans="1:8">
      <c r="A1" s="67" t="s">
        <v>1</v>
      </c>
      <c r="B1" s="67" t="s">
        <v>388</v>
      </c>
      <c r="C1" s="67" t="s">
        <v>389</v>
      </c>
      <c r="D1" s="67" t="s">
        <v>4</v>
      </c>
      <c r="E1" s="67" t="s">
        <v>6</v>
      </c>
      <c r="F1" s="67" t="s">
        <v>390</v>
      </c>
      <c r="G1" s="67" t="s">
        <v>391</v>
      </c>
    </row>
    <row r="2" spans="1:8">
      <c r="A2" s="68">
        <v>2025</v>
      </c>
      <c r="B2" s="68" t="s">
        <v>993</v>
      </c>
      <c r="C2" s="68" t="s">
        <v>61</v>
      </c>
      <c r="D2" s="68" t="s">
        <v>994</v>
      </c>
      <c r="E2" s="68" t="s">
        <v>995</v>
      </c>
      <c r="F2" s="68" t="s">
        <v>996</v>
      </c>
      <c r="G2" s="69">
        <v>4100000</v>
      </c>
      <c r="H2" s="70" t="s">
        <v>997</v>
      </c>
    </row>
    <row r="3" spans="1:8">
      <c r="A3" s="68">
        <v>2025</v>
      </c>
      <c r="B3" s="68" t="s">
        <v>998</v>
      </c>
      <c r="C3" s="68" t="s">
        <v>61</v>
      </c>
      <c r="D3" s="68" t="s">
        <v>999</v>
      </c>
      <c r="E3" s="68" t="s">
        <v>1000</v>
      </c>
      <c r="F3" s="68" t="s">
        <v>1001</v>
      </c>
      <c r="G3" s="69">
        <v>2500000</v>
      </c>
    </row>
    <row r="4" spans="1:8">
      <c r="A4" s="71">
        <v>2025</v>
      </c>
      <c r="B4" s="71" t="s">
        <v>343</v>
      </c>
      <c r="C4" s="71" t="s">
        <v>61</v>
      </c>
      <c r="D4" s="71" t="s">
        <v>1002</v>
      </c>
      <c r="E4" s="71" t="s">
        <v>1003</v>
      </c>
      <c r="F4" s="71" t="s">
        <v>1004</v>
      </c>
      <c r="G4" s="72">
        <v>4500000</v>
      </c>
      <c r="H4" s="73" t="s">
        <v>28</v>
      </c>
    </row>
    <row r="5" spans="1:8">
      <c r="A5" s="71">
        <v>2024</v>
      </c>
      <c r="B5" s="71" t="s">
        <v>296</v>
      </c>
      <c r="C5" s="71" t="s">
        <v>61</v>
      </c>
      <c r="D5" s="71" t="s">
        <v>225</v>
      </c>
      <c r="E5" s="71" t="s">
        <v>297</v>
      </c>
      <c r="F5" s="71" t="s">
        <v>298</v>
      </c>
      <c r="G5" s="72">
        <v>4551960</v>
      </c>
      <c r="H5" s="73" t="s">
        <v>28</v>
      </c>
    </row>
    <row r="6" spans="1:8">
      <c r="A6" s="71">
        <v>2024</v>
      </c>
      <c r="B6" s="71" t="s">
        <v>224</v>
      </c>
      <c r="C6" s="71" t="s">
        <v>61</v>
      </c>
      <c r="D6" s="71" t="s">
        <v>225</v>
      </c>
      <c r="E6" s="71" t="s">
        <v>226</v>
      </c>
      <c r="F6" s="71" t="s">
        <v>227</v>
      </c>
      <c r="G6" s="72">
        <v>3412000</v>
      </c>
      <c r="H6" s="73" t="s">
        <v>28</v>
      </c>
    </row>
    <row r="7" spans="1:8">
      <c r="A7" s="71">
        <v>2024</v>
      </c>
      <c r="B7" s="71" t="s">
        <v>230</v>
      </c>
      <c r="C7" s="71" t="s">
        <v>61</v>
      </c>
      <c r="D7" s="71" t="s">
        <v>225</v>
      </c>
      <c r="E7" s="71" t="s">
        <v>231</v>
      </c>
      <c r="F7" s="71" t="s">
        <v>232</v>
      </c>
      <c r="G7" s="72">
        <v>2332760.88</v>
      </c>
      <c r="H7" s="73" t="s">
        <v>28</v>
      </c>
    </row>
    <row r="8" spans="1:8">
      <c r="A8" s="71">
        <v>2024</v>
      </c>
      <c r="B8" s="71" t="s">
        <v>234</v>
      </c>
      <c r="C8" s="71" t="s">
        <v>61</v>
      </c>
      <c r="D8" s="71" t="s">
        <v>225</v>
      </c>
      <c r="E8" s="71" t="s">
        <v>235</v>
      </c>
      <c r="F8" s="71" t="s">
        <v>236</v>
      </c>
      <c r="G8" s="72">
        <v>4000000</v>
      </c>
      <c r="H8" s="73" t="s">
        <v>28</v>
      </c>
    </row>
    <row r="9" spans="1:8">
      <c r="A9" s="71">
        <v>2024</v>
      </c>
      <c r="B9" s="71" t="s">
        <v>302</v>
      </c>
      <c r="C9" s="71" t="s">
        <v>61</v>
      </c>
      <c r="D9" s="71" t="s">
        <v>225</v>
      </c>
      <c r="E9" s="71" t="s">
        <v>303</v>
      </c>
      <c r="F9" s="71" t="s">
        <v>304</v>
      </c>
      <c r="G9" s="72">
        <v>4143400.5</v>
      </c>
      <c r="H9" s="73" t="s">
        <v>28</v>
      </c>
    </row>
    <row r="10" spans="1:8">
      <c r="A10" s="71">
        <v>2024</v>
      </c>
      <c r="B10" s="71" t="s">
        <v>240</v>
      </c>
      <c r="C10" s="71" t="s">
        <v>61</v>
      </c>
      <c r="D10" s="71" t="s">
        <v>225</v>
      </c>
      <c r="E10" s="71" t="s">
        <v>241</v>
      </c>
      <c r="F10" s="71" t="s">
        <v>242</v>
      </c>
      <c r="G10" s="72">
        <v>4771250</v>
      </c>
      <c r="H10" s="73" t="s">
        <v>28</v>
      </c>
    </row>
    <row r="11" spans="1:8">
      <c r="A11" s="71">
        <v>2024</v>
      </c>
      <c r="B11" s="71" t="s">
        <v>246</v>
      </c>
      <c r="C11" s="71" t="s">
        <v>61</v>
      </c>
      <c r="D11" s="71" t="s">
        <v>225</v>
      </c>
      <c r="E11" s="71" t="s">
        <v>247</v>
      </c>
      <c r="F11" s="71" t="s">
        <v>248</v>
      </c>
      <c r="G11" s="71"/>
      <c r="H11" s="73" t="s">
        <v>28</v>
      </c>
    </row>
    <row r="12" spans="1:8">
      <c r="A12" s="68">
        <v>2024</v>
      </c>
      <c r="B12" s="68" t="s">
        <v>1005</v>
      </c>
      <c r="C12" s="68" t="s">
        <v>61</v>
      </c>
      <c r="D12" s="68" t="s">
        <v>1006</v>
      </c>
      <c r="E12" s="68" t="s">
        <v>1007</v>
      </c>
      <c r="F12" s="68" t="s">
        <v>1008</v>
      </c>
      <c r="G12" s="69">
        <v>705000</v>
      </c>
    </row>
    <row r="13" spans="1:8">
      <c r="A13" s="71">
        <v>2024</v>
      </c>
      <c r="B13" s="71" t="s">
        <v>253</v>
      </c>
      <c r="C13" s="71" t="s">
        <v>61</v>
      </c>
      <c r="D13" s="71" t="s">
        <v>225</v>
      </c>
      <c r="E13" s="71" t="s">
        <v>1009</v>
      </c>
      <c r="F13" s="71" t="s">
        <v>255</v>
      </c>
      <c r="G13" s="72">
        <v>4000000</v>
      </c>
      <c r="H13" s="73" t="s">
        <v>28</v>
      </c>
    </row>
    <row r="14" spans="1:8">
      <c r="A14" s="68">
        <v>2024</v>
      </c>
      <c r="B14" s="68" t="s">
        <v>1010</v>
      </c>
      <c r="C14" s="68" t="s">
        <v>61</v>
      </c>
      <c r="D14" s="68" t="s">
        <v>1006</v>
      </c>
      <c r="E14" s="68" t="s">
        <v>1011</v>
      </c>
      <c r="F14" s="68" t="s">
        <v>1012</v>
      </c>
      <c r="G14" s="69">
        <v>2470750</v>
      </c>
    </row>
    <row r="15" spans="1:8">
      <c r="A15" s="71">
        <v>2024</v>
      </c>
      <c r="B15" s="71" t="s">
        <v>259</v>
      </c>
      <c r="C15" s="71" t="s">
        <v>61</v>
      </c>
      <c r="D15" s="71" t="s">
        <v>225</v>
      </c>
      <c r="E15" s="71" t="s">
        <v>260</v>
      </c>
      <c r="F15" s="71" t="s">
        <v>261</v>
      </c>
      <c r="G15" s="72">
        <v>5000000</v>
      </c>
      <c r="H15" s="73" t="s">
        <v>28</v>
      </c>
    </row>
    <row r="16" spans="1:8">
      <c r="A16" s="71">
        <v>2024</v>
      </c>
      <c r="B16" s="71" t="s">
        <v>265</v>
      </c>
      <c r="C16" s="71" t="s">
        <v>61</v>
      </c>
      <c r="D16" s="71" t="s">
        <v>225</v>
      </c>
      <c r="E16" s="71" t="s">
        <v>266</v>
      </c>
      <c r="F16" s="71" t="s">
        <v>267</v>
      </c>
      <c r="G16" s="72">
        <v>4668619.32</v>
      </c>
      <c r="H16" s="73" t="s">
        <v>28</v>
      </c>
    </row>
    <row r="17" spans="1:7">
      <c r="A17" s="68">
        <v>2024</v>
      </c>
      <c r="B17" s="68" t="s">
        <v>1013</v>
      </c>
      <c r="C17" s="68" t="s">
        <v>61</v>
      </c>
      <c r="D17" s="68" t="s">
        <v>1006</v>
      </c>
      <c r="E17" s="68" t="s">
        <v>1014</v>
      </c>
      <c r="F17" s="68" t="s">
        <v>1015</v>
      </c>
      <c r="G17" s="69">
        <v>5000000</v>
      </c>
    </row>
    <row r="18" spans="1:7">
      <c r="A18" s="68">
        <v>2024</v>
      </c>
      <c r="B18" s="68" t="s">
        <v>1016</v>
      </c>
      <c r="C18" s="68" t="s">
        <v>61</v>
      </c>
      <c r="D18" s="68" t="s">
        <v>62</v>
      </c>
      <c r="E18" s="68" t="s">
        <v>1017</v>
      </c>
      <c r="F18" s="68" t="s">
        <v>1018</v>
      </c>
      <c r="G18" s="69">
        <v>709948</v>
      </c>
    </row>
    <row r="19" spans="1:7">
      <c r="A19" s="68">
        <v>2024</v>
      </c>
      <c r="B19" s="68" t="s">
        <v>1019</v>
      </c>
      <c r="C19" s="68" t="s">
        <v>61</v>
      </c>
      <c r="D19" s="68" t="s">
        <v>62</v>
      </c>
      <c r="E19" s="68" t="s">
        <v>1020</v>
      </c>
      <c r="F19" s="68" t="s">
        <v>1021</v>
      </c>
      <c r="G19" s="69">
        <v>333400</v>
      </c>
    </row>
    <row r="20" spans="1:7">
      <c r="A20" s="68">
        <v>2024</v>
      </c>
      <c r="B20" s="68" t="s">
        <v>1022</v>
      </c>
      <c r="C20" s="68" t="s">
        <v>61</v>
      </c>
      <c r="D20" s="68" t="s">
        <v>62</v>
      </c>
      <c r="E20" s="68" t="s">
        <v>1023</v>
      </c>
      <c r="F20" s="68" t="s">
        <v>1024</v>
      </c>
      <c r="G20" s="69">
        <v>1503651.61</v>
      </c>
    </row>
    <row r="21" spans="1:7">
      <c r="A21" s="68">
        <v>2024</v>
      </c>
      <c r="B21" s="68" t="s">
        <v>1025</v>
      </c>
      <c r="C21" s="68" t="s">
        <v>61</v>
      </c>
      <c r="D21" s="68" t="s">
        <v>62</v>
      </c>
      <c r="E21" s="68" t="s">
        <v>1026</v>
      </c>
      <c r="F21" s="68" t="s">
        <v>1027</v>
      </c>
      <c r="G21" s="69">
        <v>2000000</v>
      </c>
    </row>
    <row r="22" spans="1:7">
      <c r="A22" s="68">
        <v>2024</v>
      </c>
      <c r="B22" s="68" t="s">
        <v>1028</v>
      </c>
      <c r="C22" s="68" t="s">
        <v>61</v>
      </c>
      <c r="D22" s="68" t="s">
        <v>62</v>
      </c>
      <c r="E22" s="68" t="s">
        <v>1029</v>
      </c>
      <c r="F22" s="68" t="s">
        <v>1030</v>
      </c>
      <c r="G22" s="69">
        <v>383657.4</v>
      </c>
    </row>
    <row r="23" spans="1:7">
      <c r="A23" s="68">
        <v>2023</v>
      </c>
      <c r="B23" s="74">
        <v>45017</v>
      </c>
      <c r="C23" s="68" t="s">
        <v>61</v>
      </c>
      <c r="D23" s="68" t="s">
        <v>62</v>
      </c>
      <c r="E23" s="68" t="s">
        <v>1031</v>
      </c>
      <c r="F23" s="68" t="s">
        <v>1032</v>
      </c>
      <c r="G23" s="69">
        <v>380000</v>
      </c>
    </row>
    <row r="24" spans="1:7">
      <c r="A24" s="68">
        <v>2023</v>
      </c>
      <c r="B24" s="68" t="s">
        <v>1033</v>
      </c>
      <c r="C24" s="68" t="s">
        <v>61</v>
      </c>
      <c r="D24" s="68" t="s">
        <v>62</v>
      </c>
      <c r="E24" s="68" t="s">
        <v>1034</v>
      </c>
      <c r="F24" s="68" t="s">
        <v>1035</v>
      </c>
      <c r="G24" s="69">
        <v>918215.51</v>
      </c>
    </row>
    <row r="25" spans="1:7">
      <c r="A25" s="68">
        <v>2023</v>
      </c>
      <c r="B25" s="68" t="s">
        <v>1036</v>
      </c>
      <c r="C25" s="68" t="s">
        <v>61</v>
      </c>
      <c r="D25" s="68" t="s">
        <v>62</v>
      </c>
      <c r="E25" s="68" t="s">
        <v>1037</v>
      </c>
      <c r="F25" s="68" t="s">
        <v>1038</v>
      </c>
      <c r="G25" s="69">
        <v>496800</v>
      </c>
    </row>
    <row r="26" spans="1:7">
      <c r="A26" s="68">
        <v>2023</v>
      </c>
      <c r="B26" s="68" t="s">
        <v>1039</v>
      </c>
      <c r="C26" s="68" t="s">
        <v>61</v>
      </c>
      <c r="D26" s="68" t="s">
        <v>62</v>
      </c>
      <c r="E26" s="68" t="s">
        <v>1040</v>
      </c>
      <c r="F26" s="68" t="s">
        <v>1041</v>
      </c>
      <c r="G26" s="69">
        <v>556803.44999999995</v>
      </c>
    </row>
    <row r="27" spans="1:7">
      <c r="A27" s="68">
        <v>2023</v>
      </c>
      <c r="B27" s="68" t="s">
        <v>1042</v>
      </c>
      <c r="C27" s="68" t="s">
        <v>61</v>
      </c>
      <c r="D27" s="68" t="s">
        <v>62</v>
      </c>
      <c r="E27" s="68" t="s">
        <v>1043</v>
      </c>
      <c r="F27" s="68" t="s">
        <v>1044</v>
      </c>
      <c r="G27" s="69">
        <v>1996038</v>
      </c>
    </row>
    <row r="28" spans="1:7">
      <c r="A28" s="68">
        <v>2023</v>
      </c>
      <c r="B28" s="68" t="s">
        <v>1045</v>
      </c>
      <c r="C28" s="68" t="s">
        <v>61</v>
      </c>
      <c r="D28" s="68" t="s">
        <v>62</v>
      </c>
      <c r="E28" s="68" t="s">
        <v>1046</v>
      </c>
      <c r="F28" s="68" t="s">
        <v>1047</v>
      </c>
      <c r="G28" s="69">
        <v>163174.5</v>
      </c>
    </row>
    <row r="29" spans="1:7">
      <c r="A29" s="68">
        <v>2023</v>
      </c>
      <c r="B29" s="68" t="s">
        <v>1048</v>
      </c>
      <c r="C29" s="68" t="s">
        <v>61</v>
      </c>
      <c r="D29" s="68" t="s">
        <v>62</v>
      </c>
      <c r="E29" s="68" t="s">
        <v>1049</v>
      </c>
      <c r="F29" s="68" t="s">
        <v>1050</v>
      </c>
      <c r="G29" s="69">
        <v>500000</v>
      </c>
    </row>
    <row r="30" spans="1:7">
      <c r="A30" s="68">
        <v>2023</v>
      </c>
      <c r="B30" s="68" t="s">
        <v>1051</v>
      </c>
      <c r="C30" s="68" t="s">
        <v>61</v>
      </c>
      <c r="D30" s="68" t="s">
        <v>62</v>
      </c>
      <c r="E30" s="68" t="s">
        <v>1052</v>
      </c>
      <c r="F30" s="68" t="s">
        <v>1053</v>
      </c>
      <c r="G30" s="69">
        <v>1493838</v>
      </c>
    </row>
    <row r="31" spans="1:7">
      <c r="A31" s="68">
        <v>2023</v>
      </c>
      <c r="B31" s="68" t="s">
        <v>1054</v>
      </c>
      <c r="C31" s="68" t="s">
        <v>61</v>
      </c>
      <c r="D31" s="68" t="s">
        <v>62</v>
      </c>
      <c r="E31" s="68" t="s">
        <v>1055</v>
      </c>
      <c r="F31" s="68" t="s">
        <v>1056</v>
      </c>
      <c r="G31" s="69">
        <v>1240000</v>
      </c>
    </row>
    <row r="32" spans="1:7">
      <c r="A32" s="68">
        <v>2023</v>
      </c>
      <c r="B32" s="68" t="s">
        <v>1057</v>
      </c>
      <c r="C32" s="68" t="s">
        <v>61</v>
      </c>
      <c r="D32" s="68" t="s">
        <v>62</v>
      </c>
      <c r="E32" s="68" t="s">
        <v>1058</v>
      </c>
      <c r="F32" s="68" t="s">
        <v>1059</v>
      </c>
      <c r="G32" s="69">
        <v>249255</v>
      </c>
    </row>
    <row r="33" spans="1:8">
      <c r="A33" s="68">
        <v>2023</v>
      </c>
      <c r="B33" s="68" t="s">
        <v>1060</v>
      </c>
      <c r="C33" s="68" t="s">
        <v>61</v>
      </c>
      <c r="D33" s="68" t="s">
        <v>62</v>
      </c>
      <c r="E33" s="68" t="s">
        <v>1061</v>
      </c>
      <c r="F33" s="68" t="s">
        <v>1062</v>
      </c>
      <c r="G33" s="69">
        <v>1652388.53</v>
      </c>
    </row>
    <row r="34" spans="1:8">
      <c r="A34" s="68">
        <v>2023</v>
      </c>
      <c r="B34" s="68" t="s">
        <v>1063</v>
      </c>
      <c r="C34" s="68" t="s">
        <v>61</v>
      </c>
      <c r="D34" s="68" t="s">
        <v>62</v>
      </c>
      <c r="E34" s="68" t="s">
        <v>1064</v>
      </c>
      <c r="F34" s="68" t="s">
        <v>1065</v>
      </c>
      <c r="G34" s="69">
        <v>369166.12</v>
      </c>
    </row>
    <row r="35" spans="1:8">
      <c r="A35" s="68">
        <v>2023</v>
      </c>
      <c r="B35" s="68" t="s">
        <v>1066</v>
      </c>
      <c r="C35" s="68" t="s">
        <v>61</v>
      </c>
      <c r="D35" s="68" t="s">
        <v>62</v>
      </c>
      <c r="E35" s="68" t="s">
        <v>1067</v>
      </c>
      <c r="F35" s="68" t="s">
        <v>1068</v>
      </c>
      <c r="G35" s="69">
        <v>309847.12</v>
      </c>
    </row>
    <row r="36" spans="1:8">
      <c r="A36" s="68">
        <v>2023</v>
      </c>
      <c r="B36" s="68" t="s">
        <v>1069</v>
      </c>
      <c r="C36" s="68" t="s">
        <v>61</v>
      </c>
      <c r="D36" s="68" t="s">
        <v>62</v>
      </c>
      <c r="E36" s="68" t="s">
        <v>1070</v>
      </c>
      <c r="F36" s="68" t="s">
        <v>1071</v>
      </c>
      <c r="G36" s="69">
        <v>1350000</v>
      </c>
    </row>
    <row r="37" spans="1:8">
      <c r="A37" s="68">
        <v>2023</v>
      </c>
      <c r="B37" s="68" t="s">
        <v>1072</v>
      </c>
      <c r="C37" s="68" t="s">
        <v>61</v>
      </c>
      <c r="D37" s="68" t="s">
        <v>62</v>
      </c>
      <c r="E37" s="68" t="s">
        <v>1073</v>
      </c>
      <c r="F37" s="68" t="s">
        <v>1074</v>
      </c>
      <c r="G37" s="69">
        <v>570040.98</v>
      </c>
    </row>
    <row r="38" spans="1:8">
      <c r="A38" s="71">
        <v>2022</v>
      </c>
      <c r="B38" s="71" t="s">
        <v>75</v>
      </c>
      <c r="C38" s="71" t="s">
        <v>61</v>
      </c>
      <c r="D38" s="71" t="s">
        <v>76</v>
      </c>
      <c r="E38" s="71" t="s">
        <v>78</v>
      </c>
      <c r="F38" s="71" t="s">
        <v>79</v>
      </c>
      <c r="G38" s="72">
        <v>1083679</v>
      </c>
      <c r="H38" s="63"/>
    </row>
    <row r="39" spans="1:8">
      <c r="A39" s="68">
        <v>2022</v>
      </c>
      <c r="B39" s="68" t="s">
        <v>1075</v>
      </c>
      <c r="C39" s="68" t="s">
        <v>61</v>
      </c>
      <c r="D39" s="68" t="s">
        <v>62</v>
      </c>
      <c r="E39" s="68" t="s">
        <v>1076</v>
      </c>
      <c r="F39" s="68" t="s">
        <v>1077</v>
      </c>
      <c r="G39" s="69">
        <v>1000000</v>
      </c>
    </row>
    <row r="40" spans="1:8">
      <c r="A40" s="68">
        <v>2022</v>
      </c>
      <c r="B40" s="68" t="s">
        <v>1078</v>
      </c>
      <c r="C40" s="68" t="s">
        <v>61</v>
      </c>
      <c r="D40" s="68" t="s">
        <v>62</v>
      </c>
      <c r="E40" s="68" t="s">
        <v>1079</v>
      </c>
      <c r="F40" s="68" t="s">
        <v>1080</v>
      </c>
      <c r="G40" s="69">
        <v>702000</v>
      </c>
    </row>
    <row r="41" spans="1:8">
      <c r="A41" s="68">
        <v>2022</v>
      </c>
      <c r="B41" s="68" t="s">
        <v>1081</v>
      </c>
      <c r="C41" s="68" t="s">
        <v>61</v>
      </c>
      <c r="D41" s="68" t="s">
        <v>76</v>
      </c>
      <c r="E41" s="68" t="s">
        <v>1082</v>
      </c>
      <c r="F41" s="68" t="s">
        <v>1083</v>
      </c>
      <c r="G41" s="68"/>
    </row>
    <row r="42" spans="1:8">
      <c r="A42" s="68">
        <v>2022</v>
      </c>
      <c r="B42" s="68" t="s">
        <v>1084</v>
      </c>
      <c r="C42" s="68" t="s">
        <v>61</v>
      </c>
      <c r="D42" s="68" t="s">
        <v>62</v>
      </c>
      <c r="E42" s="68" t="s">
        <v>1085</v>
      </c>
      <c r="F42" s="68" t="s">
        <v>1086</v>
      </c>
      <c r="G42" s="69">
        <v>923252</v>
      </c>
    </row>
    <row r="43" spans="1:8">
      <c r="A43" s="68">
        <v>2022</v>
      </c>
      <c r="B43" s="68" t="s">
        <v>1087</v>
      </c>
      <c r="C43" s="68" t="s">
        <v>61</v>
      </c>
      <c r="D43" s="68" t="s">
        <v>62</v>
      </c>
      <c r="E43" s="68" t="s">
        <v>1088</v>
      </c>
      <c r="F43" s="68" t="s">
        <v>1089</v>
      </c>
      <c r="G43" s="69">
        <v>494868.75</v>
      </c>
    </row>
    <row r="44" spans="1:8">
      <c r="A44" s="68">
        <v>2022</v>
      </c>
      <c r="B44" s="68" t="s">
        <v>1090</v>
      </c>
      <c r="C44" s="68" t="s">
        <v>61</v>
      </c>
      <c r="D44" s="68" t="s">
        <v>62</v>
      </c>
      <c r="E44" s="68" t="s">
        <v>1091</v>
      </c>
      <c r="F44" s="68" t="s">
        <v>1092</v>
      </c>
      <c r="G44" s="69">
        <v>998550</v>
      </c>
    </row>
    <row r="45" spans="1:8">
      <c r="A45" s="68">
        <v>2022</v>
      </c>
      <c r="B45" s="68" t="s">
        <v>1093</v>
      </c>
      <c r="C45" s="68" t="s">
        <v>61</v>
      </c>
      <c r="D45" s="68" t="s">
        <v>62</v>
      </c>
      <c r="E45" s="68" t="s">
        <v>1094</v>
      </c>
      <c r="F45" s="68" t="s">
        <v>1095</v>
      </c>
      <c r="G45" s="69">
        <v>1503212.5</v>
      </c>
    </row>
    <row r="46" spans="1:8">
      <c r="A46" s="68">
        <v>2022</v>
      </c>
      <c r="B46" s="68" t="s">
        <v>1096</v>
      </c>
      <c r="C46" s="68" t="s">
        <v>61</v>
      </c>
      <c r="D46" s="68" t="s">
        <v>62</v>
      </c>
      <c r="E46" s="68" t="s">
        <v>1097</v>
      </c>
      <c r="F46" s="68" t="s">
        <v>1095</v>
      </c>
      <c r="G46" s="69">
        <v>1000000</v>
      </c>
    </row>
    <row r="47" spans="1:8">
      <c r="A47" s="68">
        <v>2022</v>
      </c>
      <c r="B47" s="68" t="s">
        <v>1098</v>
      </c>
      <c r="C47" s="68" t="s">
        <v>61</v>
      </c>
      <c r="D47" s="68" t="s">
        <v>1099</v>
      </c>
      <c r="E47" s="68" t="s">
        <v>1100</v>
      </c>
      <c r="F47" s="68" t="s">
        <v>1101</v>
      </c>
      <c r="G47" s="69">
        <v>225000</v>
      </c>
    </row>
    <row r="48" spans="1:8">
      <c r="A48" s="68">
        <v>2022</v>
      </c>
      <c r="B48" s="68" t="s">
        <v>1102</v>
      </c>
      <c r="C48" s="68" t="s">
        <v>61</v>
      </c>
      <c r="D48" s="68" t="s">
        <v>1099</v>
      </c>
      <c r="E48" s="68" t="s">
        <v>1103</v>
      </c>
      <c r="F48" s="68" t="s">
        <v>1104</v>
      </c>
      <c r="G48" s="69">
        <v>186356</v>
      </c>
    </row>
    <row r="49" spans="1:8">
      <c r="A49" s="68">
        <v>2022</v>
      </c>
      <c r="B49" s="68" t="s">
        <v>1105</v>
      </c>
      <c r="C49" s="68" t="s">
        <v>61</v>
      </c>
      <c r="D49" s="68" t="s">
        <v>1099</v>
      </c>
      <c r="E49" s="68" t="s">
        <v>1106</v>
      </c>
      <c r="F49" s="68" t="s">
        <v>1107</v>
      </c>
      <c r="G49" s="69">
        <v>50876.800000000003</v>
      </c>
    </row>
    <row r="50" spans="1:8">
      <c r="A50" s="68">
        <v>2022</v>
      </c>
      <c r="B50" s="68" t="s">
        <v>1108</v>
      </c>
      <c r="C50" s="68" t="s">
        <v>61</v>
      </c>
      <c r="D50" s="68" t="s">
        <v>62</v>
      </c>
      <c r="E50" s="68" t="s">
        <v>1109</v>
      </c>
      <c r="F50" s="68" t="s">
        <v>1110</v>
      </c>
      <c r="G50" s="69">
        <v>1534670</v>
      </c>
    </row>
    <row r="51" spans="1:8">
      <c r="A51" s="68">
        <v>2021</v>
      </c>
      <c r="B51" s="74">
        <v>44378</v>
      </c>
      <c r="C51" s="68" t="s">
        <v>61</v>
      </c>
      <c r="D51" s="68" t="s">
        <v>1111</v>
      </c>
      <c r="E51" s="68" t="s">
        <v>1112</v>
      </c>
      <c r="F51" s="68" t="s">
        <v>1113</v>
      </c>
      <c r="G51" s="69">
        <v>1578099.2</v>
      </c>
    </row>
    <row r="52" spans="1:8">
      <c r="A52" s="68">
        <v>2021</v>
      </c>
      <c r="B52" s="68" t="s">
        <v>1114</v>
      </c>
      <c r="C52" s="68" t="s">
        <v>61</v>
      </c>
      <c r="D52" s="68" t="s">
        <v>1111</v>
      </c>
      <c r="E52" s="68" t="s">
        <v>1115</v>
      </c>
      <c r="F52" s="68" t="s">
        <v>1116</v>
      </c>
      <c r="G52" s="69">
        <v>1527776</v>
      </c>
    </row>
    <row r="53" spans="1:8">
      <c r="A53" s="68">
        <v>2021</v>
      </c>
      <c r="B53" s="68" t="s">
        <v>1117</v>
      </c>
      <c r="C53" s="68" t="s">
        <v>61</v>
      </c>
      <c r="D53" s="68" t="s">
        <v>1118</v>
      </c>
      <c r="E53" s="68" t="s">
        <v>1119</v>
      </c>
      <c r="F53" s="68" t="s">
        <v>1120</v>
      </c>
      <c r="G53" s="69">
        <v>2880000</v>
      </c>
    </row>
    <row r="54" spans="1:8">
      <c r="A54" s="68">
        <v>2021</v>
      </c>
      <c r="B54" s="68" t="s">
        <v>1121</v>
      </c>
      <c r="C54" s="68" t="s">
        <v>61</v>
      </c>
      <c r="D54" s="68" t="s">
        <v>1111</v>
      </c>
      <c r="E54" s="68" t="s">
        <v>1122</v>
      </c>
      <c r="F54" s="68" t="s">
        <v>1123</v>
      </c>
      <c r="G54" s="69">
        <v>2928900.41</v>
      </c>
    </row>
    <row r="55" spans="1:8">
      <c r="A55" s="68">
        <v>2021</v>
      </c>
      <c r="B55" s="68" t="s">
        <v>1124</v>
      </c>
      <c r="C55" s="68" t="s">
        <v>61</v>
      </c>
      <c r="D55" s="68" t="s">
        <v>1111</v>
      </c>
      <c r="E55" s="68" t="s">
        <v>1125</v>
      </c>
      <c r="F55" s="68" t="s">
        <v>1113</v>
      </c>
      <c r="G55" s="69">
        <v>4512920</v>
      </c>
    </row>
    <row r="56" spans="1:8">
      <c r="A56" s="68">
        <v>2021</v>
      </c>
      <c r="B56" s="68" t="s">
        <v>1126</v>
      </c>
      <c r="C56" s="68" t="s">
        <v>61</v>
      </c>
      <c r="D56" s="68" t="s">
        <v>1127</v>
      </c>
      <c r="E56" s="68" t="s">
        <v>1128</v>
      </c>
      <c r="F56" s="68" t="s">
        <v>1129</v>
      </c>
      <c r="G56" s="69">
        <v>3300440</v>
      </c>
    </row>
    <row r="57" spans="1:8">
      <c r="A57" s="68">
        <v>2021</v>
      </c>
      <c r="B57" s="68" t="s">
        <v>1130</v>
      </c>
      <c r="C57" s="68" t="s">
        <v>61</v>
      </c>
      <c r="D57" s="68" t="s">
        <v>1131</v>
      </c>
      <c r="E57" s="68" t="s">
        <v>1132</v>
      </c>
      <c r="F57" s="68" t="s">
        <v>1133</v>
      </c>
      <c r="G57" s="69">
        <v>1000000</v>
      </c>
    </row>
    <row r="58" spans="1:8">
      <c r="A58" s="68">
        <v>2021</v>
      </c>
      <c r="B58" s="68" t="s">
        <v>1134</v>
      </c>
      <c r="C58" s="68" t="s">
        <v>61</v>
      </c>
      <c r="D58" s="68" t="s">
        <v>62</v>
      </c>
      <c r="E58" s="68" t="s">
        <v>1135</v>
      </c>
      <c r="F58" s="68" t="s">
        <v>1136</v>
      </c>
      <c r="G58" s="69">
        <v>916956.36</v>
      </c>
    </row>
    <row r="59" spans="1:8">
      <c r="A59" s="68">
        <v>2021</v>
      </c>
      <c r="B59" s="68" t="s">
        <v>1137</v>
      </c>
      <c r="C59" s="68" t="s">
        <v>61</v>
      </c>
      <c r="D59" s="68" t="s">
        <v>1099</v>
      </c>
      <c r="E59" s="68" t="s">
        <v>1138</v>
      </c>
      <c r="F59" s="68" t="s">
        <v>1139</v>
      </c>
      <c r="G59" s="69">
        <v>246099.46</v>
      </c>
    </row>
    <row r="60" spans="1:8">
      <c r="A60" s="68">
        <v>2021</v>
      </c>
      <c r="B60" s="68" t="s">
        <v>1140</v>
      </c>
      <c r="C60" s="68" t="s">
        <v>61</v>
      </c>
      <c r="D60" s="68" t="s">
        <v>1141</v>
      </c>
      <c r="E60" s="68" t="s">
        <v>1142</v>
      </c>
      <c r="F60" s="68" t="s">
        <v>1143</v>
      </c>
      <c r="G60" s="69">
        <v>114237.84</v>
      </c>
    </row>
    <row r="61" spans="1:8">
      <c r="A61" s="68">
        <v>2021</v>
      </c>
      <c r="B61" s="68" t="s">
        <v>1144</v>
      </c>
      <c r="C61" s="68" t="s">
        <v>61</v>
      </c>
      <c r="D61" s="68" t="s">
        <v>1141</v>
      </c>
      <c r="E61" s="68" t="s">
        <v>1145</v>
      </c>
      <c r="F61" s="68" t="s">
        <v>1146</v>
      </c>
      <c r="G61" s="69">
        <v>246150</v>
      </c>
      <c r="H61" s="70" t="s">
        <v>1147</v>
      </c>
    </row>
    <row r="62" spans="1:8">
      <c r="A62" s="68">
        <v>2020</v>
      </c>
      <c r="B62" s="74">
        <v>43862</v>
      </c>
      <c r="C62" s="68" t="s">
        <v>61</v>
      </c>
      <c r="D62" s="68" t="s">
        <v>62</v>
      </c>
      <c r="E62" s="68" t="s">
        <v>1148</v>
      </c>
      <c r="F62" s="68" t="s">
        <v>1149</v>
      </c>
      <c r="G62" s="69">
        <v>2957181.66</v>
      </c>
      <c r="H62" s="70" t="s">
        <v>1150</v>
      </c>
    </row>
    <row r="63" spans="1:8">
      <c r="A63" s="68">
        <v>2020</v>
      </c>
      <c r="B63" s="75">
        <v>44075</v>
      </c>
      <c r="C63" s="68" t="s">
        <v>61</v>
      </c>
      <c r="D63" s="68" t="s">
        <v>1151</v>
      </c>
      <c r="E63" s="68" t="s">
        <v>1152</v>
      </c>
      <c r="F63" s="68" t="s">
        <v>1153</v>
      </c>
      <c r="G63" s="69">
        <v>1000000</v>
      </c>
    </row>
    <row r="64" spans="1:8">
      <c r="A64" s="68">
        <v>2020</v>
      </c>
      <c r="B64" s="75">
        <v>44136</v>
      </c>
      <c r="C64" s="68" t="s">
        <v>61</v>
      </c>
      <c r="D64" s="68" t="s">
        <v>1151</v>
      </c>
      <c r="E64" s="68" t="s">
        <v>1154</v>
      </c>
      <c r="F64" s="68" t="s">
        <v>1155</v>
      </c>
      <c r="G64" s="69">
        <v>1000000</v>
      </c>
    </row>
    <row r="65" spans="1:7">
      <c r="A65" s="68">
        <v>2020</v>
      </c>
      <c r="B65" s="68" t="s">
        <v>1156</v>
      </c>
      <c r="C65" s="68" t="s">
        <v>61</v>
      </c>
      <c r="D65" s="68" t="s">
        <v>1151</v>
      </c>
      <c r="E65" s="68" t="s">
        <v>1157</v>
      </c>
      <c r="F65" s="68" t="s">
        <v>1158</v>
      </c>
      <c r="G65" s="69">
        <v>1000000</v>
      </c>
    </row>
    <row r="66" spans="1:7">
      <c r="A66" s="68">
        <v>2020</v>
      </c>
      <c r="B66" s="68" t="s">
        <v>1159</v>
      </c>
      <c r="C66" s="68" t="s">
        <v>61</v>
      </c>
      <c r="D66" s="68" t="s">
        <v>62</v>
      </c>
      <c r="E66" s="68" t="s">
        <v>1160</v>
      </c>
      <c r="F66" s="68" t="s">
        <v>1161</v>
      </c>
      <c r="G66" s="69">
        <v>2284150</v>
      </c>
    </row>
    <row r="67" spans="1:7">
      <c r="A67" s="68">
        <v>2020</v>
      </c>
      <c r="B67" s="68" t="s">
        <v>1162</v>
      </c>
      <c r="C67" s="68" t="s">
        <v>61</v>
      </c>
      <c r="D67" s="68" t="s">
        <v>62</v>
      </c>
      <c r="E67" s="68" t="s">
        <v>1163</v>
      </c>
      <c r="F67" s="68" t="s">
        <v>1164</v>
      </c>
      <c r="G67" s="69">
        <v>1621819.5</v>
      </c>
    </row>
    <row r="68" spans="1:7">
      <c r="A68" s="68">
        <v>2020</v>
      </c>
      <c r="B68" s="68" t="s">
        <v>1165</v>
      </c>
      <c r="C68" s="68" t="s">
        <v>61</v>
      </c>
      <c r="D68" s="68" t="s">
        <v>62</v>
      </c>
      <c r="E68" s="68" t="s">
        <v>1166</v>
      </c>
      <c r="F68" s="68" t="s">
        <v>1167</v>
      </c>
      <c r="G68" s="69">
        <v>2382264</v>
      </c>
    </row>
    <row r="69" spans="1:7">
      <c r="A69" s="68">
        <v>2020</v>
      </c>
      <c r="B69" s="68" t="s">
        <v>1168</v>
      </c>
      <c r="C69" s="68" t="s">
        <v>61</v>
      </c>
      <c r="D69" s="68" t="s">
        <v>62</v>
      </c>
      <c r="E69" s="68" t="s">
        <v>1169</v>
      </c>
      <c r="F69" s="68" t="s">
        <v>1170</v>
      </c>
      <c r="G69" s="69">
        <v>140032</v>
      </c>
    </row>
    <row r="70" spans="1:7">
      <c r="A70" s="68">
        <v>2020</v>
      </c>
      <c r="B70" s="68" t="s">
        <v>1171</v>
      </c>
      <c r="C70" s="68" t="s">
        <v>61</v>
      </c>
      <c r="D70" s="68" t="s">
        <v>62</v>
      </c>
      <c r="E70" s="68" t="s">
        <v>1172</v>
      </c>
      <c r="F70" s="68" t="s">
        <v>1173</v>
      </c>
      <c r="G70" s="69">
        <v>453820</v>
      </c>
    </row>
    <row r="71" spans="1:7">
      <c r="A71" s="68">
        <v>2020</v>
      </c>
      <c r="B71" s="68" t="s">
        <v>1174</v>
      </c>
      <c r="C71" s="68" t="s">
        <v>61</v>
      </c>
      <c r="D71" s="68" t="s">
        <v>62</v>
      </c>
      <c r="E71" s="68" t="s">
        <v>1175</v>
      </c>
      <c r="F71" s="68" t="s">
        <v>1176</v>
      </c>
      <c r="G71" s="69">
        <v>418714.15</v>
      </c>
    </row>
    <row r="72" spans="1:7">
      <c r="A72" s="68">
        <v>2020</v>
      </c>
      <c r="B72" s="68" t="s">
        <v>1177</v>
      </c>
      <c r="C72" s="68" t="s">
        <v>61</v>
      </c>
      <c r="D72" s="68" t="s">
        <v>62</v>
      </c>
      <c r="E72" s="68" t="s">
        <v>1178</v>
      </c>
      <c r="F72" s="68" t="s">
        <v>1179</v>
      </c>
      <c r="G72" s="69">
        <v>1240490</v>
      </c>
    </row>
    <row r="73" spans="1:7">
      <c r="A73" s="68">
        <v>2020</v>
      </c>
      <c r="B73" s="68" t="s">
        <v>1180</v>
      </c>
      <c r="C73" s="68" t="s">
        <v>61</v>
      </c>
      <c r="D73" s="68" t="s">
        <v>62</v>
      </c>
      <c r="E73" s="68" t="s">
        <v>1181</v>
      </c>
      <c r="F73" s="68" t="s">
        <v>1182</v>
      </c>
      <c r="G73" s="69">
        <v>495000</v>
      </c>
    </row>
    <row r="74" spans="1:7">
      <c r="A74" s="68">
        <v>2020</v>
      </c>
      <c r="B74" s="68" t="s">
        <v>1183</v>
      </c>
      <c r="C74" s="68" t="s">
        <v>61</v>
      </c>
      <c r="D74" s="68" t="s">
        <v>62</v>
      </c>
      <c r="E74" s="68" t="s">
        <v>1184</v>
      </c>
      <c r="F74" s="68" t="s">
        <v>1185</v>
      </c>
      <c r="G74" s="69">
        <v>819000</v>
      </c>
    </row>
    <row r="75" spans="1:7">
      <c r="A75" s="68">
        <v>2020</v>
      </c>
      <c r="B75" s="68" t="s">
        <v>1186</v>
      </c>
      <c r="C75" s="68" t="s">
        <v>61</v>
      </c>
      <c r="D75" s="68" t="s">
        <v>62</v>
      </c>
      <c r="E75" s="68" t="s">
        <v>1187</v>
      </c>
      <c r="F75" s="68" t="s">
        <v>1188</v>
      </c>
      <c r="G75" s="69">
        <v>453346.5</v>
      </c>
    </row>
    <row r="76" spans="1:7">
      <c r="A76" s="68">
        <v>2020</v>
      </c>
      <c r="B76" s="68" t="s">
        <v>1189</v>
      </c>
      <c r="C76" s="68" t="s">
        <v>61</v>
      </c>
      <c r="D76" s="68" t="s">
        <v>1141</v>
      </c>
      <c r="E76" s="68" t="s">
        <v>1190</v>
      </c>
      <c r="F76" s="68" t="s">
        <v>1139</v>
      </c>
      <c r="G76" s="69">
        <v>87475</v>
      </c>
    </row>
    <row r="77" spans="1:7">
      <c r="A77" s="68">
        <v>2020</v>
      </c>
      <c r="B77" s="68" t="s">
        <v>1191</v>
      </c>
      <c r="C77" s="68" t="s">
        <v>61</v>
      </c>
      <c r="D77" s="68" t="s">
        <v>1141</v>
      </c>
      <c r="E77" s="68" t="s">
        <v>1192</v>
      </c>
      <c r="F77" s="68" t="s">
        <v>1139</v>
      </c>
      <c r="G77" s="69">
        <v>122475</v>
      </c>
    </row>
    <row r="78" spans="1:7">
      <c r="A78" s="68">
        <v>2020</v>
      </c>
      <c r="B78" s="68" t="s">
        <v>1193</v>
      </c>
      <c r="C78" s="68" t="s">
        <v>61</v>
      </c>
      <c r="D78" s="68" t="s">
        <v>1141</v>
      </c>
      <c r="E78" s="68" t="s">
        <v>1194</v>
      </c>
      <c r="F78" s="68" t="s">
        <v>1139</v>
      </c>
      <c r="G78" s="69">
        <v>156860</v>
      </c>
    </row>
    <row r="79" spans="1:7">
      <c r="A79" s="68">
        <v>2020</v>
      </c>
      <c r="B79" s="68" t="s">
        <v>1195</v>
      </c>
      <c r="C79" s="68" t="s">
        <v>61</v>
      </c>
      <c r="D79" s="68" t="s">
        <v>1141</v>
      </c>
      <c r="E79" s="68" t="s">
        <v>1196</v>
      </c>
      <c r="F79" s="68" t="s">
        <v>1139</v>
      </c>
      <c r="G79" s="69">
        <v>119440</v>
      </c>
    </row>
    <row r="80" spans="1:7">
      <c r="A80" s="68">
        <v>2020</v>
      </c>
      <c r="B80" s="68" t="s">
        <v>1197</v>
      </c>
      <c r="C80" s="68" t="s">
        <v>61</v>
      </c>
      <c r="D80" s="68" t="s">
        <v>1141</v>
      </c>
      <c r="E80" s="68" t="s">
        <v>1198</v>
      </c>
      <c r="F80" s="68" t="s">
        <v>1139</v>
      </c>
      <c r="G80" s="69">
        <v>153850</v>
      </c>
    </row>
    <row r="81" spans="1:8">
      <c r="A81" s="68">
        <v>2019</v>
      </c>
      <c r="B81" s="68" t="s">
        <v>1199</v>
      </c>
      <c r="C81" s="68" t="s">
        <v>61</v>
      </c>
      <c r="D81" s="68" t="s">
        <v>62</v>
      </c>
      <c r="E81" s="68" t="s">
        <v>1200</v>
      </c>
      <c r="F81" s="68" t="s">
        <v>1201</v>
      </c>
      <c r="G81" s="69">
        <v>1434349.2</v>
      </c>
    </row>
    <row r="82" spans="1:8">
      <c r="A82" s="68">
        <v>2019</v>
      </c>
      <c r="B82" s="68" t="s">
        <v>827</v>
      </c>
      <c r="C82" s="68" t="s">
        <v>61</v>
      </c>
      <c r="D82" s="68" t="s">
        <v>62</v>
      </c>
      <c r="E82" s="68" t="s">
        <v>1202</v>
      </c>
      <c r="F82" s="68" t="s">
        <v>1203</v>
      </c>
      <c r="G82" s="69">
        <v>1319221.3999999999</v>
      </c>
    </row>
    <row r="83" spans="1:8">
      <c r="A83" s="68">
        <v>2019</v>
      </c>
      <c r="B83" s="68" t="s">
        <v>1204</v>
      </c>
      <c r="C83" s="68" t="s">
        <v>61</v>
      </c>
      <c r="D83" s="68" t="s">
        <v>1141</v>
      </c>
      <c r="E83" s="68" t="s">
        <v>1205</v>
      </c>
      <c r="F83" s="68" t="s">
        <v>1206</v>
      </c>
      <c r="G83" s="69">
        <v>126407.57</v>
      </c>
    </row>
    <row r="84" spans="1:8">
      <c r="A84" s="71">
        <v>2019</v>
      </c>
      <c r="B84" s="71" t="s">
        <v>60</v>
      </c>
      <c r="C84" s="71" t="s">
        <v>61</v>
      </c>
      <c r="D84" s="71" t="s">
        <v>62</v>
      </c>
      <c r="E84" s="71" t="s">
        <v>63</v>
      </c>
      <c r="F84" s="71" t="s">
        <v>64</v>
      </c>
      <c r="G84" s="72">
        <v>3792164.92</v>
      </c>
      <c r="H84" s="63" t="s">
        <v>28</v>
      </c>
    </row>
    <row r="85" spans="1:8">
      <c r="A85" s="68">
        <v>2019</v>
      </c>
      <c r="B85" s="68" t="s">
        <v>1207</v>
      </c>
      <c r="C85" s="68" t="s">
        <v>61</v>
      </c>
      <c r="D85" s="68" t="s">
        <v>62</v>
      </c>
      <c r="E85" s="68" t="s">
        <v>1208</v>
      </c>
      <c r="F85" s="68" t="s">
        <v>1209</v>
      </c>
      <c r="G85" s="69">
        <v>819000</v>
      </c>
    </row>
    <row r="86" spans="1:8">
      <c r="A86" s="68">
        <v>2019</v>
      </c>
      <c r="B86" s="68" t="s">
        <v>1210</v>
      </c>
      <c r="C86" s="68" t="s">
        <v>61</v>
      </c>
      <c r="D86" s="68" t="s">
        <v>62</v>
      </c>
      <c r="E86" s="68" t="s">
        <v>1211</v>
      </c>
      <c r="F86" s="68" t="s">
        <v>1212</v>
      </c>
      <c r="G86" s="69">
        <v>950981.8</v>
      </c>
    </row>
    <row r="87" spans="1:8">
      <c r="A87" s="68">
        <v>2019</v>
      </c>
      <c r="B87" s="68" t="s">
        <v>1213</v>
      </c>
      <c r="C87" s="68" t="s">
        <v>61</v>
      </c>
      <c r="D87" s="68" t="s">
        <v>1141</v>
      </c>
      <c r="E87" s="68" t="s">
        <v>1214</v>
      </c>
      <c r="F87" s="68" t="s">
        <v>1215</v>
      </c>
      <c r="G87" s="69">
        <v>96071.35</v>
      </c>
    </row>
    <row r="88" spans="1:8">
      <c r="A88" s="68">
        <v>2019</v>
      </c>
      <c r="B88" s="68" t="s">
        <v>1216</v>
      </c>
      <c r="C88" s="68" t="s">
        <v>61</v>
      </c>
      <c r="D88" s="68" t="s">
        <v>1141</v>
      </c>
      <c r="E88" s="68" t="s">
        <v>1217</v>
      </c>
      <c r="F88" s="68" t="s">
        <v>1218</v>
      </c>
      <c r="G88" s="69">
        <v>92275.68</v>
      </c>
    </row>
    <row r="89" spans="1:8">
      <c r="A89" s="68">
        <v>2019</v>
      </c>
      <c r="B89" s="68" t="s">
        <v>1219</v>
      </c>
      <c r="C89" s="68" t="s">
        <v>61</v>
      </c>
      <c r="D89" s="68" t="s">
        <v>62</v>
      </c>
      <c r="E89" s="68" t="s">
        <v>1220</v>
      </c>
      <c r="F89" s="68" t="s">
        <v>1179</v>
      </c>
      <c r="G89" s="69">
        <v>1717600</v>
      </c>
    </row>
    <row r="90" spans="1:8">
      <c r="A90" s="68">
        <v>2019</v>
      </c>
      <c r="B90" s="68" t="s">
        <v>1221</v>
      </c>
      <c r="C90" s="68" t="s">
        <v>61</v>
      </c>
      <c r="D90" s="68" t="s">
        <v>1111</v>
      </c>
      <c r="E90" s="68" t="s">
        <v>1222</v>
      </c>
      <c r="F90" s="68" t="s">
        <v>1223</v>
      </c>
      <c r="G90" s="69">
        <v>468445.54</v>
      </c>
    </row>
    <row r="91" spans="1:8">
      <c r="A91" s="68">
        <v>2019</v>
      </c>
      <c r="B91" s="68" t="s">
        <v>1224</v>
      </c>
      <c r="C91" s="68" t="s">
        <v>61</v>
      </c>
      <c r="D91" s="68" t="s">
        <v>1111</v>
      </c>
      <c r="E91" s="68" t="s">
        <v>1225</v>
      </c>
      <c r="F91" s="68" t="s">
        <v>1226</v>
      </c>
      <c r="G91" s="69">
        <v>495000</v>
      </c>
    </row>
    <row r="92" spans="1:8">
      <c r="A92" s="68">
        <v>2019</v>
      </c>
      <c r="B92" s="68" t="s">
        <v>1227</v>
      </c>
      <c r="C92" s="68" t="s">
        <v>61</v>
      </c>
      <c r="D92" s="68" t="s">
        <v>1111</v>
      </c>
      <c r="E92" s="68" t="s">
        <v>1228</v>
      </c>
      <c r="F92" s="68" t="s">
        <v>1229</v>
      </c>
      <c r="G92" s="69">
        <v>500000</v>
      </c>
    </row>
    <row r="93" spans="1:8">
      <c r="A93" s="68">
        <v>2019</v>
      </c>
      <c r="B93" s="68" t="s">
        <v>1230</v>
      </c>
      <c r="C93" s="68" t="s">
        <v>61</v>
      </c>
      <c r="D93" s="68" t="s">
        <v>1231</v>
      </c>
      <c r="E93" s="68" t="s">
        <v>1232</v>
      </c>
      <c r="F93" s="68" t="s">
        <v>575</v>
      </c>
      <c r="G93" s="68"/>
    </row>
    <row r="94" spans="1:8">
      <c r="A94" s="68">
        <v>2019</v>
      </c>
      <c r="B94" s="68" t="s">
        <v>1233</v>
      </c>
      <c r="C94" s="68" t="s">
        <v>61</v>
      </c>
      <c r="D94" s="68" t="s">
        <v>1141</v>
      </c>
      <c r="E94" s="68" t="s">
        <v>1234</v>
      </c>
      <c r="F94" s="68" t="s">
        <v>1215</v>
      </c>
      <c r="G94" s="69">
        <v>16685</v>
      </c>
    </row>
    <row r="95" spans="1:8">
      <c r="A95" s="68">
        <v>2019</v>
      </c>
      <c r="B95" s="68" t="s">
        <v>1235</v>
      </c>
      <c r="C95" s="68" t="s">
        <v>61</v>
      </c>
      <c r="D95" s="68" t="s">
        <v>1141</v>
      </c>
      <c r="E95" s="68" t="s">
        <v>1236</v>
      </c>
      <c r="F95" s="68" t="s">
        <v>1215</v>
      </c>
      <c r="G95" s="69">
        <v>77500</v>
      </c>
    </row>
    <row r="96" spans="1:8">
      <c r="A96" s="68">
        <v>2019</v>
      </c>
      <c r="B96" s="68" t="s">
        <v>1237</v>
      </c>
      <c r="C96" s="68" t="s">
        <v>61</v>
      </c>
      <c r="D96" s="68" t="s">
        <v>1141</v>
      </c>
      <c r="E96" s="68" t="s">
        <v>1238</v>
      </c>
      <c r="F96" s="68" t="s">
        <v>1215</v>
      </c>
      <c r="G96" s="69">
        <v>110050</v>
      </c>
    </row>
    <row r="97" spans="1:7">
      <c r="A97" s="68">
        <v>2019</v>
      </c>
      <c r="B97" s="68" t="s">
        <v>1239</v>
      </c>
      <c r="C97" s="68" t="s">
        <v>61</v>
      </c>
      <c r="D97" s="68" t="s">
        <v>1141</v>
      </c>
      <c r="E97" s="68" t="s">
        <v>1240</v>
      </c>
      <c r="F97" s="68" t="s">
        <v>1241</v>
      </c>
      <c r="G97" s="69">
        <v>57545.95</v>
      </c>
    </row>
    <row r="98" spans="1:7">
      <c r="A98" s="68">
        <v>2018</v>
      </c>
      <c r="B98" s="74">
        <v>43132</v>
      </c>
      <c r="C98" s="68" t="s">
        <v>925</v>
      </c>
      <c r="D98" s="68" t="s">
        <v>62</v>
      </c>
      <c r="E98" s="68" t="s">
        <v>1242</v>
      </c>
      <c r="F98" s="68" t="s">
        <v>1243</v>
      </c>
      <c r="G98" s="69">
        <v>710458.07</v>
      </c>
    </row>
    <row r="99" spans="1:7">
      <c r="A99" s="68">
        <v>2018</v>
      </c>
      <c r="B99" s="74">
        <v>43160</v>
      </c>
      <c r="C99" s="68" t="s">
        <v>925</v>
      </c>
      <c r="D99" s="68" t="s">
        <v>62</v>
      </c>
      <c r="E99" s="68" t="s">
        <v>1244</v>
      </c>
      <c r="F99" s="68" t="s">
        <v>1245</v>
      </c>
      <c r="G99" s="69">
        <v>2839000</v>
      </c>
    </row>
    <row r="100" spans="1:7">
      <c r="A100" s="68">
        <v>2018</v>
      </c>
      <c r="B100" s="68" t="s">
        <v>1246</v>
      </c>
      <c r="C100" s="68" t="s">
        <v>925</v>
      </c>
      <c r="D100" s="68" t="s">
        <v>62</v>
      </c>
      <c r="E100" s="68" t="s">
        <v>1247</v>
      </c>
      <c r="F100" s="68" t="s">
        <v>1248</v>
      </c>
      <c r="G100" s="69">
        <v>1170000</v>
      </c>
    </row>
    <row r="101" spans="1:7">
      <c r="A101" s="68">
        <v>2018</v>
      </c>
      <c r="B101" s="68" t="s">
        <v>1249</v>
      </c>
      <c r="C101" s="68" t="s">
        <v>925</v>
      </c>
      <c r="D101" s="68" t="s">
        <v>62</v>
      </c>
      <c r="E101" s="68" t="s">
        <v>1250</v>
      </c>
      <c r="F101" s="68" t="s">
        <v>1251</v>
      </c>
      <c r="G101" s="69">
        <v>869853.5</v>
      </c>
    </row>
    <row r="102" spans="1:7">
      <c r="A102" s="68">
        <v>2018</v>
      </c>
      <c r="B102" s="68" t="s">
        <v>1252</v>
      </c>
      <c r="C102" s="68" t="s">
        <v>925</v>
      </c>
      <c r="D102" s="68" t="s">
        <v>62</v>
      </c>
      <c r="E102" s="68" t="s">
        <v>1253</v>
      </c>
      <c r="F102" s="68" t="s">
        <v>1254</v>
      </c>
      <c r="G102" s="69">
        <v>1405331.54</v>
      </c>
    </row>
    <row r="103" spans="1:7">
      <c r="A103" s="68">
        <v>2018</v>
      </c>
      <c r="B103" s="68" t="s">
        <v>1255</v>
      </c>
      <c r="C103" s="68" t="s">
        <v>925</v>
      </c>
      <c r="D103" s="68" t="s">
        <v>62</v>
      </c>
      <c r="E103" s="68" t="s">
        <v>1256</v>
      </c>
      <c r="F103" s="68" t="s">
        <v>1257</v>
      </c>
      <c r="G103" s="69">
        <v>493709</v>
      </c>
    </row>
    <row r="104" spans="1:7">
      <c r="A104" s="68">
        <v>2018</v>
      </c>
      <c r="B104" s="68" t="s">
        <v>1258</v>
      </c>
      <c r="C104" s="68" t="s">
        <v>925</v>
      </c>
      <c r="D104" s="68" t="s">
        <v>62</v>
      </c>
      <c r="E104" s="68" t="s">
        <v>1259</v>
      </c>
      <c r="F104" s="68" t="s">
        <v>1260</v>
      </c>
      <c r="G104" s="69">
        <v>594944</v>
      </c>
    </row>
    <row r="105" spans="1:7">
      <c r="A105" s="68">
        <v>2018</v>
      </c>
      <c r="B105" s="68" t="s">
        <v>1261</v>
      </c>
      <c r="C105" s="68" t="s">
        <v>925</v>
      </c>
      <c r="D105" s="68" t="s">
        <v>1262</v>
      </c>
      <c r="E105" s="68" t="s">
        <v>1263</v>
      </c>
      <c r="F105" s="68" t="s">
        <v>1264</v>
      </c>
      <c r="G105" s="69">
        <v>1094960</v>
      </c>
    </row>
    <row r="106" spans="1:7">
      <c r="A106" s="68">
        <v>2018</v>
      </c>
      <c r="B106" s="68" t="s">
        <v>1265</v>
      </c>
      <c r="C106" s="68" t="s">
        <v>925</v>
      </c>
      <c r="D106" s="68" t="s">
        <v>1262</v>
      </c>
      <c r="E106" s="68" t="s">
        <v>1266</v>
      </c>
      <c r="F106" s="68" t="s">
        <v>1267</v>
      </c>
      <c r="G106" s="69">
        <v>672600</v>
      </c>
    </row>
    <row r="107" spans="1:7">
      <c r="A107" s="68">
        <v>2018</v>
      </c>
      <c r="B107" s="68" t="s">
        <v>1268</v>
      </c>
      <c r="C107" s="68" t="s">
        <v>925</v>
      </c>
      <c r="D107" s="68" t="s">
        <v>1262</v>
      </c>
      <c r="E107" s="68" t="s">
        <v>1269</v>
      </c>
      <c r="F107" s="68" t="s">
        <v>1270</v>
      </c>
      <c r="G107" s="69">
        <v>831690</v>
      </c>
    </row>
    <row r="108" spans="1:7">
      <c r="A108" s="68">
        <v>2018</v>
      </c>
      <c r="B108" s="68" t="s">
        <v>1271</v>
      </c>
      <c r="C108" s="68" t="s">
        <v>925</v>
      </c>
      <c r="D108" s="68" t="s">
        <v>1262</v>
      </c>
      <c r="E108" s="68" t="s">
        <v>1272</v>
      </c>
      <c r="F108" s="68" t="s">
        <v>1273</v>
      </c>
      <c r="G108" s="69">
        <v>967500</v>
      </c>
    </row>
    <row r="109" spans="1:7">
      <c r="A109" s="68">
        <v>2018</v>
      </c>
      <c r="B109" s="68" t="s">
        <v>1274</v>
      </c>
      <c r="C109" s="68" t="s">
        <v>925</v>
      </c>
      <c r="D109" s="68" t="s">
        <v>62</v>
      </c>
      <c r="E109" s="68" t="s">
        <v>1275</v>
      </c>
      <c r="F109" s="68" t="s">
        <v>1276</v>
      </c>
      <c r="G109" s="69">
        <v>1717600</v>
      </c>
    </row>
    <row r="110" spans="1:7">
      <c r="A110" s="68">
        <v>2018</v>
      </c>
      <c r="B110" s="68" t="s">
        <v>1277</v>
      </c>
      <c r="C110" s="68" t="s">
        <v>925</v>
      </c>
      <c r="D110" s="68" t="s">
        <v>62</v>
      </c>
      <c r="E110" s="68" t="s">
        <v>1278</v>
      </c>
      <c r="F110" s="68" t="s">
        <v>1279</v>
      </c>
      <c r="G110" s="69">
        <v>366000</v>
      </c>
    </row>
    <row r="111" spans="1:7">
      <c r="A111" s="68">
        <v>2018</v>
      </c>
      <c r="B111" s="68" t="s">
        <v>1280</v>
      </c>
      <c r="C111" s="68" t="s">
        <v>925</v>
      </c>
      <c r="D111" s="68" t="s">
        <v>62</v>
      </c>
      <c r="E111" s="68" t="s">
        <v>1281</v>
      </c>
      <c r="F111" s="68" t="s">
        <v>1282</v>
      </c>
      <c r="G111" s="69">
        <v>655630</v>
      </c>
    </row>
    <row r="112" spans="1:7">
      <c r="A112" s="68">
        <v>2018</v>
      </c>
      <c r="B112" s="68" t="s">
        <v>1283</v>
      </c>
      <c r="C112" s="68" t="s">
        <v>925</v>
      </c>
      <c r="D112" s="68" t="s">
        <v>62</v>
      </c>
      <c r="E112" s="68" t="s">
        <v>1284</v>
      </c>
      <c r="F112" s="68" t="s">
        <v>1285</v>
      </c>
      <c r="G112" s="69">
        <v>1431166.67</v>
      </c>
    </row>
    <row r="113" spans="1:7">
      <c r="A113" s="68">
        <v>2018</v>
      </c>
      <c r="B113" s="68" t="s">
        <v>1286</v>
      </c>
      <c r="C113" s="68" t="s">
        <v>925</v>
      </c>
      <c r="D113" s="68" t="s">
        <v>62</v>
      </c>
      <c r="E113" s="68" t="s">
        <v>1287</v>
      </c>
      <c r="F113" s="68" t="s">
        <v>1288</v>
      </c>
      <c r="G113" s="69">
        <v>3765994.41</v>
      </c>
    </row>
    <row r="114" spans="1:7">
      <c r="A114" s="68">
        <v>2018</v>
      </c>
      <c r="B114" s="68" t="s">
        <v>1289</v>
      </c>
      <c r="C114" s="68" t="s">
        <v>925</v>
      </c>
      <c r="D114" s="68" t="s">
        <v>62</v>
      </c>
      <c r="E114" s="68" t="s">
        <v>1242</v>
      </c>
      <c r="F114" s="68" t="s">
        <v>1290</v>
      </c>
      <c r="G114" s="69">
        <v>710458.07</v>
      </c>
    </row>
    <row r="115" spans="1:7">
      <c r="A115" s="68">
        <v>2018</v>
      </c>
      <c r="B115" s="68" t="s">
        <v>1291</v>
      </c>
      <c r="C115" s="68" t="s">
        <v>925</v>
      </c>
      <c r="D115" s="68" t="s">
        <v>1141</v>
      </c>
      <c r="E115" s="68" t="s">
        <v>1292</v>
      </c>
      <c r="F115" s="68" t="s">
        <v>1293</v>
      </c>
      <c r="G115" s="69">
        <v>68649.5</v>
      </c>
    </row>
    <row r="116" spans="1:7">
      <c r="A116" s="68">
        <v>2018</v>
      </c>
      <c r="B116" s="68" t="s">
        <v>1294</v>
      </c>
      <c r="C116" s="68" t="s">
        <v>925</v>
      </c>
      <c r="D116" s="68" t="s">
        <v>76</v>
      </c>
      <c r="E116" s="68" t="s">
        <v>1295</v>
      </c>
      <c r="F116" s="68" t="s">
        <v>1296</v>
      </c>
      <c r="G116" s="68"/>
    </row>
    <row r="117" spans="1:7">
      <c r="A117" s="68">
        <v>2018</v>
      </c>
      <c r="B117" s="68" t="s">
        <v>1297</v>
      </c>
      <c r="C117" s="68" t="s">
        <v>925</v>
      </c>
      <c r="D117" s="68" t="s">
        <v>1141</v>
      </c>
      <c r="E117" s="68" t="s">
        <v>1298</v>
      </c>
      <c r="F117" s="68" t="s">
        <v>1299</v>
      </c>
      <c r="G117" s="69">
        <v>71755.679999999993</v>
      </c>
    </row>
    <row r="118" spans="1:7">
      <c r="A118" s="68">
        <v>2018</v>
      </c>
      <c r="B118" s="68" t="s">
        <v>1300</v>
      </c>
      <c r="C118" s="68" t="s">
        <v>925</v>
      </c>
      <c r="D118" s="68" t="s">
        <v>1141</v>
      </c>
      <c r="E118" s="68" t="s">
        <v>1301</v>
      </c>
      <c r="F118" s="68" t="s">
        <v>1302</v>
      </c>
      <c r="G118" s="69">
        <v>77357.03</v>
      </c>
    </row>
    <row r="119" spans="1:7">
      <c r="A119" s="68">
        <v>2018</v>
      </c>
      <c r="B119" s="68" t="s">
        <v>1303</v>
      </c>
      <c r="C119" s="68" t="s">
        <v>925</v>
      </c>
      <c r="D119" s="68" t="s">
        <v>1141</v>
      </c>
      <c r="E119" s="68" t="s">
        <v>1304</v>
      </c>
      <c r="F119" s="68" t="s">
        <v>1305</v>
      </c>
      <c r="G119" s="69">
        <v>56005.41</v>
      </c>
    </row>
    <row r="120" spans="1:7">
      <c r="A120" s="68">
        <v>2018</v>
      </c>
      <c r="B120" s="68" t="s">
        <v>1306</v>
      </c>
      <c r="C120" s="68" t="s">
        <v>925</v>
      </c>
      <c r="D120" s="68" t="s">
        <v>1141</v>
      </c>
      <c r="E120" s="68" t="s">
        <v>1307</v>
      </c>
      <c r="F120" s="68" t="s">
        <v>1206</v>
      </c>
      <c r="G120" s="69">
        <v>52464.86</v>
      </c>
    </row>
    <row r="121" spans="1:7">
      <c r="A121" s="68">
        <v>2018</v>
      </c>
      <c r="B121" s="68" t="s">
        <v>1308</v>
      </c>
      <c r="C121" s="68" t="s">
        <v>925</v>
      </c>
      <c r="D121" s="68" t="s">
        <v>1231</v>
      </c>
      <c r="E121" s="68" t="s">
        <v>1309</v>
      </c>
      <c r="F121" s="68" t="s">
        <v>1310</v>
      </c>
      <c r="G121" s="69">
        <v>50000</v>
      </c>
    </row>
    <row r="122" spans="1:7">
      <c r="A122" s="68">
        <v>2018</v>
      </c>
      <c r="B122" s="68" t="s">
        <v>1311</v>
      </c>
      <c r="C122" s="68" t="s">
        <v>925</v>
      </c>
      <c r="D122" s="68" t="s">
        <v>1141</v>
      </c>
      <c r="E122" s="68" t="s">
        <v>1312</v>
      </c>
      <c r="F122" s="68" t="s">
        <v>1206</v>
      </c>
      <c r="G122" s="69">
        <v>93859.46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9000"/>
    <outlinePr summaryBelow="0" summaryRight="0"/>
  </sheetPr>
  <dimension ref="A1:N868"/>
  <sheetViews>
    <sheetView workbookViewId="0">
      <pane ySplit="1" topLeftCell="A2" activePane="bottomLeft" state="frozen"/>
      <selection pane="bottomLeft" activeCell="B3" sqref="B3"/>
    </sheetView>
  </sheetViews>
  <sheetFormatPr defaultColWidth="12.5703125" defaultRowHeight="15.75" customHeight="1"/>
  <cols>
    <col min="2" max="2" width="12.85546875" hidden="1" customWidth="1"/>
    <col min="4" max="4" width="21.42578125" customWidth="1"/>
    <col min="5" max="5" width="32.85546875" customWidth="1"/>
    <col min="6" max="6" width="19.42578125" customWidth="1"/>
    <col min="7" max="7" width="52.5703125" customWidth="1"/>
    <col min="8" max="8" width="31.42578125" customWidth="1"/>
    <col min="9" max="9" width="31.42578125" hidden="1" customWidth="1"/>
    <col min="10" max="10" width="29.5703125" customWidth="1"/>
    <col min="11" max="11" width="12.5703125" hidden="1"/>
    <col min="13" max="13" width="16.42578125" customWidth="1"/>
    <col min="14" max="14" width="16" hidden="1" customWidth="1"/>
  </cols>
  <sheetData>
    <row r="1" spans="1:14">
      <c r="A1" s="76" t="s">
        <v>1</v>
      </c>
      <c r="B1" s="76" t="s">
        <v>2</v>
      </c>
      <c r="C1" s="76" t="s">
        <v>3</v>
      </c>
      <c r="D1" s="76" t="s">
        <v>1313</v>
      </c>
      <c r="E1" s="77" t="s">
        <v>1314</v>
      </c>
      <c r="F1" s="76" t="s">
        <v>5</v>
      </c>
      <c r="G1" s="76" t="s">
        <v>6</v>
      </c>
      <c r="H1" s="76" t="s">
        <v>7</v>
      </c>
      <c r="I1" s="76" t="s">
        <v>8</v>
      </c>
      <c r="J1" s="76" t="s">
        <v>9</v>
      </c>
      <c r="K1" s="77" t="s">
        <v>10</v>
      </c>
      <c r="L1" s="77" t="s">
        <v>11</v>
      </c>
      <c r="M1" s="77" t="s">
        <v>12</v>
      </c>
      <c r="N1" s="77" t="s">
        <v>358</v>
      </c>
    </row>
    <row r="2" spans="1:14">
      <c r="A2" s="78">
        <v>2025</v>
      </c>
      <c r="B2" s="79"/>
      <c r="C2" s="80" t="s">
        <v>82</v>
      </c>
      <c r="D2" s="81" t="s">
        <v>103</v>
      </c>
      <c r="E2" s="82" t="s">
        <v>121</v>
      </c>
      <c r="F2" s="78">
        <v>2025</v>
      </c>
      <c r="G2" s="83" t="s">
        <v>104</v>
      </c>
      <c r="H2" s="83" t="s">
        <v>105</v>
      </c>
      <c r="I2" s="80"/>
      <c r="J2" s="81" t="s">
        <v>106</v>
      </c>
      <c r="K2" s="84"/>
      <c r="L2" s="82" t="s">
        <v>28</v>
      </c>
      <c r="M2" s="85" t="s">
        <v>89</v>
      </c>
      <c r="N2" s="86"/>
    </row>
    <row r="3" spans="1:14">
      <c r="A3" s="81" t="s">
        <v>311</v>
      </c>
      <c r="B3" s="79"/>
      <c r="C3" s="80" t="s">
        <v>82</v>
      </c>
      <c r="D3" s="81" t="s">
        <v>103</v>
      </c>
      <c r="E3" s="82" t="s">
        <v>312</v>
      </c>
      <c r="F3" s="81" t="s">
        <v>311</v>
      </c>
      <c r="G3" s="83" t="s">
        <v>107</v>
      </c>
      <c r="H3" s="83" t="s">
        <v>108</v>
      </c>
      <c r="I3" s="80"/>
      <c r="J3" s="81"/>
      <c r="K3" s="84"/>
      <c r="L3" s="82" t="s">
        <v>28</v>
      </c>
      <c r="M3" s="85" t="s">
        <v>89</v>
      </c>
      <c r="N3" s="86"/>
    </row>
    <row r="4" spans="1:14">
      <c r="A4" s="81">
        <v>2025</v>
      </c>
      <c r="B4" s="79"/>
      <c r="C4" s="80" t="s">
        <v>82</v>
      </c>
      <c r="D4" s="81" t="s">
        <v>103</v>
      </c>
      <c r="E4" s="82" t="s">
        <v>122</v>
      </c>
      <c r="F4" s="81">
        <v>2025</v>
      </c>
      <c r="G4" s="83" t="s">
        <v>109</v>
      </c>
      <c r="H4" s="83" t="s">
        <v>110</v>
      </c>
      <c r="I4" s="80"/>
      <c r="J4" s="81" t="s">
        <v>111</v>
      </c>
      <c r="K4" s="84"/>
      <c r="L4" s="82" t="s">
        <v>28</v>
      </c>
      <c r="M4" s="85" t="s">
        <v>89</v>
      </c>
      <c r="N4" s="86"/>
    </row>
    <row r="5" spans="1:14">
      <c r="A5" s="87" t="s">
        <v>314</v>
      </c>
      <c r="B5" s="87" t="s">
        <v>343</v>
      </c>
      <c r="C5" s="80" t="s">
        <v>82</v>
      </c>
      <c r="D5" s="78" t="s">
        <v>225</v>
      </c>
      <c r="E5" s="88"/>
      <c r="F5" s="89"/>
      <c r="G5" s="78" t="s">
        <v>344</v>
      </c>
      <c r="H5" s="78" t="s">
        <v>345</v>
      </c>
      <c r="I5" s="78" t="s">
        <v>346</v>
      </c>
      <c r="J5" s="78" t="s">
        <v>347</v>
      </c>
      <c r="K5" s="90">
        <v>4500000</v>
      </c>
      <c r="L5" s="82" t="s">
        <v>28</v>
      </c>
      <c r="M5" s="82" t="s">
        <v>89</v>
      </c>
      <c r="N5" s="86"/>
    </row>
    <row r="6" spans="1:14">
      <c r="A6" s="87" t="s">
        <v>295</v>
      </c>
      <c r="B6" s="87" t="s">
        <v>296</v>
      </c>
      <c r="C6" s="80" t="s">
        <v>82</v>
      </c>
      <c r="D6" s="78" t="s">
        <v>225</v>
      </c>
      <c r="E6" s="82" t="s">
        <v>308</v>
      </c>
      <c r="F6" s="78">
        <v>2025</v>
      </c>
      <c r="G6" s="78" t="s">
        <v>297</v>
      </c>
      <c r="H6" s="78" t="s">
        <v>298</v>
      </c>
      <c r="I6" s="78" t="s">
        <v>299</v>
      </c>
      <c r="J6" s="78" t="s">
        <v>300</v>
      </c>
      <c r="K6" s="90">
        <v>4551960</v>
      </c>
      <c r="L6" s="82" t="s">
        <v>28</v>
      </c>
      <c r="M6" s="82" t="s">
        <v>89</v>
      </c>
      <c r="N6" s="86"/>
    </row>
    <row r="7" spans="1:14">
      <c r="A7" s="87" t="s">
        <v>295</v>
      </c>
      <c r="B7" s="87" t="s">
        <v>302</v>
      </c>
      <c r="C7" s="80" t="s">
        <v>82</v>
      </c>
      <c r="D7" s="78" t="s">
        <v>225</v>
      </c>
      <c r="E7" s="82" t="s">
        <v>310</v>
      </c>
      <c r="F7" s="78">
        <v>2024</v>
      </c>
      <c r="G7" s="78" t="s">
        <v>303</v>
      </c>
      <c r="H7" s="78" t="s">
        <v>304</v>
      </c>
      <c r="I7" s="78" t="s">
        <v>305</v>
      </c>
      <c r="J7" s="78" t="s">
        <v>306</v>
      </c>
      <c r="K7" s="90">
        <v>4143400.5</v>
      </c>
      <c r="L7" s="82" t="s">
        <v>28</v>
      </c>
      <c r="M7" s="82" t="s">
        <v>89</v>
      </c>
      <c r="N7" s="86"/>
    </row>
    <row r="8" spans="1:14">
      <c r="A8" s="87" t="s">
        <v>166</v>
      </c>
      <c r="B8" s="87" t="s">
        <v>224</v>
      </c>
      <c r="C8" s="80" t="s">
        <v>82</v>
      </c>
      <c r="D8" s="78" t="s">
        <v>225</v>
      </c>
      <c r="E8" s="88"/>
      <c r="F8" s="91"/>
      <c r="G8" s="78" t="s">
        <v>226</v>
      </c>
      <c r="H8" s="78" t="s">
        <v>227</v>
      </c>
      <c r="I8" s="80"/>
      <c r="J8" s="78" t="s">
        <v>228</v>
      </c>
      <c r="K8" s="90">
        <v>3412000</v>
      </c>
      <c r="L8" s="82" t="s">
        <v>28</v>
      </c>
      <c r="M8" s="82" t="s">
        <v>89</v>
      </c>
      <c r="N8" s="86"/>
    </row>
    <row r="9" spans="1:14">
      <c r="A9" s="87" t="s">
        <v>166</v>
      </c>
      <c r="B9" s="87" t="s">
        <v>230</v>
      </c>
      <c r="C9" s="80" t="s">
        <v>82</v>
      </c>
      <c r="D9" s="78" t="s">
        <v>225</v>
      </c>
      <c r="E9" s="88"/>
      <c r="F9" s="89"/>
      <c r="G9" s="78" t="s">
        <v>231</v>
      </c>
      <c r="H9" s="78" t="s">
        <v>232</v>
      </c>
      <c r="I9" s="80"/>
      <c r="J9" s="78" t="s">
        <v>111</v>
      </c>
      <c r="K9" s="90">
        <v>2332760.88</v>
      </c>
      <c r="L9" s="82" t="s">
        <v>28</v>
      </c>
      <c r="M9" s="82" t="s">
        <v>89</v>
      </c>
      <c r="N9" s="86"/>
    </row>
    <row r="10" spans="1:14">
      <c r="A10" s="87" t="s">
        <v>166</v>
      </c>
      <c r="B10" s="87" t="s">
        <v>234</v>
      </c>
      <c r="C10" s="80" t="s">
        <v>82</v>
      </c>
      <c r="D10" s="78" t="s">
        <v>225</v>
      </c>
      <c r="E10" s="88"/>
      <c r="F10" s="89"/>
      <c r="G10" s="78" t="s">
        <v>235</v>
      </c>
      <c r="H10" s="78" t="s">
        <v>236</v>
      </c>
      <c r="I10" s="78" t="s">
        <v>237</v>
      </c>
      <c r="J10" s="78" t="s">
        <v>238</v>
      </c>
      <c r="K10" s="90">
        <v>4000000</v>
      </c>
      <c r="L10" s="82" t="s">
        <v>28</v>
      </c>
      <c r="M10" s="82" t="s">
        <v>89</v>
      </c>
      <c r="N10" s="86"/>
    </row>
    <row r="11" spans="1:14">
      <c r="A11" s="87" t="s">
        <v>166</v>
      </c>
      <c r="B11" s="92" t="s">
        <v>240</v>
      </c>
      <c r="C11" s="80" t="s">
        <v>82</v>
      </c>
      <c r="D11" s="78" t="s">
        <v>225</v>
      </c>
      <c r="E11" s="88"/>
      <c r="F11" s="89"/>
      <c r="G11" s="78" t="s">
        <v>241</v>
      </c>
      <c r="H11" s="78" t="s">
        <v>242</v>
      </c>
      <c r="I11" s="78" t="s">
        <v>243</v>
      </c>
      <c r="J11" s="78" t="s">
        <v>244</v>
      </c>
      <c r="K11" s="90">
        <v>4771250</v>
      </c>
      <c r="L11" s="82" t="s">
        <v>28</v>
      </c>
      <c r="M11" s="82" t="s">
        <v>89</v>
      </c>
      <c r="N11" s="86"/>
    </row>
    <row r="12" spans="1:14">
      <c r="A12" s="87" t="s">
        <v>166</v>
      </c>
      <c r="B12" s="87" t="s">
        <v>246</v>
      </c>
      <c r="C12" s="80" t="s">
        <v>82</v>
      </c>
      <c r="D12" s="78" t="s">
        <v>225</v>
      </c>
      <c r="E12" s="82" t="s">
        <v>275</v>
      </c>
      <c r="F12" s="78">
        <v>2025</v>
      </c>
      <c r="G12" s="78" t="s">
        <v>247</v>
      </c>
      <c r="H12" s="78" t="s">
        <v>248</v>
      </c>
      <c r="I12" s="78" t="s">
        <v>249</v>
      </c>
      <c r="J12" s="78" t="s">
        <v>250</v>
      </c>
      <c r="K12" s="90" t="s">
        <v>251</v>
      </c>
      <c r="L12" s="82" t="s">
        <v>28</v>
      </c>
      <c r="M12" s="82" t="s">
        <v>89</v>
      </c>
      <c r="N12" s="86"/>
    </row>
    <row r="13" spans="1:14">
      <c r="A13" s="87" t="s">
        <v>166</v>
      </c>
      <c r="B13" s="87" t="s">
        <v>253</v>
      </c>
      <c r="C13" s="80" t="s">
        <v>82</v>
      </c>
      <c r="D13" s="78" t="s">
        <v>225</v>
      </c>
      <c r="E13" s="88" t="s">
        <v>277</v>
      </c>
      <c r="F13" s="81" t="s">
        <v>311</v>
      </c>
      <c r="G13" s="78" t="s">
        <v>254</v>
      </c>
      <c r="H13" s="78" t="s">
        <v>255</v>
      </c>
      <c r="I13" s="78" t="s">
        <v>256</v>
      </c>
      <c r="J13" s="78" t="s">
        <v>257</v>
      </c>
      <c r="K13" s="90">
        <v>4000000</v>
      </c>
      <c r="L13" s="82" t="s">
        <v>28</v>
      </c>
      <c r="M13" s="82" t="s">
        <v>89</v>
      </c>
      <c r="N13" s="86"/>
    </row>
    <row r="14" spans="1:14">
      <c r="A14" s="87" t="s">
        <v>166</v>
      </c>
      <c r="B14" s="87" t="s">
        <v>259</v>
      </c>
      <c r="C14" s="80" t="s">
        <v>82</v>
      </c>
      <c r="D14" s="78" t="s">
        <v>225</v>
      </c>
      <c r="E14" s="82" t="s">
        <v>279</v>
      </c>
      <c r="F14" s="78" t="s">
        <v>311</v>
      </c>
      <c r="G14" s="78" t="s">
        <v>260</v>
      </c>
      <c r="H14" s="78" t="s">
        <v>261</v>
      </c>
      <c r="I14" s="78" t="s">
        <v>262</v>
      </c>
      <c r="J14" s="93" t="s">
        <v>263</v>
      </c>
      <c r="K14" s="90">
        <v>5000000</v>
      </c>
      <c r="L14" s="82" t="s">
        <v>28</v>
      </c>
      <c r="M14" s="82" t="s">
        <v>89</v>
      </c>
      <c r="N14" s="86"/>
    </row>
    <row r="15" spans="1:14">
      <c r="A15" s="87" t="s">
        <v>166</v>
      </c>
      <c r="B15" s="87" t="s">
        <v>265</v>
      </c>
      <c r="C15" s="80" t="s">
        <v>82</v>
      </c>
      <c r="D15" s="78" t="s">
        <v>225</v>
      </c>
      <c r="E15" s="88"/>
      <c r="F15" s="89"/>
      <c r="G15" s="78" t="s">
        <v>266</v>
      </c>
      <c r="H15" s="78" t="s">
        <v>267</v>
      </c>
      <c r="I15" s="78" t="s">
        <v>268</v>
      </c>
      <c r="J15" s="78" t="s">
        <v>269</v>
      </c>
      <c r="K15" s="90">
        <v>4668619.32</v>
      </c>
      <c r="L15" s="82" t="s">
        <v>28</v>
      </c>
      <c r="M15" s="82" t="s">
        <v>89</v>
      </c>
      <c r="N15" s="86"/>
    </row>
    <row r="16" spans="1:14">
      <c r="A16" s="87">
        <v>2022</v>
      </c>
      <c r="B16" s="87" t="s">
        <v>75</v>
      </c>
      <c r="C16" s="80" t="s">
        <v>82</v>
      </c>
      <c r="D16" s="78" t="s">
        <v>76</v>
      </c>
      <c r="E16" s="82" t="s">
        <v>84</v>
      </c>
      <c r="F16" s="78">
        <v>2024</v>
      </c>
      <c r="G16" s="78" t="s">
        <v>78</v>
      </c>
      <c r="H16" s="78" t="s">
        <v>79</v>
      </c>
      <c r="I16" s="80"/>
      <c r="J16" s="94" t="s">
        <v>83</v>
      </c>
      <c r="K16" s="90">
        <v>1083679</v>
      </c>
      <c r="L16" s="82" t="s">
        <v>28</v>
      </c>
      <c r="M16" s="82" t="s">
        <v>66</v>
      </c>
      <c r="N16" s="86"/>
    </row>
    <row r="17" spans="1:14">
      <c r="A17" s="87" t="s">
        <v>1315</v>
      </c>
      <c r="B17" s="87"/>
      <c r="C17" s="80" t="s">
        <v>82</v>
      </c>
      <c r="D17" s="78" t="s">
        <v>68</v>
      </c>
      <c r="E17" s="82" t="s">
        <v>90</v>
      </c>
      <c r="F17" s="78">
        <v>2022</v>
      </c>
      <c r="G17" s="16" t="s">
        <v>1316</v>
      </c>
      <c r="H17" s="78" t="s">
        <v>986</v>
      </c>
      <c r="I17" s="80"/>
      <c r="J17" s="95" t="s">
        <v>1317</v>
      </c>
      <c r="K17" s="90"/>
      <c r="L17" s="82"/>
      <c r="M17" s="82" t="s">
        <v>66</v>
      </c>
      <c r="N17" s="86"/>
    </row>
    <row r="18" spans="1:14">
      <c r="A18" s="87" t="s">
        <v>1315</v>
      </c>
      <c r="B18" s="87"/>
      <c r="C18" s="80" t="s">
        <v>82</v>
      </c>
      <c r="D18" s="78" t="s">
        <v>652</v>
      </c>
      <c r="E18" s="82" t="s">
        <v>94</v>
      </c>
      <c r="F18" s="78">
        <v>2022</v>
      </c>
      <c r="G18" s="16" t="s">
        <v>1318</v>
      </c>
      <c r="H18" s="78" t="s">
        <v>1319</v>
      </c>
      <c r="I18" s="80"/>
      <c r="J18" s="95" t="s">
        <v>1320</v>
      </c>
      <c r="K18" s="90"/>
      <c r="L18" s="82"/>
      <c r="M18" s="82" t="s">
        <v>66</v>
      </c>
      <c r="N18" s="86"/>
    </row>
    <row r="19" spans="1:14">
      <c r="A19" s="87" t="s">
        <v>1315</v>
      </c>
      <c r="B19" s="87"/>
      <c r="C19" s="80" t="s">
        <v>82</v>
      </c>
      <c r="D19" s="78" t="s">
        <v>712</v>
      </c>
      <c r="E19" s="82" t="s">
        <v>94</v>
      </c>
      <c r="F19" s="78">
        <v>2022</v>
      </c>
      <c r="G19" s="16" t="s">
        <v>1321</v>
      </c>
      <c r="H19" s="78" t="s">
        <v>1322</v>
      </c>
      <c r="I19" s="80"/>
      <c r="J19" s="95" t="s">
        <v>1323</v>
      </c>
      <c r="K19" s="90"/>
      <c r="L19" s="82"/>
      <c r="M19" s="82" t="s">
        <v>66</v>
      </c>
      <c r="N19" s="86"/>
    </row>
    <row r="20" spans="1:14">
      <c r="A20" s="87" t="s">
        <v>1315</v>
      </c>
      <c r="B20" s="87"/>
      <c r="C20" s="80" t="s">
        <v>82</v>
      </c>
      <c r="D20" s="78" t="s">
        <v>712</v>
      </c>
      <c r="E20" s="82" t="s">
        <v>94</v>
      </c>
      <c r="F20" s="78">
        <v>2022</v>
      </c>
      <c r="G20" s="16" t="s">
        <v>1324</v>
      </c>
      <c r="H20" s="78" t="s">
        <v>1325</v>
      </c>
      <c r="I20" s="80"/>
      <c r="J20" s="95" t="s">
        <v>1326</v>
      </c>
      <c r="K20" s="90"/>
      <c r="L20" s="82"/>
      <c r="M20" s="82" t="s">
        <v>66</v>
      </c>
      <c r="N20" s="86"/>
    </row>
    <row r="21" spans="1:14">
      <c r="A21" s="14" t="s">
        <v>314</v>
      </c>
      <c r="B21" s="14"/>
      <c r="C21" s="80" t="s">
        <v>82</v>
      </c>
      <c r="D21" s="16" t="s">
        <v>85</v>
      </c>
      <c r="E21" s="19" t="s">
        <v>350</v>
      </c>
      <c r="F21" s="16">
        <v>2024</v>
      </c>
      <c r="G21" s="16" t="s">
        <v>316</v>
      </c>
      <c r="H21" s="16" t="s">
        <v>317</v>
      </c>
      <c r="I21" s="16"/>
      <c r="J21" s="16" t="s">
        <v>318</v>
      </c>
      <c r="K21" s="18">
        <v>229654</v>
      </c>
      <c r="L21" s="19" t="s">
        <v>28</v>
      </c>
      <c r="M21" s="19" t="s">
        <v>89</v>
      </c>
      <c r="N21" s="19" t="s">
        <v>1327</v>
      </c>
    </row>
    <row r="22" spans="1:14">
      <c r="A22" s="14" t="s">
        <v>166</v>
      </c>
      <c r="B22" s="96"/>
      <c r="C22" s="80" t="s">
        <v>82</v>
      </c>
      <c r="D22" s="16" t="s">
        <v>85</v>
      </c>
      <c r="E22" s="19" t="s">
        <v>282</v>
      </c>
      <c r="F22" s="16">
        <v>2025</v>
      </c>
      <c r="G22" s="16" t="s">
        <v>168</v>
      </c>
      <c r="H22" s="16" t="s">
        <v>169</v>
      </c>
      <c r="I22" s="16"/>
      <c r="J22" s="16" t="s">
        <v>170</v>
      </c>
      <c r="K22" s="18">
        <v>395212</v>
      </c>
      <c r="L22" s="19" t="s">
        <v>28</v>
      </c>
      <c r="M22" s="19" t="s">
        <v>89</v>
      </c>
      <c r="N22" s="19"/>
    </row>
    <row r="23" spans="1:14">
      <c r="A23" s="14" t="s">
        <v>166</v>
      </c>
      <c r="B23" s="14"/>
      <c r="C23" s="80" t="s">
        <v>82</v>
      </c>
      <c r="D23" s="16" t="s">
        <v>85</v>
      </c>
      <c r="E23" s="19" t="s">
        <v>284</v>
      </c>
      <c r="F23" s="16">
        <v>2024</v>
      </c>
      <c r="G23" s="16" t="s">
        <v>173</v>
      </c>
      <c r="H23" s="16" t="s">
        <v>174</v>
      </c>
      <c r="I23" s="16"/>
      <c r="J23" s="16" t="s">
        <v>175</v>
      </c>
      <c r="K23" s="18"/>
      <c r="L23" s="19" t="s">
        <v>28</v>
      </c>
      <c r="M23" s="19" t="s">
        <v>66</v>
      </c>
      <c r="N23" s="19"/>
    </row>
    <row r="24" spans="1:14">
      <c r="A24" s="14" t="s">
        <v>166</v>
      </c>
      <c r="B24" s="14"/>
      <c r="C24" s="80" t="s">
        <v>82</v>
      </c>
      <c r="D24" s="16" t="s">
        <v>85</v>
      </c>
      <c r="E24" s="19" t="s">
        <v>282</v>
      </c>
      <c r="F24" s="16">
        <v>2025</v>
      </c>
      <c r="G24" s="16" t="s">
        <v>178</v>
      </c>
      <c r="H24" s="16" t="s">
        <v>179</v>
      </c>
      <c r="I24" s="16"/>
      <c r="J24" s="16" t="s">
        <v>180</v>
      </c>
      <c r="K24" s="19">
        <v>236341.77</v>
      </c>
      <c r="L24" s="19" t="s">
        <v>28</v>
      </c>
      <c r="M24" s="19" t="s">
        <v>89</v>
      </c>
      <c r="N24" s="19"/>
    </row>
    <row r="25" spans="1:14">
      <c r="A25" s="14" t="s">
        <v>129</v>
      </c>
      <c r="B25" s="96"/>
      <c r="C25" s="80" t="s">
        <v>82</v>
      </c>
      <c r="D25" s="16" t="s">
        <v>85</v>
      </c>
      <c r="E25" s="19" t="s">
        <v>157</v>
      </c>
      <c r="F25" s="16">
        <v>2024</v>
      </c>
      <c r="G25" s="16" t="s">
        <v>91</v>
      </c>
      <c r="H25" s="16" t="s">
        <v>131</v>
      </c>
      <c r="I25" s="16"/>
      <c r="J25" s="16" t="s">
        <v>132</v>
      </c>
      <c r="K25" s="18">
        <v>96107</v>
      </c>
      <c r="L25" s="19" t="s">
        <v>28</v>
      </c>
      <c r="M25" s="19" t="s">
        <v>89</v>
      </c>
      <c r="N25" s="19"/>
    </row>
    <row r="26" spans="1:14">
      <c r="A26" s="14" t="s">
        <v>129</v>
      </c>
      <c r="B26" s="14"/>
      <c r="C26" s="80" t="s">
        <v>82</v>
      </c>
      <c r="D26" s="16" t="s">
        <v>85</v>
      </c>
      <c r="E26" s="19" t="s">
        <v>159</v>
      </c>
      <c r="F26" s="16">
        <v>2024</v>
      </c>
      <c r="G26" s="16" t="s">
        <v>95</v>
      </c>
      <c r="H26" s="16" t="s">
        <v>96</v>
      </c>
      <c r="I26" s="16" t="s">
        <v>135</v>
      </c>
      <c r="J26" s="16" t="s">
        <v>136</v>
      </c>
      <c r="K26" s="32">
        <v>191500</v>
      </c>
      <c r="L26" s="19" t="s">
        <v>28</v>
      </c>
      <c r="M26" s="19" t="s">
        <v>66</v>
      </c>
      <c r="N26" s="19"/>
    </row>
    <row r="27" spans="1:14">
      <c r="A27" s="14" t="s">
        <v>129</v>
      </c>
      <c r="B27" s="14"/>
      <c r="C27" s="80" t="s">
        <v>82</v>
      </c>
      <c r="D27" s="16" t="s">
        <v>85</v>
      </c>
      <c r="E27" s="19" t="s">
        <v>161</v>
      </c>
      <c r="F27" s="16" t="s">
        <v>1328</v>
      </c>
      <c r="G27" s="16" t="s">
        <v>86</v>
      </c>
      <c r="H27" s="16" t="s">
        <v>87</v>
      </c>
      <c r="I27" s="16"/>
      <c r="J27" s="16" t="s">
        <v>139</v>
      </c>
      <c r="K27" s="19">
        <v>349799.56</v>
      </c>
      <c r="L27" s="19" t="s">
        <v>28</v>
      </c>
      <c r="M27" s="19" t="s">
        <v>89</v>
      </c>
      <c r="N27" s="19"/>
    </row>
    <row r="28" spans="1:14">
      <c r="A28" s="20">
        <v>2025</v>
      </c>
      <c r="B28" s="20"/>
      <c r="C28" s="80" t="s">
        <v>82</v>
      </c>
      <c r="D28" s="16" t="s">
        <v>85</v>
      </c>
      <c r="E28" s="19"/>
      <c r="F28" s="97"/>
      <c r="G28" s="16" t="s">
        <v>99</v>
      </c>
      <c r="H28" s="16" t="s">
        <v>100</v>
      </c>
      <c r="I28" s="16" t="s">
        <v>101</v>
      </c>
      <c r="J28" s="16" t="s">
        <v>102</v>
      </c>
      <c r="K28" s="18">
        <v>358538</v>
      </c>
      <c r="L28" s="19" t="s">
        <v>28</v>
      </c>
      <c r="M28" s="19" t="s">
        <v>89</v>
      </c>
      <c r="N28" s="19"/>
    </row>
    <row r="29" spans="1:14">
      <c r="A29" s="20">
        <v>2023</v>
      </c>
      <c r="B29" s="20"/>
      <c r="C29" s="80" t="s">
        <v>82</v>
      </c>
      <c r="D29" s="16" t="s">
        <v>85</v>
      </c>
      <c r="E29" s="19" t="s">
        <v>90</v>
      </c>
      <c r="F29" s="16">
        <v>2024</v>
      </c>
      <c r="G29" s="16" t="s">
        <v>1329</v>
      </c>
      <c r="H29" s="16" t="s">
        <v>1330</v>
      </c>
      <c r="I29" s="16"/>
      <c r="J29" s="98" t="s">
        <v>1331</v>
      </c>
      <c r="K29" s="18"/>
      <c r="L29" s="19"/>
      <c r="M29" s="19" t="s">
        <v>89</v>
      </c>
      <c r="N29" s="19"/>
    </row>
    <row r="30" spans="1:14">
      <c r="A30" s="20">
        <v>2023</v>
      </c>
      <c r="B30" s="20"/>
      <c r="C30" s="80" t="s">
        <v>82</v>
      </c>
      <c r="D30" s="16" t="s">
        <v>85</v>
      </c>
      <c r="E30" s="19" t="s">
        <v>90</v>
      </c>
      <c r="F30" s="16">
        <v>2024</v>
      </c>
      <c r="G30" s="16" t="s">
        <v>1332</v>
      </c>
      <c r="H30" s="16" t="s">
        <v>1333</v>
      </c>
      <c r="I30" s="16"/>
      <c r="J30" s="98" t="s">
        <v>1334</v>
      </c>
      <c r="K30" s="18"/>
      <c r="L30" s="19"/>
      <c r="M30" s="19" t="s">
        <v>89</v>
      </c>
      <c r="N30" s="19"/>
    </row>
    <row r="31" spans="1:14">
      <c r="A31" s="20">
        <v>2023</v>
      </c>
      <c r="B31" s="20"/>
      <c r="C31" s="80" t="s">
        <v>82</v>
      </c>
      <c r="D31" s="16" t="s">
        <v>85</v>
      </c>
      <c r="E31" s="19" t="s">
        <v>90</v>
      </c>
      <c r="F31" s="16">
        <v>2024</v>
      </c>
      <c r="G31" s="16" t="s">
        <v>86</v>
      </c>
      <c r="H31" s="16" t="s">
        <v>87</v>
      </c>
      <c r="I31" s="16"/>
      <c r="J31" s="99" t="s">
        <v>88</v>
      </c>
      <c r="K31" s="100"/>
      <c r="L31" s="19" t="s">
        <v>28</v>
      </c>
      <c r="M31" s="19" t="s">
        <v>89</v>
      </c>
      <c r="N31" s="19"/>
    </row>
    <row r="32" spans="1:14">
      <c r="A32" s="20">
        <v>2023</v>
      </c>
      <c r="B32" s="20"/>
      <c r="C32" s="80" t="s">
        <v>82</v>
      </c>
      <c r="D32" s="16" t="s">
        <v>85</v>
      </c>
      <c r="E32" s="19" t="s">
        <v>90</v>
      </c>
      <c r="F32" s="16">
        <v>2024</v>
      </c>
      <c r="G32" s="16" t="s">
        <v>537</v>
      </c>
      <c r="H32" s="16" t="s">
        <v>538</v>
      </c>
      <c r="I32" s="16"/>
      <c r="J32" s="98" t="s">
        <v>1335</v>
      </c>
      <c r="K32" s="18"/>
      <c r="L32" s="19"/>
      <c r="M32" s="19" t="s">
        <v>89</v>
      </c>
      <c r="N32" s="19"/>
    </row>
    <row r="33" spans="1:14">
      <c r="A33" s="20">
        <v>2023</v>
      </c>
      <c r="B33" s="20"/>
      <c r="C33" s="80" t="s">
        <v>82</v>
      </c>
      <c r="D33" s="16" t="s">
        <v>85</v>
      </c>
      <c r="E33" s="19" t="s">
        <v>90</v>
      </c>
      <c r="F33" s="16">
        <v>2024</v>
      </c>
      <c r="G33" s="16" t="s">
        <v>549</v>
      </c>
      <c r="H33" s="16" t="s">
        <v>1336</v>
      </c>
      <c r="I33" s="16"/>
      <c r="J33" s="99" t="s">
        <v>1337</v>
      </c>
      <c r="K33" s="100"/>
      <c r="L33" s="19"/>
      <c r="M33" s="19"/>
      <c r="N33" s="19"/>
    </row>
    <row r="34" spans="1:14">
      <c r="A34" s="20">
        <v>2023</v>
      </c>
      <c r="B34" s="20"/>
      <c r="C34" s="80" t="s">
        <v>82</v>
      </c>
      <c r="D34" s="16" t="s">
        <v>85</v>
      </c>
      <c r="E34" s="19" t="s">
        <v>94</v>
      </c>
      <c r="F34" s="16">
        <v>2024</v>
      </c>
      <c r="G34" s="16" t="s">
        <v>91</v>
      </c>
      <c r="H34" s="16" t="s">
        <v>92</v>
      </c>
      <c r="I34" s="16"/>
      <c r="J34" s="98" t="s">
        <v>93</v>
      </c>
      <c r="K34" s="18"/>
      <c r="L34" s="19" t="s">
        <v>28</v>
      </c>
      <c r="M34" s="19"/>
      <c r="N34" s="19"/>
    </row>
    <row r="35" spans="1:14">
      <c r="A35" s="20">
        <v>2023</v>
      </c>
      <c r="B35" s="20"/>
      <c r="C35" s="80" t="s">
        <v>82</v>
      </c>
      <c r="D35" s="16" t="s">
        <v>85</v>
      </c>
      <c r="E35" s="19" t="s">
        <v>90</v>
      </c>
      <c r="F35" s="16">
        <v>2024</v>
      </c>
      <c r="G35" s="16" t="s">
        <v>507</v>
      </c>
      <c r="H35" s="16" t="s">
        <v>508</v>
      </c>
      <c r="I35" s="16"/>
      <c r="J35" s="98" t="s">
        <v>1338</v>
      </c>
      <c r="K35" s="18"/>
      <c r="L35" s="19"/>
      <c r="M35" s="19"/>
      <c r="N35" s="19"/>
    </row>
    <row r="36" spans="1:14">
      <c r="A36" s="20">
        <v>2023</v>
      </c>
      <c r="B36" s="20"/>
      <c r="C36" s="80" t="s">
        <v>82</v>
      </c>
      <c r="D36" s="16" t="s">
        <v>85</v>
      </c>
      <c r="E36" s="19" t="s">
        <v>90</v>
      </c>
      <c r="F36" s="16">
        <v>2024</v>
      </c>
      <c r="G36" s="16" t="s">
        <v>95</v>
      </c>
      <c r="H36" s="16" t="s">
        <v>96</v>
      </c>
      <c r="I36" s="16"/>
      <c r="J36" s="98" t="s">
        <v>97</v>
      </c>
      <c r="K36" s="18"/>
      <c r="L36" s="19" t="s">
        <v>28</v>
      </c>
      <c r="M36" s="19"/>
      <c r="N36" s="19"/>
    </row>
    <row r="37" spans="1:14">
      <c r="A37" s="14" t="s">
        <v>314</v>
      </c>
      <c r="B37" s="14"/>
      <c r="C37" s="80" t="s">
        <v>82</v>
      </c>
      <c r="D37" s="16" t="s">
        <v>125</v>
      </c>
      <c r="E37" s="19"/>
      <c r="F37" s="16"/>
      <c r="G37" s="16" t="s">
        <v>320</v>
      </c>
      <c r="H37" s="16" t="s">
        <v>321</v>
      </c>
      <c r="I37" s="16" t="s">
        <v>322</v>
      </c>
      <c r="J37" s="16" t="s">
        <v>323</v>
      </c>
      <c r="K37" s="18">
        <v>7175464</v>
      </c>
      <c r="L37" s="19" t="s">
        <v>28</v>
      </c>
      <c r="M37" s="19" t="s">
        <v>89</v>
      </c>
      <c r="N37" s="19"/>
    </row>
    <row r="38" spans="1:14">
      <c r="A38" s="14" t="s">
        <v>314</v>
      </c>
      <c r="B38" s="14"/>
      <c r="C38" s="80" t="s">
        <v>82</v>
      </c>
      <c r="D38" s="16" t="s">
        <v>125</v>
      </c>
      <c r="E38" s="19" t="s">
        <v>282</v>
      </c>
      <c r="F38" s="16">
        <v>2025</v>
      </c>
      <c r="G38" s="16" t="s">
        <v>325</v>
      </c>
      <c r="H38" s="16" t="s">
        <v>51</v>
      </c>
      <c r="I38" s="16"/>
      <c r="J38" s="42" t="s">
        <v>1339</v>
      </c>
      <c r="K38" s="18">
        <v>4998689</v>
      </c>
      <c r="L38" s="19" t="s">
        <v>28</v>
      </c>
      <c r="M38" s="19" t="s">
        <v>89</v>
      </c>
      <c r="N38" s="19"/>
    </row>
    <row r="39" spans="1:14">
      <c r="A39" s="14" t="s">
        <v>314</v>
      </c>
      <c r="B39" s="14"/>
      <c r="C39" s="80" t="s">
        <v>82</v>
      </c>
      <c r="D39" s="16" t="s">
        <v>125</v>
      </c>
      <c r="E39" s="19" t="s">
        <v>282</v>
      </c>
      <c r="F39" s="16">
        <v>2025</v>
      </c>
      <c r="G39" s="16" t="s">
        <v>328</v>
      </c>
      <c r="H39" s="16" t="s">
        <v>329</v>
      </c>
      <c r="I39" s="16"/>
      <c r="J39" s="16" t="s">
        <v>120</v>
      </c>
      <c r="K39" s="18">
        <v>4999988</v>
      </c>
      <c r="L39" s="19" t="s">
        <v>28</v>
      </c>
      <c r="M39" s="19" t="s">
        <v>89</v>
      </c>
      <c r="N39" s="19"/>
    </row>
    <row r="40" spans="1:14">
      <c r="A40" s="14" t="s">
        <v>314</v>
      </c>
      <c r="B40" s="14"/>
      <c r="C40" s="80" t="s">
        <v>82</v>
      </c>
      <c r="D40" s="16" t="s">
        <v>125</v>
      </c>
      <c r="E40" s="19"/>
      <c r="F40" s="16"/>
      <c r="G40" s="16" t="s">
        <v>331</v>
      </c>
      <c r="H40" s="16" t="s">
        <v>332</v>
      </c>
      <c r="I40" s="16"/>
      <c r="J40" s="16" t="s">
        <v>333</v>
      </c>
      <c r="K40" s="18">
        <v>5000000</v>
      </c>
      <c r="L40" s="19" t="s">
        <v>28</v>
      </c>
      <c r="M40" s="19" t="s">
        <v>89</v>
      </c>
      <c r="N40" s="19"/>
    </row>
    <row r="41" spans="1:14">
      <c r="A41" s="14" t="s">
        <v>314</v>
      </c>
      <c r="B41" s="14"/>
      <c r="C41" s="80" t="s">
        <v>82</v>
      </c>
      <c r="D41" s="16" t="s">
        <v>125</v>
      </c>
      <c r="E41" s="19"/>
      <c r="F41" s="16"/>
      <c r="G41" s="16" t="s">
        <v>335</v>
      </c>
      <c r="H41" s="16" t="s">
        <v>336</v>
      </c>
      <c r="I41" s="16"/>
      <c r="J41" s="16" t="s">
        <v>337</v>
      </c>
      <c r="K41" s="18">
        <v>4884739</v>
      </c>
      <c r="L41" s="19" t="s">
        <v>28</v>
      </c>
      <c r="M41" s="19" t="s">
        <v>89</v>
      </c>
      <c r="N41" s="101"/>
    </row>
    <row r="42" spans="1:14">
      <c r="A42" s="14" t="s">
        <v>314</v>
      </c>
      <c r="B42" s="14"/>
      <c r="C42" s="80" t="s">
        <v>82</v>
      </c>
      <c r="D42" s="16" t="s">
        <v>125</v>
      </c>
      <c r="E42" s="19"/>
      <c r="F42" s="16"/>
      <c r="G42" s="16" t="s">
        <v>339</v>
      </c>
      <c r="H42" s="16" t="s">
        <v>340</v>
      </c>
      <c r="I42" s="16"/>
      <c r="J42" s="16" t="s">
        <v>341</v>
      </c>
      <c r="K42" s="18">
        <v>4993468</v>
      </c>
      <c r="L42" s="19" t="s">
        <v>28</v>
      </c>
      <c r="M42" s="19" t="s">
        <v>89</v>
      </c>
      <c r="N42" s="101"/>
    </row>
    <row r="43" spans="1:14">
      <c r="A43" s="14" t="s">
        <v>166</v>
      </c>
      <c r="B43" s="14"/>
      <c r="C43" s="80" t="s">
        <v>82</v>
      </c>
      <c r="D43" s="16" t="s">
        <v>125</v>
      </c>
      <c r="E43" s="19"/>
      <c r="F43" s="97"/>
      <c r="G43" s="16" t="s">
        <v>183</v>
      </c>
      <c r="H43" s="16" t="s">
        <v>184</v>
      </c>
      <c r="I43" s="16"/>
      <c r="J43" s="16" t="s">
        <v>185</v>
      </c>
      <c r="K43" s="18">
        <v>2998072</v>
      </c>
      <c r="L43" s="19" t="s">
        <v>28</v>
      </c>
      <c r="M43" s="19" t="s">
        <v>89</v>
      </c>
      <c r="N43" s="101"/>
    </row>
    <row r="44" spans="1:14">
      <c r="A44" s="14" t="s">
        <v>166</v>
      </c>
      <c r="B44" s="14"/>
      <c r="C44" s="80" t="s">
        <v>82</v>
      </c>
      <c r="D44" s="16" t="s">
        <v>125</v>
      </c>
      <c r="E44" s="19"/>
      <c r="F44" s="97"/>
      <c r="G44" s="16" t="s">
        <v>188</v>
      </c>
      <c r="H44" s="16" t="s">
        <v>189</v>
      </c>
      <c r="I44" s="16"/>
      <c r="J44" s="16" t="s">
        <v>190</v>
      </c>
      <c r="K44" s="18">
        <v>2911170</v>
      </c>
      <c r="L44" s="19" t="s">
        <v>28</v>
      </c>
      <c r="M44" s="19" t="s">
        <v>89</v>
      </c>
      <c r="N44" s="101"/>
    </row>
    <row r="45" spans="1:14">
      <c r="A45" s="14" t="s">
        <v>166</v>
      </c>
      <c r="B45" s="14"/>
      <c r="C45" s="80" t="s">
        <v>82</v>
      </c>
      <c r="D45" s="16" t="s">
        <v>125</v>
      </c>
      <c r="E45" s="102"/>
      <c r="F45" s="103"/>
      <c r="G45" s="16" t="s">
        <v>193</v>
      </c>
      <c r="H45" s="16" t="s">
        <v>194</v>
      </c>
      <c r="I45" s="16"/>
      <c r="J45" s="16" t="s">
        <v>106</v>
      </c>
      <c r="K45" s="18">
        <v>2384720</v>
      </c>
      <c r="L45" s="19" t="s">
        <v>28</v>
      </c>
      <c r="M45" s="19" t="s">
        <v>89</v>
      </c>
      <c r="N45" s="101"/>
    </row>
    <row r="46" spans="1:14">
      <c r="A46" s="14" t="s">
        <v>166</v>
      </c>
      <c r="B46" s="14"/>
      <c r="C46" s="80" t="s">
        <v>82</v>
      </c>
      <c r="D46" s="16" t="s">
        <v>197</v>
      </c>
      <c r="E46" s="19"/>
      <c r="F46" s="97"/>
      <c r="G46" s="16" t="s">
        <v>198</v>
      </c>
      <c r="H46" s="16" t="s">
        <v>199</v>
      </c>
      <c r="I46" s="16"/>
      <c r="J46" s="16" t="s">
        <v>200</v>
      </c>
      <c r="K46" s="18">
        <v>2975715</v>
      </c>
      <c r="L46" s="19" t="s">
        <v>28</v>
      </c>
      <c r="M46" s="19" t="s">
        <v>89</v>
      </c>
      <c r="N46" s="101"/>
    </row>
    <row r="47" spans="1:14">
      <c r="A47" s="14" t="s">
        <v>166</v>
      </c>
      <c r="B47" s="14"/>
      <c r="C47" s="80" t="s">
        <v>82</v>
      </c>
      <c r="D47" s="16" t="s">
        <v>125</v>
      </c>
      <c r="E47" s="19"/>
      <c r="F47" s="97"/>
      <c r="G47" s="16" t="s">
        <v>203</v>
      </c>
      <c r="H47" s="16" t="s">
        <v>204</v>
      </c>
      <c r="I47" s="16"/>
      <c r="J47" s="16" t="s">
        <v>205</v>
      </c>
      <c r="K47" s="18">
        <v>2999945.74</v>
      </c>
      <c r="L47" s="19" t="s">
        <v>28</v>
      </c>
      <c r="M47" s="19" t="s">
        <v>89</v>
      </c>
      <c r="N47" s="101"/>
    </row>
    <row r="48" spans="1:14">
      <c r="A48" s="14" t="s">
        <v>166</v>
      </c>
      <c r="B48" s="14"/>
      <c r="C48" s="80" t="s">
        <v>82</v>
      </c>
      <c r="D48" s="16" t="s">
        <v>125</v>
      </c>
      <c r="E48" s="19"/>
      <c r="F48" s="97"/>
      <c r="G48" s="16" t="s">
        <v>208</v>
      </c>
      <c r="H48" s="16" t="s">
        <v>209</v>
      </c>
      <c r="I48" s="16" t="s">
        <v>210</v>
      </c>
      <c r="J48" s="16" t="s">
        <v>211</v>
      </c>
      <c r="K48" s="18">
        <v>2789556</v>
      </c>
      <c r="L48" s="19" t="s">
        <v>28</v>
      </c>
      <c r="M48" s="19" t="s">
        <v>89</v>
      </c>
      <c r="N48" s="101"/>
    </row>
    <row r="49" spans="1:14">
      <c r="A49" s="14" t="s">
        <v>166</v>
      </c>
      <c r="B49" s="14"/>
      <c r="C49" s="80" t="s">
        <v>82</v>
      </c>
      <c r="D49" s="16" t="s">
        <v>125</v>
      </c>
      <c r="E49" s="19"/>
      <c r="F49" s="97"/>
      <c r="G49" s="16" t="s">
        <v>214</v>
      </c>
      <c r="H49" s="16" t="s">
        <v>215</v>
      </c>
      <c r="I49" s="16" t="s">
        <v>216</v>
      </c>
      <c r="J49" s="16" t="s">
        <v>217</v>
      </c>
      <c r="K49" s="18">
        <v>2896644</v>
      </c>
      <c r="L49" s="19" t="s">
        <v>28</v>
      </c>
      <c r="M49" s="19" t="s">
        <v>89</v>
      </c>
      <c r="N49" s="101"/>
    </row>
    <row r="50" spans="1:14">
      <c r="A50" s="14" t="s">
        <v>166</v>
      </c>
      <c r="B50" s="14"/>
      <c r="C50" s="80" t="s">
        <v>82</v>
      </c>
      <c r="D50" s="16" t="s">
        <v>125</v>
      </c>
      <c r="E50" s="19"/>
      <c r="F50" s="97"/>
      <c r="G50" s="16" t="s">
        <v>220</v>
      </c>
      <c r="H50" s="16" t="s">
        <v>221</v>
      </c>
      <c r="I50" s="16"/>
      <c r="J50" s="16" t="s">
        <v>222</v>
      </c>
      <c r="K50" s="18">
        <v>2785599</v>
      </c>
      <c r="L50" s="19" t="s">
        <v>28</v>
      </c>
      <c r="M50" s="19" t="s">
        <v>89</v>
      </c>
      <c r="N50" s="101"/>
    </row>
    <row r="51" spans="1:14">
      <c r="A51" s="14" t="s">
        <v>129</v>
      </c>
      <c r="B51" s="14"/>
      <c r="C51" s="80" t="s">
        <v>82</v>
      </c>
      <c r="D51" s="16" t="s">
        <v>125</v>
      </c>
      <c r="E51" s="19"/>
      <c r="F51" s="97"/>
      <c r="G51" s="16" t="s">
        <v>142</v>
      </c>
      <c r="H51" s="16" t="s">
        <v>143</v>
      </c>
      <c r="I51" s="16" t="s">
        <v>144</v>
      </c>
      <c r="J51" s="16" t="s">
        <v>145</v>
      </c>
      <c r="K51" s="18">
        <v>2715682.84</v>
      </c>
      <c r="L51" s="19" t="s">
        <v>28</v>
      </c>
      <c r="M51" s="19" t="s">
        <v>89</v>
      </c>
      <c r="N51" s="101"/>
    </row>
    <row r="52" spans="1:14">
      <c r="A52" s="14" t="s">
        <v>129</v>
      </c>
      <c r="B52" s="14"/>
      <c r="C52" s="80" t="s">
        <v>82</v>
      </c>
      <c r="D52" s="16" t="s">
        <v>125</v>
      </c>
      <c r="E52" s="19"/>
      <c r="F52" s="97"/>
      <c r="G52" s="19" t="s">
        <v>148</v>
      </c>
      <c r="H52" s="16" t="s">
        <v>149</v>
      </c>
      <c r="I52" s="16"/>
      <c r="J52" s="16" t="s">
        <v>150</v>
      </c>
      <c r="K52" s="18">
        <v>2398683</v>
      </c>
      <c r="L52" s="19" t="s">
        <v>28</v>
      </c>
      <c r="M52" s="19" t="s">
        <v>89</v>
      </c>
      <c r="N52" s="101"/>
    </row>
    <row r="53" spans="1:14">
      <c r="A53" s="14" t="s">
        <v>129</v>
      </c>
      <c r="B53" s="16"/>
      <c r="C53" s="80" t="s">
        <v>82</v>
      </c>
      <c r="D53" s="16" t="s">
        <v>125</v>
      </c>
      <c r="E53" s="19"/>
      <c r="F53" s="104"/>
      <c r="G53" s="16" t="s">
        <v>152</v>
      </c>
      <c r="H53" s="16" t="s">
        <v>153</v>
      </c>
      <c r="I53" s="16" t="s">
        <v>154</v>
      </c>
      <c r="J53" s="16" t="s">
        <v>155</v>
      </c>
      <c r="K53" s="18">
        <v>7936800</v>
      </c>
      <c r="L53" s="19" t="s">
        <v>28</v>
      </c>
      <c r="M53" s="19" t="s">
        <v>89</v>
      </c>
      <c r="N53" s="101"/>
    </row>
    <row r="54" spans="1:14">
      <c r="J54" s="43"/>
    </row>
    <row r="55" spans="1:14">
      <c r="J55" s="43"/>
    </row>
    <row r="56" spans="1:14">
      <c r="J56" s="43"/>
    </row>
    <row r="57" spans="1:14">
      <c r="J57" s="43"/>
    </row>
    <row r="58" spans="1:14">
      <c r="J58" s="43"/>
    </row>
    <row r="59" spans="1:14">
      <c r="J59" s="43"/>
    </row>
    <row r="60" spans="1:14">
      <c r="J60" s="43"/>
    </row>
    <row r="61" spans="1:14">
      <c r="J61" s="43"/>
    </row>
    <row r="62" spans="1:14">
      <c r="J62" s="43"/>
    </row>
    <row r="63" spans="1:14">
      <c r="J63" s="43"/>
    </row>
    <row r="64" spans="1:14">
      <c r="J64" s="43"/>
    </row>
    <row r="65" spans="10:10">
      <c r="J65" s="43"/>
    </row>
    <row r="66" spans="10:10">
      <c r="J66" s="43"/>
    </row>
    <row r="67" spans="10:10">
      <c r="J67" s="43"/>
    </row>
    <row r="68" spans="10:10">
      <c r="J68" s="43"/>
    </row>
    <row r="69" spans="10:10">
      <c r="J69" s="43"/>
    </row>
    <row r="70" spans="10:10">
      <c r="J70" s="43"/>
    </row>
    <row r="71" spans="10:10">
      <c r="J71" s="43"/>
    </row>
    <row r="72" spans="10:10">
      <c r="J72" s="43"/>
    </row>
    <row r="73" spans="10:10">
      <c r="J73" s="43"/>
    </row>
    <row r="74" spans="10:10">
      <c r="J74" s="43"/>
    </row>
    <row r="75" spans="10:10">
      <c r="J75" s="43"/>
    </row>
    <row r="76" spans="10:10">
      <c r="J76" s="43"/>
    </row>
    <row r="77" spans="10:10">
      <c r="J77" s="43"/>
    </row>
    <row r="78" spans="10:10">
      <c r="J78" s="43"/>
    </row>
    <row r="79" spans="10:10">
      <c r="J79" s="43"/>
    </row>
    <row r="80" spans="10:10">
      <c r="J80" s="43"/>
    </row>
    <row r="81" spans="4:10">
      <c r="J81" s="43"/>
    </row>
    <row r="82" spans="4:10">
      <c r="J82" s="43"/>
    </row>
    <row r="83" spans="4:10">
      <c r="J83" s="43"/>
    </row>
    <row r="84" spans="4:10">
      <c r="J84" s="43"/>
    </row>
    <row r="85" spans="4:10">
      <c r="J85" s="43"/>
    </row>
    <row r="86" spans="4:10">
      <c r="J86" s="43"/>
    </row>
    <row r="87" spans="4:10">
      <c r="J87" s="43"/>
    </row>
    <row r="88" spans="4:10">
      <c r="J88" s="43"/>
    </row>
    <row r="89" spans="4:10">
      <c r="J89" s="43"/>
    </row>
    <row r="90" spans="4:10">
      <c r="J90" s="43"/>
    </row>
    <row r="91" spans="4:10">
      <c r="J91" s="43"/>
    </row>
    <row r="92" spans="4:10">
      <c r="D92" s="43"/>
      <c r="J92" s="43"/>
    </row>
    <row r="93" spans="4:10">
      <c r="D93" s="43"/>
      <c r="J93" s="43"/>
    </row>
    <row r="94" spans="4:10">
      <c r="D94" s="43"/>
      <c r="J94" s="43"/>
    </row>
    <row r="95" spans="4:10">
      <c r="D95" s="43"/>
      <c r="J95" s="43"/>
    </row>
    <row r="96" spans="4:10">
      <c r="D96" s="43"/>
      <c r="J96" s="43"/>
    </row>
    <row r="97" spans="4:10">
      <c r="D97" s="43"/>
      <c r="J97" s="43"/>
    </row>
    <row r="98" spans="4:10">
      <c r="D98" s="43"/>
      <c r="J98" s="43"/>
    </row>
    <row r="99" spans="4:10">
      <c r="D99" s="43"/>
      <c r="J99" s="43"/>
    </row>
    <row r="100" spans="4:10">
      <c r="D100" s="43"/>
      <c r="J100" s="43"/>
    </row>
    <row r="101" spans="4:10">
      <c r="D101" s="43"/>
      <c r="J101" s="43"/>
    </row>
    <row r="102" spans="4:10">
      <c r="D102" s="43"/>
      <c r="J102" s="43"/>
    </row>
    <row r="103" spans="4:10">
      <c r="D103" s="43"/>
      <c r="J103" s="43"/>
    </row>
    <row r="104" spans="4:10">
      <c r="D104" s="43"/>
      <c r="J104" s="43"/>
    </row>
    <row r="105" spans="4:10">
      <c r="D105" s="43"/>
      <c r="J105" s="43"/>
    </row>
    <row r="106" spans="4:10">
      <c r="D106" s="43"/>
      <c r="J106" s="43"/>
    </row>
    <row r="107" spans="4:10">
      <c r="D107" s="43"/>
      <c r="J107" s="43"/>
    </row>
    <row r="108" spans="4:10">
      <c r="D108" s="43"/>
      <c r="J108" s="43"/>
    </row>
    <row r="109" spans="4:10">
      <c r="D109" s="43"/>
      <c r="J109" s="43"/>
    </row>
    <row r="110" spans="4:10">
      <c r="D110" s="43"/>
      <c r="J110" s="43"/>
    </row>
    <row r="111" spans="4:10">
      <c r="D111" s="43"/>
      <c r="J111" s="43"/>
    </row>
    <row r="112" spans="4:10">
      <c r="D112" s="43"/>
      <c r="J112" s="43"/>
    </row>
    <row r="113" spans="4:10">
      <c r="D113" s="43"/>
      <c r="J113" s="43"/>
    </row>
    <row r="114" spans="4:10">
      <c r="D114" s="43"/>
      <c r="J114" s="43"/>
    </row>
    <row r="115" spans="4:10">
      <c r="D115" s="43"/>
      <c r="J115" s="43"/>
    </row>
    <row r="116" spans="4:10">
      <c r="D116" s="43"/>
      <c r="J116" s="43"/>
    </row>
    <row r="117" spans="4:10">
      <c r="D117" s="43"/>
      <c r="J117" s="43"/>
    </row>
    <row r="118" spans="4:10">
      <c r="D118" s="43"/>
      <c r="J118" s="43"/>
    </row>
    <row r="119" spans="4:10">
      <c r="D119" s="43"/>
      <c r="J119" s="43"/>
    </row>
    <row r="120" spans="4:10">
      <c r="D120" s="43"/>
      <c r="J120" s="43"/>
    </row>
    <row r="121" spans="4:10">
      <c r="D121" s="43"/>
      <c r="J121" s="43"/>
    </row>
    <row r="122" spans="4:10">
      <c r="D122" s="43"/>
      <c r="J122" s="43"/>
    </row>
    <row r="123" spans="4:10">
      <c r="D123" s="43"/>
      <c r="J123" s="43"/>
    </row>
    <row r="124" spans="4:10">
      <c r="D124" s="43"/>
      <c r="J124" s="43"/>
    </row>
    <row r="125" spans="4:10">
      <c r="D125" s="43"/>
      <c r="J125" s="43"/>
    </row>
    <row r="126" spans="4:10">
      <c r="D126" s="43"/>
      <c r="J126" s="43"/>
    </row>
    <row r="127" spans="4:10">
      <c r="D127" s="43"/>
      <c r="J127" s="43"/>
    </row>
    <row r="128" spans="4:10">
      <c r="D128" s="43"/>
      <c r="J128" s="43"/>
    </row>
    <row r="129" spans="4:10">
      <c r="D129" s="43"/>
      <c r="J129" s="43"/>
    </row>
    <row r="130" spans="4:10">
      <c r="D130" s="43"/>
      <c r="J130" s="43"/>
    </row>
    <row r="131" spans="4:10">
      <c r="D131" s="43"/>
      <c r="J131" s="43"/>
    </row>
    <row r="132" spans="4:10">
      <c r="D132" s="43"/>
      <c r="J132" s="43"/>
    </row>
    <row r="133" spans="4:10">
      <c r="D133" s="43"/>
      <c r="J133" s="43"/>
    </row>
    <row r="134" spans="4:10">
      <c r="D134" s="43"/>
      <c r="J134" s="43"/>
    </row>
    <row r="135" spans="4:10">
      <c r="D135" s="43"/>
      <c r="J135" s="43"/>
    </row>
    <row r="136" spans="4:10">
      <c r="D136" s="43"/>
      <c r="J136" s="43"/>
    </row>
    <row r="137" spans="4:10">
      <c r="D137" s="43"/>
      <c r="J137" s="43"/>
    </row>
    <row r="138" spans="4:10">
      <c r="D138" s="43"/>
      <c r="J138" s="43"/>
    </row>
    <row r="139" spans="4:10">
      <c r="D139" s="43"/>
      <c r="J139" s="43"/>
    </row>
    <row r="140" spans="4:10">
      <c r="D140" s="43"/>
      <c r="J140" s="43"/>
    </row>
    <row r="141" spans="4:10">
      <c r="D141" s="43"/>
      <c r="J141" s="43"/>
    </row>
    <row r="142" spans="4:10">
      <c r="D142" s="43"/>
      <c r="J142" s="43"/>
    </row>
    <row r="143" spans="4:10">
      <c r="D143" s="43"/>
      <c r="J143" s="43"/>
    </row>
    <row r="144" spans="4:10">
      <c r="D144" s="43"/>
      <c r="J144" s="43"/>
    </row>
    <row r="145" spans="4:10">
      <c r="D145" s="43"/>
      <c r="J145" s="43"/>
    </row>
    <row r="146" spans="4:10">
      <c r="D146" s="43"/>
      <c r="J146" s="43"/>
    </row>
    <row r="147" spans="4:10">
      <c r="D147" s="43"/>
      <c r="J147" s="43"/>
    </row>
    <row r="148" spans="4:10">
      <c r="D148" s="43"/>
      <c r="J148" s="43"/>
    </row>
    <row r="149" spans="4:10">
      <c r="D149" s="43"/>
      <c r="J149" s="43"/>
    </row>
    <row r="150" spans="4:10">
      <c r="D150" s="43"/>
      <c r="J150" s="43"/>
    </row>
    <row r="151" spans="4:10">
      <c r="D151" s="43"/>
      <c r="J151" s="43"/>
    </row>
    <row r="152" spans="4:10">
      <c r="D152" s="43"/>
      <c r="J152" s="43"/>
    </row>
    <row r="153" spans="4:10">
      <c r="D153" s="43"/>
      <c r="J153" s="43"/>
    </row>
    <row r="154" spans="4:10">
      <c r="D154" s="43"/>
      <c r="J154" s="43"/>
    </row>
    <row r="155" spans="4:10">
      <c r="D155" s="43"/>
      <c r="J155" s="43"/>
    </row>
    <row r="156" spans="4:10">
      <c r="D156" s="43"/>
      <c r="J156" s="43"/>
    </row>
    <row r="157" spans="4:10">
      <c r="D157" s="43"/>
      <c r="J157" s="43"/>
    </row>
    <row r="158" spans="4:10">
      <c r="D158" s="43"/>
      <c r="J158" s="43"/>
    </row>
    <row r="159" spans="4:10">
      <c r="D159" s="43"/>
      <c r="J159" s="43"/>
    </row>
    <row r="160" spans="4:10">
      <c r="D160" s="43"/>
      <c r="J160" s="43"/>
    </row>
    <row r="161" spans="4:10">
      <c r="D161" s="43"/>
      <c r="J161" s="43"/>
    </row>
    <row r="162" spans="4:10">
      <c r="D162" s="43"/>
      <c r="J162" s="43"/>
    </row>
    <row r="163" spans="4:10">
      <c r="D163" s="43"/>
      <c r="J163" s="43"/>
    </row>
    <row r="164" spans="4:10">
      <c r="D164" s="43"/>
      <c r="J164" s="43"/>
    </row>
    <row r="165" spans="4:10">
      <c r="D165" s="43"/>
      <c r="J165" s="43"/>
    </row>
    <row r="166" spans="4:10">
      <c r="D166" s="43"/>
      <c r="J166" s="43"/>
    </row>
    <row r="167" spans="4:10">
      <c r="D167" s="43"/>
      <c r="J167" s="43"/>
    </row>
    <row r="168" spans="4:10">
      <c r="D168" s="43"/>
      <c r="J168" s="43"/>
    </row>
    <row r="169" spans="4:10">
      <c r="D169" s="43"/>
      <c r="J169" s="43"/>
    </row>
    <row r="170" spans="4:10">
      <c r="D170" s="43"/>
      <c r="J170" s="43"/>
    </row>
    <row r="171" spans="4:10">
      <c r="D171" s="43"/>
      <c r="J171" s="43"/>
    </row>
    <row r="172" spans="4:10">
      <c r="D172" s="43"/>
      <c r="J172" s="43"/>
    </row>
    <row r="173" spans="4:10">
      <c r="D173" s="43"/>
      <c r="J173" s="43"/>
    </row>
    <row r="174" spans="4:10">
      <c r="D174" s="43"/>
      <c r="J174" s="43"/>
    </row>
    <row r="175" spans="4:10">
      <c r="D175" s="43"/>
      <c r="J175" s="43"/>
    </row>
    <row r="176" spans="4:10">
      <c r="D176" s="43"/>
      <c r="J176" s="43"/>
    </row>
    <row r="177" spans="4:10">
      <c r="D177" s="43"/>
      <c r="J177" s="43"/>
    </row>
    <row r="178" spans="4:10">
      <c r="D178" s="43"/>
      <c r="J178" s="43"/>
    </row>
    <row r="179" spans="4:10">
      <c r="D179" s="43"/>
      <c r="J179" s="43"/>
    </row>
    <row r="180" spans="4:10">
      <c r="D180" s="43"/>
      <c r="J180" s="43"/>
    </row>
    <row r="181" spans="4:10">
      <c r="D181" s="43"/>
      <c r="J181" s="43"/>
    </row>
    <row r="182" spans="4:10">
      <c r="D182" s="43"/>
      <c r="J182" s="43"/>
    </row>
    <row r="183" spans="4:10">
      <c r="D183" s="43"/>
      <c r="J183" s="43"/>
    </row>
    <row r="184" spans="4:10">
      <c r="D184" s="43"/>
      <c r="J184" s="43"/>
    </row>
    <row r="185" spans="4:10">
      <c r="D185" s="43"/>
      <c r="J185" s="43"/>
    </row>
    <row r="186" spans="4:10">
      <c r="D186" s="43"/>
      <c r="J186" s="43"/>
    </row>
    <row r="187" spans="4:10">
      <c r="D187" s="43"/>
      <c r="J187" s="43"/>
    </row>
    <row r="188" spans="4:10">
      <c r="D188" s="43"/>
      <c r="J188" s="43"/>
    </row>
    <row r="189" spans="4:10">
      <c r="D189" s="43"/>
      <c r="J189" s="43"/>
    </row>
    <row r="190" spans="4:10">
      <c r="D190" s="43"/>
      <c r="J190" s="43"/>
    </row>
    <row r="191" spans="4:10">
      <c r="D191" s="43"/>
      <c r="J191" s="43"/>
    </row>
    <row r="192" spans="4:10">
      <c r="D192" s="43"/>
      <c r="J192" s="43"/>
    </row>
    <row r="193" spans="4:10">
      <c r="D193" s="43"/>
      <c r="J193" s="43"/>
    </row>
    <row r="194" spans="4:10">
      <c r="D194" s="43"/>
      <c r="J194" s="43"/>
    </row>
    <row r="195" spans="4:10">
      <c r="D195" s="43"/>
      <c r="J195" s="43"/>
    </row>
    <row r="196" spans="4:10">
      <c r="D196" s="43"/>
      <c r="J196" s="43"/>
    </row>
    <row r="197" spans="4:10">
      <c r="D197" s="43"/>
      <c r="J197" s="43"/>
    </row>
    <row r="198" spans="4:10">
      <c r="D198" s="43"/>
      <c r="J198" s="43"/>
    </row>
    <row r="199" spans="4:10">
      <c r="D199" s="43"/>
      <c r="J199" s="43"/>
    </row>
    <row r="200" spans="4:10">
      <c r="D200" s="43"/>
      <c r="J200" s="43"/>
    </row>
    <row r="201" spans="4:10">
      <c r="D201" s="43"/>
      <c r="J201" s="43"/>
    </row>
    <row r="202" spans="4:10">
      <c r="D202" s="43"/>
      <c r="J202" s="43"/>
    </row>
    <row r="203" spans="4:10">
      <c r="D203" s="43"/>
      <c r="J203" s="43"/>
    </row>
    <row r="204" spans="4:10">
      <c r="D204" s="43"/>
      <c r="J204" s="43"/>
    </row>
    <row r="205" spans="4:10">
      <c r="D205" s="43"/>
      <c r="J205" s="43"/>
    </row>
    <row r="206" spans="4:10">
      <c r="D206" s="43"/>
      <c r="J206" s="43"/>
    </row>
    <row r="207" spans="4:10">
      <c r="D207" s="43"/>
      <c r="J207" s="43"/>
    </row>
    <row r="208" spans="4:10">
      <c r="D208" s="43"/>
      <c r="J208" s="43"/>
    </row>
    <row r="209" spans="4:10">
      <c r="D209" s="43"/>
      <c r="J209" s="43"/>
    </row>
    <row r="210" spans="4:10">
      <c r="D210" s="43"/>
      <c r="J210" s="43"/>
    </row>
    <row r="211" spans="4:10">
      <c r="D211" s="43"/>
      <c r="J211" s="43"/>
    </row>
    <row r="212" spans="4:10">
      <c r="D212" s="43"/>
      <c r="J212" s="43"/>
    </row>
    <row r="213" spans="4:10">
      <c r="D213" s="43"/>
      <c r="J213" s="43"/>
    </row>
    <row r="214" spans="4:10">
      <c r="D214" s="43"/>
      <c r="J214" s="43"/>
    </row>
    <row r="215" spans="4:10">
      <c r="D215" s="43"/>
      <c r="J215" s="43"/>
    </row>
    <row r="216" spans="4:10">
      <c r="D216" s="43"/>
      <c r="J216" s="43"/>
    </row>
    <row r="217" spans="4:10">
      <c r="D217" s="43"/>
      <c r="J217" s="43"/>
    </row>
    <row r="218" spans="4:10">
      <c r="D218" s="43"/>
      <c r="J218" s="43"/>
    </row>
    <row r="219" spans="4:10">
      <c r="D219" s="43"/>
      <c r="J219" s="43"/>
    </row>
    <row r="220" spans="4:10">
      <c r="D220" s="43"/>
      <c r="J220" s="43"/>
    </row>
    <row r="221" spans="4:10">
      <c r="D221" s="43"/>
      <c r="J221" s="43"/>
    </row>
    <row r="222" spans="4:10">
      <c r="D222" s="43"/>
      <c r="J222" s="43"/>
    </row>
    <row r="223" spans="4:10">
      <c r="D223" s="43"/>
      <c r="J223" s="43"/>
    </row>
    <row r="224" spans="4:10">
      <c r="D224" s="43"/>
      <c r="J224" s="43"/>
    </row>
    <row r="225" spans="4:10">
      <c r="D225" s="43"/>
      <c r="J225" s="43"/>
    </row>
    <row r="226" spans="4:10">
      <c r="D226" s="43"/>
      <c r="J226" s="43"/>
    </row>
    <row r="227" spans="4:10">
      <c r="D227" s="43"/>
      <c r="J227" s="43"/>
    </row>
    <row r="228" spans="4:10">
      <c r="D228" s="43"/>
      <c r="J228" s="43"/>
    </row>
    <row r="229" spans="4:10">
      <c r="D229" s="43"/>
      <c r="J229" s="43"/>
    </row>
    <row r="230" spans="4:10">
      <c r="D230" s="43"/>
      <c r="J230" s="43"/>
    </row>
    <row r="231" spans="4:10">
      <c r="D231" s="43"/>
      <c r="J231" s="43"/>
    </row>
    <row r="232" spans="4:10">
      <c r="D232" s="43"/>
      <c r="J232" s="43"/>
    </row>
    <row r="233" spans="4:10">
      <c r="D233" s="43"/>
      <c r="J233" s="43"/>
    </row>
    <row r="234" spans="4:10">
      <c r="D234" s="43"/>
      <c r="J234" s="43"/>
    </row>
    <row r="235" spans="4:10">
      <c r="D235" s="43"/>
      <c r="J235" s="43"/>
    </row>
    <row r="236" spans="4:10">
      <c r="D236" s="43"/>
      <c r="J236" s="43"/>
    </row>
    <row r="237" spans="4:10">
      <c r="D237" s="43"/>
      <c r="J237" s="43"/>
    </row>
    <row r="238" spans="4:10">
      <c r="D238" s="43"/>
      <c r="J238" s="43"/>
    </row>
    <row r="239" spans="4:10">
      <c r="D239" s="43"/>
      <c r="J239" s="43"/>
    </row>
    <row r="240" spans="4:10">
      <c r="D240" s="43"/>
      <c r="J240" s="43"/>
    </row>
    <row r="241" spans="4:10">
      <c r="D241" s="43"/>
      <c r="J241" s="43"/>
    </row>
    <row r="242" spans="4:10">
      <c r="D242" s="43"/>
      <c r="J242" s="43"/>
    </row>
    <row r="243" spans="4:10">
      <c r="D243" s="43"/>
      <c r="J243" s="43"/>
    </row>
    <row r="244" spans="4:10">
      <c r="D244" s="43"/>
      <c r="J244" s="43"/>
    </row>
    <row r="245" spans="4:10">
      <c r="D245" s="43"/>
      <c r="J245" s="43"/>
    </row>
    <row r="246" spans="4:10">
      <c r="D246" s="43"/>
      <c r="J246" s="43"/>
    </row>
    <row r="247" spans="4:10">
      <c r="D247" s="43"/>
      <c r="J247" s="43"/>
    </row>
    <row r="248" spans="4:10">
      <c r="D248" s="43"/>
      <c r="J248" s="43"/>
    </row>
    <row r="249" spans="4:10">
      <c r="D249" s="43"/>
      <c r="J249" s="43"/>
    </row>
    <row r="250" spans="4:10">
      <c r="D250" s="43"/>
      <c r="J250" s="43"/>
    </row>
    <row r="251" spans="4:10">
      <c r="D251" s="43"/>
      <c r="J251" s="43"/>
    </row>
    <row r="252" spans="4:10">
      <c r="D252" s="43"/>
      <c r="J252" s="43"/>
    </row>
    <row r="253" spans="4:10">
      <c r="D253" s="43"/>
      <c r="J253" s="43"/>
    </row>
    <row r="254" spans="4:10">
      <c r="D254" s="43"/>
      <c r="J254" s="43"/>
    </row>
    <row r="255" spans="4:10">
      <c r="D255" s="43"/>
      <c r="J255" s="43"/>
    </row>
    <row r="256" spans="4:10">
      <c r="D256" s="43"/>
      <c r="J256" s="43"/>
    </row>
    <row r="257" spans="4:10">
      <c r="D257" s="43"/>
      <c r="J257" s="43"/>
    </row>
    <row r="258" spans="4:10">
      <c r="D258" s="43"/>
      <c r="J258" s="43"/>
    </row>
    <row r="259" spans="4:10">
      <c r="D259" s="43"/>
      <c r="J259" s="43"/>
    </row>
    <row r="260" spans="4:10">
      <c r="D260" s="43"/>
      <c r="J260" s="43"/>
    </row>
    <row r="261" spans="4:10">
      <c r="D261" s="43"/>
      <c r="J261" s="43"/>
    </row>
    <row r="262" spans="4:10">
      <c r="D262" s="43"/>
      <c r="J262" s="43"/>
    </row>
    <row r="263" spans="4:10">
      <c r="D263" s="43"/>
      <c r="J263" s="43"/>
    </row>
    <row r="264" spans="4:10">
      <c r="D264" s="43"/>
      <c r="J264" s="43"/>
    </row>
    <row r="265" spans="4:10">
      <c r="D265" s="43"/>
      <c r="J265" s="43"/>
    </row>
    <row r="266" spans="4:10">
      <c r="D266" s="43"/>
      <c r="J266" s="43"/>
    </row>
    <row r="267" spans="4:10">
      <c r="D267" s="43"/>
      <c r="J267" s="43"/>
    </row>
    <row r="268" spans="4:10">
      <c r="D268" s="43"/>
      <c r="J268" s="43"/>
    </row>
    <row r="269" spans="4:10">
      <c r="D269" s="43"/>
      <c r="J269" s="43"/>
    </row>
    <row r="270" spans="4:10">
      <c r="D270" s="43"/>
      <c r="J270" s="43"/>
    </row>
    <row r="271" spans="4:10">
      <c r="D271" s="43"/>
      <c r="J271" s="43"/>
    </row>
    <row r="272" spans="4:10">
      <c r="D272" s="43"/>
      <c r="J272" s="43"/>
    </row>
    <row r="273" spans="4:10">
      <c r="D273" s="43"/>
      <c r="J273" s="43"/>
    </row>
    <row r="274" spans="4:10">
      <c r="D274" s="43"/>
      <c r="J274" s="43"/>
    </row>
    <row r="275" spans="4:10">
      <c r="D275" s="43"/>
      <c r="J275" s="43"/>
    </row>
    <row r="276" spans="4:10">
      <c r="D276" s="43"/>
      <c r="J276" s="43"/>
    </row>
    <row r="277" spans="4:10">
      <c r="D277" s="43"/>
      <c r="J277" s="43"/>
    </row>
    <row r="278" spans="4:10">
      <c r="D278" s="43"/>
      <c r="J278" s="43"/>
    </row>
    <row r="279" spans="4:10">
      <c r="D279" s="43"/>
      <c r="J279" s="43"/>
    </row>
    <row r="280" spans="4:10">
      <c r="D280" s="43"/>
      <c r="J280" s="43"/>
    </row>
    <row r="281" spans="4:10">
      <c r="D281" s="43"/>
      <c r="J281" s="43"/>
    </row>
    <row r="282" spans="4:10">
      <c r="D282" s="43"/>
      <c r="J282" s="43"/>
    </row>
    <row r="283" spans="4:10">
      <c r="D283" s="43"/>
      <c r="J283" s="43"/>
    </row>
    <row r="284" spans="4:10">
      <c r="D284" s="43"/>
      <c r="J284" s="43"/>
    </row>
    <row r="285" spans="4:10">
      <c r="D285" s="43"/>
      <c r="J285" s="43"/>
    </row>
    <row r="286" spans="4:10">
      <c r="D286" s="43"/>
      <c r="J286" s="43"/>
    </row>
    <row r="287" spans="4:10">
      <c r="D287" s="43"/>
      <c r="J287" s="43"/>
    </row>
    <row r="288" spans="4:10">
      <c r="D288" s="43"/>
      <c r="J288" s="43"/>
    </row>
    <row r="289" spans="4:10">
      <c r="D289" s="43"/>
      <c r="J289" s="43"/>
    </row>
    <row r="290" spans="4:10">
      <c r="D290" s="43"/>
      <c r="J290" s="43"/>
    </row>
    <row r="291" spans="4:10">
      <c r="D291" s="43"/>
      <c r="J291" s="43"/>
    </row>
    <row r="292" spans="4:10">
      <c r="D292" s="43"/>
      <c r="J292" s="43"/>
    </row>
    <row r="293" spans="4:10">
      <c r="D293" s="43"/>
      <c r="J293" s="43"/>
    </row>
    <row r="294" spans="4:10">
      <c r="D294" s="43"/>
      <c r="J294" s="43"/>
    </row>
    <row r="295" spans="4:10">
      <c r="D295" s="43"/>
      <c r="J295" s="43"/>
    </row>
    <row r="296" spans="4:10">
      <c r="D296" s="43"/>
      <c r="J296" s="43"/>
    </row>
    <row r="297" spans="4:10">
      <c r="D297" s="43"/>
      <c r="J297" s="43"/>
    </row>
    <row r="298" spans="4:10">
      <c r="D298" s="43"/>
      <c r="J298" s="43"/>
    </row>
    <row r="299" spans="4:10">
      <c r="D299" s="43"/>
      <c r="J299" s="43"/>
    </row>
    <row r="300" spans="4:10">
      <c r="D300" s="43"/>
      <c r="J300" s="43"/>
    </row>
    <row r="301" spans="4:10">
      <c r="D301" s="43"/>
      <c r="J301" s="43"/>
    </row>
    <row r="302" spans="4:10">
      <c r="D302" s="43"/>
      <c r="J302" s="43"/>
    </row>
    <row r="303" spans="4:10">
      <c r="D303" s="43"/>
      <c r="J303" s="43"/>
    </row>
    <row r="304" spans="4:10">
      <c r="D304" s="43"/>
      <c r="J304" s="43"/>
    </row>
    <row r="305" spans="4:10">
      <c r="D305" s="43"/>
      <c r="J305" s="43"/>
    </row>
    <row r="306" spans="4:10">
      <c r="D306" s="43"/>
      <c r="J306" s="43"/>
    </row>
    <row r="307" spans="4:10">
      <c r="D307" s="43"/>
      <c r="J307" s="43"/>
    </row>
    <row r="308" spans="4:10">
      <c r="D308" s="43"/>
      <c r="J308" s="43"/>
    </row>
    <row r="309" spans="4:10">
      <c r="D309" s="43"/>
      <c r="J309" s="43"/>
    </row>
    <row r="310" spans="4:10">
      <c r="D310" s="43"/>
      <c r="J310" s="43"/>
    </row>
    <row r="311" spans="4:10">
      <c r="D311" s="43"/>
      <c r="J311" s="43"/>
    </row>
    <row r="312" spans="4:10">
      <c r="D312" s="43"/>
      <c r="J312" s="43"/>
    </row>
    <row r="313" spans="4:10">
      <c r="D313" s="43"/>
      <c r="J313" s="43"/>
    </row>
    <row r="314" spans="4:10">
      <c r="D314" s="43"/>
      <c r="J314" s="43"/>
    </row>
    <row r="315" spans="4:10">
      <c r="D315" s="43"/>
      <c r="J315" s="43"/>
    </row>
    <row r="316" spans="4:10">
      <c r="D316" s="43"/>
      <c r="J316" s="43"/>
    </row>
    <row r="317" spans="4:10">
      <c r="D317" s="43"/>
      <c r="J317" s="43"/>
    </row>
    <row r="318" spans="4:10">
      <c r="D318" s="43"/>
      <c r="J318" s="43"/>
    </row>
    <row r="319" spans="4:10">
      <c r="D319" s="43"/>
      <c r="J319" s="43"/>
    </row>
    <row r="320" spans="4:10">
      <c r="D320" s="43"/>
      <c r="J320" s="43"/>
    </row>
    <row r="321" spans="4:10">
      <c r="D321" s="43"/>
      <c r="J321" s="43"/>
    </row>
    <row r="322" spans="4:10">
      <c r="D322" s="43"/>
      <c r="J322" s="43"/>
    </row>
    <row r="323" spans="4:10">
      <c r="D323" s="43"/>
      <c r="J323" s="43"/>
    </row>
    <row r="324" spans="4:10">
      <c r="D324" s="43"/>
      <c r="J324" s="43"/>
    </row>
    <row r="325" spans="4:10">
      <c r="D325" s="43"/>
      <c r="J325" s="43"/>
    </row>
    <row r="326" spans="4:10">
      <c r="D326" s="43"/>
      <c r="J326" s="43"/>
    </row>
    <row r="327" spans="4:10">
      <c r="D327" s="43"/>
      <c r="J327" s="43"/>
    </row>
    <row r="328" spans="4:10">
      <c r="D328" s="43"/>
      <c r="J328" s="43"/>
    </row>
    <row r="329" spans="4:10">
      <c r="D329" s="43"/>
      <c r="J329" s="43"/>
    </row>
    <row r="330" spans="4:10">
      <c r="D330" s="43"/>
      <c r="J330" s="43"/>
    </row>
    <row r="331" spans="4:10">
      <c r="D331" s="43"/>
      <c r="J331" s="43"/>
    </row>
    <row r="332" spans="4:10">
      <c r="D332" s="43"/>
      <c r="J332" s="43"/>
    </row>
    <row r="333" spans="4:10">
      <c r="D333" s="43"/>
      <c r="J333" s="43"/>
    </row>
    <row r="334" spans="4:10">
      <c r="D334" s="43"/>
      <c r="J334" s="43"/>
    </row>
    <row r="335" spans="4:10">
      <c r="D335" s="43"/>
      <c r="J335" s="43"/>
    </row>
    <row r="336" spans="4:10">
      <c r="D336" s="43"/>
      <c r="J336" s="43"/>
    </row>
    <row r="337" spans="4:10">
      <c r="D337" s="43"/>
      <c r="J337" s="43"/>
    </row>
    <row r="338" spans="4:10">
      <c r="D338" s="43"/>
      <c r="J338" s="43"/>
    </row>
    <row r="339" spans="4:10">
      <c r="D339" s="43"/>
      <c r="J339" s="43"/>
    </row>
    <row r="340" spans="4:10">
      <c r="D340" s="43"/>
      <c r="J340" s="43"/>
    </row>
    <row r="341" spans="4:10">
      <c r="D341" s="43"/>
      <c r="J341" s="43"/>
    </row>
    <row r="342" spans="4:10">
      <c r="D342" s="43"/>
      <c r="J342" s="43"/>
    </row>
    <row r="343" spans="4:10">
      <c r="D343" s="43"/>
      <c r="J343" s="43"/>
    </row>
    <row r="344" spans="4:10">
      <c r="D344" s="43"/>
      <c r="J344" s="43"/>
    </row>
    <row r="345" spans="4:10">
      <c r="D345" s="43"/>
      <c r="J345" s="43"/>
    </row>
    <row r="346" spans="4:10">
      <c r="D346" s="43"/>
      <c r="J346" s="43"/>
    </row>
    <row r="347" spans="4:10">
      <c r="D347" s="43"/>
      <c r="J347" s="43"/>
    </row>
    <row r="348" spans="4:10">
      <c r="D348" s="43"/>
      <c r="J348" s="43"/>
    </row>
    <row r="349" spans="4:10">
      <c r="D349" s="43"/>
      <c r="J349" s="43"/>
    </row>
    <row r="350" spans="4:10">
      <c r="D350" s="43"/>
      <c r="J350" s="43"/>
    </row>
    <row r="351" spans="4:10">
      <c r="D351" s="43"/>
      <c r="J351" s="43"/>
    </row>
    <row r="352" spans="4:10">
      <c r="D352" s="43"/>
      <c r="J352" s="43"/>
    </row>
    <row r="353" spans="4:10">
      <c r="D353" s="43"/>
      <c r="J353" s="43"/>
    </row>
    <row r="354" spans="4:10">
      <c r="D354" s="43"/>
      <c r="J354" s="43"/>
    </row>
    <row r="355" spans="4:10">
      <c r="D355" s="43"/>
      <c r="J355" s="43"/>
    </row>
    <row r="356" spans="4:10">
      <c r="D356" s="43"/>
      <c r="J356" s="43"/>
    </row>
    <row r="357" spans="4:10">
      <c r="D357" s="43"/>
      <c r="J357" s="43"/>
    </row>
    <row r="358" spans="4:10">
      <c r="D358" s="43"/>
      <c r="J358" s="43"/>
    </row>
    <row r="359" spans="4:10">
      <c r="D359" s="43"/>
      <c r="J359" s="43"/>
    </row>
    <row r="360" spans="4:10">
      <c r="D360" s="43"/>
      <c r="J360" s="43"/>
    </row>
    <row r="361" spans="4:10">
      <c r="D361" s="43"/>
      <c r="J361" s="43"/>
    </row>
    <row r="362" spans="4:10">
      <c r="D362" s="43"/>
      <c r="J362" s="43"/>
    </row>
    <row r="363" spans="4:10">
      <c r="D363" s="43"/>
      <c r="J363" s="43"/>
    </row>
    <row r="364" spans="4:10">
      <c r="D364" s="43"/>
      <c r="J364" s="43"/>
    </row>
    <row r="365" spans="4:10">
      <c r="D365" s="43"/>
      <c r="J365" s="43"/>
    </row>
    <row r="366" spans="4:10">
      <c r="D366" s="43"/>
      <c r="J366" s="43"/>
    </row>
    <row r="367" spans="4:10">
      <c r="D367" s="43"/>
      <c r="J367" s="43"/>
    </row>
    <row r="368" spans="4:10">
      <c r="D368" s="43"/>
      <c r="J368" s="43"/>
    </row>
    <row r="369" spans="4:10">
      <c r="D369" s="43"/>
      <c r="J369" s="43"/>
    </row>
    <row r="370" spans="4:10">
      <c r="D370" s="43"/>
      <c r="J370" s="43"/>
    </row>
    <row r="371" spans="4:10">
      <c r="D371" s="43"/>
      <c r="J371" s="43"/>
    </row>
    <row r="372" spans="4:10">
      <c r="D372" s="43"/>
      <c r="J372" s="43"/>
    </row>
    <row r="373" spans="4:10">
      <c r="D373" s="43"/>
      <c r="J373" s="43"/>
    </row>
    <row r="374" spans="4:10">
      <c r="D374" s="43"/>
      <c r="J374" s="43"/>
    </row>
    <row r="375" spans="4:10">
      <c r="D375" s="43"/>
      <c r="J375" s="43"/>
    </row>
    <row r="376" spans="4:10">
      <c r="D376" s="43"/>
      <c r="J376" s="43"/>
    </row>
    <row r="377" spans="4:10">
      <c r="D377" s="43"/>
      <c r="J377" s="43"/>
    </row>
    <row r="378" spans="4:10">
      <c r="D378" s="43"/>
      <c r="J378" s="43"/>
    </row>
    <row r="379" spans="4:10">
      <c r="D379" s="43"/>
      <c r="J379" s="43"/>
    </row>
    <row r="380" spans="4:10">
      <c r="D380" s="43"/>
      <c r="J380" s="43"/>
    </row>
    <row r="381" spans="4:10">
      <c r="D381" s="43"/>
      <c r="J381" s="43"/>
    </row>
    <row r="382" spans="4:10">
      <c r="D382" s="43"/>
      <c r="J382" s="43"/>
    </row>
    <row r="383" spans="4:10">
      <c r="D383" s="43"/>
      <c r="J383" s="43"/>
    </row>
    <row r="384" spans="4:10">
      <c r="D384" s="43"/>
      <c r="J384" s="43"/>
    </row>
    <row r="385" spans="4:10">
      <c r="D385" s="43"/>
      <c r="J385" s="43"/>
    </row>
    <row r="386" spans="4:10">
      <c r="D386" s="43"/>
      <c r="J386" s="43"/>
    </row>
    <row r="387" spans="4:10">
      <c r="D387" s="43"/>
      <c r="J387" s="43"/>
    </row>
    <row r="388" spans="4:10">
      <c r="D388" s="43"/>
      <c r="J388" s="43"/>
    </row>
    <row r="389" spans="4:10">
      <c r="D389" s="43"/>
      <c r="J389" s="43"/>
    </row>
    <row r="390" spans="4:10">
      <c r="D390" s="43"/>
      <c r="J390" s="43"/>
    </row>
    <row r="391" spans="4:10">
      <c r="D391" s="43"/>
      <c r="J391" s="43"/>
    </row>
    <row r="392" spans="4:10">
      <c r="D392" s="43"/>
      <c r="J392" s="43"/>
    </row>
    <row r="393" spans="4:10">
      <c r="D393" s="43"/>
      <c r="J393" s="43"/>
    </row>
    <row r="394" spans="4:10">
      <c r="D394" s="43"/>
      <c r="J394" s="43"/>
    </row>
    <row r="395" spans="4:10">
      <c r="D395" s="43"/>
      <c r="J395" s="43"/>
    </row>
    <row r="396" spans="4:10">
      <c r="D396" s="43"/>
      <c r="J396" s="43"/>
    </row>
    <row r="397" spans="4:10">
      <c r="D397" s="43"/>
      <c r="J397" s="43"/>
    </row>
    <row r="398" spans="4:10">
      <c r="D398" s="43"/>
      <c r="J398" s="43"/>
    </row>
    <row r="399" spans="4:10">
      <c r="D399" s="43"/>
      <c r="J399" s="43"/>
    </row>
    <row r="400" spans="4:10">
      <c r="D400" s="43"/>
      <c r="J400" s="43"/>
    </row>
    <row r="401" spans="4:10">
      <c r="D401" s="43"/>
      <c r="J401" s="43"/>
    </row>
    <row r="402" spans="4:10">
      <c r="D402" s="43"/>
      <c r="J402" s="43"/>
    </row>
    <row r="403" spans="4:10">
      <c r="D403" s="43"/>
      <c r="J403" s="43"/>
    </row>
    <row r="404" spans="4:10">
      <c r="D404" s="43"/>
      <c r="J404" s="43"/>
    </row>
    <row r="405" spans="4:10">
      <c r="D405" s="43"/>
      <c r="J405" s="43"/>
    </row>
    <row r="406" spans="4:10">
      <c r="D406" s="43"/>
      <c r="J406" s="43"/>
    </row>
    <row r="407" spans="4:10">
      <c r="D407" s="43"/>
      <c r="J407" s="43"/>
    </row>
    <row r="408" spans="4:10">
      <c r="D408" s="43"/>
      <c r="J408" s="43"/>
    </row>
    <row r="409" spans="4:10">
      <c r="D409" s="43"/>
      <c r="J409" s="43"/>
    </row>
    <row r="410" spans="4:10">
      <c r="D410" s="43"/>
      <c r="J410" s="43"/>
    </row>
    <row r="411" spans="4:10">
      <c r="D411" s="43"/>
      <c r="J411" s="43"/>
    </row>
    <row r="412" spans="4:10">
      <c r="D412" s="43"/>
      <c r="J412" s="43"/>
    </row>
    <row r="413" spans="4:10">
      <c r="D413" s="43"/>
      <c r="J413" s="43"/>
    </row>
    <row r="414" spans="4:10">
      <c r="D414" s="43"/>
      <c r="J414" s="43"/>
    </row>
    <row r="415" spans="4:10">
      <c r="D415" s="43"/>
      <c r="J415" s="43"/>
    </row>
    <row r="416" spans="4:10">
      <c r="D416" s="43"/>
      <c r="J416" s="43"/>
    </row>
    <row r="417" spans="4:10">
      <c r="D417" s="43"/>
      <c r="J417" s="43"/>
    </row>
    <row r="418" spans="4:10">
      <c r="D418" s="43"/>
      <c r="J418" s="43"/>
    </row>
    <row r="419" spans="4:10">
      <c r="D419" s="43"/>
      <c r="J419" s="43"/>
    </row>
    <row r="420" spans="4:10">
      <c r="D420" s="43"/>
      <c r="J420" s="43"/>
    </row>
    <row r="421" spans="4:10">
      <c r="D421" s="43"/>
      <c r="J421" s="43"/>
    </row>
    <row r="422" spans="4:10">
      <c r="D422" s="43"/>
      <c r="J422" s="43"/>
    </row>
    <row r="423" spans="4:10">
      <c r="D423" s="43"/>
      <c r="J423" s="43"/>
    </row>
    <row r="424" spans="4:10">
      <c r="D424" s="43"/>
      <c r="J424" s="43"/>
    </row>
    <row r="425" spans="4:10">
      <c r="D425" s="43"/>
      <c r="J425" s="43"/>
    </row>
    <row r="426" spans="4:10">
      <c r="D426" s="43"/>
      <c r="J426" s="43"/>
    </row>
    <row r="427" spans="4:10">
      <c r="D427" s="43"/>
      <c r="J427" s="43"/>
    </row>
    <row r="428" spans="4:10">
      <c r="D428" s="43"/>
      <c r="J428" s="43"/>
    </row>
    <row r="429" spans="4:10">
      <c r="D429" s="43"/>
      <c r="J429" s="43"/>
    </row>
    <row r="430" spans="4:10">
      <c r="D430" s="43"/>
      <c r="J430" s="43"/>
    </row>
    <row r="431" spans="4:10">
      <c r="D431" s="43"/>
      <c r="J431" s="43"/>
    </row>
    <row r="432" spans="4:10">
      <c r="D432" s="43"/>
      <c r="J432" s="43"/>
    </row>
    <row r="433" spans="4:10">
      <c r="D433" s="43"/>
      <c r="J433" s="43"/>
    </row>
    <row r="434" spans="4:10">
      <c r="D434" s="43"/>
      <c r="J434" s="43"/>
    </row>
    <row r="435" spans="4:10">
      <c r="D435" s="43"/>
      <c r="J435" s="43"/>
    </row>
    <row r="436" spans="4:10">
      <c r="D436" s="43"/>
      <c r="J436" s="43"/>
    </row>
    <row r="437" spans="4:10">
      <c r="D437" s="43"/>
      <c r="J437" s="43"/>
    </row>
    <row r="438" spans="4:10">
      <c r="D438" s="43"/>
      <c r="J438" s="43"/>
    </row>
    <row r="439" spans="4:10">
      <c r="D439" s="43"/>
      <c r="J439" s="43"/>
    </row>
    <row r="440" spans="4:10">
      <c r="D440" s="43"/>
      <c r="J440" s="43"/>
    </row>
    <row r="441" spans="4:10">
      <c r="D441" s="43"/>
      <c r="J441" s="43"/>
    </row>
    <row r="442" spans="4:10">
      <c r="D442" s="43"/>
      <c r="J442" s="43"/>
    </row>
    <row r="443" spans="4:10">
      <c r="D443" s="43"/>
      <c r="J443" s="43"/>
    </row>
    <row r="444" spans="4:10">
      <c r="D444" s="43"/>
      <c r="J444" s="43"/>
    </row>
    <row r="445" spans="4:10">
      <c r="D445" s="43"/>
      <c r="J445" s="43"/>
    </row>
    <row r="446" spans="4:10">
      <c r="D446" s="43"/>
      <c r="J446" s="43"/>
    </row>
    <row r="447" spans="4:10">
      <c r="D447" s="43"/>
      <c r="J447" s="43"/>
    </row>
    <row r="448" spans="4:10">
      <c r="D448" s="43"/>
      <c r="J448" s="43"/>
    </row>
    <row r="449" spans="4:10">
      <c r="D449" s="43"/>
      <c r="J449" s="43"/>
    </row>
    <row r="450" spans="4:10">
      <c r="D450" s="43"/>
      <c r="J450" s="43"/>
    </row>
    <row r="451" spans="4:10">
      <c r="D451" s="43"/>
      <c r="J451" s="43"/>
    </row>
    <row r="452" spans="4:10">
      <c r="D452" s="43"/>
      <c r="J452" s="43"/>
    </row>
    <row r="453" spans="4:10">
      <c r="D453" s="43"/>
      <c r="J453" s="43"/>
    </row>
    <row r="454" spans="4:10">
      <c r="D454" s="43"/>
      <c r="J454" s="43"/>
    </row>
    <row r="455" spans="4:10">
      <c r="D455" s="43"/>
      <c r="J455" s="43"/>
    </row>
    <row r="456" spans="4:10">
      <c r="D456" s="43"/>
      <c r="J456" s="43"/>
    </row>
    <row r="457" spans="4:10">
      <c r="D457" s="43"/>
      <c r="J457" s="43"/>
    </row>
    <row r="458" spans="4:10">
      <c r="D458" s="43"/>
      <c r="J458" s="43"/>
    </row>
    <row r="459" spans="4:10">
      <c r="D459" s="43"/>
      <c r="J459" s="43"/>
    </row>
    <row r="460" spans="4:10">
      <c r="D460" s="43"/>
      <c r="J460" s="43"/>
    </row>
    <row r="461" spans="4:10">
      <c r="D461" s="43"/>
      <c r="J461" s="43"/>
    </row>
    <row r="462" spans="4:10">
      <c r="D462" s="43"/>
      <c r="J462" s="43"/>
    </row>
    <row r="463" spans="4:10">
      <c r="D463" s="43"/>
      <c r="J463" s="43"/>
    </row>
    <row r="464" spans="4:10">
      <c r="D464" s="43"/>
      <c r="J464" s="43"/>
    </row>
    <row r="465" spans="4:10">
      <c r="D465" s="43"/>
      <c r="J465" s="43"/>
    </row>
    <row r="466" spans="4:10">
      <c r="D466" s="43"/>
      <c r="J466" s="43"/>
    </row>
    <row r="467" spans="4:10">
      <c r="D467" s="43"/>
      <c r="J467" s="43"/>
    </row>
    <row r="468" spans="4:10">
      <c r="D468" s="43"/>
      <c r="J468" s="43"/>
    </row>
    <row r="469" spans="4:10">
      <c r="D469" s="43"/>
      <c r="J469" s="43"/>
    </row>
    <row r="470" spans="4:10">
      <c r="D470" s="43"/>
      <c r="J470" s="43"/>
    </row>
    <row r="471" spans="4:10">
      <c r="D471" s="43"/>
      <c r="J471" s="43"/>
    </row>
    <row r="472" spans="4:10">
      <c r="D472" s="43"/>
      <c r="J472" s="43"/>
    </row>
    <row r="473" spans="4:10">
      <c r="D473" s="43"/>
      <c r="J473" s="43"/>
    </row>
    <row r="474" spans="4:10">
      <c r="D474" s="43"/>
      <c r="J474" s="43"/>
    </row>
    <row r="475" spans="4:10">
      <c r="D475" s="43"/>
      <c r="J475" s="43"/>
    </row>
    <row r="476" spans="4:10">
      <c r="D476" s="43"/>
      <c r="J476" s="43"/>
    </row>
    <row r="477" spans="4:10">
      <c r="D477" s="43"/>
      <c r="J477" s="43"/>
    </row>
    <row r="478" spans="4:10">
      <c r="D478" s="43"/>
      <c r="J478" s="43"/>
    </row>
    <row r="479" spans="4:10">
      <c r="D479" s="43"/>
      <c r="J479" s="43"/>
    </row>
    <row r="480" spans="4:10">
      <c r="D480" s="43"/>
      <c r="J480" s="43"/>
    </row>
    <row r="481" spans="4:10">
      <c r="D481" s="43"/>
      <c r="J481" s="43"/>
    </row>
    <row r="482" spans="4:10">
      <c r="D482" s="43"/>
      <c r="J482" s="43"/>
    </row>
    <row r="483" spans="4:10">
      <c r="D483" s="43"/>
      <c r="J483" s="43"/>
    </row>
    <row r="484" spans="4:10">
      <c r="D484" s="43"/>
      <c r="J484" s="43"/>
    </row>
    <row r="485" spans="4:10">
      <c r="D485" s="43"/>
      <c r="J485" s="43"/>
    </row>
    <row r="486" spans="4:10">
      <c r="D486" s="43"/>
      <c r="J486" s="43"/>
    </row>
    <row r="487" spans="4:10">
      <c r="D487" s="43"/>
      <c r="J487" s="43"/>
    </row>
    <row r="488" spans="4:10">
      <c r="D488" s="43"/>
      <c r="J488" s="43"/>
    </row>
    <row r="489" spans="4:10">
      <c r="D489" s="43"/>
      <c r="J489" s="43"/>
    </row>
    <row r="490" spans="4:10">
      <c r="D490" s="43"/>
      <c r="J490" s="43"/>
    </row>
    <row r="491" spans="4:10">
      <c r="D491" s="43"/>
      <c r="J491" s="43"/>
    </row>
    <row r="492" spans="4:10">
      <c r="D492" s="43"/>
      <c r="J492" s="43"/>
    </row>
    <row r="493" spans="4:10">
      <c r="D493" s="43"/>
      <c r="J493" s="43"/>
    </row>
    <row r="494" spans="4:10">
      <c r="D494" s="43"/>
      <c r="J494" s="43"/>
    </row>
    <row r="495" spans="4:10">
      <c r="D495" s="43"/>
      <c r="J495" s="43"/>
    </row>
    <row r="496" spans="4:10">
      <c r="D496" s="43"/>
      <c r="J496" s="43"/>
    </row>
    <row r="497" spans="4:10">
      <c r="D497" s="43"/>
      <c r="J497" s="43"/>
    </row>
    <row r="498" spans="4:10">
      <c r="D498" s="43"/>
      <c r="J498" s="43"/>
    </row>
    <row r="499" spans="4:10">
      <c r="D499" s="43"/>
      <c r="J499" s="43"/>
    </row>
    <row r="500" spans="4:10">
      <c r="D500" s="43"/>
      <c r="J500" s="43"/>
    </row>
    <row r="501" spans="4:10">
      <c r="D501" s="43"/>
      <c r="J501" s="43"/>
    </row>
    <row r="502" spans="4:10">
      <c r="D502" s="43"/>
      <c r="J502" s="43"/>
    </row>
    <row r="503" spans="4:10">
      <c r="D503" s="43"/>
      <c r="J503" s="43"/>
    </row>
    <row r="504" spans="4:10">
      <c r="D504" s="43"/>
      <c r="J504" s="43"/>
    </row>
    <row r="505" spans="4:10">
      <c r="D505" s="43"/>
      <c r="J505" s="43"/>
    </row>
    <row r="506" spans="4:10">
      <c r="D506" s="43"/>
      <c r="J506" s="43"/>
    </row>
    <row r="507" spans="4:10">
      <c r="D507" s="43"/>
      <c r="J507" s="43"/>
    </row>
    <row r="508" spans="4:10">
      <c r="D508" s="43"/>
      <c r="J508" s="43"/>
    </row>
    <row r="509" spans="4:10">
      <c r="D509" s="43"/>
      <c r="J509" s="43"/>
    </row>
    <row r="510" spans="4:10">
      <c r="D510" s="43"/>
      <c r="J510" s="43"/>
    </row>
    <row r="511" spans="4:10">
      <c r="D511" s="43"/>
      <c r="J511" s="43"/>
    </row>
    <row r="512" spans="4:10">
      <c r="D512" s="43"/>
      <c r="J512" s="43"/>
    </row>
    <row r="513" spans="4:10">
      <c r="D513" s="43"/>
      <c r="J513" s="43"/>
    </row>
    <row r="514" spans="4:10">
      <c r="D514" s="43"/>
      <c r="J514" s="43"/>
    </row>
    <row r="515" spans="4:10">
      <c r="D515" s="43"/>
      <c r="J515" s="43"/>
    </row>
    <row r="516" spans="4:10">
      <c r="D516" s="43"/>
      <c r="J516" s="43"/>
    </row>
    <row r="517" spans="4:10">
      <c r="D517" s="43"/>
      <c r="J517" s="43"/>
    </row>
    <row r="518" spans="4:10">
      <c r="D518" s="43"/>
      <c r="J518" s="43"/>
    </row>
    <row r="519" spans="4:10">
      <c r="D519" s="43"/>
      <c r="J519" s="43"/>
    </row>
    <row r="520" spans="4:10">
      <c r="D520" s="43"/>
      <c r="J520" s="43"/>
    </row>
    <row r="521" spans="4:10">
      <c r="D521" s="43"/>
      <c r="J521" s="43"/>
    </row>
    <row r="522" spans="4:10">
      <c r="D522" s="43"/>
      <c r="J522" s="43"/>
    </row>
    <row r="523" spans="4:10">
      <c r="D523" s="43"/>
      <c r="J523" s="43"/>
    </row>
    <row r="524" spans="4:10">
      <c r="D524" s="43"/>
      <c r="J524" s="43"/>
    </row>
    <row r="525" spans="4:10">
      <c r="D525" s="43"/>
      <c r="J525" s="43"/>
    </row>
    <row r="526" spans="4:10">
      <c r="D526" s="43"/>
      <c r="J526" s="43"/>
    </row>
    <row r="527" spans="4:10">
      <c r="D527" s="43"/>
      <c r="J527" s="43"/>
    </row>
    <row r="528" spans="4:10">
      <c r="D528" s="43"/>
      <c r="J528" s="43"/>
    </row>
    <row r="529" spans="4:10">
      <c r="D529" s="43"/>
      <c r="J529" s="43"/>
    </row>
    <row r="530" spans="4:10">
      <c r="D530" s="43"/>
      <c r="J530" s="43"/>
    </row>
    <row r="531" spans="4:10">
      <c r="D531" s="43"/>
      <c r="J531" s="43"/>
    </row>
    <row r="532" spans="4:10">
      <c r="D532" s="43"/>
      <c r="J532" s="43"/>
    </row>
    <row r="533" spans="4:10">
      <c r="D533" s="43"/>
      <c r="J533" s="43"/>
    </row>
    <row r="534" spans="4:10">
      <c r="D534" s="43"/>
      <c r="J534" s="43"/>
    </row>
    <row r="535" spans="4:10">
      <c r="D535" s="43"/>
      <c r="J535" s="43"/>
    </row>
    <row r="536" spans="4:10">
      <c r="D536" s="43"/>
      <c r="J536" s="43"/>
    </row>
    <row r="537" spans="4:10">
      <c r="D537" s="43"/>
      <c r="J537" s="43"/>
    </row>
    <row r="538" spans="4:10">
      <c r="D538" s="43"/>
      <c r="J538" s="43"/>
    </row>
    <row r="539" spans="4:10">
      <c r="D539" s="43"/>
      <c r="J539" s="43"/>
    </row>
    <row r="540" spans="4:10">
      <c r="D540" s="43"/>
      <c r="J540" s="43"/>
    </row>
    <row r="541" spans="4:10">
      <c r="D541" s="43"/>
      <c r="J541" s="43"/>
    </row>
    <row r="542" spans="4:10">
      <c r="D542" s="43"/>
      <c r="J542" s="43"/>
    </row>
    <row r="543" spans="4:10">
      <c r="D543" s="43"/>
      <c r="J543" s="43"/>
    </row>
    <row r="544" spans="4:10">
      <c r="D544" s="43"/>
      <c r="J544" s="43"/>
    </row>
    <row r="545" spans="4:10">
      <c r="D545" s="43"/>
      <c r="J545" s="43"/>
    </row>
    <row r="546" spans="4:10">
      <c r="D546" s="43"/>
      <c r="J546" s="43"/>
    </row>
    <row r="547" spans="4:10">
      <c r="D547" s="43"/>
      <c r="J547" s="43"/>
    </row>
    <row r="548" spans="4:10">
      <c r="D548" s="43"/>
      <c r="J548" s="43"/>
    </row>
    <row r="549" spans="4:10">
      <c r="D549" s="43"/>
      <c r="J549" s="43"/>
    </row>
    <row r="550" spans="4:10">
      <c r="D550" s="43"/>
      <c r="J550" s="43"/>
    </row>
    <row r="551" spans="4:10">
      <c r="D551" s="43"/>
      <c r="J551" s="43"/>
    </row>
    <row r="552" spans="4:10">
      <c r="D552" s="43"/>
      <c r="J552" s="43"/>
    </row>
    <row r="553" spans="4:10">
      <c r="D553" s="43"/>
      <c r="J553" s="43"/>
    </row>
    <row r="554" spans="4:10">
      <c r="D554" s="43"/>
      <c r="J554" s="43"/>
    </row>
    <row r="555" spans="4:10">
      <c r="D555" s="43"/>
      <c r="J555" s="43"/>
    </row>
    <row r="556" spans="4:10">
      <c r="D556" s="43"/>
      <c r="J556" s="43"/>
    </row>
    <row r="557" spans="4:10">
      <c r="D557" s="43"/>
      <c r="J557" s="43"/>
    </row>
    <row r="558" spans="4:10">
      <c r="D558" s="43"/>
      <c r="J558" s="43"/>
    </row>
    <row r="559" spans="4:10">
      <c r="D559" s="43"/>
      <c r="J559" s="43"/>
    </row>
    <row r="560" spans="4:10">
      <c r="D560" s="43"/>
      <c r="J560" s="43"/>
    </row>
    <row r="561" spans="4:10">
      <c r="D561" s="43"/>
      <c r="J561" s="43"/>
    </row>
    <row r="562" spans="4:10">
      <c r="D562" s="43"/>
      <c r="J562" s="43"/>
    </row>
    <row r="563" spans="4:10">
      <c r="D563" s="43"/>
      <c r="J563" s="43"/>
    </row>
    <row r="564" spans="4:10">
      <c r="D564" s="43"/>
      <c r="J564" s="43"/>
    </row>
    <row r="565" spans="4:10">
      <c r="D565" s="43"/>
      <c r="J565" s="43"/>
    </row>
    <row r="566" spans="4:10">
      <c r="D566" s="43"/>
      <c r="J566" s="43"/>
    </row>
    <row r="567" spans="4:10">
      <c r="D567" s="43"/>
      <c r="J567" s="43"/>
    </row>
    <row r="568" spans="4:10">
      <c r="D568" s="43"/>
      <c r="J568" s="43"/>
    </row>
    <row r="569" spans="4:10">
      <c r="D569" s="43"/>
      <c r="J569" s="43"/>
    </row>
    <row r="570" spans="4:10">
      <c r="D570" s="43"/>
      <c r="J570" s="43"/>
    </row>
    <row r="571" spans="4:10">
      <c r="D571" s="43"/>
      <c r="J571" s="43"/>
    </row>
    <row r="572" spans="4:10">
      <c r="D572" s="43"/>
      <c r="J572" s="43"/>
    </row>
    <row r="573" spans="4:10">
      <c r="D573" s="43"/>
      <c r="J573" s="43"/>
    </row>
    <row r="574" spans="4:10">
      <c r="D574" s="43"/>
      <c r="J574" s="43"/>
    </row>
    <row r="575" spans="4:10">
      <c r="D575" s="43"/>
      <c r="J575" s="43"/>
    </row>
    <row r="576" spans="4:10">
      <c r="D576" s="43"/>
      <c r="J576" s="43"/>
    </row>
    <row r="577" spans="4:10">
      <c r="D577" s="43"/>
      <c r="J577" s="43"/>
    </row>
    <row r="578" spans="4:10">
      <c r="D578" s="43"/>
      <c r="J578" s="43"/>
    </row>
    <row r="579" spans="4:10">
      <c r="D579" s="43"/>
      <c r="J579" s="43"/>
    </row>
    <row r="580" spans="4:10">
      <c r="D580" s="43"/>
      <c r="J580" s="43"/>
    </row>
    <row r="581" spans="4:10">
      <c r="D581" s="43"/>
      <c r="J581" s="43"/>
    </row>
    <row r="582" spans="4:10">
      <c r="D582" s="43"/>
      <c r="J582" s="43"/>
    </row>
    <row r="583" spans="4:10">
      <c r="D583" s="43"/>
      <c r="J583" s="43"/>
    </row>
    <row r="584" spans="4:10">
      <c r="D584" s="43"/>
      <c r="J584" s="43"/>
    </row>
    <row r="585" spans="4:10">
      <c r="D585" s="43"/>
      <c r="J585" s="43"/>
    </row>
    <row r="586" spans="4:10">
      <c r="D586" s="43"/>
      <c r="J586" s="43"/>
    </row>
    <row r="587" spans="4:10">
      <c r="D587" s="43"/>
      <c r="J587" s="43"/>
    </row>
    <row r="588" spans="4:10">
      <c r="D588" s="43"/>
      <c r="J588" s="43"/>
    </row>
    <row r="589" spans="4:10">
      <c r="D589" s="43"/>
      <c r="J589" s="43"/>
    </row>
    <row r="590" spans="4:10">
      <c r="D590" s="43"/>
      <c r="J590" s="43"/>
    </row>
    <row r="591" spans="4:10">
      <c r="D591" s="43"/>
      <c r="J591" s="43"/>
    </row>
    <row r="592" spans="4:10">
      <c r="D592" s="43"/>
      <c r="J592" s="43"/>
    </row>
    <row r="593" spans="4:10">
      <c r="D593" s="43"/>
      <c r="J593" s="43"/>
    </row>
    <row r="594" spans="4:10">
      <c r="D594" s="43"/>
      <c r="J594" s="43"/>
    </row>
    <row r="595" spans="4:10">
      <c r="D595" s="43"/>
      <c r="J595" s="43"/>
    </row>
    <row r="596" spans="4:10">
      <c r="D596" s="43"/>
      <c r="J596" s="43"/>
    </row>
    <row r="597" spans="4:10">
      <c r="D597" s="43"/>
      <c r="J597" s="43"/>
    </row>
    <row r="598" spans="4:10">
      <c r="D598" s="43"/>
      <c r="J598" s="43"/>
    </row>
    <row r="599" spans="4:10">
      <c r="D599" s="43"/>
      <c r="J599" s="43"/>
    </row>
    <row r="600" spans="4:10">
      <c r="D600" s="43"/>
      <c r="J600" s="43"/>
    </row>
    <row r="601" spans="4:10">
      <c r="D601" s="43"/>
      <c r="J601" s="43"/>
    </row>
    <row r="602" spans="4:10">
      <c r="D602" s="43"/>
      <c r="J602" s="43"/>
    </row>
    <row r="603" spans="4:10">
      <c r="D603" s="43"/>
      <c r="J603" s="43"/>
    </row>
    <row r="604" spans="4:10">
      <c r="D604" s="43"/>
      <c r="J604" s="43"/>
    </row>
    <row r="605" spans="4:10">
      <c r="D605" s="43"/>
      <c r="J605" s="43"/>
    </row>
    <row r="606" spans="4:10">
      <c r="D606" s="43"/>
      <c r="J606" s="43"/>
    </row>
    <row r="607" spans="4:10">
      <c r="D607" s="43"/>
      <c r="J607" s="43"/>
    </row>
    <row r="608" spans="4:10">
      <c r="D608" s="43"/>
      <c r="J608" s="43"/>
    </row>
    <row r="609" spans="4:10">
      <c r="D609" s="43"/>
      <c r="J609" s="43"/>
    </row>
    <row r="610" spans="4:10">
      <c r="D610" s="43"/>
      <c r="J610" s="43"/>
    </row>
    <row r="611" spans="4:10">
      <c r="D611" s="43"/>
      <c r="J611" s="43"/>
    </row>
    <row r="612" spans="4:10">
      <c r="D612" s="43"/>
      <c r="J612" s="43"/>
    </row>
    <row r="613" spans="4:10">
      <c r="D613" s="43"/>
      <c r="J613" s="43"/>
    </row>
    <row r="614" spans="4:10">
      <c r="D614" s="43"/>
      <c r="J614" s="43"/>
    </row>
    <row r="615" spans="4:10">
      <c r="D615" s="43"/>
      <c r="J615" s="43"/>
    </row>
    <row r="616" spans="4:10">
      <c r="D616" s="43"/>
      <c r="J616" s="43"/>
    </row>
    <row r="617" spans="4:10">
      <c r="D617" s="43"/>
      <c r="J617" s="43"/>
    </row>
    <row r="618" spans="4:10">
      <c r="D618" s="43"/>
      <c r="J618" s="43"/>
    </row>
    <row r="619" spans="4:10">
      <c r="D619" s="43"/>
      <c r="J619" s="43"/>
    </row>
    <row r="620" spans="4:10">
      <c r="D620" s="43"/>
      <c r="J620" s="43"/>
    </row>
    <row r="621" spans="4:10">
      <c r="D621" s="43"/>
      <c r="J621" s="43"/>
    </row>
    <row r="622" spans="4:10">
      <c r="D622" s="43"/>
      <c r="J622" s="43"/>
    </row>
    <row r="623" spans="4:10">
      <c r="D623" s="43"/>
      <c r="J623" s="43"/>
    </row>
    <row r="624" spans="4:10">
      <c r="D624" s="43"/>
      <c r="J624" s="43"/>
    </row>
    <row r="625" spans="4:10">
      <c r="D625" s="43"/>
      <c r="J625" s="43"/>
    </row>
    <row r="626" spans="4:10">
      <c r="D626" s="43"/>
      <c r="J626" s="43"/>
    </row>
    <row r="627" spans="4:10">
      <c r="D627" s="43"/>
      <c r="J627" s="43"/>
    </row>
    <row r="628" spans="4:10">
      <c r="D628" s="43"/>
      <c r="J628" s="43"/>
    </row>
    <row r="629" spans="4:10">
      <c r="D629" s="43"/>
      <c r="J629" s="43"/>
    </row>
    <row r="630" spans="4:10">
      <c r="D630" s="43"/>
      <c r="J630" s="43"/>
    </row>
    <row r="631" spans="4:10">
      <c r="D631" s="43"/>
      <c r="J631" s="43"/>
    </row>
    <row r="632" spans="4:10">
      <c r="D632" s="43"/>
      <c r="J632" s="43"/>
    </row>
    <row r="633" spans="4:10">
      <c r="D633" s="43"/>
      <c r="J633" s="43"/>
    </row>
    <row r="634" spans="4:10">
      <c r="D634" s="43"/>
      <c r="J634" s="43"/>
    </row>
    <row r="635" spans="4:10">
      <c r="D635" s="43"/>
      <c r="J635" s="43"/>
    </row>
    <row r="636" spans="4:10">
      <c r="D636" s="43"/>
      <c r="J636" s="43"/>
    </row>
    <row r="637" spans="4:10">
      <c r="D637" s="43"/>
      <c r="J637" s="43"/>
    </row>
    <row r="638" spans="4:10">
      <c r="D638" s="43"/>
      <c r="J638" s="43"/>
    </row>
    <row r="639" spans="4:10">
      <c r="D639" s="43"/>
      <c r="J639" s="43"/>
    </row>
    <row r="640" spans="4:10">
      <c r="D640" s="43"/>
      <c r="J640" s="43"/>
    </row>
    <row r="641" spans="4:10">
      <c r="D641" s="43"/>
      <c r="J641" s="43"/>
    </row>
    <row r="642" spans="4:10">
      <c r="D642" s="43"/>
      <c r="J642" s="43"/>
    </row>
    <row r="643" spans="4:10">
      <c r="D643" s="43"/>
      <c r="J643" s="43"/>
    </row>
    <row r="644" spans="4:10">
      <c r="D644" s="43"/>
      <c r="J644" s="43"/>
    </row>
    <row r="645" spans="4:10">
      <c r="D645" s="43"/>
      <c r="J645" s="43"/>
    </row>
    <row r="646" spans="4:10">
      <c r="D646" s="43"/>
      <c r="J646" s="43"/>
    </row>
    <row r="647" spans="4:10">
      <c r="D647" s="43"/>
      <c r="J647" s="43"/>
    </row>
    <row r="648" spans="4:10">
      <c r="D648" s="43"/>
      <c r="J648" s="43"/>
    </row>
    <row r="649" spans="4:10">
      <c r="D649" s="43"/>
      <c r="J649" s="43"/>
    </row>
    <row r="650" spans="4:10">
      <c r="D650" s="43"/>
      <c r="J650" s="43"/>
    </row>
    <row r="651" spans="4:10">
      <c r="D651" s="43"/>
      <c r="J651" s="43"/>
    </row>
    <row r="652" spans="4:10">
      <c r="D652" s="43"/>
      <c r="J652" s="43"/>
    </row>
    <row r="653" spans="4:10">
      <c r="D653" s="43"/>
      <c r="J653" s="43"/>
    </row>
    <row r="654" spans="4:10">
      <c r="D654" s="43"/>
      <c r="J654" s="43"/>
    </row>
    <row r="655" spans="4:10">
      <c r="D655" s="43"/>
      <c r="J655" s="43"/>
    </row>
    <row r="656" spans="4:10">
      <c r="D656" s="43"/>
      <c r="J656" s="43"/>
    </row>
    <row r="657" spans="4:10">
      <c r="D657" s="43"/>
      <c r="J657" s="43"/>
    </row>
    <row r="658" spans="4:10">
      <c r="D658" s="43"/>
      <c r="J658" s="43"/>
    </row>
    <row r="659" spans="4:10">
      <c r="D659" s="43"/>
      <c r="J659" s="43"/>
    </row>
    <row r="660" spans="4:10">
      <c r="D660" s="43"/>
      <c r="J660" s="43"/>
    </row>
    <row r="661" spans="4:10">
      <c r="D661" s="43"/>
      <c r="J661" s="43"/>
    </row>
    <row r="662" spans="4:10">
      <c r="D662" s="43"/>
      <c r="J662" s="43"/>
    </row>
    <row r="663" spans="4:10">
      <c r="D663" s="43"/>
      <c r="J663" s="43"/>
    </row>
    <row r="664" spans="4:10">
      <c r="D664" s="43"/>
      <c r="J664" s="43"/>
    </row>
    <row r="665" spans="4:10">
      <c r="D665" s="43"/>
      <c r="J665" s="43"/>
    </row>
    <row r="666" spans="4:10">
      <c r="D666" s="43"/>
      <c r="J666" s="43"/>
    </row>
    <row r="667" spans="4:10">
      <c r="D667" s="43"/>
      <c r="J667" s="43"/>
    </row>
    <row r="668" spans="4:10">
      <c r="D668" s="43"/>
      <c r="J668" s="43"/>
    </row>
    <row r="669" spans="4:10">
      <c r="D669" s="43"/>
      <c r="J669" s="43"/>
    </row>
    <row r="670" spans="4:10">
      <c r="D670" s="43"/>
      <c r="J670" s="43"/>
    </row>
    <row r="671" spans="4:10">
      <c r="D671" s="43"/>
      <c r="J671" s="43"/>
    </row>
    <row r="672" spans="4:10">
      <c r="D672" s="43"/>
      <c r="J672" s="43"/>
    </row>
    <row r="673" spans="4:10">
      <c r="D673" s="43"/>
      <c r="J673" s="43"/>
    </row>
    <row r="674" spans="4:10">
      <c r="D674" s="43"/>
      <c r="J674" s="43"/>
    </row>
    <row r="675" spans="4:10">
      <c r="D675" s="43"/>
      <c r="J675" s="43"/>
    </row>
    <row r="676" spans="4:10">
      <c r="D676" s="43"/>
      <c r="J676" s="43"/>
    </row>
    <row r="677" spans="4:10">
      <c r="D677" s="43"/>
      <c r="J677" s="43"/>
    </row>
    <row r="678" spans="4:10">
      <c r="D678" s="43"/>
      <c r="J678" s="43"/>
    </row>
    <row r="679" spans="4:10">
      <c r="D679" s="43"/>
      <c r="J679" s="43"/>
    </row>
    <row r="680" spans="4:10">
      <c r="D680" s="43"/>
      <c r="J680" s="43"/>
    </row>
    <row r="681" spans="4:10">
      <c r="D681" s="43"/>
      <c r="J681" s="43"/>
    </row>
    <row r="682" spans="4:10">
      <c r="D682" s="43"/>
      <c r="J682" s="43"/>
    </row>
    <row r="683" spans="4:10">
      <c r="D683" s="43"/>
      <c r="J683" s="43"/>
    </row>
    <row r="684" spans="4:10">
      <c r="D684" s="43"/>
      <c r="J684" s="43"/>
    </row>
    <row r="685" spans="4:10">
      <c r="D685" s="43"/>
      <c r="J685" s="43"/>
    </row>
    <row r="686" spans="4:10">
      <c r="D686" s="43"/>
      <c r="J686" s="43"/>
    </row>
    <row r="687" spans="4:10">
      <c r="D687" s="43"/>
      <c r="J687" s="43"/>
    </row>
    <row r="688" spans="4:10">
      <c r="D688" s="43"/>
      <c r="J688" s="43"/>
    </row>
    <row r="689" spans="4:10">
      <c r="D689" s="43"/>
      <c r="J689" s="43"/>
    </row>
    <row r="690" spans="4:10">
      <c r="D690" s="43"/>
      <c r="J690" s="43"/>
    </row>
    <row r="691" spans="4:10">
      <c r="D691" s="43"/>
      <c r="J691" s="43"/>
    </row>
    <row r="692" spans="4:10">
      <c r="D692" s="43"/>
      <c r="J692" s="43"/>
    </row>
    <row r="693" spans="4:10">
      <c r="D693" s="43"/>
      <c r="J693" s="43"/>
    </row>
    <row r="694" spans="4:10">
      <c r="D694" s="43"/>
      <c r="J694" s="43"/>
    </row>
    <row r="695" spans="4:10">
      <c r="D695" s="43"/>
      <c r="J695" s="43"/>
    </row>
    <row r="696" spans="4:10">
      <c r="D696" s="43"/>
      <c r="J696" s="43"/>
    </row>
    <row r="697" spans="4:10">
      <c r="D697" s="43"/>
      <c r="J697" s="43"/>
    </row>
    <row r="698" spans="4:10">
      <c r="D698" s="43"/>
      <c r="J698" s="43"/>
    </row>
    <row r="699" spans="4:10">
      <c r="D699" s="43"/>
      <c r="J699" s="43"/>
    </row>
    <row r="700" spans="4:10">
      <c r="D700" s="43"/>
      <c r="J700" s="43"/>
    </row>
    <row r="701" spans="4:10">
      <c r="D701" s="43"/>
      <c r="J701" s="43"/>
    </row>
    <row r="702" spans="4:10">
      <c r="D702" s="43"/>
      <c r="J702" s="43"/>
    </row>
    <row r="703" spans="4:10">
      <c r="D703" s="43"/>
      <c r="J703" s="43"/>
    </row>
    <row r="704" spans="4:10">
      <c r="D704" s="43"/>
      <c r="J704" s="43"/>
    </row>
    <row r="705" spans="4:10">
      <c r="D705" s="43"/>
      <c r="J705" s="43"/>
    </row>
    <row r="706" spans="4:10">
      <c r="D706" s="43"/>
      <c r="J706" s="43"/>
    </row>
    <row r="707" spans="4:10">
      <c r="D707" s="43"/>
      <c r="J707" s="43"/>
    </row>
    <row r="708" spans="4:10">
      <c r="D708" s="43"/>
      <c r="J708" s="43"/>
    </row>
    <row r="709" spans="4:10">
      <c r="D709" s="43"/>
      <c r="J709" s="43"/>
    </row>
    <row r="710" spans="4:10">
      <c r="D710" s="43"/>
      <c r="J710" s="43"/>
    </row>
    <row r="711" spans="4:10">
      <c r="D711" s="43"/>
      <c r="J711" s="43"/>
    </row>
    <row r="712" spans="4:10">
      <c r="D712" s="43"/>
      <c r="J712" s="43"/>
    </row>
    <row r="713" spans="4:10">
      <c r="D713" s="43"/>
      <c r="J713" s="43"/>
    </row>
    <row r="714" spans="4:10">
      <c r="D714" s="43"/>
      <c r="J714" s="43"/>
    </row>
    <row r="715" spans="4:10">
      <c r="D715" s="43"/>
      <c r="J715" s="43"/>
    </row>
    <row r="716" spans="4:10">
      <c r="D716" s="43"/>
      <c r="J716" s="43"/>
    </row>
    <row r="717" spans="4:10">
      <c r="D717" s="43"/>
      <c r="J717" s="43"/>
    </row>
    <row r="718" spans="4:10">
      <c r="D718" s="43"/>
      <c r="J718" s="43"/>
    </row>
    <row r="719" spans="4:10">
      <c r="D719" s="43"/>
      <c r="J719" s="43"/>
    </row>
    <row r="720" spans="4:10">
      <c r="D720" s="43"/>
      <c r="J720" s="43"/>
    </row>
    <row r="721" spans="4:10">
      <c r="D721" s="43"/>
      <c r="J721" s="43"/>
    </row>
    <row r="722" spans="4:10">
      <c r="D722" s="43"/>
      <c r="J722" s="43"/>
    </row>
    <row r="723" spans="4:10">
      <c r="D723" s="43"/>
      <c r="J723" s="43"/>
    </row>
    <row r="724" spans="4:10">
      <c r="D724" s="43"/>
      <c r="J724" s="43"/>
    </row>
    <row r="725" spans="4:10">
      <c r="D725" s="43"/>
      <c r="J725" s="43"/>
    </row>
    <row r="726" spans="4:10">
      <c r="D726" s="43"/>
      <c r="J726" s="43"/>
    </row>
    <row r="727" spans="4:10">
      <c r="D727" s="43"/>
      <c r="J727" s="43"/>
    </row>
    <row r="728" spans="4:10">
      <c r="D728" s="43"/>
      <c r="J728" s="43"/>
    </row>
    <row r="729" spans="4:10">
      <c r="D729" s="43"/>
      <c r="J729" s="43"/>
    </row>
    <row r="730" spans="4:10">
      <c r="D730" s="43"/>
      <c r="J730" s="43"/>
    </row>
    <row r="731" spans="4:10">
      <c r="D731" s="43"/>
      <c r="J731" s="43"/>
    </row>
    <row r="732" spans="4:10">
      <c r="D732" s="43"/>
      <c r="J732" s="43"/>
    </row>
    <row r="733" spans="4:10">
      <c r="D733" s="43"/>
      <c r="J733" s="43"/>
    </row>
    <row r="734" spans="4:10">
      <c r="D734" s="43"/>
      <c r="J734" s="43"/>
    </row>
    <row r="735" spans="4:10">
      <c r="D735" s="43"/>
      <c r="J735" s="43"/>
    </row>
    <row r="736" spans="4:10">
      <c r="D736" s="43"/>
      <c r="J736" s="43"/>
    </row>
    <row r="737" spans="4:10">
      <c r="D737" s="43"/>
      <c r="J737" s="43"/>
    </row>
    <row r="738" spans="4:10">
      <c r="D738" s="43"/>
      <c r="J738" s="43"/>
    </row>
    <row r="739" spans="4:10">
      <c r="D739" s="43"/>
      <c r="J739" s="43"/>
    </row>
    <row r="740" spans="4:10">
      <c r="D740" s="43"/>
      <c r="J740" s="43"/>
    </row>
    <row r="741" spans="4:10">
      <c r="D741" s="43"/>
      <c r="J741" s="43"/>
    </row>
    <row r="742" spans="4:10">
      <c r="D742" s="43"/>
      <c r="J742" s="43"/>
    </row>
    <row r="743" spans="4:10">
      <c r="D743" s="43"/>
      <c r="J743" s="43"/>
    </row>
    <row r="744" spans="4:10">
      <c r="D744" s="43"/>
      <c r="J744" s="43"/>
    </row>
    <row r="745" spans="4:10">
      <c r="D745" s="43"/>
      <c r="J745" s="43"/>
    </row>
    <row r="746" spans="4:10">
      <c r="D746" s="43"/>
      <c r="J746" s="43"/>
    </row>
    <row r="747" spans="4:10">
      <c r="D747" s="43"/>
      <c r="J747" s="43"/>
    </row>
    <row r="748" spans="4:10">
      <c r="D748" s="43"/>
      <c r="J748" s="43"/>
    </row>
    <row r="749" spans="4:10">
      <c r="D749" s="43"/>
      <c r="J749" s="43"/>
    </row>
    <row r="750" spans="4:10">
      <c r="D750" s="43"/>
      <c r="J750" s="43"/>
    </row>
    <row r="751" spans="4:10">
      <c r="D751" s="43"/>
      <c r="J751" s="43"/>
    </row>
    <row r="752" spans="4:10">
      <c r="D752" s="43"/>
      <c r="J752" s="43"/>
    </row>
    <row r="753" spans="4:10">
      <c r="D753" s="43"/>
      <c r="J753" s="43"/>
    </row>
    <row r="754" spans="4:10">
      <c r="D754" s="43"/>
      <c r="J754" s="43"/>
    </row>
    <row r="755" spans="4:10">
      <c r="D755" s="43"/>
      <c r="J755" s="43"/>
    </row>
    <row r="756" spans="4:10">
      <c r="D756" s="43"/>
      <c r="J756" s="43"/>
    </row>
    <row r="757" spans="4:10">
      <c r="D757" s="43"/>
      <c r="J757" s="43"/>
    </row>
    <row r="758" spans="4:10">
      <c r="D758" s="43"/>
      <c r="J758" s="43"/>
    </row>
    <row r="759" spans="4:10">
      <c r="D759" s="43"/>
      <c r="J759" s="43"/>
    </row>
    <row r="760" spans="4:10">
      <c r="D760" s="43"/>
      <c r="J760" s="43"/>
    </row>
    <row r="761" spans="4:10">
      <c r="D761" s="43"/>
      <c r="J761" s="43"/>
    </row>
    <row r="762" spans="4:10">
      <c r="D762" s="43"/>
      <c r="J762" s="43"/>
    </row>
    <row r="763" spans="4:10">
      <c r="D763" s="43"/>
      <c r="J763" s="43"/>
    </row>
    <row r="764" spans="4:10">
      <c r="D764" s="43"/>
      <c r="J764" s="43"/>
    </row>
    <row r="765" spans="4:10">
      <c r="D765" s="43"/>
      <c r="J765" s="43"/>
    </row>
    <row r="766" spans="4:10">
      <c r="D766" s="43"/>
      <c r="J766" s="43"/>
    </row>
    <row r="767" spans="4:10">
      <c r="D767" s="43"/>
      <c r="J767" s="43"/>
    </row>
    <row r="768" spans="4:10">
      <c r="D768" s="43"/>
      <c r="J768" s="43"/>
    </row>
    <row r="769" spans="4:10">
      <c r="D769" s="43"/>
      <c r="J769" s="43"/>
    </row>
    <row r="770" spans="4:10">
      <c r="D770" s="43"/>
      <c r="J770" s="43"/>
    </row>
    <row r="771" spans="4:10">
      <c r="D771" s="43"/>
      <c r="J771" s="43"/>
    </row>
    <row r="772" spans="4:10">
      <c r="D772" s="43"/>
      <c r="J772" s="43"/>
    </row>
    <row r="773" spans="4:10">
      <c r="D773" s="43"/>
      <c r="J773" s="43"/>
    </row>
    <row r="774" spans="4:10">
      <c r="D774" s="43"/>
      <c r="J774" s="43"/>
    </row>
    <row r="775" spans="4:10">
      <c r="D775" s="43"/>
      <c r="J775" s="43"/>
    </row>
    <row r="776" spans="4:10">
      <c r="D776" s="43"/>
      <c r="J776" s="43"/>
    </row>
    <row r="777" spans="4:10">
      <c r="D777" s="43"/>
      <c r="J777" s="43"/>
    </row>
    <row r="778" spans="4:10">
      <c r="D778" s="43"/>
      <c r="J778" s="43"/>
    </row>
    <row r="779" spans="4:10">
      <c r="D779" s="43"/>
      <c r="J779" s="43"/>
    </row>
    <row r="780" spans="4:10">
      <c r="D780" s="43"/>
      <c r="J780" s="43"/>
    </row>
    <row r="781" spans="4:10">
      <c r="D781" s="43"/>
      <c r="J781" s="43"/>
    </row>
    <row r="782" spans="4:10">
      <c r="D782" s="43"/>
      <c r="J782" s="43"/>
    </row>
    <row r="783" spans="4:10">
      <c r="D783" s="43"/>
      <c r="J783" s="43"/>
    </row>
    <row r="784" spans="4:10">
      <c r="D784" s="43"/>
      <c r="J784" s="43"/>
    </row>
    <row r="785" spans="4:10">
      <c r="D785" s="43"/>
      <c r="J785" s="43"/>
    </row>
    <row r="786" spans="4:10">
      <c r="D786" s="43"/>
      <c r="J786" s="43"/>
    </row>
    <row r="787" spans="4:10">
      <c r="D787" s="43"/>
      <c r="J787" s="43"/>
    </row>
    <row r="788" spans="4:10">
      <c r="D788" s="43"/>
      <c r="J788" s="43"/>
    </row>
    <row r="789" spans="4:10">
      <c r="D789" s="43"/>
      <c r="J789" s="43"/>
    </row>
    <row r="790" spans="4:10">
      <c r="D790" s="43"/>
      <c r="J790" s="43"/>
    </row>
    <row r="791" spans="4:10">
      <c r="D791" s="43"/>
      <c r="J791" s="43"/>
    </row>
    <row r="792" spans="4:10">
      <c r="D792" s="43"/>
      <c r="J792" s="43"/>
    </row>
    <row r="793" spans="4:10">
      <c r="D793" s="43"/>
      <c r="J793" s="43"/>
    </row>
    <row r="794" spans="4:10">
      <c r="D794" s="43"/>
      <c r="J794" s="43"/>
    </row>
    <row r="795" spans="4:10">
      <c r="D795" s="43"/>
      <c r="J795" s="43"/>
    </row>
    <row r="796" spans="4:10">
      <c r="D796" s="43"/>
      <c r="J796" s="43"/>
    </row>
    <row r="797" spans="4:10">
      <c r="D797" s="43"/>
      <c r="J797" s="43"/>
    </row>
    <row r="798" spans="4:10">
      <c r="D798" s="43"/>
      <c r="J798" s="43"/>
    </row>
    <row r="799" spans="4:10">
      <c r="D799" s="43"/>
      <c r="J799" s="43"/>
    </row>
    <row r="800" spans="4:10">
      <c r="D800" s="43"/>
      <c r="J800" s="43"/>
    </row>
    <row r="801" spans="4:10">
      <c r="D801" s="43"/>
      <c r="J801" s="43"/>
    </row>
    <row r="802" spans="4:10">
      <c r="D802" s="43"/>
      <c r="J802" s="43"/>
    </row>
    <row r="803" spans="4:10">
      <c r="D803" s="43"/>
      <c r="J803" s="43"/>
    </row>
    <row r="804" spans="4:10">
      <c r="D804" s="43"/>
      <c r="J804" s="43"/>
    </row>
    <row r="805" spans="4:10">
      <c r="D805" s="43"/>
      <c r="J805" s="43"/>
    </row>
    <row r="806" spans="4:10">
      <c r="D806" s="43"/>
      <c r="J806" s="43"/>
    </row>
    <row r="807" spans="4:10">
      <c r="D807" s="43"/>
      <c r="J807" s="43"/>
    </row>
    <row r="808" spans="4:10">
      <c r="D808" s="43"/>
      <c r="J808" s="43"/>
    </row>
    <row r="809" spans="4:10">
      <c r="D809" s="43"/>
      <c r="J809" s="43"/>
    </row>
    <row r="810" spans="4:10">
      <c r="D810" s="43"/>
      <c r="J810" s="43"/>
    </row>
    <row r="811" spans="4:10">
      <c r="D811" s="43"/>
      <c r="J811" s="43"/>
    </row>
    <row r="812" spans="4:10">
      <c r="D812" s="43"/>
      <c r="J812" s="43"/>
    </row>
    <row r="813" spans="4:10">
      <c r="D813" s="43"/>
      <c r="J813" s="43"/>
    </row>
    <row r="814" spans="4:10">
      <c r="D814" s="43"/>
      <c r="J814" s="43"/>
    </row>
    <row r="815" spans="4:10">
      <c r="D815" s="43"/>
      <c r="J815" s="43"/>
    </row>
    <row r="816" spans="4:10">
      <c r="D816" s="43"/>
      <c r="J816" s="43"/>
    </row>
    <row r="817" spans="4:10">
      <c r="D817" s="43"/>
      <c r="J817" s="43"/>
    </row>
    <row r="818" spans="4:10">
      <c r="D818" s="43"/>
      <c r="J818" s="43"/>
    </row>
    <row r="819" spans="4:10">
      <c r="D819" s="43"/>
      <c r="J819" s="43"/>
    </row>
    <row r="820" spans="4:10">
      <c r="D820" s="43"/>
      <c r="J820" s="43"/>
    </row>
    <row r="821" spans="4:10">
      <c r="D821" s="43"/>
      <c r="J821" s="43"/>
    </row>
    <row r="822" spans="4:10">
      <c r="D822" s="43"/>
      <c r="J822" s="43"/>
    </row>
    <row r="823" spans="4:10">
      <c r="D823" s="43"/>
      <c r="J823" s="43"/>
    </row>
    <row r="824" spans="4:10">
      <c r="D824" s="43"/>
      <c r="J824" s="43"/>
    </row>
    <row r="825" spans="4:10">
      <c r="D825" s="43"/>
      <c r="J825" s="43"/>
    </row>
    <row r="826" spans="4:10">
      <c r="D826" s="43"/>
      <c r="J826" s="43"/>
    </row>
    <row r="827" spans="4:10">
      <c r="D827" s="43"/>
      <c r="J827" s="43"/>
    </row>
    <row r="828" spans="4:10">
      <c r="D828" s="43"/>
      <c r="J828" s="43"/>
    </row>
    <row r="829" spans="4:10">
      <c r="D829" s="43"/>
      <c r="J829" s="43"/>
    </row>
    <row r="830" spans="4:10">
      <c r="D830" s="43"/>
      <c r="J830" s="43"/>
    </row>
    <row r="831" spans="4:10">
      <c r="D831" s="43"/>
      <c r="J831" s="43"/>
    </row>
    <row r="832" spans="4:10">
      <c r="D832" s="43"/>
      <c r="J832" s="43"/>
    </row>
    <row r="833" spans="4:10">
      <c r="D833" s="43"/>
      <c r="J833" s="43"/>
    </row>
    <row r="834" spans="4:10">
      <c r="D834" s="43"/>
      <c r="J834" s="43"/>
    </row>
    <row r="835" spans="4:10">
      <c r="D835" s="43"/>
      <c r="J835" s="43"/>
    </row>
    <row r="836" spans="4:10">
      <c r="D836" s="43"/>
      <c r="J836" s="43"/>
    </row>
    <row r="837" spans="4:10">
      <c r="D837" s="43"/>
      <c r="J837" s="43"/>
    </row>
    <row r="838" spans="4:10">
      <c r="D838" s="43"/>
      <c r="J838" s="43"/>
    </row>
    <row r="839" spans="4:10">
      <c r="D839" s="43"/>
      <c r="J839" s="43"/>
    </row>
    <row r="840" spans="4:10">
      <c r="D840" s="43"/>
      <c r="J840" s="43"/>
    </row>
    <row r="841" spans="4:10">
      <c r="D841" s="43"/>
      <c r="J841" s="43"/>
    </row>
    <row r="842" spans="4:10">
      <c r="D842" s="43"/>
      <c r="J842" s="43"/>
    </row>
    <row r="843" spans="4:10">
      <c r="D843" s="43"/>
      <c r="J843" s="43"/>
    </row>
    <row r="844" spans="4:10">
      <c r="D844" s="43"/>
      <c r="J844" s="43"/>
    </row>
    <row r="845" spans="4:10">
      <c r="D845" s="43"/>
      <c r="J845" s="43"/>
    </row>
    <row r="846" spans="4:10">
      <c r="D846" s="43"/>
      <c r="J846" s="43"/>
    </row>
    <row r="847" spans="4:10">
      <c r="D847" s="43"/>
      <c r="J847" s="43"/>
    </row>
    <row r="848" spans="4:10">
      <c r="D848" s="43"/>
      <c r="J848" s="43"/>
    </row>
    <row r="849" spans="4:10">
      <c r="D849" s="43"/>
      <c r="J849" s="43"/>
    </row>
    <row r="850" spans="4:10">
      <c r="D850" s="43"/>
      <c r="J850" s="43"/>
    </row>
    <row r="851" spans="4:10">
      <c r="D851" s="43"/>
      <c r="J851" s="43"/>
    </row>
    <row r="852" spans="4:10">
      <c r="D852" s="43"/>
      <c r="J852" s="43"/>
    </row>
    <row r="853" spans="4:10">
      <c r="D853" s="43"/>
      <c r="J853" s="43"/>
    </row>
    <row r="854" spans="4:10">
      <c r="D854" s="43"/>
      <c r="J854" s="43"/>
    </row>
    <row r="855" spans="4:10">
      <c r="D855" s="43"/>
      <c r="J855" s="43"/>
    </row>
    <row r="856" spans="4:10">
      <c r="D856" s="43"/>
      <c r="J856" s="43"/>
    </row>
    <row r="857" spans="4:10">
      <c r="D857" s="43"/>
      <c r="J857" s="43"/>
    </row>
    <row r="858" spans="4:10">
      <c r="D858" s="43"/>
      <c r="J858" s="43"/>
    </row>
    <row r="859" spans="4:10">
      <c r="D859" s="43"/>
      <c r="J859" s="43"/>
    </row>
    <row r="860" spans="4:10">
      <c r="D860" s="43"/>
      <c r="J860" s="43"/>
    </row>
    <row r="861" spans="4:10">
      <c r="D861" s="43"/>
      <c r="J861" s="43"/>
    </row>
    <row r="862" spans="4:10">
      <c r="D862" s="43"/>
      <c r="J862" s="43"/>
    </row>
    <row r="863" spans="4:10">
      <c r="D863" s="43"/>
      <c r="J863" s="43"/>
    </row>
    <row r="864" spans="4:10">
      <c r="D864" s="43"/>
      <c r="J864" s="43"/>
    </row>
    <row r="865" spans="4:10">
      <c r="D865" s="43"/>
      <c r="J865" s="43"/>
    </row>
    <row r="866" spans="4:10">
      <c r="D866" s="43"/>
      <c r="J866" s="43"/>
    </row>
    <row r="867" spans="4:10">
      <c r="D867" s="43"/>
      <c r="J867" s="43"/>
    </row>
    <row r="868" spans="4:10">
      <c r="D868" s="43"/>
      <c r="J868" s="43"/>
    </row>
  </sheetData>
  <dataValidations count="1">
    <dataValidation type="list" allowBlank="1" showErrorMessage="1" sqref="M2:M53" xr:uid="{00000000-0002-0000-0400-000000000000}">
      <formula1>"COMPLETED,ONGOING,WIDTHRAWN,DELINQUENT"</formula1>
    </dataValidation>
  </dataValidations>
  <hyperlinks>
    <hyperlink ref="J38"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9000"/>
    <outlinePr summaryBelow="0" summaryRight="0"/>
  </sheetPr>
  <dimension ref="A1:G184"/>
  <sheetViews>
    <sheetView workbookViewId="0"/>
  </sheetViews>
  <sheetFormatPr defaultColWidth="12.5703125" defaultRowHeight="15.75" customHeight="1"/>
  <cols>
    <col min="4" max="4" width="12.28515625" customWidth="1"/>
    <col min="5" max="5" width="33" customWidth="1"/>
    <col min="6" max="6" width="25.140625" customWidth="1"/>
    <col min="7" max="7" width="27.140625" customWidth="1"/>
  </cols>
  <sheetData>
    <row r="1" spans="1:7">
      <c r="A1" s="67" t="s">
        <v>1</v>
      </c>
      <c r="B1" s="67" t="s">
        <v>388</v>
      </c>
      <c r="C1" s="67" t="s">
        <v>389</v>
      </c>
      <c r="D1" s="67" t="s">
        <v>4</v>
      </c>
      <c r="E1" s="67" t="s">
        <v>6</v>
      </c>
      <c r="F1" s="67" t="s">
        <v>390</v>
      </c>
      <c r="G1" s="67" t="s">
        <v>391</v>
      </c>
    </row>
    <row r="2" spans="1:7">
      <c r="A2" s="68">
        <v>2025</v>
      </c>
      <c r="B2" s="74">
        <v>45778</v>
      </c>
      <c r="C2" s="68" t="s">
        <v>61</v>
      </c>
      <c r="D2" s="68" t="s">
        <v>1340</v>
      </c>
      <c r="E2" s="68" t="s">
        <v>1341</v>
      </c>
      <c r="F2" s="68" t="s">
        <v>1342</v>
      </c>
      <c r="G2" s="69">
        <v>2535792</v>
      </c>
    </row>
    <row r="3" spans="1:7">
      <c r="A3" s="68">
        <v>2025</v>
      </c>
      <c r="B3" s="68" t="s">
        <v>1343</v>
      </c>
      <c r="C3" s="68" t="s">
        <v>61</v>
      </c>
      <c r="D3" s="68" t="s">
        <v>1344</v>
      </c>
      <c r="E3" s="68" t="s">
        <v>1345</v>
      </c>
      <c r="F3" s="68" t="s">
        <v>1346</v>
      </c>
      <c r="G3" s="69">
        <v>200000</v>
      </c>
    </row>
    <row r="4" spans="1:7">
      <c r="A4" s="68">
        <v>2025</v>
      </c>
      <c r="B4" s="68" t="s">
        <v>1347</v>
      </c>
      <c r="C4" s="68" t="s">
        <v>61</v>
      </c>
      <c r="D4" s="68" t="s">
        <v>1340</v>
      </c>
      <c r="E4" s="68" t="s">
        <v>1348</v>
      </c>
      <c r="F4" s="68" t="s">
        <v>1349</v>
      </c>
      <c r="G4" s="68"/>
    </row>
    <row r="5" spans="1:7">
      <c r="A5" s="68">
        <v>2025</v>
      </c>
      <c r="B5" s="68" t="s">
        <v>1350</v>
      </c>
      <c r="C5" s="68" t="s">
        <v>61</v>
      </c>
      <c r="D5" s="68" t="s">
        <v>1344</v>
      </c>
      <c r="E5" s="68" t="s">
        <v>1351</v>
      </c>
      <c r="F5" s="68" t="s">
        <v>1352</v>
      </c>
      <c r="G5" s="68"/>
    </row>
    <row r="6" spans="1:7">
      <c r="A6" s="68">
        <v>2025</v>
      </c>
      <c r="B6" s="68" t="s">
        <v>1353</v>
      </c>
      <c r="C6" s="68" t="s">
        <v>61</v>
      </c>
      <c r="D6" s="68" t="s">
        <v>1344</v>
      </c>
      <c r="E6" s="68" t="s">
        <v>1354</v>
      </c>
      <c r="F6" s="68" t="s">
        <v>1355</v>
      </c>
      <c r="G6" s="69">
        <v>300000</v>
      </c>
    </row>
    <row r="7" spans="1:7">
      <c r="A7" s="68">
        <v>2025</v>
      </c>
      <c r="B7" s="68" t="s">
        <v>1356</v>
      </c>
      <c r="C7" s="68" t="s">
        <v>61</v>
      </c>
      <c r="D7" s="68" t="s">
        <v>1344</v>
      </c>
      <c r="E7" s="68" t="s">
        <v>1357</v>
      </c>
      <c r="F7" s="68" t="s">
        <v>1358</v>
      </c>
      <c r="G7" s="69">
        <v>1300000</v>
      </c>
    </row>
    <row r="8" spans="1:7">
      <c r="A8" s="68">
        <v>2025</v>
      </c>
      <c r="B8" s="68" t="s">
        <v>1359</v>
      </c>
      <c r="C8" s="68" t="s">
        <v>61</v>
      </c>
      <c r="D8" s="68" t="s">
        <v>1340</v>
      </c>
      <c r="E8" s="68" t="s">
        <v>1360</v>
      </c>
      <c r="F8" s="68" t="s">
        <v>1361</v>
      </c>
      <c r="G8" s="68"/>
    </row>
    <row r="9" spans="1:7">
      <c r="A9" s="68">
        <v>2025</v>
      </c>
      <c r="B9" s="68" t="s">
        <v>1362</v>
      </c>
      <c r="C9" s="68" t="s">
        <v>61</v>
      </c>
      <c r="D9" s="68" t="s">
        <v>1344</v>
      </c>
      <c r="E9" s="68" t="s">
        <v>1363</v>
      </c>
      <c r="F9" s="68" t="s">
        <v>1364</v>
      </c>
      <c r="G9" s="69">
        <v>300000</v>
      </c>
    </row>
    <row r="10" spans="1:7">
      <c r="A10" s="68">
        <v>2025</v>
      </c>
      <c r="B10" s="68" t="s">
        <v>1365</v>
      </c>
      <c r="C10" s="68" t="s">
        <v>61</v>
      </c>
      <c r="D10" s="68" t="s">
        <v>1340</v>
      </c>
      <c r="E10" s="68" t="s">
        <v>1366</v>
      </c>
      <c r="F10" s="68" t="s">
        <v>1367</v>
      </c>
      <c r="G10" s="68"/>
    </row>
    <row r="11" spans="1:7">
      <c r="A11" s="68">
        <v>2025</v>
      </c>
      <c r="B11" s="68" t="s">
        <v>1368</v>
      </c>
      <c r="C11" s="68" t="s">
        <v>61</v>
      </c>
      <c r="D11" s="68" t="s">
        <v>1344</v>
      </c>
      <c r="E11" s="68" t="s">
        <v>1369</v>
      </c>
      <c r="F11" s="68" t="s">
        <v>1370</v>
      </c>
      <c r="G11" s="69">
        <v>300000</v>
      </c>
    </row>
    <row r="12" spans="1:7">
      <c r="A12" s="68">
        <v>2024</v>
      </c>
      <c r="B12" s="68" t="s">
        <v>1371</v>
      </c>
      <c r="C12" s="68" t="s">
        <v>61</v>
      </c>
      <c r="D12" s="68" t="s">
        <v>1372</v>
      </c>
      <c r="E12" s="68" t="s">
        <v>1373</v>
      </c>
      <c r="F12" s="68" t="s">
        <v>1374</v>
      </c>
      <c r="G12" s="69">
        <v>2865280</v>
      </c>
    </row>
    <row r="13" spans="1:7">
      <c r="A13" s="68">
        <v>2024</v>
      </c>
      <c r="B13" s="68" t="s">
        <v>1375</v>
      </c>
      <c r="C13" s="68" t="s">
        <v>61</v>
      </c>
      <c r="D13" s="68" t="s">
        <v>1372</v>
      </c>
      <c r="E13" s="68" t="s">
        <v>1376</v>
      </c>
      <c r="F13" s="68" t="s">
        <v>1377</v>
      </c>
      <c r="G13" s="69">
        <v>1580912.96</v>
      </c>
    </row>
    <row r="14" spans="1:7">
      <c r="A14" s="68">
        <v>2024</v>
      </c>
      <c r="B14" s="68" t="s">
        <v>1378</v>
      </c>
      <c r="C14" s="68" t="s">
        <v>61</v>
      </c>
      <c r="D14" s="68" t="s">
        <v>1379</v>
      </c>
      <c r="E14" s="68" t="s">
        <v>1380</v>
      </c>
      <c r="F14" s="68" t="s">
        <v>1381</v>
      </c>
      <c r="G14" s="69">
        <v>1307000</v>
      </c>
    </row>
    <row r="15" spans="1:7">
      <c r="A15" s="68">
        <v>2024</v>
      </c>
      <c r="B15" s="68" t="s">
        <v>1382</v>
      </c>
      <c r="C15" s="68" t="s">
        <v>61</v>
      </c>
      <c r="D15" s="68" t="s">
        <v>1383</v>
      </c>
      <c r="E15" s="68" t="s">
        <v>1384</v>
      </c>
      <c r="F15" s="68" t="s">
        <v>1346</v>
      </c>
      <c r="G15" s="69">
        <v>200000</v>
      </c>
    </row>
    <row r="16" spans="1:7">
      <c r="A16" s="68">
        <v>2024</v>
      </c>
      <c r="B16" s="68" t="s">
        <v>1385</v>
      </c>
      <c r="C16" s="68" t="s">
        <v>61</v>
      </c>
      <c r="D16" s="68" t="s">
        <v>1383</v>
      </c>
      <c r="E16" s="68" t="s">
        <v>1386</v>
      </c>
      <c r="F16" s="68" t="s">
        <v>650</v>
      </c>
      <c r="G16" s="69">
        <v>300000</v>
      </c>
    </row>
    <row r="17" spans="1:7">
      <c r="A17" s="68">
        <v>2024</v>
      </c>
      <c r="B17" s="68" t="s">
        <v>1387</v>
      </c>
      <c r="C17" s="68" t="s">
        <v>61</v>
      </c>
      <c r="D17" s="68" t="s">
        <v>1383</v>
      </c>
      <c r="E17" s="68" t="s">
        <v>1388</v>
      </c>
      <c r="F17" s="68" t="s">
        <v>1389</v>
      </c>
      <c r="G17" s="69">
        <v>200000</v>
      </c>
    </row>
    <row r="18" spans="1:7">
      <c r="A18" s="68">
        <v>2024</v>
      </c>
      <c r="B18" s="68" t="s">
        <v>1390</v>
      </c>
      <c r="C18" s="68" t="s">
        <v>61</v>
      </c>
      <c r="D18" s="68" t="s">
        <v>1379</v>
      </c>
      <c r="E18" s="68" t="s">
        <v>1391</v>
      </c>
      <c r="F18" s="68" t="s">
        <v>840</v>
      </c>
      <c r="G18" s="69">
        <v>631500</v>
      </c>
    </row>
    <row r="19" spans="1:7">
      <c r="A19" s="68">
        <v>2024</v>
      </c>
      <c r="B19" s="68" t="s">
        <v>1392</v>
      </c>
      <c r="C19" s="68" t="s">
        <v>61</v>
      </c>
      <c r="D19" s="68" t="s">
        <v>1383</v>
      </c>
      <c r="E19" s="68" t="s">
        <v>1393</v>
      </c>
      <c r="F19" s="68" t="s">
        <v>704</v>
      </c>
      <c r="G19" s="69">
        <v>300000</v>
      </c>
    </row>
    <row r="20" spans="1:7">
      <c r="A20" s="68">
        <v>2024</v>
      </c>
      <c r="B20" s="68" t="s">
        <v>1394</v>
      </c>
      <c r="C20" s="68" t="s">
        <v>61</v>
      </c>
      <c r="D20" s="68" t="s">
        <v>1372</v>
      </c>
      <c r="E20" s="68" t="s">
        <v>1395</v>
      </c>
      <c r="F20" s="68" t="s">
        <v>1396</v>
      </c>
      <c r="G20" s="69">
        <v>266000</v>
      </c>
    </row>
    <row r="21" spans="1:7">
      <c r="A21" s="68">
        <v>2024</v>
      </c>
      <c r="B21" s="68" t="s">
        <v>1397</v>
      </c>
      <c r="C21" s="68" t="s">
        <v>61</v>
      </c>
      <c r="D21" s="68" t="s">
        <v>1383</v>
      </c>
      <c r="E21" s="68" t="s">
        <v>1398</v>
      </c>
      <c r="F21" s="68" t="s">
        <v>1399</v>
      </c>
      <c r="G21" s="69">
        <v>300000</v>
      </c>
    </row>
    <row r="22" spans="1:7">
      <c r="A22" s="68">
        <v>2024</v>
      </c>
      <c r="B22" s="68" t="s">
        <v>1400</v>
      </c>
      <c r="C22" s="68" t="s">
        <v>61</v>
      </c>
      <c r="D22" s="68" t="s">
        <v>1383</v>
      </c>
      <c r="E22" s="68" t="s">
        <v>1401</v>
      </c>
      <c r="F22" s="68" t="s">
        <v>1402</v>
      </c>
      <c r="G22" s="69">
        <v>1652500</v>
      </c>
    </row>
    <row r="23" spans="1:7">
      <c r="A23" s="68">
        <v>2024</v>
      </c>
      <c r="B23" s="68" t="s">
        <v>1403</v>
      </c>
      <c r="C23" s="68" t="s">
        <v>61</v>
      </c>
      <c r="D23" s="68" t="s">
        <v>1383</v>
      </c>
      <c r="E23" s="68" t="s">
        <v>1404</v>
      </c>
      <c r="F23" s="68" t="s">
        <v>840</v>
      </c>
      <c r="G23" s="69">
        <v>300000</v>
      </c>
    </row>
    <row r="24" spans="1:7">
      <c r="A24" s="68">
        <v>2024</v>
      </c>
      <c r="B24" s="68" t="s">
        <v>1405</v>
      </c>
      <c r="C24" s="68" t="s">
        <v>61</v>
      </c>
      <c r="D24" s="68" t="s">
        <v>1372</v>
      </c>
      <c r="E24" s="68" t="s">
        <v>1406</v>
      </c>
      <c r="F24" s="68" t="s">
        <v>1407</v>
      </c>
      <c r="G24" s="69">
        <v>5483984.2000000002</v>
      </c>
    </row>
    <row r="25" spans="1:7">
      <c r="A25" s="68">
        <v>2024</v>
      </c>
      <c r="B25" s="68" t="s">
        <v>1408</v>
      </c>
      <c r="C25" s="68" t="s">
        <v>61</v>
      </c>
      <c r="D25" s="68" t="s">
        <v>1383</v>
      </c>
      <c r="E25" s="68" t="s">
        <v>1409</v>
      </c>
      <c r="F25" s="68" t="s">
        <v>1410</v>
      </c>
      <c r="G25" s="69">
        <v>500000</v>
      </c>
    </row>
    <row r="26" spans="1:7">
      <c r="A26" s="68">
        <v>2024</v>
      </c>
      <c r="B26" s="68" t="s">
        <v>1411</v>
      </c>
      <c r="C26" s="68" t="s">
        <v>61</v>
      </c>
      <c r="D26" s="68" t="s">
        <v>1383</v>
      </c>
      <c r="E26" s="68" t="s">
        <v>1412</v>
      </c>
      <c r="F26" s="68" t="s">
        <v>1413</v>
      </c>
      <c r="G26" s="69">
        <v>1500000</v>
      </c>
    </row>
    <row r="27" spans="1:7">
      <c r="A27" s="68">
        <v>2024</v>
      </c>
      <c r="B27" s="68" t="s">
        <v>1414</v>
      </c>
      <c r="C27" s="68" t="s">
        <v>61</v>
      </c>
      <c r="D27" s="68" t="s">
        <v>1383</v>
      </c>
      <c r="E27" s="68" t="s">
        <v>1415</v>
      </c>
      <c r="F27" s="68" t="s">
        <v>1416</v>
      </c>
      <c r="G27" s="69">
        <v>4050000</v>
      </c>
    </row>
    <row r="28" spans="1:7">
      <c r="A28" s="68">
        <v>2023</v>
      </c>
      <c r="B28" s="74">
        <v>44958</v>
      </c>
      <c r="C28" s="68" t="s">
        <v>61</v>
      </c>
      <c r="D28" s="68" t="s">
        <v>1417</v>
      </c>
      <c r="E28" s="68" t="s">
        <v>1418</v>
      </c>
      <c r="F28" s="68" t="s">
        <v>1419</v>
      </c>
      <c r="G28" s="69">
        <v>1835300</v>
      </c>
    </row>
    <row r="29" spans="1:7">
      <c r="A29" s="68">
        <v>2023</v>
      </c>
      <c r="B29" s="74">
        <v>45078</v>
      </c>
      <c r="C29" s="68" t="s">
        <v>61</v>
      </c>
      <c r="D29" s="68" t="s">
        <v>1420</v>
      </c>
      <c r="E29" s="68" t="s">
        <v>1421</v>
      </c>
      <c r="F29" s="68" t="s">
        <v>1419</v>
      </c>
      <c r="G29" s="69">
        <v>1500000</v>
      </c>
    </row>
    <row r="30" spans="1:7">
      <c r="A30" s="68">
        <v>2023</v>
      </c>
      <c r="B30" s="74">
        <v>45139</v>
      </c>
      <c r="C30" s="68" t="s">
        <v>61</v>
      </c>
      <c r="D30" s="68" t="s">
        <v>1383</v>
      </c>
      <c r="E30" s="68" t="s">
        <v>1422</v>
      </c>
      <c r="F30" s="68" t="s">
        <v>1423</v>
      </c>
      <c r="G30" s="69">
        <v>85000</v>
      </c>
    </row>
    <row r="31" spans="1:7">
      <c r="A31" s="68">
        <v>2023</v>
      </c>
      <c r="B31" s="75">
        <v>45231</v>
      </c>
      <c r="C31" s="68" t="s">
        <v>61</v>
      </c>
      <c r="D31" s="68" t="s">
        <v>1417</v>
      </c>
      <c r="E31" s="68" t="s">
        <v>1424</v>
      </c>
      <c r="F31" s="68" t="s">
        <v>1425</v>
      </c>
      <c r="G31" s="69">
        <v>2087500</v>
      </c>
    </row>
    <row r="32" spans="1:7">
      <c r="A32" s="68">
        <v>2023</v>
      </c>
      <c r="B32" s="68" t="s">
        <v>1426</v>
      </c>
      <c r="C32" s="68" t="s">
        <v>61</v>
      </c>
      <c r="D32" s="68" t="s">
        <v>1383</v>
      </c>
      <c r="E32" s="68" t="s">
        <v>1427</v>
      </c>
      <c r="F32" s="68" t="s">
        <v>494</v>
      </c>
      <c r="G32" s="69">
        <v>200000</v>
      </c>
    </row>
    <row r="33" spans="1:7">
      <c r="A33" s="68">
        <v>2023</v>
      </c>
      <c r="B33" s="68" t="s">
        <v>1428</v>
      </c>
      <c r="C33" s="68" t="s">
        <v>61</v>
      </c>
      <c r="D33" s="68" t="s">
        <v>1383</v>
      </c>
      <c r="E33" s="68" t="s">
        <v>1429</v>
      </c>
      <c r="F33" s="68" t="s">
        <v>1430</v>
      </c>
      <c r="G33" s="69">
        <v>50050</v>
      </c>
    </row>
    <row r="34" spans="1:7">
      <c r="A34" s="68">
        <v>2023</v>
      </c>
      <c r="B34" s="68" t="s">
        <v>1431</v>
      </c>
      <c r="C34" s="68" t="s">
        <v>61</v>
      </c>
      <c r="D34" s="68" t="s">
        <v>1383</v>
      </c>
      <c r="E34" s="68" t="s">
        <v>1432</v>
      </c>
      <c r="F34" s="68" t="s">
        <v>1433</v>
      </c>
      <c r="G34" s="69">
        <v>200000</v>
      </c>
    </row>
    <row r="35" spans="1:7">
      <c r="A35" s="68">
        <v>2023</v>
      </c>
      <c r="B35" s="68" t="s">
        <v>1434</v>
      </c>
      <c r="C35" s="68" t="s">
        <v>61</v>
      </c>
      <c r="D35" s="68" t="s">
        <v>1383</v>
      </c>
      <c r="E35" s="68" t="s">
        <v>1435</v>
      </c>
      <c r="F35" s="68" t="s">
        <v>1436</v>
      </c>
      <c r="G35" s="69">
        <v>200000</v>
      </c>
    </row>
    <row r="36" spans="1:7">
      <c r="A36" s="68">
        <v>2023</v>
      </c>
      <c r="B36" s="68" t="s">
        <v>1437</v>
      </c>
      <c r="C36" s="68" t="s">
        <v>61</v>
      </c>
      <c r="D36" s="68" t="s">
        <v>1383</v>
      </c>
      <c r="E36" s="68" t="s">
        <v>1438</v>
      </c>
      <c r="F36" s="68" t="s">
        <v>1439</v>
      </c>
      <c r="G36" s="69">
        <v>355200</v>
      </c>
    </row>
    <row r="37" spans="1:7">
      <c r="A37" s="68">
        <v>2023</v>
      </c>
      <c r="B37" s="68" t="s">
        <v>1440</v>
      </c>
      <c r="C37" s="68" t="s">
        <v>61</v>
      </c>
      <c r="D37" s="68" t="s">
        <v>1383</v>
      </c>
      <c r="E37" s="68" t="s">
        <v>1441</v>
      </c>
      <c r="F37" s="68" t="s">
        <v>1442</v>
      </c>
      <c r="G37" s="69">
        <v>225200</v>
      </c>
    </row>
    <row r="38" spans="1:7">
      <c r="A38" s="68">
        <v>2023</v>
      </c>
      <c r="B38" s="68" t="s">
        <v>1443</v>
      </c>
      <c r="C38" s="68" t="s">
        <v>61</v>
      </c>
      <c r="D38" s="68" t="s">
        <v>1383</v>
      </c>
      <c r="E38" s="68" t="s">
        <v>1444</v>
      </c>
      <c r="F38" s="68" t="s">
        <v>500</v>
      </c>
      <c r="G38" s="69">
        <v>200000</v>
      </c>
    </row>
    <row r="39" spans="1:7">
      <c r="A39" s="68">
        <v>2023</v>
      </c>
      <c r="B39" s="68" t="s">
        <v>1445</v>
      </c>
      <c r="C39" s="68" t="s">
        <v>61</v>
      </c>
      <c r="D39" s="68" t="s">
        <v>1383</v>
      </c>
      <c r="E39" s="68" t="s">
        <v>1446</v>
      </c>
      <c r="F39" s="68" t="s">
        <v>1442</v>
      </c>
      <c r="G39" s="69">
        <v>200000</v>
      </c>
    </row>
    <row r="40" spans="1:7">
      <c r="A40" s="68">
        <v>2023</v>
      </c>
      <c r="B40" s="68" t="s">
        <v>1447</v>
      </c>
      <c r="C40" s="68" t="s">
        <v>61</v>
      </c>
      <c r="D40" s="68" t="s">
        <v>1383</v>
      </c>
      <c r="E40" s="68" t="s">
        <v>1448</v>
      </c>
      <c r="F40" s="68" t="s">
        <v>575</v>
      </c>
      <c r="G40" s="69">
        <v>699920.26</v>
      </c>
    </row>
    <row r="41" spans="1:7">
      <c r="A41" s="68">
        <v>2023</v>
      </c>
      <c r="B41" s="68" t="s">
        <v>1449</v>
      </c>
      <c r="C41" s="68" t="s">
        <v>61</v>
      </c>
      <c r="D41" s="68" t="s">
        <v>1383</v>
      </c>
      <c r="E41" s="68" t="s">
        <v>1450</v>
      </c>
      <c r="F41" s="68" t="s">
        <v>1451</v>
      </c>
      <c r="G41" s="69">
        <v>200000</v>
      </c>
    </row>
    <row r="42" spans="1:7">
      <c r="A42" s="68">
        <v>2023</v>
      </c>
      <c r="B42" s="68" t="s">
        <v>1452</v>
      </c>
      <c r="C42" s="68" t="s">
        <v>61</v>
      </c>
      <c r="D42" s="68" t="s">
        <v>1453</v>
      </c>
      <c r="E42" s="68" t="s">
        <v>1454</v>
      </c>
      <c r="F42" s="68" t="s">
        <v>575</v>
      </c>
      <c r="G42" s="68"/>
    </row>
    <row r="43" spans="1:7">
      <c r="A43" s="68">
        <v>2023</v>
      </c>
      <c r="B43" s="68" t="s">
        <v>1455</v>
      </c>
      <c r="C43" s="68" t="s">
        <v>61</v>
      </c>
      <c r="D43" s="68" t="s">
        <v>1383</v>
      </c>
      <c r="E43" s="68" t="s">
        <v>1456</v>
      </c>
      <c r="F43" s="68" t="s">
        <v>1457</v>
      </c>
      <c r="G43" s="69">
        <v>772080</v>
      </c>
    </row>
    <row r="44" spans="1:7">
      <c r="A44" s="68">
        <v>2022</v>
      </c>
      <c r="B44" s="74">
        <v>44562</v>
      </c>
      <c r="C44" s="68" t="s">
        <v>61</v>
      </c>
      <c r="D44" s="68" t="s">
        <v>1458</v>
      </c>
      <c r="E44" s="68" t="s">
        <v>1459</v>
      </c>
      <c r="F44" s="68" t="s">
        <v>1460</v>
      </c>
      <c r="G44" s="69">
        <v>393300</v>
      </c>
    </row>
    <row r="45" spans="1:7">
      <c r="A45" s="68">
        <v>2022</v>
      </c>
      <c r="B45" s="68" t="s">
        <v>1461</v>
      </c>
      <c r="C45" s="68" t="s">
        <v>61</v>
      </c>
      <c r="D45" s="68" t="s">
        <v>1462</v>
      </c>
      <c r="E45" s="68" t="s">
        <v>1463</v>
      </c>
      <c r="F45" s="68" t="s">
        <v>1464</v>
      </c>
      <c r="G45" s="69">
        <v>1203000</v>
      </c>
    </row>
    <row r="46" spans="1:7">
      <c r="A46" s="68">
        <v>2022</v>
      </c>
      <c r="B46" s="68" t="s">
        <v>1465</v>
      </c>
      <c r="C46" s="68" t="s">
        <v>61</v>
      </c>
      <c r="D46" s="68" t="s">
        <v>1420</v>
      </c>
      <c r="E46" s="68" t="s">
        <v>1466</v>
      </c>
      <c r="F46" s="68" t="s">
        <v>575</v>
      </c>
      <c r="G46" s="69">
        <v>75130</v>
      </c>
    </row>
    <row r="47" spans="1:7">
      <c r="A47" s="68">
        <v>2022</v>
      </c>
      <c r="B47" s="68" t="s">
        <v>1467</v>
      </c>
      <c r="C47" s="68" t="s">
        <v>61</v>
      </c>
      <c r="D47" s="68" t="s">
        <v>1468</v>
      </c>
      <c r="E47" s="68" t="s">
        <v>1469</v>
      </c>
      <c r="F47" s="68" t="s">
        <v>1451</v>
      </c>
      <c r="G47" s="69">
        <v>200000</v>
      </c>
    </row>
    <row r="48" spans="1:7">
      <c r="A48" s="68">
        <v>2022</v>
      </c>
      <c r="B48" s="68" t="s">
        <v>1470</v>
      </c>
      <c r="C48" s="68" t="s">
        <v>61</v>
      </c>
      <c r="D48" s="68" t="s">
        <v>1471</v>
      </c>
      <c r="E48" s="68" t="s">
        <v>1472</v>
      </c>
      <c r="F48" s="68" t="s">
        <v>1473</v>
      </c>
      <c r="G48" s="69">
        <v>300000</v>
      </c>
    </row>
    <row r="49" spans="1:7">
      <c r="A49" s="68">
        <v>2022</v>
      </c>
      <c r="B49" s="68" t="s">
        <v>1474</v>
      </c>
      <c r="C49" s="68" t="s">
        <v>61</v>
      </c>
      <c r="D49" s="68" t="s">
        <v>1420</v>
      </c>
      <c r="E49" s="68" t="s">
        <v>1475</v>
      </c>
      <c r="F49" s="68" t="s">
        <v>575</v>
      </c>
      <c r="G49" s="68"/>
    </row>
    <row r="50" spans="1:7">
      <c r="A50" s="68">
        <v>2022</v>
      </c>
      <c r="B50" s="68" t="s">
        <v>1476</v>
      </c>
      <c r="C50" s="68" t="s">
        <v>61</v>
      </c>
      <c r="D50" s="68" t="s">
        <v>1468</v>
      </c>
      <c r="E50" s="68" t="s">
        <v>1477</v>
      </c>
      <c r="F50" s="68" t="s">
        <v>1478</v>
      </c>
      <c r="G50" s="69">
        <v>200000</v>
      </c>
    </row>
    <row r="51" spans="1:7">
      <c r="A51" s="68">
        <v>2022</v>
      </c>
      <c r="B51" s="68" t="s">
        <v>1479</v>
      </c>
      <c r="C51" s="68" t="s">
        <v>61</v>
      </c>
      <c r="D51" s="68" t="s">
        <v>1480</v>
      </c>
      <c r="E51" s="68" t="s">
        <v>1481</v>
      </c>
      <c r="F51" s="68" t="s">
        <v>1482</v>
      </c>
      <c r="G51" s="69">
        <v>350500</v>
      </c>
    </row>
    <row r="52" spans="1:7">
      <c r="A52" s="68">
        <v>2022</v>
      </c>
      <c r="B52" s="68" t="s">
        <v>1483</v>
      </c>
      <c r="C52" s="68" t="s">
        <v>61</v>
      </c>
      <c r="D52" s="68" t="s">
        <v>1420</v>
      </c>
      <c r="E52" s="68" t="s">
        <v>1484</v>
      </c>
      <c r="F52" s="68" t="s">
        <v>575</v>
      </c>
      <c r="G52" s="68"/>
    </row>
    <row r="53" spans="1:7">
      <c r="A53" s="68">
        <v>2022</v>
      </c>
      <c r="B53" s="68" t="s">
        <v>1485</v>
      </c>
      <c r="C53" s="68" t="s">
        <v>61</v>
      </c>
      <c r="D53" s="68" t="s">
        <v>1471</v>
      </c>
      <c r="E53" s="68" t="s">
        <v>1486</v>
      </c>
      <c r="F53" s="68" t="s">
        <v>650</v>
      </c>
      <c r="G53" s="69">
        <v>300000</v>
      </c>
    </row>
    <row r="54" spans="1:7">
      <c r="A54" s="68">
        <v>2022</v>
      </c>
      <c r="B54" s="68" t="s">
        <v>1487</v>
      </c>
      <c r="C54" s="68" t="s">
        <v>61</v>
      </c>
      <c r="D54" s="68" t="s">
        <v>1468</v>
      </c>
      <c r="E54" s="68" t="s">
        <v>1488</v>
      </c>
      <c r="F54" s="68" t="s">
        <v>650</v>
      </c>
      <c r="G54" s="69">
        <v>200000</v>
      </c>
    </row>
    <row r="55" spans="1:7">
      <c r="A55" s="68">
        <v>2022</v>
      </c>
      <c r="B55" s="68" t="s">
        <v>1489</v>
      </c>
      <c r="C55" s="68" t="s">
        <v>61</v>
      </c>
      <c r="D55" s="68" t="s">
        <v>1468</v>
      </c>
      <c r="E55" s="68" t="s">
        <v>1490</v>
      </c>
      <c r="F55" s="68" t="s">
        <v>1491</v>
      </c>
      <c r="G55" s="69">
        <v>200000</v>
      </c>
    </row>
    <row r="56" spans="1:7">
      <c r="A56" s="68">
        <v>2022</v>
      </c>
      <c r="B56" s="68" t="s">
        <v>1492</v>
      </c>
      <c r="C56" s="68" t="s">
        <v>61</v>
      </c>
      <c r="D56" s="68" t="s">
        <v>1480</v>
      </c>
      <c r="E56" s="68" t="s">
        <v>1493</v>
      </c>
      <c r="F56" s="68" t="s">
        <v>1457</v>
      </c>
      <c r="G56" s="69">
        <v>1720880</v>
      </c>
    </row>
    <row r="57" spans="1:7">
      <c r="A57" s="68">
        <v>2022</v>
      </c>
      <c r="B57" s="68" t="s">
        <v>1494</v>
      </c>
      <c r="C57" s="68" t="s">
        <v>61</v>
      </c>
      <c r="D57" s="68" t="s">
        <v>1468</v>
      </c>
      <c r="E57" s="68" t="s">
        <v>1495</v>
      </c>
      <c r="F57" s="68" t="s">
        <v>1496</v>
      </c>
      <c r="G57" s="69">
        <v>300000</v>
      </c>
    </row>
    <row r="58" spans="1:7">
      <c r="A58" s="68">
        <v>2021</v>
      </c>
      <c r="B58" s="68" t="s">
        <v>1497</v>
      </c>
      <c r="C58" s="68" t="s">
        <v>61</v>
      </c>
      <c r="D58" s="68" t="s">
        <v>1417</v>
      </c>
      <c r="E58" s="68" t="s">
        <v>1498</v>
      </c>
      <c r="F58" s="68" t="s">
        <v>808</v>
      </c>
      <c r="G58" s="69">
        <v>1232386.08</v>
      </c>
    </row>
    <row r="59" spans="1:7">
      <c r="A59" s="68">
        <v>2021</v>
      </c>
      <c r="B59" s="68" t="s">
        <v>1499</v>
      </c>
      <c r="C59" s="68" t="s">
        <v>61</v>
      </c>
      <c r="D59" s="68" t="s">
        <v>1500</v>
      </c>
      <c r="E59" s="68" t="s">
        <v>1501</v>
      </c>
      <c r="F59" s="68" t="s">
        <v>1502</v>
      </c>
      <c r="G59" s="69">
        <v>200000</v>
      </c>
    </row>
    <row r="60" spans="1:7">
      <c r="A60" s="68">
        <v>2021</v>
      </c>
      <c r="B60" s="68" t="s">
        <v>1503</v>
      </c>
      <c r="C60" s="68" t="s">
        <v>61</v>
      </c>
      <c r="D60" s="68" t="s">
        <v>1383</v>
      </c>
      <c r="E60" s="68" t="s">
        <v>1504</v>
      </c>
      <c r="F60" s="68" t="s">
        <v>1505</v>
      </c>
      <c r="G60" s="69">
        <v>394700</v>
      </c>
    </row>
    <row r="61" spans="1:7">
      <c r="A61" s="68">
        <v>2021</v>
      </c>
      <c r="B61" s="68" t="s">
        <v>1506</v>
      </c>
      <c r="C61" s="68" t="s">
        <v>61</v>
      </c>
      <c r="D61" s="68" t="s">
        <v>1383</v>
      </c>
      <c r="E61" s="68" t="s">
        <v>1507</v>
      </c>
      <c r="F61" s="68" t="s">
        <v>1508</v>
      </c>
      <c r="G61" s="69">
        <v>200000</v>
      </c>
    </row>
    <row r="62" spans="1:7">
      <c r="A62" s="68">
        <v>2021</v>
      </c>
      <c r="B62" s="68" t="s">
        <v>1509</v>
      </c>
      <c r="C62" s="68" t="s">
        <v>61</v>
      </c>
      <c r="D62" s="68" t="s">
        <v>1417</v>
      </c>
      <c r="E62" s="68" t="s">
        <v>1510</v>
      </c>
      <c r="F62" s="68" t="s">
        <v>1511</v>
      </c>
      <c r="G62" s="69">
        <v>314417.48</v>
      </c>
    </row>
    <row r="63" spans="1:7">
      <c r="A63" s="68">
        <v>2021</v>
      </c>
      <c r="B63" s="68" t="s">
        <v>1512</v>
      </c>
      <c r="C63" s="68" t="s">
        <v>61</v>
      </c>
      <c r="D63" s="68" t="s">
        <v>1417</v>
      </c>
      <c r="E63" s="68" t="s">
        <v>1513</v>
      </c>
      <c r="F63" s="68" t="s">
        <v>1511</v>
      </c>
      <c r="G63" s="69">
        <v>509255</v>
      </c>
    </row>
    <row r="64" spans="1:7">
      <c r="A64" s="68">
        <v>2021</v>
      </c>
      <c r="B64" s="68" t="s">
        <v>1514</v>
      </c>
      <c r="C64" s="68" t="s">
        <v>61</v>
      </c>
      <c r="D64" s="68" t="s">
        <v>1383</v>
      </c>
      <c r="E64" s="68" t="s">
        <v>1515</v>
      </c>
      <c r="F64" s="68" t="s">
        <v>707</v>
      </c>
      <c r="G64" s="69">
        <v>200000</v>
      </c>
    </row>
    <row r="65" spans="1:7">
      <c r="A65" s="68">
        <v>2021</v>
      </c>
      <c r="B65" s="68" t="s">
        <v>1516</v>
      </c>
      <c r="C65" s="68" t="s">
        <v>61</v>
      </c>
      <c r="D65" s="68" t="s">
        <v>1500</v>
      </c>
      <c r="E65" s="68" t="s">
        <v>1517</v>
      </c>
      <c r="F65" s="68" t="s">
        <v>1518</v>
      </c>
      <c r="G65" s="69">
        <v>2325008</v>
      </c>
    </row>
    <row r="66" spans="1:7">
      <c r="A66" s="68">
        <v>2021</v>
      </c>
      <c r="B66" s="68" t="s">
        <v>1519</v>
      </c>
      <c r="C66" s="68" t="s">
        <v>61</v>
      </c>
      <c r="D66" s="68" t="s">
        <v>1520</v>
      </c>
      <c r="E66" s="68" t="s">
        <v>1521</v>
      </c>
      <c r="F66" s="68" t="s">
        <v>1389</v>
      </c>
      <c r="G66" s="69">
        <v>200000</v>
      </c>
    </row>
    <row r="67" spans="1:7">
      <c r="A67" s="68">
        <v>2021</v>
      </c>
      <c r="B67" s="68" t="s">
        <v>1522</v>
      </c>
      <c r="C67" s="68" t="s">
        <v>61</v>
      </c>
      <c r="D67" s="68" t="s">
        <v>1520</v>
      </c>
      <c r="E67" s="68" t="s">
        <v>1523</v>
      </c>
      <c r="F67" s="68" t="s">
        <v>1491</v>
      </c>
      <c r="G67" s="69">
        <v>170750</v>
      </c>
    </row>
    <row r="68" spans="1:7">
      <c r="A68" s="68">
        <v>2021</v>
      </c>
      <c r="B68" s="68" t="s">
        <v>1524</v>
      </c>
      <c r="C68" s="68" t="s">
        <v>61</v>
      </c>
      <c r="D68" s="68" t="s">
        <v>1520</v>
      </c>
      <c r="E68" s="68" t="s">
        <v>1525</v>
      </c>
      <c r="F68" s="68" t="s">
        <v>575</v>
      </c>
      <c r="G68" s="69">
        <v>38350</v>
      </c>
    </row>
    <row r="69" spans="1:7">
      <c r="A69" s="68">
        <v>2021</v>
      </c>
      <c r="B69" s="68" t="s">
        <v>1526</v>
      </c>
      <c r="C69" s="68" t="s">
        <v>61</v>
      </c>
      <c r="D69" s="68" t="s">
        <v>1520</v>
      </c>
      <c r="E69" s="68" t="s">
        <v>1527</v>
      </c>
      <c r="F69" s="68" t="s">
        <v>1528</v>
      </c>
      <c r="G69" s="69">
        <v>32350</v>
      </c>
    </row>
    <row r="70" spans="1:7">
      <c r="A70" s="68">
        <v>2021</v>
      </c>
      <c r="B70" s="68" t="s">
        <v>1529</v>
      </c>
      <c r="C70" s="68" t="s">
        <v>61</v>
      </c>
      <c r="D70" s="68" t="s">
        <v>1520</v>
      </c>
      <c r="E70" s="68" t="s">
        <v>1530</v>
      </c>
      <c r="F70" s="68" t="s">
        <v>1531</v>
      </c>
      <c r="G70" s="69">
        <v>90500</v>
      </c>
    </row>
    <row r="71" spans="1:7">
      <c r="A71" s="68">
        <v>2021</v>
      </c>
      <c r="B71" s="68" t="s">
        <v>1532</v>
      </c>
      <c r="C71" s="68" t="s">
        <v>61</v>
      </c>
      <c r="D71" s="68" t="s">
        <v>1500</v>
      </c>
      <c r="E71" s="68" t="s">
        <v>1533</v>
      </c>
      <c r="F71" s="68" t="s">
        <v>1410</v>
      </c>
      <c r="G71" s="69">
        <v>200000</v>
      </c>
    </row>
    <row r="72" spans="1:7">
      <c r="A72" s="68">
        <v>2021</v>
      </c>
      <c r="B72" s="68" t="s">
        <v>1534</v>
      </c>
      <c r="C72" s="68" t="s">
        <v>61</v>
      </c>
      <c r="D72" s="68" t="s">
        <v>1520</v>
      </c>
      <c r="E72" s="68" t="s">
        <v>1535</v>
      </c>
      <c r="F72" s="68" t="s">
        <v>704</v>
      </c>
      <c r="G72" s="69">
        <v>155400</v>
      </c>
    </row>
    <row r="73" spans="1:7">
      <c r="A73" s="68">
        <v>2021</v>
      </c>
      <c r="B73" s="68" t="s">
        <v>1536</v>
      </c>
      <c r="C73" s="68" t="s">
        <v>61</v>
      </c>
      <c r="D73" s="68" t="s">
        <v>1520</v>
      </c>
      <c r="E73" s="68" t="s">
        <v>1537</v>
      </c>
      <c r="F73" s="68" t="s">
        <v>575</v>
      </c>
      <c r="G73" s="69">
        <v>196050</v>
      </c>
    </row>
    <row r="74" spans="1:7">
      <c r="A74" s="68">
        <v>2021</v>
      </c>
      <c r="B74" s="68" t="s">
        <v>1538</v>
      </c>
      <c r="C74" s="68" t="s">
        <v>61</v>
      </c>
      <c r="D74" s="68" t="s">
        <v>1500</v>
      </c>
      <c r="E74" s="68" t="s">
        <v>1539</v>
      </c>
      <c r="F74" s="68" t="s">
        <v>1540</v>
      </c>
      <c r="G74" s="69">
        <v>105600</v>
      </c>
    </row>
    <row r="75" spans="1:7">
      <c r="A75" s="68">
        <v>2021</v>
      </c>
      <c r="B75" s="68" t="s">
        <v>1541</v>
      </c>
      <c r="C75" s="68" t="s">
        <v>61</v>
      </c>
      <c r="D75" s="68" t="s">
        <v>1520</v>
      </c>
      <c r="E75" s="68" t="s">
        <v>1542</v>
      </c>
      <c r="F75" s="68" t="s">
        <v>1543</v>
      </c>
      <c r="G75" s="69">
        <v>46400</v>
      </c>
    </row>
    <row r="76" spans="1:7">
      <c r="A76" s="68">
        <v>2021</v>
      </c>
      <c r="B76" s="68" t="s">
        <v>1544</v>
      </c>
      <c r="C76" s="68" t="s">
        <v>61</v>
      </c>
      <c r="D76" s="68" t="s">
        <v>1545</v>
      </c>
      <c r="E76" s="68" t="s">
        <v>1546</v>
      </c>
      <c r="F76" s="68" t="s">
        <v>1547</v>
      </c>
      <c r="G76" s="69">
        <v>110000</v>
      </c>
    </row>
    <row r="77" spans="1:7">
      <c r="A77" s="68">
        <v>2021</v>
      </c>
      <c r="B77" s="68" t="s">
        <v>1548</v>
      </c>
      <c r="C77" s="68" t="s">
        <v>61</v>
      </c>
      <c r="D77" s="68" t="s">
        <v>1549</v>
      </c>
      <c r="E77" s="68" t="s">
        <v>1550</v>
      </c>
      <c r="F77" s="68" t="s">
        <v>808</v>
      </c>
      <c r="G77" s="69">
        <v>803882</v>
      </c>
    </row>
    <row r="78" spans="1:7">
      <c r="A78" s="68">
        <v>2021</v>
      </c>
      <c r="B78" s="68" t="s">
        <v>1551</v>
      </c>
      <c r="C78" s="68" t="s">
        <v>61</v>
      </c>
      <c r="D78" s="68" t="s">
        <v>1549</v>
      </c>
      <c r="E78" s="68" t="s">
        <v>1552</v>
      </c>
      <c r="F78" s="68" t="s">
        <v>1511</v>
      </c>
      <c r="G78" s="69">
        <v>2789448.89</v>
      </c>
    </row>
    <row r="79" spans="1:7">
      <c r="A79" s="68">
        <v>2021</v>
      </c>
      <c r="B79" s="68" t="s">
        <v>1553</v>
      </c>
      <c r="C79" s="68" t="s">
        <v>61</v>
      </c>
      <c r="D79" s="68" t="s">
        <v>1549</v>
      </c>
      <c r="E79" s="68" t="s">
        <v>1554</v>
      </c>
      <c r="F79" s="68" t="s">
        <v>575</v>
      </c>
      <c r="G79" s="68"/>
    </row>
    <row r="80" spans="1:7">
      <c r="A80" s="68">
        <v>2020</v>
      </c>
      <c r="B80" s="74">
        <v>43983</v>
      </c>
      <c r="C80" s="68" t="s">
        <v>61</v>
      </c>
      <c r="D80" s="68" t="s">
        <v>1383</v>
      </c>
      <c r="E80" s="68" t="s">
        <v>1555</v>
      </c>
      <c r="F80" s="68" t="s">
        <v>1556</v>
      </c>
      <c r="G80" s="69">
        <v>1000000</v>
      </c>
    </row>
    <row r="81" spans="1:7">
      <c r="A81" s="68">
        <v>2020</v>
      </c>
      <c r="B81" s="74">
        <v>44013</v>
      </c>
      <c r="C81" s="68" t="s">
        <v>61</v>
      </c>
      <c r="D81" s="68" t="s">
        <v>1383</v>
      </c>
      <c r="E81" s="68" t="s">
        <v>1557</v>
      </c>
      <c r="F81" s="68" t="s">
        <v>1556</v>
      </c>
      <c r="G81" s="69">
        <v>2590000</v>
      </c>
    </row>
    <row r="82" spans="1:7">
      <c r="A82" s="68">
        <v>2020</v>
      </c>
      <c r="B82" s="68" t="s">
        <v>1558</v>
      </c>
      <c r="C82" s="68" t="s">
        <v>61</v>
      </c>
      <c r="D82" s="68" t="s">
        <v>1549</v>
      </c>
      <c r="E82" s="68" t="s">
        <v>1559</v>
      </c>
      <c r="F82" s="68" t="s">
        <v>1560</v>
      </c>
      <c r="G82" s="69">
        <v>1000000</v>
      </c>
    </row>
    <row r="83" spans="1:7">
      <c r="A83" s="68">
        <v>2020</v>
      </c>
      <c r="B83" s="68" t="s">
        <v>1561</v>
      </c>
      <c r="C83" s="68" t="s">
        <v>61</v>
      </c>
      <c r="D83" s="68" t="s">
        <v>1462</v>
      </c>
      <c r="E83" s="68" t="s">
        <v>1562</v>
      </c>
      <c r="F83" s="68" t="s">
        <v>1563</v>
      </c>
      <c r="G83" s="69">
        <v>200000</v>
      </c>
    </row>
    <row r="84" spans="1:7">
      <c r="A84" s="68">
        <v>2020</v>
      </c>
      <c r="B84" s="68" t="s">
        <v>1564</v>
      </c>
      <c r="C84" s="68" t="s">
        <v>61</v>
      </c>
      <c r="D84" s="68" t="s">
        <v>1549</v>
      </c>
      <c r="E84" s="68" t="s">
        <v>1565</v>
      </c>
      <c r="F84" s="68" t="s">
        <v>1566</v>
      </c>
      <c r="G84" s="69">
        <v>1000000</v>
      </c>
    </row>
    <row r="85" spans="1:7">
      <c r="A85" s="68">
        <v>2019</v>
      </c>
      <c r="B85" s="74">
        <v>43647</v>
      </c>
      <c r="C85" s="68" t="s">
        <v>61</v>
      </c>
      <c r="D85" s="68" t="s">
        <v>1383</v>
      </c>
      <c r="E85" s="68" t="s">
        <v>1567</v>
      </c>
      <c r="F85" s="68" t="s">
        <v>737</v>
      </c>
      <c r="G85" s="69">
        <v>200000</v>
      </c>
    </row>
    <row r="86" spans="1:7">
      <c r="A86" s="68">
        <v>2019</v>
      </c>
      <c r="B86" s="74">
        <v>43678</v>
      </c>
      <c r="C86" s="68" t="s">
        <v>61</v>
      </c>
      <c r="D86" s="68" t="s">
        <v>1383</v>
      </c>
      <c r="E86" s="68" t="s">
        <v>1568</v>
      </c>
      <c r="F86" s="68" t="s">
        <v>1569</v>
      </c>
      <c r="G86" s="69">
        <v>200000</v>
      </c>
    </row>
    <row r="87" spans="1:7">
      <c r="A87" s="68">
        <v>2019</v>
      </c>
      <c r="B87" s="75">
        <v>43709</v>
      </c>
      <c r="C87" s="68" t="s">
        <v>61</v>
      </c>
      <c r="D87" s="68" t="s">
        <v>1383</v>
      </c>
      <c r="E87" s="68" t="s">
        <v>1570</v>
      </c>
      <c r="F87" s="68" t="s">
        <v>1502</v>
      </c>
      <c r="G87" s="69">
        <v>200000</v>
      </c>
    </row>
    <row r="88" spans="1:7">
      <c r="A88" s="68">
        <v>2019</v>
      </c>
      <c r="B88" s="75">
        <v>43739</v>
      </c>
      <c r="C88" s="68" t="s">
        <v>61</v>
      </c>
      <c r="D88" s="68" t="s">
        <v>1383</v>
      </c>
      <c r="E88" s="68" t="s">
        <v>1571</v>
      </c>
      <c r="F88" s="68" t="s">
        <v>1572</v>
      </c>
      <c r="G88" s="69">
        <v>200000</v>
      </c>
    </row>
    <row r="89" spans="1:7">
      <c r="A89" s="68">
        <v>2019</v>
      </c>
      <c r="B89" s="75">
        <v>43770</v>
      </c>
      <c r="C89" s="68" t="s">
        <v>61</v>
      </c>
      <c r="D89" s="68" t="s">
        <v>1383</v>
      </c>
      <c r="E89" s="68" t="s">
        <v>1573</v>
      </c>
      <c r="F89" s="68" t="s">
        <v>1574</v>
      </c>
      <c r="G89" s="69">
        <v>200000</v>
      </c>
    </row>
    <row r="90" spans="1:7">
      <c r="A90" s="68">
        <v>2019</v>
      </c>
      <c r="B90" s="75">
        <v>43800</v>
      </c>
      <c r="C90" s="68" t="s">
        <v>61</v>
      </c>
      <c r="D90" s="68" t="s">
        <v>1383</v>
      </c>
      <c r="E90" s="68" t="s">
        <v>1575</v>
      </c>
      <c r="F90" s="68" t="s">
        <v>1576</v>
      </c>
      <c r="G90" s="69">
        <v>500000</v>
      </c>
    </row>
    <row r="91" spans="1:7">
      <c r="A91" s="68">
        <v>2019</v>
      </c>
      <c r="B91" s="68" t="s">
        <v>1577</v>
      </c>
      <c r="C91" s="68" t="s">
        <v>61</v>
      </c>
      <c r="D91" s="68" t="s">
        <v>1383</v>
      </c>
      <c r="E91" s="68" t="s">
        <v>1578</v>
      </c>
      <c r="F91" s="68" t="s">
        <v>575</v>
      </c>
      <c r="G91" s="69">
        <v>130600</v>
      </c>
    </row>
    <row r="92" spans="1:7">
      <c r="A92" s="68">
        <v>2019</v>
      </c>
      <c r="B92" s="68" t="s">
        <v>850</v>
      </c>
      <c r="C92" s="68" t="s">
        <v>61</v>
      </c>
      <c r="D92" s="68" t="s">
        <v>1383</v>
      </c>
      <c r="E92" s="68" t="s">
        <v>1579</v>
      </c>
      <c r="F92" s="68" t="s">
        <v>1580</v>
      </c>
      <c r="G92" s="69">
        <v>500000</v>
      </c>
    </row>
    <row r="93" spans="1:7">
      <c r="A93" s="68">
        <v>2019</v>
      </c>
      <c r="B93" s="68" t="s">
        <v>1581</v>
      </c>
      <c r="C93" s="68" t="s">
        <v>61</v>
      </c>
      <c r="D93" s="68" t="s">
        <v>1383</v>
      </c>
      <c r="E93" s="68" t="s">
        <v>1582</v>
      </c>
      <c r="F93" s="68" t="s">
        <v>1505</v>
      </c>
      <c r="G93" s="69">
        <v>500000</v>
      </c>
    </row>
    <row r="94" spans="1:7">
      <c r="A94" s="68">
        <v>2019</v>
      </c>
      <c r="B94" s="68" t="s">
        <v>1583</v>
      </c>
      <c r="C94" s="68" t="s">
        <v>61</v>
      </c>
      <c r="D94" s="68" t="s">
        <v>1383</v>
      </c>
      <c r="E94" s="68" t="s">
        <v>1584</v>
      </c>
      <c r="F94" s="68" t="s">
        <v>1585</v>
      </c>
      <c r="G94" s="69">
        <v>100000</v>
      </c>
    </row>
    <row r="95" spans="1:7">
      <c r="A95" s="68">
        <v>2019</v>
      </c>
      <c r="B95" s="68" t="s">
        <v>1586</v>
      </c>
      <c r="C95" s="68" t="s">
        <v>61</v>
      </c>
      <c r="D95" s="68" t="s">
        <v>1383</v>
      </c>
      <c r="E95" s="68" t="s">
        <v>1587</v>
      </c>
      <c r="F95" s="68" t="s">
        <v>1588</v>
      </c>
      <c r="G95" s="69">
        <v>58000</v>
      </c>
    </row>
    <row r="96" spans="1:7">
      <c r="A96" s="68">
        <v>2019</v>
      </c>
      <c r="B96" s="68" t="s">
        <v>1589</v>
      </c>
      <c r="C96" s="68" t="s">
        <v>61</v>
      </c>
      <c r="D96" s="68" t="s">
        <v>1383</v>
      </c>
      <c r="E96" s="68" t="s">
        <v>1590</v>
      </c>
      <c r="F96" s="68" t="s">
        <v>849</v>
      </c>
      <c r="G96" s="69">
        <v>200000</v>
      </c>
    </row>
    <row r="97" spans="1:7">
      <c r="A97" s="68">
        <v>2019</v>
      </c>
      <c r="B97" s="68" t="s">
        <v>1591</v>
      </c>
      <c r="C97" s="68" t="s">
        <v>61</v>
      </c>
      <c r="D97" s="68" t="s">
        <v>1383</v>
      </c>
      <c r="E97" s="68" t="s">
        <v>1592</v>
      </c>
      <c r="F97" s="68" t="s">
        <v>1593</v>
      </c>
      <c r="G97" s="69">
        <v>200000</v>
      </c>
    </row>
    <row r="98" spans="1:7">
      <c r="A98" s="68">
        <v>2019</v>
      </c>
      <c r="B98" s="68" t="s">
        <v>1594</v>
      </c>
      <c r="C98" s="68" t="s">
        <v>61</v>
      </c>
      <c r="D98" s="68" t="s">
        <v>1383</v>
      </c>
      <c r="E98" s="68" t="s">
        <v>1595</v>
      </c>
      <c r="F98" s="68" t="s">
        <v>844</v>
      </c>
      <c r="G98" s="69">
        <v>200000</v>
      </c>
    </row>
    <row r="99" spans="1:7">
      <c r="A99" s="68">
        <v>2019</v>
      </c>
      <c r="B99" s="68" t="s">
        <v>1596</v>
      </c>
      <c r="C99" s="68" t="s">
        <v>61</v>
      </c>
      <c r="D99" s="68" t="s">
        <v>1383</v>
      </c>
      <c r="E99" s="68" t="s">
        <v>1597</v>
      </c>
      <c r="F99" s="68" t="s">
        <v>1598</v>
      </c>
      <c r="G99" s="69">
        <v>200000</v>
      </c>
    </row>
    <row r="100" spans="1:7">
      <c r="A100" s="68">
        <v>2019</v>
      </c>
      <c r="B100" s="68" t="s">
        <v>1599</v>
      </c>
      <c r="C100" s="68" t="s">
        <v>61</v>
      </c>
      <c r="D100" s="68" t="s">
        <v>1383</v>
      </c>
      <c r="E100" s="68" t="s">
        <v>1600</v>
      </c>
      <c r="F100" s="68" t="s">
        <v>854</v>
      </c>
      <c r="G100" s="69">
        <v>200000</v>
      </c>
    </row>
    <row r="101" spans="1:7">
      <c r="A101" s="68">
        <v>2019</v>
      </c>
      <c r="B101" s="68" t="s">
        <v>1601</v>
      </c>
      <c r="C101" s="68" t="s">
        <v>61</v>
      </c>
      <c r="D101" s="68" t="s">
        <v>1383</v>
      </c>
      <c r="E101" s="68" t="s">
        <v>1602</v>
      </c>
      <c r="F101" s="68" t="s">
        <v>1346</v>
      </c>
      <c r="G101" s="69">
        <v>200000</v>
      </c>
    </row>
    <row r="102" spans="1:7">
      <c r="A102" s="68">
        <v>2019</v>
      </c>
      <c r="B102" s="68" t="s">
        <v>1603</v>
      </c>
      <c r="C102" s="68" t="s">
        <v>61</v>
      </c>
      <c r="D102" s="68" t="s">
        <v>1383</v>
      </c>
      <c r="E102" s="68" t="s">
        <v>1604</v>
      </c>
      <c r="F102" s="68" t="s">
        <v>1605</v>
      </c>
      <c r="G102" s="69">
        <v>200000</v>
      </c>
    </row>
    <row r="103" spans="1:7">
      <c r="A103" s="68">
        <v>2019</v>
      </c>
      <c r="B103" s="68" t="s">
        <v>1606</v>
      </c>
      <c r="C103" s="68" t="s">
        <v>61</v>
      </c>
      <c r="D103" s="68" t="s">
        <v>1383</v>
      </c>
      <c r="E103" s="68" t="s">
        <v>1607</v>
      </c>
      <c r="F103" s="68" t="s">
        <v>1608</v>
      </c>
      <c r="G103" s="69">
        <v>200000</v>
      </c>
    </row>
    <row r="104" spans="1:7">
      <c r="A104" s="68">
        <v>2019</v>
      </c>
      <c r="B104" s="68" t="s">
        <v>1609</v>
      </c>
      <c r="C104" s="68" t="s">
        <v>61</v>
      </c>
      <c r="D104" s="68" t="s">
        <v>1383</v>
      </c>
      <c r="E104" s="68" t="s">
        <v>1610</v>
      </c>
      <c r="F104" s="68" t="s">
        <v>1611</v>
      </c>
      <c r="G104" s="69">
        <v>500000</v>
      </c>
    </row>
    <row r="105" spans="1:7">
      <c r="A105" s="68">
        <v>2019</v>
      </c>
      <c r="B105" s="68" t="s">
        <v>1612</v>
      </c>
      <c r="C105" s="68" t="s">
        <v>61</v>
      </c>
      <c r="D105" s="68" t="s">
        <v>1383</v>
      </c>
      <c r="E105" s="68" t="s">
        <v>1613</v>
      </c>
      <c r="F105" s="68" t="s">
        <v>1614</v>
      </c>
      <c r="G105" s="69">
        <v>500000</v>
      </c>
    </row>
    <row r="106" spans="1:7">
      <c r="A106" s="68">
        <v>2019</v>
      </c>
      <c r="B106" s="68" t="s">
        <v>1615</v>
      </c>
      <c r="C106" s="68" t="s">
        <v>61</v>
      </c>
      <c r="D106" s="68" t="s">
        <v>1383</v>
      </c>
      <c r="E106" s="68" t="s">
        <v>1616</v>
      </c>
      <c r="F106" s="68" t="s">
        <v>1617</v>
      </c>
      <c r="G106" s="69">
        <v>500000</v>
      </c>
    </row>
    <row r="107" spans="1:7">
      <c r="A107" s="68">
        <v>2019</v>
      </c>
      <c r="B107" s="68" t="s">
        <v>1618</v>
      </c>
      <c r="C107" s="68" t="s">
        <v>61</v>
      </c>
      <c r="D107" s="68" t="s">
        <v>1383</v>
      </c>
      <c r="E107" s="68" t="s">
        <v>1619</v>
      </c>
      <c r="F107" s="68" t="s">
        <v>840</v>
      </c>
      <c r="G107" s="69">
        <v>500000</v>
      </c>
    </row>
    <row r="108" spans="1:7">
      <c r="A108" s="68">
        <v>2019</v>
      </c>
      <c r="B108" s="68" t="s">
        <v>1620</v>
      </c>
      <c r="C108" s="68" t="s">
        <v>61</v>
      </c>
      <c r="D108" s="68" t="s">
        <v>1383</v>
      </c>
      <c r="E108" s="68" t="s">
        <v>1621</v>
      </c>
      <c r="F108" s="68" t="s">
        <v>1622</v>
      </c>
      <c r="G108" s="69">
        <v>500000</v>
      </c>
    </row>
    <row r="109" spans="1:7">
      <c r="A109" s="68">
        <v>2019</v>
      </c>
      <c r="B109" s="68" t="s">
        <v>1623</v>
      </c>
      <c r="C109" s="68" t="s">
        <v>61</v>
      </c>
      <c r="D109" s="68" t="s">
        <v>1383</v>
      </c>
      <c r="E109" s="68" t="s">
        <v>1624</v>
      </c>
      <c r="F109" s="68" t="s">
        <v>1625</v>
      </c>
      <c r="G109" s="69">
        <v>500000</v>
      </c>
    </row>
    <row r="110" spans="1:7">
      <c r="A110" s="68">
        <v>2019</v>
      </c>
      <c r="B110" s="68" t="s">
        <v>1626</v>
      </c>
      <c r="C110" s="68" t="s">
        <v>61</v>
      </c>
      <c r="D110" s="68" t="s">
        <v>1383</v>
      </c>
      <c r="E110" s="68" t="s">
        <v>1627</v>
      </c>
      <c r="F110" s="68" t="s">
        <v>842</v>
      </c>
      <c r="G110" s="69">
        <v>200000</v>
      </c>
    </row>
    <row r="111" spans="1:7">
      <c r="A111" s="68">
        <v>2019</v>
      </c>
      <c r="B111" s="68" t="s">
        <v>1628</v>
      </c>
      <c r="C111" s="68" t="s">
        <v>61</v>
      </c>
      <c r="D111" s="68" t="s">
        <v>1383</v>
      </c>
      <c r="E111" s="68" t="s">
        <v>1629</v>
      </c>
      <c r="F111" s="68" t="s">
        <v>826</v>
      </c>
      <c r="G111" s="69">
        <v>4750</v>
      </c>
    </row>
    <row r="112" spans="1:7">
      <c r="A112" s="68">
        <v>2019</v>
      </c>
      <c r="B112" s="68" t="s">
        <v>1630</v>
      </c>
      <c r="C112" s="68" t="s">
        <v>61</v>
      </c>
      <c r="D112" s="68" t="s">
        <v>1383</v>
      </c>
      <c r="E112" s="68" t="s">
        <v>1631</v>
      </c>
      <c r="F112" s="68" t="s">
        <v>1632</v>
      </c>
      <c r="G112" s="69">
        <v>500000</v>
      </c>
    </row>
    <row r="113" spans="1:7">
      <c r="A113" s="68">
        <v>2019</v>
      </c>
      <c r="B113" s="68" t="s">
        <v>1633</v>
      </c>
      <c r="C113" s="68" t="s">
        <v>61</v>
      </c>
      <c r="D113" s="68" t="s">
        <v>1383</v>
      </c>
      <c r="E113" s="68" t="s">
        <v>1634</v>
      </c>
      <c r="F113" s="68" t="s">
        <v>832</v>
      </c>
      <c r="G113" s="69">
        <v>200000</v>
      </c>
    </row>
    <row r="114" spans="1:7">
      <c r="A114" s="68">
        <v>2019</v>
      </c>
      <c r="B114" s="68" t="s">
        <v>1635</v>
      </c>
      <c r="C114" s="68" t="s">
        <v>61</v>
      </c>
      <c r="D114" s="68" t="s">
        <v>1383</v>
      </c>
      <c r="E114" s="68" t="s">
        <v>1636</v>
      </c>
      <c r="F114" s="68" t="s">
        <v>1585</v>
      </c>
      <c r="G114" s="69">
        <v>500000</v>
      </c>
    </row>
    <row r="115" spans="1:7">
      <c r="A115" s="68">
        <v>2019</v>
      </c>
      <c r="B115" s="68" t="s">
        <v>1637</v>
      </c>
      <c r="C115" s="68" t="s">
        <v>61</v>
      </c>
      <c r="D115" s="68" t="s">
        <v>1383</v>
      </c>
      <c r="E115" s="68" t="s">
        <v>1638</v>
      </c>
      <c r="F115" s="68" t="s">
        <v>840</v>
      </c>
      <c r="G115" s="69">
        <v>172000</v>
      </c>
    </row>
    <row r="116" spans="1:7">
      <c r="A116" s="68">
        <v>2019</v>
      </c>
      <c r="B116" s="68" t="s">
        <v>1639</v>
      </c>
      <c r="C116" s="68" t="s">
        <v>61</v>
      </c>
      <c r="D116" s="68" t="s">
        <v>1383</v>
      </c>
      <c r="E116" s="68" t="s">
        <v>1640</v>
      </c>
      <c r="F116" s="68" t="s">
        <v>1641</v>
      </c>
      <c r="G116" s="69">
        <v>172000</v>
      </c>
    </row>
    <row r="117" spans="1:7">
      <c r="A117" s="68">
        <v>2019</v>
      </c>
      <c r="B117" s="68" t="s">
        <v>1642</v>
      </c>
      <c r="C117" s="68" t="s">
        <v>61</v>
      </c>
      <c r="D117" s="68" t="s">
        <v>1383</v>
      </c>
      <c r="E117" s="68" t="s">
        <v>1627</v>
      </c>
      <c r="F117" s="68" t="s">
        <v>842</v>
      </c>
      <c r="G117" s="69">
        <v>172000</v>
      </c>
    </row>
    <row r="118" spans="1:7">
      <c r="A118" s="68">
        <v>2019</v>
      </c>
      <c r="B118" s="68" t="s">
        <v>1643</v>
      </c>
      <c r="C118" s="68" t="s">
        <v>61</v>
      </c>
      <c r="D118" s="68" t="s">
        <v>1383</v>
      </c>
      <c r="E118" s="68" t="s">
        <v>1644</v>
      </c>
      <c r="F118" s="68" t="s">
        <v>1346</v>
      </c>
      <c r="G118" s="69">
        <v>172000</v>
      </c>
    </row>
    <row r="119" spans="1:7">
      <c r="A119" s="68">
        <v>2019</v>
      </c>
      <c r="B119" s="68" t="s">
        <v>1645</v>
      </c>
      <c r="C119" s="68" t="s">
        <v>61</v>
      </c>
      <c r="D119" s="68" t="s">
        <v>1383</v>
      </c>
      <c r="E119" s="68" t="s">
        <v>1646</v>
      </c>
      <c r="F119" s="68" t="s">
        <v>849</v>
      </c>
      <c r="G119" s="69">
        <v>172000</v>
      </c>
    </row>
    <row r="120" spans="1:7">
      <c r="A120" s="68">
        <v>2019</v>
      </c>
      <c r="B120" s="68" t="s">
        <v>1581</v>
      </c>
      <c r="C120" s="68" t="s">
        <v>61</v>
      </c>
      <c r="D120" s="68" t="s">
        <v>1383</v>
      </c>
      <c r="E120" s="68" t="s">
        <v>1647</v>
      </c>
      <c r="F120" s="68" t="s">
        <v>1641</v>
      </c>
      <c r="G120" s="69">
        <v>172000</v>
      </c>
    </row>
    <row r="121" spans="1:7">
      <c r="A121" s="68">
        <v>2019</v>
      </c>
      <c r="B121" s="68" t="s">
        <v>1648</v>
      </c>
      <c r="C121" s="68" t="s">
        <v>61</v>
      </c>
      <c r="D121" s="68" t="s">
        <v>1383</v>
      </c>
      <c r="E121" s="68" t="s">
        <v>1649</v>
      </c>
      <c r="F121" s="68" t="s">
        <v>844</v>
      </c>
      <c r="G121" s="69">
        <v>172000</v>
      </c>
    </row>
    <row r="122" spans="1:7">
      <c r="A122" s="68">
        <v>2019</v>
      </c>
      <c r="B122" s="68" t="s">
        <v>1650</v>
      </c>
      <c r="C122" s="68" t="s">
        <v>61</v>
      </c>
      <c r="D122" s="68" t="s">
        <v>1383</v>
      </c>
      <c r="E122" s="68" t="s">
        <v>1651</v>
      </c>
      <c r="F122" s="68" t="s">
        <v>1598</v>
      </c>
      <c r="G122" s="69">
        <v>172000</v>
      </c>
    </row>
    <row r="123" spans="1:7">
      <c r="A123" s="68">
        <v>2019</v>
      </c>
      <c r="B123" s="68" t="s">
        <v>60</v>
      </c>
      <c r="C123" s="68" t="s">
        <v>61</v>
      </c>
      <c r="D123" s="68" t="s">
        <v>1383</v>
      </c>
      <c r="E123" s="68" t="s">
        <v>1652</v>
      </c>
      <c r="F123" s="68" t="s">
        <v>1605</v>
      </c>
      <c r="G123" s="69">
        <v>172000</v>
      </c>
    </row>
    <row r="124" spans="1:7">
      <c r="A124" s="68">
        <v>2019</v>
      </c>
      <c r="B124" s="68" t="s">
        <v>1210</v>
      </c>
      <c r="C124" s="68" t="s">
        <v>61</v>
      </c>
      <c r="D124" s="68" t="s">
        <v>1383</v>
      </c>
      <c r="E124" s="68" t="s">
        <v>1653</v>
      </c>
      <c r="F124" s="68" t="s">
        <v>842</v>
      </c>
      <c r="G124" s="69">
        <v>91800</v>
      </c>
    </row>
    <row r="125" spans="1:7">
      <c r="A125" s="68">
        <v>2019</v>
      </c>
      <c r="B125" s="68" t="s">
        <v>1654</v>
      </c>
      <c r="C125" s="68" t="s">
        <v>61</v>
      </c>
      <c r="D125" s="68" t="s">
        <v>1383</v>
      </c>
      <c r="E125" s="68" t="s">
        <v>1655</v>
      </c>
      <c r="F125" s="68" t="s">
        <v>1656</v>
      </c>
      <c r="G125" s="69">
        <v>50000</v>
      </c>
    </row>
    <row r="126" spans="1:7">
      <c r="A126" s="68">
        <v>2019</v>
      </c>
      <c r="B126" s="68" t="s">
        <v>1657</v>
      </c>
      <c r="C126" s="68" t="s">
        <v>61</v>
      </c>
      <c r="D126" s="68" t="s">
        <v>1383</v>
      </c>
      <c r="E126" s="68" t="s">
        <v>1658</v>
      </c>
      <c r="F126" s="68" t="s">
        <v>572</v>
      </c>
      <c r="G126" s="69">
        <v>172000</v>
      </c>
    </row>
    <row r="127" spans="1:7">
      <c r="A127" s="68">
        <v>2019</v>
      </c>
      <c r="B127" s="68" t="s">
        <v>1659</v>
      </c>
      <c r="C127" s="68" t="s">
        <v>61</v>
      </c>
      <c r="D127" s="68" t="s">
        <v>1383</v>
      </c>
      <c r="E127" s="68" t="s">
        <v>1660</v>
      </c>
      <c r="F127" s="68" t="s">
        <v>1482</v>
      </c>
      <c r="G127" s="69">
        <v>287052</v>
      </c>
    </row>
    <row r="128" spans="1:7">
      <c r="A128" s="68">
        <v>2018</v>
      </c>
      <c r="B128" s="74">
        <v>43101</v>
      </c>
      <c r="C128" s="68" t="s">
        <v>925</v>
      </c>
      <c r="D128" s="68" t="s">
        <v>1383</v>
      </c>
      <c r="E128" s="68" t="s">
        <v>1661</v>
      </c>
      <c r="F128" s="68" t="s">
        <v>811</v>
      </c>
      <c r="G128" s="69">
        <v>2747800</v>
      </c>
    </row>
    <row r="129" spans="1:7">
      <c r="A129" s="68">
        <v>2018</v>
      </c>
      <c r="B129" s="75">
        <v>43405</v>
      </c>
      <c r="C129" s="68" t="s">
        <v>925</v>
      </c>
      <c r="D129" s="68" t="s">
        <v>1383</v>
      </c>
      <c r="E129" s="68" t="s">
        <v>1662</v>
      </c>
      <c r="F129" s="68" t="s">
        <v>1663</v>
      </c>
      <c r="G129" s="69">
        <v>200000</v>
      </c>
    </row>
    <row r="130" spans="1:7">
      <c r="A130" s="68">
        <v>2018</v>
      </c>
      <c r="B130" s="75">
        <v>43435</v>
      </c>
      <c r="C130" s="68" t="s">
        <v>925</v>
      </c>
      <c r="D130" s="68" t="s">
        <v>1383</v>
      </c>
      <c r="E130" s="68" t="s">
        <v>1664</v>
      </c>
      <c r="F130" s="68" t="s">
        <v>650</v>
      </c>
      <c r="G130" s="69">
        <v>200000</v>
      </c>
    </row>
    <row r="131" spans="1:7">
      <c r="A131" s="68">
        <v>2018</v>
      </c>
      <c r="B131" s="68" t="s">
        <v>1665</v>
      </c>
      <c r="C131" s="68" t="s">
        <v>925</v>
      </c>
      <c r="D131" s="68" t="s">
        <v>1383</v>
      </c>
      <c r="E131" s="68" t="s">
        <v>1666</v>
      </c>
      <c r="F131" s="68" t="s">
        <v>581</v>
      </c>
      <c r="G131" s="69">
        <v>200000</v>
      </c>
    </row>
    <row r="132" spans="1:7">
      <c r="A132" s="68">
        <v>2018</v>
      </c>
      <c r="B132" s="68" t="s">
        <v>1667</v>
      </c>
      <c r="C132" s="68" t="s">
        <v>925</v>
      </c>
      <c r="D132" s="68" t="s">
        <v>1383</v>
      </c>
      <c r="E132" s="68" t="s">
        <v>1666</v>
      </c>
      <c r="F132" s="68" t="s">
        <v>722</v>
      </c>
      <c r="G132" s="69">
        <v>200000</v>
      </c>
    </row>
    <row r="133" spans="1:7">
      <c r="A133" s="68">
        <v>2018</v>
      </c>
      <c r="B133" s="68" t="s">
        <v>1668</v>
      </c>
      <c r="C133" s="68" t="s">
        <v>925</v>
      </c>
      <c r="D133" s="68" t="s">
        <v>1383</v>
      </c>
      <c r="E133" s="68" t="s">
        <v>1666</v>
      </c>
      <c r="F133" s="68" t="s">
        <v>1669</v>
      </c>
      <c r="G133" s="69">
        <v>200000</v>
      </c>
    </row>
    <row r="134" spans="1:7">
      <c r="A134" s="68">
        <v>2018</v>
      </c>
      <c r="B134" s="68" t="s">
        <v>1670</v>
      </c>
      <c r="C134" s="68" t="s">
        <v>925</v>
      </c>
      <c r="D134" s="68" t="s">
        <v>1383</v>
      </c>
      <c r="E134" s="68" t="s">
        <v>1666</v>
      </c>
      <c r="F134" s="68" t="s">
        <v>1671</v>
      </c>
      <c r="G134" s="69">
        <v>200000</v>
      </c>
    </row>
    <row r="135" spans="1:7">
      <c r="A135" s="68">
        <v>2018</v>
      </c>
      <c r="B135" s="68" t="s">
        <v>1672</v>
      </c>
      <c r="C135" s="68" t="s">
        <v>925</v>
      </c>
      <c r="D135" s="68" t="s">
        <v>1383</v>
      </c>
      <c r="E135" s="68" t="s">
        <v>1673</v>
      </c>
      <c r="F135" s="68" t="s">
        <v>707</v>
      </c>
      <c r="G135" s="69">
        <v>200000</v>
      </c>
    </row>
    <row r="136" spans="1:7">
      <c r="A136" s="68">
        <v>2018</v>
      </c>
      <c r="B136" s="68" t="s">
        <v>1674</v>
      </c>
      <c r="C136" s="68" t="s">
        <v>925</v>
      </c>
      <c r="D136" s="68" t="s">
        <v>1383</v>
      </c>
      <c r="E136" s="68" t="s">
        <v>1675</v>
      </c>
      <c r="F136" s="68" t="s">
        <v>1502</v>
      </c>
      <c r="G136" s="69">
        <v>200000</v>
      </c>
    </row>
    <row r="137" spans="1:7">
      <c r="A137" s="68">
        <v>2018</v>
      </c>
      <c r="B137" s="68" t="s">
        <v>1676</v>
      </c>
      <c r="C137" s="68" t="s">
        <v>925</v>
      </c>
      <c r="D137" s="68" t="s">
        <v>1383</v>
      </c>
      <c r="E137" s="68" t="s">
        <v>1677</v>
      </c>
      <c r="F137" s="68" t="s">
        <v>1389</v>
      </c>
      <c r="G137" s="69">
        <v>200000</v>
      </c>
    </row>
    <row r="138" spans="1:7">
      <c r="A138" s="68">
        <v>2018</v>
      </c>
      <c r="B138" s="68" t="s">
        <v>1678</v>
      </c>
      <c r="C138" s="68" t="s">
        <v>925</v>
      </c>
      <c r="D138" s="68" t="s">
        <v>1383</v>
      </c>
      <c r="E138" s="68" t="s">
        <v>1679</v>
      </c>
      <c r="F138" s="68" t="s">
        <v>1680</v>
      </c>
      <c r="G138" s="69">
        <v>200000</v>
      </c>
    </row>
    <row r="139" spans="1:7">
      <c r="A139" s="68">
        <v>2018</v>
      </c>
      <c r="B139" s="68" t="s">
        <v>1681</v>
      </c>
      <c r="C139" s="68" t="s">
        <v>925</v>
      </c>
      <c r="D139" s="68" t="s">
        <v>1383</v>
      </c>
      <c r="E139" s="68" t="s">
        <v>1682</v>
      </c>
      <c r="F139" s="68" t="s">
        <v>1683</v>
      </c>
      <c r="G139" s="69">
        <v>200000</v>
      </c>
    </row>
    <row r="140" spans="1:7">
      <c r="A140" s="68">
        <v>2018</v>
      </c>
      <c r="B140" s="68" t="s">
        <v>1684</v>
      </c>
      <c r="C140" s="68" t="s">
        <v>925</v>
      </c>
      <c r="D140" s="68" t="s">
        <v>1383</v>
      </c>
      <c r="E140" s="68" t="s">
        <v>1685</v>
      </c>
      <c r="F140" s="68" t="s">
        <v>1686</v>
      </c>
      <c r="G140" s="69">
        <v>200000</v>
      </c>
    </row>
    <row r="141" spans="1:7">
      <c r="A141" s="68">
        <v>2018</v>
      </c>
      <c r="B141" s="68" t="s">
        <v>1687</v>
      </c>
      <c r="C141" s="68" t="s">
        <v>925</v>
      </c>
      <c r="D141" s="68" t="s">
        <v>1383</v>
      </c>
      <c r="E141" s="68" t="s">
        <v>1688</v>
      </c>
      <c r="F141" s="68" t="s">
        <v>1689</v>
      </c>
      <c r="G141" s="69">
        <v>200000</v>
      </c>
    </row>
    <row r="142" spans="1:7">
      <c r="A142" s="68">
        <v>2018</v>
      </c>
      <c r="B142" s="68" t="s">
        <v>1690</v>
      </c>
      <c r="C142" s="68" t="s">
        <v>925</v>
      </c>
      <c r="D142" s="68" t="s">
        <v>1383</v>
      </c>
      <c r="E142" s="68" t="s">
        <v>1691</v>
      </c>
      <c r="F142" s="68" t="s">
        <v>1692</v>
      </c>
      <c r="G142" s="69">
        <v>200000</v>
      </c>
    </row>
    <row r="143" spans="1:7">
      <c r="A143" s="68">
        <v>2018</v>
      </c>
      <c r="B143" s="68" t="s">
        <v>1693</v>
      </c>
      <c r="C143" s="68" t="s">
        <v>925</v>
      </c>
      <c r="D143" s="68" t="s">
        <v>1383</v>
      </c>
      <c r="E143" s="68" t="s">
        <v>1694</v>
      </c>
      <c r="F143" s="68" t="s">
        <v>1695</v>
      </c>
      <c r="G143" s="69">
        <v>200000</v>
      </c>
    </row>
    <row r="144" spans="1:7">
      <c r="A144" s="68">
        <v>2018</v>
      </c>
      <c r="B144" s="68" t="s">
        <v>1696</v>
      </c>
      <c r="C144" s="68" t="s">
        <v>925</v>
      </c>
      <c r="D144" s="68" t="s">
        <v>1383</v>
      </c>
      <c r="E144" s="68" t="s">
        <v>1697</v>
      </c>
      <c r="F144" s="68" t="s">
        <v>1698</v>
      </c>
      <c r="G144" s="69">
        <v>200000</v>
      </c>
    </row>
    <row r="145" spans="1:7">
      <c r="A145" s="68">
        <v>2018</v>
      </c>
      <c r="B145" s="68" t="s">
        <v>1699</v>
      </c>
      <c r="C145" s="68" t="s">
        <v>925</v>
      </c>
      <c r="D145" s="68" t="s">
        <v>1383</v>
      </c>
      <c r="E145" s="68" t="s">
        <v>1700</v>
      </c>
      <c r="F145" s="68" t="s">
        <v>1701</v>
      </c>
      <c r="G145" s="69">
        <v>200000</v>
      </c>
    </row>
    <row r="146" spans="1:7">
      <c r="A146" s="68">
        <v>2018</v>
      </c>
      <c r="B146" s="68" t="s">
        <v>1702</v>
      </c>
      <c r="C146" s="68" t="s">
        <v>925</v>
      </c>
      <c r="D146" s="68" t="s">
        <v>1383</v>
      </c>
      <c r="E146" s="68" t="s">
        <v>1703</v>
      </c>
      <c r="F146" s="68" t="s">
        <v>1611</v>
      </c>
      <c r="G146" s="69">
        <v>750000</v>
      </c>
    </row>
    <row r="147" spans="1:7">
      <c r="A147" s="68">
        <v>2018</v>
      </c>
      <c r="B147" s="68" t="s">
        <v>960</v>
      </c>
      <c r="C147" s="68" t="s">
        <v>925</v>
      </c>
      <c r="D147" s="68" t="s">
        <v>1383</v>
      </c>
      <c r="E147" s="68" t="s">
        <v>1704</v>
      </c>
      <c r="F147" s="68" t="s">
        <v>1705</v>
      </c>
      <c r="G147" s="69">
        <v>750000</v>
      </c>
    </row>
    <row r="148" spans="1:7">
      <c r="A148" s="68">
        <v>2018</v>
      </c>
      <c r="B148" s="68" t="s">
        <v>1706</v>
      </c>
      <c r="C148" s="68" t="s">
        <v>925</v>
      </c>
      <c r="D148" s="68" t="s">
        <v>1383</v>
      </c>
      <c r="E148" s="68" t="s">
        <v>1707</v>
      </c>
      <c r="F148" s="68" t="s">
        <v>1708</v>
      </c>
      <c r="G148" s="69">
        <v>1500000</v>
      </c>
    </row>
    <row r="149" spans="1:7">
      <c r="A149" s="68">
        <v>2018</v>
      </c>
      <c r="B149" s="68" t="s">
        <v>1709</v>
      </c>
      <c r="C149" s="68" t="s">
        <v>925</v>
      </c>
      <c r="D149" s="68" t="s">
        <v>1383</v>
      </c>
      <c r="E149" s="68" t="s">
        <v>1710</v>
      </c>
      <c r="F149" s="68" t="s">
        <v>1711</v>
      </c>
      <c r="G149" s="69">
        <v>200000</v>
      </c>
    </row>
    <row r="150" spans="1:7">
      <c r="A150" s="68">
        <v>2018</v>
      </c>
      <c r="B150" s="68" t="s">
        <v>1712</v>
      </c>
      <c r="C150" s="68" t="s">
        <v>925</v>
      </c>
      <c r="D150" s="68" t="s">
        <v>1383</v>
      </c>
      <c r="E150" s="68" t="s">
        <v>1713</v>
      </c>
      <c r="F150" s="68" t="s">
        <v>572</v>
      </c>
      <c r="G150" s="69">
        <v>200000</v>
      </c>
    </row>
    <row r="151" spans="1:7">
      <c r="A151" s="68">
        <v>2018</v>
      </c>
      <c r="B151" s="68" t="s">
        <v>1714</v>
      </c>
      <c r="C151" s="68" t="s">
        <v>925</v>
      </c>
      <c r="D151" s="68" t="s">
        <v>1383</v>
      </c>
      <c r="E151" s="68" t="s">
        <v>1715</v>
      </c>
      <c r="F151" s="68" t="s">
        <v>1478</v>
      </c>
      <c r="G151" s="69">
        <v>200000</v>
      </c>
    </row>
    <row r="152" spans="1:7">
      <c r="A152" s="68">
        <v>2018</v>
      </c>
      <c r="B152" s="68" t="s">
        <v>1716</v>
      </c>
      <c r="C152" s="68" t="s">
        <v>925</v>
      </c>
      <c r="D152" s="68" t="s">
        <v>1383</v>
      </c>
      <c r="E152" s="68" t="s">
        <v>1717</v>
      </c>
      <c r="F152" s="68" t="s">
        <v>1491</v>
      </c>
      <c r="G152" s="69">
        <v>200000</v>
      </c>
    </row>
    <row r="153" spans="1:7">
      <c r="A153" s="68">
        <v>2018</v>
      </c>
      <c r="B153" s="68" t="s">
        <v>1718</v>
      </c>
      <c r="C153" s="68" t="s">
        <v>925</v>
      </c>
      <c r="D153" s="68" t="s">
        <v>1383</v>
      </c>
      <c r="E153" s="68" t="s">
        <v>1719</v>
      </c>
      <c r="F153" s="68" t="s">
        <v>956</v>
      </c>
      <c r="G153" s="69">
        <v>200000</v>
      </c>
    </row>
    <row r="154" spans="1:7">
      <c r="A154" s="68">
        <v>2018</v>
      </c>
      <c r="B154" s="68" t="s">
        <v>1720</v>
      </c>
      <c r="C154" s="68" t="s">
        <v>925</v>
      </c>
      <c r="D154" s="68" t="s">
        <v>1383</v>
      </c>
      <c r="E154" s="68" t="s">
        <v>1721</v>
      </c>
      <c r="F154" s="68" t="s">
        <v>1722</v>
      </c>
      <c r="G154" s="69">
        <v>200000</v>
      </c>
    </row>
    <row r="155" spans="1:7">
      <c r="A155" s="68">
        <v>2018</v>
      </c>
      <c r="B155" s="68" t="s">
        <v>1723</v>
      </c>
      <c r="C155" s="68" t="s">
        <v>925</v>
      </c>
      <c r="D155" s="68" t="s">
        <v>1383</v>
      </c>
      <c r="E155" s="68" t="s">
        <v>1724</v>
      </c>
      <c r="F155" s="68" t="s">
        <v>1725</v>
      </c>
      <c r="G155" s="69">
        <v>220000</v>
      </c>
    </row>
    <row r="156" spans="1:7">
      <c r="A156" s="68">
        <v>2018</v>
      </c>
      <c r="B156" s="68" t="s">
        <v>1726</v>
      </c>
      <c r="C156" s="68" t="s">
        <v>925</v>
      </c>
      <c r="D156" s="68" t="s">
        <v>1383</v>
      </c>
      <c r="E156" s="68" t="s">
        <v>1727</v>
      </c>
      <c r="F156" s="68" t="s">
        <v>1728</v>
      </c>
      <c r="G156" s="69">
        <v>200000</v>
      </c>
    </row>
    <row r="157" spans="1:7">
      <c r="A157" s="68">
        <v>2018</v>
      </c>
      <c r="B157" s="68" t="s">
        <v>1729</v>
      </c>
      <c r="C157" s="68" t="s">
        <v>925</v>
      </c>
      <c r="D157" s="68" t="s">
        <v>1730</v>
      </c>
      <c r="E157" s="68" t="s">
        <v>1731</v>
      </c>
      <c r="F157" s="68" t="s">
        <v>1732</v>
      </c>
      <c r="G157" s="68"/>
    </row>
    <row r="158" spans="1:7">
      <c r="A158" s="68">
        <v>2018</v>
      </c>
      <c r="B158" s="68" t="s">
        <v>1733</v>
      </c>
      <c r="C158" s="68" t="s">
        <v>925</v>
      </c>
      <c r="D158" s="68" t="s">
        <v>1730</v>
      </c>
      <c r="E158" s="68" t="s">
        <v>1734</v>
      </c>
      <c r="F158" s="68" t="s">
        <v>494</v>
      </c>
      <c r="G158" s="69">
        <v>99436</v>
      </c>
    </row>
    <row r="159" spans="1:7">
      <c r="A159" s="68">
        <v>2018</v>
      </c>
      <c r="B159" s="68" t="s">
        <v>1735</v>
      </c>
      <c r="C159" s="68" t="s">
        <v>925</v>
      </c>
      <c r="D159" s="68" t="s">
        <v>1383</v>
      </c>
      <c r="E159" s="68" t="s">
        <v>1736</v>
      </c>
      <c r="F159" s="68" t="s">
        <v>811</v>
      </c>
      <c r="G159" s="69">
        <v>100000</v>
      </c>
    </row>
    <row r="160" spans="1:7">
      <c r="A160" s="68">
        <v>2018</v>
      </c>
      <c r="B160" s="68" t="s">
        <v>1737</v>
      </c>
      <c r="C160" s="68" t="s">
        <v>925</v>
      </c>
      <c r="D160" s="68" t="s">
        <v>1383</v>
      </c>
      <c r="E160" s="68" t="s">
        <v>1738</v>
      </c>
      <c r="F160" s="68" t="s">
        <v>1739</v>
      </c>
      <c r="G160" s="69">
        <v>12509</v>
      </c>
    </row>
    <row r="161" spans="1:7">
      <c r="A161" s="68">
        <v>2018</v>
      </c>
      <c r="B161" s="68" t="s">
        <v>1740</v>
      </c>
      <c r="C161" s="68" t="s">
        <v>925</v>
      </c>
      <c r="D161" s="68" t="s">
        <v>1383</v>
      </c>
      <c r="E161" s="68" t="s">
        <v>1741</v>
      </c>
      <c r="F161" s="68" t="s">
        <v>1742</v>
      </c>
      <c r="G161" s="69">
        <v>100000</v>
      </c>
    </row>
    <row r="162" spans="1:7">
      <c r="A162" s="68">
        <v>2018</v>
      </c>
      <c r="B162" s="68" t="s">
        <v>1743</v>
      </c>
      <c r="C162" s="68" t="s">
        <v>925</v>
      </c>
      <c r="D162" s="68" t="s">
        <v>1744</v>
      </c>
      <c r="E162" s="68" t="s">
        <v>1745</v>
      </c>
      <c r="F162" s="68" t="s">
        <v>572</v>
      </c>
      <c r="G162" s="69">
        <v>99586</v>
      </c>
    </row>
    <row r="163" spans="1:7">
      <c r="A163" s="68">
        <v>2018</v>
      </c>
      <c r="B163" s="68" t="s">
        <v>1746</v>
      </c>
      <c r="C163" s="68" t="s">
        <v>925</v>
      </c>
      <c r="D163" s="68" t="s">
        <v>1383</v>
      </c>
      <c r="E163" s="68" t="s">
        <v>1747</v>
      </c>
      <c r="F163" s="68" t="s">
        <v>1748</v>
      </c>
      <c r="G163" s="69">
        <v>100000</v>
      </c>
    </row>
    <row r="164" spans="1:7">
      <c r="A164" s="68">
        <v>2018</v>
      </c>
      <c r="B164" s="68" t="s">
        <v>1749</v>
      </c>
      <c r="C164" s="68" t="s">
        <v>925</v>
      </c>
      <c r="D164" s="68" t="s">
        <v>1744</v>
      </c>
      <c r="E164" s="68" t="s">
        <v>1750</v>
      </c>
      <c r="F164" s="68" t="s">
        <v>1451</v>
      </c>
      <c r="G164" s="69">
        <v>100000</v>
      </c>
    </row>
    <row r="165" spans="1:7">
      <c r="A165" s="68">
        <v>2018</v>
      </c>
      <c r="B165" s="68" t="s">
        <v>1751</v>
      </c>
      <c r="C165" s="68" t="s">
        <v>925</v>
      </c>
      <c r="D165" s="68" t="s">
        <v>1383</v>
      </c>
      <c r="E165" s="68" t="s">
        <v>1752</v>
      </c>
      <c r="F165" s="68" t="s">
        <v>1753</v>
      </c>
      <c r="G165" s="69">
        <v>100000</v>
      </c>
    </row>
    <row r="166" spans="1:7">
      <c r="A166" s="68">
        <v>2018</v>
      </c>
      <c r="B166" s="68" t="s">
        <v>1754</v>
      </c>
      <c r="C166" s="68" t="s">
        <v>925</v>
      </c>
      <c r="D166" s="68" t="s">
        <v>1383</v>
      </c>
      <c r="E166" s="68" t="s">
        <v>1755</v>
      </c>
      <c r="F166" s="68" t="s">
        <v>1756</v>
      </c>
      <c r="G166" s="69">
        <v>50000</v>
      </c>
    </row>
    <row r="167" spans="1:7">
      <c r="A167" s="68">
        <v>2018</v>
      </c>
      <c r="B167" s="68" t="s">
        <v>1757</v>
      </c>
      <c r="C167" s="68" t="s">
        <v>925</v>
      </c>
      <c r="D167" s="68" t="s">
        <v>1383</v>
      </c>
      <c r="E167" s="68" t="s">
        <v>1758</v>
      </c>
      <c r="F167" s="68" t="s">
        <v>1759</v>
      </c>
      <c r="G167" s="69">
        <v>100000</v>
      </c>
    </row>
    <row r="168" spans="1:7">
      <c r="A168" s="68">
        <v>2018</v>
      </c>
      <c r="B168" s="68" t="s">
        <v>1760</v>
      </c>
      <c r="C168" s="68" t="s">
        <v>925</v>
      </c>
      <c r="D168" s="68" t="s">
        <v>1383</v>
      </c>
      <c r="E168" s="68" t="s">
        <v>1761</v>
      </c>
      <c r="F168" s="68" t="s">
        <v>1762</v>
      </c>
      <c r="G168" s="69">
        <v>64080</v>
      </c>
    </row>
    <row r="169" spans="1:7">
      <c r="A169" s="68">
        <v>2018</v>
      </c>
      <c r="B169" s="68" t="s">
        <v>1737</v>
      </c>
      <c r="C169" s="68" t="s">
        <v>925</v>
      </c>
      <c r="D169" s="68" t="s">
        <v>1383</v>
      </c>
      <c r="E169" s="68" t="s">
        <v>1738</v>
      </c>
      <c r="F169" s="68" t="s">
        <v>1739</v>
      </c>
      <c r="G169" s="69">
        <v>12509</v>
      </c>
    </row>
    <row r="170" spans="1:7">
      <c r="A170" s="68">
        <v>2018</v>
      </c>
      <c r="B170" s="68" t="s">
        <v>1740</v>
      </c>
      <c r="C170" s="68" t="s">
        <v>925</v>
      </c>
      <c r="D170" s="68" t="s">
        <v>1383</v>
      </c>
      <c r="E170" s="68" t="s">
        <v>1741</v>
      </c>
      <c r="F170" s="68" t="s">
        <v>1742</v>
      </c>
      <c r="G170" s="69">
        <v>100000</v>
      </c>
    </row>
    <row r="171" spans="1:7">
      <c r="A171" s="68">
        <v>2018</v>
      </c>
      <c r="B171" s="68" t="s">
        <v>1743</v>
      </c>
      <c r="C171" s="68" t="s">
        <v>925</v>
      </c>
      <c r="D171" s="68" t="s">
        <v>1744</v>
      </c>
      <c r="E171" s="68" t="s">
        <v>1745</v>
      </c>
      <c r="F171" s="68" t="s">
        <v>572</v>
      </c>
      <c r="G171" s="69">
        <v>99586</v>
      </c>
    </row>
    <row r="172" spans="1:7">
      <c r="A172" s="68">
        <v>2018</v>
      </c>
      <c r="B172" s="68" t="s">
        <v>1746</v>
      </c>
      <c r="C172" s="68" t="s">
        <v>925</v>
      </c>
      <c r="D172" s="68" t="s">
        <v>1383</v>
      </c>
      <c r="E172" s="68" t="s">
        <v>1747</v>
      </c>
      <c r="F172" s="68" t="s">
        <v>1748</v>
      </c>
      <c r="G172" s="69">
        <v>100000</v>
      </c>
    </row>
    <row r="173" spans="1:7">
      <c r="A173" s="68">
        <v>2018</v>
      </c>
      <c r="B173" s="68" t="s">
        <v>1749</v>
      </c>
      <c r="C173" s="68" t="s">
        <v>925</v>
      </c>
      <c r="D173" s="68" t="s">
        <v>1744</v>
      </c>
      <c r="E173" s="68" t="s">
        <v>1750</v>
      </c>
      <c r="F173" s="68" t="s">
        <v>1451</v>
      </c>
      <c r="G173" s="69">
        <v>100000</v>
      </c>
    </row>
    <row r="174" spans="1:7">
      <c r="A174" s="68">
        <v>2018</v>
      </c>
      <c r="B174" s="68" t="s">
        <v>1751</v>
      </c>
      <c r="C174" s="68" t="s">
        <v>925</v>
      </c>
      <c r="D174" s="68" t="s">
        <v>1383</v>
      </c>
      <c r="E174" s="68" t="s">
        <v>1752</v>
      </c>
      <c r="F174" s="68" t="s">
        <v>1753</v>
      </c>
      <c r="G174" s="69">
        <v>100000</v>
      </c>
    </row>
    <row r="175" spans="1:7">
      <c r="A175" s="68">
        <v>2018</v>
      </c>
      <c r="B175" s="68" t="s">
        <v>1754</v>
      </c>
      <c r="C175" s="68" t="s">
        <v>925</v>
      </c>
      <c r="D175" s="68" t="s">
        <v>1383</v>
      </c>
      <c r="E175" s="68" t="s">
        <v>1755</v>
      </c>
      <c r="F175" s="68" t="s">
        <v>1756</v>
      </c>
      <c r="G175" s="69">
        <v>50000</v>
      </c>
    </row>
    <row r="176" spans="1:7">
      <c r="A176" s="68">
        <v>2018</v>
      </c>
      <c r="B176" s="68" t="s">
        <v>1757</v>
      </c>
      <c r="C176" s="68" t="s">
        <v>925</v>
      </c>
      <c r="D176" s="68" t="s">
        <v>1383</v>
      </c>
      <c r="E176" s="68" t="s">
        <v>1758</v>
      </c>
      <c r="F176" s="68" t="s">
        <v>1759</v>
      </c>
      <c r="G176" s="69">
        <v>100000</v>
      </c>
    </row>
    <row r="177" spans="1:7">
      <c r="A177" s="68">
        <v>2018</v>
      </c>
      <c r="B177" s="68" t="s">
        <v>1760</v>
      </c>
      <c r="C177" s="68" t="s">
        <v>925</v>
      </c>
      <c r="D177" s="68" t="s">
        <v>1383</v>
      </c>
      <c r="E177" s="68" t="s">
        <v>1761</v>
      </c>
      <c r="F177" s="68" t="s">
        <v>1762</v>
      </c>
      <c r="G177" s="69">
        <v>64080</v>
      </c>
    </row>
    <row r="178" spans="1:7">
      <c r="A178" s="68">
        <v>2018</v>
      </c>
      <c r="B178" s="68" t="s">
        <v>1696</v>
      </c>
      <c r="C178" s="68" t="s">
        <v>925</v>
      </c>
      <c r="D178" s="68" t="s">
        <v>1763</v>
      </c>
      <c r="E178" s="68" t="s">
        <v>1764</v>
      </c>
      <c r="F178" s="68" t="s">
        <v>1765</v>
      </c>
      <c r="G178" s="69">
        <v>14432</v>
      </c>
    </row>
    <row r="179" spans="1:7">
      <c r="A179" s="68">
        <v>2018</v>
      </c>
      <c r="B179" s="68" t="s">
        <v>1699</v>
      </c>
      <c r="C179" s="68" t="s">
        <v>925</v>
      </c>
      <c r="D179" s="68" t="s">
        <v>1763</v>
      </c>
      <c r="E179" s="68" t="s">
        <v>1766</v>
      </c>
      <c r="F179" s="68" t="s">
        <v>1767</v>
      </c>
      <c r="G179" s="69">
        <v>33000</v>
      </c>
    </row>
    <row r="180" spans="1:7">
      <c r="A180" s="68">
        <v>2018</v>
      </c>
      <c r="B180" s="68" t="s">
        <v>1768</v>
      </c>
      <c r="C180" s="68" t="s">
        <v>925</v>
      </c>
      <c r="D180" s="68" t="s">
        <v>1763</v>
      </c>
      <c r="E180" s="68" t="s">
        <v>1769</v>
      </c>
      <c r="F180" s="68" t="s">
        <v>1770</v>
      </c>
      <c r="G180" s="69">
        <v>49000</v>
      </c>
    </row>
    <row r="181" spans="1:7">
      <c r="A181" s="68">
        <v>2018</v>
      </c>
      <c r="B181" s="68" t="s">
        <v>1771</v>
      </c>
      <c r="C181" s="68" t="s">
        <v>925</v>
      </c>
      <c r="D181" s="68" t="s">
        <v>1763</v>
      </c>
      <c r="E181" s="68" t="s">
        <v>1772</v>
      </c>
      <c r="F181" s="68" t="s">
        <v>1728</v>
      </c>
      <c r="G181" s="69">
        <v>27700</v>
      </c>
    </row>
    <row r="182" spans="1:7">
      <c r="A182" s="68">
        <v>2018</v>
      </c>
      <c r="B182" s="68" t="s">
        <v>1773</v>
      </c>
      <c r="C182" s="68" t="s">
        <v>925</v>
      </c>
      <c r="D182" s="68" t="s">
        <v>1763</v>
      </c>
      <c r="E182" s="68" t="s">
        <v>1774</v>
      </c>
      <c r="F182" s="68" t="s">
        <v>1775</v>
      </c>
      <c r="G182" s="69">
        <v>40000</v>
      </c>
    </row>
    <row r="183" spans="1:7">
      <c r="A183" s="68">
        <v>2018</v>
      </c>
      <c r="B183" s="68" t="s">
        <v>1776</v>
      </c>
      <c r="C183" s="68" t="s">
        <v>925</v>
      </c>
      <c r="D183" s="68" t="s">
        <v>1763</v>
      </c>
      <c r="E183" s="68" t="s">
        <v>1777</v>
      </c>
      <c r="F183" s="68" t="s">
        <v>1778</v>
      </c>
      <c r="G183" s="69">
        <v>4500</v>
      </c>
    </row>
    <row r="184" spans="1:7">
      <c r="A184" s="68">
        <v>2018</v>
      </c>
      <c r="B184" s="68" t="s">
        <v>985</v>
      </c>
      <c r="C184" s="68" t="s">
        <v>925</v>
      </c>
      <c r="D184" s="68" t="s">
        <v>1763</v>
      </c>
      <c r="E184" s="68" t="s">
        <v>1779</v>
      </c>
      <c r="F184" s="68" t="s">
        <v>1780</v>
      </c>
      <c r="G184" s="69">
        <v>296400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9000"/>
    <outlinePr summaryBelow="0" summaryRight="0"/>
  </sheetPr>
  <dimension ref="A1:M51"/>
  <sheetViews>
    <sheetView workbookViewId="0">
      <pane ySplit="1" topLeftCell="A2" activePane="bottomLeft" state="frozen"/>
      <selection pane="bottomLeft" activeCell="B3" sqref="B3"/>
    </sheetView>
  </sheetViews>
  <sheetFormatPr defaultColWidth="12.5703125" defaultRowHeight="15.75" customHeight="1"/>
  <cols>
    <col min="4" max="4" width="21.42578125" customWidth="1"/>
    <col min="6" max="6" width="52.5703125" customWidth="1"/>
    <col min="7" max="7" width="31.42578125" customWidth="1"/>
    <col min="8" max="8" width="31.42578125" hidden="1" customWidth="1"/>
    <col min="9" max="9" width="29.5703125" customWidth="1"/>
    <col min="13" max="13" width="16" customWidth="1"/>
  </cols>
  <sheetData>
    <row r="1" spans="1:13">
      <c r="A1" s="46" t="s">
        <v>1</v>
      </c>
      <c r="B1" s="46" t="s">
        <v>2</v>
      </c>
      <c r="C1" s="46" t="s">
        <v>3</v>
      </c>
      <c r="D1" s="46" t="s">
        <v>4</v>
      </c>
      <c r="E1" s="46" t="s">
        <v>5</v>
      </c>
      <c r="F1" s="46" t="s">
        <v>6</v>
      </c>
      <c r="G1" s="46" t="s">
        <v>7</v>
      </c>
      <c r="H1" s="46" t="s">
        <v>8</v>
      </c>
      <c r="I1" s="46" t="s">
        <v>9</v>
      </c>
      <c r="J1" s="48" t="s">
        <v>10</v>
      </c>
      <c r="K1" s="48" t="s">
        <v>11</v>
      </c>
      <c r="L1" s="48" t="s">
        <v>12</v>
      </c>
      <c r="M1" s="48" t="s">
        <v>358</v>
      </c>
    </row>
    <row r="2" spans="1:13">
      <c r="A2" s="5"/>
      <c r="B2" s="5"/>
      <c r="C2" s="6"/>
      <c r="D2" s="6"/>
      <c r="E2" s="7"/>
      <c r="F2" s="6"/>
      <c r="G2" s="6"/>
      <c r="H2" s="6"/>
      <c r="I2" s="6"/>
      <c r="J2" s="64"/>
      <c r="K2" s="8"/>
      <c r="L2" s="8"/>
      <c r="M2" s="8"/>
    </row>
    <row r="3" spans="1:13">
      <c r="A3" s="5"/>
      <c r="B3" s="5"/>
      <c r="C3" s="6"/>
      <c r="D3" s="6"/>
      <c r="E3" s="7"/>
      <c r="F3" s="6"/>
      <c r="G3" s="6"/>
      <c r="H3" s="6"/>
      <c r="I3" s="6"/>
      <c r="J3" s="64"/>
      <c r="K3" s="8"/>
      <c r="L3" s="8"/>
      <c r="M3" s="8"/>
    </row>
    <row r="4" spans="1:13">
      <c r="A4" s="5"/>
      <c r="B4" s="5"/>
      <c r="C4" s="6"/>
      <c r="D4" s="6"/>
      <c r="E4" s="7"/>
      <c r="F4" s="6"/>
      <c r="G4" s="6"/>
      <c r="H4" s="6"/>
      <c r="I4" s="6"/>
      <c r="J4" s="64"/>
      <c r="K4" s="8"/>
      <c r="L4" s="8"/>
      <c r="M4" s="8"/>
    </row>
    <row r="5" spans="1:13">
      <c r="A5" s="5"/>
      <c r="B5" s="5"/>
      <c r="C5" s="6"/>
      <c r="D5" s="6"/>
      <c r="E5" s="31"/>
      <c r="F5" s="6"/>
      <c r="G5" s="6"/>
      <c r="H5" s="6"/>
      <c r="I5" s="6"/>
      <c r="J5" s="64"/>
      <c r="K5" s="8"/>
      <c r="L5" s="8"/>
      <c r="M5" s="8"/>
    </row>
    <row r="6" spans="1:13">
      <c r="A6" s="5"/>
      <c r="B6" s="5"/>
      <c r="C6" s="6"/>
      <c r="D6" s="6"/>
      <c r="E6" s="7"/>
      <c r="F6" s="6"/>
      <c r="G6" s="6"/>
      <c r="H6" s="6"/>
      <c r="I6" s="6"/>
      <c r="J6" s="64"/>
      <c r="K6" s="8"/>
      <c r="L6" s="8"/>
      <c r="M6" s="8"/>
    </row>
    <row r="7" spans="1:13">
      <c r="A7" s="5"/>
      <c r="B7" s="5"/>
      <c r="C7" s="6"/>
      <c r="D7" s="6"/>
      <c r="E7" s="7"/>
      <c r="F7" s="6"/>
      <c r="G7" s="6"/>
      <c r="H7" s="6"/>
      <c r="I7" s="6"/>
      <c r="J7" s="64"/>
      <c r="K7" s="8"/>
      <c r="L7" s="8"/>
      <c r="M7" s="8"/>
    </row>
    <row r="8" spans="1:13">
      <c r="A8" s="5"/>
      <c r="B8" s="33"/>
      <c r="C8" s="6"/>
      <c r="D8" s="6"/>
      <c r="E8" s="7"/>
      <c r="F8" s="6"/>
      <c r="G8" s="6"/>
      <c r="H8" s="6"/>
      <c r="I8" s="6"/>
      <c r="J8" s="64"/>
      <c r="K8" s="8"/>
      <c r="L8" s="8"/>
      <c r="M8" s="8"/>
    </row>
    <row r="9" spans="1:13">
      <c r="A9" s="5"/>
      <c r="B9" s="5"/>
      <c r="C9" s="6"/>
      <c r="D9" s="6"/>
      <c r="E9" s="7"/>
      <c r="F9" s="6"/>
      <c r="G9" s="6"/>
      <c r="H9" s="6"/>
      <c r="I9" s="6"/>
      <c r="J9" s="64"/>
      <c r="K9" s="8"/>
      <c r="L9" s="8"/>
      <c r="M9" s="8"/>
    </row>
    <row r="10" spans="1:13">
      <c r="A10" s="5"/>
      <c r="B10" s="5"/>
      <c r="C10" s="6"/>
      <c r="D10" s="6"/>
      <c r="E10" s="7"/>
      <c r="F10" s="6"/>
      <c r="G10" s="6"/>
      <c r="H10" s="6"/>
      <c r="I10" s="6"/>
      <c r="J10" s="64"/>
      <c r="K10" s="8"/>
      <c r="L10" s="8"/>
      <c r="M10" s="8"/>
    </row>
    <row r="11" spans="1:13">
      <c r="A11" s="5"/>
      <c r="B11" s="5"/>
      <c r="C11" s="6"/>
      <c r="D11" s="6"/>
      <c r="E11" s="7"/>
      <c r="F11" s="6"/>
      <c r="G11" s="6"/>
      <c r="H11" s="6"/>
      <c r="I11" s="34"/>
      <c r="J11" s="64"/>
      <c r="K11" s="8"/>
      <c r="L11" s="8"/>
      <c r="M11" s="8"/>
    </row>
    <row r="12" spans="1:13">
      <c r="A12" s="5"/>
      <c r="B12" s="5"/>
      <c r="C12" s="6"/>
      <c r="D12" s="6"/>
      <c r="E12" s="7"/>
      <c r="F12" s="6"/>
      <c r="G12" s="6"/>
      <c r="H12" s="6"/>
      <c r="I12" s="6"/>
      <c r="J12" s="64"/>
      <c r="K12" s="8"/>
      <c r="L12" s="8"/>
      <c r="M12" s="8"/>
    </row>
    <row r="13" spans="1:13">
      <c r="A13" s="5"/>
      <c r="B13" s="5"/>
      <c r="C13" s="6"/>
      <c r="D13" s="6"/>
      <c r="E13" s="6"/>
      <c r="F13" s="6"/>
      <c r="G13" s="6"/>
      <c r="H13" s="6"/>
      <c r="I13" s="6"/>
      <c r="J13" s="64"/>
      <c r="K13" s="8"/>
      <c r="L13" s="8"/>
      <c r="M13" s="8"/>
    </row>
    <row r="14" spans="1:13">
      <c r="A14" s="5"/>
      <c r="B14" s="27"/>
      <c r="C14" s="6"/>
      <c r="D14" s="6"/>
      <c r="E14" s="7"/>
      <c r="F14" s="6"/>
      <c r="G14" s="6"/>
      <c r="H14" s="6"/>
      <c r="I14" s="6"/>
      <c r="J14" s="64"/>
      <c r="K14" s="8"/>
      <c r="L14" s="8"/>
      <c r="M14" s="8"/>
    </row>
    <row r="15" spans="1:13">
      <c r="A15" s="5"/>
      <c r="B15" s="5"/>
      <c r="C15" s="6"/>
      <c r="D15" s="6"/>
      <c r="E15" s="7"/>
      <c r="F15" s="6"/>
      <c r="G15" s="6"/>
      <c r="H15" s="6"/>
      <c r="I15" s="6"/>
      <c r="J15" s="64"/>
      <c r="K15" s="8"/>
      <c r="L15" s="8"/>
      <c r="M15" s="8"/>
    </row>
    <row r="16" spans="1:13">
      <c r="A16" s="5"/>
      <c r="B16" s="5"/>
      <c r="C16" s="6"/>
      <c r="D16" s="6"/>
      <c r="E16" s="7"/>
      <c r="F16" s="6"/>
      <c r="G16" s="6"/>
      <c r="H16" s="6"/>
      <c r="I16" s="6"/>
      <c r="J16" s="8"/>
      <c r="K16" s="8"/>
      <c r="L16" s="8"/>
      <c r="M16" s="8"/>
    </row>
    <row r="17" spans="1:13">
      <c r="A17" s="5"/>
      <c r="B17" s="27"/>
      <c r="C17" s="6"/>
      <c r="D17" s="6"/>
      <c r="E17" s="7"/>
      <c r="F17" s="6"/>
      <c r="G17" s="6"/>
      <c r="H17" s="6"/>
      <c r="I17" s="6"/>
      <c r="J17" s="64"/>
      <c r="K17" s="8"/>
      <c r="L17" s="8"/>
      <c r="M17" s="8"/>
    </row>
    <row r="18" spans="1:13">
      <c r="A18" s="49"/>
      <c r="B18" s="49"/>
      <c r="C18" s="6"/>
      <c r="D18" s="6"/>
      <c r="E18" s="7"/>
      <c r="F18" s="50"/>
      <c r="G18" s="50"/>
      <c r="H18" s="6"/>
      <c r="I18" s="6"/>
      <c r="J18" s="30"/>
      <c r="K18" s="8"/>
      <c r="L18" s="8"/>
      <c r="M18" s="8"/>
    </row>
    <row r="19" spans="1:13">
      <c r="A19" s="5"/>
      <c r="B19" s="5"/>
      <c r="C19" s="6"/>
      <c r="D19" s="6"/>
      <c r="E19" s="7"/>
      <c r="F19" s="6"/>
      <c r="G19" s="6"/>
      <c r="H19" s="6"/>
      <c r="I19" s="6"/>
      <c r="J19" s="8"/>
      <c r="K19" s="8"/>
      <c r="L19" s="8"/>
      <c r="M19" s="8"/>
    </row>
    <row r="20" spans="1:13">
      <c r="A20" s="9"/>
      <c r="B20" s="9"/>
      <c r="C20" s="6"/>
      <c r="D20" s="6"/>
      <c r="E20" s="7"/>
      <c r="F20" s="6"/>
      <c r="G20" s="6"/>
      <c r="H20" s="6"/>
      <c r="I20" s="6"/>
      <c r="J20" s="64"/>
      <c r="K20" s="8"/>
      <c r="L20" s="8"/>
      <c r="M20" s="8"/>
    </row>
    <row r="21" spans="1:13">
      <c r="A21" s="6"/>
      <c r="B21" s="6"/>
      <c r="C21" s="6"/>
      <c r="D21" s="6"/>
      <c r="E21" s="6"/>
      <c r="F21" s="6"/>
      <c r="G21" s="6"/>
      <c r="H21" s="6"/>
      <c r="I21" s="6"/>
      <c r="J21" s="64"/>
      <c r="K21" s="8"/>
      <c r="L21" s="8"/>
      <c r="M21" s="8"/>
    </row>
    <row r="22" spans="1:13">
      <c r="A22" s="5"/>
      <c r="B22" s="5"/>
      <c r="C22" s="6"/>
      <c r="D22" s="6"/>
      <c r="E22" s="6"/>
      <c r="F22" s="6"/>
      <c r="G22" s="6"/>
      <c r="H22" s="6"/>
      <c r="I22" s="6"/>
      <c r="J22" s="64"/>
      <c r="K22" s="8"/>
      <c r="L22" s="8"/>
      <c r="M22" s="8"/>
    </row>
    <row r="23" spans="1:13">
      <c r="A23" s="5"/>
      <c r="B23" s="5"/>
      <c r="C23" s="6"/>
      <c r="D23" s="6"/>
      <c r="E23" s="6"/>
      <c r="F23" s="6"/>
      <c r="G23" s="6"/>
      <c r="H23" s="6"/>
      <c r="I23" s="51"/>
      <c r="J23" s="64"/>
      <c r="K23" s="8"/>
      <c r="L23" s="8"/>
      <c r="M23" s="8"/>
    </row>
    <row r="24" spans="1:13">
      <c r="A24" s="5"/>
      <c r="B24" s="5"/>
      <c r="C24" s="6"/>
      <c r="D24" s="6"/>
      <c r="E24" s="6"/>
      <c r="F24" s="6"/>
      <c r="G24" s="6"/>
      <c r="H24" s="6"/>
      <c r="I24" s="6"/>
      <c r="J24" s="64"/>
      <c r="K24" s="8"/>
      <c r="L24" s="8"/>
      <c r="M24" s="8"/>
    </row>
    <row r="25" spans="1:13">
      <c r="A25" s="5"/>
      <c r="B25" s="5"/>
      <c r="C25" s="6"/>
      <c r="D25" s="6"/>
      <c r="E25" s="6"/>
      <c r="F25" s="6"/>
      <c r="G25" s="6"/>
      <c r="H25" s="6"/>
      <c r="I25" s="6"/>
      <c r="J25" s="64"/>
      <c r="K25" s="8"/>
      <c r="L25" s="8"/>
      <c r="M25" s="8"/>
    </row>
    <row r="26" spans="1:13">
      <c r="A26" s="5"/>
      <c r="B26" s="5"/>
      <c r="C26" s="6"/>
      <c r="D26" s="6"/>
      <c r="E26" s="6"/>
      <c r="F26" s="6"/>
      <c r="G26" s="6"/>
      <c r="H26" s="6"/>
      <c r="I26" s="6"/>
      <c r="J26" s="64"/>
      <c r="K26" s="8"/>
      <c r="L26" s="8"/>
      <c r="M26" s="8"/>
    </row>
    <row r="27" spans="1:13">
      <c r="A27" s="5"/>
      <c r="B27" s="5"/>
      <c r="C27" s="6"/>
      <c r="D27" s="6"/>
      <c r="E27" s="6"/>
      <c r="F27" s="6"/>
      <c r="G27" s="6"/>
      <c r="H27" s="6"/>
      <c r="I27" s="6"/>
      <c r="J27" s="64"/>
      <c r="K27" s="8"/>
      <c r="L27" s="8"/>
      <c r="M27" s="8"/>
    </row>
    <row r="28" spans="1:13">
      <c r="A28" s="5"/>
      <c r="B28" s="5"/>
      <c r="C28" s="6"/>
      <c r="D28" s="6"/>
      <c r="E28" s="7"/>
      <c r="F28" s="6"/>
      <c r="G28" s="6"/>
      <c r="H28" s="6"/>
      <c r="I28" s="6"/>
      <c r="J28" s="64"/>
      <c r="K28" s="8"/>
      <c r="L28" s="8"/>
      <c r="M28" s="8"/>
    </row>
    <row r="29" spans="1:13">
      <c r="A29" s="5"/>
      <c r="B29" s="5"/>
      <c r="C29" s="6"/>
      <c r="D29" s="6"/>
      <c r="E29" s="7"/>
      <c r="F29" s="6"/>
      <c r="G29" s="6"/>
      <c r="H29" s="6"/>
      <c r="I29" s="6"/>
      <c r="J29" s="64"/>
      <c r="K29" s="8"/>
      <c r="L29" s="8"/>
      <c r="M29" s="8"/>
    </row>
    <row r="30" spans="1:13">
      <c r="A30" s="5"/>
      <c r="B30" s="5"/>
      <c r="C30" s="6"/>
      <c r="D30" s="6"/>
      <c r="E30" s="7"/>
      <c r="F30" s="6"/>
      <c r="G30" s="6"/>
      <c r="H30" s="6"/>
      <c r="I30" s="6"/>
      <c r="J30" s="64"/>
      <c r="K30" s="8"/>
      <c r="L30" s="8"/>
      <c r="M30" s="8"/>
    </row>
    <row r="31" spans="1:13">
      <c r="A31" s="5"/>
      <c r="B31" s="5"/>
      <c r="C31" s="6"/>
      <c r="D31" s="6"/>
      <c r="E31" s="7"/>
      <c r="F31" s="6"/>
      <c r="G31" s="6"/>
      <c r="H31" s="6"/>
      <c r="I31" s="6"/>
      <c r="J31" s="64"/>
      <c r="K31" s="8"/>
      <c r="L31" s="8"/>
      <c r="M31" s="8"/>
    </row>
    <row r="32" spans="1:13">
      <c r="A32" s="5"/>
      <c r="B32" s="5"/>
      <c r="C32" s="6"/>
      <c r="D32" s="6"/>
      <c r="E32" s="7"/>
      <c r="F32" s="6"/>
      <c r="G32" s="6"/>
      <c r="H32" s="6"/>
      <c r="I32" s="6"/>
      <c r="J32" s="64"/>
      <c r="K32" s="8"/>
      <c r="L32" s="8"/>
      <c r="M32" s="8"/>
    </row>
    <row r="33" spans="1:13">
      <c r="A33" s="5"/>
      <c r="B33" s="5"/>
      <c r="C33" s="6"/>
      <c r="D33" s="6"/>
      <c r="E33" s="7"/>
      <c r="F33" s="6"/>
      <c r="G33" s="6"/>
      <c r="H33" s="6"/>
      <c r="I33" s="6"/>
      <c r="J33" s="64"/>
      <c r="K33" s="8"/>
      <c r="L33" s="8"/>
      <c r="M33" s="8"/>
    </row>
    <row r="34" spans="1:13">
      <c r="A34" s="5"/>
      <c r="B34" s="5"/>
      <c r="C34" s="6"/>
      <c r="D34" s="6"/>
      <c r="E34" s="7"/>
      <c r="F34" s="6"/>
      <c r="G34" s="6"/>
      <c r="H34" s="6"/>
      <c r="I34" s="6"/>
      <c r="J34" s="64"/>
      <c r="K34" s="8"/>
      <c r="L34" s="8"/>
      <c r="M34" s="8"/>
    </row>
    <row r="35" spans="1:13">
      <c r="A35" s="5"/>
      <c r="B35" s="5"/>
      <c r="C35" s="6"/>
      <c r="D35" s="6"/>
      <c r="E35" s="7"/>
      <c r="F35" s="6"/>
      <c r="G35" s="6"/>
      <c r="H35" s="6"/>
      <c r="I35" s="6"/>
      <c r="J35" s="64"/>
      <c r="K35" s="8"/>
      <c r="L35" s="8"/>
      <c r="M35" s="8"/>
    </row>
    <row r="36" spans="1:13">
      <c r="A36" s="5"/>
      <c r="B36" s="5"/>
      <c r="C36" s="6"/>
      <c r="D36" s="6"/>
      <c r="E36" s="7"/>
      <c r="F36" s="6"/>
      <c r="G36" s="6"/>
      <c r="H36" s="6"/>
      <c r="I36" s="6"/>
      <c r="J36" s="64"/>
      <c r="K36" s="8"/>
      <c r="L36" s="8"/>
      <c r="M36" s="8"/>
    </row>
    <row r="37" spans="1:13">
      <c r="A37" s="5"/>
      <c r="B37" s="5"/>
      <c r="C37" s="6"/>
      <c r="D37" s="6"/>
      <c r="E37" s="7"/>
      <c r="F37" s="8"/>
      <c r="G37" s="6"/>
      <c r="H37" s="6"/>
      <c r="I37" s="6"/>
      <c r="J37" s="64"/>
      <c r="K37" s="8"/>
      <c r="L37" s="8"/>
      <c r="M37" s="8"/>
    </row>
    <row r="38" spans="1:13">
      <c r="A38" s="5"/>
      <c r="B38" s="6"/>
      <c r="C38" s="6"/>
      <c r="D38" s="6"/>
      <c r="E38" s="31"/>
      <c r="F38" s="6"/>
      <c r="G38" s="6"/>
      <c r="H38" s="6"/>
      <c r="I38" s="6"/>
      <c r="J38" s="64"/>
      <c r="K38" s="8"/>
      <c r="L38" s="8"/>
      <c r="M38" s="8"/>
    </row>
    <row r="39" spans="1:13">
      <c r="A39" s="5"/>
      <c r="B39" s="5"/>
      <c r="C39" s="6"/>
      <c r="D39" s="6"/>
      <c r="E39" s="7"/>
      <c r="F39" s="6"/>
      <c r="G39" s="6"/>
      <c r="H39" s="6"/>
      <c r="I39" s="6"/>
      <c r="J39" s="64"/>
      <c r="K39" s="8"/>
      <c r="L39" s="8"/>
      <c r="M39" s="8"/>
    </row>
    <row r="40" spans="1:13">
      <c r="A40" s="5"/>
      <c r="B40" s="6"/>
      <c r="C40" s="6"/>
      <c r="D40" s="6"/>
      <c r="E40" s="7"/>
      <c r="F40" s="6"/>
      <c r="G40" s="6"/>
      <c r="H40" s="6"/>
      <c r="I40" s="6"/>
      <c r="J40" s="64"/>
      <c r="K40" s="8"/>
      <c r="L40" s="8"/>
      <c r="M40" s="8"/>
    </row>
    <row r="41" spans="1:13">
      <c r="A41" s="5"/>
      <c r="B41" s="5"/>
      <c r="C41" s="6"/>
      <c r="D41" s="6"/>
      <c r="E41" s="7"/>
      <c r="F41" s="6"/>
      <c r="G41" s="6"/>
      <c r="H41" s="6"/>
      <c r="I41" s="6"/>
      <c r="J41" s="64"/>
      <c r="K41" s="8"/>
      <c r="L41" s="8"/>
      <c r="M41" s="8"/>
    </row>
    <row r="42" spans="1:13">
      <c r="A42" s="5"/>
      <c r="B42" s="6"/>
      <c r="C42" s="6"/>
      <c r="D42" s="6"/>
      <c r="E42" s="7"/>
      <c r="F42" s="6"/>
      <c r="G42" s="6"/>
      <c r="H42" s="6"/>
      <c r="I42" s="6"/>
      <c r="J42" s="64"/>
      <c r="K42" s="8"/>
      <c r="L42" s="8"/>
      <c r="M42" s="8"/>
    </row>
    <row r="43" spans="1:13">
      <c r="A43" s="5"/>
      <c r="B43" s="5"/>
      <c r="C43" s="6"/>
      <c r="D43" s="6"/>
      <c r="E43" s="7"/>
      <c r="F43" s="6"/>
      <c r="G43" s="6"/>
      <c r="H43" s="6"/>
      <c r="I43" s="6"/>
      <c r="J43" s="64"/>
      <c r="K43" s="8"/>
      <c r="L43" s="8"/>
      <c r="M43" s="8"/>
    </row>
    <row r="44" spans="1:13">
      <c r="A44" s="5"/>
      <c r="B44" s="5"/>
      <c r="C44" s="6"/>
      <c r="D44" s="6"/>
      <c r="E44" s="7"/>
      <c r="F44" s="6"/>
      <c r="G44" s="6"/>
      <c r="H44" s="6"/>
      <c r="I44" s="6"/>
      <c r="J44" s="64"/>
      <c r="K44" s="8"/>
      <c r="L44" s="8"/>
      <c r="M44" s="8"/>
    </row>
    <row r="45" spans="1:13">
      <c r="A45" s="5"/>
      <c r="B45" s="6"/>
      <c r="C45" s="6"/>
      <c r="D45" s="6"/>
      <c r="E45" s="7"/>
      <c r="F45" s="6"/>
      <c r="G45" s="6"/>
      <c r="H45" s="6"/>
      <c r="I45" s="6"/>
      <c r="J45" s="64"/>
      <c r="K45" s="8"/>
      <c r="L45" s="8"/>
      <c r="M45" s="8"/>
    </row>
    <row r="46" spans="1:13">
      <c r="A46" s="5"/>
      <c r="B46" s="6"/>
      <c r="C46" s="6"/>
      <c r="D46" s="6"/>
      <c r="E46" s="7"/>
      <c r="F46" s="6"/>
      <c r="G46" s="6"/>
      <c r="H46" s="6"/>
      <c r="I46" s="6"/>
      <c r="J46" s="64"/>
      <c r="K46" s="8"/>
      <c r="L46" s="8"/>
      <c r="M46" s="8"/>
    </row>
    <row r="47" spans="1:13">
      <c r="A47" s="5"/>
      <c r="B47" s="6"/>
      <c r="C47" s="6"/>
      <c r="D47" s="6"/>
      <c r="E47" s="7"/>
      <c r="F47" s="6"/>
      <c r="G47" s="6"/>
      <c r="H47" s="6"/>
      <c r="I47" s="6"/>
      <c r="J47" s="64"/>
      <c r="K47" s="8"/>
      <c r="L47" s="8"/>
      <c r="M47" s="8"/>
    </row>
    <row r="48" spans="1:13">
      <c r="A48" s="5"/>
      <c r="B48" s="5"/>
      <c r="C48" s="6"/>
      <c r="D48" s="6"/>
      <c r="E48" s="7"/>
      <c r="F48" s="6"/>
      <c r="G48" s="6"/>
      <c r="H48" s="6"/>
      <c r="I48" s="6"/>
      <c r="J48" s="64"/>
      <c r="K48" s="8"/>
      <c r="L48" s="8"/>
      <c r="M48" s="8"/>
    </row>
    <row r="49" spans="1:13">
      <c r="A49" s="5"/>
      <c r="B49" s="6"/>
      <c r="C49" s="6"/>
      <c r="D49" s="6"/>
      <c r="E49" s="7"/>
      <c r="F49" s="6"/>
      <c r="G49" s="6"/>
      <c r="H49" s="6"/>
      <c r="I49" s="6"/>
      <c r="J49" s="64"/>
      <c r="K49" s="8"/>
      <c r="L49" s="8"/>
      <c r="M49" s="8"/>
    </row>
    <row r="50" spans="1:13">
      <c r="A50" s="5"/>
      <c r="B50" s="5"/>
      <c r="C50" s="6"/>
      <c r="D50" s="6"/>
      <c r="E50" s="7"/>
      <c r="F50" s="6"/>
      <c r="G50" s="6"/>
      <c r="H50" s="6"/>
      <c r="I50" s="6"/>
      <c r="J50" s="64"/>
      <c r="K50" s="8"/>
      <c r="L50" s="8"/>
      <c r="M50" s="8"/>
    </row>
    <row r="51" spans="1:13">
      <c r="A51" s="6"/>
      <c r="B51" s="6"/>
      <c r="C51" s="6"/>
      <c r="D51" s="6"/>
      <c r="E51" s="6"/>
      <c r="F51" s="6"/>
      <c r="G51" s="6"/>
      <c r="H51" s="6"/>
      <c r="I51" s="6"/>
      <c r="J51" s="64"/>
      <c r="K51" s="8"/>
      <c r="L51" s="8"/>
      <c r="M51" s="8"/>
    </row>
  </sheetData>
  <dataValidations count="1">
    <dataValidation type="list" allowBlank="1" showErrorMessage="1" sqref="L2" xr:uid="{00000000-0002-0000-0600-000000000000}">
      <formula1>"COMPLETED,ONGOING"</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
  <sheetViews>
    <sheetView workbookViewId="0"/>
  </sheetViews>
  <sheetFormatPr defaultColWidth="12.5703125" defaultRowHeight="15.75" customHeight="1"/>
  <cols>
    <col min="4" max="4" width="12.28515625" customWidth="1"/>
    <col min="5" max="5" width="33" customWidth="1"/>
    <col min="6" max="6" width="25.140625" customWidth="1"/>
    <col min="7" max="7" width="27.140625" customWidth="1"/>
  </cols>
  <sheetData>
    <row r="1" spans="1:7">
      <c r="A1" s="60" t="s">
        <v>1</v>
      </c>
      <c r="B1" s="60" t="s">
        <v>388</v>
      </c>
      <c r="C1" s="60" t="s">
        <v>389</v>
      </c>
      <c r="D1" s="60" t="s">
        <v>4</v>
      </c>
      <c r="E1" s="60" t="s">
        <v>6</v>
      </c>
      <c r="F1" s="60" t="s">
        <v>390</v>
      </c>
      <c r="G1" s="60" t="s">
        <v>391</v>
      </c>
    </row>
    <row r="2" spans="1:7">
      <c r="A2" s="6" t="s">
        <v>1</v>
      </c>
      <c r="B2" s="6" t="s">
        <v>388</v>
      </c>
      <c r="C2" s="6" t="s">
        <v>389</v>
      </c>
      <c r="D2" s="6" t="s">
        <v>4</v>
      </c>
      <c r="E2" s="6" t="s">
        <v>6</v>
      </c>
      <c r="F2" s="6" t="s">
        <v>390</v>
      </c>
      <c r="G2" s="6" t="s">
        <v>391</v>
      </c>
    </row>
    <row r="3" spans="1:7">
      <c r="A3" s="6">
        <v>2024</v>
      </c>
      <c r="B3" s="6" t="s">
        <v>1781</v>
      </c>
      <c r="C3" s="6" t="s">
        <v>61</v>
      </c>
      <c r="D3" s="6" t="s">
        <v>1782</v>
      </c>
      <c r="E3" s="6" t="s">
        <v>1783</v>
      </c>
      <c r="F3" s="6" t="s">
        <v>1784</v>
      </c>
      <c r="G3" s="8">
        <v>100000</v>
      </c>
    </row>
    <row r="4" spans="1:7">
      <c r="A4" s="6">
        <v>2024</v>
      </c>
      <c r="B4" s="6" t="s">
        <v>1785</v>
      </c>
      <c r="C4" s="6" t="s">
        <v>61</v>
      </c>
      <c r="D4" s="6" t="s">
        <v>1782</v>
      </c>
      <c r="E4" s="6" t="s">
        <v>1786</v>
      </c>
      <c r="F4" s="6" t="s">
        <v>1787</v>
      </c>
      <c r="G4" s="8">
        <v>320000</v>
      </c>
    </row>
    <row r="5" spans="1:7">
      <c r="A5" s="6">
        <v>2024</v>
      </c>
      <c r="B5" s="6" t="s">
        <v>1788</v>
      </c>
      <c r="C5" s="6" t="s">
        <v>61</v>
      </c>
      <c r="D5" s="6" t="s">
        <v>1782</v>
      </c>
      <c r="E5" s="6" t="s">
        <v>1789</v>
      </c>
      <c r="F5" s="6" t="s">
        <v>1790</v>
      </c>
      <c r="G5" s="8">
        <v>100000</v>
      </c>
    </row>
    <row r="6" spans="1:7">
      <c r="A6" s="6">
        <v>2024</v>
      </c>
      <c r="B6" s="6" t="s">
        <v>1791</v>
      </c>
      <c r="C6" s="6" t="s">
        <v>61</v>
      </c>
      <c r="D6" s="6" t="s">
        <v>1782</v>
      </c>
      <c r="E6" s="6" t="s">
        <v>1792</v>
      </c>
      <c r="F6" s="6" t="s">
        <v>1793</v>
      </c>
      <c r="G6" s="8">
        <v>100000</v>
      </c>
    </row>
    <row r="7" spans="1:7">
      <c r="A7" s="6">
        <v>2023</v>
      </c>
      <c r="B7" s="6" t="s">
        <v>1794</v>
      </c>
      <c r="C7" s="6" t="s">
        <v>61</v>
      </c>
      <c r="D7" s="6" t="s">
        <v>1782</v>
      </c>
      <c r="E7" s="6" t="s">
        <v>1795</v>
      </c>
      <c r="F7" s="6" t="s">
        <v>1457</v>
      </c>
      <c r="G7" s="8">
        <v>100000</v>
      </c>
    </row>
    <row r="8" spans="1:7">
      <c r="A8" s="6">
        <v>2023</v>
      </c>
      <c r="B8" s="6" t="s">
        <v>1796</v>
      </c>
      <c r="C8" s="6" t="s">
        <v>61</v>
      </c>
      <c r="D8" s="6" t="s">
        <v>1782</v>
      </c>
      <c r="E8" s="6" t="s">
        <v>1797</v>
      </c>
      <c r="F8" s="6" t="s">
        <v>1798</v>
      </c>
      <c r="G8" s="8">
        <v>100000</v>
      </c>
    </row>
    <row r="9" spans="1:7">
      <c r="A9" s="6">
        <v>2023</v>
      </c>
      <c r="B9" s="6" t="s">
        <v>1799</v>
      </c>
      <c r="C9" s="6" t="s">
        <v>61</v>
      </c>
      <c r="D9" s="6" t="s">
        <v>1782</v>
      </c>
      <c r="E9" s="6" t="s">
        <v>1800</v>
      </c>
      <c r="F9" s="6" t="s">
        <v>1482</v>
      </c>
      <c r="G9" s="8">
        <v>100000</v>
      </c>
    </row>
    <row r="10" spans="1:7">
      <c r="A10" s="6">
        <v>2023</v>
      </c>
      <c r="B10" s="6" t="s">
        <v>1801</v>
      </c>
      <c r="C10" s="6" t="s">
        <v>61</v>
      </c>
      <c r="D10" s="6" t="s">
        <v>1782</v>
      </c>
      <c r="E10" s="6" t="s">
        <v>1802</v>
      </c>
      <c r="F10" s="6" t="s">
        <v>1803</v>
      </c>
      <c r="G10" s="8">
        <v>970480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54"/>
  <sheetViews>
    <sheetView workbookViewId="0">
      <pane ySplit="1" topLeftCell="A2" activePane="bottomLeft" state="frozen"/>
      <selection pane="bottomLeft" activeCell="B3" sqref="B3"/>
    </sheetView>
  </sheetViews>
  <sheetFormatPr defaultColWidth="12.5703125" defaultRowHeight="15.75" customHeight="1"/>
  <cols>
    <col min="4" max="4" width="21.42578125" customWidth="1"/>
    <col min="5" max="5" width="12.5703125" hidden="1"/>
    <col min="6" max="6" width="52.5703125" customWidth="1"/>
    <col min="7" max="7" width="31.42578125" customWidth="1"/>
    <col min="8" max="8" width="31.42578125" hidden="1" customWidth="1"/>
    <col min="9" max="9" width="29.5703125" customWidth="1"/>
    <col min="12" max="12" width="16" customWidth="1"/>
  </cols>
  <sheetData>
    <row r="1" spans="1:12">
      <c r="A1" s="46" t="s">
        <v>1</v>
      </c>
      <c r="B1" s="46" t="s">
        <v>2</v>
      </c>
      <c r="C1" s="46" t="s">
        <v>3</v>
      </c>
      <c r="D1" s="46" t="s">
        <v>4</v>
      </c>
      <c r="E1" s="46" t="s">
        <v>5</v>
      </c>
      <c r="F1" s="46" t="s">
        <v>6</v>
      </c>
      <c r="G1" s="46" t="s">
        <v>7</v>
      </c>
      <c r="H1" s="46" t="s">
        <v>8</v>
      </c>
      <c r="I1" s="46" t="s">
        <v>9</v>
      </c>
      <c r="J1" s="48" t="s">
        <v>10</v>
      </c>
      <c r="K1" s="48" t="s">
        <v>11</v>
      </c>
      <c r="L1" s="48" t="s">
        <v>358</v>
      </c>
    </row>
    <row r="2" spans="1:12">
      <c r="A2" s="5" t="s">
        <v>314</v>
      </c>
      <c r="B2" s="5" t="s">
        <v>343</v>
      </c>
      <c r="C2" s="6" t="s">
        <v>61</v>
      </c>
      <c r="D2" s="6" t="s">
        <v>225</v>
      </c>
      <c r="E2" s="7">
        <v>45832</v>
      </c>
      <c r="F2" s="6" t="s">
        <v>344</v>
      </c>
      <c r="G2" s="6" t="s">
        <v>345</v>
      </c>
      <c r="H2" s="6" t="s">
        <v>346</v>
      </c>
      <c r="I2" s="6" t="s">
        <v>347</v>
      </c>
      <c r="J2" s="64">
        <v>4500000</v>
      </c>
      <c r="K2" s="8" t="s">
        <v>28</v>
      </c>
      <c r="L2" s="8"/>
    </row>
    <row r="3" spans="1:12">
      <c r="A3" s="5" t="s">
        <v>295</v>
      </c>
      <c r="B3" s="5" t="s">
        <v>296</v>
      </c>
      <c r="C3" s="6" t="s">
        <v>61</v>
      </c>
      <c r="D3" s="6" t="s">
        <v>225</v>
      </c>
      <c r="E3" s="7">
        <v>45586</v>
      </c>
      <c r="F3" s="6" t="s">
        <v>297</v>
      </c>
      <c r="G3" s="6" t="s">
        <v>298</v>
      </c>
      <c r="H3" s="6" t="s">
        <v>299</v>
      </c>
      <c r="I3" s="6" t="s">
        <v>300</v>
      </c>
      <c r="J3" s="64">
        <v>4551960</v>
      </c>
      <c r="K3" s="8" t="s">
        <v>28</v>
      </c>
      <c r="L3" s="8"/>
    </row>
    <row r="4" spans="1:12">
      <c r="A4" s="5" t="s">
        <v>295</v>
      </c>
      <c r="B4" s="5" t="s">
        <v>302</v>
      </c>
      <c r="C4" s="6" t="s">
        <v>61</v>
      </c>
      <c r="D4" s="6" t="s">
        <v>225</v>
      </c>
      <c r="E4" s="7">
        <v>45558</v>
      </c>
      <c r="F4" s="6" t="s">
        <v>303</v>
      </c>
      <c r="G4" s="6" t="s">
        <v>304</v>
      </c>
      <c r="H4" s="6" t="s">
        <v>305</v>
      </c>
      <c r="I4" s="6" t="s">
        <v>306</v>
      </c>
      <c r="J4" s="64">
        <v>4143400.5</v>
      </c>
      <c r="K4" s="8" t="s">
        <v>28</v>
      </c>
      <c r="L4" s="8"/>
    </row>
    <row r="5" spans="1:12">
      <c r="A5" s="5" t="s">
        <v>166</v>
      </c>
      <c r="B5" s="5" t="s">
        <v>224</v>
      </c>
      <c r="C5" s="6" t="s">
        <v>61</v>
      </c>
      <c r="D5" s="6" t="s">
        <v>225</v>
      </c>
      <c r="E5" s="31">
        <v>45544</v>
      </c>
      <c r="F5" s="6" t="s">
        <v>226</v>
      </c>
      <c r="G5" s="6" t="s">
        <v>227</v>
      </c>
      <c r="H5" s="6"/>
      <c r="I5" s="6" t="s">
        <v>228</v>
      </c>
      <c r="J5" s="64">
        <v>3412000</v>
      </c>
      <c r="K5" s="8" t="s">
        <v>28</v>
      </c>
      <c r="L5" s="8"/>
    </row>
    <row r="6" spans="1:12">
      <c r="A6" s="5" t="s">
        <v>166</v>
      </c>
      <c r="B6" s="5" t="s">
        <v>230</v>
      </c>
      <c r="C6" s="6" t="s">
        <v>61</v>
      </c>
      <c r="D6" s="6" t="s">
        <v>225</v>
      </c>
      <c r="E6" s="7">
        <v>45565</v>
      </c>
      <c r="F6" s="6" t="s">
        <v>231</v>
      </c>
      <c r="G6" s="6" t="s">
        <v>232</v>
      </c>
      <c r="H6" s="6"/>
      <c r="I6" s="6" t="s">
        <v>111</v>
      </c>
      <c r="J6" s="64">
        <v>2332760.88</v>
      </c>
      <c r="K6" s="8" t="s">
        <v>28</v>
      </c>
      <c r="L6" s="8" t="s">
        <v>359</v>
      </c>
    </row>
    <row r="7" spans="1:12">
      <c r="A7" s="5" t="s">
        <v>166</v>
      </c>
      <c r="B7" s="5" t="s">
        <v>234</v>
      </c>
      <c r="C7" s="6" t="s">
        <v>61</v>
      </c>
      <c r="D7" s="6" t="s">
        <v>225</v>
      </c>
      <c r="E7" s="7">
        <v>45547</v>
      </c>
      <c r="F7" s="6" t="s">
        <v>235</v>
      </c>
      <c r="G7" s="6" t="s">
        <v>236</v>
      </c>
      <c r="H7" s="6" t="s">
        <v>237</v>
      </c>
      <c r="I7" s="6" t="s">
        <v>238</v>
      </c>
      <c r="J7" s="64">
        <v>4000000</v>
      </c>
      <c r="K7" s="8" t="s">
        <v>28</v>
      </c>
      <c r="L7" s="8" t="s">
        <v>359</v>
      </c>
    </row>
    <row r="8" spans="1:12">
      <c r="A8" s="5" t="s">
        <v>166</v>
      </c>
      <c r="B8" s="33" t="s">
        <v>240</v>
      </c>
      <c r="C8" s="6" t="s">
        <v>61</v>
      </c>
      <c r="D8" s="6" t="s">
        <v>225</v>
      </c>
      <c r="E8" s="7">
        <v>45609</v>
      </c>
      <c r="F8" s="6" t="s">
        <v>241</v>
      </c>
      <c r="G8" s="6" t="s">
        <v>242</v>
      </c>
      <c r="H8" s="6" t="s">
        <v>243</v>
      </c>
      <c r="I8" s="6" t="s">
        <v>244</v>
      </c>
      <c r="J8" s="64">
        <v>4771250</v>
      </c>
      <c r="K8" s="8" t="s">
        <v>28</v>
      </c>
      <c r="L8" s="8" t="s">
        <v>359</v>
      </c>
    </row>
    <row r="9" spans="1:12">
      <c r="A9" s="5" t="s">
        <v>166</v>
      </c>
      <c r="B9" s="5" t="s">
        <v>246</v>
      </c>
      <c r="C9" s="6" t="s">
        <v>61</v>
      </c>
      <c r="D9" s="6" t="s">
        <v>225</v>
      </c>
      <c r="E9" s="7">
        <v>45601</v>
      </c>
      <c r="F9" s="6" t="s">
        <v>247</v>
      </c>
      <c r="G9" s="6" t="s">
        <v>248</v>
      </c>
      <c r="H9" s="6" t="s">
        <v>249</v>
      </c>
      <c r="I9" s="6" t="s">
        <v>250</v>
      </c>
      <c r="J9" s="64" t="s">
        <v>251</v>
      </c>
      <c r="K9" s="8" t="s">
        <v>28</v>
      </c>
      <c r="L9" s="8" t="s">
        <v>359</v>
      </c>
    </row>
    <row r="10" spans="1:12">
      <c r="A10" s="5" t="s">
        <v>166</v>
      </c>
      <c r="B10" s="5" t="s">
        <v>253</v>
      </c>
      <c r="C10" s="6" t="s">
        <v>61</v>
      </c>
      <c r="D10" s="6" t="s">
        <v>225</v>
      </c>
      <c r="E10" s="7">
        <v>45637</v>
      </c>
      <c r="F10" s="6" t="s">
        <v>254</v>
      </c>
      <c r="G10" s="6" t="s">
        <v>255</v>
      </c>
      <c r="H10" s="6" t="s">
        <v>256</v>
      </c>
      <c r="I10" s="6" t="s">
        <v>257</v>
      </c>
      <c r="J10" s="64">
        <v>4000000</v>
      </c>
      <c r="K10" s="8" t="s">
        <v>28</v>
      </c>
      <c r="L10" s="8" t="s">
        <v>359</v>
      </c>
    </row>
    <row r="11" spans="1:12">
      <c r="A11" s="5" t="s">
        <v>166</v>
      </c>
      <c r="B11" s="5" t="s">
        <v>259</v>
      </c>
      <c r="C11" s="6" t="s">
        <v>61</v>
      </c>
      <c r="D11" s="6" t="s">
        <v>225</v>
      </c>
      <c r="E11" s="7">
        <v>45595</v>
      </c>
      <c r="F11" s="6" t="s">
        <v>260</v>
      </c>
      <c r="G11" s="6" t="s">
        <v>261</v>
      </c>
      <c r="H11" s="6" t="s">
        <v>262</v>
      </c>
      <c r="I11" s="34" t="s">
        <v>263</v>
      </c>
      <c r="J11" s="64">
        <v>5000000</v>
      </c>
      <c r="K11" s="8" t="s">
        <v>28</v>
      </c>
      <c r="L11" s="8" t="s">
        <v>359</v>
      </c>
    </row>
    <row r="12" spans="1:12">
      <c r="A12" s="5" t="s">
        <v>166</v>
      </c>
      <c r="B12" s="5" t="s">
        <v>265</v>
      </c>
      <c r="C12" s="6" t="s">
        <v>61</v>
      </c>
      <c r="D12" s="6" t="s">
        <v>225</v>
      </c>
      <c r="E12" s="7">
        <v>45547</v>
      </c>
      <c r="F12" s="6" t="s">
        <v>266</v>
      </c>
      <c r="G12" s="6" t="s">
        <v>267</v>
      </c>
      <c r="H12" s="6" t="s">
        <v>268</v>
      </c>
      <c r="I12" s="6" t="s">
        <v>269</v>
      </c>
      <c r="J12" s="64">
        <v>4668619.32</v>
      </c>
      <c r="K12" s="8" t="s">
        <v>28</v>
      </c>
      <c r="L12" s="8" t="s">
        <v>359</v>
      </c>
    </row>
    <row r="13" spans="1:12">
      <c r="A13" s="5" t="s">
        <v>314</v>
      </c>
      <c r="B13" s="5" t="s">
        <v>1804</v>
      </c>
      <c r="C13" s="6" t="s">
        <v>61</v>
      </c>
      <c r="D13" s="6" t="s">
        <v>85</v>
      </c>
      <c r="E13" s="6">
        <v>2025</v>
      </c>
      <c r="F13" s="6" t="s">
        <v>316</v>
      </c>
      <c r="G13" s="6" t="s">
        <v>317</v>
      </c>
      <c r="H13" s="6"/>
      <c r="I13" s="6" t="s">
        <v>318</v>
      </c>
      <c r="J13" s="64">
        <v>229654</v>
      </c>
      <c r="K13" s="8" t="s">
        <v>28</v>
      </c>
      <c r="L13" s="8"/>
    </row>
    <row r="14" spans="1:12">
      <c r="A14" s="5" t="s">
        <v>166</v>
      </c>
      <c r="B14" s="27" t="s">
        <v>167</v>
      </c>
      <c r="C14" s="6" t="s">
        <v>61</v>
      </c>
      <c r="D14" s="6" t="s">
        <v>85</v>
      </c>
      <c r="E14" s="7">
        <v>45625</v>
      </c>
      <c r="F14" s="6" t="s">
        <v>168</v>
      </c>
      <c r="G14" s="6" t="s">
        <v>169</v>
      </c>
      <c r="H14" s="6"/>
      <c r="I14" s="6" t="s">
        <v>170</v>
      </c>
      <c r="J14" s="64">
        <v>395212</v>
      </c>
      <c r="K14" s="8" t="s">
        <v>28</v>
      </c>
      <c r="L14" s="8"/>
    </row>
    <row r="15" spans="1:12">
      <c r="A15" s="5" t="s">
        <v>166</v>
      </c>
      <c r="B15" s="5" t="s">
        <v>172</v>
      </c>
      <c r="C15" s="6" t="s">
        <v>61</v>
      </c>
      <c r="D15" s="6" t="s">
        <v>85</v>
      </c>
      <c r="E15" s="7">
        <v>45469</v>
      </c>
      <c r="F15" s="6" t="s">
        <v>173</v>
      </c>
      <c r="G15" s="6" t="s">
        <v>174</v>
      </c>
      <c r="H15" s="6"/>
      <c r="I15" s="6" t="s">
        <v>175</v>
      </c>
      <c r="J15" s="64"/>
      <c r="K15" s="8" t="s">
        <v>28</v>
      </c>
      <c r="L15" s="8" t="s">
        <v>359</v>
      </c>
    </row>
    <row r="16" spans="1:12">
      <c r="A16" s="5" t="s">
        <v>166</v>
      </c>
      <c r="B16" s="5" t="s">
        <v>177</v>
      </c>
      <c r="C16" s="6" t="s">
        <v>61</v>
      </c>
      <c r="D16" s="6" t="s">
        <v>85</v>
      </c>
      <c r="E16" s="7">
        <v>45544</v>
      </c>
      <c r="F16" s="6" t="s">
        <v>178</v>
      </c>
      <c r="G16" s="6" t="s">
        <v>179</v>
      </c>
      <c r="H16" s="6"/>
      <c r="I16" s="6" t="s">
        <v>180</v>
      </c>
      <c r="J16" s="8">
        <v>236341.77</v>
      </c>
      <c r="K16" s="8" t="s">
        <v>28</v>
      </c>
      <c r="L16" s="8" t="s">
        <v>359</v>
      </c>
    </row>
    <row r="17" spans="1:12">
      <c r="A17" s="5" t="s">
        <v>129</v>
      </c>
      <c r="B17" s="27" t="s">
        <v>130</v>
      </c>
      <c r="C17" s="6" t="s">
        <v>61</v>
      </c>
      <c r="D17" s="6" t="s">
        <v>85</v>
      </c>
      <c r="E17" s="7">
        <v>45225</v>
      </c>
      <c r="F17" s="6" t="s">
        <v>91</v>
      </c>
      <c r="G17" s="6" t="s">
        <v>131</v>
      </c>
      <c r="H17" s="6"/>
      <c r="I17" s="6" t="s">
        <v>132</v>
      </c>
      <c r="J17" s="64">
        <v>96107</v>
      </c>
      <c r="K17" s="8" t="s">
        <v>28</v>
      </c>
      <c r="L17" s="8"/>
    </row>
    <row r="18" spans="1:12">
      <c r="A18" s="49" t="s">
        <v>129</v>
      </c>
      <c r="B18" s="49" t="s">
        <v>134</v>
      </c>
      <c r="C18" s="6" t="s">
        <v>61</v>
      </c>
      <c r="D18" s="6" t="s">
        <v>85</v>
      </c>
      <c r="E18" s="7">
        <v>45154</v>
      </c>
      <c r="F18" s="50" t="s">
        <v>95</v>
      </c>
      <c r="G18" s="50" t="s">
        <v>96</v>
      </c>
      <c r="H18" s="6" t="s">
        <v>135</v>
      </c>
      <c r="I18" s="6" t="s">
        <v>136</v>
      </c>
      <c r="J18" s="30">
        <v>191500</v>
      </c>
      <c r="K18" s="8" t="s">
        <v>28</v>
      </c>
      <c r="L18" s="8"/>
    </row>
    <row r="19" spans="1:12">
      <c r="A19" s="5" t="s">
        <v>129</v>
      </c>
      <c r="B19" s="5" t="s">
        <v>138</v>
      </c>
      <c r="C19" s="6" t="s">
        <v>61</v>
      </c>
      <c r="D19" s="6" t="s">
        <v>85</v>
      </c>
      <c r="E19" s="7">
        <v>45086</v>
      </c>
      <c r="F19" s="6" t="s">
        <v>86</v>
      </c>
      <c r="G19" s="6" t="s">
        <v>87</v>
      </c>
      <c r="H19" s="6"/>
      <c r="I19" s="6" t="s">
        <v>139</v>
      </c>
      <c r="J19" s="8">
        <v>349799.56</v>
      </c>
      <c r="K19" s="8" t="s">
        <v>28</v>
      </c>
      <c r="L19" s="8"/>
    </row>
    <row r="20" spans="1:12">
      <c r="A20" s="9">
        <v>2025</v>
      </c>
      <c r="B20" s="9" t="s">
        <v>98</v>
      </c>
      <c r="C20" s="6" t="s">
        <v>61</v>
      </c>
      <c r="D20" s="6" t="s">
        <v>85</v>
      </c>
      <c r="E20" s="7"/>
      <c r="F20" s="6" t="s">
        <v>99</v>
      </c>
      <c r="G20" s="6" t="s">
        <v>100</v>
      </c>
      <c r="H20" s="6" t="s">
        <v>101</v>
      </c>
      <c r="I20" s="6" t="s">
        <v>102</v>
      </c>
      <c r="J20" s="64">
        <v>358538</v>
      </c>
      <c r="K20" s="8" t="s">
        <v>28</v>
      </c>
      <c r="L20" s="8"/>
    </row>
    <row r="21" spans="1:12">
      <c r="A21" s="6">
        <v>2022</v>
      </c>
      <c r="B21" s="6" t="s">
        <v>75</v>
      </c>
      <c r="C21" s="6" t="s">
        <v>61</v>
      </c>
      <c r="D21" s="6" t="s">
        <v>76</v>
      </c>
      <c r="E21" s="6" t="s">
        <v>77</v>
      </c>
      <c r="F21" s="6" t="s">
        <v>78</v>
      </c>
      <c r="G21" s="6" t="s">
        <v>79</v>
      </c>
      <c r="H21" s="6"/>
      <c r="I21" s="6"/>
      <c r="J21" s="64">
        <v>1083679</v>
      </c>
      <c r="K21" s="8" t="s">
        <v>28</v>
      </c>
      <c r="L21" s="105" t="s">
        <v>1805</v>
      </c>
    </row>
    <row r="22" spans="1:12">
      <c r="A22" s="5" t="s">
        <v>314</v>
      </c>
      <c r="B22" s="5" t="s">
        <v>22</v>
      </c>
      <c r="C22" s="6" t="s">
        <v>23</v>
      </c>
      <c r="D22" s="6" t="s">
        <v>125</v>
      </c>
      <c r="E22" s="6">
        <v>2025</v>
      </c>
      <c r="F22" s="6" t="s">
        <v>320</v>
      </c>
      <c r="G22" s="6" t="s">
        <v>321</v>
      </c>
      <c r="H22" s="6" t="s">
        <v>322</v>
      </c>
      <c r="I22" s="6" t="s">
        <v>323</v>
      </c>
      <c r="J22" s="64">
        <v>7175464</v>
      </c>
      <c r="K22" s="8" t="s">
        <v>28</v>
      </c>
      <c r="L22" s="8"/>
    </row>
    <row r="23" spans="1:12">
      <c r="A23" s="5" t="s">
        <v>314</v>
      </c>
      <c r="B23" s="5" t="s">
        <v>22</v>
      </c>
      <c r="C23" s="6" t="s">
        <v>23</v>
      </c>
      <c r="D23" s="6" t="s">
        <v>125</v>
      </c>
      <c r="E23" s="6">
        <v>2025</v>
      </c>
      <c r="F23" s="6" t="s">
        <v>325</v>
      </c>
      <c r="G23" s="6" t="s">
        <v>51</v>
      </c>
      <c r="H23" s="6"/>
      <c r="I23" s="51" t="s">
        <v>1806</v>
      </c>
      <c r="J23" s="64">
        <v>4998689</v>
      </c>
      <c r="K23" s="8" t="s">
        <v>28</v>
      </c>
      <c r="L23" s="8"/>
    </row>
    <row r="24" spans="1:12">
      <c r="A24" s="5" t="s">
        <v>314</v>
      </c>
      <c r="B24" s="5" t="s">
        <v>22</v>
      </c>
      <c r="C24" s="6" t="s">
        <v>23</v>
      </c>
      <c r="D24" s="6" t="s">
        <v>125</v>
      </c>
      <c r="E24" s="6">
        <v>2025</v>
      </c>
      <c r="F24" s="6" t="s">
        <v>328</v>
      </c>
      <c r="G24" s="6" t="s">
        <v>329</v>
      </c>
      <c r="H24" s="6"/>
      <c r="I24" s="6" t="s">
        <v>120</v>
      </c>
      <c r="J24" s="64">
        <v>4999988</v>
      </c>
      <c r="K24" s="8" t="s">
        <v>28</v>
      </c>
      <c r="L24" s="8" t="s">
        <v>361</v>
      </c>
    </row>
    <row r="25" spans="1:12">
      <c r="A25" s="5" t="s">
        <v>314</v>
      </c>
      <c r="B25" s="5" t="s">
        <v>22</v>
      </c>
      <c r="C25" s="6" t="s">
        <v>23</v>
      </c>
      <c r="D25" s="6" t="s">
        <v>125</v>
      </c>
      <c r="E25" s="6">
        <v>2025</v>
      </c>
      <c r="F25" s="6" t="s">
        <v>331</v>
      </c>
      <c r="G25" s="6" t="s">
        <v>332</v>
      </c>
      <c r="H25" s="6"/>
      <c r="I25" s="6" t="s">
        <v>333</v>
      </c>
      <c r="J25" s="64">
        <v>5000000</v>
      </c>
      <c r="K25" s="8" t="s">
        <v>28</v>
      </c>
      <c r="L25" s="8"/>
    </row>
    <row r="26" spans="1:12">
      <c r="A26" s="5" t="s">
        <v>314</v>
      </c>
      <c r="B26" s="5" t="s">
        <v>22</v>
      </c>
      <c r="C26" s="6" t="s">
        <v>23</v>
      </c>
      <c r="D26" s="6" t="s">
        <v>125</v>
      </c>
      <c r="E26" s="6">
        <v>2025</v>
      </c>
      <c r="F26" s="6" t="s">
        <v>335</v>
      </c>
      <c r="G26" s="6" t="s">
        <v>336</v>
      </c>
      <c r="H26" s="6"/>
      <c r="I26" s="6" t="s">
        <v>337</v>
      </c>
      <c r="J26" s="64">
        <v>4884739</v>
      </c>
      <c r="K26" s="8" t="s">
        <v>28</v>
      </c>
      <c r="L26" s="8"/>
    </row>
    <row r="27" spans="1:12">
      <c r="A27" s="5" t="s">
        <v>314</v>
      </c>
      <c r="B27" s="5" t="s">
        <v>22</v>
      </c>
      <c r="C27" s="6" t="s">
        <v>23</v>
      </c>
      <c r="D27" s="6" t="s">
        <v>125</v>
      </c>
      <c r="E27" s="6">
        <v>2025</v>
      </c>
      <c r="F27" s="6" t="s">
        <v>339</v>
      </c>
      <c r="G27" s="6" t="s">
        <v>340</v>
      </c>
      <c r="H27" s="6"/>
      <c r="I27" s="6" t="s">
        <v>341</v>
      </c>
      <c r="J27" s="64">
        <v>4993468</v>
      </c>
      <c r="K27" s="8" t="s">
        <v>28</v>
      </c>
      <c r="L27" s="8"/>
    </row>
    <row r="28" spans="1:12">
      <c r="A28" s="5" t="s">
        <v>166</v>
      </c>
      <c r="B28" s="5" t="s">
        <v>182</v>
      </c>
      <c r="C28" s="6" t="s">
        <v>61</v>
      </c>
      <c r="D28" s="6" t="s">
        <v>125</v>
      </c>
      <c r="E28" s="7">
        <v>45574</v>
      </c>
      <c r="F28" s="6" t="s">
        <v>183</v>
      </c>
      <c r="G28" s="6" t="s">
        <v>184</v>
      </c>
      <c r="H28" s="6"/>
      <c r="I28" s="6" t="s">
        <v>185</v>
      </c>
      <c r="J28" s="64">
        <v>2998072</v>
      </c>
      <c r="K28" s="8" t="s">
        <v>28</v>
      </c>
      <c r="L28" s="8" t="s">
        <v>359</v>
      </c>
    </row>
    <row r="29" spans="1:12">
      <c r="A29" s="5" t="s">
        <v>166</v>
      </c>
      <c r="B29" s="5" t="s">
        <v>187</v>
      </c>
      <c r="C29" s="6" t="s">
        <v>61</v>
      </c>
      <c r="D29" s="6" t="s">
        <v>125</v>
      </c>
      <c r="E29" s="7">
        <v>45581</v>
      </c>
      <c r="F29" s="6" t="s">
        <v>188</v>
      </c>
      <c r="G29" s="6" t="s">
        <v>189</v>
      </c>
      <c r="H29" s="6"/>
      <c r="I29" s="6" t="s">
        <v>190</v>
      </c>
      <c r="J29" s="64">
        <v>2911170</v>
      </c>
      <c r="K29" s="8" t="s">
        <v>28</v>
      </c>
      <c r="L29" s="8"/>
    </row>
    <row r="30" spans="1:12">
      <c r="A30" s="5" t="s">
        <v>166</v>
      </c>
      <c r="B30" s="5" t="s">
        <v>192</v>
      </c>
      <c r="C30" s="6" t="s">
        <v>61</v>
      </c>
      <c r="D30" s="6" t="s">
        <v>125</v>
      </c>
      <c r="E30" s="7">
        <v>45601</v>
      </c>
      <c r="F30" s="6" t="s">
        <v>193</v>
      </c>
      <c r="G30" s="6" t="s">
        <v>194</v>
      </c>
      <c r="H30" s="6"/>
      <c r="I30" s="6" t="s">
        <v>106</v>
      </c>
      <c r="J30" s="64">
        <v>2384720</v>
      </c>
      <c r="K30" s="8" t="s">
        <v>28</v>
      </c>
      <c r="L30" s="8"/>
    </row>
    <row r="31" spans="1:12">
      <c r="A31" s="5" t="s">
        <v>166</v>
      </c>
      <c r="B31" s="5" t="s">
        <v>196</v>
      </c>
      <c r="C31" s="6" t="s">
        <v>61</v>
      </c>
      <c r="D31" s="6" t="s">
        <v>197</v>
      </c>
      <c r="E31" s="7">
        <v>45609</v>
      </c>
      <c r="F31" s="6" t="s">
        <v>198</v>
      </c>
      <c r="G31" s="6" t="s">
        <v>199</v>
      </c>
      <c r="H31" s="6"/>
      <c r="I31" s="6" t="s">
        <v>200</v>
      </c>
      <c r="J31" s="64">
        <v>2975715</v>
      </c>
      <c r="K31" s="8" t="s">
        <v>28</v>
      </c>
      <c r="L31" s="8"/>
    </row>
    <row r="32" spans="1:12">
      <c r="A32" s="5" t="s">
        <v>166</v>
      </c>
      <c r="B32" s="5" t="s">
        <v>202</v>
      </c>
      <c r="C32" s="6" t="s">
        <v>61</v>
      </c>
      <c r="D32" s="6" t="s">
        <v>125</v>
      </c>
      <c r="E32" s="7">
        <v>45574</v>
      </c>
      <c r="F32" s="6" t="s">
        <v>203</v>
      </c>
      <c r="G32" s="6" t="s">
        <v>204</v>
      </c>
      <c r="H32" s="6"/>
      <c r="I32" s="6" t="s">
        <v>205</v>
      </c>
      <c r="J32" s="64">
        <v>2999945.74</v>
      </c>
      <c r="K32" s="8" t="s">
        <v>28</v>
      </c>
      <c r="L32" s="8"/>
    </row>
    <row r="33" spans="1:12">
      <c r="A33" s="5" t="s">
        <v>166</v>
      </c>
      <c r="B33" s="5" t="s">
        <v>207</v>
      </c>
      <c r="C33" s="6" t="s">
        <v>61</v>
      </c>
      <c r="D33" s="6" t="s">
        <v>125</v>
      </c>
      <c r="E33" s="7">
        <v>45441</v>
      </c>
      <c r="F33" s="6" t="s">
        <v>208</v>
      </c>
      <c r="G33" s="6" t="s">
        <v>209</v>
      </c>
      <c r="H33" s="6" t="s">
        <v>210</v>
      </c>
      <c r="I33" s="6" t="s">
        <v>211</v>
      </c>
      <c r="J33" s="64">
        <v>2789556</v>
      </c>
      <c r="K33" s="8" t="s">
        <v>28</v>
      </c>
      <c r="L33" s="8"/>
    </row>
    <row r="34" spans="1:12">
      <c r="A34" s="5" t="s">
        <v>166</v>
      </c>
      <c r="B34" s="5" t="s">
        <v>213</v>
      </c>
      <c r="C34" s="6" t="s">
        <v>61</v>
      </c>
      <c r="D34" s="6" t="s">
        <v>125</v>
      </c>
      <c r="E34" s="7">
        <v>45448</v>
      </c>
      <c r="F34" s="6" t="s">
        <v>214</v>
      </c>
      <c r="G34" s="6" t="s">
        <v>215</v>
      </c>
      <c r="H34" s="6" t="s">
        <v>216</v>
      </c>
      <c r="I34" s="6" t="s">
        <v>217</v>
      </c>
      <c r="J34" s="64">
        <v>2896644</v>
      </c>
      <c r="K34" s="8" t="s">
        <v>28</v>
      </c>
      <c r="L34" s="8"/>
    </row>
    <row r="35" spans="1:12">
      <c r="A35" s="5" t="s">
        <v>166</v>
      </c>
      <c r="B35" s="5" t="s">
        <v>219</v>
      </c>
      <c r="C35" s="6" t="s">
        <v>61</v>
      </c>
      <c r="D35" s="6" t="s">
        <v>125</v>
      </c>
      <c r="E35" s="7">
        <v>45441</v>
      </c>
      <c r="F35" s="6" t="s">
        <v>220</v>
      </c>
      <c r="G35" s="6" t="s">
        <v>221</v>
      </c>
      <c r="H35" s="6"/>
      <c r="I35" s="6" t="s">
        <v>222</v>
      </c>
      <c r="J35" s="64">
        <v>2785599</v>
      </c>
      <c r="K35" s="8" t="s">
        <v>28</v>
      </c>
      <c r="L35" s="8"/>
    </row>
    <row r="36" spans="1:12">
      <c r="A36" s="5" t="s">
        <v>129</v>
      </c>
      <c r="B36" s="5" t="s">
        <v>141</v>
      </c>
      <c r="C36" s="6" t="s">
        <v>61</v>
      </c>
      <c r="D36" s="6" t="s">
        <v>125</v>
      </c>
      <c r="E36" s="7">
        <v>45225</v>
      </c>
      <c r="F36" s="6" t="s">
        <v>142</v>
      </c>
      <c r="G36" s="6" t="s">
        <v>143</v>
      </c>
      <c r="H36" s="6" t="s">
        <v>144</v>
      </c>
      <c r="I36" s="6" t="s">
        <v>145</v>
      </c>
      <c r="J36" s="64">
        <v>2715682.84</v>
      </c>
      <c r="K36" s="8" t="s">
        <v>28</v>
      </c>
      <c r="L36" s="8"/>
    </row>
    <row r="37" spans="1:12">
      <c r="A37" s="5" t="s">
        <v>129</v>
      </c>
      <c r="B37" s="5" t="s">
        <v>147</v>
      </c>
      <c r="C37" s="6" t="s">
        <v>61</v>
      </c>
      <c r="D37" s="6" t="s">
        <v>125</v>
      </c>
      <c r="E37" s="7">
        <v>45236</v>
      </c>
      <c r="F37" s="8" t="s">
        <v>148</v>
      </c>
      <c r="G37" s="6" t="s">
        <v>1807</v>
      </c>
      <c r="H37" s="6"/>
      <c r="I37" s="6" t="s">
        <v>150</v>
      </c>
      <c r="J37" s="64">
        <v>2398683</v>
      </c>
      <c r="K37" s="8" t="s">
        <v>28</v>
      </c>
      <c r="L37" s="8"/>
    </row>
    <row r="38" spans="1:12">
      <c r="A38" s="5" t="s">
        <v>129</v>
      </c>
      <c r="B38" s="6" t="s">
        <v>23</v>
      </c>
      <c r="C38" s="6" t="s">
        <v>61</v>
      </c>
      <c r="D38" s="6" t="s">
        <v>125</v>
      </c>
      <c r="E38" s="31">
        <v>45275</v>
      </c>
      <c r="F38" s="6" t="s">
        <v>152</v>
      </c>
      <c r="G38" s="6" t="s">
        <v>153</v>
      </c>
      <c r="H38" s="6" t="s">
        <v>154</v>
      </c>
      <c r="I38" s="6" t="s">
        <v>155</v>
      </c>
      <c r="J38" s="64">
        <v>7936800</v>
      </c>
      <c r="K38" s="8" t="s">
        <v>28</v>
      </c>
      <c r="L38" s="8"/>
    </row>
    <row r="39" spans="1:12">
      <c r="A39" s="5" t="s">
        <v>124</v>
      </c>
      <c r="B39" s="5"/>
      <c r="C39" s="6" t="s">
        <v>23</v>
      </c>
      <c r="D39" s="6" t="s">
        <v>125</v>
      </c>
      <c r="E39" s="7"/>
      <c r="F39" s="6" t="s">
        <v>126</v>
      </c>
      <c r="G39" s="6" t="s">
        <v>127</v>
      </c>
      <c r="H39" s="6"/>
      <c r="I39" s="6" t="s">
        <v>117</v>
      </c>
      <c r="J39" s="64">
        <v>5867730.2000000002</v>
      </c>
      <c r="K39" s="8" t="s">
        <v>28</v>
      </c>
      <c r="L39" s="8" t="s">
        <v>225</v>
      </c>
    </row>
    <row r="40" spans="1:12">
      <c r="A40" s="5">
        <v>2019</v>
      </c>
      <c r="B40" s="6" t="s">
        <v>22</v>
      </c>
      <c r="C40" s="6" t="s">
        <v>23</v>
      </c>
      <c r="D40" s="6" t="s">
        <v>24</v>
      </c>
      <c r="E40" s="7"/>
      <c r="F40" s="6" t="s">
        <v>38</v>
      </c>
      <c r="G40" s="6" t="s">
        <v>39</v>
      </c>
      <c r="H40" s="6"/>
      <c r="I40" s="6" t="s">
        <v>40</v>
      </c>
      <c r="J40" s="64">
        <v>1636971</v>
      </c>
      <c r="K40" s="8" t="s">
        <v>28</v>
      </c>
      <c r="L40" s="8"/>
    </row>
    <row r="41" spans="1:12">
      <c r="A41" s="5">
        <v>2019</v>
      </c>
      <c r="B41" s="5" t="s">
        <v>22</v>
      </c>
      <c r="C41" s="6" t="s">
        <v>23</v>
      </c>
      <c r="D41" s="6" t="s">
        <v>24</v>
      </c>
      <c r="E41" s="7"/>
      <c r="F41" s="6" t="s">
        <v>42</v>
      </c>
      <c r="G41" s="6" t="s">
        <v>43</v>
      </c>
      <c r="H41" s="6"/>
      <c r="I41" s="6" t="s">
        <v>44</v>
      </c>
      <c r="J41" s="64">
        <v>3258768</v>
      </c>
      <c r="K41" s="8" t="s">
        <v>28</v>
      </c>
      <c r="L41" s="8"/>
    </row>
    <row r="42" spans="1:12">
      <c r="A42" s="5">
        <v>2019</v>
      </c>
      <c r="B42" s="6" t="s">
        <v>22</v>
      </c>
      <c r="C42" s="6" t="s">
        <v>23</v>
      </c>
      <c r="D42" s="6" t="s">
        <v>24</v>
      </c>
      <c r="E42" s="7"/>
      <c r="F42" s="6" t="s">
        <v>46</v>
      </c>
      <c r="G42" s="6" t="s">
        <v>47</v>
      </c>
      <c r="H42" s="6"/>
      <c r="I42" s="6" t="s">
        <v>48</v>
      </c>
      <c r="J42" s="64">
        <v>4019382</v>
      </c>
      <c r="K42" s="8" t="s">
        <v>28</v>
      </c>
      <c r="L42" s="8"/>
    </row>
    <row r="43" spans="1:12">
      <c r="A43" s="5">
        <v>2019</v>
      </c>
      <c r="B43" s="5" t="s">
        <v>22</v>
      </c>
      <c r="C43" s="6" t="s">
        <v>23</v>
      </c>
      <c r="D43" s="6" t="s">
        <v>24</v>
      </c>
      <c r="E43" s="7"/>
      <c r="F43" s="6" t="s">
        <v>50</v>
      </c>
      <c r="G43" s="6" t="s">
        <v>362</v>
      </c>
      <c r="H43" s="6"/>
      <c r="I43" s="6"/>
      <c r="J43" s="64">
        <v>3135851.2</v>
      </c>
      <c r="K43" s="8" t="s">
        <v>28</v>
      </c>
      <c r="L43" s="8"/>
    </row>
    <row r="44" spans="1:12">
      <c r="A44" s="5">
        <v>2019</v>
      </c>
      <c r="B44" s="5" t="s">
        <v>22</v>
      </c>
      <c r="C44" s="6" t="s">
        <v>23</v>
      </c>
      <c r="D44" s="6" t="s">
        <v>24</v>
      </c>
      <c r="E44" s="7"/>
      <c r="F44" s="6" t="s">
        <v>53</v>
      </c>
      <c r="G44" s="6" t="s">
        <v>54</v>
      </c>
      <c r="H44" s="6"/>
      <c r="I44" s="6" t="s">
        <v>55</v>
      </c>
      <c r="J44" s="64">
        <v>16926594.199999999</v>
      </c>
      <c r="K44" s="8" t="s">
        <v>28</v>
      </c>
      <c r="L44" s="8"/>
    </row>
    <row r="45" spans="1:12">
      <c r="A45" s="5">
        <v>2019</v>
      </c>
      <c r="B45" s="6" t="s">
        <v>22</v>
      </c>
      <c r="C45" s="6" t="s">
        <v>23</v>
      </c>
      <c r="D45" s="6" t="s">
        <v>24</v>
      </c>
      <c r="E45" s="7"/>
      <c r="F45" s="6" t="s">
        <v>57</v>
      </c>
      <c r="G45" s="6" t="s">
        <v>58</v>
      </c>
      <c r="H45" s="6"/>
      <c r="I45" s="6" t="s">
        <v>59</v>
      </c>
      <c r="J45" s="64">
        <v>4394800</v>
      </c>
      <c r="K45" s="8" t="s">
        <v>28</v>
      </c>
      <c r="L45" s="8"/>
    </row>
    <row r="46" spans="1:12">
      <c r="A46" s="5">
        <v>2018</v>
      </c>
      <c r="B46" s="6" t="s">
        <v>22</v>
      </c>
      <c r="C46" s="6" t="s">
        <v>23</v>
      </c>
      <c r="D46" s="6" t="s">
        <v>24</v>
      </c>
      <c r="E46" s="7"/>
      <c r="F46" s="6" t="s">
        <v>25</v>
      </c>
      <c r="G46" s="6" t="s">
        <v>26</v>
      </c>
      <c r="H46" s="6"/>
      <c r="I46" s="6" t="s">
        <v>27</v>
      </c>
      <c r="J46" s="64">
        <v>4999045</v>
      </c>
      <c r="K46" s="8" t="s">
        <v>28</v>
      </c>
      <c r="L46" s="8"/>
    </row>
    <row r="47" spans="1:12">
      <c r="A47" s="5">
        <v>2018</v>
      </c>
      <c r="B47" s="6" t="s">
        <v>22</v>
      </c>
      <c r="C47" s="6" t="s">
        <v>23</v>
      </c>
      <c r="D47" s="6" t="s">
        <v>24</v>
      </c>
      <c r="E47" s="7"/>
      <c r="F47" s="6" t="s">
        <v>30</v>
      </c>
      <c r="G47" s="6" t="s">
        <v>31</v>
      </c>
      <c r="H47" s="6"/>
      <c r="I47" s="11" t="s">
        <v>32</v>
      </c>
      <c r="J47" s="64">
        <v>3058155.2</v>
      </c>
      <c r="K47" s="8" t="s">
        <v>28</v>
      </c>
      <c r="L47" s="8"/>
    </row>
    <row r="48" spans="1:12">
      <c r="A48" s="5">
        <v>2018</v>
      </c>
      <c r="B48" s="5" t="s">
        <v>22</v>
      </c>
      <c r="C48" s="6" t="s">
        <v>23</v>
      </c>
      <c r="D48" s="6" t="s">
        <v>24</v>
      </c>
      <c r="E48" s="7"/>
      <c r="F48" s="6" t="s">
        <v>34</v>
      </c>
      <c r="G48" s="6" t="s">
        <v>35</v>
      </c>
      <c r="H48" s="6"/>
      <c r="I48" s="6" t="s">
        <v>36</v>
      </c>
      <c r="J48" s="64">
        <v>3551018</v>
      </c>
      <c r="K48" s="8" t="s">
        <v>28</v>
      </c>
      <c r="L48" s="8"/>
    </row>
    <row r="49" spans="1:12">
      <c r="A49" s="5">
        <v>2017</v>
      </c>
      <c r="B49" s="6" t="s">
        <v>22</v>
      </c>
      <c r="C49" s="6" t="s">
        <v>23</v>
      </c>
      <c r="D49" s="6" t="s">
        <v>24</v>
      </c>
      <c r="E49" s="7"/>
      <c r="F49" s="6" t="s">
        <v>363</v>
      </c>
      <c r="G49" s="6" t="s">
        <v>364</v>
      </c>
      <c r="H49" s="6"/>
      <c r="I49" s="6" t="s">
        <v>365</v>
      </c>
      <c r="J49" s="64">
        <v>4294326.4000000004</v>
      </c>
      <c r="K49" s="8" t="s">
        <v>28</v>
      </c>
      <c r="L49" s="8"/>
    </row>
    <row r="50" spans="1:12">
      <c r="A50" s="5">
        <v>2017</v>
      </c>
      <c r="B50" s="5" t="s">
        <v>22</v>
      </c>
      <c r="C50" s="6" t="s">
        <v>23</v>
      </c>
      <c r="D50" s="6" t="s">
        <v>24</v>
      </c>
      <c r="E50" s="7"/>
      <c r="F50" s="6" t="s">
        <v>366</v>
      </c>
      <c r="G50" s="6" t="s">
        <v>367</v>
      </c>
      <c r="H50" s="6"/>
      <c r="I50" s="6" t="s">
        <v>368</v>
      </c>
      <c r="J50" s="64">
        <v>1892235</v>
      </c>
      <c r="K50" s="8" t="s">
        <v>28</v>
      </c>
      <c r="L50" s="8"/>
    </row>
    <row r="51" spans="1:12">
      <c r="A51" s="6">
        <v>2016</v>
      </c>
      <c r="B51" s="6" t="s">
        <v>22</v>
      </c>
      <c r="C51" s="6" t="s">
        <v>23</v>
      </c>
      <c r="D51" s="6" t="s">
        <v>24</v>
      </c>
      <c r="E51" s="6"/>
      <c r="F51" s="6" t="s">
        <v>369</v>
      </c>
      <c r="G51" s="6" t="s">
        <v>370</v>
      </c>
      <c r="H51" s="6"/>
      <c r="I51" s="6" t="s">
        <v>371</v>
      </c>
      <c r="J51" s="64">
        <v>4736242.4000000004</v>
      </c>
      <c r="K51" s="8" t="s">
        <v>28</v>
      </c>
      <c r="L51" s="8"/>
    </row>
    <row r="52" spans="1:12">
      <c r="A52" s="53">
        <v>2024</v>
      </c>
      <c r="B52" s="53" t="s">
        <v>1808</v>
      </c>
      <c r="C52" s="53"/>
      <c r="D52" s="53" t="s">
        <v>1809</v>
      </c>
      <c r="E52" s="53"/>
      <c r="F52" s="53" t="s">
        <v>1810</v>
      </c>
      <c r="G52" s="53" t="s">
        <v>1811</v>
      </c>
      <c r="H52" s="53"/>
      <c r="I52" s="53" t="s">
        <v>83</v>
      </c>
      <c r="J52" s="53" t="s">
        <v>1808</v>
      </c>
      <c r="K52" s="53" t="s">
        <v>28</v>
      </c>
      <c r="L52" s="52"/>
    </row>
    <row r="53" spans="1:12">
      <c r="A53" s="44">
        <v>2021</v>
      </c>
      <c r="B53" s="44" t="s">
        <v>1808</v>
      </c>
      <c r="C53" s="44" t="s">
        <v>61</v>
      </c>
      <c r="D53" s="44" t="s">
        <v>712</v>
      </c>
      <c r="E53" s="44"/>
      <c r="F53" s="34" t="s">
        <v>1812</v>
      </c>
      <c r="G53" s="44" t="s">
        <v>74</v>
      </c>
      <c r="H53" s="44"/>
      <c r="I53" s="44" t="s">
        <v>1813</v>
      </c>
      <c r="J53" s="44" t="s">
        <v>1814</v>
      </c>
      <c r="K53" s="44" t="s">
        <v>28</v>
      </c>
    </row>
    <row r="54" spans="1:12">
      <c r="A54" s="44">
        <v>2020</v>
      </c>
      <c r="B54" s="44" t="s">
        <v>1808</v>
      </c>
      <c r="C54" s="44" t="s">
        <v>61</v>
      </c>
      <c r="D54" s="44" t="s">
        <v>712</v>
      </c>
      <c r="E54" s="44"/>
      <c r="F54" s="34" t="s">
        <v>1815</v>
      </c>
      <c r="G54" s="44" t="s">
        <v>1816</v>
      </c>
      <c r="H54" s="44"/>
      <c r="I54" s="44" t="s">
        <v>1817</v>
      </c>
      <c r="J54" s="106">
        <v>161600</v>
      </c>
      <c r="K54" s="44" t="s">
        <v>28</v>
      </c>
    </row>
  </sheetData>
  <hyperlinks>
    <hyperlink ref="I23" r:id="rId1" xr:uid="{00000000-0004-0000-0800-000000000000}"/>
    <hyperlink ref="I47" r:id="rId2" xr:uid="{00000000-0004-0000-08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M1236"/>
  <sheetViews>
    <sheetView workbookViewId="0">
      <pane xSplit="5" topLeftCell="F1" activePane="topRight" state="frozen"/>
      <selection pane="topRight" activeCell="G2" sqref="G2"/>
    </sheetView>
  </sheetViews>
  <sheetFormatPr defaultColWidth="12.5703125" defaultRowHeight="15.75" customHeight="1"/>
  <cols>
    <col min="1" max="1" width="8.140625" customWidth="1"/>
    <col min="2" max="2" width="16.140625" customWidth="1"/>
    <col min="4" max="4" width="24" customWidth="1"/>
    <col min="6" max="6" width="25.85546875" customWidth="1"/>
    <col min="7" max="7" width="22.140625" hidden="1" customWidth="1"/>
    <col min="8" max="8" width="57.5703125" customWidth="1"/>
    <col min="9" max="9" width="40.140625" customWidth="1"/>
    <col min="10" max="10" width="27.85546875" customWidth="1"/>
    <col min="11" max="11" width="14.7109375" customWidth="1"/>
    <col min="12" max="12" width="33.7109375" customWidth="1"/>
    <col min="13" max="13" width="24" customWidth="1"/>
  </cols>
  <sheetData>
    <row r="1" spans="1:13" ht="25.5">
      <c r="A1" s="107" t="s">
        <v>1</v>
      </c>
      <c r="B1" s="108" t="s">
        <v>2</v>
      </c>
      <c r="C1" s="108" t="s">
        <v>3</v>
      </c>
      <c r="D1" s="107" t="s">
        <v>4</v>
      </c>
      <c r="E1" s="108" t="s">
        <v>1818</v>
      </c>
      <c r="F1" s="109" t="s">
        <v>1819</v>
      </c>
      <c r="G1" s="108" t="s">
        <v>5</v>
      </c>
      <c r="H1" s="108" t="s">
        <v>6</v>
      </c>
      <c r="I1" s="108" t="s">
        <v>7</v>
      </c>
      <c r="J1" s="108" t="s">
        <v>1820</v>
      </c>
      <c r="K1" s="108" t="s">
        <v>1821</v>
      </c>
      <c r="L1" s="108" t="s">
        <v>1822</v>
      </c>
      <c r="M1" s="108" t="s">
        <v>4</v>
      </c>
    </row>
    <row r="2" spans="1:13" ht="89.25">
      <c r="A2" s="22">
        <v>2022</v>
      </c>
      <c r="B2" s="61">
        <v>44682</v>
      </c>
      <c r="C2" s="6" t="s">
        <v>1823</v>
      </c>
      <c r="D2" s="6" t="s">
        <v>1782</v>
      </c>
      <c r="E2" s="9" t="s">
        <v>1824</v>
      </c>
      <c r="F2" s="110">
        <v>680240</v>
      </c>
      <c r="G2" s="111">
        <v>44588</v>
      </c>
      <c r="H2" s="22" t="s">
        <v>1825</v>
      </c>
      <c r="I2" s="6" t="s">
        <v>1826</v>
      </c>
      <c r="J2" s="6" t="s">
        <v>1827</v>
      </c>
      <c r="K2" s="9" t="s">
        <v>1828</v>
      </c>
      <c r="L2" s="22" t="s">
        <v>1829</v>
      </c>
      <c r="M2" s="9" t="s">
        <v>1830</v>
      </c>
    </row>
    <row r="3" spans="1:13" ht="51">
      <c r="A3" s="22">
        <v>2022</v>
      </c>
      <c r="B3" s="61">
        <v>44713</v>
      </c>
      <c r="C3" s="112" t="s">
        <v>61</v>
      </c>
      <c r="D3" s="9" t="s">
        <v>1831</v>
      </c>
      <c r="E3" s="9" t="s">
        <v>1824</v>
      </c>
      <c r="F3" s="110">
        <v>210000</v>
      </c>
      <c r="G3" s="113">
        <v>44614</v>
      </c>
      <c r="H3" s="22" t="s">
        <v>1832</v>
      </c>
      <c r="I3" s="6" t="s">
        <v>1826</v>
      </c>
      <c r="J3" s="6" t="s">
        <v>1827</v>
      </c>
      <c r="K3" s="9" t="s">
        <v>1828</v>
      </c>
      <c r="L3" s="22" t="s">
        <v>1833</v>
      </c>
      <c r="M3" s="9" t="s">
        <v>1831</v>
      </c>
    </row>
    <row r="4" spans="1:13" ht="140.25">
      <c r="A4" s="22">
        <v>2022</v>
      </c>
      <c r="B4" s="61">
        <v>44743</v>
      </c>
      <c r="C4" s="112" t="s">
        <v>61</v>
      </c>
      <c r="D4" s="9" t="s">
        <v>575</v>
      </c>
      <c r="E4" s="9" t="s">
        <v>1834</v>
      </c>
      <c r="F4" s="110">
        <v>310057.2</v>
      </c>
      <c r="G4" s="113">
        <v>44594</v>
      </c>
      <c r="H4" s="22" t="s">
        <v>1466</v>
      </c>
      <c r="I4" s="6" t="s">
        <v>1835</v>
      </c>
      <c r="J4" s="6" t="s">
        <v>1836</v>
      </c>
      <c r="K4" s="9" t="s">
        <v>1828</v>
      </c>
      <c r="L4" s="22" t="s">
        <v>1837</v>
      </c>
      <c r="M4" s="9" t="s">
        <v>575</v>
      </c>
    </row>
    <row r="5" spans="1:13" ht="127.5">
      <c r="A5" s="22">
        <v>2022</v>
      </c>
      <c r="B5" s="61">
        <v>44774</v>
      </c>
      <c r="C5" s="112" t="s">
        <v>61</v>
      </c>
      <c r="D5" s="9" t="s">
        <v>1838</v>
      </c>
      <c r="E5" s="9" t="s">
        <v>1824</v>
      </c>
      <c r="F5" s="110">
        <v>25200</v>
      </c>
      <c r="G5" s="113">
        <v>44614</v>
      </c>
      <c r="H5" s="22" t="s">
        <v>1839</v>
      </c>
      <c r="I5" s="6" t="s">
        <v>1840</v>
      </c>
      <c r="J5" s="6" t="s">
        <v>1836</v>
      </c>
      <c r="K5" s="9" t="s">
        <v>1828</v>
      </c>
      <c r="L5" s="22" t="s">
        <v>1841</v>
      </c>
      <c r="M5" s="9" t="s">
        <v>1838</v>
      </c>
    </row>
    <row r="6" spans="1:13" ht="76.5">
      <c r="A6" s="22">
        <v>2022</v>
      </c>
      <c r="B6" s="61">
        <v>44805</v>
      </c>
      <c r="C6" s="112" t="s">
        <v>1842</v>
      </c>
      <c r="D6" s="9" t="s">
        <v>575</v>
      </c>
      <c r="E6" s="9" t="s">
        <v>1843</v>
      </c>
      <c r="F6" s="110">
        <v>5300</v>
      </c>
      <c r="G6" s="113">
        <v>44602</v>
      </c>
      <c r="H6" s="22" t="s">
        <v>1844</v>
      </c>
      <c r="I6" s="6" t="s">
        <v>1845</v>
      </c>
      <c r="J6" s="6" t="s">
        <v>1846</v>
      </c>
      <c r="K6" s="9" t="s">
        <v>1847</v>
      </c>
      <c r="L6" s="22" t="s">
        <v>1848</v>
      </c>
      <c r="M6" s="9" t="s">
        <v>575</v>
      </c>
    </row>
    <row r="7" spans="1:13" ht="102">
      <c r="A7" s="22">
        <v>2022</v>
      </c>
      <c r="B7" s="62">
        <v>44835</v>
      </c>
      <c r="C7" s="112" t="s">
        <v>61</v>
      </c>
      <c r="D7" s="9" t="s">
        <v>1849</v>
      </c>
      <c r="E7" s="9" t="s">
        <v>1824</v>
      </c>
      <c r="F7" s="110">
        <v>1831800</v>
      </c>
      <c r="G7" s="113">
        <v>44608</v>
      </c>
      <c r="H7" s="22" t="s">
        <v>1850</v>
      </c>
      <c r="I7" s="6" t="s">
        <v>1851</v>
      </c>
      <c r="J7" s="6" t="s">
        <v>1836</v>
      </c>
      <c r="K7" s="9" t="s">
        <v>1828</v>
      </c>
      <c r="L7" s="22" t="s">
        <v>1852</v>
      </c>
      <c r="M7" s="9" t="s">
        <v>1849</v>
      </c>
    </row>
    <row r="8" spans="1:13" ht="153">
      <c r="A8" s="22">
        <v>2022</v>
      </c>
      <c r="B8" s="114">
        <v>44866</v>
      </c>
      <c r="C8" s="112" t="s">
        <v>61</v>
      </c>
      <c r="D8" s="115" t="s">
        <v>394</v>
      </c>
      <c r="E8" s="115" t="s">
        <v>1853</v>
      </c>
      <c r="F8" s="116">
        <v>19000</v>
      </c>
      <c r="G8" s="117">
        <v>44608</v>
      </c>
      <c r="H8" s="118" t="s">
        <v>571</v>
      </c>
      <c r="I8" s="112" t="s">
        <v>572</v>
      </c>
      <c r="J8" s="112" t="s">
        <v>1854</v>
      </c>
      <c r="K8" s="115" t="s">
        <v>1855</v>
      </c>
      <c r="L8" s="118" t="s">
        <v>1856</v>
      </c>
      <c r="M8" s="115" t="s">
        <v>394</v>
      </c>
    </row>
    <row r="9" spans="1:13" ht="63.75">
      <c r="A9" s="22">
        <v>2022</v>
      </c>
      <c r="B9" s="62">
        <v>44896</v>
      </c>
      <c r="C9" s="112" t="s">
        <v>61</v>
      </c>
      <c r="D9" s="9" t="s">
        <v>573</v>
      </c>
      <c r="E9" s="9" t="s">
        <v>1824</v>
      </c>
      <c r="F9" s="110">
        <v>345000</v>
      </c>
      <c r="G9" s="113">
        <v>44622</v>
      </c>
      <c r="H9" s="22" t="s">
        <v>574</v>
      </c>
      <c r="I9" s="6" t="s">
        <v>575</v>
      </c>
      <c r="J9" s="6" t="s">
        <v>1827</v>
      </c>
      <c r="K9" s="9" t="s">
        <v>1828</v>
      </c>
      <c r="L9" s="22" t="s">
        <v>1857</v>
      </c>
      <c r="M9" s="9" t="s">
        <v>573</v>
      </c>
    </row>
    <row r="10" spans="1:13" ht="127.5">
      <c r="A10" s="22">
        <v>2022</v>
      </c>
      <c r="B10" s="119" t="s">
        <v>1858</v>
      </c>
      <c r="C10" s="112" t="s">
        <v>61</v>
      </c>
      <c r="D10" s="115" t="s">
        <v>1383</v>
      </c>
      <c r="E10" s="115" t="s">
        <v>1859</v>
      </c>
      <c r="F10" s="120">
        <v>393300</v>
      </c>
      <c r="G10" s="117">
        <v>44573</v>
      </c>
      <c r="H10" s="118" t="s">
        <v>1459</v>
      </c>
      <c r="I10" s="112" t="s">
        <v>1460</v>
      </c>
      <c r="J10" s="112" t="s">
        <v>1827</v>
      </c>
      <c r="K10" s="115" t="s">
        <v>1847</v>
      </c>
      <c r="L10" s="118" t="s">
        <v>1860</v>
      </c>
      <c r="M10" s="115" t="s">
        <v>1458</v>
      </c>
    </row>
    <row r="11" spans="1:13" ht="127.5">
      <c r="A11" s="22">
        <v>2022</v>
      </c>
      <c r="B11" s="119" t="s">
        <v>1861</v>
      </c>
      <c r="C11" s="112" t="s">
        <v>61</v>
      </c>
      <c r="D11" s="115" t="s">
        <v>1862</v>
      </c>
      <c r="E11" s="115" t="s">
        <v>1843</v>
      </c>
      <c r="F11" s="120">
        <v>190300</v>
      </c>
      <c r="G11" s="117">
        <v>44573</v>
      </c>
      <c r="H11" s="118" t="s">
        <v>1863</v>
      </c>
      <c r="I11" s="112" t="s">
        <v>1864</v>
      </c>
      <c r="J11" s="112" t="s">
        <v>1846</v>
      </c>
      <c r="K11" s="115" t="s">
        <v>1847</v>
      </c>
      <c r="L11" s="118" t="s">
        <v>1865</v>
      </c>
      <c r="M11" s="115" t="s">
        <v>1862</v>
      </c>
    </row>
    <row r="12" spans="1:13" ht="76.5">
      <c r="A12" s="22">
        <v>2022</v>
      </c>
      <c r="B12" s="119" t="s">
        <v>1866</v>
      </c>
      <c r="C12" s="112" t="s">
        <v>1867</v>
      </c>
      <c r="D12" s="115" t="s">
        <v>1862</v>
      </c>
      <c r="E12" s="115" t="s">
        <v>1834</v>
      </c>
      <c r="F12" s="120"/>
      <c r="G12" s="117">
        <v>44588</v>
      </c>
      <c r="H12" s="118" t="s">
        <v>1868</v>
      </c>
      <c r="I12" s="112" t="s">
        <v>575</v>
      </c>
      <c r="J12" s="112" t="s">
        <v>1849</v>
      </c>
      <c r="K12" s="115" t="s">
        <v>1828</v>
      </c>
      <c r="L12" s="118" t="s">
        <v>1869</v>
      </c>
      <c r="M12" s="115" t="s">
        <v>1862</v>
      </c>
    </row>
    <row r="13" spans="1:13" ht="89.25">
      <c r="A13" s="22">
        <v>2022</v>
      </c>
      <c r="B13" s="119" t="s">
        <v>1870</v>
      </c>
      <c r="C13" s="112" t="s">
        <v>61</v>
      </c>
      <c r="D13" s="115" t="s">
        <v>1862</v>
      </c>
      <c r="E13" s="115" t="s">
        <v>1843</v>
      </c>
      <c r="F13" s="120">
        <v>544434</v>
      </c>
      <c r="G13" s="117">
        <v>44588</v>
      </c>
      <c r="H13" s="118" t="s">
        <v>1871</v>
      </c>
      <c r="I13" s="112" t="s">
        <v>1872</v>
      </c>
      <c r="J13" s="112" t="s">
        <v>1872</v>
      </c>
      <c r="K13" s="115" t="s">
        <v>1847</v>
      </c>
      <c r="L13" s="118" t="s">
        <v>1873</v>
      </c>
      <c r="M13" s="115" t="s">
        <v>1862</v>
      </c>
    </row>
    <row r="14" spans="1:13" ht="114.75">
      <c r="A14" s="22">
        <v>2022</v>
      </c>
      <c r="B14" s="6" t="s">
        <v>576</v>
      </c>
      <c r="C14" s="112" t="s">
        <v>61</v>
      </c>
      <c r="D14" s="6" t="s">
        <v>125</v>
      </c>
      <c r="E14" s="6" t="s">
        <v>1874</v>
      </c>
      <c r="F14" s="121">
        <v>2353196</v>
      </c>
      <c r="G14" s="7">
        <v>44881</v>
      </c>
      <c r="H14" s="22" t="s">
        <v>577</v>
      </c>
      <c r="I14" s="6" t="s">
        <v>578</v>
      </c>
      <c r="J14" s="6" t="s">
        <v>1875</v>
      </c>
      <c r="K14" s="6" t="s">
        <v>1828</v>
      </c>
      <c r="L14" s="22" t="s">
        <v>1876</v>
      </c>
      <c r="M14" s="6" t="s">
        <v>125</v>
      </c>
    </row>
    <row r="15" spans="1:13" ht="51">
      <c r="A15" s="22">
        <v>2022</v>
      </c>
      <c r="B15" s="20" t="s">
        <v>685</v>
      </c>
      <c r="C15" s="112" t="s">
        <v>61</v>
      </c>
      <c r="D15" s="17" t="s">
        <v>1877</v>
      </c>
      <c r="E15" s="115" t="s">
        <v>1853</v>
      </c>
      <c r="F15" s="122">
        <v>199890</v>
      </c>
      <c r="G15" s="123">
        <v>44896</v>
      </c>
      <c r="H15" s="24" t="s">
        <v>686</v>
      </c>
      <c r="I15" s="115" t="s">
        <v>520</v>
      </c>
      <c r="J15" s="112" t="s">
        <v>1878</v>
      </c>
      <c r="K15" s="112" t="s">
        <v>1879</v>
      </c>
      <c r="L15" s="124" t="s">
        <v>1880</v>
      </c>
      <c r="M15" s="17" t="s">
        <v>1877</v>
      </c>
    </row>
    <row r="16" spans="1:13" ht="102">
      <c r="A16" s="22">
        <v>2022</v>
      </c>
      <c r="B16" s="6" t="s">
        <v>687</v>
      </c>
      <c r="C16" s="112" t="s">
        <v>61</v>
      </c>
      <c r="D16" s="6" t="s">
        <v>652</v>
      </c>
      <c r="E16" s="6" t="s">
        <v>1874</v>
      </c>
      <c r="F16" s="64">
        <v>18425</v>
      </c>
      <c r="G16" s="125">
        <v>44896</v>
      </c>
      <c r="H16" s="126" t="s">
        <v>688</v>
      </c>
      <c r="I16" s="6" t="s">
        <v>689</v>
      </c>
      <c r="J16" s="6" t="s">
        <v>1881</v>
      </c>
      <c r="K16" s="112" t="s">
        <v>1879</v>
      </c>
      <c r="L16" s="22" t="s">
        <v>1882</v>
      </c>
      <c r="M16" s="6" t="s">
        <v>652</v>
      </c>
    </row>
    <row r="17" spans="1:13" ht="25.5">
      <c r="A17" s="22">
        <v>2022</v>
      </c>
      <c r="B17" s="127" t="s">
        <v>585</v>
      </c>
      <c r="C17" s="112" t="s">
        <v>1883</v>
      </c>
      <c r="D17" s="6" t="s">
        <v>586</v>
      </c>
      <c r="E17" s="6" t="s">
        <v>1874</v>
      </c>
      <c r="F17" s="121"/>
      <c r="G17" s="7">
        <v>44907</v>
      </c>
      <c r="H17" s="22" t="s">
        <v>1884</v>
      </c>
      <c r="I17" s="6"/>
      <c r="J17" s="6"/>
      <c r="K17" s="6"/>
      <c r="L17" s="22"/>
      <c r="M17" s="6" t="s">
        <v>586</v>
      </c>
    </row>
    <row r="18" spans="1:13" ht="127.5">
      <c r="A18" s="22">
        <v>2022</v>
      </c>
      <c r="B18" s="112" t="s">
        <v>585</v>
      </c>
      <c r="C18" s="112" t="s">
        <v>61</v>
      </c>
      <c r="D18" s="6" t="s">
        <v>586</v>
      </c>
      <c r="E18" s="6" t="s">
        <v>1874</v>
      </c>
      <c r="F18" s="121">
        <v>17575</v>
      </c>
      <c r="G18" s="7">
        <v>44886</v>
      </c>
      <c r="H18" s="22" t="s">
        <v>587</v>
      </c>
      <c r="I18" s="6" t="s">
        <v>588</v>
      </c>
      <c r="J18" s="6" t="s">
        <v>1885</v>
      </c>
      <c r="K18" s="6" t="s">
        <v>1886</v>
      </c>
      <c r="L18" s="22" t="s">
        <v>1887</v>
      </c>
      <c r="M18" s="6" t="s">
        <v>586</v>
      </c>
    </row>
    <row r="19" spans="1:13" ht="408">
      <c r="A19" s="22">
        <v>2022</v>
      </c>
      <c r="B19" s="6" t="s">
        <v>589</v>
      </c>
      <c r="C19" s="112" t="s">
        <v>61</v>
      </c>
      <c r="D19" s="6" t="s">
        <v>125</v>
      </c>
      <c r="E19" s="6" t="s">
        <v>1874</v>
      </c>
      <c r="F19" s="121">
        <v>2995096</v>
      </c>
      <c r="G19" s="7">
        <v>44909</v>
      </c>
      <c r="H19" s="22" t="s">
        <v>590</v>
      </c>
      <c r="I19" s="6" t="s">
        <v>1888</v>
      </c>
      <c r="J19" s="6" t="s">
        <v>1889</v>
      </c>
      <c r="K19" s="6" t="s">
        <v>1828</v>
      </c>
      <c r="L19" s="22" t="s">
        <v>1890</v>
      </c>
      <c r="M19" s="6" t="s">
        <v>125</v>
      </c>
    </row>
    <row r="20" spans="1:13" ht="140.25">
      <c r="A20" s="22">
        <v>2022</v>
      </c>
      <c r="B20" s="112" t="s">
        <v>592</v>
      </c>
      <c r="C20" s="112" t="s">
        <v>61</v>
      </c>
      <c r="D20" s="6" t="s">
        <v>125</v>
      </c>
      <c r="E20" s="6" t="s">
        <v>1874</v>
      </c>
      <c r="F20" s="121">
        <v>2692520</v>
      </c>
      <c r="G20" s="7">
        <v>44909</v>
      </c>
      <c r="H20" s="22" t="s">
        <v>1891</v>
      </c>
      <c r="I20" s="6" t="s">
        <v>594</v>
      </c>
      <c r="J20" s="6" t="s">
        <v>1892</v>
      </c>
      <c r="K20" s="6" t="s">
        <v>1828</v>
      </c>
      <c r="L20" s="22" t="s">
        <v>1893</v>
      </c>
      <c r="M20" s="6" t="s">
        <v>125</v>
      </c>
    </row>
    <row r="21" spans="1:13" ht="153">
      <c r="A21" s="22">
        <v>2022</v>
      </c>
      <c r="B21" s="127" t="s">
        <v>595</v>
      </c>
      <c r="C21" s="112" t="s">
        <v>61</v>
      </c>
      <c r="D21" s="6" t="s">
        <v>125</v>
      </c>
      <c r="E21" s="6" t="s">
        <v>1874</v>
      </c>
      <c r="F21" s="121">
        <v>1450894</v>
      </c>
      <c r="G21" s="6" t="s">
        <v>1894</v>
      </c>
      <c r="H21" s="22" t="s">
        <v>596</v>
      </c>
      <c r="I21" s="6" t="s">
        <v>597</v>
      </c>
      <c r="J21" s="6" t="s">
        <v>1895</v>
      </c>
      <c r="K21" s="6" t="s">
        <v>1896</v>
      </c>
      <c r="L21" s="22" t="s">
        <v>1897</v>
      </c>
      <c r="M21" s="6" t="s">
        <v>125</v>
      </c>
    </row>
    <row r="22" spans="1:13" ht="140.25">
      <c r="A22" s="22">
        <v>2022</v>
      </c>
      <c r="B22" s="127" t="s">
        <v>598</v>
      </c>
      <c r="C22" s="112" t="s">
        <v>61</v>
      </c>
      <c r="D22" s="6" t="s">
        <v>125</v>
      </c>
      <c r="E22" s="6" t="s">
        <v>1874</v>
      </c>
      <c r="F22" s="121">
        <v>1780736</v>
      </c>
      <c r="G22" s="6" t="s">
        <v>1894</v>
      </c>
      <c r="H22" s="22" t="s">
        <v>599</v>
      </c>
      <c r="I22" s="6" t="s">
        <v>600</v>
      </c>
      <c r="J22" s="6" t="s">
        <v>1898</v>
      </c>
      <c r="K22" s="6" t="s">
        <v>1899</v>
      </c>
      <c r="L22" s="22" t="s">
        <v>1900</v>
      </c>
      <c r="M22" s="6" t="s">
        <v>125</v>
      </c>
    </row>
    <row r="23" spans="1:13" ht="114.75">
      <c r="A23" s="22">
        <v>2022</v>
      </c>
      <c r="B23" s="6" t="s">
        <v>601</v>
      </c>
      <c r="C23" s="112" t="s">
        <v>61</v>
      </c>
      <c r="D23" s="6" t="s">
        <v>125</v>
      </c>
      <c r="E23" s="6" t="s">
        <v>1874</v>
      </c>
      <c r="F23" s="121">
        <v>2802604</v>
      </c>
      <c r="G23" s="6" t="s">
        <v>1901</v>
      </c>
      <c r="H23" s="22" t="s">
        <v>602</v>
      </c>
      <c r="I23" s="6" t="s">
        <v>591</v>
      </c>
      <c r="J23" s="6" t="s">
        <v>1902</v>
      </c>
      <c r="K23" s="6" t="s">
        <v>1828</v>
      </c>
      <c r="L23" s="22" t="s">
        <v>1903</v>
      </c>
      <c r="M23" s="6" t="s">
        <v>125</v>
      </c>
    </row>
    <row r="24" spans="1:13" ht="178.5">
      <c r="A24" s="22">
        <v>2022</v>
      </c>
      <c r="B24" s="6" t="s">
        <v>75</v>
      </c>
      <c r="C24" s="112" t="s">
        <v>61</v>
      </c>
      <c r="D24" s="6" t="s">
        <v>76</v>
      </c>
      <c r="E24" s="6" t="s">
        <v>1904</v>
      </c>
      <c r="F24" s="121">
        <v>1083679</v>
      </c>
      <c r="G24" s="6" t="s">
        <v>77</v>
      </c>
      <c r="H24" s="22" t="s">
        <v>78</v>
      </c>
      <c r="I24" s="6" t="s">
        <v>79</v>
      </c>
      <c r="J24" s="6" t="s">
        <v>1905</v>
      </c>
      <c r="K24" s="6" t="s">
        <v>1886</v>
      </c>
      <c r="L24" s="22" t="s">
        <v>1906</v>
      </c>
      <c r="M24" s="6" t="s">
        <v>76</v>
      </c>
    </row>
    <row r="25" spans="1:13" ht="12.75">
      <c r="A25" s="22">
        <v>2022</v>
      </c>
      <c r="B25" s="112" t="s">
        <v>75</v>
      </c>
      <c r="C25" s="6"/>
      <c r="D25" s="6"/>
      <c r="E25" s="6"/>
      <c r="F25" s="121"/>
      <c r="G25" s="7">
        <v>44924</v>
      </c>
      <c r="H25" s="22"/>
      <c r="I25" s="6"/>
      <c r="J25" s="6"/>
      <c r="K25" s="6"/>
      <c r="L25" s="22"/>
      <c r="M25" s="6"/>
    </row>
    <row r="26" spans="1:13" ht="76.5">
      <c r="A26" s="22">
        <v>2022</v>
      </c>
      <c r="B26" s="6" t="s">
        <v>604</v>
      </c>
      <c r="C26" s="112" t="s">
        <v>61</v>
      </c>
      <c r="D26" s="9" t="s">
        <v>573</v>
      </c>
      <c r="E26" s="9" t="s">
        <v>1824</v>
      </c>
      <c r="F26" s="110">
        <v>1201148.8799999999</v>
      </c>
      <c r="G26" s="113">
        <v>44622</v>
      </c>
      <c r="H26" s="22" t="s">
        <v>1907</v>
      </c>
      <c r="I26" s="6" t="s">
        <v>575</v>
      </c>
      <c r="J26" s="6" t="s">
        <v>1827</v>
      </c>
      <c r="K26" s="9" t="s">
        <v>1828</v>
      </c>
      <c r="L26" s="22" t="s">
        <v>1908</v>
      </c>
      <c r="M26" s="9" t="s">
        <v>573</v>
      </c>
    </row>
    <row r="27" spans="1:13" ht="114.75">
      <c r="A27" s="22">
        <v>2022</v>
      </c>
      <c r="B27" s="6" t="s">
        <v>1909</v>
      </c>
      <c r="C27" s="112" t="s">
        <v>61</v>
      </c>
      <c r="D27" s="9" t="s">
        <v>575</v>
      </c>
      <c r="E27" s="9" t="s">
        <v>1824</v>
      </c>
      <c r="F27" s="110">
        <v>389200</v>
      </c>
      <c r="G27" s="113">
        <v>44622</v>
      </c>
      <c r="H27" s="22" t="s">
        <v>1910</v>
      </c>
      <c r="I27" s="6" t="s">
        <v>575</v>
      </c>
      <c r="J27" s="6" t="s">
        <v>1827</v>
      </c>
      <c r="K27" s="9" t="s">
        <v>1828</v>
      </c>
      <c r="L27" s="22" t="s">
        <v>1911</v>
      </c>
      <c r="M27" s="9" t="s">
        <v>575</v>
      </c>
    </row>
    <row r="28" spans="1:13" ht="89.25">
      <c r="A28" s="22">
        <v>2022</v>
      </c>
      <c r="B28" s="6" t="s">
        <v>1912</v>
      </c>
      <c r="C28" s="112" t="s">
        <v>61</v>
      </c>
      <c r="D28" s="9" t="s">
        <v>575</v>
      </c>
      <c r="E28" s="9" t="s">
        <v>1824</v>
      </c>
      <c r="F28" s="110">
        <v>1381550</v>
      </c>
      <c r="G28" s="113">
        <v>44622</v>
      </c>
      <c r="H28" s="22" t="s">
        <v>1913</v>
      </c>
      <c r="I28" s="6" t="s">
        <v>575</v>
      </c>
      <c r="J28" s="6" t="s">
        <v>1827</v>
      </c>
      <c r="K28" s="9" t="s">
        <v>1828</v>
      </c>
      <c r="L28" s="22" t="s">
        <v>1914</v>
      </c>
      <c r="M28" s="9" t="s">
        <v>575</v>
      </c>
    </row>
    <row r="29" spans="1:13" ht="178.5">
      <c r="A29" s="22">
        <v>2022</v>
      </c>
      <c r="B29" s="112" t="s">
        <v>579</v>
      </c>
      <c r="C29" s="112" t="s">
        <v>61</v>
      </c>
      <c r="D29" s="128" t="s">
        <v>394</v>
      </c>
      <c r="E29" s="115" t="s">
        <v>1853</v>
      </c>
      <c r="F29" s="129">
        <v>20000</v>
      </c>
      <c r="G29" s="117">
        <v>44629</v>
      </c>
      <c r="H29" s="118" t="s">
        <v>580</v>
      </c>
      <c r="I29" s="112" t="s">
        <v>581</v>
      </c>
      <c r="J29" s="112" t="s">
        <v>1915</v>
      </c>
      <c r="K29" s="115" t="s">
        <v>1916</v>
      </c>
      <c r="L29" s="118" t="s">
        <v>1917</v>
      </c>
      <c r="M29" s="128" t="s">
        <v>394</v>
      </c>
    </row>
    <row r="30" spans="1:13" ht="127.5">
      <c r="A30" s="22">
        <v>2022</v>
      </c>
      <c r="B30" s="112" t="s">
        <v>582</v>
      </c>
      <c r="C30" s="112" t="s">
        <v>61</v>
      </c>
      <c r="D30" s="115" t="s">
        <v>68</v>
      </c>
      <c r="E30" s="6" t="s">
        <v>1874</v>
      </c>
      <c r="F30" s="130">
        <v>300700</v>
      </c>
      <c r="G30" s="117">
        <v>44629</v>
      </c>
      <c r="H30" s="118" t="s">
        <v>583</v>
      </c>
      <c r="I30" s="112" t="s">
        <v>584</v>
      </c>
      <c r="J30" s="112" t="s">
        <v>1918</v>
      </c>
      <c r="K30" s="115" t="s">
        <v>1919</v>
      </c>
      <c r="L30" s="118" t="s">
        <v>1920</v>
      </c>
      <c r="M30" s="115" t="s">
        <v>68</v>
      </c>
    </row>
    <row r="31" spans="1:13" ht="165.75">
      <c r="A31" s="22">
        <v>2022</v>
      </c>
      <c r="B31" s="6" t="s">
        <v>1921</v>
      </c>
      <c r="C31" s="112" t="s">
        <v>61</v>
      </c>
      <c r="D31" s="9" t="s">
        <v>1838</v>
      </c>
      <c r="E31" s="9" t="s">
        <v>1824</v>
      </c>
      <c r="F31" s="110">
        <v>121200</v>
      </c>
      <c r="G31" s="7">
        <v>44636</v>
      </c>
      <c r="H31" s="22" t="s">
        <v>1922</v>
      </c>
      <c r="I31" s="6" t="s">
        <v>1840</v>
      </c>
      <c r="J31" s="6" t="s">
        <v>1923</v>
      </c>
      <c r="K31" s="9" t="s">
        <v>1828</v>
      </c>
      <c r="L31" s="22" t="s">
        <v>1924</v>
      </c>
      <c r="M31" s="9" t="s">
        <v>1838</v>
      </c>
    </row>
    <row r="32" spans="1:13" ht="76.5">
      <c r="A32" s="22">
        <v>2022</v>
      </c>
      <c r="B32" s="6" t="s">
        <v>1925</v>
      </c>
      <c r="C32" s="6" t="s">
        <v>1926</v>
      </c>
      <c r="D32" s="9" t="s">
        <v>1417</v>
      </c>
      <c r="E32" s="9"/>
      <c r="F32" s="110"/>
      <c r="G32" s="113">
        <v>44643</v>
      </c>
      <c r="H32" s="22" t="s">
        <v>1927</v>
      </c>
      <c r="I32" s="6" t="s">
        <v>1928</v>
      </c>
      <c r="J32" s="6"/>
      <c r="K32" s="9"/>
      <c r="L32" s="22" t="s">
        <v>1929</v>
      </c>
      <c r="M32" s="9" t="s">
        <v>1417</v>
      </c>
    </row>
    <row r="33" spans="1:13" ht="216.75">
      <c r="A33" s="22">
        <v>2022</v>
      </c>
      <c r="B33" s="6" t="s">
        <v>1930</v>
      </c>
      <c r="C33" s="112" t="s">
        <v>61</v>
      </c>
      <c r="D33" s="115" t="s">
        <v>1383</v>
      </c>
      <c r="E33" s="115" t="s">
        <v>1859</v>
      </c>
      <c r="F33" s="110">
        <v>749991.24</v>
      </c>
      <c r="G33" s="113">
        <v>44650</v>
      </c>
      <c r="H33" s="22" t="s">
        <v>1931</v>
      </c>
      <c r="I33" s="6" t="s">
        <v>575</v>
      </c>
      <c r="J33" s="6" t="s">
        <v>1932</v>
      </c>
      <c r="K33" s="9" t="s">
        <v>1828</v>
      </c>
      <c r="L33" s="22" t="s">
        <v>1933</v>
      </c>
      <c r="M33" s="9" t="s">
        <v>1934</v>
      </c>
    </row>
    <row r="34" spans="1:13" ht="229.5">
      <c r="A34" s="22">
        <v>2022</v>
      </c>
      <c r="B34" s="6" t="s">
        <v>1935</v>
      </c>
      <c r="C34" s="112" t="s">
        <v>61</v>
      </c>
      <c r="D34" s="115" t="s">
        <v>1383</v>
      </c>
      <c r="E34" s="115" t="s">
        <v>1859</v>
      </c>
      <c r="F34" s="13">
        <v>1302000</v>
      </c>
      <c r="G34" s="113">
        <v>44657</v>
      </c>
      <c r="H34" s="22" t="s">
        <v>1936</v>
      </c>
      <c r="I34" s="6" t="s">
        <v>1937</v>
      </c>
      <c r="J34" s="6" t="s">
        <v>1938</v>
      </c>
      <c r="K34" s="9" t="s">
        <v>1828</v>
      </c>
      <c r="L34" s="22" t="s">
        <v>1939</v>
      </c>
      <c r="M34" s="9" t="s">
        <v>1940</v>
      </c>
    </row>
    <row r="35" spans="1:13" ht="89.25">
      <c r="A35" s="22">
        <v>2022</v>
      </c>
      <c r="B35" s="6" t="s">
        <v>1461</v>
      </c>
      <c r="C35" s="112" t="s">
        <v>61</v>
      </c>
      <c r="D35" s="9" t="s">
        <v>1417</v>
      </c>
      <c r="E35" s="9"/>
      <c r="F35" s="110">
        <v>1203000</v>
      </c>
      <c r="G35" s="113">
        <v>44664</v>
      </c>
      <c r="H35" s="22" t="s">
        <v>1463</v>
      </c>
      <c r="I35" s="6" t="s">
        <v>1851</v>
      </c>
      <c r="J35" s="6" t="s">
        <v>1941</v>
      </c>
      <c r="K35" s="9" t="s">
        <v>1828</v>
      </c>
      <c r="L35" s="22" t="s">
        <v>1942</v>
      </c>
      <c r="M35" s="9" t="s">
        <v>1462</v>
      </c>
    </row>
    <row r="36" spans="1:13" ht="306">
      <c r="A36" s="22">
        <v>2022</v>
      </c>
      <c r="B36" s="112" t="s">
        <v>606</v>
      </c>
      <c r="C36" s="112" t="s">
        <v>61</v>
      </c>
      <c r="D36" s="115" t="s">
        <v>394</v>
      </c>
      <c r="E36" s="115" t="s">
        <v>1853</v>
      </c>
      <c r="F36" s="129">
        <v>38400</v>
      </c>
      <c r="G36" s="117">
        <v>44633</v>
      </c>
      <c r="H36" s="118" t="s">
        <v>1943</v>
      </c>
      <c r="I36" s="112" t="s">
        <v>608</v>
      </c>
      <c r="J36" s="112" t="s">
        <v>1849</v>
      </c>
      <c r="K36" s="115" t="s">
        <v>1828</v>
      </c>
      <c r="L36" s="22" t="s">
        <v>1944</v>
      </c>
      <c r="M36" s="115" t="s">
        <v>394</v>
      </c>
    </row>
    <row r="37" spans="1:13" ht="102">
      <c r="A37" s="22">
        <v>2022</v>
      </c>
      <c r="B37" s="6" t="s">
        <v>1945</v>
      </c>
      <c r="C37" s="112" t="s">
        <v>1946</v>
      </c>
      <c r="D37" s="115" t="s">
        <v>1383</v>
      </c>
      <c r="E37" s="9" t="s">
        <v>575</v>
      </c>
      <c r="F37" s="110">
        <v>2400000</v>
      </c>
      <c r="G37" s="113">
        <v>44671</v>
      </c>
      <c r="H37" s="22" t="s">
        <v>1947</v>
      </c>
      <c r="I37" s="6" t="s">
        <v>575</v>
      </c>
      <c r="J37" s="6"/>
      <c r="K37" s="9" t="s">
        <v>1828</v>
      </c>
      <c r="L37" s="118" t="s">
        <v>1948</v>
      </c>
      <c r="M37" s="9" t="s">
        <v>1383</v>
      </c>
    </row>
    <row r="38" spans="1:13" ht="229.5">
      <c r="A38" s="22">
        <v>2022</v>
      </c>
      <c r="B38" s="6" t="s">
        <v>1945</v>
      </c>
      <c r="C38" s="112" t="s">
        <v>1946</v>
      </c>
      <c r="D38" s="115" t="s">
        <v>1383</v>
      </c>
      <c r="E38" s="9" t="s">
        <v>575</v>
      </c>
      <c r="F38" s="110">
        <v>24000</v>
      </c>
      <c r="G38" s="113">
        <v>44671</v>
      </c>
      <c r="H38" s="22" t="s">
        <v>1949</v>
      </c>
      <c r="I38" s="6" t="s">
        <v>575</v>
      </c>
      <c r="J38" s="6" t="s">
        <v>1938</v>
      </c>
      <c r="K38" s="9" t="s">
        <v>1828</v>
      </c>
      <c r="L38" s="118" t="s">
        <v>1950</v>
      </c>
      <c r="M38" s="9" t="s">
        <v>1471</v>
      </c>
    </row>
    <row r="39" spans="1:13" ht="127.5">
      <c r="A39" s="22">
        <v>2022</v>
      </c>
      <c r="B39" s="6" t="s">
        <v>1951</v>
      </c>
      <c r="C39" s="112" t="s">
        <v>61</v>
      </c>
      <c r="D39" s="9" t="s">
        <v>575</v>
      </c>
      <c r="E39" s="9" t="s">
        <v>575</v>
      </c>
      <c r="F39" s="110">
        <v>69200</v>
      </c>
      <c r="G39" s="113">
        <v>44678</v>
      </c>
      <c r="H39" s="22" t="s">
        <v>1952</v>
      </c>
      <c r="I39" s="6" t="s">
        <v>575</v>
      </c>
      <c r="J39" s="6" t="s">
        <v>1938</v>
      </c>
      <c r="K39" s="9" t="s">
        <v>1828</v>
      </c>
      <c r="L39" s="22" t="s">
        <v>1953</v>
      </c>
      <c r="M39" s="9" t="s">
        <v>575</v>
      </c>
    </row>
    <row r="40" spans="1:13" ht="114.75">
      <c r="A40" s="22">
        <v>2022</v>
      </c>
      <c r="B40" s="6" t="s">
        <v>1075</v>
      </c>
      <c r="C40" s="112" t="s">
        <v>61</v>
      </c>
      <c r="D40" s="9" t="s">
        <v>62</v>
      </c>
      <c r="E40" s="6" t="s">
        <v>1904</v>
      </c>
      <c r="F40" s="110">
        <v>1000000</v>
      </c>
      <c r="G40" s="113">
        <v>44685</v>
      </c>
      <c r="H40" s="22" t="s">
        <v>1076</v>
      </c>
      <c r="I40" s="6" t="s">
        <v>1954</v>
      </c>
      <c r="J40" s="6" t="s">
        <v>1955</v>
      </c>
      <c r="K40" s="9" t="s">
        <v>1828</v>
      </c>
      <c r="L40" s="22" t="s">
        <v>1956</v>
      </c>
      <c r="M40" s="9" t="s">
        <v>62</v>
      </c>
    </row>
    <row r="41" spans="1:13" ht="140.25">
      <c r="A41" s="22">
        <v>2022</v>
      </c>
      <c r="B41" s="6" t="s">
        <v>1957</v>
      </c>
      <c r="C41" s="6" t="s">
        <v>1823</v>
      </c>
      <c r="D41" s="9" t="s">
        <v>62</v>
      </c>
      <c r="E41" s="9" t="s">
        <v>1150</v>
      </c>
      <c r="F41" s="110">
        <v>1504308</v>
      </c>
      <c r="G41" s="113">
        <v>44706</v>
      </c>
      <c r="H41" s="22" t="s">
        <v>1958</v>
      </c>
      <c r="I41" s="6" t="s">
        <v>1959</v>
      </c>
      <c r="J41" s="6" t="s">
        <v>1960</v>
      </c>
      <c r="K41" s="9"/>
      <c r="L41" s="22" t="s">
        <v>1961</v>
      </c>
      <c r="M41" s="9" t="s">
        <v>1111</v>
      </c>
    </row>
    <row r="42" spans="1:13" ht="51">
      <c r="A42" s="22">
        <v>2022</v>
      </c>
      <c r="B42" s="6" t="s">
        <v>1962</v>
      </c>
      <c r="C42" s="6"/>
      <c r="D42" s="9" t="s">
        <v>575</v>
      </c>
      <c r="E42" s="9"/>
      <c r="F42" s="110"/>
      <c r="G42" s="113">
        <v>44706</v>
      </c>
      <c r="H42" s="22" t="s">
        <v>1963</v>
      </c>
      <c r="I42" s="6"/>
      <c r="J42" s="6"/>
      <c r="K42" s="9"/>
      <c r="L42" s="22" t="s">
        <v>1964</v>
      </c>
      <c r="M42" s="9" t="s">
        <v>575</v>
      </c>
    </row>
    <row r="43" spans="1:13" ht="89.25">
      <c r="A43" s="22">
        <v>2022</v>
      </c>
      <c r="B43" s="6" t="s">
        <v>1965</v>
      </c>
      <c r="C43" s="112" t="s">
        <v>61</v>
      </c>
      <c r="D43" s="9" t="s">
        <v>575</v>
      </c>
      <c r="E43" s="9" t="s">
        <v>1824</v>
      </c>
      <c r="F43" s="110">
        <v>53175</v>
      </c>
      <c r="G43" s="113">
        <v>44713</v>
      </c>
      <c r="H43" s="22" t="s">
        <v>1966</v>
      </c>
      <c r="I43" s="6" t="s">
        <v>1967</v>
      </c>
      <c r="J43" s="6" t="s">
        <v>1968</v>
      </c>
      <c r="K43" s="9" t="s">
        <v>1828</v>
      </c>
      <c r="L43" s="22" t="s">
        <v>1969</v>
      </c>
      <c r="M43" s="9" t="s">
        <v>575</v>
      </c>
    </row>
    <row r="44" spans="1:13" ht="293.25">
      <c r="A44" s="22">
        <v>2022</v>
      </c>
      <c r="B44" s="6" t="s">
        <v>1970</v>
      </c>
      <c r="C44" s="112" t="s">
        <v>61</v>
      </c>
      <c r="D44" s="9" t="s">
        <v>575</v>
      </c>
      <c r="E44" s="9" t="s">
        <v>1824</v>
      </c>
      <c r="F44" s="110">
        <v>400300</v>
      </c>
      <c r="G44" s="113">
        <v>44713</v>
      </c>
      <c r="H44" s="22" t="s">
        <v>1971</v>
      </c>
      <c r="I44" s="6" t="s">
        <v>1967</v>
      </c>
      <c r="J44" s="6" t="s">
        <v>1968</v>
      </c>
      <c r="K44" s="9" t="s">
        <v>1828</v>
      </c>
      <c r="L44" s="22" t="s">
        <v>1972</v>
      </c>
      <c r="M44" s="9" t="s">
        <v>575</v>
      </c>
    </row>
    <row r="45" spans="1:13" ht="127.5">
      <c r="A45" s="22">
        <v>2022</v>
      </c>
      <c r="B45" s="6" t="s">
        <v>609</v>
      </c>
      <c r="C45" s="112" t="s">
        <v>61</v>
      </c>
      <c r="D45" s="9" t="s">
        <v>394</v>
      </c>
      <c r="E45" s="115" t="s">
        <v>1853</v>
      </c>
      <c r="F45" s="131">
        <v>419537.6</v>
      </c>
      <c r="G45" s="113">
        <v>44713</v>
      </c>
      <c r="H45" s="22" t="s">
        <v>610</v>
      </c>
      <c r="I45" s="6" t="s">
        <v>611</v>
      </c>
      <c r="J45" s="6" t="s">
        <v>1938</v>
      </c>
      <c r="K45" s="9" t="s">
        <v>1828</v>
      </c>
      <c r="L45" s="22" t="s">
        <v>1973</v>
      </c>
      <c r="M45" s="9" t="s">
        <v>394</v>
      </c>
    </row>
    <row r="46" spans="1:13" ht="204">
      <c r="A46" s="22">
        <v>2022</v>
      </c>
      <c r="B46" s="6" t="s">
        <v>1974</v>
      </c>
      <c r="C46" s="112" t="s">
        <v>1946</v>
      </c>
      <c r="D46" s="132" t="s">
        <v>1453</v>
      </c>
      <c r="E46" s="9"/>
      <c r="F46" s="110">
        <v>316600</v>
      </c>
      <c r="G46" s="113">
        <v>44720</v>
      </c>
      <c r="H46" s="22" t="s">
        <v>1975</v>
      </c>
      <c r="I46" s="6" t="s">
        <v>1453</v>
      </c>
      <c r="J46" s="6"/>
      <c r="K46" s="9"/>
      <c r="L46" s="22" t="s">
        <v>1976</v>
      </c>
      <c r="M46" s="132" t="s">
        <v>1453</v>
      </c>
    </row>
    <row r="47" spans="1:13" ht="38.25">
      <c r="A47" s="22">
        <v>2022</v>
      </c>
      <c r="B47" s="6" t="s">
        <v>1977</v>
      </c>
      <c r="C47" s="6" t="s">
        <v>1978</v>
      </c>
      <c r="D47" s="115" t="s">
        <v>1383</v>
      </c>
      <c r="E47" s="9" t="s">
        <v>1824</v>
      </c>
      <c r="F47" s="110">
        <v>400300</v>
      </c>
      <c r="G47" s="113">
        <v>44720</v>
      </c>
      <c r="H47" s="22" t="s">
        <v>1979</v>
      </c>
      <c r="I47" s="6" t="s">
        <v>575</v>
      </c>
      <c r="J47" s="6" t="s">
        <v>1938</v>
      </c>
      <c r="K47" s="9" t="s">
        <v>1828</v>
      </c>
      <c r="L47" s="22"/>
      <c r="M47" s="132" t="s">
        <v>1980</v>
      </c>
    </row>
    <row r="48" spans="1:13" ht="306">
      <c r="A48" s="22">
        <v>2022</v>
      </c>
      <c r="B48" s="6" t="s">
        <v>1078</v>
      </c>
      <c r="C48" s="112" t="s">
        <v>61</v>
      </c>
      <c r="D48" s="9" t="s">
        <v>62</v>
      </c>
      <c r="E48" s="6" t="s">
        <v>1904</v>
      </c>
      <c r="F48" s="110">
        <v>702000</v>
      </c>
      <c r="G48" s="113">
        <v>44720</v>
      </c>
      <c r="H48" s="22" t="s">
        <v>1079</v>
      </c>
      <c r="I48" s="6" t="s">
        <v>1080</v>
      </c>
      <c r="J48" s="6" t="s">
        <v>1981</v>
      </c>
      <c r="K48" s="9" t="s">
        <v>1828</v>
      </c>
      <c r="L48" s="22" t="s">
        <v>1982</v>
      </c>
      <c r="M48" s="6" t="s">
        <v>62</v>
      </c>
    </row>
    <row r="49" spans="1:13" ht="25.5">
      <c r="A49" s="22">
        <v>2022</v>
      </c>
      <c r="B49" s="6" t="s">
        <v>618</v>
      </c>
      <c r="C49" s="112" t="s">
        <v>61</v>
      </c>
      <c r="D49" s="6" t="s">
        <v>197</v>
      </c>
      <c r="E49" s="6" t="s">
        <v>1874</v>
      </c>
      <c r="F49" s="121">
        <v>2001920</v>
      </c>
      <c r="G49" s="113">
        <v>44727</v>
      </c>
      <c r="H49" s="22" t="s">
        <v>619</v>
      </c>
      <c r="I49" s="6" t="s">
        <v>620</v>
      </c>
      <c r="J49" s="133" t="s">
        <v>1983</v>
      </c>
      <c r="K49" s="6" t="s">
        <v>1916</v>
      </c>
      <c r="L49" s="22"/>
      <c r="M49" s="6" t="s">
        <v>197</v>
      </c>
    </row>
    <row r="50" spans="1:13" ht="25.5">
      <c r="A50" s="22">
        <v>2022</v>
      </c>
      <c r="B50" s="6" t="s">
        <v>621</v>
      </c>
      <c r="C50" s="112" t="s">
        <v>61</v>
      </c>
      <c r="D50" s="6" t="s">
        <v>197</v>
      </c>
      <c r="E50" s="6" t="s">
        <v>1874</v>
      </c>
      <c r="F50" s="121">
        <v>2435960</v>
      </c>
      <c r="G50" s="113">
        <v>44734</v>
      </c>
      <c r="H50" s="22" t="s">
        <v>622</v>
      </c>
      <c r="I50" s="6" t="s">
        <v>623</v>
      </c>
      <c r="J50" s="6" t="s">
        <v>1984</v>
      </c>
      <c r="K50" s="6" t="s">
        <v>1896</v>
      </c>
      <c r="L50" s="22"/>
      <c r="M50" s="6" t="s">
        <v>197</v>
      </c>
    </row>
    <row r="51" spans="1:13" ht="216.75">
      <c r="A51" s="22">
        <v>2022</v>
      </c>
      <c r="B51" s="112" t="s">
        <v>1081</v>
      </c>
      <c r="C51" s="112" t="s">
        <v>61</v>
      </c>
      <c r="D51" s="112" t="s">
        <v>76</v>
      </c>
      <c r="E51" s="6" t="s">
        <v>1904</v>
      </c>
      <c r="F51" s="120" t="s">
        <v>22</v>
      </c>
      <c r="G51" s="134">
        <v>44734</v>
      </c>
      <c r="H51" s="118" t="s">
        <v>1082</v>
      </c>
      <c r="I51" s="112" t="s">
        <v>1083</v>
      </c>
      <c r="J51" s="112" t="s">
        <v>1985</v>
      </c>
      <c r="K51" s="112" t="s">
        <v>1828</v>
      </c>
      <c r="L51" s="118" t="s">
        <v>1986</v>
      </c>
      <c r="M51" s="112" t="s">
        <v>76</v>
      </c>
    </row>
    <row r="52" spans="1:13" ht="191.25">
      <c r="A52" s="22">
        <v>2022</v>
      </c>
      <c r="B52" s="6" t="s">
        <v>1465</v>
      </c>
      <c r="C52" s="112" t="s">
        <v>61</v>
      </c>
      <c r="D52" s="6" t="s">
        <v>1420</v>
      </c>
      <c r="E52" s="6" t="s">
        <v>1862</v>
      </c>
      <c r="F52" s="121">
        <v>75130</v>
      </c>
      <c r="G52" s="7">
        <v>44734</v>
      </c>
      <c r="H52" s="22" t="s">
        <v>1466</v>
      </c>
      <c r="I52" s="6" t="s">
        <v>575</v>
      </c>
      <c r="J52" s="6" t="s">
        <v>22</v>
      </c>
      <c r="K52" s="6" t="s">
        <v>1828</v>
      </c>
      <c r="L52" s="22" t="s">
        <v>1987</v>
      </c>
      <c r="M52" s="6" t="s">
        <v>1420</v>
      </c>
    </row>
    <row r="53" spans="1:13" ht="216.75">
      <c r="A53" s="22">
        <v>2022</v>
      </c>
      <c r="B53" s="6" t="s">
        <v>1988</v>
      </c>
      <c r="C53" s="112" t="s">
        <v>1883</v>
      </c>
      <c r="D53" s="115" t="s">
        <v>1383</v>
      </c>
      <c r="E53" s="6" t="s">
        <v>1862</v>
      </c>
      <c r="F53" s="121">
        <v>1186064</v>
      </c>
      <c r="G53" s="7">
        <v>44734</v>
      </c>
      <c r="H53" s="22" t="s">
        <v>1989</v>
      </c>
      <c r="I53" s="6" t="s">
        <v>575</v>
      </c>
      <c r="J53" s="6" t="s">
        <v>22</v>
      </c>
      <c r="K53" s="6" t="s">
        <v>1828</v>
      </c>
      <c r="L53" s="22" t="s">
        <v>1990</v>
      </c>
      <c r="M53" s="6" t="s">
        <v>1383</v>
      </c>
    </row>
    <row r="54" spans="1:13" ht="153">
      <c r="A54" s="22">
        <v>2022</v>
      </c>
      <c r="B54" s="6" t="s">
        <v>1991</v>
      </c>
      <c r="C54" s="6" t="s">
        <v>1992</v>
      </c>
      <c r="D54" s="6" t="s">
        <v>1099</v>
      </c>
      <c r="E54" s="6" t="s">
        <v>1862</v>
      </c>
      <c r="F54" s="121"/>
      <c r="G54" s="7">
        <v>44734</v>
      </c>
      <c r="H54" s="22" t="s">
        <v>1993</v>
      </c>
      <c r="I54" s="6" t="s">
        <v>575</v>
      </c>
      <c r="J54" s="6" t="s">
        <v>22</v>
      </c>
      <c r="K54" s="6" t="s">
        <v>1828</v>
      </c>
      <c r="L54" s="22" t="s">
        <v>1994</v>
      </c>
      <c r="M54" s="6" t="s">
        <v>1099</v>
      </c>
    </row>
    <row r="55" spans="1:13" ht="76.5">
      <c r="A55" s="22">
        <v>2022</v>
      </c>
      <c r="B55" s="6" t="s">
        <v>1995</v>
      </c>
      <c r="C55" s="6" t="s">
        <v>1996</v>
      </c>
      <c r="D55" s="9" t="s">
        <v>62</v>
      </c>
      <c r="E55" s="6" t="s">
        <v>1862</v>
      </c>
      <c r="F55" s="121"/>
      <c r="G55" s="7">
        <v>44734</v>
      </c>
      <c r="H55" s="22" t="s">
        <v>1997</v>
      </c>
      <c r="I55" s="6" t="s">
        <v>575</v>
      </c>
      <c r="J55" s="6" t="s">
        <v>22</v>
      </c>
      <c r="K55" s="6" t="s">
        <v>1828</v>
      </c>
      <c r="L55" s="22" t="s">
        <v>1998</v>
      </c>
      <c r="M55" s="6" t="s">
        <v>62</v>
      </c>
    </row>
    <row r="56" spans="1:13" ht="153">
      <c r="A56" s="22">
        <v>2022</v>
      </c>
      <c r="B56" s="6" t="s">
        <v>1999</v>
      </c>
      <c r="C56" s="6" t="s">
        <v>1842</v>
      </c>
      <c r="D56" s="6" t="s">
        <v>22</v>
      </c>
      <c r="E56" s="6" t="s">
        <v>1862</v>
      </c>
      <c r="F56" s="121"/>
      <c r="G56" s="7">
        <v>44734</v>
      </c>
      <c r="H56" s="22" t="s">
        <v>2000</v>
      </c>
      <c r="I56" s="6" t="s">
        <v>575</v>
      </c>
      <c r="J56" s="6" t="s">
        <v>22</v>
      </c>
      <c r="K56" s="6" t="s">
        <v>1828</v>
      </c>
      <c r="L56" s="22" t="s">
        <v>2001</v>
      </c>
      <c r="M56" s="6" t="s">
        <v>22</v>
      </c>
    </row>
    <row r="57" spans="1:13" ht="165.75">
      <c r="A57" s="22">
        <v>2022</v>
      </c>
      <c r="B57" s="6" t="s">
        <v>2002</v>
      </c>
      <c r="C57" s="6" t="s">
        <v>1883</v>
      </c>
      <c r="D57" s="6" t="s">
        <v>22</v>
      </c>
      <c r="E57" s="6" t="s">
        <v>1862</v>
      </c>
      <c r="F57" s="121"/>
      <c r="G57" s="7">
        <v>44736</v>
      </c>
      <c r="H57" s="22" t="s">
        <v>2003</v>
      </c>
      <c r="I57" s="6" t="s">
        <v>575</v>
      </c>
      <c r="J57" s="6" t="s">
        <v>22</v>
      </c>
      <c r="K57" s="6" t="s">
        <v>1828</v>
      </c>
      <c r="L57" s="22" t="s">
        <v>2004</v>
      </c>
      <c r="M57" s="6" t="s">
        <v>22</v>
      </c>
    </row>
    <row r="58" spans="1:13" ht="216.75">
      <c r="A58" s="22">
        <v>2022</v>
      </c>
      <c r="B58" s="6" t="s">
        <v>2005</v>
      </c>
      <c r="C58" s="6" t="s">
        <v>2006</v>
      </c>
      <c r="D58" s="6" t="s">
        <v>22</v>
      </c>
      <c r="E58" s="6" t="s">
        <v>1862</v>
      </c>
      <c r="F58" s="121"/>
      <c r="G58" s="7">
        <v>44736</v>
      </c>
      <c r="H58" s="22" t="s">
        <v>2007</v>
      </c>
      <c r="I58" s="6" t="s">
        <v>575</v>
      </c>
      <c r="J58" s="6" t="s">
        <v>22</v>
      </c>
      <c r="K58" s="6" t="s">
        <v>1828</v>
      </c>
      <c r="L58" s="22" t="s">
        <v>2008</v>
      </c>
      <c r="M58" s="6" t="s">
        <v>22</v>
      </c>
    </row>
    <row r="59" spans="1:13" ht="153">
      <c r="A59" s="22">
        <v>2022</v>
      </c>
      <c r="B59" s="6" t="s">
        <v>1084</v>
      </c>
      <c r="C59" s="112" t="s">
        <v>61</v>
      </c>
      <c r="D59" s="9" t="s">
        <v>62</v>
      </c>
      <c r="E59" s="6" t="s">
        <v>1904</v>
      </c>
      <c r="F59" s="121">
        <v>923252</v>
      </c>
      <c r="G59" s="7">
        <v>44741</v>
      </c>
      <c r="H59" s="22" t="s">
        <v>1085</v>
      </c>
      <c r="I59" s="6" t="s">
        <v>1086</v>
      </c>
      <c r="J59" s="6" t="s">
        <v>2009</v>
      </c>
      <c r="K59" s="6" t="s">
        <v>1899</v>
      </c>
      <c r="L59" s="22" t="s">
        <v>2010</v>
      </c>
      <c r="M59" s="6" t="s">
        <v>62</v>
      </c>
    </row>
    <row r="60" spans="1:13" ht="178.5">
      <c r="A60" s="22">
        <v>2022</v>
      </c>
      <c r="B60" s="6" t="s">
        <v>1087</v>
      </c>
      <c r="C60" s="112" t="s">
        <v>61</v>
      </c>
      <c r="D60" s="9" t="s">
        <v>62</v>
      </c>
      <c r="E60" s="6" t="s">
        <v>1904</v>
      </c>
      <c r="F60" s="121">
        <v>494868.75</v>
      </c>
      <c r="G60" s="7">
        <v>44748</v>
      </c>
      <c r="H60" s="22" t="s">
        <v>1088</v>
      </c>
      <c r="I60" s="6" t="s">
        <v>1089</v>
      </c>
      <c r="J60" s="6" t="s">
        <v>2011</v>
      </c>
      <c r="K60" s="6" t="s">
        <v>1899</v>
      </c>
      <c r="L60" s="22" t="s">
        <v>2012</v>
      </c>
      <c r="M60" s="6" t="s">
        <v>62</v>
      </c>
    </row>
    <row r="61" spans="1:13" ht="25.5">
      <c r="A61" s="22">
        <v>2022</v>
      </c>
      <c r="B61" s="6" t="s">
        <v>2013</v>
      </c>
      <c r="C61" s="6" t="s">
        <v>2014</v>
      </c>
      <c r="D61" s="6" t="s">
        <v>1420</v>
      </c>
      <c r="E61" s="6" t="s">
        <v>1862</v>
      </c>
      <c r="F61" s="121"/>
      <c r="G61" s="7">
        <v>44748</v>
      </c>
      <c r="H61" s="22" t="s">
        <v>2015</v>
      </c>
      <c r="I61" s="6" t="s">
        <v>575</v>
      </c>
      <c r="J61" s="6" t="s">
        <v>22</v>
      </c>
      <c r="K61" s="6" t="s">
        <v>1828</v>
      </c>
      <c r="L61" s="22" t="s">
        <v>2016</v>
      </c>
      <c r="M61" s="6" t="s">
        <v>1420</v>
      </c>
    </row>
    <row r="62" spans="1:13" ht="38.25">
      <c r="A62" s="22">
        <v>2022</v>
      </c>
      <c r="B62" s="6" t="s">
        <v>2017</v>
      </c>
      <c r="C62" s="6" t="s">
        <v>2014</v>
      </c>
      <c r="D62" s="9" t="s">
        <v>62</v>
      </c>
      <c r="E62" s="6" t="s">
        <v>2018</v>
      </c>
      <c r="F62" s="121">
        <v>494868.75</v>
      </c>
      <c r="G62" s="7">
        <v>44755</v>
      </c>
      <c r="H62" s="22" t="s">
        <v>2019</v>
      </c>
      <c r="I62" s="6" t="s">
        <v>1089</v>
      </c>
      <c r="J62" s="6" t="s">
        <v>2011</v>
      </c>
      <c r="K62" s="6" t="s">
        <v>1899</v>
      </c>
      <c r="L62" s="22" t="s">
        <v>2016</v>
      </c>
      <c r="M62" s="6" t="s">
        <v>62</v>
      </c>
    </row>
    <row r="63" spans="1:13" ht="38.25">
      <c r="A63" s="22">
        <v>2022</v>
      </c>
      <c r="B63" s="6" t="s">
        <v>2020</v>
      </c>
      <c r="C63" s="112" t="s">
        <v>61</v>
      </c>
      <c r="D63" s="6"/>
      <c r="E63" s="6" t="s">
        <v>2018</v>
      </c>
      <c r="F63" s="121">
        <v>494868.75</v>
      </c>
      <c r="G63" s="7">
        <v>44776</v>
      </c>
      <c r="H63" s="22" t="s">
        <v>1088</v>
      </c>
      <c r="I63" s="6" t="s">
        <v>1089</v>
      </c>
      <c r="J63" s="6" t="s">
        <v>2011</v>
      </c>
      <c r="K63" s="6" t="s">
        <v>1899</v>
      </c>
      <c r="L63" s="22"/>
      <c r="M63" s="6"/>
    </row>
    <row r="64" spans="1:13" ht="38.25">
      <c r="A64" s="22">
        <v>2022</v>
      </c>
      <c r="B64" s="6" t="s">
        <v>2020</v>
      </c>
      <c r="C64" s="6"/>
      <c r="D64" s="9" t="s">
        <v>62</v>
      </c>
      <c r="E64" s="6" t="s">
        <v>2018</v>
      </c>
      <c r="F64" s="121">
        <v>494868.75</v>
      </c>
      <c r="G64" s="7">
        <v>44755</v>
      </c>
      <c r="H64" s="22" t="s">
        <v>2021</v>
      </c>
      <c r="I64" s="6" t="s">
        <v>1089</v>
      </c>
      <c r="J64" s="6" t="s">
        <v>2011</v>
      </c>
      <c r="K64" s="6" t="s">
        <v>1899</v>
      </c>
      <c r="L64" s="22" t="s">
        <v>2016</v>
      </c>
      <c r="M64" s="6" t="s">
        <v>62</v>
      </c>
    </row>
    <row r="65" spans="1:13" ht="255">
      <c r="A65" s="22">
        <v>2022</v>
      </c>
      <c r="B65" s="112" t="s">
        <v>2022</v>
      </c>
      <c r="C65" s="112" t="s">
        <v>61</v>
      </c>
      <c r="D65" s="112" t="s">
        <v>394</v>
      </c>
      <c r="E65" s="115" t="s">
        <v>1853</v>
      </c>
      <c r="F65" s="116">
        <v>0</v>
      </c>
      <c r="G65" s="134">
        <v>44776</v>
      </c>
      <c r="H65" s="118" t="s">
        <v>610</v>
      </c>
      <c r="I65" s="112" t="s">
        <v>575</v>
      </c>
      <c r="J65" s="112" t="s">
        <v>22</v>
      </c>
      <c r="K65" s="112" t="s">
        <v>1828</v>
      </c>
      <c r="L65" s="118" t="s">
        <v>2023</v>
      </c>
      <c r="M65" s="112" t="s">
        <v>394</v>
      </c>
    </row>
    <row r="66" spans="1:13" ht="38.25">
      <c r="A66" s="22">
        <v>2022</v>
      </c>
      <c r="B66" s="6" t="s">
        <v>2024</v>
      </c>
      <c r="C66" s="6" t="s">
        <v>1867</v>
      </c>
      <c r="D66" s="6" t="s">
        <v>1262</v>
      </c>
      <c r="E66" s="6" t="s">
        <v>2018</v>
      </c>
      <c r="F66" s="121"/>
      <c r="G66" s="7">
        <v>44776</v>
      </c>
      <c r="H66" s="135" t="s">
        <v>2025</v>
      </c>
      <c r="I66" s="6" t="s">
        <v>2026</v>
      </c>
      <c r="J66" s="6" t="s">
        <v>2027</v>
      </c>
      <c r="K66" s="6" t="s">
        <v>1828</v>
      </c>
      <c r="L66" s="22" t="s">
        <v>2028</v>
      </c>
      <c r="M66" s="6" t="s">
        <v>2029</v>
      </c>
    </row>
    <row r="67" spans="1:13" ht="51">
      <c r="A67" s="22">
        <v>2022</v>
      </c>
      <c r="B67" s="6" t="s">
        <v>1467</v>
      </c>
      <c r="C67" s="112" t="s">
        <v>61</v>
      </c>
      <c r="D67" s="115" t="s">
        <v>1383</v>
      </c>
      <c r="E67" s="115" t="s">
        <v>1859</v>
      </c>
      <c r="F67" s="121">
        <v>200000</v>
      </c>
      <c r="G67" s="7">
        <v>44776</v>
      </c>
      <c r="H67" s="135" t="s">
        <v>1469</v>
      </c>
      <c r="I67" s="6" t="s">
        <v>1451</v>
      </c>
      <c r="J67" s="6" t="s">
        <v>2030</v>
      </c>
      <c r="K67" s="6" t="s">
        <v>2031</v>
      </c>
      <c r="L67" s="136" t="s">
        <v>2032</v>
      </c>
      <c r="M67" s="6" t="s">
        <v>1468</v>
      </c>
    </row>
    <row r="68" spans="1:13" ht="178.5">
      <c r="A68" s="22">
        <v>2022</v>
      </c>
      <c r="B68" s="6" t="s">
        <v>2033</v>
      </c>
      <c r="C68" s="6" t="s">
        <v>2034</v>
      </c>
      <c r="D68" s="6" t="s">
        <v>22</v>
      </c>
      <c r="E68" s="6" t="s">
        <v>1862</v>
      </c>
      <c r="F68" s="121"/>
      <c r="G68" s="7">
        <v>44776</v>
      </c>
      <c r="H68" s="137" t="s">
        <v>2035</v>
      </c>
      <c r="I68" s="6" t="s">
        <v>575</v>
      </c>
      <c r="J68" s="6" t="s">
        <v>22</v>
      </c>
      <c r="K68" s="6" t="s">
        <v>1828</v>
      </c>
      <c r="L68" s="136" t="s">
        <v>2036</v>
      </c>
      <c r="M68" s="6" t="s">
        <v>22</v>
      </c>
    </row>
    <row r="69" spans="1:13" ht="216.75">
      <c r="A69" s="22">
        <v>2022</v>
      </c>
      <c r="B69" s="6" t="s">
        <v>1090</v>
      </c>
      <c r="C69" s="112" t="s">
        <v>61</v>
      </c>
      <c r="D69" s="9" t="s">
        <v>62</v>
      </c>
      <c r="E69" s="6" t="s">
        <v>1904</v>
      </c>
      <c r="F69" s="121">
        <v>998550</v>
      </c>
      <c r="G69" s="31">
        <v>44783</v>
      </c>
      <c r="H69" s="135" t="s">
        <v>2037</v>
      </c>
      <c r="I69" s="6" t="s">
        <v>1092</v>
      </c>
      <c r="J69" s="6" t="s">
        <v>2038</v>
      </c>
      <c r="K69" s="6" t="s">
        <v>1879</v>
      </c>
      <c r="L69" s="22" t="s">
        <v>2039</v>
      </c>
      <c r="M69" s="6" t="s">
        <v>62</v>
      </c>
    </row>
    <row r="70" spans="1:13" ht="204">
      <c r="A70" s="22">
        <v>2022</v>
      </c>
      <c r="B70" s="112" t="s">
        <v>612</v>
      </c>
      <c r="C70" s="112" t="s">
        <v>61</v>
      </c>
      <c r="D70" s="17" t="s">
        <v>1877</v>
      </c>
      <c r="E70" s="115" t="s">
        <v>1853</v>
      </c>
      <c r="F70" s="120">
        <v>174759.01</v>
      </c>
      <c r="G70" s="134">
        <v>44783</v>
      </c>
      <c r="H70" s="118" t="s">
        <v>613</v>
      </c>
      <c r="I70" s="112" t="s">
        <v>614</v>
      </c>
      <c r="J70" s="112" t="s">
        <v>2040</v>
      </c>
      <c r="K70" s="112" t="s">
        <v>2041</v>
      </c>
      <c r="L70" s="118" t="s">
        <v>2042</v>
      </c>
      <c r="M70" s="112" t="s">
        <v>1877</v>
      </c>
    </row>
    <row r="71" spans="1:13" ht="204">
      <c r="A71" s="22">
        <v>2022</v>
      </c>
      <c r="B71" s="112" t="s">
        <v>615</v>
      </c>
      <c r="C71" s="112" t="s">
        <v>61</v>
      </c>
      <c r="D71" s="17" t="s">
        <v>1877</v>
      </c>
      <c r="E71" s="115" t="s">
        <v>1853</v>
      </c>
      <c r="F71" s="120">
        <v>60837.599999999999</v>
      </c>
      <c r="G71" s="134">
        <v>44783</v>
      </c>
      <c r="H71" s="135" t="s">
        <v>616</v>
      </c>
      <c r="I71" s="112" t="s">
        <v>617</v>
      </c>
      <c r="J71" s="112" t="s">
        <v>2043</v>
      </c>
      <c r="K71" s="112" t="s">
        <v>1828</v>
      </c>
      <c r="L71" s="118" t="s">
        <v>2044</v>
      </c>
      <c r="M71" s="112" t="s">
        <v>1877</v>
      </c>
    </row>
    <row r="72" spans="1:13" ht="280.5">
      <c r="A72" s="22">
        <v>2022</v>
      </c>
      <c r="B72" s="6" t="s">
        <v>1470</v>
      </c>
      <c r="C72" s="112" t="s">
        <v>61</v>
      </c>
      <c r="D72" s="115" t="s">
        <v>1383</v>
      </c>
      <c r="E72" s="115" t="s">
        <v>1859</v>
      </c>
      <c r="F72" s="121">
        <v>300000</v>
      </c>
      <c r="G72" s="7">
        <v>44790</v>
      </c>
      <c r="H72" s="22" t="s">
        <v>1472</v>
      </c>
      <c r="I72" s="6" t="s">
        <v>1473</v>
      </c>
      <c r="J72" s="6"/>
      <c r="K72" s="6" t="s">
        <v>1886</v>
      </c>
      <c r="L72" s="22" t="s">
        <v>2045</v>
      </c>
      <c r="M72" s="6" t="s">
        <v>1471</v>
      </c>
    </row>
    <row r="73" spans="1:13" ht="51">
      <c r="A73" s="22">
        <v>2022</v>
      </c>
      <c r="B73" s="112" t="s">
        <v>624</v>
      </c>
      <c r="C73" s="112" t="s">
        <v>61</v>
      </c>
      <c r="D73" s="17" t="s">
        <v>1877</v>
      </c>
      <c r="E73" s="115" t="s">
        <v>1853</v>
      </c>
      <c r="F73" s="120">
        <v>31804.6</v>
      </c>
      <c r="G73" s="134">
        <v>44799</v>
      </c>
      <c r="H73" s="118" t="s">
        <v>625</v>
      </c>
      <c r="I73" s="112" t="s">
        <v>626</v>
      </c>
      <c r="J73" s="112" t="s">
        <v>2046</v>
      </c>
      <c r="K73" s="112" t="s">
        <v>2047</v>
      </c>
      <c r="L73" s="118" t="s">
        <v>2048</v>
      </c>
      <c r="M73" s="112" t="s">
        <v>1877</v>
      </c>
    </row>
    <row r="74" spans="1:13" ht="153">
      <c r="A74" s="22">
        <v>2022</v>
      </c>
      <c r="B74" s="6" t="s">
        <v>1474</v>
      </c>
      <c r="C74" s="112" t="s">
        <v>61</v>
      </c>
      <c r="D74" s="6" t="s">
        <v>1420</v>
      </c>
      <c r="E74" s="6" t="s">
        <v>1862</v>
      </c>
      <c r="F74" s="64">
        <v>219320</v>
      </c>
      <c r="G74" s="7">
        <v>44782</v>
      </c>
      <c r="H74" s="22" t="s">
        <v>1475</v>
      </c>
      <c r="I74" s="6" t="s">
        <v>575</v>
      </c>
      <c r="J74" s="6" t="s">
        <v>22</v>
      </c>
      <c r="K74" s="6" t="s">
        <v>1828</v>
      </c>
      <c r="L74" s="22" t="s">
        <v>2049</v>
      </c>
      <c r="M74" s="6" t="s">
        <v>1420</v>
      </c>
    </row>
    <row r="75" spans="1:13" ht="89.25">
      <c r="A75" s="22">
        <v>2022</v>
      </c>
      <c r="B75" s="6" t="s">
        <v>1093</v>
      </c>
      <c r="C75" s="112" t="s">
        <v>61</v>
      </c>
      <c r="D75" s="9" t="s">
        <v>62</v>
      </c>
      <c r="E75" s="6" t="s">
        <v>1904</v>
      </c>
      <c r="F75" s="121">
        <v>1503212.5</v>
      </c>
      <c r="G75" s="7">
        <v>44811</v>
      </c>
      <c r="H75" s="22" t="s">
        <v>1094</v>
      </c>
      <c r="I75" s="6" t="s">
        <v>1095</v>
      </c>
      <c r="J75" s="6" t="s">
        <v>2050</v>
      </c>
      <c r="K75" s="6" t="s">
        <v>2051</v>
      </c>
      <c r="L75" s="22" t="s">
        <v>2052</v>
      </c>
      <c r="M75" s="6" t="s">
        <v>62</v>
      </c>
    </row>
    <row r="76" spans="1:13" ht="25.5">
      <c r="A76" s="22">
        <v>2022</v>
      </c>
      <c r="B76" s="6" t="s">
        <v>2053</v>
      </c>
      <c r="C76" s="6" t="s">
        <v>1867</v>
      </c>
      <c r="D76" s="9" t="s">
        <v>62</v>
      </c>
      <c r="E76" s="6" t="s">
        <v>2018</v>
      </c>
      <c r="F76" s="121"/>
      <c r="G76" s="7">
        <v>44818</v>
      </c>
      <c r="H76" s="22" t="s">
        <v>2054</v>
      </c>
      <c r="I76" s="6" t="s">
        <v>2055</v>
      </c>
      <c r="J76" s="6" t="s">
        <v>2056</v>
      </c>
      <c r="K76" s="6" t="s">
        <v>1828</v>
      </c>
      <c r="L76" s="22" t="s">
        <v>2028</v>
      </c>
      <c r="M76" s="6" t="s">
        <v>62</v>
      </c>
    </row>
    <row r="77" spans="1:13" ht="280.5">
      <c r="A77" s="22">
        <v>2022</v>
      </c>
      <c r="B77" s="6" t="s">
        <v>1476</v>
      </c>
      <c r="C77" s="112" t="s">
        <v>61</v>
      </c>
      <c r="D77" s="115" t="s">
        <v>1383</v>
      </c>
      <c r="E77" s="115" t="s">
        <v>1859</v>
      </c>
      <c r="F77" s="121">
        <v>200000</v>
      </c>
      <c r="G77" s="7">
        <v>44818</v>
      </c>
      <c r="H77" s="22" t="s">
        <v>1477</v>
      </c>
      <c r="I77" s="6" t="s">
        <v>1478</v>
      </c>
      <c r="J77" s="6" t="s">
        <v>2057</v>
      </c>
      <c r="K77" s="6" t="s">
        <v>1879</v>
      </c>
      <c r="L77" s="22" t="s">
        <v>2058</v>
      </c>
      <c r="M77" s="6" t="s">
        <v>1468</v>
      </c>
    </row>
    <row r="78" spans="1:13" ht="255">
      <c r="A78" s="22">
        <v>2022</v>
      </c>
      <c r="B78" s="6" t="s">
        <v>1479</v>
      </c>
      <c r="C78" s="112" t="s">
        <v>61</v>
      </c>
      <c r="D78" s="115" t="s">
        <v>1383</v>
      </c>
      <c r="E78" s="115" t="s">
        <v>1859</v>
      </c>
      <c r="F78" s="121">
        <v>350500</v>
      </c>
      <c r="G78" s="7">
        <v>44818</v>
      </c>
      <c r="H78" s="22" t="s">
        <v>1481</v>
      </c>
      <c r="I78" s="6" t="s">
        <v>2059</v>
      </c>
      <c r="J78" s="6"/>
      <c r="K78" s="6" t="s">
        <v>1828</v>
      </c>
      <c r="L78" s="22" t="s">
        <v>2060</v>
      </c>
      <c r="M78" s="6" t="s">
        <v>1480</v>
      </c>
    </row>
    <row r="79" spans="1:13" ht="153">
      <c r="A79" s="22">
        <v>2022</v>
      </c>
      <c r="B79" s="6" t="s">
        <v>1483</v>
      </c>
      <c r="C79" s="112" t="s">
        <v>1926</v>
      </c>
      <c r="D79" s="6" t="s">
        <v>1420</v>
      </c>
      <c r="E79" s="6"/>
      <c r="F79" s="121" t="s">
        <v>22</v>
      </c>
      <c r="G79" s="7">
        <v>44818</v>
      </c>
      <c r="H79" s="22" t="s">
        <v>1484</v>
      </c>
      <c r="I79" s="6" t="s">
        <v>575</v>
      </c>
      <c r="J79" s="6" t="s">
        <v>22</v>
      </c>
      <c r="K79" s="6" t="s">
        <v>1828</v>
      </c>
      <c r="L79" s="22" t="s">
        <v>2061</v>
      </c>
      <c r="M79" s="6" t="s">
        <v>1420</v>
      </c>
    </row>
    <row r="80" spans="1:13" ht="153">
      <c r="A80" s="22">
        <v>2022</v>
      </c>
      <c r="B80" s="6" t="s">
        <v>633</v>
      </c>
      <c r="C80" s="112" t="s">
        <v>61</v>
      </c>
      <c r="D80" s="6" t="s">
        <v>125</v>
      </c>
      <c r="E80" s="6" t="s">
        <v>1874</v>
      </c>
      <c r="F80" s="121">
        <v>2251504</v>
      </c>
      <c r="G80" s="7">
        <v>44825</v>
      </c>
      <c r="H80" s="22" t="s">
        <v>634</v>
      </c>
      <c r="I80" s="6" t="s">
        <v>635</v>
      </c>
      <c r="J80" s="6" t="s">
        <v>2062</v>
      </c>
      <c r="K80" s="6" t="s">
        <v>1919</v>
      </c>
      <c r="L80" s="22" t="s">
        <v>2063</v>
      </c>
      <c r="M80" s="6" t="s">
        <v>125</v>
      </c>
    </row>
    <row r="81" spans="1:13" ht="102">
      <c r="A81" s="22">
        <v>2022</v>
      </c>
      <c r="B81" s="112" t="s">
        <v>627</v>
      </c>
      <c r="C81" s="112" t="s">
        <v>61</v>
      </c>
      <c r="D81" s="17" t="s">
        <v>1877</v>
      </c>
      <c r="E81" s="115" t="s">
        <v>1853</v>
      </c>
      <c r="F81" s="120">
        <v>10160</v>
      </c>
      <c r="G81" s="134">
        <v>44825</v>
      </c>
      <c r="H81" s="118" t="s">
        <v>628</v>
      </c>
      <c r="I81" s="112" t="s">
        <v>629</v>
      </c>
      <c r="J81" s="112" t="s">
        <v>2064</v>
      </c>
      <c r="K81" s="112" t="s">
        <v>2031</v>
      </c>
      <c r="L81" s="118" t="s">
        <v>2065</v>
      </c>
      <c r="M81" s="112" t="s">
        <v>1877</v>
      </c>
    </row>
    <row r="82" spans="1:13" ht="127.5">
      <c r="A82" s="22">
        <v>2022</v>
      </c>
      <c r="B82" s="6" t="s">
        <v>639</v>
      </c>
      <c r="C82" s="112"/>
      <c r="D82" s="6" t="s">
        <v>586</v>
      </c>
      <c r="E82" s="6" t="s">
        <v>1874</v>
      </c>
      <c r="F82" s="121">
        <v>17575</v>
      </c>
      <c r="G82" s="7">
        <v>44825</v>
      </c>
      <c r="H82" s="22" t="s">
        <v>640</v>
      </c>
      <c r="I82" s="6" t="s">
        <v>641</v>
      </c>
      <c r="J82" s="6" t="s">
        <v>2066</v>
      </c>
      <c r="K82" s="6" t="s">
        <v>1886</v>
      </c>
      <c r="L82" s="22" t="s">
        <v>2067</v>
      </c>
      <c r="M82" s="6" t="s">
        <v>586</v>
      </c>
    </row>
    <row r="83" spans="1:13" ht="280.5">
      <c r="A83" s="22">
        <v>2022</v>
      </c>
      <c r="B83" s="6" t="s">
        <v>1096</v>
      </c>
      <c r="C83" s="112" t="s">
        <v>61</v>
      </c>
      <c r="D83" s="9" t="s">
        <v>62</v>
      </c>
      <c r="E83" s="6" t="s">
        <v>1904</v>
      </c>
      <c r="F83" s="121">
        <v>1000000</v>
      </c>
      <c r="G83" s="7">
        <v>44826</v>
      </c>
      <c r="H83" s="22" t="s">
        <v>1097</v>
      </c>
      <c r="I83" s="6" t="s">
        <v>1095</v>
      </c>
      <c r="J83" s="6" t="s">
        <v>2068</v>
      </c>
      <c r="K83" s="6" t="s">
        <v>2051</v>
      </c>
      <c r="L83" s="22" t="s">
        <v>2069</v>
      </c>
      <c r="M83" s="6" t="s">
        <v>62</v>
      </c>
    </row>
    <row r="84" spans="1:13" ht="216.75">
      <c r="A84" s="22">
        <v>2022</v>
      </c>
      <c r="B84" s="112" t="s">
        <v>630</v>
      </c>
      <c r="C84" s="112" t="s">
        <v>61</v>
      </c>
      <c r="D84" s="17" t="s">
        <v>1877</v>
      </c>
      <c r="E84" s="115" t="s">
        <v>1853</v>
      </c>
      <c r="F84" s="120">
        <v>199727</v>
      </c>
      <c r="G84" s="134">
        <v>44832</v>
      </c>
      <c r="H84" s="118" t="s">
        <v>631</v>
      </c>
      <c r="I84" s="112" t="s">
        <v>632</v>
      </c>
      <c r="J84" s="112" t="s">
        <v>2070</v>
      </c>
      <c r="K84" s="112" t="s">
        <v>1899</v>
      </c>
      <c r="L84" s="118" t="s">
        <v>2071</v>
      </c>
      <c r="M84" s="112" t="s">
        <v>1877</v>
      </c>
    </row>
    <row r="85" spans="1:13" ht="178.5">
      <c r="A85" s="22">
        <v>2022</v>
      </c>
      <c r="B85" s="112" t="s">
        <v>636</v>
      </c>
      <c r="C85" s="112" t="s">
        <v>61</v>
      </c>
      <c r="D85" s="17" t="s">
        <v>1877</v>
      </c>
      <c r="E85" s="115" t="s">
        <v>1853</v>
      </c>
      <c r="F85" s="120">
        <v>199950</v>
      </c>
      <c r="G85" s="134">
        <v>44832</v>
      </c>
      <c r="H85" s="118" t="s">
        <v>637</v>
      </c>
      <c r="I85" s="112" t="s">
        <v>638</v>
      </c>
      <c r="J85" s="112" t="s">
        <v>2072</v>
      </c>
      <c r="K85" s="112" t="s">
        <v>1879</v>
      </c>
      <c r="L85" s="118" t="s">
        <v>2073</v>
      </c>
      <c r="M85" s="112" t="s">
        <v>1877</v>
      </c>
    </row>
    <row r="86" spans="1:13" ht="216.75">
      <c r="A86" s="22">
        <v>2022</v>
      </c>
      <c r="B86" s="112" t="s">
        <v>642</v>
      </c>
      <c r="C86" s="112" t="s">
        <v>61</v>
      </c>
      <c r="D86" s="17" t="s">
        <v>1877</v>
      </c>
      <c r="E86" s="115" t="s">
        <v>1853</v>
      </c>
      <c r="F86" s="120">
        <v>48250</v>
      </c>
      <c r="G86" s="134">
        <v>44832</v>
      </c>
      <c r="H86" s="118" t="s">
        <v>643</v>
      </c>
      <c r="I86" s="112" t="s">
        <v>644</v>
      </c>
      <c r="J86" s="112" t="s">
        <v>2072</v>
      </c>
      <c r="K86" s="112" t="s">
        <v>1879</v>
      </c>
      <c r="L86" s="118" t="s">
        <v>2074</v>
      </c>
      <c r="M86" s="112" t="s">
        <v>1877</v>
      </c>
    </row>
    <row r="87" spans="1:13" ht="178.5">
      <c r="A87" s="22">
        <v>2022</v>
      </c>
      <c r="B87" s="112" t="s">
        <v>645</v>
      </c>
      <c r="C87" s="112" t="s">
        <v>61</v>
      </c>
      <c r="D87" s="17" t="s">
        <v>1877</v>
      </c>
      <c r="E87" s="115" t="s">
        <v>1853</v>
      </c>
      <c r="F87" s="120">
        <v>27532</v>
      </c>
      <c r="G87" s="134">
        <v>44832</v>
      </c>
      <c r="H87" s="118" t="s">
        <v>646</v>
      </c>
      <c r="I87" s="112" t="s">
        <v>647</v>
      </c>
      <c r="J87" s="112" t="s">
        <v>2075</v>
      </c>
      <c r="K87" s="115" t="s">
        <v>1899</v>
      </c>
      <c r="L87" s="118" t="s">
        <v>2076</v>
      </c>
      <c r="M87" s="112" t="s">
        <v>1877</v>
      </c>
    </row>
    <row r="88" spans="1:13" ht="267.75">
      <c r="A88" s="22">
        <v>2022</v>
      </c>
      <c r="B88" s="6" t="s">
        <v>2077</v>
      </c>
      <c r="C88" s="112" t="s">
        <v>61</v>
      </c>
      <c r="D88" s="6" t="s">
        <v>2078</v>
      </c>
      <c r="E88" s="6"/>
      <c r="F88" s="121"/>
      <c r="G88" s="138">
        <v>44832</v>
      </c>
      <c r="H88" s="22" t="s">
        <v>2079</v>
      </c>
      <c r="I88" s="6" t="s">
        <v>575</v>
      </c>
      <c r="J88" s="6" t="s">
        <v>22</v>
      </c>
      <c r="K88" s="6" t="s">
        <v>1828</v>
      </c>
      <c r="L88" s="22" t="s">
        <v>2080</v>
      </c>
      <c r="M88" s="6" t="s">
        <v>2078</v>
      </c>
    </row>
    <row r="89" spans="1:13" ht="229.5">
      <c r="A89" s="22">
        <v>2022</v>
      </c>
      <c r="B89" s="6" t="s">
        <v>1098</v>
      </c>
      <c r="C89" s="112" t="s">
        <v>61</v>
      </c>
      <c r="D89" s="6" t="s">
        <v>1099</v>
      </c>
      <c r="E89" s="6" t="s">
        <v>1904</v>
      </c>
      <c r="F89" s="121">
        <v>225000</v>
      </c>
      <c r="G89" s="7">
        <v>44832</v>
      </c>
      <c r="H89" s="22" t="s">
        <v>1100</v>
      </c>
      <c r="I89" s="6" t="s">
        <v>1101</v>
      </c>
      <c r="J89" s="6" t="s">
        <v>2081</v>
      </c>
      <c r="K89" s="6" t="s">
        <v>2082</v>
      </c>
      <c r="L89" s="22" t="s">
        <v>2083</v>
      </c>
      <c r="M89" s="6" t="s">
        <v>1099</v>
      </c>
    </row>
    <row r="90" spans="1:13" ht="89.25">
      <c r="A90" s="22">
        <v>2022</v>
      </c>
      <c r="B90" s="6" t="s">
        <v>1485</v>
      </c>
      <c r="C90" s="112" t="s">
        <v>61</v>
      </c>
      <c r="D90" s="115" t="s">
        <v>1383</v>
      </c>
      <c r="E90" s="115" t="s">
        <v>1859</v>
      </c>
      <c r="F90" s="121">
        <v>300000</v>
      </c>
      <c r="G90" s="7">
        <v>44839</v>
      </c>
      <c r="H90" s="22" t="s">
        <v>1486</v>
      </c>
      <c r="I90" s="6" t="s">
        <v>650</v>
      </c>
      <c r="J90" s="6" t="s">
        <v>2084</v>
      </c>
      <c r="K90" s="6" t="s">
        <v>2085</v>
      </c>
      <c r="L90" s="22" t="s">
        <v>2086</v>
      </c>
      <c r="M90" s="6" t="s">
        <v>1471</v>
      </c>
    </row>
    <row r="91" spans="1:13" ht="357">
      <c r="A91" s="22">
        <v>2022</v>
      </c>
      <c r="B91" s="6" t="s">
        <v>1487</v>
      </c>
      <c r="C91" s="112" t="s">
        <v>61</v>
      </c>
      <c r="D91" s="115" t="s">
        <v>1383</v>
      </c>
      <c r="E91" s="115" t="s">
        <v>1859</v>
      </c>
      <c r="F91" s="121">
        <v>200000</v>
      </c>
      <c r="G91" s="7">
        <v>44839</v>
      </c>
      <c r="H91" s="22" t="s">
        <v>1488</v>
      </c>
      <c r="I91" s="6" t="s">
        <v>650</v>
      </c>
      <c r="J91" s="6" t="s">
        <v>2084</v>
      </c>
      <c r="K91" s="6" t="s">
        <v>2085</v>
      </c>
      <c r="L91" s="22" t="s">
        <v>2087</v>
      </c>
      <c r="M91" s="6" t="s">
        <v>1468</v>
      </c>
    </row>
    <row r="92" spans="1:13" ht="191.25">
      <c r="A92" s="22">
        <v>2022</v>
      </c>
      <c r="B92" s="112" t="s">
        <v>648</v>
      </c>
      <c r="C92" s="112" t="s">
        <v>61</v>
      </c>
      <c r="D92" s="112" t="s">
        <v>394</v>
      </c>
      <c r="E92" s="115" t="s">
        <v>1853</v>
      </c>
      <c r="F92" s="116">
        <v>37075</v>
      </c>
      <c r="G92" s="134">
        <v>44839</v>
      </c>
      <c r="H92" s="118" t="s">
        <v>649</v>
      </c>
      <c r="I92" s="112" t="s">
        <v>650</v>
      </c>
      <c r="J92" s="112" t="s">
        <v>2084</v>
      </c>
      <c r="K92" s="112" t="s">
        <v>2085</v>
      </c>
      <c r="L92" s="118" t="s">
        <v>2088</v>
      </c>
      <c r="M92" s="112" t="s">
        <v>394</v>
      </c>
    </row>
    <row r="93" spans="1:13" ht="178.5">
      <c r="A93" s="22">
        <v>2022</v>
      </c>
      <c r="B93" s="112" t="s">
        <v>2089</v>
      </c>
      <c r="C93" s="112" t="s">
        <v>61</v>
      </c>
      <c r="D93" s="115" t="s">
        <v>1383</v>
      </c>
      <c r="E93" s="115" t="s">
        <v>1859</v>
      </c>
      <c r="F93" s="121">
        <v>200000</v>
      </c>
      <c r="G93" s="7">
        <v>44844</v>
      </c>
      <c r="H93" s="22" t="s">
        <v>2090</v>
      </c>
      <c r="I93" s="6" t="s">
        <v>1502</v>
      </c>
      <c r="J93" s="6" t="s">
        <v>2091</v>
      </c>
      <c r="K93" s="139" t="s">
        <v>2051</v>
      </c>
      <c r="L93" s="22" t="s">
        <v>2092</v>
      </c>
      <c r="M93" s="6" t="s">
        <v>2093</v>
      </c>
    </row>
    <row r="94" spans="1:13" ht="12.75">
      <c r="A94" s="22">
        <v>2022</v>
      </c>
      <c r="B94" s="6" t="s">
        <v>1102</v>
      </c>
      <c r="C94" s="112" t="s">
        <v>61</v>
      </c>
      <c r="D94" s="140" t="s">
        <v>1099</v>
      </c>
      <c r="E94" s="6" t="s">
        <v>1904</v>
      </c>
      <c r="F94" s="110">
        <v>186356</v>
      </c>
      <c r="G94" s="111">
        <v>44846</v>
      </c>
      <c r="H94" s="22" t="s">
        <v>1103</v>
      </c>
      <c r="I94" s="6" t="s">
        <v>1104</v>
      </c>
      <c r="J94" s="9" t="s">
        <v>2094</v>
      </c>
      <c r="K94" s="9" t="s">
        <v>2041</v>
      </c>
      <c r="L94" s="140"/>
      <c r="M94" s="9" t="s">
        <v>1099</v>
      </c>
    </row>
    <row r="95" spans="1:13" ht="38.25">
      <c r="A95" s="22">
        <v>2022</v>
      </c>
      <c r="B95" s="112" t="s">
        <v>651</v>
      </c>
      <c r="C95" s="112" t="s">
        <v>61</v>
      </c>
      <c r="D95" s="6" t="s">
        <v>652</v>
      </c>
      <c r="E95" s="6" t="s">
        <v>1874</v>
      </c>
      <c r="F95" s="141">
        <v>14793</v>
      </c>
      <c r="G95" s="134">
        <v>44846</v>
      </c>
      <c r="H95" s="118" t="s">
        <v>653</v>
      </c>
      <c r="I95" s="112" t="s">
        <v>654</v>
      </c>
      <c r="J95" s="112" t="s">
        <v>2095</v>
      </c>
      <c r="K95" s="6" t="s">
        <v>1886</v>
      </c>
      <c r="L95" s="118"/>
      <c r="M95" s="112" t="s">
        <v>652</v>
      </c>
    </row>
    <row r="96" spans="1:13" ht="63.75">
      <c r="A96" s="22">
        <v>2022</v>
      </c>
      <c r="B96" s="112" t="s">
        <v>655</v>
      </c>
      <c r="C96" s="112" t="s">
        <v>61</v>
      </c>
      <c r="D96" s="17" t="s">
        <v>1877</v>
      </c>
      <c r="E96" s="115" t="s">
        <v>1853</v>
      </c>
      <c r="F96" s="120">
        <v>19555</v>
      </c>
      <c r="G96" s="134">
        <v>44846</v>
      </c>
      <c r="H96" s="118" t="s">
        <v>656</v>
      </c>
      <c r="I96" s="112" t="s">
        <v>657</v>
      </c>
      <c r="J96" s="112" t="s">
        <v>2096</v>
      </c>
      <c r="K96" s="112" t="s">
        <v>2047</v>
      </c>
      <c r="L96" s="118" t="s">
        <v>2097</v>
      </c>
      <c r="M96" s="112" t="s">
        <v>1877</v>
      </c>
    </row>
    <row r="97" spans="1:13" ht="140.25">
      <c r="A97" s="22">
        <v>2022</v>
      </c>
      <c r="B97" s="112" t="s">
        <v>658</v>
      </c>
      <c r="C97" s="112" t="s">
        <v>61</v>
      </c>
      <c r="D97" s="17" t="s">
        <v>1877</v>
      </c>
      <c r="E97" s="115" t="s">
        <v>1853</v>
      </c>
      <c r="F97" s="120">
        <v>194052.75</v>
      </c>
      <c r="G97" s="134">
        <v>44846</v>
      </c>
      <c r="H97" s="118" t="s">
        <v>659</v>
      </c>
      <c r="I97" s="112" t="s">
        <v>660</v>
      </c>
      <c r="J97" s="112" t="s">
        <v>2098</v>
      </c>
      <c r="K97" s="6" t="s">
        <v>1886</v>
      </c>
      <c r="L97" s="118" t="s">
        <v>2099</v>
      </c>
      <c r="M97" s="112" t="s">
        <v>1877</v>
      </c>
    </row>
    <row r="98" spans="1:13" ht="127.5">
      <c r="A98" s="22">
        <v>2022</v>
      </c>
      <c r="B98" s="6" t="s">
        <v>667</v>
      </c>
      <c r="C98" s="112" t="s">
        <v>61</v>
      </c>
      <c r="D98" s="6" t="s">
        <v>125</v>
      </c>
      <c r="E98" s="6" t="s">
        <v>1874</v>
      </c>
      <c r="F98" s="121">
        <v>2501824</v>
      </c>
      <c r="G98" s="7">
        <v>44847</v>
      </c>
      <c r="H98" s="22" t="s">
        <v>668</v>
      </c>
      <c r="I98" s="6" t="s">
        <v>669</v>
      </c>
      <c r="J98" s="6" t="s">
        <v>2100</v>
      </c>
      <c r="K98" s="6" t="s">
        <v>2031</v>
      </c>
      <c r="L98" s="22" t="s">
        <v>2101</v>
      </c>
      <c r="M98" s="6" t="s">
        <v>125</v>
      </c>
    </row>
    <row r="99" spans="1:13" ht="12.75">
      <c r="A99" s="22">
        <v>2022</v>
      </c>
      <c r="B99" s="6" t="s">
        <v>2102</v>
      </c>
      <c r="C99" s="6"/>
      <c r="D99" s="6"/>
      <c r="E99" s="6"/>
      <c r="F99" s="121"/>
      <c r="G99" s="7"/>
      <c r="H99" s="22"/>
      <c r="I99" s="6"/>
      <c r="J99" s="6"/>
      <c r="K99" s="6"/>
      <c r="L99" s="22"/>
      <c r="M99" s="6"/>
    </row>
    <row r="100" spans="1:13" ht="229.5">
      <c r="A100" s="22">
        <v>2022</v>
      </c>
      <c r="B100" s="6" t="s">
        <v>1489</v>
      </c>
      <c r="C100" s="112" t="s">
        <v>61</v>
      </c>
      <c r="D100" s="115" t="s">
        <v>1383</v>
      </c>
      <c r="E100" s="115" t="s">
        <v>1859</v>
      </c>
      <c r="F100" s="121">
        <v>200000</v>
      </c>
      <c r="G100" s="7">
        <v>44853</v>
      </c>
      <c r="H100" s="22" t="s">
        <v>1490</v>
      </c>
      <c r="I100" s="6" t="s">
        <v>1491</v>
      </c>
      <c r="J100" s="6"/>
      <c r="K100" s="6" t="s">
        <v>2041</v>
      </c>
      <c r="L100" s="22" t="s">
        <v>2103</v>
      </c>
      <c r="M100" s="6" t="s">
        <v>1468</v>
      </c>
    </row>
    <row r="101" spans="1:13" ht="306">
      <c r="A101" s="22">
        <v>2022</v>
      </c>
      <c r="B101" s="6" t="s">
        <v>1492</v>
      </c>
      <c r="C101" s="112" t="s">
        <v>61</v>
      </c>
      <c r="D101" s="115" t="s">
        <v>1383</v>
      </c>
      <c r="E101" s="115" t="s">
        <v>1859</v>
      </c>
      <c r="F101" s="121">
        <v>1720880</v>
      </c>
      <c r="G101" s="7">
        <v>44853</v>
      </c>
      <c r="H101" s="22" t="s">
        <v>1493</v>
      </c>
      <c r="I101" s="6" t="s">
        <v>2104</v>
      </c>
      <c r="J101" s="6"/>
      <c r="K101" s="6" t="s">
        <v>1828</v>
      </c>
      <c r="L101" s="22" t="s">
        <v>2105</v>
      </c>
      <c r="M101" s="6" t="s">
        <v>1480</v>
      </c>
    </row>
    <row r="102" spans="1:13" ht="165.75">
      <c r="A102" s="22">
        <v>2022</v>
      </c>
      <c r="B102" s="112" t="s">
        <v>661</v>
      </c>
      <c r="C102" s="112" t="s">
        <v>61</v>
      </c>
      <c r="D102" s="17" t="s">
        <v>1877</v>
      </c>
      <c r="E102" s="115" t="s">
        <v>1853</v>
      </c>
      <c r="F102" s="120">
        <v>24430</v>
      </c>
      <c r="G102" s="134">
        <v>44853</v>
      </c>
      <c r="H102" s="118" t="s">
        <v>662</v>
      </c>
      <c r="I102" s="112" t="s">
        <v>663</v>
      </c>
      <c r="J102" s="112" t="s">
        <v>2106</v>
      </c>
      <c r="K102" s="112" t="s">
        <v>1879</v>
      </c>
      <c r="L102" s="118" t="s">
        <v>2107</v>
      </c>
      <c r="M102" s="112" t="s">
        <v>1877</v>
      </c>
    </row>
    <row r="103" spans="1:13" ht="242.25">
      <c r="A103" s="22">
        <v>2022</v>
      </c>
      <c r="B103" s="112" t="s">
        <v>664</v>
      </c>
      <c r="C103" s="112" t="s">
        <v>61</v>
      </c>
      <c r="D103" s="17" t="s">
        <v>1877</v>
      </c>
      <c r="E103" s="115" t="s">
        <v>1853</v>
      </c>
      <c r="F103" s="120">
        <v>8500</v>
      </c>
      <c r="G103" s="134">
        <v>44853</v>
      </c>
      <c r="H103" s="118" t="s">
        <v>665</v>
      </c>
      <c r="I103" s="112" t="s">
        <v>666</v>
      </c>
      <c r="J103" s="112" t="s">
        <v>2108</v>
      </c>
      <c r="K103" s="112" t="s">
        <v>1855</v>
      </c>
      <c r="L103" s="118" t="s">
        <v>2109</v>
      </c>
      <c r="M103" s="112" t="s">
        <v>1877</v>
      </c>
    </row>
    <row r="104" spans="1:13" ht="178.5">
      <c r="A104" s="22">
        <v>2022</v>
      </c>
      <c r="B104" s="112" t="s">
        <v>670</v>
      </c>
      <c r="C104" s="112" t="s">
        <v>61</v>
      </c>
      <c r="D104" s="17" t="s">
        <v>1877</v>
      </c>
      <c r="E104" s="115" t="s">
        <v>1853</v>
      </c>
      <c r="F104" s="120">
        <v>151700</v>
      </c>
      <c r="G104" s="134">
        <v>44853</v>
      </c>
      <c r="H104" s="118" t="s">
        <v>671</v>
      </c>
      <c r="I104" s="112" t="s">
        <v>672</v>
      </c>
      <c r="J104" s="112" t="s">
        <v>135</v>
      </c>
      <c r="K104" s="112" t="s">
        <v>1828</v>
      </c>
      <c r="L104" s="118" t="s">
        <v>2110</v>
      </c>
      <c r="M104" s="112" t="s">
        <v>1877</v>
      </c>
    </row>
    <row r="105" spans="1:13" ht="38.25">
      <c r="A105" s="22">
        <v>2022</v>
      </c>
      <c r="B105" s="6" t="s">
        <v>2111</v>
      </c>
      <c r="C105" s="112" t="s">
        <v>1883</v>
      </c>
      <c r="D105" s="6" t="s">
        <v>586</v>
      </c>
      <c r="E105" s="6" t="s">
        <v>1874</v>
      </c>
      <c r="F105" s="121">
        <v>5000</v>
      </c>
      <c r="G105" s="7">
        <v>44860</v>
      </c>
      <c r="H105" s="22" t="s">
        <v>587</v>
      </c>
      <c r="I105" s="6" t="s">
        <v>641</v>
      </c>
      <c r="J105" s="6" t="s">
        <v>2112</v>
      </c>
      <c r="K105" s="6" t="s">
        <v>1828</v>
      </c>
      <c r="L105" s="22"/>
      <c r="M105" s="6" t="s">
        <v>586</v>
      </c>
    </row>
    <row r="106" spans="1:13" ht="204">
      <c r="A106" s="22">
        <v>2022</v>
      </c>
      <c r="B106" s="112" t="s">
        <v>2111</v>
      </c>
      <c r="C106" s="112" t="s">
        <v>2113</v>
      </c>
      <c r="D106" s="6" t="s">
        <v>586</v>
      </c>
      <c r="E106" s="6" t="s">
        <v>1874</v>
      </c>
      <c r="F106" s="121">
        <v>5000</v>
      </c>
      <c r="G106" s="7">
        <v>44860</v>
      </c>
      <c r="H106" s="22" t="s">
        <v>2114</v>
      </c>
      <c r="I106" s="6" t="s">
        <v>588</v>
      </c>
      <c r="J106" s="6" t="s">
        <v>2112</v>
      </c>
      <c r="K106" s="6" t="s">
        <v>1886</v>
      </c>
      <c r="L106" s="22" t="s">
        <v>2115</v>
      </c>
      <c r="M106" s="6" t="s">
        <v>586</v>
      </c>
    </row>
    <row r="107" spans="1:13" ht="140.25">
      <c r="A107" s="22">
        <v>2022</v>
      </c>
      <c r="B107" s="112" t="s">
        <v>673</v>
      </c>
      <c r="C107" s="112" t="s">
        <v>61</v>
      </c>
      <c r="D107" s="17" t="s">
        <v>1877</v>
      </c>
      <c r="E107" s="115" t="s">
        <v>1853</v>
      </c>
      <c r="F107" s="120">
        <v>39600</v>
      </c>
      <c r="G107" s="134">
        <v>44860</v>
      </c>
      <c r="H107" s="118" t="s">
        <v>674</v>
      </c>
      <c r="I107" s="112" t="s">
        <v>675</v>
      </c>
      <c r="J107" s="112" t="s">
        <v>2116</v>
      </c>
      <c r="K107" s="112" t="s">
        <v>1879</v>
      </c>
      <c r="L107" s="118" t="s">
        <v>2117</v>
      </c>
      <c r="M107" s="112" t="s">
        <v>1877</v>
      </c>
    </row>
    <row r="108" spans="1:13" ht="102">
      <c r="A108" s="22">
        <v>2022</v>
      </c>
      <c r="B108" s="112" t="s">
        <v>676</v>
      </c>
      <c r="C108" s="112" t="s">
        <v>61</v>
      </c>
      <c r="D108" s="17" t="s">
        <v>1877</v>
      </c>
      <c r="E108" s="115" t="s">
        <v>1853</v>
      </c>
      <c r="F108" s="120">
        <v>94130</v>
      </c>
      <c r="G108" s="134">
        <v>44860</v>
      </c>
      <c r="H108" s="118" t="s">
        <v>677</v>
      </c>
      <c r="I108" s="112" t="s">
        <v>678</v>
      </c>
      <c r="J108" s="112" t="s">
        <v>2118</v>
      </c>
      <c r="K108" s="6" t="s">
        <v>1886</v>
      </c>
      <c r="L108" s="118" t="s">
        <v>2119</v>
      </c>
      <c r="M108" s="112" t="s">
        <v>1877</v>
      </c>
    </row>
    <row r="109" spans="1:13" ht="76.5">
      <c r="A109" s="22">
        <v>2022</v>
      </c>
      <c r="B109" s="112" t="s">
        <v>679</v>
      </c>
      <c r="C109" s="112" t="s">
        <v>61</v>
      </c>
      <c r="D109" s="17" t="s">
        <v>1877</v>
      </c>
      <c r="E109" s="115" t="s">
        <v>1853</v>
      </c>
      <c r="F109" s="120">
        <v>151870</v>
      </c>
      <c r="G109" s="134">
        <v>44860</v>
      </c>
      <c r="H109" s="118" t="s">
        <v>680</v>
      </c>
      <c r="I109" s="112" t="s">
        <v>681</v>
      </c>
      <c r="J109" s="112" t="s">
        <v>2120</v>
      </c>
      <c r="K109" s="6" t="s">
        <v>1886</v>
      </c>
      <c r="L109" s="118" t="s">
        <v>2121</v>
      </c>
      <c r="M109" s="112" t="s">
        <v>1877</v>
      </c>
    </row>
    <row r="110" spans="1:13" ht="38.25">
      <c r="A110" s="22">
        <v>2022</v>
      </c>
      <c r="B110" s="6" t="s">
        <v>1105</v>
      </c>
      <c r="C110" s="112" t="s">
        <v>61</v>
      </c>
      <c r="D110" s="6" t="s">
        <v>1099</v>
      </c>
      <c r="E110" s="6" t="s">
        <v>1904</v>
      </c>
      <c r="F110" s="121">
        <v>50876.800000000003</v>
      </c>
      <c r="G110" s="7">
        <v>44875</v>
      </c>
      <c r="H110" s="22" t="s">
        <v>1106</v>
      </c>
      <c r="I110" s="6" t="s">
        <v>1107</v>
      </c>
      <c r="J110" s="6" t="s">
        <v>2122</v>
      </c>
      <c r="K110" s="6" t="s">
        <v>2082</v>
      </c>
      <c r="L110" s="22"/>
      <c r="M110" s="6" t="s">
        <v>1099</v>
      </c>
    </row>
    <row r="111" spans="1:13" ht="38.25">
      <c r="A111" s="22">
        <v>2022</v>
      </c>
      <c r="B111" s="6" t="s">
        <v>2123</v>
      </c>
      <c r="C111" s="6" t="s">
        <v>1883</v>
      </c>
      <c r="D111" s="17" t="s">
        <v>1877</v>
      </c>
      <c r="E111" s="115" t="s">
        <v>1853</v>
      </c>
      <c r="F111" s="121"/>
      <c r="G111" s="7">
        <v>44875</v>
      </c>
      <c r="H111" s="22" t="s">
        <v>2124</v>
      </c>
      <c r="I111" s="6" t="s">
        <v>2125</v>
      </c>
      <c r="J111" s="6"/>
      <c r="K111" s="6" t="s">
        <v>2041</v>
      </c>
      <c r="L111" s="22"/>
      <c r="M111" s="6" t="s">
        <v>1877</v>
      </c>
    </row>
    <row r="112" spans="1:13" ht="76.5">
      <c r="A112" s="22">
        <v>2022</v>
      </c>
      <c r="B112" s="112" t="s">
        <v>682</v>
      </c>
      <c r="C112" s="112" t="s">
        <v>61</v>
      </c>
      <c r="D112" s="112" t="s">
        <v>68</v>
      </c>
      <c r="E112" s="6" t="s">
        <v>1874</v>
      </c>
      <c r="F112" s="120">
        <v>73200</v>
      </c>
      <c r="G112" s="134">
        <v>44875</v>
      </c>
      <c r="H112" s="118" t="s">
        <v>683</v>
      </c>
      <c r="I112" s="112" t="s">
        <v>684</v>
      </c>
      <c r="J112" s="112" t="s">
        <v>2126</v>
      </c>
      <c r="K112" s="112" t="s">
        <v>2031</v>
      </c>
      <c r="L112" s="118" t="s">
        <v>2127</v>
      </c>
      <c r="M112" s="112" t="s">
        <v>68</v>
      </c>
    </row>
    <row r="113" spans="1:13" ht="12.75">
      <c r="A113" s="22">
        <v>2022</v>
      </c>
      <c r="B113" s="112"/>
      <c r="C113" s="112"/>
      <c r="D113" s="112"/>
      <c r="E113" s="112"/>
      <c r="F113" s="120">
        <f>SUM(F112,F109,F108,F107,F104,F103,F102,F97,F96,F95,F87,F86)</f>
        <v>847612.75</v>
      </c>
      <c r="G113" s="134"/>
      <c r="H113" s="118"/>
      <c r="I113" s="112"/>
      <c r="J113" s="112"/>
      <c r="K113" s="112"/>
      <c r="L113" s="118"/>
      <c r="M113" s="112"/>
    </row>
    <row r="114" spans="1:13" ht="25.5">
      <c r="A114" s="22">
        <v>2022</v>
      </c>
      <c r="B114" s="6" t="s">
        <v>1108</v>
      </c>
      <c r="C114" s="112" t="s">
        <v>61</v>
      </c>
      <c r="D114" s="140" t="s">
        <v>62</v>
      </c>
      <c r="E114" s="6" t="s">
        <v>1904</v>
      </c>
      <c r="F114" s="121">
        <v>1534670</v>
      </c>
      <c r="G114" s="7">
        <v>44881</v>
      </c>
      <c r="H114" s="22" t="s">
        <v>1109</v>
      </c>
      <c r="I114" s="6" t="s">
        <v>1110</v>
      </c>
      <c r="J114" s="6" t="s">
        <v>2128</v>
      </c>
      <c r="K114" s="6" t="s">
        <v>1855</v>
      </c>
      <c r="L114" s="22"/>
      <c r="M114" s="6" t="s">
        <v>62</v>
      </c>
    </row>
    <row r="115" spans="1:13" ht="12.75">
      <c r="A115" s="22">
        <v>2022</v>
      </c>
      <c r="B115" s="6"/>
      <c r="C115" s="112"/>
      <c r="D115" s="6"/>
      <c r="E115" s="6"/>
      <c r="F115" s="121">
        <f>F114+F83+F75+F69</f>
        <v>5036432.5</v>
      </c>
      <c r="G115" s="7"/>
      <c r="H115" s="22"/>
      <c r="I115" s="6"/>
      <c r="J115" s="6"/>
      <c r="K115" s="6"/>
      <c r="L115" s="22"/>
      <c r="M115" s="6"/>
    </row>
    <row r="116" spans="1:13" ht="153">
      <c r="A116" s="22">
        <v>2022</v>
      </c>
      <c r="B116" s="6" t="s">
        <v>1494</v>
      </c>
      <c r="C116" s="112" t="s">
        <v>61</v>
      </c>
      <c r="D116" s="115" t="s">
        <v>1383</v>
      </c>
      <c r="E116" s="115" t="s">
        <v>1859</v>
      </c>
      <c r="F116" s="121">
        <v>300000</v>
      </c>
      <c r="G116" s="7">
        <v>44881</v>
      </c>
      <c r="H116" s="22" t="s">
        <v>1495</v>
      </c>
      <c r="I116" s="6" t="s">
        <v>1496</v>
      </c>
      <c r="J116" s="6" t="s">
        <v>2129</v>
      </c>
      <c r="K116" s="6" t="s">
        <v>2130</v>
      </c>
      <c r="L116" s="22" t="s">
        <v>2131</v>
      </c>
      <c r="M116" s="6" t="s">
        <v>1468</v>
      </c>
    </row>
    <row r="117" spans="1:13" ht="25.5">
      <c r="A117" s="22">
        <v>2022</v>
      </c>
      <c r="B117" s="6" t="s">
        <v>2132</v>
      </c>
      <c r="C117" s="6" t="s">
        <v>1883</v>
      </c>
      <c r="D117" s="115" t="s">
        <v>1383</v>
      </c>
      <c r="E117" s="6" t="s">
        <v>2018</v>
      </c>
      <c r="F117" s="121"/>
      <c r="G117" s="7">
        <v>44881</v>
      </c>
      <c r="H117" s="22" t="s">
        <v>2133</v>
      </c>
      <c r="I117" s="6" t="s">
        <v>2104</v>
      </c>
      <c r="J117" s="6"/>
      <c r="K117" s="6" t="s">
        <v>1828</v>
      </c>
      <c r="L117" s="22"/>
      <c r="M117" s="6" t="s">
        <v>1383</v>
      </c>
    </row>
    <row r="118" spans="1:13" ht="25.5">
      <c r="A118" s="22">
        <v>2022</v>
      </c>
      <c r="B118" s="6" t="s">
        <v>2134</v>
      </c>
      <c r="C118" s="6" t="s">
        <v>1883</v>
      </c>
      <c r="D118" s="115" t="s">
        <v>1383</v>
      </c>
      <c r="E118" s="6" t="s">
        <v>2018</v>
      </c>
      <c r="F118" s="121"/>
      <c r="G118" s="7">
        <v>44886</v>
      </c>
      <c r="H118" s="22" t="s">
        <v>2135</v>
      </c>
      <c r="I118" s="6" t="s">
        <v>2104</v>
      </c>
      <c r="J118" s="6"/>
      <c r="K118" s="6" t="s">
        <v>1828</v>
      </c>
      <c r="L118" s="22"/>
      <c r="M118" s="6" t="s">
        <v>1383</v>
      </c>
    </row>
    <row r="119" spans="1:13" ht="38.25">
      <c r="A119" s="22">
        <v>2022</v>
      </c>
      <c r="B119" s="42" t="s">
        <v>690</v>
      </c>
      <c r="C119" s="112" t="s">
        <v>61</v>
      </c>
      <c r="D119" s="6" t="s">
        <v>125</v>
      </c>
      <c r="E119" s="6" t="s">
        <v>1874</v>
      </c>
      <c r="F119" s="121">
        <v>7155412</v>
      </c>
      <c r="G119" s="7">
        <v>44733</v>
      </c>
      <c r="H119" s="136" t="s">
        <v>691</v>
      </c>
      <c r="I119" s="42" t="s">
        <v>692</v>
      </c>
      <c r="J119" s="6" t="s">
        <v>2136</v>
      </c>
      <c r="K119" s="6" t="s">
        <v>1919</v>
      </c>
      <c r="L119" s="136"/>
      <c r="M119" s="6" t="s">
        <v>125</v>
      </c>
    </row>
    <row r="120" spans="1:13" ht="12.75">
      <c r="A120" s="22">
        <v>2022</v>
      </c>
      <c r="B120" s="42"/>
      <c r="C120" s="112"/>
      <c r="D120" s="6"/>
      <c r="E120" s="6"/>
      <c r="F120" s="121">
        <f>F119+F50+F49</f>
        <v>11593292</v>
      </c>
      <c r="G120" s="7"/>
      <c r="H120" s="136"/>
      <c r="I120" s="42"/>
      <c r="J120" s="6"/>
      <c r="K120" s="6"/>
      <c r="L120" s="136"/>
      <c r="M120" s="6"/>
    </row>
    <row r="121" spans="1:13" ht="38.25">
      <c r="A121" s="22">
        <v>2022</v>
      </c>
      <c r="B121" s="42" t="s">
        <v>690</v>
      </c>
      <c r="C121" s="112" t="s">
        <v>61</v>
      </c>
      <c r="D121" s="6" t="s">
        <v>125</v>
      </c>
      <c r="E121" s="6" t="s">
        <v>1874</v>
      </c>
      <c r="F121" s="142">
        <v>3897512</v>
      </c>
      <c r="G121" s="7">
        <v>44873</v>
      </c>
      <c r="H121" s="136" t="s">
        <v>693</v>
      </c>
      <c r="I121" s="42" t="s">
        <v>694</v>
      </c>
      <c r="J121" s="6" t="s">
        <v>2137</v>
      </c>
      <c r="K121" s="6" t="s">
        <v>1896</v>
      </c>
      <c r="L121" s="136"/>
      <c r="M121" s="6" t="s">
        <v>125</v>
      </c>
    </row>
    <row r="122" spans="1:13" ht="25.5">
      <c r="A122" s="22">
        <v>2022</v>
      </c>
      <c r="B122" s="42" t="s">
        <v>690</v>
      </c>
      <c r="C122" s="112" t="s">
        <v>61</v>
      </c>
      <c r="D122" s="6" t="s">
        <v>125</v>
      </c>
      <c r="E122" s="6" t="s">
        <v>1874</v>
      </c>
      <c r="F122" s="142">
        <v>4161535.59</v>
      </c>
      <c r="G122" s="7">
        <v>44873</v>
      </c>
      <c r="H122" s="136" t="s">
        <v>695</v>
      </c>
      <c r="I122" s="42" t="s">
        <v>696</v>
      </c>
      <c r="J122" s="6" t="s">
        <v>2138</v>
      </c>
      <c r="K122" s="6" t="s">
        <v>1828</v>
      </c>
      <c r="L122" s="136"/>
      <c r="M122" s="6" t="s">
        <v>125</v>
      </c>
    </row>
    <row r="123" spans="1:13" ht="25.5">
      <c r="A123" s="143">
        <v>2021</v>
      </c>
      <c r="B123" s="144">
        <v>44197</v>
      </c>
      <c r="C123" s="9" t="s">
        <v>61</v>
      </c>
      <c r="D123" s="9" t="s">
        <v>697</v>
      </c>
      <c r="E123" s="9" t="s">
        <v>1824</v>
      </c>
      <c r="F123" s="121">
        <v>414900</v>
      </c>
      <c r="G123" s="6"/>
      <c r="H123" s="22" t="s">
        <v>698</v>
      </c>
      <c r="I123" s="6" t="s">
        <v>699</v>
      </c>
      <c r="J123" s="6" t="s">
        <v>2139</v>
      </c>
      <c r="K123" s="9" t="s">
        <v>1828</v>
      </c>
      <c r="L123" s="6"/>
      <c r="M123" s="9" t="s">
        <v>697</v>
      </c>
    </row>
    <row r="124" spans="1:13" ht="38.25">
      <c r="A124" s="143">
        <v>2021</v>
      </c>
      <c r="B124" s="144">
        <v>44228</v>
      </c>
      <c r="C124" s="9" t="s">
        <v>1867</v>
      </c>
      <c r="D124" s="9"/>
      <c r="E124" s="9"/>
      <c r="F124" s="121"/>
      <c r="G124" s="6"/>
      <c r="H124" s="22" t="s">
        <v>2140</v>
      </c>
      <c r="I124" s="6" t="s">
        <v>2141</v>
      </c>
      <c r="J124" s="6" t="s">
        <v>2142</v>
      </c>
      <c r="K124" s="9" t="s">
        <v>1899</v>
      </c>
      <c r="L124" s="6" t="s">
        <v>2143</v>
      </c>
      <c r="M124" s="9"/>
    </row>
    <row r="125" spans="1:13" ht="12.75">
      <c r="A125" s="143">
        <v>2021</v>
      </c>
      <c r="B125" s="144">
        <v>44348</v>
      </c>
      <c r="C125" s="9" t="s">
        <v>1867</v>
      </c>
      <c r="D125" s="9"/>
      <c r="E125" s="9" t="s">
        <v>2144</v>
      </c>
      <c r="F125" s="121"/>
      <c r="G125" s="6"/>
      <c r="H125" s="22" t="s">
        <v>2145</v>
      </c>
      <c r="I125" s="6" t="s">
        <v>2146</v>
      </c>
      <c r="J125" s="6" t="s">
        <v>2147</v>
      </c>
      <c r="K125" s="9" t="s">
        <v>2051</v>
      </c>
      <c r="L125" s="6" t="s">
        <v>2143</v>
      </c>
      <c r="M125" s="9"/>
    </row>
    <row r="126" spans="1:13" ht="229.5">
      <c r="A126" s="140">
        <v>2021</v>
      </c>
      <c r="B126" s="144">
        <v>44378</v>
      </c>
      <c r="C126" s="9" t="s">
        <v>61</v>
      </c>
      <c r="D126" s="9" t="s">
        <v>62</v>
      </c>
      <c r="E126" s="6" t="s">
        <v>1904</v>
      </c>
      <c r="F126" s="121">
        <v>1578099.2</v>
      </c>
      <c r="G126" s="6"/>
      <c r="H126" s="22" t="s">
        <v>1112</v>
      </c>
      <c r="I126" s="6" t="s">
        <v>1113</v>
      </c>
      <c r="J126" s="6" t="s">
        <v>2148</v>
      </c>
      <c r="K126" s="9" t="s">
        <v>1899</v>
      </c>
      <c r="L126" s="6" t="s">
        <v>2149</v>
      </c>
      <c r="M126" s="9" t="s">
        <v>1111</v>
      </c>
    </row>
    <row r="127" spans="1:13" ht="25.5">
      <c r="A127" s="143">
        <v>2021</v>
      </c>
      <c r="B127" s="144">
        <v>44409</v>
      </c>
      <c r="C127" s="9" t="s">
        <v>1867</v>
      </c>
      <c r="D127" s="9" t="s">
        <v>62</v>
      </c>
      <c r="E127" s="9"/>
      <c r="F127" s="121"/>
      <c r="G127" s="6"/>
      <c r="H127" s="22" t="s">
        <v>2150</v>
      </c>
      <c r="I127" s="6" t="s">
        <v>2151</v>
      </c>
      <c r="J127" s="6" t="s">
        <v>2152</v>
      </c>
      <c r="K127" s="9" t="s">
        <v>1899</v>
      </c>
      <c r="L127" s="139" t="s">
        <v>2016</v>
      </c>
      <c r="M127" s="9" t="s">
        <v>1111</v>
      </c>
    </row>
    <row r="128" spans="1:13" ht="51">
      <c r="A128" s="143">
        <v>2021</v>
      </c>
      <c r="B128" s="144">
        <v>44440</v>
      </c>
      <c r="C128" s="9" t="s">
        <v>1867</v>
      </c>
      <c r="D128" s="9"/>
      <c r="E128" s="9"/>
      <c r="F128" s="121"/>
      <c r="G128" s="6"/>
      <c r="H128" s="22" t="s">
        <v>2153</v>
      </c>
      <c r="I128" s="6" t="s">
        <v>2154</v>
      </c>
      <c r="J128" s="6" t="s">
        <v>2155</v>
      </c>
      <c r="K128" s="6" t="s">
        <v>1886</v>
      </c>
      <c r="L128" s="139" t="s">
        <v>2016</v>
      </c>
      <c r="M128" s="9"/>
    </row>
    <row r="129" spans="1:13" ht="204">
      <c r="A129" s="143">
        <v>2021</v>
      </c>
      <c r="B129" s="145">
        <v>44531</v>
      </c>
      <c r="C129" s="9" t="s">
        <v>61</v>
      </c>
      <c r="D129" s="17" t="s">
        <v>1877</v>
      </c>
      <c r="E129" s="115" t="s">
        <v>1853</v>
      </c>
      <c r="F129" s="121">
        <v>50735</v>
      </c>
      <c r="G129" s="6"/>
      <c r="H129" s="22" t="s">
        <v>700</v>
      </c>
      <c r="I129" s="6" t="s">
        <v>2156</v>
      </c>
      <c r="J129" s="6" t="s">
        <v>2157</v>
      </c>
      <c r="K129" s="6" t="s">
        <v>1886</v>
      </c>
      <c r="L129" s="6" t="s">
        <v>2158</v>
      </c>
      <c r="M129" s="9" t="s">
        <v>456</v>
      </c>
    </row>
    <row r="130" spans="1:13" ht="204">
      <c r="A130" s="143">
        <v>2021</v>
      </c>
      <c r="B130" s="9" t="s">
        <v>2159</v>
      </c>
      <c r="C130" s="9"/>
      <c r="D130" s="17" t="s">
        <v>1877</v>
      </c>
      <c r="E130" s="115" t="s">
        <v>1853</v>
      </c>
      <c r="F130" s="146">
        <v>50735</v>
      </c>
      <c r="G130" s="6"/>
      <c r="H130" s="147" t="s">
        <v>700</v>
      </c>
      <c r="I130" s="132" t="s">
        <v>2160</v>
      </c>
      <c r="J130" s="6" t="s">
        <v>2157</v>
      </c>
      <c r="K130" s="6" t="s">
        <v>1886</v>
      </c>
      <c r="L130" s="6" t="s">
        <v>2158</v>
      </c>
      <c r="M130" s="9" t="s">
        <v>456</v>
      </c>
    </row>
    <row r="131" spans="1:13" ht="127.5">
      <c r="A131" s="140">
        <v>2021</v>
      </c>
      <c r="B131" s="9" t="s">
        <v>1114</v>
      </c>
      <c r="C131" s="9" t="s">
        <v>61</v>
      </c>
      <c r="D131" s="9" t="s">
        <v>62</v>
      </c>
      <c r="E131" s="6" t="s">
        <v>1904</v>
      </c>
      <c r="F131" s="121">
        <v>1527776</v>
      </c>
      <c r="G131" s="148"/>
      <c r="H131" s="22" t="s">
        <v>1115</v>
      </c>
      <c r="I131" s="6" t="s">
        <v>1116</v>
      </c>
      <c r="J131" s="148" t="s">
        <v>2161</v>
      </c>
      <c r="K131" s="9" t="s">
        <v>1828</v>
      </c>
      <c r="L131" s="6" t="s">
        <v>2162</v>
      </c>
      <c r="M131" s="9" t="s">
        <v>1111</v>
      </c>
    </row>
    <row r="132" spans="1:13" ht="153">
      <c r="A132" s="143">
        <v>2021</v>
      </c>
      <c r="B132" s="9" t="s">
        <v>1497</v>
      </c>
      <c r="C132" s="9" t="s">
        <v>61</v>
      </c>
      <c r="D132" s="9" t="s">
        <v>1417</v>
      </c>
      <c r="E132" s="9" t="s">
        <v>2163</v>
      </c>
      <c r="F132" s="121">
        <v>1232386.08</v>
      </c>
      <c r="G132" s="6"/>
      <c r="H132" s="22" t="s">
        <v>1498</v>
      </c>
      <c r="I132" s="6" t="s">
        <v>808</v>
      </c>
      <c r="J132" s="6" t="s">
        <v>2139</v>
      </c>
      <c r="K132" s="9" t="s">
        <v>1828</v>
      </c>
      <c r="L132" s="6" t="s">
        <v>2164</v>
      </c>
      <c r="M132" s="9" t="s">
        <v>1417</v>
      </c>
    </row>
    <row r="133" spans="1:13" ht="25.5">
      <c r="A133" s="143">
        <v>2021</v>
      </c>
      <c r="B133" s="9" t="s">
        <v>2165</v>
      </c>
      <c r="C133" s="9" t="s">
        <v>1867</v>
      </c>
      <c r="D133" s="9"/>
      <c r="E133" s="9"/>
      <c r="F133" s="121"/>
      <c r="G133" s="6"/>
      <c r="H133" s="22" t="s">
        <v>2166</v>
      </c>
      <c r="I133" s="6" t="s">
        <v>2167</v>
      </c>
      <c r="J133" s="6" t="s">
        <v>2168</v>
      </c>
      <c r="K133" s="6" t="s">
        <v>1886</v>
      </c>
      <c r="L133" s="139" t="s">
        <v>2016</v>
      </c>
      <c r="M133" s="9"/>
    </row>
    <row r="134" spans="1:13" ht="25.5">
      <c r="A134" s="143">
        <v>2021</v>
      </c>
      <c r="B134" s="9" t="s">
        <v>2169</v>
      </c>
      <c r="C134" s="9" t="s">
        <v>61</v>
      </c>
      <c r="D134" s="115" t="s">
        <v>1383</v>
      </c>
      <c r="E134" s="115" t="s">
        <v>1859</v>
      </c>
      <c r="F134" s="121">
        <v>200000</v>
      </c>
      <c r="G134" s="6"/>
      <c r="H134" s="22" t="s">
        <v>2170</v>
      </c>
      <c r="I134" s="6" t="s">
        <v>2171</v>
      </c>
      <c r="J134" s="6" t="s">
        <v>2139</v>
      </c>
      <c r="K134" s="9" t="s">
        <v>1828</v>
      </c>
      <c r="L134" s="6"/>
      <c r="M134" s="9" t="s">
        <v>2172</v>
      </c>
    </row>
    <row r="135" spans="1:13" ht="127.5">
      <c r="A135" s="143">
        <v>2021</v>
      </c>
      <c r="B135" s="9" t="s">
        <v>2173</v>
      </c>
      <c r="C135" s="9"/>
      <c r="D135" s="115" t="s">
        <v>1383</v>
      </c>
      <c r="E135" s="9" t="s">
        <v>1824</v>
      </c>
      <c r="F135" s="121">
        <v>5600000</v>
      </c>
      <c r="G135" s="6"/>
      <c r="H135" s="22" t="s">
        <v>2174</v>
      </c>
      <c r="I135" s="132" t="s">
        <v>808</v>
      </c>
      <c r="J135" s="6" t="s">
        <v>2139</v>
      </c>
      <c r="K135" s="9" t="s">
        <v>1828</v>
      </c>
      <c r="L135" s="132" t="s">
        <v>2175</v>
      </c>
      <c r="M135" s="9" t="s">
        <v>2172</v>
      </c>
    </row>
    <row r="136" spans="1:13" ht="191.25">
      <c r="A136" s="143">
        <v>2021</v>
      </c>
      <c r="B136" s="9" t="s">
        <v>702</v>
      </c>
      <c r="C136" s="9" t="s">
        <v>61</v>
      </c>
      <c r="D136" s="9" t="s">
        <v>394</v>
      </c>
      <c r="E136" s="115" t="s">
        <v>1853</v>
      </c>
      <c r="F136" s="64">
        <v>9000</v>
      </c>
      <c r="G136" s="6"/>
      <c r="H136" s="22" t="s">
        <v>703</v>
      </c>
      <c r="I136" s="6" t="s">
        <v>704</v>
      </c>
      <c r="J136" s="6"/>
      <c r="K136" s="9" t="s">
        <v>1879</v>
      </c>
      <c r="L136" s="6" t="s">
        <v>2176</v>
      </c>
      <c r="M136" s="9" t="s">
        <v>394</v>
      </c>
    </row>
    <row r="137" spans="1:13" ht="204">
      <c r="A137" s="143">
        <v>2021</v>
      </c>
      <c r="B137" s="9" t="s">
        <v>705</v>
      </c>
      <c r="C137" s="9" t="s">
        <v>61</v>
      </c>
      <c r="D137" s="9" t="s">
        <v>394</v>
      </c>
      <c r="E137" s="115" t="s">
        <v>1853</v>
      </c>
      <c r="F137" s="64">
        <v>20000</v>
      </c>
      <c r="G137" s="6"/>
      <c r="H137" s="147" t="s">
        <v>706</v>
      </c>
      <c r="I137" s="6" t="s">
        <v>707</v>
      </c>
      <c r="J137" s="6"/>
      <c r="K137" s="9" t="s">
        <v>1919</v>
      </c>
      <c r="L137" s="6" t="s">
        <v>2177</v>
      </c>
      <c r="M137" s="9" t="s">
        <v>394</v>
      </c>
    </row>
    <row r="138" spans="1:13" ht="140.25">
      <c r="A138" s="143">
        <v>2021</v>
      </c>
      <c r="B138" s="9" t="s">
        <v>2178</v>
      </c>
      <c r="C138" s="9" t="s">
        <v>61</v>
      </c>
      <c r="D138" s="115" t="s">
        <v>1383</v>
      </c>
      <c r="E138" s="115" t="s">
        <v>1859</v>
      </c>
      <c r="F138" s="121" t="s">
        <v>2179</v>
      </c>
      <c r="G138" s="6"/>
      <c r="H138" s="22" t="s">
        <v>2180</v>
      </c>
      <c r="I138" s="6" t="s">
        <v>575</v>
      </c>
      <c r="J138" s="6" t="s">
        <v>2181</v>
      </c>
      <c r="K138" s="9" t="s">
        <v>1828</v>
      </c>
      <c r="L138" s="6" t="s">
        <v>2182</v>
      </c>
      <c r="M138" s="9" t="s">
        <v>2172</v>
      </c>
    </row>
    <row r="139" spans="1:13" ht="293.25">
      <c r="A139" s="143">
        <v>2021</v>
      </c>
      <c r="B139" s="9" t="s">
        <v>1499</v>
      </c>
      <c r="C139" s="9" t="s">
        <v>61</v>
      </c>
      <c r="D139" s="115" t="s">
        <v>1383</v>
      </c>
      <c r="E139" s="115" t="s">
        <v>1859</v>
      </c>
      <c r="F139" s="121">
        <v>200000</v>
      </c>
      <c r="G139" s="6"/>
      <c r="H139" s="22" t="s">
        <v>1501</v>
      </c>
      <c r="I139" s="6" t="s">
        <v>1502</v>
      </c>
      <c r="J139" s="6"/>
      <c r="K139" s="9" t="s">
        <v>2051</v>
      </c>
      <c r="L139" s="6" t="s">
        <v>2183</v>
      </c>
      <c r="M139" s="9" t="s">
        <v>1500</v>
      </c>
    </row>
    <row r="140" spans="1:13" ht="89.25">
      <c r="A140" s="143">
        <v>2021</v>
      </c>
      <c r="B140" s="9" t="s">
        <v>708</v>
      </c>
      <c r="C140" s="9" t="s">
        <v>61</v>
      </c>
      <c r="D140" s="6" t="s">
        <v>586</v>
      </c>
      <c r="E140" s="6" t="s">
        <v>1874</v>
      </c>
      <c r="F140" s="121">
        <v>28450</v>
      </c>
      <c r="G140" s="148"/>
      <c r="H140" s="22" t="s">
        <v>709</v>
      </c>
      <c r="I140" s="6" t="s">
        <v>2184</v>
      </c>
      <c r="J140" s="148" t="s">
        <v>2185</v>
      </c>
      <c r="K140" s="6" t="s">
        <v>1886</v>
      </c>
      <c r="L140" s="6" t="s">
        <v>2186</v>
      </c>
      <c r="M140" s="6" t="s">
        <v>586</v>
      </c>
    </row>
    <row r="141" spans="1:13" ht="63.75">
      <c r="A141" s="143">
        <v>2021</v>
      </c>
      <c r="B141" s="9" t="s">
        <v>711</v>
      </c>
      <c r="C141" s="9" t="s">
        <v>61</v>
      </c>
      <c r="D141" s="112" t="s">
        <v>68</v>
      </c>
      <c r="E141" s="6" t="s">
        <v>1874</v>
      </c>
      <c r="F141" s="121">
        <v>222750</v>
      </c>
      <c r="G141" s="148"/>
      <c r="H141" s="22" t="s">
        <v>713</v>
      </c>
      <c r="I141" s="6" t="s">
        <v>2187</v>
      </c>
      <c r="J141" s="148" t="s">
        <v>2188</v>
      </c>
      <c r="K141" s="9" t="s">
        <v>1828</v>
      </c>
      <c r="L141" s="6" t="s">
        <v>2189</v>
      </c>
      <c r="M141" s="9" t="s">
        <v>712</v>
      </c>
    </row>
    <row r="142" spans="1:13" ht="178.5">
      <c r="A142" s="143">
        <v>2021</v>
      </c>
      <c r="B142" s="9" t="s">
        <v>1503</v>
      </c>
      <c r="C142" s="9" t="s">
        <v>61</v>
      </c>
      <c r="D142" s="115" t="s">
        <v>1383</v>
      </c>
      <c r="E142" s="115" t="s">
        <v>1859</v>
      </c>
      <c r="F142" s="121">
        <v>394700</v>
      </c>
      <c r="G142" s="6"/>
      <c r="H142" s="22" t="s">
        <v>1504</v>
      </c>
      <c r="I142" s="6" t="s">
        <v>1505</v>
      </c>
      <c r="J142" s="6" t="s">
        <v>2190</v>
      </c>
      <c r="K142" s="9" t="s">
        <v>1828</v>
      </c>
      <c r="L142" s="6" t="s">
        <v>2191</v>
      </c>
      <c r="M142" s="9" t="s">
        <v>1383</v>
      </c>
    </row>
    <row r="143" spans="1:13" ht="216.75">
      <c r="A143" s="143">
        <v>2021</v>
      </c>
      <c r="B143" s="9" t="s">
        <v>2192</v>
      </c>
      <c r="C143" s="9" t="s">
        <v>61</v>
      </c>
      <c r="D143" s="115" t="s">
        <v>1383</v>
      </c>
      <c r="E143" s="115" t="s">
        <v>1859</v>
      </c>
      <c r="F143" s="8">
        <v>76800</v>
      </c>
      <c r="G143" s="6"/>
      <c r="H143" s="22" t="s">
        <v>2193</v>
      </c>
      <c r="I143" s="6" t="s">
        <v>575</v>
      </c>
      <c r="J143" s="6" t="s">
        <v>2190</v>
      </c>
      <c r="K143" s="9" t="s">
        <v>1828</v>
      </c>
      <c r="L143" s="6" t="s">
        <v>2194</v>
      </c>
      <c r="M143" s="9" t="s">
        <v>2172</v>
      </c>
    </row>
    <row r="144" spans="1:13" ht="267.75">
      <c r="A144" s="143">
        <v>2021</v>
      </c>
      <c r="B144" s="9" t="s">
        <v>1506</v>
      </c>
      <c r="C144" s="9" t="s">
        <v>61</v>
      </c>
      <c r="D144" s="115" t="s">
        <v>1383</v>
      </c>
      <c r="E144" s="115" t="s">
        <v>1859</v>
      </c>
      <c r="F144" s="121">
        <v>200000</v>
      </c>
      <c r="G144" s="6"/>
      <c r="H144" s="22" t="s">
        <v>2195</v>
      </c>
      <c r="I144" s="6" t="s">
        <v>1508</v>
      </c>
      <c r="J144" s="6"/>
      <c r="K144" s="9" t="s">
        <v>2085</v>
      </c>
      <c r="L144" s="6" t="s">
        <v>2196</v>
      </c>
      <c r="M144" s="9" t="s">
        <v>1383</v>
      </c>
    </row>
    <row r="145" spans="1:13" ht="280.5">
      <c r="A145" s="143">
        <v>2021</v>
      </c>
      <c r="B145" s="9" t="s">
        <v>715</v>
      </c>
      <c r="C145" s="9" t="s">
        <v>61</v>
      </c>
      <c r="D145" s="9" t="s">
        <v>394</v>
      </c>
      <c r="E145" s="115" t="s">
        <v>1853</v>
      </c>
      <c r="F145" s="64">
        <v>8000</v>
      </c>
      <c r="G145" s="6"/>
      <c r="H145" s="22" t="s">
        <v>716</v>
      </c>
      <c r="I145" s="6" t="s">
        <v>572</v>
      </c>
      <c r="J145" s="6"/>
      <c r="K145" s="9" t="s">
        <v>1855</v>
      </c>
      <c r="L145" s="6" t="s">
        <v>2197</v>
      </c>
      <c r="M145" s="9" t="s">
        <v>394</v>
      </c>
    </row>
    <row r="146" spans="1:13" ht="165.75">
      <c r="A146" s="143">
        <v>2021</v>
      </c>
      <c r="B146" s="9" t="s">
        <v>717</v>
      </c>
      <c r="C146" s="9" t="s">
        <v>61</v>
      </c>
      <c r="D146" s="6" t="s">
        <v>586</v>
      </c>
      <c r="E146" s="6" t="s">
        <v>1874</v>
      </c>
      <c r="F146" s="121">
        <v>8500</v>
      </c>
      <c r="G146" s="148"/>
      <c r="H146" s="135" t="s">
        <v>718</v>
      </c>
      <c r="I146" s="6" t="s">
        <v>2198</v>
      </c>
      <c r="J146" s="148" t="s">
        <v>2199</v>
      </c>
      <c r="K146" s="9" t="s">
        <v>1828</v>
      </c>
      <c r="L146" s="6" t="s">
        <v>2200</v>
      </c>
      <c r="M146" s="6" t="s">
        <v>586</v>
      </c>
    </row>
    <row r="147" spans="1:13" ht="102">
      <c r="A147" s="143">
        <v>2021</v>
      </c>
      <c r="B147" s="9" t="s">
        <v>1509</v>
      </c>
      <c r="C147" s="9" t="s">
        <v>61</v>
      </c>
      <c r="D147" s="9" t="s">
        <v>1417</v>
      </c>
      <c r="E147" s="9" t="s">
        <v>1824</v>
      </c>
      <c r="F147" s="121">
        <v>314417.48</v>
      </c>
      <c r="G147" s="6"/>
      <c r="H147" s="22" t="s">
        <v>1510</v>
      </c>
      <c r="I147" s="6" t="s">
        <v>1511</v>
      </c>
      <c r="J147" s="6" t="s">
        <v>2190</v>
      </c>
      <c r="K147" s="9" t="s">
        <v>1828</v>
      </c>
      <c r="L147" s="6" t="s">
        <v>2201</v>
      </c>
      <c r="M147" s="9" t="s">
        <v>1417</v>
      </c>
    </row>
    <row r="148" spans="1:13" ht="114.75">
      <c r="A148" s="143">
        <v>2021</v>
      </c>
      <c r="B148" s="9" t="s">
        <v>1512</v>
      </c>
      <c r="C148" s="9" t="s">
        <v>61</v>
      </c>
      <c r="D148" s="9" t="s">
        <v>1417</v>
      </c>
      <c r="E148" s="9" t="s">
        <v>1824</v>
      </c>
      <c r="F148" s="121">
        <v>509255</v>
      </c>
      <c r="G148" s="6"/>
      <c r="H148" s="22" t="s">
        <v>2202</v>
      </c>
      <c r="I148" s="6" t="s">
        <v>1511</v>
      </c>
      <c r="J148" s="6" t="s">
        <v>2190</v>
      </c>
      <c r="K148" s="9" t="s">
        <v>1828</v>
      </c>
      <c r="L148" s="6" t="s">
        <v>2203</v>
      </c>
      <c r="M148" s="9" t="s">
        <v>1417</v>
      </c>
    </row>
    <row r="149" spans="1:13" ht="102">
      <c r="A149" s="140">
        <v>2021</v>
      </c>
      <c r="B149" s="9" t="s">
        <v>1117</v>
      </c>
      <c r="C149" s="9" t="s">
        <v>61</v>
      </c>
      <c r="D149" s="9" t="s">
        <v>62</v>
      </c>
      <c r="E149" s="6" t="s">
        <v>1904</v>
      </c>
      <c r="F149" s="121">
        <v>2880000</v>
      </c>
      <c r="G149" s="6"/>
      <c r="H149" s="22" t="s">
        <v>1119</v>
      </c>
      <c r="I149" s="6" t="s">
        <v>1120</v>
      </c>
      <c r="J149" s="6" t="s">
        <v>2204</v>
      </c>
      <c r="K149" s="9" t="s">
        <v>2051</v>
      </c>
      <c r="L149" s="6" t="s">
        <v>2205</v>
      </c>
      <c r="M149" s="9" t="s">
        <v>1118</v>
      </c>
    </row>
    <row r="150" spans="1:13" ht="127.5">
      <c r="A150" s="143">
        <v>2021</v>
      </c>
      <c r="B150" s="9" t="s">
        <v>1514</v>
      </c>
      <c r="C150" s="9" t="s">
        <v>61</v>
      </c>
      <c r="D150" s="115" t="s">
        <v>1383</v>
      </c>
      <c r="E150" s="115" t="s">
        <v>1859</v>
      </c>
      <c r="F150" s="121">
        <v>200000</v>
      </c>
      <c r="G150" s="6"/>
      <c r="H150" s="22" t="s">
        <v>1515</v>
      </c>
      <c r="I150" s="6" t="s">
        <v>707</v>
      </c>
      <c r="J150" s="6"/>
      <c r="K150" s="9" t="s">
        <v>1896</v>
      </c>
      <c r="L150" s="6" t="s">
        <v>2206</v>
      </c>
      <c r="M150" s="9" t="s">
        <v>1383</v>
      </c>
    </row>
    <row r="151" spans="1:13" ht="140.25">
      <c r="A151" s="143">
        <v>2021</v>
      </c>
      <c r="B151" s="9" t="s">
        <v>720</v>
      </c>
      <c r="C151" s="9" t="s">
        <v>61</v>
      </c>
      <c r="D151" s="9" t="s">
        <v>394</v>
      </c>
      <c r="E151" s="115" t="s">
        <v>1853</v>
      </c>
      <c r="F151" s="64">
        <v>10000</v>
      </c>
      <c r="G151" s="6"/>
      <c r="H151" s="22" t="s">
        <v>721</v>
      </c>
      <c r="I151" s="6" t="s">
        <v>722</v>
      </c>
      <c r="J151" s="6"/>
      <c r="K151" s="9" t="s">
        <v>1899</v>
      </c>
      <c r="L151" s="6" t="s">
        <v>2207</v>
      </c>
      <c r="M151" s="9" t="s">
        <v>394</v>
      </c>
    </row>
    <row r="152" spans="1:13" ht="114.75">
      <c r="A152" s="143">
        <v>2021</v>
      </c>
      <c r="B152" s="9" t="s">
        <v>2208</v>
      </c>
      <c r="C152" s="9" t="s">
        <v>61</v>
      </c>
      <c r="D152" s="9" t="s">
        <v>1420</v>
      </c>
      <c r="E152" s="9" t="s">
        <v>1824</v>
      </c>
      <c r="F152" s="121">
        <v>250000</v>
      </c>
      <c r="G152" s="6"/>
      <c r="H152" s="22" t="s">
        <v>2209</v>
      </c>
      <c r="I152" s="6" t="s">
        <v>2210</v>
      </c>
      <c r="J152" s="6" t="s">
        <v>2190</v>
      </c>
      <c r="K152" s="9" t="s">
        <v>1828</v>
      </c>
      <c r="L152" s="6" t="s">
        <v>2211</v>
      </c>
      <c r="M152" s="9" t="s">
        <v>1420</v>
      </c>
    </row>
    <row r="153" spans="1:13" ht="153">
      <c r="A153" s="143">
        <v>2021</v>
      </c>
      <c r="B153" s="9" t="s">
        <v>2212</v>
      </c>
      <c r="C153" s="9" t="s">
        <v>61</v>
      </c>
      <c r="D153" s="115" t="s">
        <v>1383</v>
      </c>
      <c r="E153" s="115" t="s">
        <v>1859</v>
      </c>
      <c r="F153" s="121">
        <v>200000</v>
      </c>
      <c r="G153" s="6"/>
      <c r="H153" s="22" t="s">
        <v>2213</v>
      </c>
      <c r="I153" s="6" t="s">
        <v>2214</v>
      </c>
      <c r="J153" s="6"/>
      <c r="K153" s="9" t="s">
        <v>2085</v>
      </c>
      <c r="L153" s="6" t="s">
        <v>2215</v>
      </c>
      <c r="M153" s="9" t="s">
        <v>2172</v>
      </c>
    </row>
    <row r="154" spans="1:13" ht="89.25">
      <c r="A154" s="143">
        <v>2021</v>
      </c>
      <c r="B154" s="9" t="s">
        <v>1516</v>
      </c>
      <c r="C154" s="9" t="s">
        <v>61</v>
      </c>
      <c r="D154" s="115" t="s">
        <v>1383</v>
      </c>
      <c r="E154" s="115" t="s">
        <v>1859</v>
      </c>
      <c r="F154" s="121">
        <v>2325008</v>
      </c>
      <c r="G154" s="6"/>
      <c r="H154" s="22" t="s">
        <v>1517</v>
      </c>
      <c r="I154" s="6" t="s">
        <v>2216</v>
      </c>
      <c r="J154" s="6" t="s">
        <v>2190</v>
      </c>
      <c r="K154" s="9" t="s">
        <v>1828</v>
      </c>
      <c r="L154" s="6" t="s">
        <v>2217</v>
      </c>
      <c r="M154" s="9" t="s">
        <v>1500</v>
      </c>
    </row>
    <row r="155" spans="1:13" ht="204">
      <c r="A155" s="143">
        <v>2021</v>
      </c>
      <c r="B155" s="9" t="s">
        <v>1519</v>
      </c>
      <c r="C155" s="9" t="s">
        <v>61</v>
      </c>
      <c r="D155" s="115" t="s">
        <v>1383</v>
      </c>
      <c r="E155" s="115" t="s">
        <v>1859</v>
      </c>
      <c r="F155" s="121">
        <v>200000</v>
      </c>
      <c r="G155" s="6"/>
      <c r="H155" s="22" t="s">
        <v>2218</v>
      </c>
      <c r="I155" s="6" t="s">
        <v>1389</v>
      </c>
      <c r="J155" s="6"/>
      <c r="K155" s="9" t="s">
        <v>2031</v>
      </c>
      <c r="L155" s="149" t="s">
        <v>2219</v>
      </c>
      <c r="M155" s="9" t="s">
        <v>1520</v>
      </c>
    </row>
    <row r="156" spans="1:13" ht="229.5">
      <c r="A156" s="143">
        <v>2021</v>
      </c>
      <c r="B156" s="9" t="s">
        <v>1522</v>
      </c>
      <c r="C156" s="9" t="s">
        <v>61</v>
      </c>
      <c r="D156" s="115" t="s">
        <v>1383</v>
      </c>
      <c r="E156" s="115" t="s">
        <v>1859</v>
      </c>
      <c r="F156" s="121">
        <v>170750</v>
      </c>
      <c r="G156" s="6"/>
      <c r="H156" s="22" t="s">
        <v>1523</v>
      </c>
      <c r="I156" s="6" t="s">
        <v>1491</v>
      </c>
      <c r="J156" s="6"/>
      <c r="K156" s="9" t="s">
        <v>2041</v>
      </c>
      <c r="L156" s="149" t="s">
        <v>2220</v>
      </c>
      <c r="M156" s="9" t="s">
        <v>1520</v>
      </c>
    </row>
    <row r="157" spans="1:13" ht="114.75">
      <c r="A157" s="143">
        <v>2021</v>
      </c>
      <c r="B157" s="9" t="s">
        <v>1524</v>
      </c>
      <c r="C157" s="9" t="s">
        <v>61</v>
      </c>
      <c r="D157" s="115" t="s">
        <v>1383</v>
      </c>
      <c r="E157" s="115" t="s">
        <v>1859</v>
      </c>
      <c r="F157" s="121">
        <v>38350</v>
      </c>
      <c r="G157" s="6"/>
      <c r="H157" s="22" t="s">
        <v>1525</v>
      </c>
      <c r="I157" s="6" t="s">
        <v>575</v>
      </c>
      <c r="J157" s="6" t="s">
        <v>2190</v>
      </c>
      <c r="K157" s="9" t="s">
        <v>1828</v>
      </c>
      <c r="L157" s="149" t="s">
        <v>2221</v>
      </c>
      <c r="M157" s="9" t="s">
        <v>1520</v>
      </c>
    </row>
    <row r="158" spans="1:13" ht="153">
      <c r="A158" s="143">
        <v>2021</v>
      </c>
      <c r="B158" s="9" t="s">
        <v>1526</v>
      </c>
      <c r="C158" s="9" t="s">
        <v>61</v>
      </c>
      <c r="D158" s="115" t="s">
        <v>1383</v>
      </c>
      <c r="E158" s="115" t="s">
        <v>1859</v>
      </c>
      <c r="F158" s="121">
        <v>32350</v>
      </c>
      <c r="G158" s="6"/>
      <c r="H158" s="22" t="s">
        <v>1527</v>
      </c>
      <c r="I158" s="6" t="s">
        <v>1528</v>
      </c>
      <c r="J158" s="6" t="s">
        <v>2190</v>
      </c>
      <c r="K158" s="9" t="s">
        <v>1828</v>
      </c>
      <c r="L158" s="149" t="s">
        <v>2222</v>
      </c>
      <c r="M158" s="9" t="s">
        <v>1520</v>
      </c>
    </row>
    <row r="159" spans="1:13" ht="89.25">
      <c r="A159" s="143">
        <v>2021</v>
      </c>
      <c r="B159" s="9" t="s">
        <v>2223</v>
      </c>
      <c r="C159" s="9" t="s">
        <v>61</v>
      </c>
      <c r="D159" s="9" t="s">
        <v>1838</v>
      </c>
      <c r="E159" s="9" t="s">
        <v>1824</v>
      </c>
      <c r="F159" s="121">
        <v>110000</v>
      </c>
      <c r="G159" s="6"/>
      <c r="H159" s="22" t="s">
        <v>2224</v>
      </c>
      <c r="I159" s="6" t="s">
        <v>2225</v>
      </c>
      <c r="J159" s="6" t="s">
        <v>2190</v>
      </c>
      <c r="K159" s="9" t="s">
        <v>1828</v>
      </c>
      <c r="L159" s="6" t="s">
        <v>2226</v>
      </c>
      <c r="M159" s="9" t="s">
        <v>1838</v>
      </c>
    </row>
    <row r="160" spans="1:13" ht="140.25">
      <c r="A160" s="143">
        <v>2021</v>
      </c>
      <c r="B160" s="9" t="s">
        <v>72</v>
      </c>
      <c r="C160" s="9" t="s">
        <v>61</v>
      </c>
      <c r="D160" s="112" t="s">
        <v>68</v>
      </c>
      <c r="E160" s="6" t="s">
        <v>1874</v>
      </c>
      <c r="F160" s="121">
        <v>349800</v>
      </c>
      <c r="G160" s="148"/>
      <c r="H160" s="22" t="s">
        <v>73</v>
      </c>
      <c r="I160" s="6" t="s">
        <v>2227</v>
      </c>
      <c r="J160" s="148" t="s">
        <v>2228</v>
      </c>
      <c r="K160" s="6" t="s">
        <v>1886</v>
      </c>
      <c r="L160" s="6" t="s">
        <v>2229</v>
      </c>
      <c r="M160" s="9" t="s">
        <v>2230</v>
      </c>
    </row>
    <row r="161" spans="1:13" ht="63.75">
      <c r="A161" s="143">
        <v>2021</v>
      </c>
      <c r="B161" s="9" t="s">
        <v>724</v>
      </c>
      <c r="C161" s="9" t="s">
        <v>61</v>
      </c>
      <c r="D161" s="9" t="s">
        <v>394</v>
      </c>
      <c r="E161" s="115" t="s">
        <v>1853</v>
      </c>
      <c r="F161" s="64">
        <v>8000</v>
      </c>
      <c r="G161" s="6"/>
      <c r="H161" s="22" t="s">
        <v>725</v>
      </c>
      <c r="I161" s="6" t="s">
        <v>572</v>
      </c>
      <c r="J161" s="6"/>
      <c r="K161" s="9" t="s">
        <v>1855</v>
      </c>
      <c r="L161" s="6" t="s">
        <v>2231</v>
      </c>
      <c r="M161" s="9" t="s">
        <v>2232</v>
      </c>
    </row>
    <row r="162" spans="1:13" ht="331.5">
      <c r="A162" s="140">
        <v>2021</v>
      </c>
      <c r="B162" s="9" t="s">
        <v>1121</v>
      </c>
      <c r="C162" s="9" t="s">
        <v>61</v>
      </c>
      <c r="D162" s="9" t="s">
        <v>62</v>
      </c>
      <c r="E162" s="6" t="s">
        <v>1904</v>
      </c>
      <c r="F162" s="121">
        <v>2928900.41</v>
      </c>
      <c r="G162" s="6"/>
      <c r="H162" s="135" t="s">
        <v>1122</v>
      </c>
      <c r="I162" s="6" t="s">
        <v>1123</v>
      </c>
      <c r="J162" s="6" t="s">
        <v>2233</v>
      </c>
      <c r="K162" s="9" t="s">
        <v>1828</v>
      </c>
      <c r="L162" s="6" t="s">
        <v>2234</v>
      </c>
      <c r="M162" s="9" t="s">
        <v>1111</v>
      </c>
    </row>
    <row r="163" spans="1:13" ht="306">
      <c r="A163" s="143">
        <v>2021</v>
      </c>
      <c r="B163" s="9" t="s">
        <v>1529</v>
      </c>
      <c r="C163" s="9" t="s">
        <v>61</v>
      </c>
      <c r="D163" s="115" t="s">
        <v>1383</v>
      </c>
      <c r="E163" s="115" t="s">
        <v>1859</v>
      </c>
      <c r="F163" s="121">
        <v>90500</v>
      </c>
      <c r="G163" s="6"/>
      <c r="H163" s="22" t="s">
        <v>1530</v>
      </c>
      <c r="I163" s="6" t="s">
        <v>1531</v>
      </c>
      <c r="J163" s="6" t="s">
        <v>2190</v>
      </c>
      <c r="K163" s="9" t="s">
        <v>1828</v>
      </c>
      <c r="L163" s="6" t="s">
        <v>2235</v>
      </c>
      <c r="M163" s="9" t="s">
        <v>1520</v>
      </c>
    </row>
    <row r="164" spans="1:13" ht="280.5">
      <c r="A164" s="140">
        <v>2021</v>
      </c>
      <c r="B164" s="9" t="s">
        <v>1124</v>
      </c>
      <c r="C164" s="9" t="s">
        <v>61</v>
      </c>
      <c r="D164" s="9" t="s">
        <v>62</v>
      </c>
      <c r="E164" s="6" t="s">
        <v>1904</v>
      </c>
      <c r="F164" s="121">
        <v>4512920</v>
      </c>
      <c r="G164" s="6"/>
      <c r="H164" s="22" t="s">
        <v>1125</v>
      </c>
      <c r="I164" s="6" t="s">
        <v>1113</v>
      </c>
      <c r="J164" s="6" t="s">
        <v>2236</v>
      </c>
      <c r="K164" s="9" t="s">
        <v>1899</v>
      </c>
      <c r="L164" s="6" t="s">
        <v>2237</v>
      </c>
      <c r="M164" s="9" t="s">
        <v>1111</v>
      </c>
    </row>
    <row r="165" spans="1:13" ht="38.25">
      <c r="A165" s="143">
        <v>2021</v>
      </c>
      <c r="B165" s="9" t="s">
        <v>726</v>
      </c>
      <c r="C165" s="9" t="s">
        <v>61</v>
      </c>
      <c r="D165" s="112" t="s">
        <v>68</v>
      </c>
      <c r="E165" s="6" t="s">
        <v>1874</v>
      </c>
      <c r="F165" s="121">
        <v>108540</v>
      </c>
      <c r="G165" s="148"/>
      <c r="H165" s="22" t="s">
        <v>727</v>
      </c>
      <c r="I165" s="6" t="s">
        <v>2238</v>
      </c>
      <c r="J165" s="148" t="s">
        <v>2239</v>
      </c>
      <c r="K165" s="6" t="s">
        <v>1886</v>
      </c>
      <c r="L165" s="6" t="s">
        <v>2240</v>
      </c>
      <c r="M165" s="9" t="s">
        <v>2230</v>
      </c>
    </row>
    <row r="166" spans="1:13" ht="51">
      <c r="A166" s="143">
        <v>2021</v>
      </c>
      <c r="B166" s="9" t="s">
        <v>729</v>
      </c>
      <c r="C166" s="9" t="s">
        <v>61</v>
      </c>
      <c r="D166" s="112" t="s">
        <v>68</v>
      </c>
      <c r="E166" s="6" t="s">
        <v>1874</v>
      </c>
      <c r="F166" s="121">
        <v>108500</v>
      </c>
      <c r="G166" s="148"/>
      <c r="H166" s="22" t="s">
        <v>730</v>
      </c>
      <c r="I166" s="6" t="s">
        <v>2241</v>
      </c>
      <c r="J166" s="148" t="s">
        <v>2242</v>
      </c>
      <c r="K166" s="9" t="s">
        <v>1919</v>
      </c>
      <c r="L166" s="6" t="s">
        <v>2243</v>
      </c>
      <c r="M166" s="9" t="s">
        <v>2230</v>
      </c>
    </row>
    <row r="167" spans="1:13" ht="51">
      <c r="A167" s="140">
        <v>2021</v>
      </c>
      <c r="B167" s="9" t="s">
        <v>1126</v>
      </c>
      <c r="C167" s="9" t="s">
        <v>61</v>
      </c>
      <c r="D167" s="140" t="s">
        <v>62</v>
      </c>
      <c r="E167" s="6" t="s">
        <v>1904</v>
      </c>
      <c r="F167" s="121">
        <v>3300440</v>
      </c>
      <c r="G167" s="6"/>
      <c r="H167" s="22" t="s">
        <v>1128</v>
      </c>
      <c r="I167" s="6" t="s">
        <v>1129</v>
      </c>
      <c r="J167" s="6" t="s">
        <v>2244</v>
      </c>
      <c r="K167" s="9" t="s">
        <v>1855</v>
      </c>
      <c r="L167" s="6" t="s">
        <v>2245</v>
      </c>
      <c r="M167" s="9" t="s">
        <v>1127</v>
      </c>
    </row>
    <row r="168" spans="1:13" ht="280.5">
      <c r="A168" s="143">
        <v>2021</v>
      </c>
      <c r="B168" s="9" t="s">
        <v>1532</v>
      </c>
      <c r="C168" s="9" t="s">
        <v>61</v>
      </c>
      <c r="D168" s="115" t="s">
        <v>1383</v>
      </c>
      <c r="E168" s="115" t="s">
        <v>1859</v>
      </c>
      <c r="F168" s="121">
        <v>200000</v>
      </c>
      <c r="G168" s="6"/>
      <c r="H168" s="22" t="s">
        <v>1533</v>
      </c>
      <c r="I168" s="6" t="s">
        <v>1410</v>
      </c>
      <c r="J168" s="6" t="s">
        <v>2190</v>
      </c>
      <c r="K168" s="9" t="s">
        <v>1828</v>
      </c>
      <c r="L168" s="6" t="s">
        <v>2246</v>
      </c>
      <c r="M168" s="9" t="s">
        <v>1500</v>
      </c>
    </row>
    <row r="169" spans="1:13" ht="242.25">
      <c r="A169" s="143">
        <v>2021</v>
      </c>
      <c r="B169" s="9" t="s">
        <v>1534</v>
      </c>
      <c r="C169" s="9" t="s">
        <v>61</v>
      </c>
      <c r="D169" s="115" t="s">
        <v>1383</v>
      </c>
      <c r="E169" s="115" t="s">
        <v>1859</v>
      </c>
      <c r="F169" s="121">
        <v>155400</v>
      </c>
      <c r="G169" s="6"/>
      <c r="H169" s="22" t="s">
        <v>1535</v>
      </c>
      <c r="I169" s="6" t="s">
        <v>704</v>
      </c>
      <c r="J169" s="6"/>
      <c r="K169" s="9" t="s">
        <v>1879</v>
      </c>
      <c r="L169" s="6" t="s">
        <v>2247</v>
      </c>
      <c r="M169" s="9" t="s">
        <v>1520</v>
      </c>
    </row>
    <row r="170" spans="1:13" ht="255">
      <c r="A170" s="143">
        <v>2021</v>
      </c>
      <c r="B170" s="9" t="s">
        <v>1536</v>
      </c>
      <c r="C170" s="9" t="s">
        <v>61</v>
      </c>
      <c r="D170" s="115" t="s">
        <v>1383</v>
      </c>
      <c r="E170" s="115" t="s">
        <v>1859</v>
      </c>
      <c r="F170" s="150">
        <v>196050</v>
      </c>
      <c r="G170" s="6"/>
      <c r="H170" s="22" t="s">
        <v>1537</v>
      </c>
      <c r="I170" s="6" t="s">
        <v>575</v>
      </c>
      <c r="J170" s="6" t="s">
        <v>2190</v>
      </c>
      <c r="K170" s="9" t="s">
        <v>1828</v>
      </c>
      <c r="L170" s="6" t="s">
        <v>2248</v>
      </c>
      <c r="M170" s="9" t="s">
        <v>1520</v>
      </c>
    </row>
    <row r="171" spans="1:13" ht="178.5">
      <c r="A171" s="143">
        <v>2021</v>
      </c>
      <c r="B171" s="9" t="s">
        <v>1538</v>
      </c>
      <c r="C171" s="9" t="s">
        <v>61</v>
      </c>
      <c r="D171" s="115" t="s">
        <v>1383</v>
      </c>
      <c r="E171" s="115" t="s">
        <v>1859</v>
      </c>
      <c r="F171" s="121">
        <v>105600</v>
      </c>
      <c r="G171" s="148"/>
      <c r="H171" s="22" t="s">
        <v>1539</v>
      </c>
      <c r="I171" s="6" t="s">
        <v>2249</v>
      </c>
      <c r="J171" s="148" t="s">
        <v>2250</v>
      </c>
      <c r="K171" s="9" t="s">
        <v>1916</v>
      </c>
      <c r="L171" s="6" t="s">
        <v>2251</v>
      </c>
      <c r="M171" s="9" t="s">
        <v>1500</v>
      </c>
    </row>
    <row r="172" spans="1:13" ht="255">
      <c r="A172" s="143">
        <v>2021</v>
      </c>
      <c r="B172" s="9" t="s">
        <v>732</v>
      </c>
      <c r="C172" s="9" t="s">
        <v>61</v>
      </c>
      <c r="D172" s="9" t="s">
        <v>394</v>
      </c>
      <c r="E172" s="115" t="s">
        <v>1853</v>
      </c>
      <c r="F172" s="64">
        <v>8000</v>
      </c>
      <c r="G172" s="6"/>
      <c r="H172" s="22" t="s">
        <v>733</v>
      </c>
      <c r="I172" s="6" t="s">
        <v>734</v>
      </c>
      <c r="J172" s="6"/>
      <c r="K172" s="9" t="s">
        <v>1896</v>
      </c>
      <c r="L172" s="6" t="s">
        <v>2252</v>
      </c>
      <c r="M172" s="9" t="s">
        <v>394</v>
      </c>
    </row>
    <row r="173" spans="1:13" ht="89.25">
      <c r="A173" s="140">
        <v>2021</v>
      </c>
      <c r="B173" s="9" t="s">
        <v>1130</v>
      </c>
      <c r="C173" s="9" t="s">
        <v>61</v>
      </c>
      <c r="D173" s="9" t="s">
        <v>62</v>
      </c>
      <c r="E173" s="6" t="s">
        <v>1904</v>
      </c>
      <c r="F173" s="121">
        <v>1000000</v>
      </c>
      <c r="G173" s="6"/>
      <c r="H173" s="22" t="s">
        <v>1132</v>
      </c>
      <c r="I173" s="6" t="s">
        <v>1133</v>
      </c>
      <c r="J173" s="6"/>
      <c r="K173" s="9" t="s">
        <v>2051</v>
      </c>
      <c r="L173" s="6" t="s">
        <v>2253</v>
      </c>
      <c r="M173" s="6" t="s">
        <v>1131</v>
      </c>
    </row>
    <row r="174" spans="1:13" ht="76.5">
      <c r="A174" s="143">
        <v>2021</v>
      </c>
      <c r="B174" s="9" t="s">
        <v>735</v>
      </c>
      <c r="C174" s="9" t="s">
        <v>61</v>
      </c>
      <c r="D174" s="9" t="s">
        <v>394</v>
      </c>
      <c r="E174" s="115" t="s">
        <v>1853</v>
      </c>
      <c r="F174" s="64">
        <v>10000</v>
      </c>
      <c r="G174" s="148"/>
      <c r="H174" s="22" t="s">
        <v>736</v>
      </c>
      <c r="I174" s="6" t="s">
        <v>737</v>
      </c>
      <c r="J174" s="148" t="s">
        <v>2254</v>
      </c>
      <c r="K174" s="9" t="s">
        <v>1855</v>
      </c>
      <c r="L174" s="6" t="s">
        <v>2255</v>
      </c>
      <c r="M174" s="9" t="s">
        <v>394</v>
      </c>
    </row>
    <row r="175" spans="1:13" ht="255">
      <c r="A175" s="143">
        <v>2021</v>
      </c>
      <c r="B175" s="9" t="s">
        <v>738</v>
      </c>
      <c r="C175" s="9" t="s">
        <v>61</v>
      </c>
      <c r="D175" s="9" t="s">
        <v>652</v>
      </c>
      <c r="E175" s="6" t="s">
        <v>1874</v>
      </c>
      <c r="F175" s="64">
        <v>157139</v>
      </c>
      <c r="G175" s="148"/>
      <c r="H175" s="22" t="s">
        <v>739</v>
      </c>
      <c r="I175" s="6" t="s">
        <v>2256</v>
      </c>
      <c r="J175" s="148" t="s">
        <v>2257</v>
      </c>
      <c r="K175" s="9" t="s">
        <v>1879</v>
      </c>
      <c r="L175" s="6" t="s">
        <v>2258</v>
      </c>
      <c r="M175" s="9" t="s">
        <v>652</v>
      </c>
    </row>
    <row r="176" spans="1:13" ht="102">
      <c r="A176" s="143">
        <v>2021</v>
      </c>
      <c r="B176" s="9" t="s">
        <v>741</v>
      </c>
      <c r="C176" s="9" t="s">
        <v>61</v>
      </c>
      <c r="D176" s="9" t="s">
        <v>652</v>
      </c>
      <c r="E176" s="6" t="s">
        <v>1874</v>
      </c>
      <c r="F176" s="64">
        <v>28150</v>
      </c>
      <c r="G176" s="6"/>
      <c r="H176" s="22" t="s">
        <v>742</v>
      </c>
      <c r="I176" s="6" t="s">
        <v>2259</v>
      </c>
      <c r="J176" s="6" t="s">
        <v>2260</v>
      </c>
      <c r="K176" s="9" t="s">
        <v>1879</v>
      </c>
      <c r="L176" s="6" t="s">
        <v>2261</v>
      </c>
      <c r="M176" s="9" t="s">
        <v>652</v>
      </c>
    </row>
    <row r="177" spans="1:13" ht="267.75">
      <c r="A177" s="143">
        <v>2021</v>
      </c>
      <c r="B177" s="9" t="s">
        <v>744</v>
      </c>
      <c r="C177" s="9" t="s">
        <v>61</v>
      </c>
      <c r="D177" s="9" t="s">
        <v>652</v>
      </c>
      <c r="E177" s="6" t="s">
        <v>1874</v>
      </c>
      <c r="F177" s="64">
        <v>179435</v>
      </c>
      <c r="G177" s="148"/>
      <c r="H177" s="22" t="s">
        <v>745</v>
      </c>
      <c r="I177" s="6" t="s">
        <v>2262</v>
      </c>
      <c r="J177" s="148" t="s">
        <v>2263</v>
      </c>
      <c r="K177" s="9" t="s">
        <v>1879</v>
      </c>
      <c r="L177" s="6" t="s">
        <v>2264</v>
      </c>
      <c r="M177" s="9" t="s">
        <v>652</v>
      </c>
    </row>
    <row r="178" spans="1:13" ht="293.25">
      <c r="A178" s="140">
        <v>2021</v>
      </c>
      <c r="B178" s="9" t="s">
        <v>1134</v>
      </c>
      <c r="C178" s="9" t="s">
        <v>61</v>
      </c>
      <c r="D178" s="9" t="s">
        <v>62</v>
      </c>
      <c r="E178" s="6" t="s">
        <v>1904</v>
      </c>
      <c r="F178" s="121">
        <v>916956.36</v>
      </c>
      <c r="G178" s="6"/>
      <c r="H178" s="22" t="s">
        <v>1135</v>
      </c>
      <c r="I178" s="6" t="s">
        <v>1136</v>
      </c>
      <c r="J178" s="6"/>
      <c r="K178" s="9" t="s">
        <v>1919</v>
      </c>
      <c r="L178" s="6" t="s">
        <v>2265</v>
      </c>
      <c r="M178" s="9" t="s">
        <v>62</v>
      </c>
    </row>
    <row r="179" spans="1:13" ht="165.75">
      <c r="A179" s="143">
        <v>2021</v>
      </c>
      <c r="B179" s="9" t="s">
        <v>747</v>
      </c>
      <c r="C179" s="9" t="s">
        <v>61</v>
      </c>
      <c r="D179" s="9" t="s">
        <v>652</v>
      </c>
      <c r="E179" s="6" t="s">
        <v>1874</v>
      </c>
      <c r="F179" s="64">
        <v>30842</v>
      </c>
      <c r="G179" s="148"/>
      <c r="H179" s="22" t="s">
        <v>748</v>
      </c>
      <c r="I179" s="6" t="s">
        <v>2266</v>
      </c>
      <c r="J179" s="148" t="s">
        <v>2267</v>
      </c>
      <c r="K179" s="6" t="s">
        <v>1886</v>
      </c>
      <c r="L179" s="6" t="s">
        <v>2268</v>
      </c>
      <c r="M179" s="9" t="s">
        <v>652</v>
      </c>
    </row>
    <row r="180" spans="1:13" ht="216.75">
      <c r="A180" s="143">
        <v>2021</v>
      </c>
      <c r="B180" s="9" t="s">
        <v>750</v>
      </c>
      <c r="C180" s="9" t="s">
        <v>61</v>
      </c>
      <c r="D180" s="9" t="s">
        <v>652</v>
      </c>
      <c r="E180" s="6" t="s">
        <v>1874</v>
      </c>
      <c r="F180" s="151">
        <v>378009.46</v>
      </c>
      <c r="G180" s="148"/>
      <c r="H180" s="22" t="s">
        <v>751</v>
      </c>
      <c r="I180" s="6" t="s">
        <v>2269</v>
      </c>
      <c r="J180" s="148" t="s">
        <v>2270</v>
      </c>
      <c r="K180" s="9" t="s">
        <v>1879</v>
      </c>
      <c r="L180" s="6" t="s">
        <v>2271</v>
      </c>
      <c r="M180" s="9" t="s">
        <v>652</v>
      </c>
    </row>
    <row r="181" spans="1:13" ht="12.75">
      <c r="A181" s="143">
        <v>2021</v>
      </c>
      <c r="B181" s="9" t="s">
        <v>2272</v>
      </c>
      <c r="C181" s="9" t="s">
        <v>61</v>
      </c>
      <c r="D181" s="115" t="s">
        <v>1383</v>
      </c>
      <c r="E181" s="115" t="s">
        <v>1859</v>
      </c>
      <c r="F181" s="121">
        <v>169850</v>
      </c>
      <c r="G181" s="6"/>
      <c r="H181" s="22" t="s">
        <v>2273</v>
      </c>
      <c r="I181" s="6" t="s">
        <v>1547</v>
      </c>
      <c r="J181" s="6" t="s">
        <v>2190</v>
      </c>
      <c r="K181" s="9" t="s">
        <v>1828</v>
      </c>
      <c r="L181" s="6"/>
      <c r="M181" s="9" t="s">
        <v>1934</v>
      </c>
    </row>
    <row r="182" spans="1:13" ht="12.75">
      <c r="A182" s="143">
        <v>2021</v>
      </c>
      <c r="B182" s="9" t="s">
        <v>2274</v>
      </c>
      <c r="C182" s="9" t="s">
        <v>61</v>
      </c>
      <c r="D182" s="9" t="s">
        <v>1838</v>
      </c>
      <c r="E182" s="9" t="s">
        <v>2275</v>
      </c>
      <c r="F182" s="121">
        <v>55000</v>
      </c>
      <c r="G182" s="6"/>
      <c r="H182" s="22" t="s">
        <v>2276</v>
      </c>
      <c r="I182" s="6" t="s">
        <v>2277</v>
      </c>
      <c r="J182" s="6" t="s">
        <v>2190</v>
      </c>
      <c r="K182" s="9" t="s">
        <v>1828</v>
      </c>
      <c r="L182" s="6"/>
      <c r="M182" s="9" t="s">
        <v>1838</v>
      </c>
    </row>
    <row r="183" spans="1:13" ht="280.5">
      <c r="A183" s="143">
        <v>2021</v>
      </c>
      <c r="B183" s="9" t="s">
        <v>1541</v>
      </c>
      <c r="C183" s="9" t="s">
        <v>61</v>
      </c>
      <c r="D183" s="115" t="s">
        <v>1383</v>
      </c>
      <c r="E183" s="115" t="s">
        <v>1859</v>
      </c>
      <c r="F183" s="121">
        <v>46400</v>
      </c>
      <c r="G183" s="6"/>
      <c r="H183" s="22" t="s">
        <v>1542</v>
      </c>
      <c r="I183" s="6" t="s">
        <v>1543</v>
      </c>
      <c r="J183" s="6" t="s">
        <v>2190</v>
      </c>
      <c r="K183" s="9" t="s">
        <v>1828</v>
      </c>
      <c r="L183" s="6" t="s">
        <v>2278</v>
      </c>
      <c r="M183" s="9" t="s">
        <v>1520</v>
      </c>
    </row>
    <row r="184" spans="1:13" ht="255">
      <c r="A184" s="143">
        <v>2021</v>
      </c>
      <c r="B184" s="9" t="s">
        <v>1137</v>
      </c>
      <c r="C184" s="9" t="s">
        <v>61</v>
      </c>
      <c r="D184" s="9" t="s">
        <v>1099</v>
      </c>
      <c r="E184" s="6" t="s">
        <v>1904</v>
      </c>
      <c r="F184" s="150">
        <v>246099.46</v>
      </c>
      <c r="G184" s="152"/>
      <c r="H184" s="22" t="s">
        <v>1138</v>
      </c>
      <c r="I184" s="6" t="s">
        <v>2279</v>
      </c>
      <c r="J184" s="152" t="s">
        <v>2280</v>
      </c>
      <c r="K184" s="9" t="s">
        <v>1916</v>
      </c>
      <c r="L184" s="6" t="s">
        <v>2281</v>
      </c>
      <c r="M184" s="9" t="s">
        <v>1099</v>
      </c>
    </row>
    <row r="185" spans="1:13" ht="76.5">
      <c r="A185" s="143">
        <v>2021</v>
      </c>
      <c r="B185" s="9" t="s">
        <v>753</v>
      </c>
      <c r="C185" s="9" t="s">
        <v>61</v>
      </c>
      <c r="D185" s="9" t="s">
        <v>652</v>
      </c>
      <c r="E185" s="6" t="s">
        <v>1874</v>
      </c>
      <c r="F185" s="151">
        <v>29572.21</v>
      </c>
      <c r="G185" s="6"/>
      <c r="H185" s="22" t="s">
        <v>754</v>
      </c>
      <c r="I185" s="6" t="s">
        <v>755</v>
      </c>
      <c r="J185" s="6" t="s">
        <v>2190</v>
      </c>
      <c r="K185" s="9" t="s">
        <v>1828</v>
      </c>
      <c r="L185" s="6"/>
      <c r="M185" s="9" t="s">
        <v>652</v>
      </c>
    </row>
    <row r="186" spans="1:13" ht="306">
      <c r="A186" s="143">
        <v>2021</v>
      </c>
      <c r="B186" s="9" t="s">
        <v>1544</v>
      </c>
      <c r="C186" s="9" t="s">
        <v>61</v>
      </c>
      <c r="D186" s="115" t="s">
        <v>1383</v>
      </c>
      <c r="E186" s="115" t="s">
        <v>1859</v>
      </c>
      <c r="F186" s="121">
        <v>110000</v>
      </c>
      <c r="G186" s="6"/>
      <c r="H186" s="22" t="s">
        <v>1546</v>
      </c>
      <c r="I186" s="6" t="s">
        <v>2282</v>
      </c>
      <c r="J186" s="6" t="s">
        <v>2190</v>
      </c>
      <c r="K186" s="9" t="s">
        <v>1828</v>
      </c>
      <c r="L186" s="6" t="s">
        <v>2283</v>
      </c>
      <c r="M186" s="9" t="s">
        <v>1545</v>
      </c>
    </row>
    <row r="187" spans="1:13" ht="25.5">
      <c r="A187" s="143">
        <v>2021</v>
      </c>
      <c r="B187" s="9" t="s">
        <v>1548</v>
      </c>
      <c r="C187" s="9" t="s">
        <v>61</v>
      </c>
      <c r="D187" s="9" t="s">
        <v>1549</v>
      </c>
      <c r="E187" s="9" t="s">
        <v>1824</v>
      </c>
      <c r="F187" s="121">
        <v>803882</v>
      </c>
      <c r="G187" s="6"/>
      <c r="H187" s="22" t="s">
        <v>1550</v>
      </c>
      <c r="I187" s="6" t="s">
        <v>808</v>
      </c>
      <c r="J187" s="6" t="s">
        <v>2190</v>
      </c>
      <c r="K187" s="9" t="s">
        <v>1828</v>
      </c>
      <c r="L187" s="6"/>
      <c r="M187" s="9" t="s">
        <v>1549</v>
      </c>
    </row>
    <row r="188" spans="1:13" ht="165.75">
      <c r="A188" s="143">
        <v>2021</v>
      </c>
      <c r="B188" s="9" t="s">
        <v>1551</v>
      </c>
      <c r="C188" s="9" t="s">
        <v>61</v>
      </c>
      <c r="D188" s="9" t="s">
        <v>1549</v>
      </c>
      <c r="E188" s="9" t="s">
        <v>1824</v>
      </c>
      <c r="F188" s="121">
        <v>2789448.89</v>
      </c>
      <c r="G188" s="6"/>
      <c r="H188" s="22" t="s">
        <v>1552</v>
      </c>
      <c r="I188" s="6" t="s">
        <v>1511</v>
      </c>
      <c r="J188" s="6" t="s">
        <v>2190</v>
      </c>
      <c r="K188" s="9" t="s">
        <v>1828</v>
      </c>
      <c r="L188" s="6" t="s">
        <v>2284</v>
      </c>
      <c r="M188" s="9" t="s">
        <v>1549</v>
      </c>
    </row>
    <row r="189" spans="1:13" ht="255">
      <c r="A189" s="143">
        <v>2021</v>
      </c>
      <c r="B189" s="9" t="s">
        <v>756</v>
      </c>
      <c r="C189" s="9" t="s">
        <v>61</v>
      </c>
      <c r="D189" s="6" t="s">
        <v>586</v>
      </c>
      <c r="E189" s="6" t="s">
        <v>1874</v>
      </c>
      <c r="F189" s="121">
        <v>20000</v>
      </c>
      <c r="G189" s="148"/>
      <c r="H189" s="22" t="s">
        <v>757</v>
      </c>
      <c r="I189" s="6" t="s">
        <v>2227</v>
      </c>
      <c r="J189" s="148" t="s">
        <v>2285</v>
      </c>
      <c r="K189" s="6" t="s">
        <v>1886</v>
      </c>
      <c r="L189" s="6" t="s">
        <v>2286</v>
      </c>
      <c r="M189" s="6" t="s">
        <v>586</v>
      </c>
    </row>
    <row r="190" spans="1:13" ht="127.5">
      <c r="A190" s="143">
        <v>2021</v>
      </c>
      <c r="B190" s="9" t="s">
        <v>758</v>
      </c>
      <c r="C190" s="9" t="s">
        <v>61</v>
      </c>
      <c r="D190" s="17" t="s">
        <v>1877</v>
      </c>
      <c r="E190" s="115" t="s">
        <v>1853</v>
      </c>
      <c r="F190" s="121">
        <v>46650</v>
      </c>
      <c r="G190" s="148"/>
      <c r="H190" s="22" t="s">
        <v>759</v>
      </c>
      <c r="I190" s="6" t="s">
        <v>2287</v>
      </c>
      <c r="J190" s="148" t="s">
        <v>2288</v>
      </c>
      <c r="K190" s="6" t="s">
        <v>1886</v>
      </c>
      <c r="L190" s="6" t="s">
        <v>2289</v>
      </c>
      <c r="M190" s="9" t="s">
        <v>456</v>
      </c>
    </row>
    <row r="191" spans="1:13" ht="38.25">
      <c r="A191" s="143">
        <v>2021</v>
      </c>
      <c r="B191" s="9" t="s">
        <v>2290</v>
      </c>
      <c r="C191" s="9" t="s">
        <v>1867</v>
      </c>
      <c r="D191" s="9"/>
      <c r="E191" s="9"/>
      <c r="F191" s="121"/>
      <c r="G191" s="148"/>
      <c r="H191" s="22" t="s">
        <v>2291</v>
      </c>
      <c r="I191" s="6" t="s">
        <v>2292</v>
      </c>
      <c r="J191" s="148" t="s">
        <v>2293</v>
      </c>
      <c r="K191" s="6" t="s">
        <v>1886</v>
      </c>
      <c r="L191" s="139" t="s">
        <v>2016</v>
      </c>
      <c r="M191" s="9"/>
    </row>
    <row r="192" spans="1:13" ht="38.25">
      <c r="A192" s="143">
        <v>2021</v>
      </c>
      <c r="B192" s="9" t="s">
        <v>2294</v>
      </c>
      <c r="C192" s="9" t="s">
        <v>1867</v>
      </c>
      <c r="D192" s="9"/>
      <c r="E192" s="9"/>
      <c r="F192" s="121"/>
      <c r="G192" s="6"/>
      <c r="H192" s="22" t="s">
        <v>2295</v>
      </c>
      <c r="I192" s="6" t="s">
        <v>2296</v>
      </c>
      <c r="J192" s="6" t="s">
        <v>2297</v>
      </c>
      <c r="K192" s="6" t="s">
        <v>1886</v>
      </c>
      <c r="L192" s="139" t="s">
        <v>2016</v>
      </c>
      <c r="M192" s="9"/>
    </row>
    <row r="193" spans="1:13" ht="216.75">
      <c r="A193" s="143">
        <v>2021</v>
      </c>
      <c r="B193" s="9" t="s">
        <v>1553</v>
      </c>
      <c r="C193" s="9" t="s">
        <v>1926</v>
      </c>
      <c r="D193" s="9" t="s">
        <v>1549</v>
      </c>
      <c r="E193" s="9" t="s">
        <v>1824</v>
      </c>
      <c r="F193" s="110"/>
      <c r="G193" s="6"/>
      <c r="H193" s="22" t="s">
        <v>1554</v>
      </c>
      <c r="I193" s="6" t="s">
        <v>575</v>
      </c>
      <c r="J193" s="6" t="s">
        <v>2298</v>
      </c>
      <c r="K193" s="9" t="s">
        <v>1828</v>
      </c>
      <c r="L193" s="6" t="s">
        <v>2299</v>
      </c>
      <c r="M193" s="9" t="s">
        <v>1549</v>
      </c>
    </row>
    <row r="194" spans="1:13" ht="38.25">
      <c r="A194" s="143">
        <v>2021</v>
      </c>
      <c r="B194" s="9" t="s">
        <v>761</v>
      </c>
      <c r="C194" s="9" t="s">
        <v>61</v>
      </c>
      <c r="D194" s="112" t="s">
        <v>68</v>
      </c>
      <c r="E194" s="6" t="s">
        <v>1874</v>
      </c>
      <c r="F194" s="110">
        <v>350000</v>
      </c>
      <c r="G194" s="6"/>
      <c r="H194" s="22" t="s">
        <v>762</v>
      </c>
      <c r="I194" s="6" t="s">
        <v>763</v>
      </c>
      <c r="J194" s="6" t="s">
        <v>2300</v>
      </c>
      <c r="K194" s="9" t="s">
        <v>1828</v>
      </c>
      <c r="L194" s="6" t="s">
        <v>2301</v>
      </c>
      <c r="M194" s="9" t="s">
        <v>68</v>
      </c>
    </row>
    <row r="195" spans="1:13" ht="140.25">
      <c r="A195" s="143">
        <v>2021</v>
      </c>
      <c r="B195" s="9" t="s">
        <v>2302</v>
      </c>
      <c r="C195" s="9" t="s">
        <v>61</v>
      </c>
      <c r="D195" s="115" t="s">
        <v>1383</v>
      </c>
      <c r="E195" s="115" t="s">
        <v>1859</v>
      </c>
      <c r="F195" s="110">
        <v>200000</v>
      </c>
      <c r="G195" s="153"/>
      <c r="H195" s="22" t="s">
        <v>2303</v>
      </c>
      <c r="I195" s="6" t="s">
        <v>2304</v>
      </c>
      <c r="J195" s="153" t="s">
        <v>2305</v>
      </c>
      <c r="K195" s="6" t="s">
        <v>2082</v>
      </c>
      <c r="L195" s="6" t="s">
        <v>2306</v>
      </c>
      <c r="M195" s="9" t="s">
        <v>2172</v>
      </c>
    </row>
    <row r="196" spans="1:13" ht="76.5">
      <c r="A196" s="143">
        <v>2021</v>
      </c>
      <c r="B196" s="9" t="s">
        <v>2307</v>
      </c>
      <c r="C196" s="9" t="s">
        <v>61</v>
      </c>
      <c r="D196" s="115" t="s">
        <v>1383</v>
      </c>
      <c r="E196" s="115" t="s">
        <v>1859</v>
      </c>
      <c r="F196" s="110">
        <v>190000</v>
      </c>
      <c r="G196" s="6"/>
      <c r="H196" s="22" t="s">
        <v>2308</v>
      </c>
      <c r="I196" s="6" t="s">
        <v>2309</v>
      </c>
      <c r="J196" s="6" t="s">
        <v>2310</v>
      </c>
      <c r="K196" s="9" t="s">
        <v>1896</v>
      </c>
      <c r="L196" s="6" t="s">
        <v>2311</v>
      </c>
      <c r="M196" s="9" t="s">
        <v>2172</v>
      </c>
    </row>
    <row r="197" spans="1:13" ht="63.75">
      <c r="A197" s="143">
        <v>2021</v>
      </c>
      <c r="B197" s="9" t="s">
        <v>1140</v>
      </c>
      <c r="C197" s="9" t="s">
        <v>61</v>
      </c>
      <c r="D197" s="9" t="s">
        <v>1141</v>
      </c>
      <c r="E197" s="6" t="s">
        <v>1904</v>
      </c>
      <c r="F197" s="110">
        <v>114237.84</v>
      </c>
      <c r="G197" s="6"/>
      <c r="H197" s="22" t="s">
        <v>1142</v>
      </c>
      <c r="I197" s="6" t="s">
        <v>1143</v>
      </c>
      <c r="J197" s="6"/>
      <c r="K197" s="9" t="s">
        <v>1916</v>
      </c>
      <c r="L197" s="6" t="s">
        <v>2312</v>
      </c>
      <c r="M197" s="9" t="s">
        <v>1141</v>
      </c>
    </row>
    <row r="198" spans="1:13" ht="229.5">
      <c r="A198" s="143">
        <v>2021</v>
      </c>
      <c r="B198" s="9" t="s">
        <v>1144</v>
      </c>
      <c r="C198" s="9" t="s">
        <v>61</v>
      </c>
      <c r="D198" s="9" t="s">
        <v>1141</v>
      </c>
      <c r="E198" s="6" t="s">
        <v>1904</v>
      </c>
      <c r="F198" s="110">
        <v>246150</v>
      </c>
      <c r="G198" s="6"/>
      <c r="H198" s="22" t="s">
        <v>1145</v>
      </c>
      <c r="I198" s="6" t="s">
        <v>2313</v>
      </c>
      <c r="J198" s="6" t="s">
        <v>2314</v>
      </c>
      <c r="K198" s="9" t="s">
        <v>1896</v>
      </c>
      <c r="L198" s="6" t="s">
        <v>2315</v>
      </c>
      <c r="M198" s="9" t="s">
        <v>1141</v>
      </c>
    </row>
    <row r="199" spans="1:13" ht="178.5">
      <c r="A199" s="143">
        <v>2021</v>
      </c>
      <c r="B199" s="9" t="s">
        <v>764</v>
      </c>
      <c r="C199" s="9" t="s">
        <v>61</v>
      </c>
      <c r="D199" s="9" t="s">
        <v>652</v>
      </c>
      <c r="E199" s="6" t="s">
        <v>1874</v>
      </c>
      <c r="F199" s="154">
        <v>201000</v>
      </c>
      <c r="G199" s="6"/>
      <c r="H199" s="22" t="s">
        <v>765</v>
      </c>
      <c r="I199" s="6" t="s">
        <v>766</v>
      </c>
      <c r="J199" s="6" t="s">
        <v>2316</v>
      </c>
      <c r="K199" s="9" t="s">
        <v>1828</v>
      </c>
      <c r="L199" s="6" t="s">
        <v>2317</v>
      </c>
      <c r="M199" s="9" t="s">
        <v>652</v>
      </c>
    </row>
    <row r="200" spans="1:13" ht="102">
      <c r="A200" s="143">
        <v>2020</v>
      </c>
      <c r="B200" s="155">
        <v>43831</v>
      </c>
      <c r="C200" s="156" t="s">
        <v>61</v>
      </c>
      <c r="D200" s="115" t="s">
        <v>1383</v>
      </c>
      <c r="E200" s="115" t="s">
        <v>1859</v>
      </c>
      <c r="F200" s="157">
        <v>5969000</v>
      </c>
      <c r="G200" s="158"/>
      <c r="H200" s="156" t="s">
        <v>2318</v>
      </c>
      <c r="I200" s="156" t="s">
        <v>2319</v>
      </c>
      <c r="J200" s="156" t="s">
        <v>2320</v>
      </c>
      <c r="K200" s="156" t="s">
        <v>1828</v>
      </c>
      <c r="L200" s="159" t="s">
        <v>2321</v>
      </c>
      <c r="M200" s="156" t="s">
        <v>1940</v>
      </c>
    </row>
    <row r="201" spans="1:13" ht="140.25">
      <c r="A201" s="140">
        <v>2020</v>
      </c>
      <c r="B201" s="61">
        <v>43862</v>
      </c>
      <c r="C201" s="6" t="s">
        <v>61</v>
      </c>
      <c r="D201" s="9" t="s">
        <v>62</v>
      </c>
      <c r="E201" s="6" t="s">
        <v>1904</v>
      </c>
      <c r="F201" s="121">
        <v>2957181.66</v>
      </c>
      <c r="G201" s="158"/>
      <c r="H201" s="6" t="s">
        <v>1148</v>
      </c>
      <c r="I201" s="6" t="s">
        <v>2322</v>
      </c>
      <c r="J201" s="160" t="s">
        <v>2323</v>
      </c>
      <c r="K201" s="6" t="s">
        <v>2085</v>
      </c>
      <c r="L201" s="22" t="s">
        <v>2324</v>
      </c>
      <c r="M201" s="6" t="s">
        <v>62</v>
      </c>
    </row>
    <row r="202" spans="1:13" ht="140.25">
      <c r="A202" s="143">
        <v>2020</v>
      </c>
      <c r="B202" s="61">
        <v>43922</v>
      </c>
      <c r="C202" s="6"/>
      <c r="D202" s="161" t="s">
        <v>697</v>
      </c>
      <c r="E202" s="6" t="s">
        <v>1824</v>
      </c>
      <c r="F202" s="162">
        <v>546900</v>
      </c>
      <c r="G202" s="158"/>
      <c r="H202" s="6" t="s">
        <v>2325</v>
      </c>
      <c r="I202" s="6" t="s">
        <v>699</v>
      </c>
      <c r="J202" s="6" t="s">
        <v>2326</v>
      </c>
      <c r="K202" s="6" t="s">
        <v>1828</v>
      </c>
      <c r="L202" s="22" t="s">
        <v>2327</v>
      </c>
      <c r="M202" s="161" t="s">
        <v>697</v>
      </c>
    </row>
    <row r="203" spans="1:13" ht="12.75">
      <c r="A203" s="143">
        <v>2020</v>
      </c>
      <c r="B203" s="61">
        <v>43952</v>
      </c>
      <c r="C203" s="6" t="s">
        <v>2328</v>
      </c>
      <c r="D203" s="6"/>
      <c r="E203" s="6"/>
      <c r="F203" s="121"/>
      <c r="G203" s="6"/>
      <c r="H203" s="6" t="s">
        <v>2329</v>
      </c>
      <c r="I203" s="6" t="s">
        <v>2330</v>
      </c>
      <c r="J203" s="6" t="s">
        <v>2326</v>
      </c>
      <c r="K203" s="6" t="s">
        <v>1828</v>
      </c>
      <c r="L203" s="22" t="s">
        <v>2028</v>
      </c>
      <c r="M203" s="6"/>
    </row>
    <row r="204" spans="1:13" ht="63.75">
      <c r="A204" s="143">
        <v>2020</v>
      </c>
      <c r="B204" s="61">
        <v>43983</v>
      </c>
      <c r="C204" s="6" t="s">
        <v>61</v>
      </c>
      <c r="D204" s="115" t="s">
        <v>1383</v>
      </c>
      <c r="E204" s="115" t="s">
        <v>1859</v>
      </c>
      <c r="F204" s="121">
        <v>1000000</v>
      </c>
      <c r="G204" s="158"/>
      <c r="H204" s="6" t="s">
        <v>1555</v>
      </c>
      <c r="I204" s="6" t="s">
        <v>2331</v>
      </c>
      <c r="J204" s="6" t="s">
        <v>2326</v>
      </c>
      <c r="K204" s="6" t="s">
        <v>1828</v>
      </c>
      <c r="L204" s="22" t="s">
        <v>2332</v>
      </c>
      <c r="M204" s="6" t="s">
        <v>1383</v>
      </c>
    </row>
    <row r="205" spans="1:13" ht="114.75">
      <c r="A205" s="143">
        <v>2020</v>
      </c>
      <c r="B205" s="61">
        <v>44013</v>
      </c>
      <c r="C205" s="6" t="s">
        <v>61</v>
      </c>
      <c r="D205" s="115" t="s">
        <v>1383</v>
      </c>
      <c r="E205" s="115" t="s">
        <v>1859</v>
      </c>
      <c r="F205" s="121">
        <v>2590000</v>
      </c>
      <c r="G205" s="158"/>
      <c r="H205" s="6" t="s">
        <v>1557</v>
      </c>
      <c r="I205" s="6" t="s">
        <v>1556</v>
      </c>
      <c r="J205" s="6" t="s">
        <v>2326</v>
      </c>
      <c r="K205" s="6" t="s">
        <v>1828</v>
      </c>
      <c r="L205" s="22" t="s">
        <v>2333</v>
      </c>
      <c r="M205" s="6" t="s">
        <v>1383</v>
      </c>
    </row>
    <row r="206" spans="1:13" ht="102">
      <c r="A206" s="140">
        <v>2020</v>
      </c>
      <c r="B206" s="62">
        <v>44075</v>
      </c>
      <c r="C206" s="6" t="s">
        <v>61</v>
      </c>
      <c r="D206" s="9" t="s">
        <v>62</v>
      </c>
      <c r="E206" s="6" t="s">
        <v>1904</v>
      </c>
      <c r="F206" s="121">
        <v>1000000</v>
      </c>
      <c r="G206" s="158"/>
      <c r="H206" s="6" t="s">
        <v>1152</v>
      </c>
      <c r="I206" s="6" t="s">
        <v>2334</v>
      </c>
      <c r="J206" s="6" t="s">
        <v>2326</v>
      </c>
      <c r="K206" s="6" t="s">
        <v>1828</v>
      </c>
      <c r="L206" s="22" t="s">
        <v>2335</v>
      </c>
      <c r="M206" s="6" t="s">
        <v>1151</v>
      </c>
    </row>
    <row r="207" spans="1:13" ht="89.25">
      <c r="A207" s="140">
        <v>2020</v>
      </c>
      <c r="B207" s="61">
        <v>44136</v>
      </c>
      <c r="C207" s="6" t="s">
        <v>61</v>
      </c>
      <c r="D207" s="140" t="s">
        <v>62</v>
      </c>
      <c r="E207" s="6" t="s">
        <v>1904</v>
      </c>
      <c r="F207" s="163">
        <v>1000000</v>
      </c>
      <c r="G207" s="158"/>
      <c r="H207" s="158" t="s">
        <v>1154</v>
      </c>
      <c r="I207" s="158" t="s">
        <v>2336</v>
      </c>
      <c r="J207" s="158" t="s">
        <v>2337</v>
      </c>
      <c r="K207" s="6" t="s">
        <v>1855</v>
      </c>
      <c r="L207" s="164" t="s">
        <v>2338</v>
      </c>
      <c r="M207" s="6" t="s">
        <v>1151</v>
      </c>
    </row>
    <row r="208" spans="1:13" ht="76.5">
      <c r="A208" s="140">
        <v>2020</v>
      </c>
      <c r="B208" s="6" t="s">
        <v>1156</v>
      </c>
      <c r="C208" s="6" t="s">
        <v>61</v>
      </c>
      <c r="D208" s="9" t="s">
        <v>62</v>
      </c>
      <c r="E208" s="6" t="s">
        <v>1904</v>
      </c>
      <c r="F208" s="121">
        <v>1000000</v>
      </c>
      <c r="G208" s="158"/>
      <c r="H208" s="6" t="s">
        <v>1157</v>
      </c>
      <c r="I208" s="6" t="s">
        <v>2339</v>
      </c>
      <c r="J208" s="160" t="s">
        <v>2340</v>
      </c>
      <c r="K208" s="6" t="s">
        <v>1828</v>
      </c>
      <c r="L208" s="22" t="s">
        <v>2341</v>
      </c>
      <c r="M208" s="6" t="s">
        <v>1151</v>
      </c>
    </row>
    <row r="209" spans="1:13" ht="76.5">
      <c r="A209" s="140">
        <v>2020</v>
      </c>
      <c r="B209" s="6" t="s">
        <v>1159</v>
      </c>
      <c r="C209" s="6" t="s">
        <v>61</v>
      </c>
      <c r="D209" s="9" t="s">
        <v>62</v>
      </c>
      <c r="E209" s="6" t="s">
        <v>1904</v>
      </c>
      <c r="F209" s="121">
        <v>2284150</v>
      </c>
      <c r="G209" s="158"/>
      <c r="H209" s="6" t="s">
        <v>1160</v>
      </c>
      <c r="I209" s="6" t="s">
        <v>2342</v>
      </c>
      <c r="J209" s="160" t="s">
        <v>2343</v>
      </c>
      <c r="K209" s="6" t="s">
        <v>1828</v>
      </c>
      <c r="L209" s="22" t="s">
        <v>2344</v>
      </c>
      <c r="M209" s="6" t="s">
        <v>62</v>
      </c>
    </row>
    <row r="210" spans="1:13" ht="114.75">
      <c r="A210" s="140">
        <v>2020</v>
      </c>
      <c r="B210" s="6" t="s">
        <v>1162</v>
      </c>
      <c r="C210" s="6" t="s">
        <v>61</v>
      </c>
      <c r="D210" s="9" t="s">
        <v>62</v>
      </c>
      <c r="E210" s="6" t="s">
        <v>1904</v>
      </c>
      <c r="F210" s="121">
        <v>1621819.5</v>
      </c>
      <c r="G210" s="158"/>
      <c r="H210" s="6" t="s">
        <v>1163</v>
      </c>
      <c r="I210" s="6" t="s">
        <v>2345</v>
      </c>
      <c r="J210" s="160" t="s">
        <v>2346</v>
      </c>
      <c r="K210" s="6" t="s">
        <v>1828</v>
      </c>
      <c r="L210" s="22" t="s">
        <v>2347</v>
      </c>
      <c r="M210" s="6" t="s">
        <v>62</v>
      </c>
    </row>
    <row r="211" spans="1:13" ht="76.5">
      <c r="A211" s="140">
        <v>2020</v>
      </c>
      <c r="B211" s="6" t="s">
        <v>1165</v>
      </c>
      <c r="C211" s="6" t="s">
        <v>61</v>
      </c>
      <c r="D211" s="9" t="s">
        <v>62</v>
      </c>
      <c r="E211" s="6" t="s">
        <v>1904</v>
      </c>
      <c r="F211" s="121">
        <v>2382264</v>
      </c>
      <c r="G211" s="158"/>
      <c r="H211" s="6" t="s">
        <v>1166</v>
      </c>
      <c r="I211" s="6" t="s">
        <v>2348</v>
      </c>
      <c r="J211" s="160" t="s">
        <v>2349</v>
      </c>
      <c r="K211" s="6" t="s">
        <v>1899</v>
      </c>
      <c r="L211" s="22" t="s">
        <v>2350</v>
      </c>
      <c r="M211" s="6" t="s">
        <v>62</v>
      </c>
    </row>
    <row r="212" spans="1:13" ht="121.5" customHeight="1">
      <c r="A212" s="143">
        <v>2020</v>
      </c>
      <c r="B212" s="6" t="s">
        <v>1558</v>
      </c>
      <c r="C212" s="6" t="s">
        <v>61</v>
      </c>
      <c r="D212" s="6" t="s">
        <v>2351</v>
      </c>
      <c r="E212" s="6" t="s">
        <v>1824</v>
      </c>
      <c r="F212" s="162">
        <v>1000000</v>
      </c>
      <c r="G212" s="158"/>
      <c r="H212" s="6" t="s">
        <v>1559</v>
      </c>
      <c r="I212" s="158" t="s">
        <v>1560</v>
      </c>
      <c r="J212" s="6" t="s">
        <v>2326</v>
      </c>
      <c r="K212" s="6" t="s">
        <v>1828</v>
      </c>
      <c r="L212" s="147" t="s">
        <v>2352</v>
      </c>
      <c r="M212" s="6" t="s">
        <v>1549</v>
      </c>
    </row>
    <row r="213" spans="1:13" ht="12.75">
      <c r="A213" s="143">
        <v>2020</v>
      </c>
      <c r="B213" s="6" t="s">
        <v>2353</v>
      </c>
      <c r="C213" s="6" t="s">
        <v>2328</v>
      </c>
      <c r="D213" s="6" t="s">
        <v>1141</v>
      </c>
      <c r="E213" s="6" t="s">
        <v>2144</v>
      </c>
      <c r="F213" s="121"/>
      <c r="G213" s="158"/>
      <c r="H213" s="6" t="s">
        <v>2354</v>
      </c>
      <c r="I213" s="6" t="s">
        <v>2355</v>
      </c>
      <c r="J213" s="6" t="s">
        <v>2326</v>
      </c>
      <c r="K213" s="6" t="s">
        <v>1828</v>
      </c>
      <c r="L213" s="22" t="s">
        <v>2028</v>
      </c>
      <c r="M213" s="6" t="s">
        <v>1141</v>
      </c>
    </row>
    <row r="214" spans="1:13" ht="89.25">
      <c r="A214" s="143">
        <v>2020</v>
      </c>
      <c r="B214" s="6" t="s">
        <v>767</v>
      </c>
      <c r="C214" s="6" t="s">
        <v>61</v>
      </c>
      <c r="D214" s="112" t="s">
        <v>68</v>
      </c>
      <c r="E214" s="6" t="s">
        <v>1874</v>
      </c>
      <c r="F214" s="121">
        <v>169000</v>
      </c>
      <c r="G214" s="158"/>
      <c r="H214" s="158" t="s">
        <v>768</v>
      </c>
      <c r="I214" s="6" t="s">
        <v>769</v>
      </c>
      <c r="J214" s="6" t="s">
        <v>2356</v>
      </c>
      <c r="K214" s="6" t="s">
        <v>2031</v>
      </c>
      <c r="L214" s="22" t="s">
        <v>2357</v>
      </c>
      <c r="M214" s="6" t="s">
        <v>68</v>
      </c>
    </row>
    <row r="215" spans="1:13" ht="63.75">
      <c r="A215" s="143">
        <v>2020</v>
      </c>
      <c r="B215" s="6" t="s">
        <v>2358</v>
      </c>
      <c r="C215" s="6" t="s">
        <v>61</v>
      </c>
      <c r="D215" s="6" t="s">
        <v>1838</v>
      </c>
      <c r="E215" s="6" t="s">
        <v>1824</v>
      </c>
      <c r="F215" s="121">
        <v>102405</v>
      </c>
      <c r="G215" s="158"/>
      <c r="H215" s="6" t="s">
        <v>2359</v>
      </c>
      <c r="I215" s="6" t="s">
        <v>575</v>
      </c>
      <c r="J215" s="6" t="s">
        <v>2298</v>
      </c>
      <c r="K215" s="6" t="s">
        <v>1828</v>
      </c>
      <c r="L215" s="22" t="s">
        <v>2360</v>
      </c>
      <c r="M215" s="6" t="s">
        <v>1838</v>
      </c>
    </row>
    <row r="216" spans="1:13" ht="89.25">
      <c r="A216" s="143">
        <v>2020</v>
      </c>
      <c r="B216" s="6" t="s">
        <v>770</v>
      </c>
      <c r="C216" s="6" t="s">
        <v>61</v>
      </c>
      <c r="D216" s="6" t="s">
        <v>652</v>
      </c>
      <c r="E216" s="6" t="s">
        <v>1874</v>
      </c>
      <c r="F216" s="121">
        <v>29878</v>
      </c>
      <c r="G216" s="158"/>
      <c r="H216" s="6" t="s">
        <v>771</v>
      </c>
      <c r="I216" s="6" t="s">
        <v>772</v>
      </c>
      <c r="J216" s="6" t="s">
        <v>1828</v>
      </c>
      <c r="K216" s="6" t="s">
        <v>1828</v>
      </c>
      <c r="L216" s="22" t="s">
        <v>2361</v>
      </c>
      <c r="M216" s="6" t="s">
        <v>652</v>
      </c>
    </row>
    <row r="217" spans="1:13" ht="63.75">
      <c r="A217" s="143">
        <v>2020</v>
      </c>
      <c r="B217" s="6" t="s">
        <v>773</v>
      </c>
      <c r="C217" s="6" t="s">
        <v>61</v>
      </c>
      <c r="D217" s="6" t="s">
        <v>652</v>
      </c>
      <c r="E217" s="6" t="s">
        <v>1874</v>
      </c>
      <c r="F217" s="121" t="s">
        <v>2362</v>
      </c>
      <c r="G217" s="158"/>
      <c r="H217" s="6" t="s">
        <v>774</v>
      </c>
      <c r="I217" s="6" t="s">
        <v>775</v>
      </c>
      <c r="J217" s="6" t="s">
        <v>2363</v>
      </c>
      <c r="K217" s="6" t="s">
        <v>1828</v>
      </c>
      <c r="L217" s="22" t="s">
        <v>2364</v>
      </c>
      <c r="M217" s="6" t="s">
        <v>652</v>
      </c>
    </row>
    <row r="218" spans="1:13" ht="204">
      <c r="A218" s="143">
        <v>2020</v>
      </c>
      <c r="B218" s="6" t="s">
        <v>1561</v>
      </c>
      <c r="C218" s="6" t="s">
        <v>61</v>
      </c>
      <c r="D218" s="6" t="s">
        <v>1420</v>
      </c>
      <c r="E218" s="6" t="s">
        <v>1824</v>
      </c>
      <c r="F218" s="162">
        <v>200000</v>
      </c>
      <c r="G218" s="158"/>
      <c r="H218" s="6" t="s">
        <v>1562</v>
      </c>
      <c r="I218" s="6" t="s">
        <v>2365</v>
      </c>
      <c r="J218" s="6" t="s">
        <v>575</v>
      </c>
      <c r="K218" s="6" t="s">
        <v>1828</v>
      </c>
      <c r="L218" s="22" t="s">
        <v>2366</v>
      </c>
      <c r="M218" s="6" t="s">
        <v>1462</v>
      </c>
    </row>
    <row r="219" spans="1:13" ht="63.75">
      <c r="A219" s="143">
        <v>2020</v>
      </c>
      <c r="B219" s="6" t="s">
        <v>776</v>
      </c>
      <c r="C219" s="6" t="s">
        <v>61</v>
      </c>
      <c r="D219" s="6" t="s">
        <v>652</v>
      </c>
      <c r="E219" s="6" t="s">
        <v>1874</v>
      </c>
      <c r="F219" s="121">
        <v>350000</v>
      </c>
      <c r="G219" s="158"/>
      <c r="H219" s="6" t="s">
        <v>2367</v>
      </c>
      <c r="I219" s="6" t="s">
        <v>778</v>
      </c>
      <c r="J219" s="6" t="s">
        <v>2368</v>
      </c>
      <c r="K219" s="6" t="s">
        <v>1855</v>
      </c>
      <c r="L219" s="22" t="s">
        <v>2369</v>
      </c>
      <c r="M219" s="6" t="s">
        <v>652</v>
      </c>
    </row>
    <row r="220" spans="1:13" ht="114.75">
      <c r="A220" s="143">
        <v>2020</v>
      </c>
      <c r="B220" s="6" t="s">
        <v>67</v>
      </c>
      <c r="C220" s="6" t="s">
        <v>61</v>
      </c>
      <c r="D220" s="112" t="s">
        <v>68</v>
      </c>
      <c r="E220" s="6" t="s">
        <v>1874</v>
      </c>
      <c r="F220" s="121">
        <v>409314</v>
      </c>
      <c r="G220" s="158"/>
      <c r="H220" s="6" t="s">
        <v>69</v>
      </c>
      <c r="I220" s="6" t="s">
        <v>70</v>
      </c>
      <c r="J220" s="6" t="s">
        <v>2370</v>
      </c>
      <c r="K220" s="6" t="s">
        <v>1855</v>
      </c>
      <c r="L220" s="22" t="s">
        <v>2371</v>
      </c>
      <c r="M220" s="6" t="s">
        <v>68</v>
      </c>
    </row>
    <row r="221" spans="1:13" ht="140.25">
      <c r="A221" s="143">
        <v>2020</v>
      </c>
      <c r="B221" s="6" t="s">
        <v>779</v>
      </c>
      <c r="C221" s="6" t="s">
        <v>61</v>
      </c>
      <c r="D221" s="112" t="s">
        <v>68</v>
      </c>
      <c r="E221" s="6" t="s">
        <v>1874</v>
      </c>
      <c r="F221" s="121">
        <v>156902.65</v>
      </c>
      <c r="G221" s="158"/>
      <c r="H221" s="6" t="s">
        <v>780</v>
      </c>
      <c r="I221" s="6" t="s">
        <v>781</v>
      </c>
      <c r="J221" s="6" t="s">
        <v>2372</v>
      </c>
      <c r="K221" s="6" t="s">
        <v>1886</v>
      </c>
      <c r="L221" s="22" t="s">
        <v>2373</v>
      </c>
      <c r="M221" s="6" t="s">
        <v>68</v>
      </c>
    </row>
    <row r="222" spans="1:13" ht="89.25">
      <c r="A222" s="140">
        <v>2020</v>
      </c>
      <c r="B222" s="6" t="s">
        <v>1168</v>
      </c>
      <c r="C222" s="6" t="s">
        <v>61</v>
      </c>
      <c r="D222" s="9" t="s">
        <v>62</v>
      </c>
      <c r="E222" s="6" t="s">
        <v>1904</v>
      </c>
      <c r="F222" s="121">
        <v>140032</v>
      </c>
      <c r="G222" s="158"/>
      <c r="H222" s="6" t="s">
        <v>2374</v>
      </c>
      <c r="I222" s="6" t="s">
        <v>1170</v>
      </c>
      <c r="J222" s="6" t="s">
        <v>2375</v>
      </c>
      <c r="K222" s="6" t="s">
        <v>1828</v>
      </c>
      <c r="L222" s="22" t="s">
        <v>2376</v>
      </c>
      <c r="M222" s="6" t="s">
        <v>62</v>
      </c>
    </row>
    <row r="223" spans="1:13" ht="178.5">
      <c r="A223" s="143">
        <v>2020</v>
      </c>
      <c r="B223" s="6" t="s">
        <v>782</v>
      </c>
      <c r="C223" s="6" t="s">
        <v>61</v>
      </c>
      <c r="D223" s="112" t="s">
        <v>68</v>
      </c>
      <c r="E223" s="6" t="s">
        <v>1874</v>
      </c>
      <c r="F223" s="121">
        <v>308708.2</v>
      </c>
      <c r="G223" s="158"/>
      <c r="H223" s="6" t="s">
        <v>2377</v>
      </c>
      <c r="I223" s="6" t="s">
        <v>784</v>
      </c>
      <c r="J223" s="6" t="s">
        <v>2378</v>
      </c>
      <c r="K223" s="6" t="s">
        <v>1828</v>
      </c>
      <c r="L223" s="22" t="s">
        <v>2379</v>
      </c>
      <c r="M223" s="6" t="s">
        <v>68</v>
      </c>
    </row>
    <row r="224" spans="1:13" ht="204">
      <c r="A224" s="143">
        <v>2020</v>
      </c>
      <c r="B224" s="6" t="s">
        <v>785</v>
      </c>
      <c r="C224" s="6" t="s">
        <v>61</v>
      </c>
      <c r="D224" s="6" t="s">
        <v>125</v>
      </c>
      <c r="E224" s="6" t="s">
        <v>1874</v>
      </c>
      <c r="F224" s="121">
        <v>500000</v>
      </c>
      <c r="G224" s="158"/>
      <c r="H224" s="158" t="s">
        <v>786</v>
      </c>
      <c r="I224" s="6" t="s">
        <v>787</v>
      </c>
      <c r="J224" s="6" t="s">
        <v>2298</v>
      </c>
      <c r="K224" s="6" t="s">
        <v>1828</v>
      </c>
      <c r="L224" s="22" t="s">
        <v>2380</v>
      </c>
      <c r="M224" s="6" t="s">
        <v>125</v>
      </c>
    </row>
    <row r="225" spans="1:13" ht="331.5">
      <c r="A225" s="140">
        <v>2020</v>
      </c>
      <c r="B225" s="6" t="s">
        <v>1171</v>
      </c>
      <c r="C225" s="6" t="s">
        <v>2381</v>
      </c>
      <c r="D225" s="9" t="s">
        <v>62</v>
      </c>
      <c r="E225" s="6" t="s">
        <v>1904</v>
      </c>
      <c r="F225" s="121">
        <v>453820</v>
      </c>
      <c r="G225" s="158"/>
      <c r="H225" s="6" t="s">
        <v>2382</v>
      </c>
      <c r="I225" s="6" t="s">
        <v>1173</v>
      </c>
      <c r="J225" s="6" t="s">
        <v>2383</v>
      </c>
      <c r="K225" s="6" t="s">
        <v>1899</v>
      </c>
      <c r="L225" s="22" t="s">
        <v>2384</v>
      </c>
      <c r="M225" s="6" t="s">
        <v>62</v>
      </c>
    </row>
    <row r="226" spans="1:13" ht="306">
      <c r="A226" s="143">
        <v>2020</v>
      </c>
      <c r="B226" s="6" t="s">
        <v>1564</v>
      </c>
      <c r="C226" s="6" t="s">
        <v>61</v>
      </c>
      <c r="D226" s="6" t="s">
        <v>1549</v>
      </c>
      <c r="E226" s="6" t="s">
        <v>1824</v>
      </c>
      <c r="F226" s="162">
        <v>1000000</v>
      </c>
      <c r="G226" s="158"/>
      <c r="H226" s="6" t="s">
        <v>1565</v>
      </c>
      <c r="I226" s="6" t="s">
        <v>1566</v>
      </c>
      <c r="J226" s="6" t="s">
        <v>2298</v>
      </c>
      <c r="K226" s="6" t="s">
        <v>1828</v>
      </c>
      <c r="L226" s="22" t="s">
        <v>2385</v>
      </c>
      <c r="M226" s="6" t="s">
        <v>1549</v>
      </c>
    </row>
    <row r="227" spans="1:13" ht="153">
      <c r="A227" s="140">
        <v>2020</v>
      </c>
      <c r="B227" s="6" t="s">
        <v>2386</v>
      </c>
      <c r="C227" s="6" t="s">
        <v>61</v>
      </c>
      <c r="D227" s="9" t="s">
        <v>62</v>
      </c>
      <c r="E227" s="6" t="s">
        <v>1904</v>
      </c>
      <c r="F227" s="121">
        <v>500000</v>
      </c>
      <c r="G227" s="158"/>
      <c r="H227" s="6" t="s">
        <v>2387</v>
      </c>
      <c r="I227" s="6" t="s">
        <v>2388</v>
      </c>
      <c r="J227" s="6" t="s">
        <v>2389</v>
      </c>
      <c r="K227" s="6" t="s">
        <v>1886</v>
      </c>
      <c r="L227" s="165" t="s">
        <v>2390</v>
      </c>
      <c r="M227" s="6" t="s">
        <v>2391</v>
      </c>
    </row>
    <row r="228" spans="1:13" ht="153">
      <c r="A228" s="143">
        <v>2020</v>
      </c>
      <c r="B228" s="6" t="s">
        <v>788</v>
      </c>
      <c r="C228" s="6" t="s">
        <v>61</v>
      </c>
      <c r="D228" s="6" t="s">
        <v>68</v>
      </c>
      <c r="E228" s="6" t="s">
        <v>1874</v>
      </c>
      <c r="F228" s="162">
        <v>324750</v>
      </c>
      <c r="G228" s="158"/>
      <c r="H228" s="6" t="s">
        <v>790</v>
      </c>
      <c r="I228" s="6" t="s">
        <v>791</v>
      </c>
      <c r="J228" s="6" t="s">
        <v>2392</v>
      </c>
      <c r="K228" s="6" t="s">
        <v>1828</v>
      </c>
      <c r="L228" s="22" t="s">
        <v>2393</v>
      </c>
      <c r="M228" s="6" t="s">
        <v>789</v>
      </c>
    </row>
    <row r="229" spans="1:13" ht="140.25">
      <c r="A229" s="143">
        <v>2020</v>
      </c>
      <c r="B229" s="6" t="s">
        <v>792</v>
      </c>
      <c r="C229" s="6" t="s">
        <v>61</v>
      </c>
      <c r="D229" s="6" t="s">
        <v>652</v>
      </c>
      <c r="E229" s="6" t="s">
        <v>1874</v>
      </c>
      <c r="F229" s="121">
        <v>284446.84000000003</v>
      </c>
      <c r="G229" s="158"/>
      <c r="H229" s="6" t="s">
        <v>793</v>
      </c>
      <c r="I229" s="6" t="s">
        <v>794</v>
      </c>
      <c r="J229" s="6" t="s">
        <v>2394</v>
      </c>
      <c r="K229" s="6" t="s">
        <v>1828</v>
      </c>
      <c r="L229" s="22" t="s">
        <v>2395</v>
      </c>
      <c r="M229" s="6" t="s">
        <v>652</v>
      </c>
    </row>
    <row r="230" spans="1:13" ht="140.25">
      <c r="A230" s="140">
        <v>2020</v>
      </c>
      <c r="B230" s="6" t="s">
        <v>1174</v>
      </c>
      <c r="C230" s="6" t="s">
        <v>61</v>
      </c>
      <c r="D230" s="9" t="s">
        <v>62</v>
      </c>
      <c r="E230" s="6" t="s">
        <v>1904</v>
      </c>
      <c r="F230" s="121">
        <v>418714.15</v>
      </c>
      <c r="G230" s="158"/>
      <c r="H230" s="6" t="s">
        <v>1175</v>
      </c>
      <c r="I230" s="6" t="s">
        <v>1176</v>
      </c>
      <c r="J230" s="6" t="s">
        <v>2396</v>
      </c>
      <c r="K230" s="6" t="s">
        <v>1828</v>
      </c>
      <c r="L230" s="22" t="s">
        <v>2397</v>
      </c>
      <c r="M230" s="6" t="s">
        <v>62</v>
      </c>
    </row>
    <row r="231" spans="1:13" ht="76.5">
      <c r="A231" s="143">
        <v>2020</v>
      </c>
      <c r="B231" s="6" t="s">
        <v>2398</v>
      </c>
      <c r="C231" s="6" t="s">
        <v>1823</v>
      </c>
      <c r="D231" s="6" t="s">
        <v>113</v>
      </c>
      <c r="E231" s="6"/>
      <c r="F231" s="121" t="s">
        <v>2399</v>
      </c>
      <c r="G231" s="158"/>
      <c r="H231" s="6" t="s">
        <v>2400</v>
      </c>
      <c r="I231" s="6" t="s">
        <v>611</v>
      </c>
      <c r="J231" s="6" t="s">
        <v>575</v>
      </c>
      <c r="K231" s="6"/>
      <c r="L231" s="22" t="s">
        <v>2401</v>
      </c>
      <c r="M231" s="6" t="s">
        <v>113</v>
      </c>
    </row>
    <row r="232" spans="1:13" ht="76.5">
      <c r="A232" s="143">
        <v>2020</v>
      </c>
      <c r="B232" s="6" t="s">
        <v>2402</v>
      </c>
      <c r="C232" s="6" t="s">
        <v>1823</v>
      </c>
      <c r="D232" s="6" t="s">
        <v>611</v>
      </c>
      <c r="E232" s="6"/>
      <c r="F232" s="121" t="s">
        <v>2403</v>
      </c>
      <c r="G232" s="158"/>
      <c r="H232" s="6" t="s">
        <v>2404</v>
      </c>
      <c r="I232" s="6" t="s">
        <v>611</v>
      </c>
      <c r="J232" s="6" t="s">
        <v>575</v>
      </c>
      <c r="K232" s="6"/>
      <c r="L232" s="22" t="s">
        <v>2405</v>
      </c>
      <c r="M232" s="6" t="s">
        <v>611</v>
      </c>
    </row>
    <row r="233" spans="1:13" ht="178.5">
      <c r="A233" s="140">
        <v>2020</v>
      </c>
      <c r="B233" s="6" t="s">
        <v>1177</v>
      </c>
      <c r="C233" s="6" t="s">
        <v>2406</v>
      </c>
      <c r="D233" s="9" t="s">
        <v>62</v>
      </c>
      <c r="E233" s="6" t="s">
        <v>1904</v>
      </c>
      <c r="F233" s="121">
        <v>1240490</v>
      </c>
      <c r="G233" s="158"/>
      <c r="H233" s="6" t="s">
        <v>2407</v>
      </c>
      <c r="I233" s="6" t="s">
        <v>1179</v>
      </c>
      <c r="J233" s="6" t="s">
        <v>2408</v>
      </c>
      <c r="K233" s="6" t="s">
        <v>1828</v>
      </c>
      <c r="L233" s="22" t="s">
        <v>2409</v>
      </c>
      <c r="M233" s="6" t="s">
        <v>62</v>
      </c>
    </row>
    <row r="234" spans="1:13" ht="76.5">
      <c r="A234" s="143">
        <v>2020</v>
      </c>
      <c r="B234" s="6" t="s">
        <v>2410</v>
      </c>
      <c r="C234" s="6" t="s">
        <v>1823</v>
      </c>
      <c r="D234" s="115" t="s">
        <v>1383</v>
      </c>
      <c r="E234" s="6"/>
      <c r="F234" s="121"/>
      <c r="G234" s="158"/>
      <c r="H234" s="6" t="s">
        <v>2411</v>
      </c>
      <c r="I234" s="6" t="s">
        <v>2412</v>
      </c>
      <c r="J234" s="6" t="s">
        <v>575</v>
      </c>
      <c r="K234" s="6"/>
      <c r="L234" s="22" t="s">
        <v>2413</v>
      </c>
      <c r="M234" s="6" t="s">
        <v>1383</v>
      </c>
    </row>
    <row r="235" spans="1:13" ht="216.75">
      <c r="A235" s="140">
        <v>2020</v>
      </c>
      <c r="B235" s="6" t="s">
        <v>1180</v>
      </c>
      <c r="C235" s="6" t="s">
        <v>2406</v>
      </c>
      <c r="D235" s="9" t="s">
        <v>62</v>
      </c>
      <c r="E235" s="6" t="s">
        <v>1904</v>
      </c>
      <c r="F235" s="121">
        <v>495000</v>
      </c>
      <c r="G235" s="158"/>
      <c r="H235" s="6" t="s">
        <v>1181</v>
      </c>
      <c r="I235" s="6" t="s">
        <v>1182</v>
      </c>
      <c r="J235" s="6" t="s">
        <v>2414</v>
      </c>
      <c r="K235" s="6" t="s">
        <v>1886</v>
      </c>
      <c r="L235" s="136" t="s">
        <v>2415</v>
      </c>
      <c r="M235" s="6" t="s">
        <v>62</v>
      </c>
    </row>
    <row r="236" spans="1:13" ht="89.25">
      <c r="A236" s="143">
        <v>2020</v>
      </c>
      <c r="B236" s="6" t="s">
        <v>2416</v>
      </c>
      <c r="C236" s="6" t="s">
        <v>1823</v>
      </c>
      <c r="D236" s="9" t="s">
        <v>62</v>
      </c>
      <c r="E236" s="6"/>
      <c r="F236" s="121"/>
      <c r="G236" s="158"/>
      <c r="H236" s="6" t="s">
        <v>2417</v>
      </c>
      <c r="I236" s="6" t="s">
        <v>1231</v>
      </c>
      <c r="J236" s="6" t="s">
        <v>2418</v>
      </c>
      <c r="K236" s="6"/>
      <c r="L236" s="22" t="s">
        <v>2419</v>
      </c>
      <c r="M236" s="6" t="s">
        <v>62</v>
      </c>
    </row>
    <row r="237" spans="1:13" ht="357">
      <c r="A237" s="140">
        <v>2020</v>
      </c>
      <c r="B237" s="6" t="s">
        <v>1183</v>
      </c>
      <c r="C237" s="6" t="s">
        <v>2406</v>
      </c>
      <c r="D237" s="9" t="s">
        <v>62</v>
      </c>
      <c r="E237" s="6" t="s">
        <v>1904</v>
      </c>
      <c r="F237" s="121">
        <v>819000</v>
      </c>
      <c r="G237" s="158"/>
      <c r="H237" s="6" t="s">
        <v>1184</v>
      </c>
      <c r="I237" s="6" t="s">
        <v>1185</v>
      </c>
      <c r="J237" s="6" t="s">
        <v>2420</v>
      </c>
      <c r="K237" s="6" t="s">
        <v>1828</v>
      </c>
      <c r="L237" s="22" t="s">
        <v>2421</v>
      </c>
      <c r="M237" s="6" t="s">
        <v>62</v>
      </c>
    </row>
    <row r="238" spans="1:13" ht="76.5">
      <c r="A238" s="143">
        <v>2020</v>
      </c>
      <c r="B238" s="6" t="s">
        <v>2422</v>
      </c>
      <c r="C238" s="6" t="s">
        <v>1823</v>
      </c>
      <c r="D238" s="6" t="s">
        <v>611</v>
      </c>
      <c r="E238" s="6"/>
      <c r="F238" s="121"/>
      <c r="G238" s="158"/>
      <c r="H238" s="6" t="s">
        <v>2423</v>
      </c>
      <c r="I238" s="6" t="s">
        <v>611</v>
      </c>
      <c r="J238" s="6" t="s">
        <v>2326</v>
      </c>
      <c r="K238" s="6"/>
      <c r="L238" s="22" t="s">
        <v>2424</v>
      </c>
      <c r="M238" s="6" t="s">
        <v>611</v>
      </c>
    </row>
    <row r="239" spans="1:13" ht="63.75">
      <c r="A239" s="143">
        <v>2020</v>
      </c>
      <c r="B239" s="6" t="s">
        <v>2425</v>
      </c>
      <c r="C239" s="6" t="s">
        <v>1823</v>
      </c>
      <c r="D239" s="6" t="s">
        <v>2412</v>
      </c>
      <c r="E239" s="6"/>
      <c r="F239" s="121"/>
      <c r="G239" s="158"/>
      <c r="H239" s="6" t="s">
        <v>2426</v>
      </c>
      <c r="I239" s="6" t="s">
        <v>2412</v>
      </c>
      <c r="J239" s="6" t="s">
        <v>2326</v>
      </c>
      <c r="K239" s="6"/>
      <c r="L239" s="22" t="s">
        <v>2427</v>
      </c>
      <c r="M239" s="6" t="s">
        <v>2412</v>
      </c>
    </row>
    <row r="240" spans="1:13" ht="178.5">
      <c r="A240" s="140">
        <v>2020</v>
      </c>
      <c r="B240" s="6" t="s">
        <v>1186</v>
      </c>
      <c r="C240" s="6" t="s">
        <v>61</v>
      </c>
      <c r="D240" s="9" t="s">
        <v>62</v>
      </c>
      <c r="E240" s="6" t="s">
        <v>1904</v>
      </c>
      <c r="F240" s="121">
        <v>453346.5</v>
      </c>
      <c r="G240" s="158"/>
      <c r="H240" s="6" t="s">
        <v>1187</v>
      </c>
      <c r="I240" s="6" t="s">
        <v>1188</v>
      </c>
      <c r="J240" s="6" t="s">
        <v>2428</v>
      </c>
      <c r="K240" s="6" t="s">
        <v>1886</v>
      </c>
      <c r="L240" s="22" t="s">
        <v>2429</v>
      </c>
      <c r="M240" s="6" t="s">
        <v>62</v>
      </c>
    </row>
    <row r="241" spans="1:13" ht="153">
      <c r="A241" s="143">
        <v>2020</v>
      </c>
      <c r="B241" s="6" t="s">
        <v>795</v>
      </c>
      <c r="C241" s="6" t="s">
        <v>61</v>
      </c>
      <c r="D241" s="6" t="s">
        <v>652</v>
      </c>
      <c r="E241" s="6" t="s">
        <v>1874</v>
      </c>
      <c r="F241" s="121">
        <v>349930</v>
      </c>
      <c r="G241" s="158"/>
      <c r="H241" s="6" t="s">
        <v>796</v>
      </c>
      <c r="I241" s="6" t="s">
        <v>520</v>
      </c>
      <c r="J241" s="6" t="s">
        <v>2430</v>
      </c>
      <c r="K241" s="6" t="s">
        <v>1879</v>
      </c>
      <c r="L241" s="22" t="s">
        <v>2431</v>
      </c>
      <c r="M241" s="6" t="s">
        <v>652</v>
      </c>
    </row>
    <row r="242" spans="1:13" ht="140.25">
      <c r="A242" s="143">
        <v>2020</v>
      </c>
      <c r="B242" s="6" t="s">
        <v>797</v>
      </c>
      <c r="C242" s="6" t="s">
        <v>61</v>
      </c>
      <c r="D242" s="6" t="s">
        <v>652</v>
      </c>
      <c r="E242" s="6" t="s">
        <v>1874</v>
      </c>
      <c r="F242" s="121">
        <v>350000</v>
      </c>
      <c r="G242" s="158"/>
      <c r="H242" s="6" t="s">
        <v>798</v>
      </c>
      <c r="I242" s="6" t="s">
        <v>799</v>
      </c>
      <c r="J242" s="6" t="s">
        <v>2432</v>
      </c>
      <c r="K242" s="6" t="s">
        <v>2082</v>
      </c>
      <c r="L242" s="22" t="s">
        <v>2433</v>
      </c>
      <c r="M242" s="6" t="s">
        <v>652</v>
      </c>
    </row>
    <row r="243" spans="1:13" ht="153">
      <c r="A243" s="140">
        <v>2020</v>
      </c>
      <c r="B243" s="6" t="s">
        <v>1189</v>
      </c>
      <c r="C243" s="9" t="s">
        <v>61</v>
      </c>
      <c r="D243" s="6" t="s">
        <v>1141</v>
      </c>
      <c r="E243" s="6" t="s">
        <v>1904</v>
      </c>
      <c r="F243" s="121">
        <v>87475</v>
      </c>
      <c r="G243" s="158"/>
      <c r="H243" s="6" t="s">
        <v>1190</v>
      </c>
      <c r="I243" s="6" t="s">
        <v>1139</v>
      </c>
      <c r="J243" s="6" t="s">
        <v>2434</v>
      </c>
      <c r="K243" s="6" t="s">
        <v>1916</v>
      </c>
      <c r="L243" s="22" t="s">
        <v>2435</v>
      </c>
      <c r="M243" s="6" t="s">
        <v>1141</v>
      </c>
    </row>
    <row r="244" spans="1:13" ht="25.5">
      <c r="A244" s="140">
        <v>2020</v>
      </c>
      <c r="B244" s="6" t="s">
        <v>1191</v>
      </c>
      <c r="C244" s="9" t="s">
        <v>61</v>
      </c>
      <c r="D244" s="6" t="s">
        <v>1141</v>
      </c>
      <c r="E244" s="6" t="s">
        <v>1904</v>
      </c>
      <c r="F244" s="121">
        <v>122475</v>
      </c>
      <c r="G244" s="158"/>
      <c r="H244" s="6" t="s">
        <v>1192</v>
      </c>
      <c r="I244" s="6" t="s">
        <v>1139</v>
      </c>
      <c r="J244" s="6" t="s">
        <v>2434</v>
      </c>
      <c r="K244" s="6" t="s">
        <v>1916</v>
      </c>
      <c r="L244" s="22"/>
      <c r="M244" s="6" t="s">
        <v>1141</v>
      </c>
    </row>
    <row r="245" spans="1:13" ht="140.25">
      <c r="A245" s="140">
        <v>2020</v>
      </c>
      <c r="B245" s="6" t="s">
        <v>1193</v>
      </c>
      <c r="C245" s="9" t="s">
        <v>61</v>
      </c>
      <c r="D245" s="6" t="s">
        <v>1141</v>
      </c>
      <c r="E245" s="6" t="s">
        <v>1904</v>
      </c>
      <c r="F245" s="121">
        <v>156860</v>
      </c>
      <c r="G245" s="158"/>
      <c r="H245" s="6" t="s">
        <v>1194</v>
      </c>
      <c r="I245" s="6" t="s">
        <v>1139</v>
      </c>
      <c r="J245" s="6" t="s">
        <v>2434</v>
      </c>
      <c r="K245" s="6" t="s">
        <v>1916</v>
      </c>
      <c r="L245" s="22" t="s">
        <v>2436</v>
      </c>
      <c r="M245" s="6" t="s">
        <v>1141</v>
      </c>
    </row>
    <row r="246" spans="1:13" ht="153">
      <c r="A246" s="140">
        <v>2020</v>
      </c>
      <c r="B246" s="6" t="s">
        <v>1195</v>
      </c>
      <c r="C246" s="9" t="s">
        <v>61</v>
      </c>
      <c r="D246" s="6" t="s">
        <v>1141</v>
      </c>
      <c r="E246" s="6" t="s">
        <v>1904</v>
      </c>
      <c r="F246" s="121">
        <v>119440</v>
      </c>
      <c r="G246" s="158"/>
      <c r="H246" s="6" t="s">
        <v>1196</v>
      </c>
      <c r="I246" s="6" t="s">
        <v>1139</v>
      </c>
      <c r="J246" s="6" t="s">
        <v>2434</v>
      </c>
      <c r="K246" s="6" t="s">
        <v>1916</v>
      </c>
      <c r="L246" s="22" t="s">
        <v>2437</v>
      </c>
      <c r="M246" s="6" t="s">
        <v>1141</v>
      </c>
    </row>
    <row r="247" spans="1:13" ht="153">
      <c r="A247" s="140">
        <v>2020</v>
      </c>
      <c r="B247" s="6" t="s">
        <v>1197</v>
      </c>
      <c r="C247" s="9" t="s">
        <v>61</v>
      </c>
      <c r="D247" s="6" t="s">
        <v>1141</v>
      </c>
      <c r="E247" s="6" t="s">
        <v>1904</v>
      </c>
      <c r="F247" s="121">
        <v>153850</v>
      </c>
      <c r="G247" s="158"/>
      <c r="H247" s="6" t="s">
        <v>1198</v>
      </c>
      <c r="I247" s="6" t="s">
        <v>1139</v>
      </c>
      <c r="J247" s="6" t="s">
        <v>2434</v>
      </c>
      <c r="K247" s="6" t="s">
        <v>1916</v>
      </c>
      <c r="L247" s="22" t="s">
        <v>2438</v>
      </c>
      <c r="M247" s="6" t="s">
        <v>1141</v>
      </c>
    </row>
    <row r="248" spans="1:13" ht="38.25">
      <c r="A248" s="143">
        <v>2019</v>
      </c>
      <c r="B248" s="61">
        <v>43525</v>
      </c>
      <c r="C248" s="9" t="s">
        <v>2439</v>
      </c>
      <c r="D248" s="115" t="s">
        <v>1383</v>
      </c>
      <c r="E248" s="9" t="s">
        <v>1824</v>
      </c>
      <c r="F248" s="121">
        <v>9000000</v>
      </c>
      <c r="G248" s="6"/>
      <c r="H248" s="6" t="s">
        <v>2440</v>
      </c>
      <c r="I248" s="6" t="s">
        <v>2441</v>
      </c>
      <c r="J248" s="6" t="s">
        <v>1938</v>
      </c>
      <c r="K248" s="9" t="s">
        <v>1828</v>
      </c>
      <c r="L248" s="6"/>
      <c r="M248" s="6" t="s">
        <v>2172</v>
      </c>
    </row>
    <row r="249" spans="1:13" ht="25.5">
      <c r="A249" s="143">
        <v>2019</v>
      </c>
      <c r="B249" s="61">
        <v>43556</v>
      </c>
      <c r="C249" s="9" t="s">
        <v>61</v>
      </c>
      <c r="D249" s="6" t="s">
        <v>652</v>
      </c>
      <c r="E249" s="6" t="s">
        <v>1874</v>
      </c>
      <c r="F249" s="121">
        <v>99860</v>
      </c>
      <c r="G249" s="6"/>
      <c r="H249" s="6" t="s">
        <v>800</v>
      </c>
      <c r="I249" s="6" t="s">
        <v>2442</v>
      </c>
      <c r="J249" s="160" t="s">
        <v>2443</v>
      </c>
      <c r="K249" s="9" t="s">
        <v>1828</v>
      </c>
      <c r="L249" s="6"/>
      <c r="M249" s="6" t="s">
        <v>652</v>
      </c>
    </row>
    <row r="250" spans="1:13" ht="51">
      <c r="A250" s="143">
        <v>2019</v>
      </c>
      <c r="B250" s="61">
        <v>43586</v>
      </c>
      <c r="C250" s="9" t="s">
        <v>61</v>
      </c>
      <c r="D250" s="6" t="s">
        <v>652</v>
      </c>
      <c r="E250" s="6" t="s">
        <v>1874</v>
      </c>
      <c r="F250" s="121">
        <v>149860</v>
      </c>
      <c r="G250" s="6"/>
      <c r="H250" s="6" t="s">
        <v>802</v>
      </c>
      <c r="I250" s="6" t="s">
        <v>2444</v>
      </c>
      <c r="J250" s="160" t="s">
        <v>2445</v>
      </c>
      <c r="K250" s="6" t="s">
        <v>1886</v>
      </c>
      <c r="L250" s="6"/>
      <c r="M250" s="6" t="s">
        <v>652</v>
      </c>
    </row>
    <row r="251" spans="1:13" ht="25.5">
      <c r="A251" s="143">
        <v>2019</v>
      </c>
      <c r="B251" s="61">
        <v>43617</v>
      </c>
      <c r="C251" s="9" t="s">
        <v>61</v>
      </c>
      <c r="D251" s="6" t="s">
        <v>1838</v>
      </c>
      <c r="E251" s="9" t="s">
        <v>1824</v>
      </c>
      <c r="F251" s="121">
        <v>119500</v>
      </c>
      <c r="G251" s="6"/>
      <c r="H251" s="6" t="s">
        <v>2446</v>
      </c>
      <c r="I251" s="6" t="s">
        <v>811</v>
      </c>
      <c r="J251" s="6" t="s">
        <v>1938</v>
      </c>
      <c r="K251" s="9" t="s">
        <v>1828</v>
      </c>
      <c r="L251" s="6"/>
      <c r="M251" s="6" t="s">
        <v>1838</v>
      </c>
    </row>
    <row r="252" spans="1:13" ht="12.75">
      <c r="A252" s="143">
        <v>2019</v>
      </c>
      <c r="B252" s="61">
        <v>43647</v>
      </c>
      <c r="C252" s="9" t="s">
        <v>61</v>
      </c>
      <c r="D252" s="115" t="s">
        <v>1383</v>
      </c>
      <c r="E252" s="115" t="s">
        <v>1859</v>
      </c>
      <c r="F252" s="121">
        <v>200000</v>
      </c>
      <c r="G252" s="6"/>
      <c r="H252" s="6" t="s">
        <v>1567</v>
      </c>
      <c r="I252" s="6" t="s">
        <v>2447</v>
      </c>
      <c r="J252" s="6" t="s">
        <v>2448</v>
      </c>
      <c r="K252" s="9" t="s">
        <v>1855</v>
      </c>
      <c r="L252" s="6"/>
      <c r="M252" s="6" t="s">
        <v>1383</v>
      </c>
    </row>
    <row r="253" spans="1:13" ht="38.25">
      <c r="A253" s="143">
        <v>2019</v>
      </c>
      <c r="B253" s="61">
        <v>43678</v>
      </c>
      <c r="C253" s="9" t="s">
        <v>61</v>
      </c>
      <c r="D253" s="115" t="s">
        <v>1383</v>
      </c>
      <c r="E253" s="115" t="s">
        <v>1859</v>
      </c>
      <c r="F253" s="121">
        <v>200000</v>
      </c>
      <c r="G253" s="6"/>
      <c r="H253" s="6" t="s">
        <v>1568</v>
      </c>
      <c r="I253" s="6" t="s">
        <v>1569</v>
      </c>
      <c r="J253" s="160" t="s">
        <v>1569</v>
      </c>
      <c r="K253" s="9" t="s">
        <v>1828</v>
      </c>
      <c r="L253" s="6"/>
      <c r="M253" s="6" t="s">
        <v>1383</v>
      </c>
    </row>
    <row r="254" spans="1:13" ht="51">
      <c r="A254" s="143">
        <v>2019</v>
      </c>
      <c r="B254" s="62">
        <v>43709</v>
      </c>
      <c r="C254" s="9" t="s">
        <v>61</v>
      </c>
      <c r="D254" s="115" t="s">
        <v>1383</v>
      </c>
      <c r="E254" s="115" t="s">
        <v>1859</v>
      </c>
      <c r="F254" s="121">
        <v>200000</v>
      </c>
      <c r="G254" s="6"/>
      <c r="H254" s="6" t="s">
        <v>1570</v>
      </c>
      <c r="I254" s="6" t="s">
        <v>1502</v>
      </c>
      <c r="J254" s="6" t="s">
        <v>2449</v>
      </c>
      <c r="K254" s="9" t="s">
        <v>2051</v>
      </c>
      <c r="L254" s="6"/>
      <c r="M254" s="6" t="s">
        <v>1383</v>
      </c>
    </row>
    <row r="255" spans="1:13" ht="25.5">
      <c r="A255" s="143">
        <v>2019</v>
      </c>
      <c r="B255" s="61">
        <v>43739</v>
      </c>
      <c r="C255" s="9" t="s">
        <v>61</v>
      </c>
      <c r="D255" s="115" t="s">
        <v>1383</v>
      </c>
      <c r="E255" s="115" t="s">
        <v>1859</v>
      </c>
      <c r="F255" s="163">
        <v>200000</v>
      </c>
      <c r="G255" s="158"/>
      <c r="H255" s="158" t="s">
        <v>2450</v>
      </c>
      <c r="I255" s="158" t="s">
        <v>1572</v>
      </c>
      <c r="J255" s="6" t="s">
        <v>2451</v>
      </c>
      <c r="K255" s="6" t="s">
        <v>1886</v>
      </c>
      <c r="L255" s="158"/>
      <c r="M255" s="6" t="s">
        <v>1383</v>
      </c>
    </row>
    <row r="256" spans="1:13" ht="25.5">
      <c r="A256" s="143">
        <v>2019</v>
      </c>
      <c r="B256" s="62">
        <v>43770</v>
      </c>
      <c r="C256" s="9" t="s">
        <v>61</v>
      </c>
      <c r="D256" s="115" t="s">
        <v>1383</v>
      </c>
      <c r="E256" s="115" t="s">
        <v>1859</v>
      </c>
      <c r="F256" s="121">
        <v>200000</v>
      </c>
      <c r="G256" s="6"/>
      <c r="H256" s="6" t="s">
        <v>1573</v>
      </c>
      <c r="I256" s="6" t="s">
        <v>1574</v>
      </c>
      <c r="J256" s="6" t="s">
        <v>1879</v>
      </c>
      <c r="K256" s="9" t="s">
        <v>1879</v>
      </c>
      <c r="L256" s="6"/>
      <c r="M256" s="6" t="s">
        <v>1383</v>
      </c>
    </row>
    <row r="257" spans="1:13" ht="38.25">
      <c r="A257" s="143">
        <v>2019</v>
      </c>
      <c r="B257" s="62">
        <v>43800</v>
      </c>
      <c r="C257" s="9" t="s">
        <v>61</v>
      </c>
      <c r="D257" s="115" t="s">
        <v>1383</v>
      </c>
      <c r="E257" s="115" t="s">
        <v>1859</v>
      </c>
      <c r="F257" s="121">
        <v>500000</v>
      </c>
      <c r="G257" s="6"/>
      <c r="H257" s="6" t="s">
        <v>1575</v>
      </c>
      <c r="I257" s="6" t="s">
        <v>1576</v>
      </c>
      <c r="J257" s="6" t="s">
        <v>2451</v>
      </c>
      <c r="K257" s="6" t="s">
        <v>1886</v>
      </c>
      <c r="L257" s="6"/>
      <c r="M257" s="6" t="s">
        <v>1383</v>
      </c>
    </row>
    <row r="258" spans="1:13" ht="25.5">
      <c r="A258" s="143">
        <v>2019</v>
      </c>
      <c r="B258" s="6" t="s">
        <v>804</v>
      </c>
      <c r="C258" s="9" t="s">
        <v>61</v>
      </c>
      <c r="D258" s="6" t="s">
        <v>113</v>
      </c>
      <c r="E258" s="9" t="s">
        <v>1824</v>
      </c>
      <c r="F258" s="121">
        <v>711200</v>
      </c>
      <c r="G258" s="6"/>
      <c r="H258" s="6" t="s">
        <v>805</v>
      </c>
      <c r="I258" s="6" t="s">
        <v>699</v>
      </c>
      <c r="J258" s="6" t="s">
        <v>1846</v>
      </c>
      <c r="K258" s="9" t="s">
        <v>1828</v>
      </c>
      <c r="L258" s="6"/>
      <c r="M258" s="6" t="s">
        <v>113</v>
      </c>
    </row>
    <row r="259" spans="1:13" ht="25.5">
      <c r="A259" s="143">
        <v>2019</v>
      </c>
      <c r="B259" s="6" t="s">
        <v>2452</v>
      </c>
      <c r="C259" s="9" t="s">
        <v>2328</v>
      </c>
      <c r="D259" s="112" t="s">
        <v>68</v>
      </c>
      <c r="E259" s="6" t="s">
        <v>1874</v>
      </c>
      <c r="F259" s="121" t="s">
        <v>2453</v>
      </c>
      <c r="G259" s="6"/>
      <c r="H259" s="6" t="s">
        <v>2454</v>
      </c>
      <c r="I259" s="6" t="s">
        <v>2455</v>
      </c>
      <c r="J259" s="6" t="s">
        <v>1846</v>
      </c>
      <c r="K259" s="9" t="s">
        <v>1828</v>
      </c>
      <c r="L259" s="6"/>
      <c r="M259" s="6" t="s">
        <v>68</v>
      </c>
    </row>
    <row r="260" spans="1:13" ht="38.25">
      <c r="A260" s="143">
        <v>2019</v>
      </c>
      <c r="B260" s="6" t="s">
        <v>2456</v>
      </c>
      <c r="C260" s="9" t="s">
        <v>61</v>
      </c>
      <c r="D260" s="6" t="s">
        <v>2457</v>
      </c>
      <c r="E260" s="9" t="s">
        <v>1824</v>
      </c>
      <c r="F260" s="121">
        <v>200000</v>
      </c>
      <c r="G260" s="6"/>
      <c r="H260" s="6" t="s">
        <v>2458</v>
      </c>
      <c r="I260" s="158" t="s">
        <v>2459</v>
      </c>
      <c r="J260" s="6" t="s">
        <v>2460</v>
      </c>
      <c r="K260" s="9" t="s">
        <v>1855</v>
      </c>
      <c r="L260" s="6"/>
      <c r="M260" s="6" t="s">
        <v>2457</v>
      </c>
    </row>
    <row r="261" spans="1:13" ht="38.25">
      <c r="A261" s="143">
        <v>2019</v>
      </c>
      <c r="B261" s="6" t="s">
        <v>1577</v>
      </c>
      <c r="C261" s="9" t="s">
        <v>61</v>
      </c>
      <c r="D261" s="115" t="s">
        <v>1383</v>
      </c>
      <c r="E261" s="115" t="s">
        <v>1859</v>
      </c>
      <c r="F261" s="121">
        <v>130600</v>
      </c>
      <c r="G261" s="6"/>
      <c r="H261" s="6" t="s">
        <v>1578</v>
      </c>
      <c r="I261" s="6" t="s">
        <v>575</v>
      </c>
      <c r="J261" s="6" t="s">
        <v>1938</v>
      </c>
      <c r="K261" s="9" t="s">
        <v>1828</v>
      </c>
      <c r="L261" s="6"/>
      <c r="M261" s="6" t="s">
        <v>1383</v>
      </c>
    </row>
    <row r="262" spans="1:13" ht="25.5">
      <c r="A262" s="143">
        <v>2019</v>
      </c>
      <c r="B262" s="6" t="s">
        <v>2461</v>
      </c>
      <c r="C262" s="9" t="s">
        <v>61</v>
      </c>
      <c r="D262" s="6" t="s">
        <v>1838</v>
      </c>
      <c r="E262" s="9" t="s">
        <v>1824</v>
      </c>
      <c r="F262" s="121">
        <v>792000</v>
      </c>
      <c r="G262" s="158"/>
      <c r="H262" s="158" t="s">
        <v>2462</v>
      </c>
      <c r="I262" s="6" t="s">
        <v>811</v>
      </c>
      <c r="J262" s="6" t="s">
        <v>1938</v>
      </c>
      <c r="K262" s="9" t="s">
        <v>1828</v>
      </c>
      <c r="L262" s="158"/>
      <c r="M262" s="6" t="s">
        <v>1838</v>
      </c>
    </row>
    <row r="263" spans="1:13" ht="25.5">
      <c r="A263" s="143">
        <v>2019</v>
      </c>
      <c r="B263" s="6" t="s">
        <v>806</v>
      </c>
      <c r="C263" s="9" t="s">
        <v>61</v>
      </c>
      <c r="D263" s="6" t="s">
        <v>125</v>
      </c>
      <c r="E263" s="6" t="s">
        <v>1874</v>
      </c>
      <c r="F263" s="121">
        <v>500000</v>
      </c>
      <c r="G263" s="6"/>
      <c r="H263" s="6" t="s">
        <v>807</v>
      </c>
      <c r="I263" s="6" t="s">
        <v>808</v>
      </c>
      <c r="J263" s="6" t="s">
        <v>1938</v>
      </c>
      <c r="K263" s="9" t="s">
        <v>1828</v>
      </c>
      <c r="L263" s="6"/>
      <c r="M263" s="6" t="s">
        <v>125</v>
      </c>
    </row>
    <row r="264" spans="1:13" ht="38.25">
      <c r="A264" s="140">
        <v>2019</v>
      </c>
      <c r="B264" s="6" t="s">
        <v>1199</v>
      </c>
      <c r="C264" s="9" t="s">
        <v>61</v>
      </c>
      <c r="D264" s="9" t="s">
        <v>62</v>
      </c>
      <c r="E264" s="6" t="s">
        <v>1904</v>
      </c>
      <c r="F264" s="121">
        <v>1434349.2</v>
      </c>
      <c r="G264" s="6"/>
      <c r="H264" s="6" t="s">
        <v>1200</v>
      </c>
      <c r="I264" s="6" t="s">
        <v>2463</v>
      </c>
      <c r="J264" s="160" t="s">
        <v>2464</v>
      </c>
      <c r="K264" s="6" t="s">
        <v>1886</v>
      </c>
      <c r="L264" s="6"/>
      <c r="M264" s="6" t="s">
        <v>62</v>
      </c>
    </row>
    <row r="265" spans="1:13" ht="12.75">
      <c r="A265" s="143">
        <v>2019</v>
      </c>
      <c r="B265" s="6" t="s">
        <v>2465</v>
      </c>
      <c r="C265" s="9" t="s">
        <v>61</v>
      </c>
      <c r="D265" s="115" t="s">
        <v>1383</v>
      </c>
      <c r="E265" s="115" t="s">
        <v>1859</v>
      </c>
      <c r="F265" s="121">
        <v>172000</v>
      </c>
      <c r="G265" s="6"/>
      <c r="H265" s="6" t="s">
        <v>2466</v>
      </c>
      <c r="I265" s="6" t="s">
        <v>722</v>
      </c>
      <c r="J265" s="6" t="s">
        <v>2467</v>
      </c>
      <c r="K265" s="9" t="s">
        <v>1899</v>
      </c>
      <c r="L265" s="6"/>
      <c r="M265" s="6" t="s">
        <v>2172</v>
      </c>
    </row>
    <row r="266" spans="1:13" ht="25.5">
      <c r="A266" s="143">
        <v>2019</v>
      </c>
      <c r="B266" s="6" t="s">
        <v>2468</v>
      </c>
      <c r="C266" s="9" t="s">
        <v>61</v>
      </c>
      <c r="D266" s="115" t="s">
        <v>1383</v>
      </c>
      <c r="E266" s="115" t="s">
        <v>1859</v>
      </c>
      <c r="F266" s="121">
        <v>172000</v>
      </c>
      <c r="G266" s="6"/>
      <c r="H266" s="6" t="s">
        <v>2469</v>
      </c>
      <c r="I266" s="6" t="s">
        <v>1478</v>
      </c>
      <c r="J266" s="6" t="s">
        <v>1879</v>
      </c>
      <c r="K266" s="9" t="s">
        <v>1879</v>
      </c>
      <c r="L266" s="6"/>
      <c r="M266" s="6" t="s">
        <v>2172</v>
      </c>
    </row>
    <row r="267" spans="1:13" ht="12.75">
      <c r="A267" s="143">
        <v>2019</v>
      </c>
      <c r="B267" s="6" t="s">
        <v>1618</v>
      </c>
      <c r="C267" s="9" t="s">
        <v>61</v>
      </c>
      <c r="D267" s="115" t="s">
        <v>1383</v>
      </c>
      <c r="E267" s="115" t="s">
        <v>1859</v>
      </c>
      <c r="F267" s="121">
        <v>172000</v>
      </c>
      <c r="G267" s="6"/>
      <c r="H267" s="6" t="s">
        <v>2470</v>
      </c>
      <c r="I267" s="6" t="s">
        <v>2471</v>
      </c>
      <c r="J267" s="6" t="s">
        <v>2472</v>
      </c>
      <c r="K267" s="6" t="s">
        <v>1886</v>
      </c>
      <c r="L267" s="6"/>
      <c r="M267" s="6" t="s">
        <v>2172</v>
      </c>
    </row>
    <row r="268" spans="1:13" ht="12.75">
      <c r="A268" s="143">
        <v>2019</v>
      </c>
      <c r="B268" s="6" t="s">
        <v>1620</v>
      </c>
      <c r="C268" s="9" t="s">
        <v>61</v>
      </c>
      <c r="D268" s="115" t="s">
        <v>1383</v>
      </c>
      <c r="E268" s="115" t="s">
        <v>1859</v>
      </c>
      <c r="F268" s="121">
        <v>172000</v>
      </c>
      <c r="G268" s="6"/>
      <c r="H268" s="6" t="s">
        <v>2473</v>
      </c>
      <c r="I268" s="6" t="s">
        <v>581</v>
      </c>
      <c r="J268" s="6" t="s">
        <v>2474</v>
      </c>
      <c r="K268" s="9" t="s">
        <v>1916</v>
      </c>
      <c r="L268" s="6"/>
      <c r="M268" s="6" t="s">
        <v>2172</v>
      </c>
    </row>
    <row r="269" spans="1:13" ht="12.75">
      <c r="A269" s="143">
        <v>2019</v>
      </c>
      <c r="B269" s="6" t="s">
        <v>823</v>
      </c>
      <c r="C269" s="9" t="s">
        <v>61</v>
      </c>
      <c r="D269" s="115" t="s">
        <v>1383</v>
      </c>
      <c r="E269" s="115" t="s">
        <v>1859</v>
      </c>
      <c r="F269" s="121">
        <v>172000</v>
      </c>
      <c r="G269" s="6"/>
      <c r="H269" s="6" t="s">
        <v>2475</v>
      </c>
      <c r="I269" s="6" t="s">
        <v>956</v>
      </c>
      <c r="J269" s="6" t="s">
        <v>2476</v>
      </c>
      <c r="K269" s="9" t="s">
        <v>2047</v>
      </c>
      <c r="L269" s="6"/>
      <c r="M269" s="6" t="s">
        <v>2172</v>
      </c>
    </row>
    <row r="270" spans="1:13" ht="38.25">
      <c r="A270" s="140">
        <v>2019</v>
      </c>
      <c r="B270" s="6" t="s">
        <v>827</v>
      </c>
      <c r="C270" s="9" t="s">
        <v>61</v>
      </c>
      <c r="D270" s="9" t="s">
        <v>62</v>
      </c>
      <c r="E270" s="6" t="s">
        <v>1904</v>
      </c>
      <c r="F270" s="121">
        <v>1319221.3999999999</v>
      </c>
      <c r="G270" s="6"/>
      <c r="H270" s="6" t="s">
        <v>2477</v>
      </c>
      <c r="I270" s="6" t="s">
        <v>2478</v>
      </c>
      <c r="J270" s="160" t="s">
        <v>2479</v>
      </c>
      <c r="K270" s="9" t="s">
        <v>1899</v>
      </c>
      <c r="L270" s="6"/>
      <c r="M270" s="6" t="s">
        <v>62</v>
      </c>
    </row>
    <row r="271" spans="1:13" ht="25.5">
      <c r="A271" s="143">
        <v>2019</v>
      </c>
      <c r="B271" s="6" t="s">
        <v>1626</v>
      </c>
      <c r="C271" s="9" t="s">
        <v>2328</v>
      </c>
      <c r="D271" s="9" t="s">
        <v>62</v>
      </c>
      <c r="E271" s="9" t="s">
        <v>1824</v>
      </c>
      <c r="F271" s="121"/>
      <c r="G271" s="6"/>
      <c r="H271" s="6" t="s">
        <v>2480</v>
      </c>
      <c r="I271" s="6" t="s">
        <v>2481</v>
      </c>
      <c r="J271" s="6" t="s">
        <v>1827</v>
      </c>
      <c r="K271" s="9" t="s">
        <v>1828</v>
      </c>
      <c r="L271" s="6"/>
      <c r="M271" s="6" t="s">
        <v>62</v>
      </c>
    </row>
    <row r="272" spans="1:13" ht="12.75">
      <c r="A272" s="143">
        <v>2019</v>
      </c>
      <c r="B272" s="6" t="s">
        <v>1628</v>
      </c>
      <c r="C272" s="9" t="s">
        <v>2328</v>
      </c>
      <c r="D272" s="6"/>
      <c r="E272" s="9" t="s">
        <v>1824</v>
      </c>
      <c r="F272" s="121"/>
      <c r="G272" s="6"/>
      <c r="H272" s="6" t="s">
        <v>2482</v>
      </c>
      <c r="I272" s="6" t="s">
        <v>2483</v>
      </c>
      <c r="J272" s="6" t="s">
        <v>1827</v>
      </c>
      <c r="K272" s="9" t="s">
        <v>1828</v>
      </c>
      <c r="L272" s="6"/>
      <c r="M272" s="6"/>
    </row>
    <row r="273" spans="1:13" ht="12.75">
      <c r="A273" s="143">
        <v>2019</v>
      </c>
      <c r="B273" s="6" t="s">
        <v>1630</v>
      </c>
      <c r="C273" s="9" t="s">
        <v>2328</v>
      </c>
      <c r="D273" s="9" t="s">
        <v>62</v>
      </c>
      <c r="E273" s="9" t="s">
        <v>1824</v>
      </c>
      <c r="F273" s="121"/>
      <c r="G273" s="6"/>
      <c r="H273" s="6" t="s">
        <v>2484</v>
      </c>
      <c r="I273" s="6" t="s">
        <v>2483</v>
      </c>
      <c r="J273" s="6" t="s">
        <v>1827</v>
      </c>
      <c r="K273" s="9" t="s">
        <v>1828</v>
      </c>
      <c r="L273" s="6"/>
      <c r="M273" s="6" t="s">
        <v>62</v>
      </c>
    </row>
    <row r="274" spans="1:13" ht="25.5">
      <c r="A274" s="143">
        <v>2019</v>
      </c>
      <c r="B274" s="6" t="s">
        <v>1633</v>
      </c>
      <c r="C274" s="9" t="s">
        <v>2328</v>
      </c>
      <c r="D274" s="6"/>
      <c r="E274" s="9" t="s">
        <v>1824</v>
      </c>
      <c r="F274" s="121"/>
      <c r="G274" s="6"/>
      <c r="H274" s="6" t="s">
        <v>2485</v>
      </c>
      <c r="I274" s="6" t="s">
        <v>2486</v>
      </c>
      <c r="J274" s="6" t="s">
        <v>1827</v>
      </c>
      <c r="K274" s="9" t="s">
        <v>1828</v>
      </c>
      <c r="L274" s="6"/>
      <c r="M274" s="6"/>
    </row>
    <row r="275" spans="1:13" ht="25.5">
      <c r="A275" s="143">
        <v>2019</v>
      </c>
      <c r="B275" s="6" t="s">
        <v>830</v>
      </c>
      <c r="C275" s="9" t="s">
        <v>2328</v>
      </c>
      <c r="D275" s="9" t="s">
        <v>62</v>
      </c>
      <c r="E275" s="9" t="s">
        <v>1824</v>
      </c>
      <c r="F275" s="121"/>
      <c r="G275" s="6"/>
      <c r="H275" s="6" t="s">
        <v>2487</v>
      </c>
      <c r="I275" s="6" t="s">
        <v>2488</v>
      </c>
      <c r="J275" s="6" t="s">
        <v>1827</v>
      </c>
      <c r="K275" s="9" t="s">
        <v>1828</v>
      </c>
      <c r="L275" s="6"/>
      <c r="M275" s="6" t="s">
        <v>62</v>
      </c>
    </row>
    <row r="276" spans="1:13" ht="12.75">
      <c r="A276" s="143">
        <v>2019</v>
      </c>
      <c r="B276" s="6" t="s">
        <v>1635</v>
      </c>
      <c r="C276" s="9" t="s">
        <v>2328</v>
      </c>
      <c r="D276" s="6"/>
      <c r="E276" s="9" t="s">
        <v>1824</v>
      </c>
      <c r="F276" s="121"/>
      <c r="G276" s="6"/>
      <c r="H276" s="6" t="s">
        <v>2489</v>
      </c>
      <c r="I276" s="6" t="s">
        <v>2490</v>
      </c>
      <c r="J276" s="6" t="s">
        <v>1827</v>
      </c>
      <c r="K276" s="9" t="s">
        <v>1828</v>
      </c>
      <c r="L276" s="6"/>
      <c r="M276" s="6"/>
    </row>
    <row r="277" spans="1:13" ht="25.5">
      <c r="A277" s="143">
        <v>2019</v>
      </c>
      <c r="B277" s="6" t="s">
        <v>1637</v>
      </c>
      <c r="C277" s="9" t="s">
        <v>2328</v>
      </c>
      <c r="D277" s="6"/>
      <c r="E277" s="9" t="s">
        <v>1824</v>
      </c>
      <c r="F277" s="121"/>
      <c r="G277" s="6"/>
      <c r="H277" s="6" t="s">
        <v>2491</v>
      </c>
      <c r="I277" s="6" t="s">
        <v>2492</v>
      </c>
      <c r="J277" s="6" t="s">
        <v>1827</v>
      </c>
      <c r="K277" s="9" t="s">
        <v>1828</v>
      </c>
      <c r="L277" s="6"/>
      <c r="M277" s="6"/>
    </row>
    <row r="278" spans="1:13" ht="12.75">
      <c r="A278" s="143">
        <v>2019</v>
      </c>
      <c r="B278" s="6" t="s">
        <v>1639</v>
      </c>
      <c r="C278" s="9" t="s">
        <v>2328</v>
      </c>
      <c r="D278" s="6"/>
      <c r="E278" s="9" t="s">
        <v>1824</v>
      </c>
      <c r="F278" s="121"/>
      <c r="G278" s="6"/>
      <c r="H278" s="6" t="s">
        <v>2493</v>
      </c>
      <c r="I278" s="6" t="s">
        <v>2494</v>
      </c>
      <c r="J278" s="6" t="s">
        <v>1827</v>
      </c>
      <c r="K278" s="9" t="s">
        <v>1828</v>
      </c>
      <c r="L278" s="6"/>
      <c r="M278" s="6"/>
    </row>
    <row r="279" spans="1:13" ht="25.5">
      <c r="A279" s="143">
        <v>2019</v>
      </c>
      <c r="B279" s="6" t="s">
        <v>1642</v>
      </c>
      <c r="C279" s="9" t="s">
        <v>2328</v>
      </c>
      <c r="D279" s="6" t="s">
        <v>652</v>
      </c>
      <c r="E279" s="6" t="s">
        <v>1874</v>
      </c>
      <c r="F279" s="121"/>
      <c r="G279" s="6"/>
      <c r="H279" s="6" t="s">
        <v>2495</v>
      </c>
      <c r="I279" s="6" t="s">
        <v>2496</v>
      </c>
      <c r="J279" s="6" t="s">
        <v>1827</v>
      </c>
      <c r="K279" s="9" t="s">
        <v>1828</v>
      </c>
      <c r="L279" s="6"/>
      <c r="M279" s="6" t="s">
        <v>652</v>
      </c>
    </row>
    <row r="280" spans="1:13" ht="12.75">
      <c r="A280" s="143">
        <v>2019</v>
      </c>
      <c r="B280" s="6" t="s">
        <v>1643</v>
      </c>
      <c r="C280" s="9" t="s">
        <v>2328</v>
      </c>
      <c r="D280" s="6"/>
      <c r="E280" s="9" t="s">
        <v>1824</v>
      </c>
      <c r="F280" s="121"/>
      <c r="G280" s="6"/>
      <c r="H280" s="6" t="s">
        <v>2497</v>
      </c>
      <c r="I280" s="6" t="s">
        <v>2498</v>
      </c>
      <c r="J280" s="6" t="s">
        <v>1827</v>
      </c>
      <c r="K280" s="9" t="s">
        <v>1828</v>
      </c>
      <c r="L280" s="6"/>
      <c r="M280" s="6"/>
    </row>
    <row r="281" spans="1:13" ht="38.25">
      <c r="A281" s="143">
        <v>2019</v>
      </c>
      <c r="B281" s="6" t="s">
        <v>809</v>
      </c>
      <c r="C281" s="9" t="s">
        <v>61</v>
      </c>
      <c r="D281" s="6" t="s">
        <v>113</v>
      </c>
      <c r="E281" s="9" t="s">
        <v>1824</v>
      </c>
      <c r="F281" s="121">
        <v>182200</v>
      </c>
      <c r="G281" s="6"/>
      <c r="H281" s="6" t="s">
        <v>2499</v>
      </c>
      <c r="I281" s="6" t="s">
        <v>811</v>
      </c>
      <c r="J281" s="6" t="s">
        <v>1938</v>
      </c>
      <c r="K281" s="9" t="s">
        <v>1828</v>
      </c>
      <c r="L281" s="6"/>
      <c r="M281" s="6" t="s">
        <v>113</v>
      </c>
    </row>
    <row r="282" spans="1:13" ht="12.75">
      <c r="A282" s="140">
        <v>2019</v>
      </c>
      <c r="B282" s="6" t="s">
        <v>1204</v>
      </c>
      <c r="C282" s="9" t="s">
        <v>61</v>
      </c>
      <c r="D282" s="6" t="s">
        <v>1141</v>
      </c>
      <c r="E282" s="6" t="s">
        <v>1904</v>
      </c>
      <c r="F282" s="150">
        <v>126407.57</v>
      </c>
      <c r="G282" s="6"/>
      <c r="H282" s="6" t="s">
        <v>1205</v>
      </c>
      <c r="I282" s="6" t="s">
        <v>1206</v>
      </c>
      <c r="J282" s="6" t="s">
        <v>2500</v>
      </c>
      <c r="K282" s="9" t="s">
        <v>1916</v>
      </c>
      <c r="L282" s="6"/>
      <c r="M282" s="6" t="s">
        <v>1141</v>
      </c>
    </row>
    <row r="283" spans="1:13" ht="38.25">
      <c r="A283" s="143">
        <v>2019</v>
      </c>
      <c r="B283" s="6" t="s">
        <v>812</v>
      </c>
      <c r="C283" s="9" t="s">
        <v>61</v>
      </c>
      <c r="D283" s="112" t="s">
        <v>68</v>
      </c>
      <c r="E283" s="6" t="s">
        <v>1874</v>
      </c>
      <c r="F283" s="121">
        <v>199388</v>
      </c>
      <c r="G283" s="6"/>
      <c r="H283" s="6" t="s">
        <v>813</v>
      </c>
      <c r="I283" s="6" t="s">
        <v>2501</v>
      </c>
      <c r="J283" s="160" t="s">
        <v>2502</v>
      </c>
      <c r="K283" s="9" t="s">
        <v>2051</v>
      </c>
      <c r="L283" s="6"/>
      <c r="M283" s="6" t="s">
        <v>68</v>
      </c>
    </row>
    <row r="284" spans="1:13" ht="25.5">
      <c r="A284" s="143">
        <v>2019</v>
      </c>
      <c r="B284" s="6" t="s">
        <v>815</v>
      </c>
      <c r="C284" s="9" t="s">
        <v>61</v>
      </c>
      <c r="D284" s="6" t="s">
        <v>652</v>
      </c>
      <c r="E284" s="6" t="s">
        <v>1874</v>
      </c>
      <c r="F284" s="121">
        <v>146362</v>
      </c>
      <c r="G284" s="6"/>
      <c r="H284" s="6" t="s">
        <v>816</v>
      </c>
      <c r="I284" s="6" t="s">
        <v>2503</v>
      </c>
      <c r="J284" s="160" t="s">
        <v>2504</v>
      </c>
      <c r="K284" s="9" t="s">
        <v>1828</v>
      </c>
      <c r="L284" s="6"/>
      <c r="M284" s="6" t="s">
        <v>652</v>
      </c>
    </row>
    <row r="285" spans="1:13" ht="38.25">
      <c r="A285" s="143">
        <v>2019</v>
      </c>
      <c r="B285" s="6" t="s">
        <v>847</v>
      </c>
      <c r="C285" s="9" t="s">
        <v>2328</v>
      </c>
      <c r="D285" s="6"/>
      <c r="E285" s="9"/>
      <c r="F285" s="121"/>
      <c r="G285" s="6"/>
      <c r="H285" s="6" t="s">
        <v>2505</v>
      </c>
      <c r="I285" s="6" t="s">
        <v>2506</v>
      </c>
      <c r="J285" s="6" t="s">
        <v>2507</v>
      </c>
      <c r="K285" s="9" t="s">
        <v>1828</v>
      </c>
      <c r="L285" s="6"/>
      <c r="M285" s="6"/>
    </row>
    <row r="286" spans="1:13" ht="38.25">
      <c r="A286" s="143">
        <v>2019</v>
      </c>
      <c r="B286" s="6" t="s">
        <v>850</v>
      </c>
      <c r="C286" s="9" t="s">
        <v>61</v>
      </c>
      <c r="D286" s="115" t="s">
        <v>1383</v>
      </c>
      <c r="E286" s="115" t="s">
        <v>1859</v>
      </c>
      <c r="F286" s="121">
        <v>500000</v>
      </c>
      <c r="G286" s="6"/>
      <c r="H286" s="6" t="s">
        <v>1579</v>
      </c>
      <c r="I286" s="6" t="s">
        <v>1580</v>
      </c>
      <c r="J286" s="6" t="s">
        <v>722</v>
      </c>
      <c r="K286" s="9" t="s">
        <v>1899</v>
      </c>
      <c r="L286" s="6"/>
      <c r="M286" s="6" t="s">
        <v>1383</v>
      </c>
    </row>
    <row r="287" spans="1:13" ht="25.5">
      <c r="A287" s="143">
        <v>2019</v>
      </c>
      <c r="B287" s="6" t="s">
        <v>1581</v>
      </c>
      <c r="C287" s="9" t="s">
        <v>61</v>
      </c>
      <c r="D287" s="115" t="s">
        <v>1383</v>
      </c>
      <c r="E287" s="115" t="s">
        <v>1859</v>
      </c>
      <c r="F287" s="121">
        <v>500000</v>
      </c>
      <c r="G287" s="6"/>
      <c r="H287" s="6" t="s">
        <v>1582</v>
      </c>
      <c r="I287" s="6" t="s">
        <v>1505</v>
      </c>
      <c r="J287" s="6" t="s">
        <v>2508</v>
      </c>
      <c r="K287" s="9" t="s">
        <v>1828</v>
      </c>
      <c r="L287" s="6"/>
      <c r="M287" s="6" t="s">
        <v>1383</v>
      </c>
    </row>
    <row r="288" spans="1:13" ht="25.5">
      <c r="A288" s="143">
        <v>2019</v>
      </c>
      <c r="B288" s="6" t="s">
        <v>1648</v>
      </c>
      <c r="C288" s="9" t="s">
        <v>2328</v>
      </c>
      <c r="D288" s="6"/>
      <c r="E288" s="9" t="s">
        <v>1824</v>
      </c>
      <c r="F288" s="121"/>
      <c r="G288" s="6"/>
      <c r="H288" s="6" t="s">
        <v>2509</v>
      </c>
      <c r="I288" s="6" t="s">
        <v>2510</v>
      </c>
      <c r="J288" s="6" t="s">
        <v>2508</v>
      </c>
      <c r="K288" s="9" t="s">
        <v>1828</v>
      </c>
      <c r="L288" s="6"/>
      <c r="M288" s="6"/>
    </row>
    <row r="289" spans="1:13" ht="38.25">
      <c r="A289" s="140">
        <v>2019</v>
      </c>
      <c r="B289" s="6" t="s">
        <v>60</v>
      </c>
      <c r="C289" s="9" t="s">
        <v>61</v>
      </c>
      <c r="D289" s="9" t="s">
        <v>62</v>
      </c>
      <c r="E289" s="6" t="s">
        <v>1904</v>
      </c>
      <c r="F289" s="121">
        <v>3792164.92</v>
      </c>
      <c r="G289" s="6"/>
      <c r="H289" s="6" t="s">
        <v>63</v>
      </c>
      <c r="I289" s="6" t="s">
        <v>2511</v>
      </c>
      <c r="J289" s="160" t="s">
        <v>2512</v>
      </c>
      <c r="K289" s="9" t="s">
        <v>1828</v>
      </c>
      <c r="L289" s="6"/>
      <c r="M289" s="6" t="s">
        <v>62</v>
      </c>
    </row>
    <row r="290" spans="1:13" ht="38.25">
      <c r="A290" s="140">
        <v>2019</v>
      </c>
      <c r="B290" s="6" t="s">
        <v>1207</v>
      </c>
      <c r="C290" s="9" t="s">
        <v>61</v>
      </c>
      <c r="D290" s="9" t="s">
        <v>62</v>
      </c>
      <c r="E290" s="6" t="s">
        <v>1904</v>
      </c>
      <c r="F290" s="121">
        <v>819000</v>
      </c>
      <c r="G290" s="6"/>
      <c r="H290" s="6" t="s">
        <v>2513</v>
      </c>
      <c r="I290" s="6" t="s">
        <v>2514</v>
      </c>
      <c r="J290" s="160" t="s">
        <v>2515</v>
      </c>
      <c r="K290" s="9" t="s">
        <v>1828</v>
      </c>
      <c r="L290" s="6"/>
      <c r="M290" s="6" t="s">
        <v>62</v>
      </c>
    </row>
    <row r="291" spans="1:13" ht="38.25">
      <c r="A291" s="140">
        <v>2019</v>
      </c>
      <c r="B291" s="6" t="s">
        <v>1210</v>
      </c>
      <c r="C291" s="9" t="s">
        <v>61</v>
      </c>
      <c r="D291" s="9" t="s">
        <v>62</v>
      </c>
      <c r="E291" s="6" t="s">
        <v>1904</v>
      </c>
      <c r="F291" s="121">
        <v>950981.8</v>
      </c>
      <c r="G291" s="6"/>
      <c r="H291" s="6" t="s">
        <v>1211</v>
      </c>
      <c r="I291" s="6" t="s">
        <v>2516</v>
      </c>
      <c r="J291" s="160" t="s">
        <v>2517</v>
      </c>
      <c r="K291" s="9" t="s">
        <v>1828</v>
      </c>
      <c r="L291" s="6"/>
      <c r="M291" s="6" t="s">
        <v>62</v>
      </c>
    </row>
    <row r="292" spans="1:13" ht="38.25">
      <c r="A292" s="143">
        <v>2019</v>
      </c>
      <c r="B292" s="6" t="s">
        <v>818</v>
      </c>
      <c r="C292" s="9" t="s">
        <v>61</v>
      </c>
      <c r="D292" s="6" t="s">
        <v>394</v>
      </c>
      <c r="E292" s="115" t="s">
        <v>1853</v>
      </c>
      <c r="F292" s="64">
        <v>37500</v>
      </c>
      <c r="G292" s="6"/>
      <c r="H292" s="6" t="s">
        <v>819</v>
      </c>
      <c r="I292" s="6" t="s">
        <v>820</v>
      </c>
      <c r="J292" s="166" t="s">
        <v>2518</v>
      </c>
      <c r="K292" s="6" t="s">
        <v>1886</v>
      </c>
      <c r="L292" s="6"/>
      <c r="M292" s="6" t="s">
        <v>394</v>
      </c>
    </row>
    <row r="293" spans="1:13" ht="114.75">
      <c r="A293" s="143">
        <v>2019</v>
      </c>
      <c r="B293" s="167" t="s">
        <v>2519</v>
      </c>
      <c r="C293" s="9" t="s">
        <v>1823</v>
      </c>
      <c r="D293" s="6" t="s">
        <v>2520</v>
      </c>
      <c r="E293" s="6" t="s">
        <v>1874</v>
      </c>
      <c r="F293" s="121"/>
      <c r="G293" s="6"/>
      <c r="H293" s="6" t="s">
        <v>2521</v>
      </c>
      <c r="I293" s="6" t="s">
        <v>2412</v>
      </c>
      <c r="J293" s="6" t="s">
        <v>575</v>
      </c>
      <c r="K293" s="9" t="s">
        <v>1828</v>
      </c>
      <c r="L293" s="6" t="s">
        <v>2522</v>
      </c>
      <c r="M293" s="6" t="s">
        <v>2520</v>
      </c>
    </row>
    <row r="294" spans="1:13" ht="331.5">
      <c r="A294" s="143">
        <v>2019</v>
      </c>
      <c r="B294" s="6" t="s">
        <v>2523</v>
      </c>
      <c r="C294" s="9" t="s">
        <v>1823</v>
      </c>
      <c r="D294" s="6" t="s">
        <v>2524</v>
      </c>
      <c r="E294" s="9"/>
      <c r="F294" s="121"/>
      <c r="G294" s="6"/>
      <c r="H294" s="6" t="s">
        <v>2525</v>
      </c>
      <c r="I294" s="6" t="s">
        <v>1231</v>
      </c>
      <c r="J294" s="6" t="s">
        <v>575</v>
      </c>
      <c r="K294" s="9" t="s">
        <v>1828</v>
      </c>
      <c r="L294" s="6" t="s">
        <v>2526</v>
      </c>
      <c r="M294" s="6" t="s">
        <v>2524</v>
      </c>
    </row>
    <row r="295" spans="1:13" ht="89.25">
      <c r="A295" s="143">
        <v>2019</v>
      </c>
      <c r="B295" s="6" t="s">
        <v>2527</v>
      </c>
      <c r="C295" s="9" t="s">
        <v>1823</v>
      </c>
      <c r="D295" s="6" t="s">
        <v>2524</v>
      </c>
      <c r="E295" s="9"/>
      <c r="F295" s="121"/>
      <c r="G295" s="6"/>
      <c r="H295" s="6" t="s">
        <v>2528</v>
      </c>
      <c r="I295" s="6" t="s">
        <v>2412</v>
      </c>
      <c r="J295" s="6" t="s">
        <v>575</v>
      </c>
      <c r="K295" s="9" t="s">
        <v>1828</v>
      </c>
      <c r="L295" s="6" t="s">
        <v>2529</v>
      </c>
      <c r="M295" s="6" t="s">
        <v>2524</v>
      </c>
    </row>
    <row r="296" spans="1:13" ht="76.5">
      <c r="A296" s="143">
        <v>2019</v>
      </c>
      <c r="B296" s="6" t="s">
        <v>2530</v>
      </c>
      <c r="C296" s="9" t="s">
        <v>1823</v>
      </c>
      <c r="D296" s="6" t="s">
        <v>2524</v>
      </c>
      <c r="E296" s="9"/>
      <c r="F296" s="121"/>
      <c r="G296" s="6"/>
      <c r="H296" s="6" t="s">
        <v>2531</v>
      </c>
      <c r="I296" s="6" t="s">
        <v>2412</v>
      </c>
      <c r="J296" s="6" t="s">
        <v>575</v>
      </c>
      <c r="K296" s="9" t="s">
        <v>1828</v>
      </c>
      <c r="L296" s="6" t="s">
        <v>2532</v>
      </c>
      <c r="M296" s="6" t="s">
        <v>2524</v>
      </c>
    </row>
    <row r="297" spans="1:13" ht="293.25">
      <c r="A297" s="143">
        <v>2019</v>
      </c>
      <c r="B297" s="6" t="s">
        <v>2533</v>
      </c>
      <c r="C297" s="9" t="s">
        <v>1823</v>
      </c>
      <c r="D297" s="6" t="s">
        <v>2524</v>
      </c>
      <c r="E297" s="9"/>
      <c r="F297" s="121"/>
      <c r="G297" s="6"/>
      <c r="H297" s="6" t="s">
        <v>2534</v>
      </c>
      <c r="I297" s="6" t="s">
        <v>1231</v>
      </c>
      <c r="J297" s="6" t="s">
        <v>575</v>
      </c>
      <c r="K297" s="9" t="s">
        <v>1828</v>
      </c>
      <c r="L297" s="6" t="s">
        <v>2535</v>
      </c>
      <c r="M297" s="6" t="s">
        <v>2524</v>
      </c>
    </row>
    <row r="298" spans="1:13" ht="178.5">
      <c r="A298" s="143">
        <v>2019</v>
      </c>
      <c r="B298" s="6" t="s">
        <v>2536</v>
      </c>
      <c r="C298" s="9" t="s">
        <v>1823</v>
      </c>
      <c r="D298" s="6" t="s">
        <v>2524</v>
      </c>
      <c r="E298" s="9"/>
      <c r="F298" s="121"/>
      <c r="G298" s="6"/>
      <c r="H298" s="6" t="s">
        <v>2537</v>
      </c>
      <c r="I298" s="6" t="s">
        <v>611</v>
      </c>
      <c r="J298" s="6" t="s">
        <v>575</v>
      </c>
      <c r="K298" s="9" t="s">
        <v>1828</v>
      </c>
      <c r="L298" s="6" t="s">
        <v>2538</v>
      </c>
      <c r="M298" s="6" t="s">
        <v>2524</v>
      </c>
    </row>
    <row r="299" spans="1:13" ht="216.75">
      <c r="A299" s="143">
        <v>2019</v>
      </c>
      <c r="B299" s="6" t="s">
        <v>2539</v>
      </c>
      <c r="C299" s="9" t="s">
        <v>1823</v>
      </c>
      <c r="D299" s="6" t="s">
        <v>2524</v>
      </c>
      <c r="E299" s="9"/>
      <c r="F299" s="121"/>
      <c r="G299" s="6"/>
      <c r="H299" s="6" t="s">
        <v>2540</v>
      </c>
      <c r="I299" s="6" t="s">
        <v>611</v>
      </c>
      <c r="J299" s="6" t="s">
        <v>575</v>
      </c>
      <c r="K299" s="9" t="s">
        <v>1828</v>
      </c>
      <c r="L299" s="6" t="s">
        <v>2541</v>
      </c>
      <c r="M299" s="6" t="s">
        <v>2524</v>
      </c>
    </row>
    <row r="300" spans="1:13" ht="76.5">
      <c r="A300" s="143">
        <v>2019</v>
      </c>
      <c r="B300" s="6" t="s">
        <v>1583</v>
      </c>
      <c r="C300" s="9" t="s">
        <v>61</v>
      </c>
      <c r="D300" s="115" t="s">
        <v>1383</v>
      </c>
      <c r="E300" s="115" t="s">
        <v>1859</v>
      </c>
      <c r="F300" s="121">
        <v>100000</v>
      </c>
      <c r="G300" s="6"/>
      <c r="H300" s="6" t="s">
        <v>1584</v>
      </c>
      <c r="I300" s="6" t="s">
        <v>1585</v>
      </c>
      <c r="J300" s="6" t="s">
        <v>1585</v>
      </c>
      <c r="K300" s="9" t="s">
        <v>1828</v>
      </c>
      <c r="L300" s="6" t="s">
        <v>2542</v>
      </c>
      <c r="M300" s="6" t="s">
        <v>1383</v>
      </c>
    </row>
    <row r="301" spans="1:13" ht="178.5">
      <c r="A301" s="140">
        <v>2019</v>
      </c>
      <c r="B301" s="6" t="s">
        <v>1213</v>
      </c>
      <c r="C301" s="9" t="s">
        <v>61</v>
      </c>
      <c r="D301" s="6" t="s">
        <v>1141</v>
      </c>
      <c r="E301" s="6" t="s">
        <v>1904</v>
      </c>
      <c r="F301" s="121">
        <v>96071.35</v>
      </c>
      <c r="G301" s="6"/>
      <c r="H301" s="6" t="s">
        <v>1214</v>
      </c>
      <c r="I301" s="6" t="s">
        <v>1215</v>
      </c>
      <c r="J301" s="6" t="s">
        <v>2543</v>
      </c>
      <c r="K301" s="9" t="s">
        <v>1916</v>
      </c>
      <c r="L301" s="6" t="s">
        <v>2544</v>
      </c>
      <c r="M301" s="6" t="s">
        <v>1141</v>
      </c>
    </row>
    <row r="302" spans="1:13" ht="165.75">
      <c r="A302" s="143">
        <v>2019</v>
      </c>
      <c r="B302" s="6" t="s">
        <v>1586</v>
      </c>
      <c r="C302" s="9" t="s">
        <v>61</v>
      </c>
      <c r="D302" s="115" t="s">
        <v>1383</v>
      </c>
      <c r="E302" s="115" t="s">
        <v>1859</v>
      </c>
      <c r="F302" s="121">
        <v>58000</v>
      </c>
      <c r="G302" s="6"/>
      <c r="H302" s="6" t="s">
        <v>1587</v>
      </c>
      <c r="I302" s="6" t="s">
        <v>1588</v>
      </c>
      <c r="J302" s="6"/>
      <c r="K302" s="9" t="s">
        <v>1828</v>
      </c>
      <c r="L302" s="6" t="s">
        <v>2545</v>
      </c>
      <c r="M302" s="6" t="s">
        <v>1383</v>
      </c>
    </row>
    <row r="303" spans="1:13" ht="89.25">
      <c r="A303" s="143">
        <v>2019</v>
      </c>
      <c r="B303" s="6" t="s">
        <v>1589</v>
      </c>
      <c r="C303" s="9" t="s">
        <v>61</v>
      </c>
      <c r="D303" s="115" t="s">
        <v>1383</v>
      </c>
      <c r="E303" s="115" t="s">
        <v>1859</v>
      </c>
      <c r="F303" s="121">
        <v>200000</v>
      </c>
      <c r="G303" s="6"/>
      <c r="H303" s="6" t="s">
        <v>1590</v>
      </c>
      <c r="I303" s="6" t="s">
        <v>849</v>
      </c>
      <c r="J303" s="6" t="s">
        <v>2546</v>
      </c>
      <c r="K303" s="9" t="s">
        <v>2085</v>
      </c>
      <c r="L303" s="6" t="s">
        <v>2547</v>
      </c>
      <c r="M303" s="6" t="s">
        <v>1383</v>
      </c>
    </row>
    <row r="304" spans="1:13" ht="102">
      <c r="A304" s="143">
        <v>2019</v>
      </c>
      <c r="B304" s="6" t="s">
        <v>1591</v>
      </c>
      <c r="C304" s="9" t="s">
        <v>61</v>
      </c>
      <c r="D304" s="115" t="s">
        <v>1383</v>
      </c>
      <c r="E304" s="115" t="s">
        <v>1859</v>
      </c>
      <c r="F304" s="121">
        <v>200000</v>
      </c>
      <c r="G304" s="6"/>
      <c r="H304" s="6" t="s">
        <v>1592</v>
      </c>
      <c r="I304" s="6" t="s">
        <v>1593</v>
      </c>
      <c r="J304" s="6" t="s">
        <v>2548</v>
      </c>
      <c r="K304" s="9" t="s">
        <v>1899</v>
      </c>
      <c r="L304" s="6" t="s">
        <v>2549</v>
      </c>
      <c r="M304" s="6" t="s">
        <v>1383</v>
      </c>
    </row>
    <row r="305" spans="1:13" ht="114.75">
      <c r="A305" s="143">
        <v>2019</v>
      </c>
      <c r="B305" s="6" t="s">
        <v>1594</v>
      </c>
      <c r="C305" s="9" t="s">
        <v>61</v>
      </c>
      <c r="D305" s="115" t="s">
        <v>1383</v>
      </c>
      <c r="E305" s="115" t="s">
        <v>1859</v>
      </c>
      <c r="F305" s="121">
        <v>200000</v>
      </c>
      <c r="G305" s="6"/>
      <c r="H305" s="6" t="s">
        <v>1595</v>
      </c>
      <c r="I305" s="6" t="s">
        <v>844</v>
      </c>
      <c r="J305" s="6" t="s">
        <v>2550</v>
      </c>
      <c r="K305" s="9" t="s">
        <v>2051</v>
      </c>
      <c r="L305" s="6" t="s">
        <v>2551</v>
      </c>
      <c r="M305" s="6" t="s">
        <v>1383</v>
      </c>
    </row>
    <row r="306" spans="1:13" ht="102">
      <c r="A306" s="143">
        <v>2019</v>
      </c>
      <c r="B306" s="6" t="s">
        <v>1596</v>
      </c>
      <c r="C306" s="9" t="s">
        <v>61</v>
      </c>
      <c r="D306" s="115" t="s">
        <v>1383</v>
      </c>
      <c r="E306" s="115" t="s">
        <v>1859</v>
      </c>
      <c r="F306" s="121">
        <v>200000</v>
      </c>
      <c r="G306" s="6"/>
      <c r="H306" s="6" t="s">
        <v>1597</v>
      </c>
      <c r="I306" s="6" t="s">
        <v>1598</v>
      </c>
      <c r="J306" s="6" t="s">
        <v>2030</v>
      </c>
      <c r="K306" s="9" t="s">
        <v>2031</v>
      </c>
      <c r="L306" s="6" t="s">
        <v>2552</v>
      </c>
      <c r="M306" s="6" t="s">
        <v>1383</v>
      </c>
    </row>
    <row r="307" spans="1:13" ht="76.5">
      <c r="A307" s="143">
        <v>2019</v>
      </c>
      <c r="B307" s="6" t="s">
        <v>1599</v>
      </c>
      <c r="C307" s="9" t="s">
        <v>61</v>
      </c>
      <c r="D307" s="115" t="s">
        <v>1383</v>
      </c>
      <c r="E307" s="115" t="s">
        <v>1859</v>
      </c>
      <c r="F307" s="121">
        <v>200000</v>
      </c>
      <c r="G307" s="6"/>
      <c r="H307" s="6" t="s">
        <v>1600</v>
      </c>
      <c r="I307" s="6" t="s">
        <v>854</v>
      </c>
      <c r="J307" s="167" t="s">
        <v>2553</v>
      </c>
      <c r="K307" s="9" t="s">
        <v>1916</v>
      </c>
      <c r="L307" s="6" t="s">
        <v>2554</v>
      </c>
      <c r="M307" s="6" t="s">
        <v>1383</v>
      </c>
    </row>
    <row r="308" spans="1:13" ht="89.25">
      <c r="A308" s="143">
        <v>2019</v>
      </c>
      <c r="B308" s="6" t="s">
        <v>1601</v>
      </c>
      <c r="C308" s="9" t="s">
        <v>61</v>
      </c>
      <c r="D308" s="115" t="s">
        <v>1383</v>
      </c>
      <c r="E308" s="115" t="s">
        <v>1859</v>
      </c>
      <c r="F308" s="121">
        <v>200000</v>
      </c>
      <c r="G308" s="6"/>
      <c r="H308" s="6" t="s">
        <v>1602</v>
      </c>
      <c r="I308" s="6" t="s">
        <v>1346</v>
      </c>
      <c r="J308" s="6" t="s">
        <v>2555</v>
      </c>
      <c r="K308" s="6" t="s">
        <v>2082</v>
      </c>
      <c r="L308" s="6" t="s">
        <v>2556</v>
      </c>
      <c r="M308" s="6" t="s">
        <v>1383</v>
      </c>
    </row>
    <row r="309" spans="1:13" ht="89.25">
      <c r="A309" s="143">
        <v>2019</v>
      </c>
      <c r="B309" s="6" t="s">
        <v>1603</v>
      </c>
      <c r="C309" s="9" t="s">
        <v>61</v>
      </c>
      <c r="D309" s="115" t="s">
        <v>1383</v>
      </c>
      <c r="E309" s="115" t="s">
        <v>1859</v>
      </c>
      <c r="F309" s="121">
        <v>200000</v>
      </c>
      <c r="G309" s="6"/>
      <c r="H309" s="6" t="s">
        <v>1604</v>
      </c>
      <c r="I309" s="6" t="s">
        <v>1605</v>
      </c>
      <c r="J309" s="6" t="s">
        <v>2557</v>
      </c>
      <c r="K309" s="9" t="s">
        <v>1919</v>
      </c>
      <c r="L309" s="6" t="s">
        <v>2558</v>
      </c>
      <c r="M309" s="6" t="s">
        <v>1383</v>
      </c>
    </row>
    <row r="310" spans="1:13" ht="89.25">
      <c r="A310" s="143">
        <v>2019</v>
      </c>
      <c r="B310" s="6" t="s">
        <v>1606</v>
      </c>
      <c r="C310" s="9" t="s">
        <v>61</v>
      </c>
      <c r="D310" s="115" t="s">
        <v>1383</v>
      </c>
      <c r="E310" s="115" t="s">
        <v>1859</v>
      </c>
      <c r="F310" s="121">
        <v>200000</v>
      </c>
      <c r="G310" s="6"/>
      <c r="H310" s="6" t="s">
        <v>2559</v>
      </c>
      <c r="I310" s="6" t="s">
        <v>1608</v>
      </c>
      <c r="J310" s="6" t="s">
        <v>2560</v>
      </c>
      <c r="K310" s="9" t="s">
        <v>2041</v>
      </c>
      <c r="L310" s="6" t="s">
        <v>2561</v>
      </c>
      <c r="M310" s="6" t="s">
        <v>1383</v>
      </c>
    </row>
    <row r="311" spans="1:13" ht="89.25">
      <c r="A311" s="143">
        <v>2019</v>
      </c>
      <c r="B311" s="6" t="s">
        <v>1609</v>
      </c>
      <c r="C311" s="9" t="s">
        <v>61</v>
      </c>
      <c r="D311" s="115" t="s">
        <v>1383</v>
      </c>
      <c r="E311" s="115" t="s">
        <v>1859</v>
      </c>
      <c r="F311" s="121">
        <v>500000</v>
      </c>
      <c r="G311" s="6"/>
      <c r="H311" s="6" t="s">
        <v>1610</v>
      </c>
      <c r="I311" s="6" t="s">
        <v>1611</v>
      </c>
      <c r="J311" s="6" t="s">
        <v>2562</v>
      </c>
      <c r="K311" s="9" t="s">
        <v>1828</v>
      </c>
      <c r="L311" s="6" t="s">
        <v>2563</v>
      </c>
      <c r="M311" s="6" t="s">
        <v>1383</v>
      </c>
    </row>
    <row r="312" spans="1:13" ht="140.25">
      <c r="A312" s="143">
        <v>2019</v>
      </c>
      <c r="B312" s="6" t="s">
        <v>821</v>
      </c>
      <c r="C312" s="9" t="s">
        <v>61</v>
      </c>
      <c r="D312" s="6" t="s">
        <v>394</v>
      </c>
      <c r="E312" s="115" t="s">
        <v>1853</v>
      </c>
      <c r="F312" s="64">
        <v>60000</v>
      </c>
      <c r="G312" s="6"/>
      <c r="H312" s="6" t="s">
        <v>822</v>
      </c>
      <c r="I312" s="6" t="s">
        <v>704</v>
      </c>
      <c r="J312" s="6" t="s">
        <v>2564</v>
      </c>
      <c r="K312" s="9" t="s">
        <v>1879</v>
      </c>
      <c r="L312" s="6" t="s">
        <v>2565</v>
      </c>
      <c r="M312" s="6" t="s">
        <v>394</v>
      </c>
    </row>
    <row r="313" spans="1:13" ht="76.5">
      <c r="A313" s="143">
        <v>2019</v>
      </c>
      <c r="B313" s="6" t="s">
        <v>1612</v>
      </c>
      <c r="C313" s="9" t="s">
        <v>61</v>
      </c>
      <c r="D313" s="115" t="s">
        <v>1383</v>
      </c>
      <c r="E313" s="115" t="s">
        <v>1859</v>
      </c>
      <c r="F313" s="121">
        <v>500000</v>
      </c>
      <c r="G313" s="6"/>
      <c r="H313" s="6" t="s">
        <v>1613</v>
      </c>
      <c r="I313" s="9" t="s">
        <v>1614</v>
      </c>
      <c r="J313" s="6" t="s">
        <v>2566</v>
      </c>
      <c r="K313" s="9" t="s">
        <v>1828</v>
      </c>
      <c r="L313" s="6" t="s">
        <v>2567</v>
      </c>
      <c r="M313" s="6" t="s">
        <v>1383</v>
      </c>
    </row>
    <row r="314" spans="1:13" ht="102">
      <c r="A314" s="143">
        <v>2019</v>
      </c>
      <c r="B314" s="6" t="s">
        <v>1615</v>
      </c>
      <c r="C314" s="9" t="s">
        <v>61</v>
      </c>
      <c r="D314" s="115" t="s">
        <v>1383</v>
      </c>
      <c r="E314" s="115" t="s">
        <v>1859</v>
      </c>
      <c r="F314" s="121">
        <v>500000</v>
      </c>
      <c r="G314" s="6"/>
      <c r="H314" s="6" t="s">
        <v>1616</v>
      </c>
      <c r="I314" s="6" t="s">
        <v>1617</v>
      </c>
      <c r="J314" s="6" t="s">
        <v>2562</v>
      </c>
      <c r="K314" s="9" t="s">
        <v>1828</v>
      </c>
      <c r="L314" s="6" t="s">
        <v>2568</v>
      </c>
      <c r="M314" s="6" t="s">
        <v>1383</v>
      </c>
    </row>
    <row r="315" spans="1:13" ht="76.5">
      <c r="A315" s="143">
        <v>2019</v>
      </c>
      <c r="B315" s="6" t="s">
        <v>1618</v>
      </c>
      <c r="C315" s="9" t="s">
        <v>61</v>
      </c>
      <c r="D315" s="115" t="s">
        <v>1383</v>
      </c>
      <c r="E315" s="115" t="s">
        <v>1859</v>
      </c>
      <c r="F315" s="121">
        <v>500000</v>
      </c>
      <c r="G315" s="6"/>
      <c r="H315" s="6" t="s">
        <v>1619</v>
      </c>
      <c r="I315" s="6" t="s">
        <v>840</v>
      </c>
      <c r="J315" s="6" t="s">
        <v>2562</v>
      </c>
      <c r="K315" s="9" t="s">
        <v>1828</v>
      </c>
      <c r="L315" s="6" t="s">
        <v>2569</v>
      </c>
      <c r="M315" s="6" t="s">
        <v>1383</v>
      </c>
    </row>
    <row r="316" spans="1:13" ht="89.25">
      <c r="A316" s="143">
        <v>2019</v>
      </c>
      <c r="B316" s="6" t="s">
        <v>1620</v>
      </c>
      <c r="C316" s="9" t="s">
        <v>61</v>
      </c>
      <c r="D316" s="115" t="s">
        <v>1383</v>
      </c>
      <c r="E316" s="115" t="s">
        <v>1859</v>
      </c>
      <c r="F316" s="121">
        <v>500000</v>
      </c>
      <c r="G316" s="6"/>
      <c r="H316" s="6" t="s">
        <v>1621</v>
      </c>
      <c r="I316" s="6" t="s">
        <v>1622</v>
      </c>
      <c r="J316" s="6" t="s">
        <v>2570</v>
      </c>
      <c r="K316" s="9" t="s">
        <v>2571</v>
      </c>
      <c r="L316" s="6" t="s">
        <v>2572</v>
      </c>
      <c r="M316" s="6" t="s">
        <v>1383</v>
      </c>
    </row>
    <row r="317" spans="1:13" ht="178.5">
      <c r="A317" s="143">
        <v>2019</v>
      </c>
      <c r="B317" s="6" t="s">
        <v>823</v>
      </c>
      <c r="C317" s="9" t="s">
        <v>61</v>
      </c>
      <c r="D317" s="6" t="s">
        <v>586</v>
      </c>
      <c r="E317" s="6" t="s">
        <v>1874</v>
      </c>
      <c r="F317" s="121">
        <v>28800</v>
      </c>
      <c r="G317" s="6"/>
      <c r="H317" s="6" t="s">
        <v>825</v>
      </c>
      <c r="I317" s="6" t="s">
        <v>826</v>
      </c>
      <c r="J317" s="6" t="s">
        <v>2573</v>
      </c>
      <c r="K317" s="9" t="s">
        <v>1828</v>
      </c>
      <c r="L317" s="6" t="s">
        <v>2574</v>
      </c>
      <c r="M317" s="6" t="s">
        <v>2520</v>
      </c>
    </row>
    <row r="318" spans="1:13" ht="114.75">
      <c r="A318" s="143">
        <v>2019</v>
      </c>
      <c r="B318" s="6" t="s">
        <v>827</v>
      </c>
      <c r="C318" s="9" t="s">
        <v>61</v>
      </c>
      <c r="D318" s="6" t="s">
        <v>586</v>
      </c>
      <c r="E318" s="6" t="s">
        <v>1874</v>
      </c>
      <c r="F318" s="121">
        <v>16346.44</v>
      </c>
      <c r="G318" s="6"/>
      <c r="H318" s="6" t="s">
        <v>828</v>
      </c>
      <c r="I318" s="6" t="s">
        <v>829</v>
      </c>
      <c r="J318" s="6" t="s">
        <v>2575</v>
      </c>
      <c r="K318" s="9" t="s">
        <v>2047</v>
      </c>
      <c r="L318" s="6" t="s">
        <v>2576</v>
      </c>
      <c r="M318" s="6" t="s">
        <v>2520</v>
      </c>
    </row>
    <row r="319" spans="1:13" ht="127.5">
      <c r="A319" s="143">
        <v>2019</v>
      </c>
      <c r="B319" s="6" t="s">
        <v>1623</v>
      </c>
      <c r="C319" s="9" t="s">
        <v>61</v>
      </c>
      <c r="D319" s="115" t="s">
        <v>1383</v>
      </c>
      <c r="E319" s="115" t="s">
        <v>1859</v>
      </c>
      <c r="F319" s="121">
        <v>500000</v>
      </c>
      <c r="G319" s="6"/>
      <c r="H319" s="6" t="s">
        <v>1624</v>
      </c>
      <c r="I319" s="6" t="s">
        <v>1625</v>
      </c>
      <c r="J319" s="6" t="s">
        <v>2562</v>
      </c>
      <c r="K319" s="9" t="s">
        <v>1828</v>
      </c>
      <c r="L319" s="6" t="s">
        <v>2577</v>
      </c>
      <c r="M319" s="6" t="s">
        <v>1383</v>
      </c>
    </row>
    <row r="320" spans="1:13" ht="204">
      <c r="A320" s="143">
        <v>2019</v>
      </c>
      <c r="B320" s="6" t="s">
        <v>1626</v>
      </c>
      <c r="C320" s="9" t="s">
        <v>61</v>
      </c>
      <c r="D320" s="115" t="s">
        <v>1383</v>
      </c>
      <c r="E320" s="115" t="s">
        <v>1859</v>
      </c>
      <c r="F320" s="121">
        <v>200000</v>
      </c>
      <c r="G320" s="6"/>
      <c r="H320" s="6" t="s">
        <v>1627</v>
      </c>
      <c r="I320" s="6" t="s">
        <v>842</v>
      </c>
      <c r="J320" s="6" t="s">
        <v>2578</v>
      </c>
      <c r="K320" s="9" t="s">
        <v>2047</v>
      </c>
      <c r="L320" s="6" t="s">
        <v>2579</v>
      </c>
      <c r="M320" s="6" t="s">
        <v>1383</v>
      </c>
    </row>
    <row r="321" spans="1:13" ht="153">
      <c r="A321" s="143">
        <v>2019</v>
      </c>
      <c r="B321" s="6" t="s">
        <v>1628</v>
      </c>
      <c r="C321" s="9" t="s">
        <v>61</v>
      </c>
      <c r="D321" s="115" t="s">
        <v>1383</v>
      </c>
      <c r="E321" s="115" t="s">
        <v>1859</v>
      </c>
      <c r="F321" s="121">
        <v>4750</v>
      </c>
      <c r="G321" s="6"/>
      <c r="H321" s="6" t="s">
        <v>1629</v>
      </c>
      <c r="I321" s="6" t="s">
        <v>826</v>
      </c>
      <c r="J321" s="6" t="s">
        <v>2573</v>
      </c>
      <c r="K321" s="9" t="s">
        <v>1828</v>
      </c>
      <c r="L321" s="6" t="s">
        <v>2580</v>
      </c>
      <c r="M321" s="6" t="s">
        <v>1383</v>
      </c>
    </row>
    <row r="322" spans="1:13" ht="178.5">
      <c r="A322" s="143">
        <v>2019</v>
      </c>
      <c r="B322" s="6" t="s">
        <v>1630</v>
      </c>
      <c r="C322" s="9" t="s">
        <v>61</v>
      </c>
      <c r="D322" s="115" t="s">
        <v>1383</v>
      </c>
      <c r="E322" s="115" t="s">
        <v>1859</v>
      </c>
      <c r="F322" s="121">
        <v>500000</v>
      </c>
      <c r="G322" s="6"/>
      <c r="H322" s="6" t="s">
        <v>1631</v>
      </c>
      <c r="I322" s="6" t="s">
        <v>1632</v>
      </c>
      <c r="J322" s="6" t="s">
        <v>2562</v>
      </c>
      <c r="K322" s="9" t="s">
        <v>1828</v>
      </c>
      <c r="L322" s="6" t="s">
        <v>2581</v>
      </c>
      <c r="M322" s="6" t="s">
        <v>1383</v>
      </c>
    </row>
    <row r="323" spans="1:13" ht="153">
      <c r="A323" s="143">
        <v>2019</v>
      </c>
      <c r="B323" s="6" t="s">
        <v>1633</v>
      </c>
      <c r="C323" s="9" t="s">
        <v>61</v>
      </c>
      <c r="D323" s="115" t="s">
        <v>1383</v>
      </c>
      <c r="E323" s="115" t="s">
        <v>1859</v>
      </c>
      <c r="F323" s="121">
        <v>200000</v>
      </c>
      <c r="G323" s="6"/>
      <c r="H323" s="6" t="s">
        <v>1634</v>
      </c>
      <c r="I323" s="6" t="s">
        <v>832</v>
      </c>
      <c r="J323" s="6" t="s">
        <v>2582</v>
      </c>
      <c r="K323" s="9" t="s">
        <v>2047</v>
      </c>
      <c r="L323" s="6" t="s">
        <v>2583</v>
      </c>
      <c r="M323" s="6" t="s">
        <v>1383</v>
      </c>
    </row>
    <row r="324" spans="1:13" ht="191.25">
      <c r="A324" s="143">
        <v>2019</v>
      </c>
      <c r="B324" s="6" t="s">
        <v>830</v>
      </c>
      <c r="C324" s="9" t="s">
        <v>61</v>
      </c>
      <c r="D324" s="6" t="s">
        <v>394</v>
      </c>
      <c r="E324" s="115" t="s">
        <v>1853</v>
      </c>
      <c r="F324" s="64">
        <v>39700</v>
      </c>
      <c r="G324" s="6"/>
      <c r="H324" s="6" t="s">
        <v>831</v>
      </c>
      <c r="I324" s="6" t="s">
        <v>832</v>
      </c>
      <c r="J324" s="6" t="s">
        <v>2584</v>
      </c>
      <c r="K324" s="9" t="s">
        <v>2041</v>
      </c>
      <c r="L324" s="6" t="s">
        <v>2585</v>
      </c>
      <c r="M324" s="6" t="s">
        <v>394</v>
      </c>
    </row>
    <row r="325" spans="1:13" ht="204">
      <c r="A325" s="143">
        <v>2019</v>
      </c>
      <c r="B325" s="6" t="s">
        <v>1635</v>
      </c>
      <c r="C325" s="9" t="s">
        <v>61</v>
      </c>
      <c r="D325" s="115" t="s">
        <v>1383</v>
      </c>
      <c r="E325" s="115" t="s">
        <v>1859</v>
      </c>
      <c r="F325" s="121">
        <v>500000</v>
      </c>
      <c r="G325" s="6"/>
      <c r="H325" s="6" t="s">
        <v>1636</v>
      </c>
      <c r="I325" s="6" t="s">
        <v>1585</v>
      </c>
      <c r="J325" s="6" t="s">
        <v>2562</v>
      </c>
      <c r="K325" s="9" t="s">
        <v>1828</v>
      </c>
      <c r="L325" s="6" t="s">
        <v>2586</v>
      </c>
      <c r="M325" s="6" t="s">
        <v>1383</v>
      </c>
    </row>
    <row r="326" spans="1:13" ht="127.5">
      <c r="A326" s="143">
        <v>2019</v>
      </c>
      <c r="B326" s="6" t="s">
        <v>1637</v>
      </c>
      <c r="C326" s="9" t="s">
        <v>61</v>
      </c>
      <c r="D326" s="115" t="s">
        <v>1383</v>
      </c>
      <c r="E326" s="115" t="s">
        <v>1859</v>
      </c>
      <c r="F326" s="121">
        <v>172000</v>
      </c>
      <c r="G326" s="6"/>
      <c r="H326" s="6" t="s">
        <v>1638</v>
      </c>
      <c r="I326" s="6" t="s">
        <v>840</v>
      </c>
      <c r="J326" s="6" t="s">
        <v>2562</v>
      </c>
      <c r="K326" s="9" t="s">
        <v>1828</v>
      </c>
      <c r="L326" s="6" t="s">
        <v>2587</v>
      </c>
      <c r="M326" s="6" t="s">
        <v>1383</v>
      </c>
    </row>
    <row r="327" spans="1:13" ht="127.5">
      <c r="A327" s="143">
        <v>2019</v>
      </c>
      <c r="B327" s="6" t="s">
        <v>1639</v>
      </c>
      <c r="C327" s="9" t="s">
        <v>61</v>
      </c>
      <c r="D327" s="115" t="s">
        <v>1383</v>
      </c>
      <c r="E327" s="115" t="s">
        <v>1859</v>
      </c>
      <c r="F327" s="121">
        <v>172000</v>
      </c>
      <c r="G327" s="6"/>
      <c r="H327" s="6" t="s">
        <v>1640</v>
      </c>
      <c r="I327" s="6" t="s">
        <v>1641</v>
      </c>
      <c r="J327" s="6" t="s">
        <v>2588</v>
      </c>
      <c r="K327" s="9" t="s">
        <v>2051</v>
      </c>
      <c r="L327" s="6" t="s">
        <v>2589</v>
      </c>
      <c r="M327" s="6" t="s">
        <v>1383</v>
      </c>
    </row>
    <row r="328" spans="1:13" ht="127.5">
      <c r="A328" s="143">
        <v>2019</v>
      </c>
      <c r="B328" s="6" t="s">
        <v>833</v>
      </c>
      <c r="C328" s="9" t="s">
        <v>61</v>
      </c>
      <c r="D328" s="6" t="s">
        <v>394</v>
      </c>
      <c r="E328" s="115" t="s">
        <v>1853</v>
      </c>
      <c r="F328" s="64">
        <v>82500</v>
      </c>
      <c r="G328" s="6"/>
      <c r="H328" s="6" t="s">
        <v>834</v>
      </c>
      <c r="I328" s="6" t="s">
        <v>835</v>
      </c>
      <c r="J328" s="6" t="s">
        <v>2590</v>
      </c>
      <c r="K328" s="9" t="s">
        <v>2051</v>
      </c>
      <c r="L328" s="6" t="s">
        <v>2591</v>
      </c>
      <c r="M328" s="6" t="s">
        <v>394</v>
      </c>
    </row>
    <row r="329" spans="1:13" ht="178.5">
      <c r="A329" s="143">
        <v>2019</v>
      </c>
      <c r="B329" s="6" t="s">
        <v>836</v>
      </c>
      <c r="C329" s="9" t="s">
        <v>61</v>
      </c>
      <c r="D329" s="6" t="s">
        <v>394</v>
      </c>
      <c r="E329" s="115" t="s">
        <v>1853</v>
      </c>
      <c r="F329" s="64">
        <v>88500</v>
      </c>
      <c r="G329" s="6"/>
      <c r="H329" s="6" t="s">
        <v>837</v>
      </c>
      <c r="I329" s="6" t="s">
        <v>838</v>
      </c>
      <c r="J329" s="6" t="s">
        <v>2592</v>
      </c>
      <c r="K329" s="9" t="s">
        <v>2047</v>
      </c>
      <c r="L329" s="6" t="s">
        <v>2593</v>
      </c>
      <c r="M329" s="6" t="s">
        <v>394</v>
      </c>
    </row>
    <row r="330" spans="1:13" ht="114.75">
      <c r="A330" s="143">
        <v>2019</v>
      </c>
      <c r="B330" s="6" t="s">
        <v>1642</v>
      </c>
      <c r="C330" s="9" t="s">
        <v>61</v>
      </c>
      <c r="D330" s="115" t="s">
        <v>1383</v>
      </c>
      <c r="E330" s="115" t="s">
        <v>1859</v>
      </c>
      <c r="F330" s="121">
        <v>172000</v>
      </c>
      <c r="G330" s="6"/>
      <c r="H330" s="6" t="s">
        <v>1627</v>
      </c>
      <c r="I330" s="6" t="s">
        <v>842</v>
      </c>
      <c r="J330" s="6" t="s">
        <v>2578</v>
      </c>
      <c r="K330" s="9" t="s">
        <v>2130</v>
      </c>
      <c r="L330" s="6" t="s">
        <v>2594</v>
      </c>
      <c r="M330" s="6" t="s">
        <v>1383</v>
      </c>
    </row>
    <row r="331" spans="1:13" ht="153">
      <c r="A331" s="143">
        <v>2019</v>
      </c>
      <c r="B331" s="6" t="s">
        <v>1643</v>
      </c>
      <c r="C331" s="9" t="s">
        <v>61</v>
      </c>
      <c r="D331" s="115" t="s">
        <v>1383</v>
      </c>
      <c r="E331" s="115" t="s">
        <v>1859</v>
      </c>
      <c r="F331" s="121">
        <v>172000</v>
      </c>
      <c r="G331" s="6"/>
      <c r="H331" s="6" t="s">
        <v>1644</v>
      </c>
      <c r="I331" s="6" t="s">
        <v>1346</v>
      </c>
      <c r="J331" s="6" t="s">
        <v>2595</v>
      </c>
      <c r="K331" s="6" t="s">
        <v>2082</v>
      </c>
      <c r="L331" s="6" t="s">
        <v>2596</v>
      </c>
      <c r="M331" s="6" t="s">
        <v>1383</v>
      </c>
    </row>
    <row r="332" spans="1:13" ht="191.25">
      <c r="A332" s="143">
        <v>2019</v>
      </c>
      <c r="B332" s="6" t="s">
        <v>809</v>
      </c>
      <c r="C332" s="9" t="s">
        <v>61</v>
      </c>
      <c r="D332" s="6" t="s">
        <v>394</v>
      </c>
      <c r="E332" s="115" t="s">
        <v>1853</v>
      </c>
      <c r="F332" s="64">
        <v>87000</v>
      </c>
      <c r="G332" s="6"/>
      <c r="H332" s="6" t="s">
        <v>839</v>
      </c>
      <c r="I332" s="6" t="s">
        <v>840</v>
      </c>
      <c r="J332" s="6" t="s">
        <v>2562</v>
      </c>
      <c r="K332" s="9" t="s">
        <v>1828</v>
      </c>
      <c r="L332" s="6" t="s">
        <v>2597</v>
      </c>
      <c r="M332" s="6" t="s">
        <v>394</v>
      </c>
    </row>
    <row r="333" spans="1:13" ht="89.25">
      <c r="A333" s="143">
        <v>2019</v>
      </c>
      <c r="B333" s="6" t="s">
        <v>1645</v>
      </c>
      <c r="C333" s="9" t="s">
        <v>61</v>
      </c>
      <c r="D333" s="115" t="s">
        <v>1383</v>
      </c>
      <c r="E333" s="115" t="s">
        <v>1859</v>
      </c>
      <c r="F333" s="121">
        <v>172000</v>
      </c>
      <c r="G333" s="6"/>
      <c r="H333" s="6" t="s">
        <v>1646</v>
      </c>
      <c r="I333" s="6" t="s">
        <v>849</v>
      </c>
      <c r="J333" s="6" t="s">
        <v>2546</v>
      </c>
      <c r="K333" s="9" t="s">
        <v>2085</v>
      </c>
      <c r="L333" s="6" t="s">
        <v>2598</v>
      </c>
      <c r="M333" s="6" t="s">
        <v>1383</v>
      </c>
    </row>
    <row r="334" spans="1:13" ht="165.75">
      <c r="A334" s="143">
        <v>2019</v>
      </c>
      <c r="B334" s="6" t="s">
        <v>812</v>
      </c>
      <c r="C334" s="9" t="s">
        <v>61</v>
      </c>
      <c r="D334" s="6" t="s">
        <v>394</v>
      </c>
      <c r="E334" s="115" t="s">
        <v>1853</v>
      </c>
      <c r="F334" s="64">
        <v>91000</v>
      </c>
      <c r="G334" s="6"/>
      <c r="H334" s="6" t="s">
        <v>841</v>
      </c>
      <c r="I334" s="6" t="s">
        <v>842</v>
      </c>
      <c r="J334" s="6" t="s">
        <v>2599</v>
      </c>
      <c r="K334" s="9" t="s">
        <v>2130</v>
      </c>
      <c r="L334" s="6" t="s">
        <v>2600</v>
      </c>
      <c r="M334" s="6" t="s">
        <v>394</v>
      </c>
    </row>
    <row r="335" spans="1:13" ht="229.5">
      <c r="A335" s="143">
        <v>2019</v>
      </c>
      <c r="B335" s="6" t="s">
        <v>815</v>
      </c>
      <c r="C335" s="9" t="s">
        <v>61</v>
      </c>
      <c r="D335" s="6" t="s">
        <v>394</v>
      </c>
      <c r="E335" s="115" t="s">
        <v>1853</v>
      </c>
      <c r="F335" s="64">
        <v>37000</v>
      </c>
      <c r="G335" s="6"/>
      <c r="H335" s="6" t="s">
        <v>843</v>
      </c>
      <c r="I335" s="6" t="s">
        <v>844</v>
      </c>
      <c r="J335" s="6" t="s">
        <v>2601</v>
      </c>
      <c r="K335" s="9" t="s">
        <v>1896</v>
      </c>
      <c r="L335" s="6" t="s">
        <v>2602</v>
      </c>
      <c r="M335" s="6" t="s">
        <v>394</v>
      </c>
    </row>
    <row r="336" spans="1:13" ht="229.5">
      <c r="A336" s="143">
        <v>2019</v>
      </c>
      <c r="B336" s="6" t="s">
        <v>845</v>
      </c>
      <c r="C336" s="9" t="s">
        <v>61</v>
      </c>
      <c r="D336" s="6" t="s">
        <v>394</v>
      </c>
      <c r="E336" s="115" t="s">
        <v>1853</v>
      </c>
      <c r="F336" s="64">
        <v>79000</v>
      </c>
      <c r="G336" s="6"/>
      <c r="H336" s="6" t="s">
        <v>846</v>
      </c>
      <c r="I336" s="6" t="s">
        <v>844</v>
      </c>
      <c r="J336" s="6" t="s">
        <v>2601</v>
      </c>
      <c r="K336" s="9" t="s">
        <v>1896</v>
      </c>
      <c r="L336" s="6" t="s">
        <v>2603</v>
      </c>
      <c r="M336" s="6" t="s">
        <v>394</v>
      </c>
    </row>
    <row r="337" spans="1:13" ht="267.75">
      <c r="A337" s="143">
        <v>2019</v>
      </c>
      <c r="B337" s="6" t="s">
        <v>847</v>
      </c>
      <c r="C337" s="9" t="s">
        <v>61</v>
      </c>
      <c r="D337" s="6" t="s">
        <v>394</v>
      </c>
      <c r="E337" s="115" t="s">
        <v>1853</v>
      </c>
      <c r="F337" s="64">
        <v>38250</v>
      </c>
      <c r="G337" s="6"/>
      <c r="H337" s="6" t="s">
        <v>848</v>
      </c>
      <c r="I337" s="6" t="s">
        <v>849</v>
      </c>
      <c r="J337" s="6" t="s">
        <v>2604</v>
      </c>
      <c r="K337" s="9" t="s">
        <v>2085</v>
      </c>
      <c r="L337" s="6" t="s">
        <v>2605</v>
      </c>
      <c r="M337" s="6" t="s">
        <v>394</v>
      </c>
    </row>
    <row r="338" spans="1:13" ht="280.5">
      <c r="A338" s="143">
        <v>2019</v>
      </c>
      <c r="B338" s="6" t="s">
        <v>850</v>
      </c>
      <c r="C338" s="9" t="s">
        <v>61</v>
      </c>
      <c r="D338" s="6" t="s">
        <v>586</v>
      </c>
      <c r="E338" s="6" t="s">
        <v>1874</v>
      </c>
      <c r="F338" s="121">
        <v>7560</v>
      </c>
      <c r="G338" s="6"/>
      <c r="H338" s="6" t="s">
        <v>851</v>
      </c>
      <c r="I338" s="6" t="s">
        <v>852</v>
      </c>
      <c r="J338" s="6" t="s">
        <v>2606</v>
      </c>
      <c r="K338" s="9" t="s">
        <v>1828</v>
      </c>
      <c r="L338" s="6" t="s">
        <v>2607</v>
      </c>
      <c r="M338" s="6" t="s">
        <v>2520</v>
      </c>
    </row>
    <row r="339" spans="1:13" ht="63.75">
      <c r="A339" s="143">
        <v>2019</v>
      </c>
      <c r="B339" s="6" t="s">
        <v>1581</v>
      </c>
      <c r="C339" s="9" t="s">
        <v>61</v>
      </c>
      <c r="D339" s="115" t="s">
        <v>1383</v>
      </c>
      <c r="E339" s="115" t="s">
        <v>1859</v>
      </c>
      <c r="F339" s="121">
        <v>172000</v>
      </c>
      <c r="G339" s="6"/>
      <c r="H339" s="6" t="s">
        <v>1647</v>
      </c>
      <c r="I339" s="6" t="s">
        <v>1641</v>
      </c>
      <c r="J339" s="6" t="s">
        <v>2449</v>
      </c>
      <c r="K339" s="9" t="s">
        <v>2051</v>
      </c>
      <c r="L339" s="6" t="s">
        <v>2608</v>
      </c>
      <c r="M339" s="6" t="s">
        <v>1383</v>
      </c>
    </row>
    <row r="340" spans="1:13" ht="127.5">
      <c r="A340" s="143">
        <v>2019</v>
      </c>
      <c r="B340" s="6" t="s">
        <v>1648</v>
      </c>
      <c r="C340" s="9" t="s">
        <v>61</v>
      </c>
      <c r="D340" s="115" t="s">
        <v>1383</v>
      </c>
      <c r="E340" s="115" t="s">
        <v>1859</v>
      </c>
      <c r="F340" s="121">
        <v>172000</v>
      </c>
      <c r="G340" s="6"/>
      <c r="H340" s="6" t="s">
        <v>1649</v>
      </c>
      <c r="I340" s="6" t="s">
        <v>844</v>
      </c>
      <c r="J340" s="6" t="s">
        <v>2609</v>
      </c>
      <c r="K340" s="9" t="s">
        <v>1896</v>
      </c>
      <c r="L340" s="6" t="s">
        <v>2610</v>
      </c>
      <c r="M340" s="6" t="s">
        <v>1383</v>
      </c>
    </row>
    <row r="341" spans="1:13" ht="165.75">
      <c r="A341" s="143">
        <v>2019</v>
      </c>
      <c r="B341" s="6" t="s">
        <v>1650</v>
      </c>
      <c r="C341" s="9" t="s">
        <v>61</v>
      </c>
      <c r="D341" s="115" t="s">
        <v>1383</v>
      </c>
      <c r="E341" s="115" t="s">
        <v>1859</v>
      </c>
      <c r="F341" s="121">
        <v>172000</v>
      </c>
      <c r="G341" s="6"/>
      <c r="H341" s="6" t="s">
        <v>1651</v>
      </c>
      <c r="I341" s="6" t="s">
        <v>1598</v>
      </c>
      <c r="J341" s="6" t="s">
        <v>2611</v>
      </c>
      <c r="K341" s="9" t="s">
        <v>2031</v>
      </c>
      <c r="L341" s="6" t="s">
        <v>2612</v>
      </c>
      <c r="M341" s="6" t="s">
        <v>1383</v>
      </c>
    </row>
    <row r="342" spans="1:13" ht="191.25">
      <c r="A342" s="143">
        <v>2019</v>
      </c>
      <c r="B342" s="6" t="s">
        <v>60</v>
      </c>
      <c r="C342" s="9" t="s">
        <v>61</v>
      </c>
      <c r="D342" s="115" t="s">
        <v>1383</v>
      </c>
      <c r="E342" s="115" t="s">
        <v>1859</v>
      </c>
      <c r="F342" s="121">
        <v>172000</v>
      </c>
      <c r="G342" s="6"/>
      <c r="H342" s="6" t="s">
        <v>1652</v>
      </c>
      <c r="I342" s="6" t="s">
        <v>1605</v>
      </c>
      <c r="J342" s="6" t="s">
        <v>2613</v>
      </c>
      <c r="K342" s="9" t="s">
        <v>1919</v>
      </c>
      <c r="L342" s="6" t="s">
        <v>2614</v>
      </c>
      <c r="M342" s="6" t="s">
        <v>1383</v>
      </c>
    </row>
    <row r="343" spans="1:13" ht="229.5">
      <c r="A343" s="143">
        <v>2019</v>
      </c>
      <c r="B343" s="6" t="s">
        <v>1207</v>
      </c>
      <c r="C343" s="9" t="s">
        <v>1926</v>
      </c>
      <c r="D343" s="115" t="s">
        <v>1383</v>
      </c>
      <c r="E343" s="9" t="s">
        <v>1824</v>
      </c>
      <c r="F343" s="168" t="s">
        <v>2615</v>
      </c>
      <c r="G343" s="6"/>
      <c r="H343" s="6" t="s">
        <v>2616</v>
      </c>
      <c r="I343" s="6" t="s">
        <v>2617</v>
      </c>
      <c r="J343" s="6" t="s">
        <v>2618</v>
      </c>
      <c r="K343" s="9" t="s">
        <v>1828</v>
      </c>
      <c r="L343" s="6" t="s">
        <v>2619</v>
      </c>
      <c r="M343" s="6" t="s">
        <v>1383</v>
      </c>
    </row>
    <row r="344" spans="1:13" ht="267.75">
      <c r="A344" s="143">
        <v>2019</v>
      </c>
      <c r="B344" s="6" t="s">
        <v>1210</v>
      </c>
      <c r="C344" s="9" t="s">
        <v>61</v>
      </c>
      <c r="D344" s="115" t="s">
        <v>1383</v>
      </c>
      <c r="E344" s="115" t="s">
        <v>1859</v>
      </c>
      <c r="F344" s="121">
        <v>91800</v>
      </c>
      <c r="G344" s="6"/>
      <c r="H344" s="6" t="s">
        <v>1653</v>
      </c>
      <c r="I344" s="6" t="s">
        <v>842</v>
      </c>
      <c r="J344" s="6" t="s">
        <v>2620</v>
      </c>
      <c r="K344" s="9" t="s">
        <v>2130</v>
      </c>
      <c r="L344" s="6" t="s">
        <v>2621</v>
      </c>
      <c r="M344" s="6" t="s">
        <v>1383</v>
      </c>
    </row>
    <row r="345" spans="1:13" ht="178.5">
      <c r="A345" s="143">
        <v>2019</v>
      </c>
      <c r="B345" s="6" t="s">
        <v>818</v>
      </c>
      <c r="C345" s="9" t="s">
        <v>61</v>
      </c>
      <c r="D345" s="6" t="s">
        <v>394</v>
      </c>
      <c r="E345" s="115" t="s">
        <v>1853</v>
      </c>
      <c r="F345" s="64">
        <v>37500</v>
      </c>
      <c r="G345" s="6"/>
      <c r="H345" s="6" t="s">
        <v>853</v>
      </c>
      <c r="I345" s="6" t="s">
        <v>854</v>
      </c>
      <c r="J345" s="6" t="s">
        <v>581</v>
      </c>
      <c r="K345" s="9" t="s">
        <v>1916</v>
      </c>
      <c r="L345" s="6" t="s">
        <v>2622</v>
      </c>
      <c r="M345" s="6" t="s">
        <v>394</v>
      </c>
    </row>
    <row r="346" spans="1:13" ht="267.75">
      <c r="A346" s="143">
        <v>2019</v>
      </c>
      <c r="B346" s="6" t="s">
        <v>855</v>
      </c>
      <c r="C346" s="9" t="s">
        <v>61</v>
      </c>
      <c r="D346" s="6" t="s">
        <v>586</v>
      </c>
      <c r="E346" s="6" t="s">
        <v>1874</v>
      </c>
      <c r="F346" s="121">
        <v>4536</v>
      </c>
      <c r="G346" s="9"/>
      <c r="H346" s="9" t="s">
        <v>825</v>
      </c>
      <c r="I346" s="6" t="s">
        <v>826</v>
      </c>
      <c r="J346" s="6" t="s">
        <v>2623</v>
      </c>
      <c r="K346" s="9" t="s">
        <v>1828</v>
      </c>
      <c r="L346" s="6" t="s">
        <v>2624</v>
      </c>
      <c r="M346" s="6" t="s">
        <v>2520</v>
      </c>
    </row>
    <row r="347" spans="1:13" ht="255">
      <c r="A347" s="143">
        <v>2019</v>
      </c>
      <c r="B347" s="6" t="s">
        <v>856</v>
      </c>
      <c r="C347" s="9" t="s">
        <v>61</v>
      </c>
      <c r="D347" s="6" t="s">
        <v>586</v>
      </c>
      <c r="E347" s="6" t="s">
        <v>1874</v>
      </c>
      <c r="F347" s="121">
        <v>55000</v>
      </c>
      <c r="G347" s="6"/>
      <c r="H347" s="6" t="s">
        <v>857</v>
      </c>
      <c r="I347" s="6" t="s">
        <v>2625</v>
      </c>
      <c r="J347" s="6" t="s">
        <v>2626</v>
      </c>
      <c r="K347" s="6" t="s">
        <v>1886</v>
      </c>
      <c r="L347" s="6" t="s">
        <v>2627</v>
      </c>
      <c r="M347" s="6" t="s">
        <v>2520</v>
      </c>
    </row>
    <row r="348" spans="1:13" ht="216.75">
      <c r="A348" s="143">
        <v>2019</v>
      </c>
      <c r="B348" s="6" t="s">
        <v>859</v>
      </c>
      <c r="C348" s="9" t="s">
        <v>61</v>
      </c>
      <c r="D348" s="6" t="s">
        <v>394</v>
      </c>
      <c r="E348" s="115" t="s">
        <v>1853</v>
      </c>
      <c r="F348" s="64">
        <v>79000</v>
      </c>
      <c r="G348" s="6"/>
      <c r="H348" s="6" t="s">
        <v>860</v>
      </c>
      <c r="I348" s="6" t="s">
        <v>854</v>
      </c>
      <c r="J348" s="6" t="s">
        <v>581</v>
      </c>
      <c r="K348" s="9" t="s">
        <v>1916</v>
      </c>
      <c r="L348" s="6" t="s">
        <v>2628</v>
      </c>
      <c r="M348" s="6" t="s">
        <v>394</v>
      </c>
    </row>
    <row r="349" spans="1:13" ht="204">
      <c r="A349" s="143">
        <v>2019</v>
      </c>
      <c r="B349" s="6" t="s">
        <v>861</v>
      </c>
      <c r="C349" s="9" t="s">
        <v>61</v>
      </c>
      <c r="D349" s="6" t="s">
        <v>586</v>
      </c>
      <c r="E349" s="6" t="s">
        <v>1874</v>
      </c>
      <c r="F349" s="121">
        <v>1400</v>
      </c>
      <c r="G349" s="6"/>
      <c r="H349" s="6" t="s">
        <v>862</v>
      </c>
      <c r="I349" s="6" t="s">
        <v>863</v>
      </c>
      <c r="J349" s="6" t="s">
        <v>2629</v>
      </c>
      <c r="K349" s="9" t="s">
        <v>1828</v>
      </c>
      <c r="L349" s="6" t="s">
        <v>2630</v>
      </c>
      <c r="M349" s="6" t="s">
        <v>2520</v>
      </c>
    </row>
    <row r="350" spans="1:13" ht="229.5">
      <c r="A350" s="143">
        <v>2019</v>
      </c>
      <c r="B350" s="6" t="s">
        <v>864</v>
      </c>
      <c r="C350" s="9" t="s">
        <v>61</v>
      </c>
      <c r="D350" s="6" t="s">
        <v>394</v>
      </c>
      <c r="E350" s="115" t="s">
        <v>1853</v>
      </c>
      <c r="F350" s="64">
        <v>82800</v>
      </c>
      <c r="G350" s="6"/>
      <c r="H350" s="6" t="s">
        <v>865</v>
      </c>
      <c r="I350" s="6" t="s">
        <v>866</v>
      </c>
      <c r="J350" s="6" t="s">
        <v>572</v>
      </c>
      <c r="K350" s="9" t="s">
        <v>1855</v>
      </c>
      <c r="L350" s="6" t="s">
        <v>2631</v>
      </c>
      <c r="M350" s="6" t="s">
        <v>394</v>
      </c>
    </row>
    <row r="351" spans="1:13" ht="204">
      <c r="A351" s="143">
        <v>2019</v>
      </c>
      <c r="B351" s="6" t="s">
        <v>867</v>
      </c>
      <c r="C351" s="9" t="s">
        <v>61</v>
      </c>
      <c r="D351" s="6" t="s">
        <v>394</v>
      </c>
      <c r="E351" s="115" t="s">
        <v>1853</v>
      </c>
      <c r="F351" s="64">
        <v>79000</v>
      </c>
      <c r="G351" s="6"/>
      <c r="H351" s="6" t="s">
        <v>868</v>
      </c>
      <c r="I351" s="6" t="s">
        <v>849</v>
      </c>
      <c r="J351" s="6" t="s">
        <v>650</v>
      </c>
      <c r="K351" s="9" t="s">
        <v>2085</v>
      </c>
      <c r="L351" s="6" t="s">
        <v>2632</v>
      </c>
      <c r="M351" s="6" t="s">
        <v>394</v>
      </c>
    </row>
    <row r="352" spans="1:13" ht="318.75">
      <c r="A352" s="143">
        <v>2019</v>
      </c>
      <c r="B352" s="6" t="s">
        <v>2633</v>
      </c>
      <c r="C352" s="9" t="s">
        <v>61</v>
      </c>
      <c r="D352" s="6" t="s">
        <v>1838</v>
      </c>
      <c r="E352" s="9" t="s">
        <v>1824</v>
      </c>
      <c r="F352" s="121">
        <v>43140</v>
      </c>
      <c r="G352" s="6"/>
      <c r="H352" s="6" t="s">
        <v>2634</v>
      </c>
      <c r="I352" s="6" t="s">
        <v>575</v>
      </c>
      <c r="J352" s="6" t="s">
        <v>575</v>
      </c>
      <c r="K352" s="9" t="s">
        <v>1828</v>
      </c>
      <c r="L352" s="6" t="s">
        <v>2635</v>
      </c>
      <c r="M352" s="6" t="s">
        <v>1838</v>
      </c>
    </row>
    <row r="353" spans="1:13" ht="204">
      <c r="A353" s="143">
        <v>2019</v>
      </c>
      <c r="B353" s="6" t="s">
        <v>869</v>
      </c>
      <c r="C353" s="9" t="s">
        <v>61</v>
      </c>
      <c r="D353" s="6" t="s">
        <v>394</v>
      </c>
      <c r="E353" s="115" t="s">
        <v>1853</v>
      </c>
      <c r="F353" s="64">
        <v>90000</v>
      </c>
      <c r="G353" s="6"/>
      <c r="H353" s="6" t="s">
        <v>870</v>
      </c>
      <c r="I353" s="6" t="s">
        <v>722</v>
      </c>
      <c r="J353" s="6" t="s">
        <v>722</v>
      </c>
      <c r="K353" s="9" t="s">
        <v>1899</v>
      </c>
      <c r="L353" s="6" t="s">
        <v>2636</v>
      </c>
      <c r="M353" s="6" t="s">
        <v>394</v>
      </c>
    </row>
    <row r="354" spans="1:13" ht="306">
      <c r="A354" s="140">
        <v>2019</v>
      </c>
      <c r="B354" s="6" t="s">
        <v>1216</v>
      </c>
      <c r="C354" s="9" t="s">
        <v>61</v>
      </c>
      <c r="D354" s="6" t="s">
        <v>1141</v>
      </c>
      <c r="E354" s="6" t="s">
        <v>1904</v>
      </c>
      <c r="F354" s="121">
        <v>92275.68</v>
      </c>
      <c r="G354" s="6"/>
      <c r="H354" s="6" t="s">
        <v>1217</v>
      </c>
      <c r="I354" s="6" t="s">
        <v>1218</v>
      </c>
      <c r="J354" s="6" t="s">
        <v>2474</v>
      </c>
      <c r="K354" s="9" t="s">
        <v>1916</v>
      </c>
      <c r="L354" s="6" t="s">
        <v>2637</v>
      </c>
      <c r="M354" s="6" t="s">
        <v>1141</v>
      </c>
    </row>
    <row r="355" spans="1:13" ht="293.25">
      <c r="A355" s="143">
        <v>2019</v>
      </c>
      <c r="B355" s="6" t="s">
        <v>1654</v>
      </c>
      <c r="C355" s="9" t="s">
        <v>61</v>
      </c>
      <c r="D355" s="115" t="s">
        <v>1383</v>
      </c>
      <c r="E355" s="115" t="s">
        <v>1859</v>
      </c>
      <c r="F355" s="121">
        <v>50000</v>
      </c>
      <c r="G355" s="6"/>
      <c r="H355" s="6" t="s">
        <v>1655</v>
      </c>
      <c r="I355" s="6" t="s">
        <v>1656</v>
      </c>
      <c r="J355" s="6" t="s">
        <v>1828</v>
      </c>
      <c r="K355" s="9" t="s">
        <v>1828</v>
      </c>
      <c r="L355" s="6" t="s">
        <v>2638</v>
      </c>
      <c r="M355" s="6" t="s">
        <v>1383</v>
      </c>
    </row>
    <row r="356" spans="1:13" ht="293.25">
      <c r="A356" s="143">
        <v>2019</v>
      </c>
      <c r="B356" s="6" t="s">
        <v>1657</v>
      </c>
      <c r="C356" s="9" t="s">
        <v>61</v>
      </c>
      <c r="D356" s="115" t="s">
        <v>1383</v>
      </c>
      <c r="E356" s="115" t="s">
        <v>1859</v>
      </c>
      <c r="F356" s="121">
        <v>172000</v>
      </c>
      <c r="G356" s="6"/>
      <c r="H356" s="6" t="s">
        <v>1658</v>
      </c>
      <c r="I356" s="6" t="s">
        <v>572</v>
      </c>
      <c r="J356" s="6" t="s">
        <v>2639</v>
      </c>
      <c r="K356" s="9" t="s">
        <v>1855</v>
      </c>
      <c r="L356" s="6" t="s">
        <v>2640</v>
      </c>
      <c r="M356" s="6" t="s">
        <v>1383</v>
      </c>
    </row>
    <row r="357" spans="1:13" ht="267.75">
      <c r="A357" s="140">
        <v>2019</v>
      </c>
      <c r="B357" s="6" t="s">
        <v>1219</v>
      </c>
      <c r="C357" s="9" t="s">
        <v>61</v>
      </c>
      <c r="D357" s="9" t="s">
        <v>62</v>
      </c>
      <c r="E357" s="6" t="s">
        <v>1904</v>
      </c>
      <c r="F357" s="121">
        <v>1717600</v>
      </c>
      <c r="G357" s="6"/>
      <c r="H357" s="6" t="s">
        <v>1220</v>
      </c>
      <c r="I357" s="6" t="s">
        <v>1179</v>
      </c>
      <c r="J357" s="6" t="s">
        <v>2641</v>
      </c>
      <c r="K357" s="6" t="s">
        <v>1886</v>
      </c>
      <c r="L357" s="6" t="s">
        <v>2642</v>
      </c>
      <c r="M357" s="6" t="s">
        <v>62</v>
      </c>
    </row>
    <row r="358" spans="1:13" ht="114.75">
      <c r="A358" s="143">
        <v>2019</v>
      </c>
      <c r="B358" s="6" t="s">
        <v>2643</v>
      </c>
      <c r="C358" s="9" t="s">
        <v>1823</v>
      </c>
      <c r="D358" s="9" t="s">
        <v>62</v>
      </c>
      <c r="E358" s="9"/>
      <c r="F358" s="121"/>
      <c r="G358" s="6"/>
      <c r="H358" s="6" t="s">
        <v>2644</v>
      </c>
      <c r="I358" s="6" t="s">
        <v>1231</v>
      </c>
      <c r="J358" s="6" t="s">
        <v>575</v>
      </c>
      <c r="K358" s="9"/>
      <c r="L358" s="6" t="s">
        <v>2645</v>
      </c>
      <c r="M358" s="6" t="s">
        <v>62</v>
      </c>
    </row>
    <row r="359" spans="1:13" ht="216.75">
      <c r="A359" s="143">
        <v>2019</v>
      </c>
      <c r="B359" s="6" t="s">
        <v>1659</v>
      </c>
      <c r="C359" s="9" t="s">
        <v>61</v>
      </c>
      <c r="D359" s="115" t="s">
        <v>1383</v>
      </c>
      <c r="E359" s="115" t="s">
        <v>1859</v>
      </c>
      <c r="F359" s="121">
        <v>287052</v>
      </c>
      <c r="G359" s="6"/>
      <c r="H359" s="6" t="s">
        <v>1660</v>
      </c>
      <c r="I359" s="6" t="s">
        <v>1482</v>
      </c>
      <c r="J359" s="6" t="s">
        <v>2646</v>
      </c>
      <c r="K359" s="6" t="s">
        <v>1886</v>
      </c>
      <c r="L359" s="6" t="s">
        <v>2647</v>
      </c>
      <c r="M359" s="6" t="s">
        <v>1383</v>
      </c>
    </row>
    <row r="360" spans="1:13" ht="293.25">
      <c r="A360" s="140">
        <v>2019</v>
      </c>
      <c r="B360" s="6" t="s">
        <v>1221</v>
      </c>
      <c r="C360" s="9" t="s">
        <v>61</v>
      </c>
      <c r="D360" s="9" t="s">
        <v>62</v>
      </c>
      <c r="E360" s="6" t="s">
        <v>1904</v>
      </c>
      <c r="F360" s="121">
        <v>468445.54</v>
      </c>
      <c r="G360" s="6"/>
      <c r="H360" s="6" t="s">
        <v>1222</v>
      </c>
      <c r="I360" s="6" t="s">
        <v>1223</v>
      </c>
      <c r="J360" s="6" t="s">
        <v>2648</v>
      </c>
      <c r="K360" s="6" t="s">
        <v>1886</v>
      </c>
      <c r="L360" s="6" t="s">
        <v>2649</v>
      </c>
      <c r="M360" s="6" t="s">
        <v>1111</v>
      </c>
    </row>
    <row r="361" spans="1:13" ht="204">
      <c r="A361" s="140">
        <v>2019</v>
      </c>
      <c r="B361" s="6" t="s">
        <v>1224</v>
      </c>
      <c r="C361" s="9" t="s">
        <v>61</v>
      </c>
      <c r="D361" s="9" t="s">
        <v>62</v>
      </c>
      <c r="E361" s="6" t="s">
        <v>1904</v>
      </c>
      <c r="F361" s="121">
        <v>495000</v>
      </c>
      <c r="G361" s="6"/>
      <c r="H361" s="6" t="s">
        <v>1225</v>
      </c>
      <c r="I361" s="6" t="s">
        <v>1226</v>
      </c>
      <c r="J361" s="6" t="s">
        <v>2650</v>
      </c>
      <c r="K361" s="6" t="s">
        <v>1886</v>
      </c>
      <c r="L361" s="6" t="s">
        <v>2651</v>
      </c>
      <c r="M361" s="6" t="s">
        <v>1111</v>
      </c>
    </row>
    <row r="362" spans="1:13" ht="178.5">
      <c r="A362" s="140">
        <v>2019</v>
      </c>
      <c r="B362" s="6" t="s">
        <v>1227</v>
      </c>
      <c r="C362" s="9" t="s">
        <v>61</v>
      </c>
      <c r="D362" s="9" t="s">
        <v>62</v>
      </c>
      <c r="E362" s="6" t="s">
        <v>1904</v>
      </c>
      <c r="F362" s="121">
        <v>500000</v>
      </c>
      <c r="G362" s="6"/>
      <c r="H362" s="6" t="s">
        <v>2652</v>
      </c>
      <c r="I362" s="6" t="s">
        <v>1229</v>
      </c>
      <c r="J362" s="6" t="s">
        <v>2653</v>
      </c>
      <c r="K362" s="6" t="s">
        <v>1886</v>
      </c>
      <c r="L362" s="6" t="s">
        <v>2654</v>
      </c>
      <c r="M362" s="6" t="s">
        <v>1111</v>
      </c>
    </row>
    <row r="363" spans="1:13" ht="25.5">
      <c r="A363" s="143">
        <v>2019</v>
      </c>
      <c r="B363" s="6" t="s">
        <v>871</v>
      </c>
      <c r="C363" s="9" t="s">
        <v>61</v>
      </c>
      <c r="D363" s="6" t="s">
        <v>394</v>
      </c>
      <c r="E363" s="115" t="s">
        <v>1853</v>
      </c>
      <c r="F363" s="64">
        <v>79000</v>
      </c>
      <c r="G363" s="6"/>
      <c r="H363" s="6" t="s">
        <v>872</v>
      </c>
      <c r="I363" s="6" t="s">
        <v>820</v>
      </c>
      <c r="J363" s="166" t="s">
        <v>2655</v>
      </c>
      <c r="K363" s="6" t="s">
        <v>1886</v>
      </c>
      <c r="L363" s="6"/>
      <c r="M363" s="6" t="s">
        <v>394</v>
      </c>
    </row>
    <row r="364" spans="1:13" ht="14.25">
      <c r="A364" s="143">
        <v>2019</v>
      </c>
      <c r="B364" s="6" t="s">
        <v>873</v>
      </c>
      <c r="C364" s="9" t="s">
        <v>61</v>
      </c>
      <c r="D364" s="6" t="s">
        <v>394</v>
      </c>
      <c r="E364" s="115" t="s">
        <v>1853</v>
      </c>
      <c r="F364" s="64">
        <v>34500</v>
      </c>
      <c r="G364" s="6"/>
      <c r="H364" s="6" t="s">
        <v>874</v>
      </c>
      <c r="I364" s="6" t="s">
        <v>820</v>
      </c>
      <c r="J364" s="169" t="s">
        <v>2656</v>
      </c>
      <c r="K364" s="6" t="s">
        <v>1886</v>
      </c>
      <c r="L364" s="6"/>
      <c r="M364" s="6" t="s">
        <v>2232</v>
      </c>
    </row>
    <row r="365" spans="1:13" ht="25.5">
      <c r="A365" s="143">
        <v>2019</v>
      </c>
      <c r="B365" s="6" t="s">
        <v>2657</v>
      </c>
      <c r="C365" s="9" t="s">
        <v>61</v>
      </c>
      <c r="D365" s="115" t="s">
        <v>1383</v>
      </c>
      <c r="E365" s="115" t="s">
        <v>1859</v>
      </c>
      <c r="F365" s="121">
        <v>172000</v>
      </c>
      <c r="G365" s="6"/>
      <c r="H365" s="6" t="s">
        <v>2658</v>
      </c>
      <c r="I365" s="6" t="s">
        <v>1622</v>
      </c>
      <c r="J365" s="6" t="s">
        <v>2659</v>
      </c>
      <c r="K365" s="9" t="s">
        <v>2571</v>
      </c>
      <c r="L365" s="6"/>
      <c r="M365" s="6" t="s">
        <v>2172</v>
      </c>
    </row>
    <row r="366" spans="1:13" ht="38.25">
      <c r="A366" s="143">
        <v>2019</v>
      </c>
      <c r="B366" s="6" t="s">
        <v>875</v>
      </c>
      <c r="C366" s="9" t="s">
        <v>61</v>
      </c>
      <c r="D366" s="6" t="s">
        <v>113</v>
      </c>
      <c r="E366" s="9" t="s">
        <v>1824</v>
      </c>
      <c r="F366" s="121"/>
      <c r="G366" s="6"/>
      <c r="H366" s="6" t="s">
        <v>876</v>
      </c>
      <c r="I366" s="6" t="s">
        <v>575</v>
      </c>
      <c r="J366" s="6" t="s">
        <v>2298</v>
      </c>
      <c r="K366" s="9" t="s">
        <v>1828</v>
      </c>
      <c r="L366" s="6"/>
      <c r="M366" s="6" t="s">
        <v>113</v>
      </c>
    </row>
    <row r="367" spans="1:13" ht="12.75">
      <c r="A367" s="143">
        <v>2019</v>
      </c>
      <c r="B367" s="6" t="s">
        <v>877</v>
      </c>
      <c r="C367" s="9" t="s">
        <v>61</v>
      </c>
      <c r="D367" s="112" t="s">
        <v>68</v>
      </c>
      <c r="E367" s="6" t="s">
        <v>1874</v>
      </c>
      <c r="F367" s="121">
        <v>186604.41</v>
      </c>
      <c r="G367" s="9"/>
      <c r="H367" s="9" t="s">
        <v>878</v>
      </c>
      <c r="I367" s="6" t="s">
        <v>879</v>
      </c>
      <c r="J367" s="6" t="s">
        <v>2660</v>
      </c>
      <c r="K367" s="9" t="s">
        <v>1828</v>
      </c>
      <c r="L367" s="9"/>
      <c r="M367" s="6" t="s">
        <v>68</v>
      </c>
    </row>
    <row r="368" spans="1:13" ht="12.75">
      <c r="A368" s="143">
        <v>2019</v>
      </c>
      <c r="B368" s="6" t="s">
        <v>1230</v>
      </c>
      <c r="C368" s="9" t="s">
        <v>61</v>
      </c>
      <c r="D368" s="6" t="s">
        <v>1231</v>
      </c>
      <c r="E368" s="9" t="s">
        <v>1824</v>
      </c>
      <c r="F368" s="121"/>
      <c r="G368" s="6"/>
      <c r="H368" s="6" t="s">
        <v>1232</v>
      </c>
      <c r="I368" s="6" t="s">
        <v>575</v>
      </c>
      <c r="J368" s="6" t="s">
        <v>575</v>
      </c>
      <c r="K368" s="9" t="s">
        <v>1828</v>
      </c>
      <c r="L368" s="6"/>
      <c r="M368" s="6" t="s">
        <v>1231</v>
      </c>
    </row>
    <row r="369" spans="1:13" ht="25.5">
      <c r="A369" s="143">
        <v>2019</v>
      </c>
      <c r="B369" s="6" t="s">
        <v>2661</v>
      </c>
      <c r="C369" s="9" t="s">
        <v>61</v>
      </c>
      <c r="D369" s="6" t="s">
        <v>1838</v>
      </c>
      <c r="E369" s="9" t="s">
        <v>1824</v>
      </c>
      <c r="F369" s="121">
        <v>50000</v>
      </c>
      <c r="G369" s="6"/>
      <c r="H369" s="6" t="s">
        <v>2662</v>
      </c>
      <c r="I369" s="6" t="s">
        <v>575</v>
      </c>
      <c r="J369" s="6" t="s">
        <v>2298</v>
      </c>
      <c r="K369" s="9" t="s">
        <v>1828</v>
      </c>
      <c r="L369" s="6"/>
      <c r="M369" s="6" t="s">
        <v>1838</v>
      </c>
    </row>
    <row r="370" spans="1:13" ht="38.25">
      <c r="A370" s="143">
        <v>2019</v>
      </c>
      <c r="B370" s="6" t="s">
        <v>880</v>
      </c>
      <c r="C370" s="9" t="s">
        <v>61</v>
      </c>
      <c r="D370" s="6" t="s">
        <v>394</v>
      </c>
      <c r="E370" s="115" t="s">
        <v>1853</v>
      </c>
      <c r="F370" s="64">
        <v>74000</v>
      </c>
      <c r="G370" s="6"/>
      <c r="H370" s="6" t="s">
        <v>881</v>
      </c>
      <c r="I370" s="6" t="s">
        <v>882</v>
      </c>
      <c r="J370" s="6" t="s">
        <v>882</v>
      </c>
      <c r="K370" s="9" t="s">
        <v>1828</v>
      </c>
      <c r="L370" s="6"/>
      <c r="M370" s="6" t="s">
        <v>394</v>
      </c>
    </row>
    <row r="371" spans="1:13" ht="25.5">
      <c r="A371" s="143">
        <v>2019</v>
      </c>
      <c r="B371" s="6" t="s">
        <v>2663</v>
      </c>
      <c r="C371" s="9" t="s">
        <v>61</v>
      </c>
      <c r="D371" s="6" t="s">
        <v>1838</v>
      </c>
      <c r="E371" s="9" t="s">
        <v>1824</v>
      </c>
      <c r="F371" s="121">
        <v>65300</v>
      </c>
      <c r="G371" s="6"/>
      <c r="H371" s="6" t="s">
        <v>2664</v>
      </c>
      <c r="I371" s="6"/>
      <c r="J371" s="6" t="s">
        <v>1862</v>
      </c>
      <c r="K371" s="9" t="s">
        <v>1828</v>
      </c>
      <c r="L371" s="6"/>
      <c r="M371" s="6" t="s">
        <v>1838</v>
      </c>
    </row>
    <row r="372" spans="1:13" ht="38.25">
      <c r="A372" s="143">
        <v>2019</v>
      </c>
      <c r="B372" s="6" t="s">
        <v>883</v>
      </c>
      <c r="C372" s="9" t="s">
        <v>61</v>
      </c>
      <c r="D372" s="112" t="s">
        <v>68</v>
      </c>
      <c r="E372" s="6" t="s">
        <v>1874</v>
      </c>
      <c r="F372" s="121">
        <v>199300</v>
      </c>
      <c r="G372" s="6"/>
      <c r="H372" s="6" t="s">
        <v>884</v>
      </c>
      <c r="I372" s="6" t="s">
        <v>885</v>
      </c>
      <c r="J372" s="6" t="s">
        <v>2665</v>
      </c>
      <c r="K372" s="9" t="s">
        <v>1828</v>
      </c>
      <c r="L372" s="6"/>
      <c r="M372" s="6" t="s">
        <v>68</v>
      </c>
    </row>
    <row r="373" spans="1:13" ht="25.5">
      <c r="A373" s="143">
        <v>2019</v>
      </c>
      <c r="B373" s="6" t="s">
        <v>886</v>
      </c>
      <c r="C373" s="9" t="s">
        <v>61</v>
      </c>
      <c r="D373" s="6" t="s">
        <v>652</v>
      </c>
      <c r="E373" s="6" t="s">
        <v>1874</v>
      </c>
      <c r="F373" s="121">
        <v>182454</v>
      </c>
      <c r="G373" s="9"/>
      <c r="H373" s="9" t="s">
        <v>2666</v>
      </c>
      <c r="I373" s="6" t="s">
        <v>888</v>
      </c>
      <c r="J373" s="6" t="s">
        <v>2667</v>
      </c>
      <c r="K373" s="9" t="s">
        <v>2041</v>
      </c>
      <c r="L373" s="9"/>
      <c r="M373" s="6" t="s">
        <v>652</v>
      </c>
    </row>
    <row r="374" spans="1:13" ht="38.25">
      <c r="A374" s="143">
        <v>2019</v>
      </c>
      <c r="B374" s="6" t="s">
        <v>889</v>
      </c>
      <c r="C374" s="9" t="s">
        <v>61</v>
      </c>
      <c r="D374" s="6" t="s">
        <v>586</v>
      </c>
      <c r="E374" s="6" t="s">
        <v>1874</v>
      </c>
      <c r="F374" s="121">
        <v>2350</v>
      </c>
      <c r="G374" s="6"/>
      <c r="H374" s="6" t="s">
        <v>2668</v>
      </c>
      <c r="I374" s="6" t="s">
        <v>2669</v>
      </c>
      <c r="J374" s="6" t="s">
        <v>2670</v>
      </c>
      <c r="K374" s="9" t="s">
        <v>1828</v>
      </c>
      <c r="L374" s="6"/>
      <c r="M374" s="6" t="s">
        <v>2520</v>
      </c>
    </row>
    <row r="375" spans="1:13" ht="12.75">
      <c r="A375" s="143">
        <v>2019</v>
      </c>
      <c r="B375" s="6" t="s">
        <v>2671</v>
      </c>
      <c r="C375" s="9" t="s">
        <v>61</v>
      </c>
      <c r="D375" s="6" t="s">
        <v>1838</v>
      </c>
      <c r="E375" s="9" t="s">
        <v>1824</v>
      </c>
      <c r="F375" s="121">
        <v>200000</v>
      </c>
      <c r="G375" s="6"/>
      <c r="H375" s="6" t="s">
        <v>2672</v>
      </c>
      <c r="I375" s="6" t="s">
        <v>575</v>
      </c>
      <c r="J375" s="6" t="s">
        <v>2298</v>
      </c>
      <c r="K375" s="9" t="s">
        <v>1828</v>
      </c>
      <c r="L375" s="6"/>
      <c r="M375" s="6" t="s">
        <v>1838</v>
      </c>
    </row>
    <row r="376" spans="1:13" ht="12.75">
      <c r="A376" s="140">
        <v>2019</v>
      </c>
      <c r="B376" s="6" t="s">
        <v>1233</v>
      </c>
      <c r="C376" s="9" t="s">
        <v>61</v>
      </c>
      <c r="D376" s="6" t="s">
        <v>1141</v>
      </c>
      <c r="E376" s="6" t="s">
        <v>1904</v>
      </c>
      <c r="F376" s="121">
        <v>16685</v>
      </c>
      <c r="G376" s="6"/>
      <c r="H376" s="6" t="s">
        <v>1234</v>
      </c>
      <c r="I376" s="64" t="s">
        <v>1215</v>
      </c>
      <c r="J376" s="6" t="s">
        <v>2673</v>
      </c>
      <c r="K376" s="9" t="s">
        <v>1916</v>
      </c>
      <c r="L376" s="6"/>
      <c r="M376" s="6" t="s">
        <v>1141</v>
      </c>
    </row>
    <row r="377" spans="1:13" ht="12.75">
      <c r="A377" s="140">
        <v>2019</v>
      </c>
      <c r="B377" s="6" t="s">
        <v>1235</v>
      </c>
      <c r="C377" s="9" t="s">
        <v>61</v>
      </c>
      <c r="D377" s="6" t="s">
        <v>1141</v>
      </c>
      <c r="E377" s="6" t="s">
        <v>1904</v>
      </c>
      <c r="F377" s="121">
        <v>77500</v>
      </c>
      <c r="G377" s="6"/>
      <c r="H377" s="6" t="s">
        <v>1236</v>
      </c>
      <c r="I377" s="64" t="s">
        <v>1215</v>
      </c>
      <c r="J377" s="6" t="s">
        <v>2673</v>
      </c>
      <c r="K377" s="9" t="s">
        <v>1916</v>
      </c>
      <c r="L377" s="6"/>
      <c r="M377" s="6" t="s">
        <v>1141</v>
      </c>
    </row>
    <row r="378" spans="1:13" ht="12.75">
      <c r="A378" s="140">
        <v>2019</v>
      </c>
      <c r="B378" s="6" t="s">
        <v>1237</v>
      </c>
      <c r="C378" s="9" t="s">
        <v>61</v>
      </c>
      <c r="D378" s="6" t="s">
        <v>1141</v>
      </c>
      <c r="E378" s="6" t="s">
        <v>1904</v>
      </c>
      <c r="F378" s="121">
        <v>110050</v>
      </c>
      <c r="G378" s="6"/>
      <c r="H378" s="6" t="s">
        <v>1238</v>
      </c>
      <c r="I378" s="64" t="s">
        <v>1215</v>
      </c>
      <c r="J378" s="6" t="s">
        <v>2673</v>
      </c>
      <c r="K378" s="9" t="s">
        <v>1916</v>
      </c>
      <c r="L378" s="6"/>
      <c r="M378" s="6" t="s">
        <v>1141</v>
      </c>
    </row>
    <row r="379" spans="1:13" ht="25.5">
      <c r="A379" s="143">
        <v>2019</v>
      </c>
      <c r="B379" s="6" t="s">
        <v>892</v>
      </c>
      <c r="C379" s="9" t="s">
        <v>61</v>
      </c>
      <c r="D379" s="6" t="s">
        <v>586</v>
      </c>
      <c r="E379" s="6" t="s">
        <v>1874</v>
      </c>
      <c r="F379" s="121">
        <v>18800</v>
      </c>
      <c r="G379" s="6"/>
      <c r="H379" s="6" t="s">
        <v>893</v>
      </c>
      <c r="I379" s="6" t="s">
        <v>894</v>
      </c>
      <c r="J379" s="6" t="s">
        <v>2674</v>
      </c>
      <c r="K379" s="9" t="s">
        <v>1828</v>
      </c>
      <c r="L379" s="6"/>
      <c r="M379" s="6" t="s">
        <v>2520</v>
      </c>
    </row>
    <row r="380" spans="1:13" ht="25.5">
      <c r="A380" s="143">
        <v>2019</v>
      </c>
      <c r="B380" s="6" t="s">
        <v>895</v>
      </c>
      <c r="C380" s="9" t="s">
        <v>61</v>
      </c>
      <c r="D380" s="6" t="s">
        <v>394</v>
      </c>
      <c r="E380" s="115" t="s">
        <v>1853</v>
      </c>
      <c r="F380" s="64">
        <v>120000</v>
      </c>
      <c r="G380" s="6"/>
      <c r="H380" s="6" t="s">
        <v>896</v>
      </c>
      <c r="I380" s="6" t="s">
        <v>897</v>
      </c>
      <c r="J380" s="6" t="s">
        <v>2675</v>
      </c>
      <c r="K380" s="9" t="s">
        <v>2676</v>
      </c>
      <c r="L380" s="6"/>
      <c r="M380" s="6" t="s">
        <v>394</v>
      </c>
    </row>
    <row r="381" spans="1:13" ht="38.25">
      <c r="A381" s="143">
        <v>2019</v>
      </c>
      <c r="B381" s="6" t="s">
        <v>898</v>
      </c>
      <c r="C381" s="9" t="s">
        <v>61</v>
      </c>
      <c r="D381" s="6" t="s">
        <v>586</v>
      </c>
      <c r="E381" s="6" t="s">
        <v>1874</v>
      </c>
      <c r="F381" s="121">
        <v>8440</v>
      </c>
      <c r="G381" s="9"/>
      <c r="H381" s="9" t="s">
        <v>899</v>
      </c>
      <c r="I381" s="6" t="s">
        <v>900</v>
      </c>
      <c r="J381" s="6" t="s">
        <v>2677</v>
      </c>
      <c r="K381" s="9" t="s">
        <v>1828</v>
      </c>
      <c r="L381" s="9"/>
      <c r="M381" s="6" t="s">
        <v>2520</v>
      </c>
    </row>
    <row r="382" spans="1:13" ht="12.75">
      <c r="A382" s="143">
        <v>2019</v>
      </c>
      <c r="B382" s="6" t="s">
        <v>901</v>
      </c>
      <c r="C382" s="9" t="s">
        <v>61</v>
      </c>
      <c r="D382" s="6" t="s">
        <v>586</v>
      </c>
      <c r="E382" s="6" t="s">
        <v>1874</v>
      </c>
      <c r="F382" s="121">
        <v>14400</v>
      </c>
      <c r="G382" s="6"/>
      <c r="H382" s="6" t="s">
        <v>902</v>
      </c>
      <c r="I382" s="6" t="s">
        <v>903</v>
      </c>
      <c r="J382" s="6" t="s">
        <v>2575</v>
      </c>
      <c r="K382" s="9" t="s">
        <v>2047</v>
      </c>
      <c r="L382" s="6"/>
      <c r="M382" s="6" t="s">
        <v>2520</v>
      </c>
    </row>
    <row r="383" spans="1:13" ht="25.5">
      <c r="A383" s="143">
        <v>2019</v>
      </c>
      <c r="B383" s="6" t="s">
        <v>904</v>
      </c>
      <c r="C383" s="9" t="s">
        <v>61</v>
      </c>
      <c r="D383" s="6" t="s">
        <v>586</v>
      </c>
      <c r="E383" s="6" t="s">
        <v>1874</v>
      </c>
      <c r="F383" s="121">
        <v>10360</v>
      </c>
      <c r="G383" s="6"/>
      <c r="H383" s="6" t="s">
        <v>905</v>
      </c>
      <c r="I383" s="6" t="s">
        <v>906</v>
      </c>
      <c r="J383" s="6" t="s">
        <v>2678</v>
      </c>
      <c r="K383" s="9" t="s">
        <v>1828</v>
      </c>
      <c r="L383" s="6"/>
      <c r="M383" s="6" t="s">
        <v>2520</v>
      </c>
    </row>
    <row r="384" spans="1:13" ht="25.5">
      <c r="A384" s="143">
        <v>2019</v>
      </c>
      <c r="B384" s="6" t="s">
        <v>907</v>
      </c>
      <c r="C384" s="9" t="s">
        <v>61</v>
      </c>
      <c r="D384" s="112" t="s">
        <v>68</v>
      </c>
      <c r="E384" s="6" t="s">
        <v>1874</v>
      </c>
      <c r="F384" s="121">
        <v>200000</v>
      </c>
      <c r="G384" s="6"/>
      <c r="H384" s="6" t="s">
        <v>2679</v>
      </c>
      <c r="I384" s="6" t="s">
        <v>909</v>
      </c>
      <c r="J384" s="6" t="s">
        <v>2680</v>
      </c>
      <c r="K384" s="9" t="s">
        <v>2051</v>
      </c>
      <c r="L384" s="6"/>
      <c r="M384" s="6" t="s">
        <v>68</v>
      </c>
    </row>
    <row r="385" spans="1:13" ht="25.5">
      <c r="A385" s="143">
        <v>2019</v>
      </c>
      <c r="B385" s="6" t="s">
        <v>910</v>
      </c>
      <c r="C385" s="9" t="s">
        <v>61</v>
      </c>
      <c r="D385" s="112" t="s">
        <v>68</v>
      </c>
      <c r="E385" s="6" t="s">
        <v>1874</v>
      </c>
      <c r="F385" s="121">
        <v>200018.5</v>
      </c>
      <c r="G385" s="6"/>
      <c r="H385" s="6" t="s">
        <v>911</v>
      </c>
      <c r="I385" s="6" t="s">
        <v>912</v>
      </c>
      <c r="J385" s="6" t="s">
        <v>2681</v>
      </c>
      <c r="K385" s="9" t="s">
        <v>1828</v>
      </c>
      <c r="L385" s="6"/>
      <c r="M385" s="6" t="s">
        <v>68</v>
      </c>
    </row>
    <row r="386" spans="1:13" ht="25.5">
      <c r="A386" s="143">
        <v>2019</v>
      </c>
      <c r="B386" s="6" t="s">
        <v>913</v>
      </c>
      <c r="C386" s="9" t="s">
        <v>61</v>
      </c>
      <c r="D386" s="6" t="s">
        <v>652</v>
      </c>
      <c r="E386" s="6" t="s">
        <v>1874</v>
      </c>
      <c r="F386" s="121">
        <v>73365</v>
      </c>
      <c r="G386" s="6"/>
      <c r="H386" s="6" t="s">
        <v>914</v>
      </c>
      <c r="I386" s="6" t="s">
        <v>915</v>
      </c>
      <c r="J386" s="6" t="s">
        <v>2682</v>
      </c>
      <c r="K386" s="9" t="s">
        <v>1899</v>
      </c>
      <c r="L386" s="6"/>
      <c r="M386" s="6" t="s">
        <v>652</v>
      </c>
    </row>
    <row r="387" spans="1:13" ht="25.5">
      <c r="A387" s="143">
        <v>2019</v>
      </c>
      <c r="B387" s="6" t="s">
        <v>916</v>
      </c>
      <c r="C387" s="9" t="s">
        <v>61</v>
      </c>
      <c r="D387" s="112" t="s">
        <v>68</v>
      </c>
      <c r="E387" s="6" t="s">
        <v>1874</v>
      </c>
      <c r="F387" s="121">
        <v>199926</v>
      </c>
      <c r="G387" s="6"/>
      <c r="H387" s="6" t="s">
        <v>917</v>
      </c>
      <c r="I387" s="6" t="s">
        <v>918</v>
      </c>
      <c r="J387" s="6" t="s">
        <v>2683</v>
      </c>
      <c r="K387" s="9" t="s">
        <v>2047</v>
      </c>
      <c r="L387" s="6"/>
      <c r="M387" s="6" t="s">
        <v>68</v>
      </c>
    </row>
    <row r="388" spans="1:13" ht="12.75">
      <c r="A388" s="143">
        <v>2019</v>
      </c>
      <c r="B388" s="6" t="s">
        <v>919</v>
      </c>
      <c r="C388" s="9" t="s">
        <v>61</v>
      </c>
      <c r="D388" s="112" t="s">
        <v>68</v>
      </c>
      <c r="E388" s="6" t="s">
        <v>1874</v>
      </c>
      <c r="F388" s="121">
        <v>167255.802</v>
      </c>
      <c r="G388" s="6"/>
      <c r="H388" s="6" t="s">
        <v>920</v>
      </c>
      <c r="I388" s="6" t="s">
        <v>921</v>
      </c>
      <c r="J388" s="6" t="s">
        <v>2684</v>
      </c>
      <c r="K388" s="9" t="s">
        <v>2031</v>
      </c>
      <c r="L388" s="6"/>
      <c r="M388" s="6" t="s">
        <v>68</v>
      </c>
    </row>
    <row r="389" spans="1:13" ht="25.5">
      <c r="A389" s="140">
        <v>2019</v>
      </c>
      <c r="B389" s="6" t="s">
        <v>1239</v>
      </c>
      <c r="C389" s="9" t="s">
        <v>61</v>
      </c>
      <c r="D389" s="22" t="s">
        <v>1141</v>
      </c>
      <c r="E389" s="6" t="s">
        <v>1904</v>
      </c>
      <c r="F389" s="121">
        <v>57545.95</v>
      </c>
      <c r="G389" s="6"/>
      <c r="H389" s="6" t="s">
        <v>1240</v>
      </c>
      <c r="I389" s="6" t="s">
        <v>1241</v>
      </c>
      <c r="J389" s="6" t="s">
        <v>2685</v>
      </c>
      <c r="K389" s="9" t="s">
        <v>2047</v>
      </c>
      <c r="L389" s="6"/>
      <c r="M389" s="6" t="s">
        <v>1141</v>
      </c>
    </row>
    <row r="390" spans="1:13" ht="38.25">
      <c r="A390" s="143">
        <v>2019</v>
      </c>
      <c r="B390" s="6" t="s">
        <v>922</v>
      </c>
      <c r="C390" s="9" t="s">
        <v>61</v>
      </c>
      <c r="D390" s="17" t="s">
        <v>1877</v>
      </c>
      <c r="E390" s="115" t="s">
        <v>1853</v>
      </c>
      <c r="F390" s="121">
        <v>48100</v>
      </c>
      <c r="G390" s="6"/>
      <c r="H390" s="6" t="s">
        <v>923</v>
      </c>
      <c r="I390" s="6" t="s">
        <v>924</v>
      </c>
      <c r="J390" s="6" t="s">
        <v>2686</v>
      </c>
      <c r="K390" s="6" t="s">
        <v>1886</v>
      </c>
      <c r="L390" s="6"/>
      <c r="M390" s="6" t="s">
        <v>2687</v>
      </c>
    </row>
    <row r="391" spans="1:13" ht="25.5">
      <c r="A391" s="143">
        <v>2018</v>
      </c>
      <c r="B391" s="61">
        <v>43101</v>
      </c>
      <c r="C391" s="6" t="s">
        <v>61</v>
      </c>
      <c r="D391" s="115" t="s">
        <v>1383</v>
      </c>
      <c r="E391" s="115" t="s">
        <v>1859</v>
      </c>
      <c r="F391" s="170">
        <v>2747800</v>
      </c>
      <c r="G391" s="6"/>
      <c r="H391" s="6" t="s">
        <v>1661</v>
      </c>
      <c r="I391" s="6" t="s">
        <v>2319</v>
      </c>
      <c r="J391" s="6" t="s">
        <v>1938</v>
      </c>
      <c r="K391" s="6" t="s">
        <v>1828</v>
      </c>
      <c r="L391" s="6"/>
      <c r="M391" s="6" t="s">
        <v>1383</v>
      </c>
    </row>
    <row r="392" spans="1:13" ht="38.25">
      <c r="A392" s="140">
        <v>2018</v>
      </c>
      <c r="B392" s="61">
        <v>43132</v>
      </c>
      <c r="C392" s="6" t="s">
        <v>925</v>
      </c>
      <c r="D392" s="9" t="s">
        <v>62</v>
      </c>
      <c r="E392" s="6" t="s">
        <v>1904</v>
      </c>
      <c r="F392" s="121">
        <v>710458.07</v>
      </c>
      <c r="G392" s="6"/>
      <c r="H392" s="6" t="s">
        <v>1242</v>
      </c>
      <c r="I392" s="6" t="s">
        <v>2688</v>
      </c>
      <c r="J392" s="160" t="s">
        <v>2689</v>
      </c>
      <c r="K392" s="6" t="s">
        <v>2085</v>
      </c>
      <c r="L392" s="6"/>
      <c r="M392" s="6" t="s">
        <v>62</v>
      </c>
    </row>
    <row r="393" spans="1:13" ht="38.25">
      <c r="A393" s="140">
        <v>2018</v>
      </c>
      <c r="B393" s="61">
        <v>43160</v>
      </c>
      <c r="C393" s="6" t="s">
        <v>925</v>
      </c>
      <c r="D393" s="9" t="s">
        <v>62</v>
      </c>
      <c r="E393" s="6" t="s">
        <v>1904</v>
      </c>
      <c r="F393" s="121">
        <v>2839000</v>
      </c>
      <c r="G393" s="6"/>
      <c r="H393" s="6" t="s">
        <v>1244</v>
      </c>
      <c r="I393" s="6" t="s">
        <v>2690</v>
      </c>
      <c r="J393" s="160" t="s">
        <v>2691</v>
      </c>
      <c r="K393" s="6" t="s">
        <v>1886</v>
      </c>
      <c r="L393" s="6"/>
      <c r="M393" s="6" t="s">
        <v>62</v>
      </c>
    </row>
    <row r="394" spans="1:13" ht="25.5">
      <c r="A394" s="143">
        <v>2018</v>
      </c>
      <c r="B394" s="61">
        <v>43191</v>
      </c>
      <c r="C394" s="6" t="s">
        <v>61</v>
      </c>
      <c r="D394" s="112" t="s">
        <v>68</v>
      </c>
      <c r="E394" s="6" t="s">
        <v>1874</v>
      </c>
      <c r="F394" s="121">
        <v>900000</v>
      </c>
      <c r="G394" s="6"/>
      <c r="H394" s="6" t="s">
        <v>926</v>
      </c>
      <c r="I394" s="6" t="s">
        <v>2692</v>
      </c>
      <c r="J394" s="160" t="s">
        <v>2693</v>
      </c>
      <c r="K394" s="6" t="s">
        <v>1828</v>
      </c>
      <c r="L394" s="6"/>
      <c r="M394" s="6" t="s">
        <v>68</v>
      </c>
    </row>
    <row r="395" spans="1:13" ht="51">
      <c r="A395" s="143">
        <v>2018</v>
      </c>
      <c r="B395" s="61">
        <v>43282</v>
      </c>
      <c r="C395" s="6" t="s">
        <v>2328</v>
      </c>
      <c r="D395" s="6"/>
      <c r="E395" s="6"/>
      <c r="F395" s="121">
        <v>221630</v>
      </c>
      <c r="G395" s="6"/>
      <c r="H395" s="6" t="s">
        <v>2694</v>
      </c>
      <c r="I395" s="6" t="s">
        <v>2695</v>
      </c>
      <c r="J395" s="160" t="s">
        <v>2696</v>
      </c>
      <c r="K395" s="6" t="s">
        <v>1828</v>
      </c>
      <c r="L395" s="6"/>
      <c r="M395" s="6"/>
    </row>
    <row r="396" spans="1:13" ht="38.25">
      <c r="A396" s="143">
        <v>2018</v>
      </c>
      <c r="B396" s="61">
        <v>43313</v>
      </c>
      <c r="C396" s="6" t="s">
        <v>2328</v>
      </c>
      <c r="D396" s="6"/>
      <c r="E396" s="6"/>
      <c r="F396" s="121">
        <v>196749</v>
      </c>
      <c r="G396" s="6"/>
      <c r="H396" s="6" t="s">
        <v>2697</v>
      </c>
      <c r="I396" s="6" t="s">
        <v>2698</v>
      </c>
      <c r="J396" s="160" t="s">
        <v>2699</v>
      </c>
      <c r="K396" s="6" t="s">
        <v>1828</v>
      </c>
      <c r="L396" s="6"/>
      <c r="M396" s="6"/>
    </row>
    <row r="397" spans="1:13" ht="51">
      <c r="A397" s="143">
        <v>2018</v>
      </c>
      <c r="B397" s="62">
        <v>43344</v>
      </c>
      <c r="C397" s="6" t="s">
        <v>2328</v>
      </c>
      <c r="D397" s="6"/>
      <c r="E397" s="6"/>
      <c r="F397" s="121">
        <v>100600</v>
      </c>
      <c r="G397" s="6"/>
      <c r="H397" s="6" t="s">
        <v>2700</v>
      </c>
      <c r="I397" s="6" t="s">
        <v>2701</v>
      </c>
      <c r="J397" s="160" t="s">
        <v>2702</v>
      </c>
      <c r="K397" s="6" t="s">
        <v>1828</v>
      </c>
      <c r="L397" s="6"/>
      <c r="M397" s="6"/>
    </row>
    <row r="398" spans="1:13" ht="25.5">
      <c r="A398" s="143">
        <v>2018</v>
      </c>
      <c r="B398" s="61">
        <v>43374</v>
      </c>
      <c r="C398" s="6" t="s">
        <v>925</v>
      </c>
      <c r="D398" s="6" t="s">
        <v>928</v>
      </c>
      <c r="E398" s="6" t="s">
        <v>1824</v>
      </c>
      <c r="F398" s="163">
        <v>709420</v>
      </c>
      <c r="G398" s="171">
        <v>43145</v>
      </c>
      <c r="H398" s="158" t="s">
        <v>929</v>
      </c>
      <c r="I398" s="158" t="s">
        <v>699</v>
      </c>
      <c r="J398" s="6" t="s">
        <v>1938</v>
      </c>
      <c r="K398" s="6" t="s">
        <v>1828</v>
      </c>
      <c r="L398" s="158"/>
      <c r="M398" s="6" t="s">
        <v>928</v>
      </c>
    </row>
    <row r="399" spans="1:13" ht="25.5">
      <c r="A399" s="143">
        <v>2018</v>
      </c>
      <c r="B399" s="62">
        <v>43405</v>
      </c>
      <c r="C399" s="6" t="s">
        <v>61</v>
      </c>
      <c r="D399" s="115" t="s">
        <v>1383</v>
      </c>
      <c r="E399" s="115" t="s">
        <v>1859</v>
      </c>
      <c r="F399" s="121">
        <v>200000</v>
      </c>
      <c r="G399" s="7">
        <v>43179</v>
      </c>
      <c r="H399" s="6" t="s">
        <v>1662</v>
      </c>
      <c r="I399" s="6" t="s">
        <v>1663</v>
      </c>
      <c r="J399" s="6" t="s">
        <v>1938</v>
      </c>
      <c r="K399" s="6" t="s">
        <v>1828</v>
      </c>
      <c r="L399" s="6"/>
      <c r="M399" s="6" t="s">
        <v>1383</v>
      </c>
    </row>
    <row r="400" spans="1:13" ht="25.5">
      <c r="A400" s="143">
        <v>2018</v>
      </c>
      <c r="B400" s="62">
        <v>43435</v>
      </c>
      <c r="C400" s="6" t="s">
        <v>61</v>
      </c>
      <c r="D400" s="115" t="s">
        <v>1383</v>
      </c>
      <c r="E400" s="115" t="s">
        <v>1859</v>
      </c>
      <c r="F400" s="121">
        <v>200000</v>
      </c>
      <c r="G400" s="6"/>
      <c r="H400" s="6" t="s">
        <v>1664</v>
      </c>
      <c r="I400" s="6" t="s">
        <v>650</v>
      </c>
      <c r="J400" s="6"/>
      <c r="K400" s="6" t="s">
        <v>2085</v>
      </c>
      <c r="L400" s="6"/>
      <c r="M400" s="6" t="s">
        <v>1383</v>
      </c>
    </row>
    <row r="401" spans="1:13" ht="12.75">
      <c r="A401" s="143">
        <v>2018</v>
      </c>
      <c r="B401" s="6" t="s">
        <v>1665</v>
      </c>
      <c r="C401" s="6" t="s">
        <v>61</v>
      </c>
      <c r="D401" s="115" t="s">
        <v>1383</v>
      </c>
      <c r="E401" s="115" t="s">
        <v>1859</v>
      </c>
      <c r="F401" s="121">
        <v>200000</v>
      </c>
      <c r="G401" s="6"/>
      <c r="H401" s="6" t="s">
        <v>1666</v>
      </c>
      <c r="I401" s="6" t="s">
        <v>581</v>
      </c>
      <c r="J401" s="6"/>
      <c r="K401" s="6" t="s">
        <v>1916</v>
      </c>
      <c r="L401" s="6"/>
      <c r="M401" s="6" t="s">
        <v>1383</v>
      </c>
    </row>
    <row r="402" spans="1:13" ht="12.75">
      <c r="A402" s="143">
        <v>2018</v>
      </c>
      <c r="B402" s="6" t="s">
        <v>1667</v>
      </c>
      <c r="C402" s="6" t="s">
        <v>61</v>
      </c>
      <c r="D402" s="115" t="s">
        <v>1383</v>
      </c>
      <c r="E402" s="115" t="s">
        <v>1859</v>
      </c>
      <c r="F402" s="121">
        <v>200000</v>
      </c>
      <c r="G402" s="6"/>
      <c r="H402" s="6" t="s">
        <v>1666</v>
      </c>
      <c r="I402" s="6" t="s">
        <v>722</v>
      </c>
      <c r="J402" s="6"/>
      <c r="K402" s="6" t="s">
        <v>1899</v>
      </c>
      <c r="L402" s="6"/>
      <c r="M402" s="6" t="s">
        <v>1383</v>
      </c>
    </row>
    <row r="403" spans="1:13" ht="12.75">
      <c r="A403" s="143">
        <v>2018</v>
      </c>
      <c r="B403" s="6" t="s">
        <v>1668</v>
      </c>
      <c r="C403" s="6" t="s">
        <v>61</v>
      </c>
      <c r="D403" s="115" t="s">
        <v>1383</v>
      </c>
      <c r="E403" s="115" t="s">
        <v>1859</v>
      </c>
      <c r="F403" s="121">
        <v>200000</v>
      </c>
      <c r="G403" s="6"/>
      <c r="H403" s="6" t="s">
        <v>1666</v>
      </c>
      <c r="I403" s="158" t="s">
        <v>1669</v>
      </c>
      <c r="J403" s="6"/>
      <c r="K403" s="6" t="s">
        <v>1886</v>
      </c>
      <c r="L403" s="158"/>
      <c r="M403" s="6" t="s">
        <v>1383</v>
      </c>
    </row>
    <row r="404" spans="1:13" ht="12.75">
      <c r="A404" s="143">
        <v>2018</v>
      </c>
      <c r="B404" s="6" t="s">
        <v>1670</v>
      </c>
      <c r="C404" s="6" t="s">
        <v>61</v>
      </c>
      <c r="D404" s="115" t="s">
        <v>1383</v>
      </c>
      <c r="E404" s="115" t="s">
        <v>1859</v>
      </c>
      <c r="F404" s="121">
        <v>200000</v>
      </c>
      <c r="G404" s="6"/>
      <c r="H404" s="6" t="s">
        <v>1666</v>
      </c>
      <c r="I404" s="6" t="s">
        <v>1671</v>
      </c>
      <c r="J404" s="6"/>
      <c r="K404" s="6" t="s">
        <v>1886</v>
      </c>
      <c r="L404" s="6"/>
      <c r="M404" s="6" t="s">
        <v>1383</v>
      </c>
    </row>
    <row r="405" spans="1:13" ht="12.75">
      <c r="A405" s="143">
        <v>2018</v>
      </c>
      <c r="B405" s="6" t="s">
        <v>1672</v>
      </c>
      <c r="C405" s="6" t="s">
        <v>61</v>
      </c>
      <c r="D405" s="115" t="s">
        <v>1383</v>
      </c>
      <c r="E405" s="115" t="s">
        <v>1859</v>
      </c>
      <c r="F405" s="121">
        <v>200000</v>
      </c>
      <c r="G405" s="158"/>
      <c r="H405" s="158" t="s">
        <v>1673</v>
      </c>
      <c r="I405" s="6" t="s">
        <v>707</v>
      </c>
      <c r="J405" s="6"/>
      <c r="K405" s="6" t="s">
        <v>1896</v>
      </c>
      <c r="L405" s="6"/>
      <c r="M405" s="6" t="s">
        <v>1383</v>
      </c>
    </row>
    <row r="406" spans="1:13" ht="25.5">
      <c r="A406" s="143">
        <v>2018</v>
      </c>
      <c r="B406" s="6" t="s">
        <v>1674</v>
      </c>
      <c r="C406" s="6" t="s">
        <v>61</v>
      </c>
      <c r="D406" s="115" t="s">
        <v>1383</v>
      </c>
      <c r="E406" s="115" t="s">
        <v>1859</v>
      </c>
      <c r="F406" s="121">
        <v>200000</v>
      </c>
      <c r="G406" s="6"/>
      <c r="H406" s="6" t="s">
        <v>1675</v>
      </c>
      <c r="I406" s="6" t="s">
        <v>1502</v>
      </c>
      <c r="J406" s="6"/>
      <c r="K406" s="6" t="s">
        <v>2051</v>
      </c>
      <c r="L406" s="6"/>
      <c r="M406" s="6" t="s">
        <v>1383</v>
      </c>
    </row>
    <row r="407" spans="1:13" ht="12.75">
      <c r="A407" s="143">
        <v>2018</v>
      </c>
      <c r="B407" s="6" t="s">
        <v>1676</v>
      </c>
      <c r="C407" s="6" t="s">
        <v>61</v>
      </c>
      <c r="D407" s="115" t="s">
        <v>1383</v>
      </c>
      <c r="E407" s="115" t="s">
        <v>1859</v>
      </c>
      <c r="F407" s="121">
        <v>200000</v>
      </c>
      <c r="G407" s="6"/>
      <c r="H407" s="6" t="s">
        <v>1677</v>
      </c>
      <c r="I407" s="6" t="s">
        <v>1389</v>
      </c>
      <c r="J407" s="6"/>
      <c r="K407" s="6" t="s">
        <v>2031</v>
      </c>
      <c r="L407" s="6"/>
      <c r="M407" s="6" t="s">
        <v>1383</v>
      </c>
    </row>
    <row r="408" spans="1:13" ht="12.75">
      <c r="A408" s="143">
        <v>2018</v>
      </c>
      <c r="B408" s="6" t="s">
        <v>1678</v>
      </c>
      <c r="C408" s="6" t="s">
        <v>61</v>
      </c>
      <c r="D408" s="115" t="s">
        <v>1383</v>
      </c>
      <c r="E408" s="115" t="s">
        <v>1859</v>
      </c>
      <c r="F408" s="121">
        <v>200000</v>
      </c>
      <c r="G408" s="6"/>
      <c r="H408" s="6" t="s">
        <v>1679</v>
      </c>
      <c r="I408" s="6" t="s">
        <v>1680</v>
      </c>
      <c r="J408" s="6"/>
      <c r="K408" s="9" t="s">
        <v>2571</v>
      </c>
      <c r="L408" s="6"/>
      <c r="M408" s="6" t="s">
        <v>1383</v>
      </c>
    </row>
    <row r="409" spans="1:13" ht="38.25">
      <c r="A409" s="140">
        <v>2018</v>
      </c>
      <c r="B409" s="6" t="s">
        <v>1246</v>
      </c>
      <c r="C409" s="6" t="s">
        <v>925</v>
      </c>
      <c r="D409" s="9" t="s">
        <v>62</v>
      </c>
      <c r="E409" s="6" t="s">
        <v>1904</v>
      </c>
      <c r="F409" s="121">
        <v>1170000</v>
      </c>
      <c r="G409" s="6"/>
      <c r="H409" s="6" t="s">
        <v>1247</v>
      </c>
      <c r="I409" s="6" t="s">
        <v>2703</v>
      </c>
      <c r="J409" s="160" t="s">
        <v>2704</v>
      </c>
      <c r="K409" s="6" t="s">
        <v>2051</v>
      </c>
      <c r="L409" s="6"/>
      <c r="M409" s="6" t="s">
        <v>62</v>
      </c>
    </row>
    <row r="410" spans="1:13" ht="38.25">
      <c r="A410" s="140">
        <v>2018</v>
      </c>
      <c r="B410" s="6" t="s">
        <v>1249</v>
      </c>
      <c r="C410" s="6" t="s">
        <v>925</v>
      </c>
      <c r="D410" s="9" t="s">
        <v>62</v>
      </c>
      <c r="E410" s="6" t="s">
        <v>1904</v>
      </c>
      <c r="F410" s="121">
        <v>869853.5</v>
      </c>
      <c r="G410" s="6"/>
      <c r="H410" s="6" t="s">
        <v>1250</v>
      </c>
      <c r="I410" s="6" t="s">
        <v>2705</v>
      </c>
      <c r="J410" s="6" t="s">
        <v>2706</v>
      </c>
      <c r="K410" s="6" t="s">
        <v>2051</v>
      </c>
      <c r="L410" s="6"/>
      <c r="M410" s="6" t="s">
        <v>62</v>
      </c>
    </row>
    <row r="411" spans="1:13" ht="25.5">
      <c r="A411" s="143">
        <v>2018</v>
      </c>
      <c r="B411" s="6" t="s">
        <v>1681</v>
      </c>
      <c r="C411" s="6" t="s">
        <v>61</v>
      </c>
      <c r="D411" s="115" t="s">
        <v>1383</v>
      </c>
      <c r="E411" s="115" t="s">
        <v>1859</v>
      </c>
      <c r="F411" s="121">
        <v>200000</v>
      </c>
      <c r="G411" s="6"/>
      <c r="H411" s="6" t="s">
        <v>1682</v>
      </c>
      <c r="I411" s="6" t="s">
        <v>1683</v>
      </c>
      <c r="J411" s="6" t="s">
        <v>2508</v>
      </c>
      <c r="K411" s="6" t="s">
        <v>1828</v>
      </c>
      <c r="L411" s="6"/>
      <c r="M411" s="6" t="s">
        <v>1383</v>
      </c>
    </row>
    <row r="412" spans="1:13" ht="38.25">
      <c r="A412" s="143">
        <v>2018</v>
      </c>
      <c r="B412" s="6" t="s">
        <v>1684</v>
      </c>
      <c r="C412" s="6" t="s">
        <v>61</v>
      </c>
      <c r="D412" s="115" t="s">
        <v>1383</v>
      </c>
      <c r="E412" s="115" t="s">
        <v>1859</v>
      </c>
      <c r="F412" s="121">
        <v>200000</v>
      </c>
      <c r="G412" s="6"/>
      <c r="H412" s="6" t="s">
        <v>1685</v>
      </c>
      <c r="I412" s="6" t="s">
        <v>2707</v>
      </c>
      <c r="J412" s="160" t="s">
        <v>2708</v>
      </c>
      <c r="K412" s="6" t="s">
        <v>1886</v>
      </c>
      <c r="L412" s="6"/>
      <c r="M412" s="6" t="s">
        <v>1383</v>
      </c>
    </row>
    <row r="413" spans="1:13" ht="25.5">
      <c r="A413" s="143">
        <v>2018</v>
      </c>
      <c r="B413" s="6" t="s">
        <v>1687</v>
      </c>
      <c r="C413" s="6" t="s">
        <v>61</v>
      </c>
      <c r="D413" s="115" t="s">
        <v>1383</v>
      </c>
      <c r="E413" s="115" t="s">
        <v>1859</v>
      </c>
      <c r="F413" s="121">
        <v>200000</v>
      </c>
      <c r="G413" s="6"/>
      <c r="H413" s="6" t="s">
        <v>1688</v>
      </c>
      <c r="I413" s="6" t="s">
        <v>1689</v>
      </c>
      <c r="J413" s="6" t="s">
        <v>1938</v>
      </c>
      <c r="K413" s="6" t="s">
        <v>1828</v>
      </c>
      <c r="L413" s="6"/>
      <c r="M413" s="6" t="s">
        <v>1383</v>
      </c>
    </row>
    <row r="414" spans="1:13" ht="25.5">
      <c r="A414" s="143">
        <v>2018</v>
      </c>
      <c r="B414" s="6" t="s">
        <v>1690</v>
      </c>
      <c r="C414" s="6" t="s">
        <v>61</v>
      </c>
      <c r="D414" s="115" t="s">
        <v>1383</v>
      </c>
      <c r="E414" s="115" t="s">
        <v>1859</v>
      </c>
      <c r="F414" s="121">
        <v>200000</v>
      </c>
      <c r="G414" s="6"/>
      <c r="H414" s="6" t="s">
        <v>1691</v>
      </c>
      <c r="I414" s="6" t="s">
        <v>1692</v>
      </c>
      <c r="J414" s="6" t="s">
        <v>2508</v>
      </c>
      <c r="K414" s="6" t="s">
        <v>1828</v>
      </c>
      <c r="L414" s="6"/>
      <c r="M414" s="6" t="s">
        <v>1383</v>
      </c>
    </row>
    <row r="415" spans="1:13" ht="38.25">
      <c r="A415" s="143">
        <v>2018</v>
      </c>
      <c r="B415" s="6" t="s">
        <v>1693</v>
      </c>
      <c r="C415" s="6" t="s">
        <v>61</v>
      </c>
      <c r="D415" s="115" t="s">
        <v>1383</v>
      </c>
      <c r="E415" s="115" t="s">
        <v>1859</v>
      </c>
      <c r="F415" s="121">
        <v>200000</v>
      </c>
      <c r="G415" s="6"/>
      <c r="H415" s="6" t="s">
        <v>1694</v>
      </c>
      <c r="I415" s="6" t="s">
        <v>2709</v>
      </c>
      <c r="J415" s="6" t="s">
        <v>2508</v>
      </c>
      <c r="K415" s="6" t="s">
        <v>1828</v>
      </c>
      <c r="L415" s="6"/>
      <c r="M415" s="6" t="s">
        <v>1383</v>
      </c>
    </row>
    <row r="416" spans="1:13" ht="25.5">
      <c r="A416" s="143">
        <v>2018</v>
      </c>
      <c r="B416" s="6" t="s">
        <v>1696</v>
      </c>
      <c r="C416" s="6" t="s">
        <v>61</v>
      </c>
      <c r="D416" s="115" t="s">
        <v>1383</v>
      </c>
      <c r="E416" s="115" t="s">
        <v>1859</v>
      </c>
      <c r="F416" s="121">
        <v>200000</v>
      </c>
      <c r="G416" s="6"/>
      <c r="H416" s="6" t="s">
        <v>1697</v>
      </c>
      <c r="I416" s="6" t="s">
        <v>1698</v>
      </c>
      <c r="J416" s="6" t="s">
        <v>2508</v>
      </c>
      <c r="K416" s="6" t="s">
        <v>1828</v>
      </c>
      <c r="L416" s="6"/>
      <c r="M416" s="6" t="s">
        <v>1383</v>
      </c>
    </row>
    <row r="417" spans="1:13" ht="25.5">
      <c r="A417" s="143">
        <v>2018</v>
      </c>
      <c r="B417" s="6" t="s">
        <v>1699</v>
      </c>
      <c r="C417" s="6" t="s">
        <v>61</v>
      </c>
      <c r="D417" s="115" t="s">
        <v>1383</v>
      </c>
      <c r="E417" s="115" t="s">
        <v>1859</v>
      </c>
      <c r="F417" s="121">
        <v>200000</v>
      </c>
      <c r="G417" s="6"/>
      <c r="H417" s="6" t="s">
        <v>1700</v>
      </c>
      <c r="I417" s="6" t="s">
        <v>1701</v>
      </c>
      <c r="J417" s="6"/>
      <c r="K417" s="6" t="s">
        <v>1828</v>
      </c>
      <c r="L417" s="6"/>
      <c r="M417" s="6" t="s">
        <v>1383</v>
      </c>
    </row>
    <row r="418" spans="1:13" ht="25.5">
      <c r="A418" s="143">
        <v>2018</v>
      </c>
      <c r="B418" s="6" t="s">
        <v>1702</v>
      </c>
      <c r="C418" s="6" t="s">
        <v>61</v>
      </c>
      <c r="D418" s="115" t="s">
        <v>1383</v>
      </c>
      <c r="E418" s="115" t="s">
        <v>1859</v>
      </c>
      <c r="F418" s="121">
        <v>750000</v>
      </c>
      <c r="G418" s="6"/>
      <c r="H418" s="6" t="s">
        <v>1703</v>
      </c>
      <c r="I418" s="6" t="s">
        <v>1611</v>
      </c>
      <c r="J418" s="6" t="s">
        <v>2508</v>
      </c>
      <c r="K418" s="6" t="s">
        <v>1828</v>
      </c>
      <c r="L418" s="6"/>
      <c r="M418" s="6" t="s">
        <v>1383</v>
      </c>
    </row>
    <row r="419" spans="1:13" ht="12.75">
      <c r="A419" s="143">
        <v>2018</v>
      </c>
      <c r="B419" s="6" t="s">
        <v>960</v>
      </c>
      <c r="C419" s="6" t="s">
        <v>61</v>
      </c>
      <c r="D419" s="115" t="s">
        <v>1383</v>
      </c>
      <c r="E419" s="115" t="s">
        <v>1859</v>
      </c>
      <c r="F419" s="121">
        <v>750000</v>
      </c>
      <c r="G419" s="6"/>
      <c r="H419" s="6" t="s">
        <v>1704</v>
      </c>
      <c r="I419" s="6" t="s">
        <v>1705</v>
      </c>
      <c r="J419" s="6" t="s">
        <v>2508</v>
      </c>
      <c r="K419" s="6" t="s">
        <v>1828</v>
      </c>
      <c r="L419" s="6"/>
      <c r="M419" s="6" t="s">
        <v>1383</v>
      </c>
    </row>
    <row r="420" spans="1:13" ht="76.5">
      <c r="A420" s="143">
        <v>2018</v>
      </c>
      <c r="B420" s="6" t="s">
        <v>1706</v>
      </c>
      <c r="C420" s="6" t="s">
        <v>61</v>
      </c>
      <c r="D420" s="115" t="s">
        <v>1383</v>
      </c>
      <c r="E420" s="115" t="s">
        <v>1859</v>
      </c>
      <c r="F420" s="121">
        <v>1500000</v>
      </c>
      <c r="G420" s="6"/>
      <c r="H420" s="6" t="s">
        <v>2710</v>
      </c>
      <c r="I420" s="6" t="s">
        <v>1708</v>
      </c>
      <c r="J420" s="6" t="s">
        <v>2508</v>
      </c>
      <c r="K420" s="6" t="s">
        <v>1828</v>
      </c>
      <c r="L420" s="6"/>
      <c r="M420" s="6" t="s">
        <v>1383</v>
      </c>
    </row>
    <row r="421" spans="1:13" ht="25.5">
      <c r="A421" s="143">
        <v>2018</v>
      </c>
      <c r="B421" s="6" t="s">
        <v>1709</v>
      </c>
      <c r="C421" s="6" t="s">
        <v>61</v>
      </c>
      <c r="D421" s="115" t="s">
        <v>1383</v>
      </c>
      <c r="E421" s="115" t="s">
        <v>1859</v>
      </c>
      <c r="F421" s="121">
        <v>200000</v>
      </c>
      <c r="G421" s="6"/>
      <c r="H421" s="6" t="s">
        <v>1710</v>
      </c>
      <c r="I421" s="6" t="s">
        <v>1711</v>
      </c>
      <c r="J421" s="6" t="s">
        <v>1938</v>
      </c>
      <c r="K421" s="6" t="s">
        <v>1828</v>
      </c>
      <c r="L421" s="6"/>
      <c r="M421" s="6" t="s">
        <v>1383</v>
      </c>
    </row>
    <row r="422" spans="1:13" ht="25.5">
      <c r="A422" s="143">
        <v>2018</v>
      </c>
      <c r="B422" s="6" t="s">
        <v>1712</v>
      </c>
      <c r="C422" s="6" t="s">
        <v>61</v>
      </c>
      <c r="D422" s="115" t="s">
        <v>1383</v>
      </c>
      <c r="E422" s="115" t="s">
        <v>1859</v>
      </c>
      <c r="F422" s="121">
        <v>200000</v>
      </c>
      <c r="G422" s="6"/>
      <c r="H422" s="6" t="s">
        <v>1713</v>
      </c>
      <c r="I422" s="6" t="s">
        <v>2711</v>
      </c>
      <c r="J422" s="160" t="s">
        <v>2712</v>
      </c>
      <c r="K422" s="6" t="s">
        <v>1855</v>
      </c>
      <c r="L422" s="6"/>
      <c r="M422" s="6" t="s">
        <v>1383</v>
      </c>
    </row>
    <row r="423" spans="1:13" ht="25.5">
      <c r="A423" s="143">
        <v>2018</v>
      </c>
      <c r="B423" s="6" t="s">
        <v>1714</v>
      </c>
      <c r="C423" s="6" t="s">
        <v>61</v>
      </c>
      <c r="D423" s="115" t="s">
        <v>1383</v>
      </c>
      <c r="E423" s="115" t="s">
        <v>1859</v>
      </c>
      <c r="F423" s="121">
        <v>200000</v>
      </c>
      <c r="G423" s="6"/>
      <c r="H423" s="6" t="s">
        <v>1715</v>
      </c>
      <c r="I423" s="6" t="s">
        <v>2713</v>
      </c>
      <c r="J423" s="160" t="s">
        <v>2714</v>
      </c>
      <c r="K423" s="6" t="s">
        <v>1879</v>
      </c>
      <c r="L423" s="6"/>
      <c r="M423" s="6" t="s">
        <v>1383</v>
      </c>
    </row>
    <row r="424" spans="1:13" ht="38.25">
      <c r="A424" s="143">
        <v>2018</v>
      </c>
      <c r="B424" s="6" t="s">
        <v>1716</v>
      </c>
      <c r="C424" s="6" t="s">
        <v>61</v>
      </c>
      <c r="D424" s="115" t="s">
        <v>1383</v>
      </c>
      <c r="E424" s="115" t="s">
        <v>1859</v>
      </c>
      <c r="F424" s="121">
        <v>200000</v>
      </c>
      <c r="G424" s="6"/>
      <c r="H424" s="6" t="s">
        <v>1717</v>
      </c>
      <c r="I424" s="6" t="s">
        <v>2715</v>
      </c>
      <c r="J424" s="160" t="s">
        <v>2716</v>
      </c>
      <c r="K424" s="6" t="s">
        <v>2041</v>
      </c>
      <c r="L424" s="6"/>
      <c r="M424" s="6" t="s">
        <v>1383</v>
      </c>
    </row>
    <row r="425" spans="1:13" ht="12.75">
      <c r="A425" s="143">
        <v>2018</v>
      </c>
      <c r="B425" s="6" t="s">
        <v>1718</v>
      </c>
      <c r="C425" s="6" t="s">
        <v>61</v>
      </c>
      <c r="D425" s="115" t="s">
        <v>1383</v>
      </c>
      <c r="E425" s="115" t="s">
        <v>1859</v>
      </c>
      <c r="F425" s="121">
        <v>200000</v>
      </c>
      <c r="G425" s="6"/>
      <c r="H425" s="6" t="s">
        <v>1719</v>
      </c>
      <c r="I425" s="6" t="s">
        <v>2717</v>
      </c>
      <c r="J425" s="160" t="s">
        <v>2718</v>
      </c>
      <c r="K425" s="6" t="s">
        <v>2047</v>
      </c>
      <c r="L425" s="6"/>
      <c r="M425" s="6" t="s">
        <v>1383</v>
      </c>
    </row>
    <row r="426" spans="1:13" ht="25.5">
      <c r="A426" s="143">
        <v>2018</v>
      </c>
      <c r="B426" s="6" t="s">
        <v>1720</v>
      </c>
      <c r="C426" s="6" t="s">
        <v>61</v>
      </c>
      <c r="D426" s="115" t="s">
        <v>1383</v>
      </c>
      <c r="E426" s="115" t="s">
        <v>1859</v>
      </c>
      <c r="F426" s="121">
        <v>200000</v>
      </c>
      <c r="G426" s="6"/>
      <c r="H426" s="6" t="s">
        <v>1721</v>
      </c>
      <c r="I426" s="6" t="s">
        <v>2719</v>
      </c>
      <c r="J426" s="160" t="s">
        <v>2720</v>
      </c>
      <c r="K426" s="160" t="s">
        <v>1919</v>
      </c>
      <c r="L426" s="6"/>
      <c r="M426" s="6" t="s">
        <v>1383</v>
      </c>
    </row>
    <row r="427" spans="1:13" ht="25.5">
      <c r="A427" s="143">
        <v>2018</v>
      </c>
      <c r="B427" s="6" t="s">
        <v>1723</v>
      </c>
      <c r="C427" s="6" t="s">
        <v>61</v>
      </c>
      <c r="D427" s="115" t="s">
        <v>1383</v>
      </c>
      <c r="E427" s="115" t="s">
        <v>1859</v>
      </c>
      <c r="F427" s="121">
        <v>220000</v>
      </c>
      <c r="G427" s="6"/>
      <c r="H427" s="6" t="s">
        <v>1724</v>
      </c>
      <c r="I427" s="6" t="s">
        <v>2721</v>
      </c>
      <c r="J427" s="160" t="s">
        <v>2722</v>
      </c>
      <c r="K427" s="6" t="s">
        <v>1896</v>
      </c>
      <c r="L427" s="6"/>
      <c r="M427" s="6" t="s">
        <v>1383</v>
      </c>
    </row>
    <row r="428" spans="1:13" ht="25.5">
      <c r="A428" s="143">
        <v>2018</v>
      </c>
      <c r="B428" s="6" t="s">
        <v>2723</v>
      </c>
      <c r="C428" s="6" t="s">
        <v>2328</v>
      </c>
      <c r="D428" s="6" t="s">
        <v>2724</v>
      </c>
      <c r="E428" s="6" t="s">
        <v>1874</v>
      </c>
      <c r="F428" s="121">
        <v>235483</v>
      </c>
      <c r="G428" s="6"/>
      <c r="H428" s="6" t="s">
        <v>2725</v>
      </c>
      <c r="I428" s="6" t="s">
        <v>2726</v>
      </c>
      <c r="J428" s="160" t="s">
        <v>2727</v>
      </c>
      <c r="K428" s="6" t="s">
        <v>1828</v>
      </c>
      <c r="L428" s="6"/>
      <c r="M428" s="6" t="s">
        <v>2728</v>
      </c>
    </row>
    <row r="429" spans="1:13" ht="38.25">
      <c r="A429" s="143">
        <v>2018</v>
      </c>
      <c r="B429" s="6" t="s">
        <v>2729</v>
      </c>
      <c r="C429" s="6" t="s">
        <v>2328</v>
      </c>
      <c r="D429" s="6" t="s">
        <v>2724</v>
      </c>
      <c r="E429" s="6" t="s">
        <v>1874</v>
      </c>
      <c r="F429" s="121"/>
      <c r="G429" s="6"/>
      <c r="H429" s="6" t="s">
        <v>2730</v>
      </c>
      <c r="I429" s="6" t="s">
        <v>2731</v>
      </c>
      <c r="J429" s="160" t="s">
        <v>2732</v>
      </c>
      <c r="K429" s="6" t="s">
        <v>2031</v>
      </c>
      <c r="L429" s="6"/>
      <c r="M429" s="6" t="s">
        <v>2728</v>
      </c>
    </row>
    <row r="430" spans="1:13" ht="38.25">
      <c r="A430" s="143">
        <v>2018</v>
      </c>
      <c r="B430" s="6" t="s">
        <v>2733</v>
      </c>
      <c r="C430" s="6" t="s">
        <v>2328</v>
      </c>
      <c r="D430" s="6"/>
      <c r="E430" s="6"/>
      <c r="F430" s="121">
        <v>625786.34</v>
      </c>
      <c r="G430" s="6"/>
      <c r="H430" s="6" t="s">
        <v>2734</v>
      </c>
      <c r="I430" s="6" t="s">
        <v>2735</v>
      </c>
      <c r="J430" s="160" t="s">
        <v>2736</v>
      </c>
      <c r="K430" s="6" t="s">
        <v>1855</v>
      </c>
      <c r="L430" s="6"/>
      <c r="M430" s="6"/>
    </row>
    <row r="431" spans="1:13" ht="25.5">
      <c r="A431" s="143">
        <v>2018</v>
      </c>
      <c r="B431" s="6" t="s">
        <v>2737</v>
      </c>
      <c r="C431" s="6" t="s">
        <v>2328</v>
      </c>
      <c r="D431" s="6"/>
      <c r="E431" s="6"/>
      <c r="F431" s="121">
        <v>442823</v>
      </c>
      <c r="G431" s="6"/>
      <c r="H431" s="6" t="s">
        <v>2738</v>
      </c>
      <c r="I431" s="6" t="s">
        <v>2739</v>
      </c>
      <c r="J431" s="160" t="s">
        <v>2740</v>
      </c>
      <c r="K431" s="6" t="s">
        <v>1828</v>
      </c>
      <c r="L431" s="6"/>
      <c r="M431" s="6"/>
    </row>
    <row r="432" spans="1:13" ht="38.25">
      <c r="A432" s="143">
        <v>2018</v>
      </c>
      <c r="B432" s="6" t="s">
        <v>2741</v>
      </c>
      <c r="C432" s="6" t="s">
        <v>2328</v>
      </c>
      <c r="D432" s="6"/>
      <c r="E432" s="6"/>
      <c r="F432" s="121">
        <v>726800</v>
      </c>
      <c r="G432" s="6"/>
      <c r="H432" s="6" t="s">
        <v>2742</v>
      </c>
      <c r="I432" s="6" t="s">
        <v>2743</v>
      </c>
      <c r="J432" s="160" t="s">
        <v>2744</v>
      </c>
      <c r="K432" s="6" t="s">
        <v>1886</v>
      </c>
      <c r="L432" s="6"/>
      <c r="M432" s="6"/>
    </row>
    <row r="433" spans="1:13" ht="38.25">
      <c r="A433" s="143">
        <v>2018</v>
      </c>
      <c r="B433" s="6" t="s">
        <v>930</v>
      </c>
      <c r="C433" s="6" t="s">
        <v>61</v>
      </c>
      <c r="D433" s="112" t="s">
        <v>68</v>
      </c>
      <c r="E433" s="6" t="s">
        <v>1874</v>
      </c>
      <c r="F433" s="121">
        <v>988050</v>
      </c>
      <c r="G433" s="6"/>
      <c r="H433" s="6" t="s">
        <v>2745</v>
      </c>
      <c r="I433" s="6" t="s">
        <v>2746</v>
      </c>
      <c r="J433" s="160" t="s">
        <v>2747</v>
      </c>
      <c r="K433" s="6" t="s">
        <v>1855</v>
      </c>
      <c r="L433" s="6"/>
      <c r="M433" s="6" t="s">
        <v>68</v>
      </c>
    </row>
    <row r="434" spans="1:13" ht="38.25">
      <c r="A434" s="140">
        <v>2018</v>
      </c>
      <c r="B434" s="6" t="s">
        <v>1252</v>
      </c>
      <c r="C434" s="6" t="s">
        <v>925</v>
      </c>
      <c r="D434" s="9" t="s">
        <v>62</v>
      </c>
      <c r="E434" s="6" t="s">
        <v>1904</v>
      </c>
      <c r="F434" s="121">
        <v>1405331.54</v>
      </c>
      <c r="G434" s="6"/>
      <c r="H434" s="6" t="s">
        <v>1253</v>
      </c>
      <c r="I434" s="6" t="s">
        <v>2748</v>
      </c>
      <c r="J434" s="160" t="s">
        <v>2749</v>
      </c>
      <c r="K434" s="6" t="s">
        <v>1886</v>
      </c>
      <c r="L434" s="6"/>
      <c r="M434" s="6" t="s">
        <v>62</v>
      </c>
    </row>
    <row r="435" spans="1:13" ht="38.25">
      <c r="A435" s="143">
        <v>2018</v>
      </c>
      <c r="B435" s="6" t="s">
        <v>1726</v>
      </c>
      <c r="C435" s="6" t="s">
        <v>61</v>
      </c>
      <c r="D435" s="115" t="s">
        <v>1383</v>
      </c>
      <c r="E435" s="115" t="s">
        <v>1859</v>
      </c>
      <c r="F435" s="121">
        <v>200000</v>
      </c>
      <c r="G435" s="6"/>
      <c r="H435" s="6" t="s">
        <v>1727</v>
      </c>
      <c r="I435" s="6" t="s">
        <v>1728</v>
      </c>
      <c r="J435" s="6" t="s">
        <v>2508</v>
      </c>
      <c r="K435" s="6" t="s">
        <v>1828</v>
      </c>
      <c r="L435" s="6"/>
      <c r="M435" s="6" t="s">
        <v>1383</v>
      </c>
    </row>
    <row r="436" spans="1:13" ht="51">
      <c r="A436" s="140">
        <v>2018</v>
      </c>
      <c r="B436" s="6" t="s">
        <v>1255</v>
      </c>
      <c r="C436" s="6" t="s">
        <v>925</v>
      </c>
      <c r="D436" s="9" t="s">
        <v>62</v>
      </c>
      <c r="E436" s="6" t="s">
        <v>1904</v>
      </c>
      <c r="F436" s="121">
        <v>493709</v>
      </c>
      <c r="G436" s="6"/>
      <c r="H436" s="6" t="s">
        <v>1256</v>
      </c>
      <c r="I436" s="6" t="s">
        <v>2750</v>
      </c>
      <c r="J436" s="160" t="s">
        <v>2751</v>
      </c>
      <c r="K436" s="6" t="s">
        <v>1886</v>
      </c>
      <c r="L436" s="6"/>
      <c r="M436" s="6" t="s">
        <v>62</v>
      </c>
    </row>
    <row r="437" spans="1:13" ht="25.5">
      <c r="A437" s="143">
        <v>2018</v>
      </c>
      <c r="B437" s="6" t="s">
        <v>2752</v>
      </c>
      <c r="C437" s="6" t="s">
        <v>61</v>
      </c>
      <c r="D437" s="115" t="s">
        <v>1383</v>
      </c>
      <c r="E437" s="115" t="s">
        <v>1859</v>
      </c>
      <c r="F437" s="121">
        <v>3621100</v>
      </c>
      <c r="G437" s="6"/>
      <c r="H437" s="6" t="s">
        <v>2753</v>
      </c>
      <c r="I437" s="6" t="s">
        <v>2319</v>
      </c>
      <c r="J437" s="6" t="s">
        <v>1938</v>
      </c>
      <c r="K437" s="6" t="s">
        <v>1828</v>
      </c>
      <c r="L437" s="6"/>
      <c r="M437" s="6" t="s">
        <v>1940</v>
      </c>
    </row>
    <row r="438" spans="1:13" ht="38.25">
      <c r="A438" s="140">
        <v>2018</v>
      </c>
      <c r="B438" s="6" t="s">
        <v>1258</v>
      </c>
      <c r="C438" s="6" t="s">
        <v>925</v>
      </c>
      <c r="D438" s="9" t="s">
        <v>62</v>
      </c>
      <c r="E438" s="6" t="s">
        <v>1904</v>
      </c>
      <c r="F438" s="121">
        <v>594944</v>
      </c>
      <c r="G438" s="6"/>
      <c r="H438" s="6" t="s">
        <v>1259</v>
      </c>
      <c r="I438" s="6" t="s">
        <v>2754</v>
      </c>
      <c r="J438" s="160" t="s">
        <v>2755</v>
      </c>
      <c r="K438" s="6" t="s">
        <v>1899</v>
      </c>
      <c r="L438" s="6"/>
      <c r="M438" s="6" t="s">
        <v>62</v>
      </c>
    </row>
    <row r="439" spans="1:13" ht="38.25">
      <c r="A439" s="143">
        <v>2018</v>
      </c>
      <c r="B439" s="6" t="s">
        <v>2756</v>
      </c>
      <c r="C439" s="6" t="s">
        <v>2328</v>
      </c>
      <c r="D439" s="9" t="s">
        <v>62</v>
      </c>
      <c r="E439" s="6"/>
      <c r="F439" s="150">
        <v>63937.5</v>
      </c>
      <c r="G439" s="6"/>
      <c r="H439" s="6" t="s">
        <v>2757</v>
      </c>
      <c r="I439" s="6" t="s">
        <v>2758</v>
      </c>
      <c r="J439" s="160" t="s">
        <v>2759</v>
      </c>
      <c r="K439" s="6" t="s">
        <v>1879</v>
      </c>
      <c r="L439" s="6"/>
      <c r="M439" s="6" t="s">
        <v>62</v>
      </c>
    </row>
    <row r="440" spans="1:13" ht="51">
      <c r="A440" s="143">
        <v>2018</v>
      </c>
      <c r="B440" s="6" t="s">
        <v>2760</v>
      </c>
      <c r="C440" s="6" t="s">
        <v>2328</v>
      </c>
      <c r="D440" s="9" t="s">
        <v>62</v>
      </c>
      <c r="E440" s="6"/>
      <c r="F440" s="121">
        <v>69178</v>
      </c>
      <c r="G440" s="6"/>
      <c r="H440" s="6" t="s">
        <v>2761</v>
      </c>
      <c r="I440" s="6" t="s">
        <v>2762</v>
      </c>
      <c r="J440" s="160" t="s">
        <v>2763</v>
      </c>
      <c r="K440" s="6" t="s">
        <v>1896</v>
      </c>
      <c r="L440" s="6"/>
      <c r="M440" s="6" t="s">
        <v>62</v>
      </c>
    </row>
    <row r="441" spans="1:13" ht="38.25">
      <c r="A441" s="143">
        <v>2018</v>
      </c>
      <c r="B441" s="6" t="s">
        <v>2764</v>
      </c>
      <c r="C441" s="6" t="s">
        <v>2328</v>
      </c>
      <c r="D441" s="9" t="s">
        <v>62</v>
      </c>
      <c r="E441" s="6"/>
      <c r="F441" s="121">
        <v>71729.22</v>
      </c>
      <c r="G441" s="6"/>
      <c r="H441" s="6" t="s">
        <v>2765</v>
      </c>
      <c r="I441" s="6" t="s">
        <v>2766</v>
      </c>
      <c r="J441" s="160" t="s">
        <v>2767</v>
      </c>
      <c r="K441" s="6" t="s">
        <v>1899</v>
      </c>
      <c r="L441" s="6"/>
      <c r="M441" s="6" t="s">
        <v>62</v>
      </c>
    </row>
    <row r="442" spans="1:13" ht="51">
      <c r="A442" s="143">
        <v>2018</v>
      </c>
      <c r="B442" s="6" t="s">
        <v>2768</v>
      </c>
      <c r="C442" s="6" t="s">
        <v>2328</v>
      </c>
      <c r="D442" s="9" t="s">
        <v>62</v>
      </c>
      <c r="E442" s="6"/>
      <c r="F442" s="121">
        <v>609984</v>
      </c>
      <c r="G442" s="6"/>
      <c r="H442" s="6" t="s">
        <v>2769</v>
      </c>
      <c r="I442" s="6" t="s">
        <v>2770</v>
      </c>
      <c r="J442" s="160" t="s">
        <v>2771</v>
      </c>
      <c r="K442" s="6" t="s">
        <v>1828</v>
      </c>
      <c r="L442" s="6"/>
      <c r="M442" s="6" t="s">
        <v>62</v>
      </c>
    </row>
    <row r="443" spans="1:13" ht="25.5">
      <c r="A443" s="143">
        <v>2018</v>
      </c>
      <c r="B443" s="6" t="s">
        <v>2772</v>
      </c>
      <c r="C443" s="6" t="s">
        <v>2328</v>
      </c>
      <c r="D443" s="6" t="s">
        <v>652</v>
      </c>
      <c r="E443" s="6" t="s">
        <v>1874</v>
      </c>
      <c r="F443" s="121">
        <v>99860</v>
      </c>
      <c r="G443" s="6"/>
      <c r="H443" s="6" t="s">
        <v>2773</v>
      </c>
      <c r="I443" s="6" t="s">
        <v>2774</v>
      </c>
      <c r="J443" s="160" t="s">
        <v>2775</v>
      </c>
      <c r="K443" s="6" t="s">
        <v>1828</v>
      </c>
      <c r="L443" s="6"/>
      <c r="M443" s="6" t="s">
        <v>652</v>
      </c>
    </row>
    <row r="444" spans="1:13" ht="38.25">
      <c r="A444" s="143">
        <v>2018</v>
      </c>
      <c r="B444" s="6" t="s">
        <v>2776</v>
      </c>
      <c r="C444" s="6" t="s">
        <v>2328</v>
      </c>
      <c r="D444" s="6"/>
      <c r="E444" s="6"/>
      <c r="F444" s="121">
        <v>40520</v>
      </c>
      <c r="G444" s="6"/>
      <c r="H444" s="6" t="s">
        <v>2777</v>
      </c>
      <c r="I444" s="6" t="s">
        <v>2778</v>
      </c>
      <c r="J444" s="160" t="s">
        <v>2779</v>
      </c>
      <c r="K444" s="6" t="s">
        <v>1828</v>
      </c>
      <c r="L444" s="6"/>
      <c r="M444" s="6"/>
    </row>
    <row r="445" spans="1:13" ht="25.5">
      <c r="A445" s="143">
        <v>2018</v>
      </c>
      <c r="B445" s="6" t="s">
        <v>1261</v>
      </c>
      <c r="C445" s="6" t="s">
        <v>61</v>
      </c>
      <c r="D445" s="6" t="s">
        <v>1262</v>
      </c>
      <c r="E445" s="6" t="s">
        <v>1904</v>
      </c>
      <c r="F445" s="121">
        <v>1094960</v>
      </c>
      <c r="G445" s="6"/>
      <c r="H445" s="6" t="s">
        <v>1263</v>
      </c>
      <c r="I445" s="6" t="s">
        <v>2780</v>
      </c>
      <c r="J445" s="160" t="s">
        <v>2781</v>
      </c>
      <c r="K445" s="6" t="s">
        <v>1828</v>
      </c>
      <c r="L445" s="6"/>
      <c r="M445" s="6" t="s">
        <v>1262</v>
      </c>
    </row>
    <row r="446" spans="1:13" ht="38.25">
      <c r="A446" s="143">
        <v>2018</v>
      </c>
      <c r="B446" s="6" t="s">
        <v>1265</v>
      </c>
      <c r="C446" s="6" t="s">
        <v>61</v>
      </c>
      <c r="D446" s="6" t="s">
        <v>1262</v>
      </c>
      <c r="E446" s="6" t="s">
        <v>1904</v>
      </c>
      <c r="F446" s="121">
        <v>672600</v>
      </c>
      <c r="G446" s="6"/>
      <c r="H446" s="6" t="s">
        <v>1266</v>
      </c>
      <c r="I446" s="6" t="s">
        <v>2782</v>
      </c>
      <c r="J446" s="160" t="s">
        <v>2783</v>
      </c>
      <c r="K446" s="6" t="s">
        <v>1828</v>
      </c>
      <c r="L446" s="6"/>
      <c r="M446" s="6" t="s">
        <v>1262</v>
      </c>
    </row>
    <row r="447" spans="1:13" ht="38.25">
      <c r="A447" s="143">
        <v>2018</v>
      </c>
      <c r="B447" s="6" t="s">
        <v>1268</v>
      </c>
      <c r="C447" s="6" t="s">
        <v>61</v>
      </c>
      <c r="D447" s="6" t="s">
        <v>1262</v>
      </c>
      <c r="E447" s="6" t="s">
        <v>1904</v>
      </c>
      <c r="F447" s="121">
        <v>831690</v>
      </c>
      <c r="G447" s="6"/>
      <c r="H447" s="6" t="s">
        <v>1269</v>
      </c>
      <c r="I447" s="6" t="s">
        <v>2784</v>
      </c>
      <c r="J447" s="160" t="s">
        <v>2785</v>
      </c>
      <c r="K447" s="6" t="s">
        <v>1828</v>
      </c>
      <c r="L447" s="6"/>
      <c r="M447" s="6" t="s">
        <v>1262</v>
      </c>
    </row>
    <row r="448" spans="1:13" ht="38.25">
      <c r="A448" s="143">
        <v>2018</v>
      </c>
      <c r="B448" s="6" t="s">
        <v>1271</v>
      </c>
      <c r="C448" s="6" t="s">
        <v>61</v>
      </c>
      <c r="D448" s="6" t="s">
        <v>1262</v>
      </c>
      <c r="E448" s="6" t="s">
        <v>1904</v>
      </c>
      <c r="F448" s="121">
        <v>967500</v>
      </c>
      <c r="G448" s="6"/>
      <c r="H448" s="6" t="s">
        <v>1272</v>
      </c>
      <c r="I448" s="6" t="s">
        <v>2786</v>
      </c>
      <c r="J448" s="160" t="s">
        <v>2787</v>
      </c>
      <c r="K448" s="6" t="s">
        <v>1899</v>
      </c>
      <c r="L448" s="6"/>
      <c r="M448" s="6" t="s">
        <v>1262</v>
      </c>
    </row>
    <row r="449" spans="1:13" ht="38.25">
      <c r="A449" s="140">
        <v>2018</v>
      </c>
      <c r="B449" s="6" t="s">
        <v>1274</v>
      </c>
      <c r="C449" s="6" t="s">
        <v>925</v>
      </c>
      <c r="D449" s="9" t="s">
        <v>62</v>
      </c>
      <c r="E449" s="6" t="s">
        <v>1904</v>
      </c>
      <c r="F449" s="121">
        <v>1717600</v>
      </c>
      <c r="G449" s="6"/>
      <c r="H449" s="6" t="s">
        <v>1275</v>
      </c>
      <c r="I449" s="6" t="s">
        <v>2788</v>
      </c>
      <c r="J449" s="160" t="s">
        <v>2789</v>
      </c>
      <c r="K449" s="6" t="s">
        <v>1886</v>
      </c>
      <c r="L449" s="6"/>
      <c r="M449" s="6" t="s">
        <v>62</v>
      </c>
    </row>
    <row r="450" spans="1:13" ht="25.5">
      <c r="A450" s="143">
        <v>2018</v>
      </c>
      <c r="B450" s="6" t="s">
        <v>2790</v>
      </c>
      <c r="C450" s="6" t="s">
        <v>925</v>
      </c>
      <c r="D450" s="6" t="s">
        <v>1383</v>
      </c>
      <c r="E450" s="115" t="s">
        <v>1859</v>
      </c>
      <c r="F450" s="121">
        <v>200000</v>
      </c>
      <c r="G450" s="6"/>
      <c r="H450" s="6" t="s">
        <v>2791</v>
      </c>
      <c r="I450" s="6" t="s">
        <v>2792</v>
      </c>
      <c r="J450" s="160" t="s">
        <v>2793</v>
      </c>
      <c r="K450" s="6" t="s">
        <v>2130</v>
      </c>
      <c r="L450" s="6"/>
      <c r="M450" s="6" t="s">
        <v>2794</v>
      </c>
    </row>
    <row r="451" spans="1:13" ht="38.25">
      <c r="A451" s="143">
        <v>2018</v>
      </c>
      <c r="B451" s="6" t="s">
        <v>2795</v>
      </c>
      <c r="C451" s="6" t="s">
        <v>61</v>
      </c>
      <c r="D451" s="115" t="s">
        <v>1383</v>
      </c>
      <c r="E451" s="115" t="s">
        <v>1859</v>
      </c>
      <c r="F451" s="121">
        <v>350000</v>
      </c>
      <c r="G451" s="6"/>
      <c r="H451" s="6" t="s">
        <v>2796</v>
      </c>
      <c r="I451" s="6" t="s">
        <v>2797</v>
      </c>
      <c r="J451" s="6"/>
      <c r="K451" s="6" t="s">
        <v>2130</v>
      </c>
      <c r="L451" s="6"/>
      <c r="M451" s="6"/>
    </row>
    <row r="452" spans="1:13" ht="38.25">
      <c r="A452" s="143">
        <v>2018</v>
      </c>
      <c r="B452" s="6" t="s">
        <v>2798</v>
      </c>
      <c r="C452" s="6" t="s">
        <v>2328</v>
      </c>
      <c r="D452" s="9" t="s">
        <v>62</v>
      </c>
      <c r="E452" s="6"/>
      <c r="F452" s="121">
        <v>570315.19999999995</v>
      </c>
      <c r="G452" s="6"/>
      <c r="H452" s="6" t="s">
        <v>2799</v>
      </c>
      <c r="I452" s="6" t="s">
        <v>2800</v>
      </c>
      <c r="J452" s="160" t="s">
        <v>2801</v>
      </c>
      <c r="K452" s="6" t="s">
        <v>2130</v>
      </c>
      <c r="L452" s="6"/>
      <c r="M452" s="6" t="s">
        <v>62</v>
      </c>
    </row>
    <row r="453" spans="1:13" ht="38.25">
      <c r="A453" s="140">
        <v>2018</v>
      </c>
      <c r="B453" s="6" t="s">
        <v>1277</v>
      </c>
      <c r="C453" s="6" t="s">
        <v>925</v>
      </c>
      <c r="D453" s="9" t="s">
        <v>62</v>
      </c>
      <c r="E453" s="6" t="s">
        <v>1904</v>
      </c>
      <c r="F453" s="121">
        <v>366000</v>
      </c>
      <c r="G453" s="6"/>
      <c r="H453" s="6" t="s">
        <v>1278</v>
      </c>
      <c r="I453" s="6" t="s">
        <v>2802</v>
      </c>
      <c r="J453" s="160" t="s">
        <v>2803</v>
      </c>
      <c r="K453" s="6" t="s">
        <v>1916</v>
      </c>
      <c r="L453" s="6"/>
      <c r="M453" s="6" t="s">
        <v>62</v>
      </c>
    </row>
    <row r="454" spans="1:13" ht="38.25">
      <c r="A454" s="140">
        <v>2018</v>
      </c>
      <c r="B454" s="6" t="s">
        <v>1280</v>
      </c>
      <c r="C454" s="6" t="s">
        <v>925</v>
      </c>
      <c r="D454" s="9" t="s">
        <v>62</v>
      </c>
      <c r="E454" s="6" t="s">
        <v>1904</v>
      </c>
      <c r="F454" s="121">
        <v>655630</v>
      </c>
      <c r="G454" s="6"/>
      <c r="H454" s="6" t="s">
        <v>1281</v>
      </c>
      <c r="I454" s="6" t="s">
        <v>2804</v>
      </c>
      <c r="J454" s="160" t="s">
        <v>2805</v>
      </c>
      <c r="K454" s="6" t="s">
        <v>1828</v>
      </c>
      <c r="L454" s="6"/>
      <c r="M454" s="6" t="s">
        <v>62</v>
      </c>
    </row>
    <row r="455" spans="1:13" ht="38.25">
      <c r="A455" s="140">
        <v>2018</v>
      </c>
      <c r="B455" s="6" t="s">
        <v>1283</v>
      </c>
      <c r="C455" s="6" t="s">
        <v>925</v>
      </c>
      <c r="D455" s="9" t="s">
        <v>62</v>
      </c>
      <c r="E455" s="6" t="s">
        <v>1904</v>
      </c>
      <c r="F455" s="121">
        <v>1431166.67</v>
      </c>
      <c r="G455" s="6"/>
      <c r="H455" s="6" t="s">
        <v>1284</v>
      </c>
      <c r="I455" s="6" t="s">
        <v>2806</v>
      </c>
      <c r="J455" s="160" t="s">
        <v>2807</v>
      </c>
      <c r="K455" s="6" t="s">
        <v>1828</v>
      </c>
      <c r="L455" s="6"/>
      <c r="M455" s="6" t="s">
        <v>62</v>
      </c>
    </row>
    <row r="456" spans="1:13" ht="38.25">
      <c r="A456" s="143">
        <v>2018</v>
      </c>
      <c r="B456" s="6" t="s">
        <v>2808</v>
      </c>
      <c r="C456" s="6" t="s">
        <v>2328</v>
      </c>
      <c r="D456" s="6"/>
      <c r="E456" s="6"/>
      <c r="F456" s="121">
        <v>223751</v>
      </c>
      <c r="G456" s="6"/>
      <c r="H456" s="6" t="s">
        <v>2809</v>
      </c>
      <c r="I456" s="6" t="s">
        <v>2810</v>
      </c>
      <c r="J456" s="160" t="s">
        <v>2811</v>
      </c>
      <c r="K456" s="6" t="s">
        <v>1828</v>
      </c>
      <c r="L456" s="6"/>
      <c r="M456" s="6"/>
    </row>
    <row r="457" spans="1:13" ht="25.5">
      <c r="A457" s="143">
        <v>2018</v>
      </c>
      <c r="B457" s="6" t="s">
        <v>2812</v>
      </c>
      <c r="C457" s="6" t="s">
        <v>2328</v>
      </c>
      <c r="D457" s="9" t="s">
        <v>62</v>
      </c>
      <c r="E457" s="6"/>
      <c r="F457" s="150">
        <v>3387663.22</v>
      </c>
      <c r="G457" s="6"/>
      <c r="H457" s="6" t="s">
        <v>2813</v>
      </c>
      <c r="I457" s="6" t="s">
        <v>2814</v>
      </c>
      <c r="J457" s="160" t="s">
        <v>2815</v>
      </c>
      <c r="K457" s="6" t="s">
        <v>2041</v>
      </c>
      <c r="L457" s="6"/>
      <c r="M457" s="6" t="s">
        <v>62</v>
      </c>
    </row>
    <row r="458" spans="1:13" ht="51">
      <c r="A458" s="143">
        <v>2018</v>
      </c>
      <c r="B458" s="6" t="s">
        <v>2816</v>
      </c>
      <c r="C458" s="6" t="s">
        <v>2328</v>
      </c>
      <c r="D458" s="9" t="s">
        <v>62</v>
      </c>
      <c r="E458" s="6"/>
      <c r="F458" s="150">
        <v>1061270.19</v>
      </c>
      <c r="G458" s="6"/>
      <c r="H458" s="6" t="s">
        <v>2817</v>
      </c>
      <c r="I458" s="6" t="s">
        <v>2818</v>
      </c>
      <c r="J458" s="160" t="s">
        <v>2819</v>
      </c>
      <c r="K458" s="6" t="s">
        <v>1919</v>
      </c>
      <c r="L458" s="6"/>
      <c r="M458" s="6" t="s">
        <v>62</v>
      </c>
    </row>
    <row r="459" spans="1:13" ht="76.5">
      <c r="A459" s="140">
        <v>2018</v>
      </c>
      <c r="B459" s="6" t="s">
        <v>1286</v>
      </c>
      <c r="C459" s="6" t="s">
        <v>925</v>
      </c>
      <c r="D459" s="9" t="s">
        <v>62</v>
      </c>
      <c r="E459" s="6" t="s">
        <v>1904</v>
      </c>
      <c r="F459" s="121">
        <v>3765994.41</v>
      </c>
      <c r="G459" s="6"/>
      <c r="H459" s="6" t="s">
        <v>1287</v>
      </c>
      <c r="I459" s="6" t="s">
        <v>2820</v>
      </c>
      <c r="J459" s="160" t="s">
        <v>2821</v>
      </c>
      <c r="K459" s="6" t="s">
        <v>1919</v>
      </c>
      <c r="L459" s="6"/>
      <c r="M459" s="6" t="s">
        <v>62</v>
      </c>
    </row>
    <row r="460" spans="1:13" ht="38.25">
      <c r="A460" s="143">
        <v>2018</v>
      </c>
      <c r="B460" s="6" t="s">
        <v>2822</v>
      </c>
      <c r="C460" s="6" t="s">
        <v>2328</v>
      </c>
      <c r="D460" s="9" t="s">
        <v>62</v>
      </c>
      <c r="E460" s="6"/>
      <c r="F460" s="150">
        <v>560000</v>
      </c>
      <c r="G460" s="6"/>
      <c r="H460" s="6" t="s">
        <v>2823</v>
      </c>
      <c r="I460" s="6" t="s">
        <v>2824</v>
      </c>
      <c r="J460" s="160" t="s">
        <v>2825</v>
      </c>
      <c r="K460" s="6" t="s">
        <v>1886</v>
      </c>
      <c r="L460" s="6"/>
      <c r="M460" s="6" t="s">
        <v>62</v>
      </c>
    </row>
    <row r="461" spans="1:13" ht="38.25">
      <c r="A461" s="140">
        <v>2018</v>
      </c>
      <c r="B461" s="6" t="s">
        <v>1289</v>
      </c>
      <c r="C461" s="6" t="s">
        <v>925</v>
      </c>
      <c r="D461" s="9" t="s">
        <v>62</v>
      </c>
      <c r="E461" s="6" t="s">
        <v>1904</v>
      </c>
      <c r="F461" s="121">
        <v>710458.07</v>
      </c>
      <c r="G461" s="6"/>
      <c r="H461" s="6" t="s">
        <v>1242</v>
      </c>
      <c r="I461" s="6" t="s">
        <v>2826</v>
      </c>
      <c r="J461" s="160" t="s">
        <v>2827</v>
      </c>
      <c r="K461" s="6" t="s">
        <v>2085</v>
      </c>
      <c r="L461" s="6"/>
      <c r="M461" s="6" t="s">
        <v>62</v>
      </c>
    </row>
    <row r="462" spans="1:13" ht="140.25">
      <c r="A462" s="143">
        <v>2018</v>
      </c>
      <c r="B462" s="6" t="s">
        <v>2828</v>
      </c>
      <c r="C462" s="6" t="s">
        <v>61</v>
      </c>
      <c r="D462" s="6" t="s">
        <v>394</v>
      </c>
      <c r="E462" s="115" t="s">
        <v>1853</v>
      </c>
      <c r="F462" s="64">
        <v>76000</v>
      </c>
      <c r="G462" s="6"/>
      <c r="H462" s="6" t="s">
        <v>2829</v>
      </c>
      <c r="I462" s="6" t="s">
        <v>2830</v>
      </c>
      <c r="J462" s="169" t="s">
        <v>2831</v>
      </c>
      <c r="K462" s="6" t="s">
        <v>2082</v>
      </c>
      <c r="L462" s="6" t="s">
        <v>2832</v>
      </c>
      <c r="M462" s="6"/>
    </row>
    <row r="463" spans="1:13" ht="178.5">
      <c r="A463" s="143">
        <v>2018</v>
      </c>
      <c r="B463" s="6" t="s">
        <v>2833</v>
      </c>
      <c r="C463" s="6" t="s">
        <v>61</v>
      </c>
      <c r="D463" s="6" t="s">
        <v>2834</v>
      </c>
      <c r="E463" s="6" t="s">
        <v>1874</v>
      </c>
      <c r="F463" s="121">
        <v>99990</v>
      </c>
      <c r="G463" s="6"/>
      <c r="H463" s="6" t="s">
        <v>2835</v>
      </c>
      <c r="I463" s="6" t="s">
        <v>2836</v>
      </c>
      <c r="J463" s="6" t="s">
        <v>2837</v>
      </c>
      <c r="K463" s="6" t="s">
        <v>1886</v>
      </c>
      <c r="L463" s="6" t="s">
        <v>2838</v>
      </c>
      <c r="M463" s="6"/>
    </row>
    <row r="464" spans="1:13" ht="165.75">
      <c r="A464" s="143">
        <v>2018</v>
      </c>
      <c r="B464" s="6" t="s">
        <v>1729</v>
      </c>
      <c r="C464" s="6" t="s">
        <v>61</v>
      </c>
      <c r="D464" s="6" t="s">
        <v>2834</v>
      </c>
      <c r="E464" s="6" t="s">
        <v>1874</v>
      </c>
      <c r="F464" s="121" t="s">
        <v>2839</v>
      </c>
      <c r="G464" s="6"/>
      <c r="H464" s="6" t="s">
        <v>1731</v>
      </c>
      <c r="I464" s="6" t="s">
        <v>1732</v>
      </c>
      <c r="J464" s="6" t="s">
        <v>2837</v>
      </c>
      <c r="K464" s="6" t="s">
        <v>1886</v>
      </c>
      <c r="L464" s="6" t="s">
        <v>2840</v>
      </c>
      <c r="M464" s="6" t="s">
        <v>1730</v>
      </c>
    </row>
    <row r="465" spans="1:13" ht="140.25">
      <c r="A465" s="143">
        <v>2018</v>
      </c>
      <c r="B465" s="6" t="s">
        <v>1733</v>
      </c>
      <c r="C465" s="6" t="s">
        <v>61</v>
      </c>
      <c r="D465" s="6" t="s">
        <v>2834</v>
      </c>
      <c r="E465" s="6" t="s">
        <v>1874</v>
      </c>
      <c r="F465" s="121">
        <v>99436</v>
      </c>
      <c r="G465" s="6"/>
      <c r="H465" s="6" t="s">
        <v>1734</v>
      </c>
      <c r="I465" s="6" t="s">
        <v>494</v>
      </c>
      <c r="J465" s="6" t="s">
        <v>2841</v>
      </c>
      <c r="K465" s="6" t="s">
        <v>1828</v>
      </c>
      <c r="L465" s="6" t="s">
        <v>2842</v>
      </c>
      <c r="M465" s="6" t="s">
        <v>1730</v>
      </c>
    </row>
    <row r="466" spans="1:13" ht="140.25">
      <c r="A466" s="143">
        <v>2018</v>
      </c>
      <c r="B466" s="6" t="s">
        <v>2843</v>
      </c>
      <c r="C466" s="6" t="s">
        <v>61</v>
      </c>
      <c r="D466" s="6" t="s">
        <v>394</v>
      </c>
      <c r="E466" s="115" t="s">
        <v>1853</v>
      </c>
      <c r="F466" s="64">
        <v>78000</v>
      </c>
      <c r="G466" s="6"/>
      <c r="H466" s="6" t="s">
        <v>2844</v>
      </c>
      <c r="I466" s="6" t="s">
        <v>2845</v>
      </c>
      <c r="J466" s="6"/>
      <c r="K466" s="6" t="s">
        <v>1896</v>
      </c>
      <c r="L466" s="6" t="s">
        <v>2846</v>
      </c>
      <c r="M466" s="6"/>
    </row>
    <row r="467" spans="1:13" ht="165.75">
      <c r="A467" s="143">
        <v>2018</v>
      </c>
      <c r="B467" s="6" t="s">
        <v>933</v>
      </c>
      <c r="C467" s="6" t="s">
        <v>61</v>
      </c>
      <c r="D467" s="6" t="s">
        <v>394</v>
      </c>
      <c r="E467" s="115" t="s">
        <v>1853</v>
      </c>
      <c r="F467" s="64">
        <v>96186.96</v>
      </c>
      <c r="G467" s="6"/>
      <c r="H467" s="6" t="s">
        <v>934</v>
      </c>
      <c r="I467" s="6" t="s">
        <v>935</v>
      </c>
      <c r="J467" s="169" t="s">
        <v>2847</v>
      </c>
      <c r="K467" s="9" t="s">
        <v>2571</v>
      </c>
      <c r="L467" s="6" t="s">
        <v>2848</v>
      </c>
      <c r="M467" s="6" t="s">
        <v>394</v>
      </c>
    </row>
    <row r="468" spans="1:13" ht="178.5">
      <c r="A468" s="143">
        <v>2018</v>
      </c>
      <c r="B468" s="6" t="s">
        <v>2849</v>
      </c>
      <c r="C468" s="6" t="s">
        <v>61</v>
      </c>
      <c r="D468" s="115" t="s">
        <v>1383</v>
      </c>
      <c r="E468" s="115" t="s">
        <v>1859</v>
      </c>
      <c r="F468" s="121">
        <v>40000</v>
      </c>
      <c r="G468" s="6"/>
      <c r="H468" s="6" t="s">
        <v>2850</v>
      </c>
      <c r="I468" s="6" t="s">
        <v>2851</v>
      </c>
      <c r="J468" s="6" t="s">
        <v>2852</v>
      </c>
      <c r="K468" s="6" t="s">
        <v>1828</v>
      </c>
      <c r="L468" s="6" t="s">
        <v>2853</v>
      </c>
      <c r="M468" s="6"/>
    </row>
    <row r="469" spans="1:13" ht="153">
      <c r="A469" s="143">
        <v>2018</v>
      </c>
      <c r="B469" s="6" t="s">
        <v>936</v>
      </c>
      <c r="C469" s="6" t="s">
        <v>61</v>
      </c>
      <c r="D469" s="6" t="s">
        <v>394</v>
      </c>
      <c r="E469" s="115" t="s">
        <v>1853</v>
      </c>
      <c r="F469" s="64">
        <v>80000</v>
      </c>
      <c r="G469" s="6"/>
      <c r="H469" s="6" t="s">
        <v>937</v>
      </c>
      <c r="I469" s="6" t="s">
        <v>2854</v>
      </c>
      <c r="J469" s="6" t="s">
        <v>2855</v>
      </c>
      <c r="K469" s="6" t="s">
        <v>1899</v>
      </c>
      <c r="L469" s="6" t="s">
        <v>2856</v>
      </c>
      <c r="M469" s="6" t="s">
        <v>394</v>
      </c>
    </row>
    <row r="470" spans="1:13" ht="89.25">
      <c r="A470" s="143">
        <v>2018</v>
      </c>
      <c r="B470" s="6" t="s">
        <v>2857</v>
      </c>
      <c r="C470" s="6" t="s">
        <v>925</v>
      </c>
      <c r="D470" s="6"/>
      <c r="E470" s="6"/>
      <c r="F470" s="121">
        <v>10000</v>
      </c>
      <c r="G470" s="6"/>
      <c r="H470" s="6" t="s">
        <v>2858</v>
      </c>
      <c r="I470" s="6" t="s">
        <v>2319</v>
      </c>
      <c r="J470" s="6" t="s">
        <v>2190</v>
      </c>
      <c r="K470" s="6" t="s">
        <v>1828</v>
      </c>
      <c r="L470" s="6" t="s">
        <v>2859</v>
      </c>
      <c r="M470" s="6"/>
    </row>
    <row r="471" spans="1:13" ht="102">
      <c r="A471" s="143">
        <v>2018</v>
      </c>
      <c r="B471" s="6" t="s">
        <v>2860</v>
      </c>
      <c r="C471" s="6" t="s">
        <v>61</v>
      </c>
      <c r="D471" s="6" t="s">
        <v>652</v>
      </c>
      <c r="E471" s="6" t="s">
        <v>1874</v>
      </c>
      <c r="F471" s="121">
        <v>52980</v>
      </c>
      <c r="G471" s="6"/>
      <c r="H471" s="6" t="s">
        <v>2861</v>
      </c>
      <c r="I471" s="6" t="s">
        <v>617</v>
      </c>
      <c r="J471" s="6" t="s">
        <v>2862</v>
      </c>
      <c r="K471" s="6" t="s">
        <v>1828</v>
      </c>
      <c r="L471" s="6" t="s">
        <v>2863</v>
      </c>
      <c r="M471" s="6"/>
    </row>
    <row r="472" spans="1:13" ht="76.5">
      <c r="A472" s="143">
        <v>2018</v>
      </c>
      <c r="B472" s="6" t="s">
        <v>939</v>
      </c>
      <c r="C472" s="6" t="s">
        <v>61</v>
      </c>
      <c r="D472" s="6" t="s">
        <v>394</v>
      </c>
      <c r="E472" s="115" t="s">
        <v>1853</v>
      </c>
      <c r="F472" s="64">
        <v>99000</v>
      </c>
      <c r="G472" s="6"/>
      <c r="H472" s="6" t="s">
        <v>940</v>
      </c>
      <c r="I472" s="6" t="s">
        <v>941</v>
      </c>
      <c r="J472" s="6"/>
      <c r="K472" s="9" t="s">
        <v>2676</v>
      </c>
      <c r="L472" s="6" t="s">
        <v>2864</v>
      </c>
      <c r="M472" s="6" t="s">
        <v>394</v>
      </c>
    </row>
    <row r="473" spans="1:13" ht="204">
      <c r="A473" s="143">
        <v>2018</v>
      </c>
      <c r="B473" s="6" t="s">
        <v>942</v>
      </c>
      <c r="C473" s="6" t="s">
        <v>61</v>
      </c>
      <c r="D473" s="6" t="s">
        <v>394</v>
      </c>
      <c r="E473" s="115" t="s">
        <v>1853</v>
      </c>
      <c r="F473" s="64">
        <v>80000</v>
      </c>
      <c r="G473" s="6"/>
      <c r="H473" s="6" t="s">
        <v>937</v>
      </c>
      <c r="I473" s="6" t="s">
        <v>943</v>
      </c>
      <c r="J473" s="6" t="s">
        <v>2865</v>
      </c>
      <c r="K473" s="6" t="s">
        <v>2031</v>
      </c>
      <c r="L473" s="6" t="s">
        <v>2866</v>
      </c>
      <c r="M473" s="6" t="s">
        <v>394</v>
      </c>
    </row>
    <row r="474" spans="1:13" ht="127.5">
      <c r="A474" s="143">
        <v>2018</v>
      </c>
      <c r="B474" s="6" t="s">
        <v>2867</v>
      </c>
      <c r="C474" s="6" t="s">
        <v>61</v>
      </c>
      <c r="D474" s="115" t="s">
        <v>1383</v>
      </c>
      <c r="E474" s="115" t="s">
        <v>1859</v>
      </c>
      <c r="F474" s="121">
        <v>46000</v>
      </c>
      <c r="G474" s="6"/>
      <c r="H474" s="6" t="s">
        <v>2868</v>
      </c>
      <c r="I474" s="6" t="s">
        <v>2869</v>
      </c>
      <c r="J474" s="6" t="s">
        <v>2870</v>
      </c>
      <c r="K474" s="6" t="s">
        <v>1828</v>
      </c>
      <c r="L474" s="6" t="s">
        <v>2871</v>
      </c>
      <c r="M474" s="6"/>
    </row>
    <row r="475" spans="1:13" ht="140.25">
      <c r="A475" s="143">
        <v>2018</v>
      </c>
      <c r="B475" s="6" t="s">
        <v>2872</v>
      </c>
      <c r="C475" s="6" t="s">
        <v>61</v>
      </c>
      <c r="D475" s="115" t="s">
        <v>1383</v>
      </c>
      <c r="E475" s="115" t="s">
        <v>1859</v>
      </c>
      <c r="F475" s="121">
        <v>50000</v>
      </c>
      <c r="G475" s="6"/>
      <c r="H475" s="6" t="s">
        <v>2873</v>
      </c>
      <c r="I475" s="6" t="s">
        <v>2874</v>
      </c>
      <c r="J475" s="6"/>
      <c r="K475" s="6" t="s">
        <v>1828</v>
      </c>
      <c r="L475" s="6" t="s">
        <v>2875</v>
      </c>
      <c r="M475" s="6"/>
    </row>
    <row r="476" spans="1:13" ht="178.5">
      <c r="A476" s="143">
        <v>2018</v>
      </c>
      <c r="B476" s="6" t="s">
        <v>944</v>
      </c>
      <c r="C476" s="6" t="s">
        <v>61</v>
      </c>
      <c r="D476" s="6" t="s">
        <v>394</v>
      </c>
      <c r="E476" s="115" t="s">
        <v>1853</v>
      </c>
      <c r="F476" s="64">
        <v>63500</v>
      </c>
      <c r="G476" s="6"/>
      <c r="H476" s="6" t="s">
        <v>945</v>
      </c>
      <c r="I476" s="6" t="s">
        <v>946</v>
      </c>
      <c r="J476" s="6"/>
      <c r="K476" s="6" t="s">
        <v>1886</v>
      </c>
      <c r="L476" s="6" t="s">
        <v>2876</v>
      </c>
      <c r="M476" s="6" t="s">
        <v>394</v>
      </c>
    </row>
    <row r="477" spans="1:13" ht="89.25">
      <c r="A477" s="143">
        <v>2018</v>
      </c>
      <c r="B477" s="6" t="s">
        <v>2877</v>
      </c>
      <c r="C477" s="6" t="s">
        <v>2034</v>
      </c>
      <c r="D477" s="6" t="s">
        <v>2878</v>
      </c>
      <c r="E477" s="6"/>
      <c r="F477" s="121"/>
      <c r="G477" s="6"/>
      <c r="H477" s="6" t="s">
        <v>2879</v>
      </c>
      <c r="I477" s="6" t="s">
        <v>2880</v>
      </c>
      <c r="J477" s="6" t="s">
        <v>2881</v>
      </c>
      <c r="K477" s="6" t="s">
        <v>1828</v>
      </c>
      <c r="L477" s="6" t="s">
        <v>2882</v>
      </c>
      <c r="M477" s="6" t="s">
        <v>2878</v>
      </c>
    </row>
    <row r="478" spans="1:13" ht="102">
      <c r="A478" s="143">
        <v>2018</v>
      </c>
      <c r="B478" s="6" t="s">
        <v>2883</v>
      </c>
      <c r="C478" s="6" t="s">
        <v>925</v>
      </c>
      <c r="D478" s="6"/>
      <c r="E478" s="6"/>
      <c r="F478" s="121"/>
      <c r="G478" s="6"/>
      <c r="H478" s="6" t="s">
        <v>2884</v>
      </c>
      <c r="I478" s="6" t="s">
        <v>2880</v>
      </c>
      <c r="J478" s="6" t="s">
        <v>2881</v>
      </c>
      <c r="K478" s="6" t="s">
        <v>1828</v>
      </c>
      <c r="L478" s="6" t="s">
        <v>2885</v>
      </c>
      <c r="M478" s="6"/>
    </row>
    <row r="479" spans="1:13" ht="127.5">
      <c r="A479" s="143">
        <v>2018</v>
      </c>
      <c r="B479" s="6" t="s">
        <v>1735</v>
      </c>
      <c r="C479" s="6" t="s">
        <v>61</v>
      </c>
      <c r="D479" s="115" t="s">
        <v>1383</v>
      </c>
      <c r="E479" s="115" t="s">
        <v>1859</v>
      </c>
      <c r="F479" s="121">
        <v>100000</v>
      </c>
      <c r="G479" s="6"/>
      <c r="H479" s="6" t="s">
        <v>1736</v>
      </c>
      <c r="I479" s="6" t="s">
        <v>2319</v>
      </c>
      <c r="J479" s="6" t="s">
        <v>2881</v>
      </c>
      <c r="K479" s="6" t="s">
        <v>1828</v>
      </c>
      <c r="L479" s="6" t="s">
        <v>2886</v>
      </c>
      <c r="M479" s="6" t="s">
        <v>1383</v>
      </c>
    </row>
    <row r="480" spans="1:13" ht="89.25">
      <c r="A480" s="143">
        <v>2018</v>
      </c>
      <c r="B480" s="6" t="s">
        <v>2887</v>
      </c>
      <c r="C480" s="6" t="s">
        <v>61</v>
      </c>
      <c r="D480" s="6" t="s">
        <v>652</v>
      </c>
      <c r="E480" s="6" t="s">
        <v>1874</v>
      </c>
      <c r="F480" s="121">
        <v>99926</v>
      </c>
      <c r="G480" s="6"/>
      <c r="H480" s="6" t="s">
        <v>2888</v>
      </c>
      <c r="I480" s="6" t="s">
        <v>2889</v>
      </c>
      <c r="J480" s="6" t="s">
        <v>2890</v>
      </c>
      <c r="K480" s="6" t="s">
        <v>1899</v>
      </c>
      <c r="L480" s="6" t="s">
        <v>2891</v>
      </c>
      <c r="M480" s="6"/>
    </row>
    <row r="481" spans="1:13" ht="102">
      <c r="A481" s="143">
        <v>2018</v>
      </c>
      <c r="B481" s="6" t="s">
        <v>947</v>
      </c>
      <c r="C481" s="6" t="s">
        <v>925</v>
      </c>
      <c r="D481" s="6" t="s">
        <v>113</v>
      </c>
      <c r="E481" s="6"/>
      <c r="F481" s="121">
        <v>42500</v>
      </c>
      <c r="G481" s="6"/>
      <c r="H481" s="6" t="s">
        <v>949</v>
      </c>
      <c r="I481" s="6" t="s">
        <v>950</v>
      </c>
      <c r="J481" s="6" t="s">
        <v>2892</v>
      </c>
      <c r="K481" s="6" t="s">
        <v>1828</v>
      </c>
      <c r="L481" s="6" t="s">
        <v>2893</v>
      </c>
      <c r="M481" s="6" t="s">
        <v>948</v>
      </c>
    </row>
    <row r="482" spans="1:13" ht="102">
      <c r="A482" s="143">
        <v>2018</v>
      </c>
      <c r="B482" s="6" t="s">
        <v>951</v>
      </c>
      <c r="C482" s="6" t="s">
        <v>61</v>
      </c>
      <c r="D482" s="6" t="s">
        <v>394</v>
      </c>
      <c r="E482" s="115" t="s">
        <v>1853</v>
      </c>
      <c r="F482" s="64">
        <v>74000</v>
      </c>
      <c r="G482" s="6"/>
      <c r="H482" s="6" t="s">
        <v>952</v>
      </c>
      <c r="I482" s="6" t="s">
        <v>953</v>
      </c>
      <c r="J482" s="6" t="s">
        <v>2894</v>
      </c>
      <c r="K482" s="6" t="s">
        <v>1919</v>
      </c>
      <c r="L482" s="6" t="s">
        <v>2895</v>
      </c>
      <c r="M482" s="6" t="s">
        <v>394</v>
      </c>
    </row>
    <row r="483" spans="1:13" ht="191.25">
      <c r="A483" s="143">
        <v>2018</v>
      </c>
      <c r="B483" s="6" t="s">
        <v>2896</v>
      </c>
      <c r="C483" s="6" t="s">
        <v>61</v>
      </c>
      <c r="D483" s="115" t="s">
        <v>1383</v>
      </c>
      <c r="E483" s="115" t="s">
        <v>1859</v>
      </c>
      <c r="F483" s="121">
        <v>20000</v>
      </c>
      <c r="G483" s="6"/>
      <c r="H483" s="6" t="s">
        <v>2897</v>
      </c>
      <c r="I483" s="6" t="s">
        <v>2898</v>
      </c>
      <c r="J483" s="6" t="s">
        <v>2899</v>
      </c>
      <c r="K483" s="6" t="s">
        <v>1828</v>
      </c>
      <c r="L483" s="6" t="s">
        <v>2900</v>
      </c>
      <c r="M483" s="6"/>
    </row>
    <row r="484" spans="1:13" ht="140.25">
      <c r="A484" s="143">
        <v>2018</v>
      </c>
      <c r="B484" s="6" t="s">
        <v>954</v>
      </c>
      <c r="C484" s="6" t="s">
        <v>61</v>
      </c>
      <c r="D484" s="6" t="s">
        <v>394</v>
      </c>
      <c r="E484" s="115" t="s">
        <v>1853</v>
      </c>
      <c r="F484" s="64">
        <v>139500</v>
      </c>
      <c r="G484" s="6"/>
      <c r="H484" s="6" t="s">
        <v>955</v>
      </c>
      <c r="I484" s="6" t="s">
        <v>2717</v>
      </c>
      <c r="J484" s="6" t="s">
        <v>2901</v>
      </c>
      <c r="K484" s="6" t="s">
        <v>2047</v>
      </c>
      <c r="L484" s="6" t="s">
        <v>2902</v>
      </c>
      <c r="M484" s="6" t="s">
        <v>394</v>
      </c>
    </row>
    <row r="485" spans="1:13" ht="114.75">
      <c r="A485" s="143">
        <v>2018</v>
      </c>
      <c r="B485" s="6" t="s">
        <v>2903</v>
      </c>
      <c r="C485" s="6" t="s">
        <v>61</v>
      </c>
      <c r="D485" s="6" t="s">
        <v>394</v>
      </c>
      <c r="E485" s="115" t="s">
        <v>1853</v>
      </c>
      <c r="F485" s="64">
        <v>63500</v>
      </c>
      <c r="G485" s="6"/>
      <c r="H485" s="6" t="s">
        <v>958</v>
      </c>
      <c r="I485" s="6" t="s">
        <v>959</v>
      </c>
      <c r="J485" s="6" t="s">
        <v>2904</v>
      </c>
      <c r="K485" s="6" t="s">
        <v>1919</v>
      </c>
      <c r="L485" s="6" t="s">
        <v>2905</v>
      </c>
      <c r="M485" s="6" t="s">
        <v>394</v>
      </c>
    </row>
    <row r="486" spans="1:13" ht="127.5">
      <c r="A486" s="143">
        <v>2018</v>
      </c>
      <c r="B486" s="6" t="s">
        <v>1696</v>
      </c>
      <c r="C486" s="6" t="s">
        <v>61</v>
      </c>
      <c r="D486" s="6" t="s">
        <v>1763</v>
      </c>
      <c r="E486" s="115" t="s">
        <v>1859</v>
      </c>
      <c r="F486" s="121">
        <v>14432</v>
      </c>
      <c r="G486" s="6"/>
      <c r="H486" s="6" t="s">
        <v>2906</v>
      </c>
      <c r="I486" s="6" t="s">
        <v>1765</v>
      </c>
      <c r="J486" s="6" t="s">
        <v>2907</v>
      </c>
      <c r="K486" s="6" t="s">
        <v>1828</v>
      </c>
      <c r="L486" s="6" t="s">
        <v>2908</v>
      </c>
      <c r="M486" s="6" t="s">
        <v>1763</v>
      </c>
    </row>
    <row r="487" spans="1:13" ht="165.75">
      <c r="A487" s="143">
        <v>2018</v>
      </c>
      <c r="B487" s="6" t="s">
        <v>1699</v>
      </c>
      <c r="C487" s="6" t="s">
        <v>61</v>
      </c>
      <c r="D487" s="6" t="s">
        <v>1763</v>
      </c>
      <c r="E487" s="115" t="s">
        <v>1859</v>
      </c>
      <c r="F487" s="121">
        <v>33000</v>
      </c>
      <c r="G487" s="6"/>
      <c r="H487" s="6" t="s">
        <v>1766</v>
      </c>
      <c r="I487" s="6" t="s">
        <v>2909</v>
      </c>
      <c r="J487" s="6" t="s">
        <v>2910</v>
      </c>
      <c r="K487" s="6" t="s">
        <v>1886</v>
      </c>
      <c r="L487" s="6" t="s">
        <v>2911</v>
      </c>
      <c r="M487" s="6" t="s">
        <v>1763</v>
      </c>
    </row>
    <row r="488" spans="1:13" ht="178.5">
      <c r="A488" s="143">
        <v>2018</v>
      </c>
      <c r="B488" s="6" t="s">
        <v>1291</v>
      </c>
      <c r="C488" s="9" t="s">
        <v>61</v>
      </c>
      <c r="D488" s="6" t="s">
        <v>1141</v>
      </c>
      <c r="E488" s="6" t="s">
        <v>1904</v>
      </c>
      <c r="F488" s="64">
        <v>68649.5</v>
      </c>
      <c r="G488" s="6"/>
      <c r="H488" s="6" t="s">
        <v>1292</v>
      </c>
      <c r="I488" s="6" t="s">
        <v>1293</v>
      </c>
      <c r="J488" s="6" t="s">
        <v>2912</v>
      </c>
      <c r="K488" s="6" t="s">
        <v>1896</v>
      </c>
      <c r="L488" s="6" t="s">
        <v>2913</v>
      </c>
      <c r="M488" s="6" t="s">
        <v>1141</v>
      </c>
    </row>
    <row r="489" spans="1:13" ht="89.25">
      <c r="A489" s="143">
        <v>2018</v>
      </c>
      <c r="B489" s="6" t="s">
        <v>960</v>
      </c>
      <c r="C489" s="6" t="s">
        <v>61</v>
      </c>
      <c r="D489" s="6" t="s">
        <v>586</v>
      </c>
      <c r="E489" s="6" t="s">
        <v>1874</v>
      </c>
      <c r="F489" s="121">
        <v>8500</v>
      </c>
      <c r="G489" s="6"/>
      <c r="H489" s="6" t="s">
        <v>961</v>
      </c>
      <c r="I489" s="6" t="s">
        <v>962</v>
      </c>
      <c r="J489" s="6" t="s">
        <v>2914</v>
      </c>
      <c r="K489" s="6" t="s">
        <v>1886</v>
      </c>
      <c r="L489" s="6" t="s">
        <v>2915</v>
      </c>
      <c r="M489" s="6" t="s">
        <v>586</v>
      </c>
    </row>
    <row r="490" spans="1:13" ht="140.25">
      <c r="A490" s="143">
        <v>2018</v>
      </c>
      <c r="B490" s="6" t="s">
        <v>1706</v>
      </c>
      <c r="C490" s="6" t="s">
        <v>61</v>
      </c>
      <c r="D490" s="115" t="s">
        <v>1383</v>
      </c>
      <c r="E490" s="115" t="s">
        <v>1859</v>
      </c>
      <c r="F490" s="121">
        <v>100000</v>
      </c>
      <c r="G490" s="6"/>
      <c r="H490" s="6" t="s">
        <v>2916</v>
      </c>
      <c r="I490" s="6" t="s">
        <v>2917</v>
      </c>
      <c r="J490" s="6" t="s">
        <v>2881</v>
      </c>
      <c r="K490" s="6" t="s">
        <v>1828</v>
      </c>
      <c r="L490" s="6" t="s">
        <v>2918</v>
      </c>
      <c r="M490" s="6"/>
    </row>
    <row r="491" spans="1:13" ht="89.25">
      <c r="A491" s="143">
        <v>2018</v>
      </c>
      <c r="B491" s="6" t="s">
        <v>963</v>
      </c>
      <c r="C491" s="6" t="s">
        <v>61</v>
      </c>
      <c r="D491" s="6" t="s">
        <v>652</v>
      </c>
      <c r="E491" s="6" t="s">
        <v>1874</v>
      </c>
      <c r="F491" s="121">
        <v>100000</v>
      </c>
      <c r="G491" s="6"/>
      <c r="H491" s="6" t="s">
        <v>964</v>
      </c>
      <c r="I491" s="6" t="s">
        <v>511</v>
      </c>
      <c r="J491" s="6" t="s">
        <v>2919</v>
      </c>
      <c r="K491" s="6" t="s">
        <v>1886</v>
      </c>
      <c r="L491" s="6" t="s">
        <v>2920</v>
      </c>
      <c r="M491" s="6" t="s">
        <v>652</v>
      </c>
    </row>
    <row r="492" spans="1:13" ht="114.75">
      <c r="A492" s="143">
        <v>2018</v>
      </c>
      <c r="B492" s="6" t="s">
        <v>1737</v>
      </c>
      <c r="C492" s="6" t="s">
        <v>61</v>
      </c>
      <c r="D492" s="115" t="s">
        <v>1383</v>
      </c>
      <c r="E492" s="115" t="s">
        <v>1859</v>
      </c>
      <c r="F492" s="121">
        <v>12509</v>
      </c>
      <c r="G492" s="6"/>
      <c r="H492" s="6" t="s">
        <v>1738</v>
      </c>
      <c r="I492" s="6" t="s">
        <v>2921</v>
      </c>
      <c r="J492" s="6" t="s">
        <v>2922</v>
      </c>
      <c r="K492" s="6" t="s">
        <v>1899</v>
      </c>
      <c r="L492" s="6" t="s">
        <v>2923</v>
      </c>
      <c r="M492" s="6" t="s">
        <v>1383</v>
      </c>
    </row>
    <row r="493" spans="1:13" ht="114.75">
      <c r="A493" s="143">
        <v>2018</v>
      </c>
      <c r="B493" s="6" t="s">
        <v>1740</v>
      </c>
      <c r="C493" s="6" t="s">
        <v>61</v>
      </c>
      <c r="D493" s="115" t="s">
        <v>1383</v>
      </c>
      <c r="E493" s="115" t="s">
        <v>1859</v>
      </c>
      <c r="F493" s="121">
        <v>100000</v>
      </c>
      <c r="G493" s="6"/>
      <c r="H493" s="6" t="s">
        <v>1741</v>
      </c>
      <c r="I493" s="6" t="s">
        <v>1742</v>
      </c>
      <c r="J493" s="161" t="s">
        <v>2924</v>
      </c>
      <c r="K493" s="6" t="s">
        <v>1828</v>
      </c>
      <c r="L493" s="6" t="s">
        <v>2925</v>
      </c>
      <c r="M493" s="6" t="s">
        <v>1383</v>
      </c>
    </row>
    <row r="494" spans="1:13" ht="178.5">
      <c r="A494" s="143">
        <v>2018</v>
      </c>
      <c r="B494" s="6" t="s">
        <v>1743</v>
      </c>
      <c r="C494" s="6" t="s">
        <v>61</v>
      </c>
      <c r="D494" s="6" t="s">
        <v>2834</v>
      </c>
      <c r="E494" s="6" t="s">
        <v>1874</v>
      </c>
      <c r="F494" s="121">
        <v>99586</v>
      </c>
      <c r="G494" s="6"/>
      <c r="H494" s="6" t="s">
        <v>1745</v>
      </c>
      <c r="I494" s="6" t="s">
        <v>572</v>
      </c>
      <c r="J494" s="6" t="s">
        <v>2926</v>
      </c>
      <c r="K494" s="6" t="s">
        <v>1855</v>
      </c>
      <c r="L494" s="6" t="s">
        <v>2927</v>
      </c>
      <c r="M494" s="6" t="s">
        <v>1744</v>
      </c>
    </row>
    <row r="495" spans="1:13" ht="165.75">
      <c r="A495" s="143">
        <v>2018</v>
      </c>
      <c r="B495" s="6" t="s">
        <v>1746</v>
      </c>
      <c r="C495" s="6" t="s">
        <v>61</v>
      </c>
      <c r="D495" s="115" t="s">
        <v>1383</v>
      </c>
      <c r="E495" s="115" t="s">
        <v>1859</v>
      </c>
      <c r="F495" s="121">
        <v>100000</v>
      </c>
      <c r="G495" s="6"/>
      <c r="H495" s="6" t="s">
        <v>1747</v>
      </c>
      <c r="I495" s="6" t="s">
        <v>1748</v>
      </c>
      <c r="J495" s="6" t="s">
        <v>2928</v>
      </c>
      <c r="K495" s="9" t="s">
        <v>2676</v>
      </c>
      <c r="L495" s="6" t="s">
        <v>2929</v>
      </c>
      <c r="M495" s="6" t="s">
        <v>1383</v>
      </c>
    </row>
    <row r="496" spans="1:13" ht="25.5">
      <c r="A496" s="143">
        <v>2018</v>
      </c>
      <c r="B496" s="6" t="s">
        <v>2930</v>
      </c>
      <c r="C496" s="6" t="s">
        <v>2931</v>
      </c>
      <c r="D496" s="6" t="s">
        <v>2412</v>
      </c>
      <c r="E496" s="6"/>
      <c r="F496" s="121"/>
      <c r="G496" s="6"/>
      <c r="H496" s="6" t="s">
        <v>2932</v>
      </c>
      <c r="I496" s="6" t="s">
        <v>1753</v>
      </c>
      <c r="J496" s="6" t="s">
        <v>2298</v>
      </c>
      <c r="K496" s="6"/>
      <c r="L496" s="6" t="s">
        <v>2933</v>
      </c>
      <c r="M496" s="6" t="s">
        <v>2412</v>
      </c>
    </row>
    <row r="497" spans="1:13" ht="102">
      <c r="A497" s="143">
        <v>2018</v>
      </c>
      <c r="B497" s="6" t="s">
        <v>1294</v>
      </c>
      <c r="C497" s="6" t="s">
        <v>925</v>
      </c>
      <c r="D497" s="6" t="s">
        <v>76</v>
      </c>
      <c r="E497" s="6" t="s">
        <v>1904</v>
      </c>
      <c r="F497" s="121"/>
      <c r="G497" s="6"/>
      <c r="H497" s="6" t="s">
        <v>2934</v>
      </c>
      <c r="I497" s="6" t="s">
        <v>1296</v>
      </c>
      <c r="J497" s="6" t="s">
        <v>2935</v>
      </c>
      <c r="K497" s="6" t="s">
        <v>1828</v>
      </c>
      <c r="L497" s="6" t="s">
        <v>2936</v>
      </c>
      <c r="M497" s="6" t="s">
        <v>2937</v>
      </c>
    </row>
    <row r="498" spans="1:13" ht="76.5">
      <c r="A498" s="143">
        <v>2018</v>
      </c>
      <c r="B498" s="6" t="s">
        <v>1749</v>
      </c>
      <c r="C498" s="6" t="s">
        <v>61</v>
      </c>
      <c r="D498" s="6" t="s">
        <v>2834</v>
      </c>
      <c r="E498" s="6" t="s">
        <v>1874</v>
      </c>
      <c r="F498" s="121">
        <v>100000</v>
      </c>
      <c r="G498" s="6"/>
      <c r="H498" s="6" t="s">
        <v>1750</v>
      </c>
      <c r="I498" s="6" t="s">
        <v>1451</v>
      </c>
      <c r="J498" s="6" t="s">
        <v>2938</v>
      </c>
      <c r="K498" s="6" t="s">
        <v>2031</v>
      </c>
      <c r="L498" s="6" t="s">
        <v>2939</v>
      </c>
      <c r="M498" s="6" t="s">
        <v>1744</v>
      </c>
    </row>
    <row r="499" spans="1:13" ht="63.75">
      <c r="A499" s="143">
        <v>2018</v>
      </c>
      <c r="B499" s="6" t="s">
        <v>1768</v>
      </c>
      <c r="C499" s="6" t="s">
        <v>61</v>
      </c>
      <c r="D499" s="6" t="s">
        <v>1763</v>
      </c>
      <c r="E499" s="115" t="s">
        <v>1859</v>
      </c>
      <c r="F499" s="121">
        <v>49000</v>
      </c>
      <c r="G499" s="6"/>
      <c r="H499" s="6" t="s">
        <v>1769</v>
      </c>
      <c r="I499" s="6" t="s">
        <v>1770</v>
      </c>
      <c r="J499" s="6" t="s">
        <v>2940</v>
      </c>
      <c r="K499" s="6" t="s">
        <v>1828</v>
      </c>
      <c r="L499" s="6" t="s">
        <v>2941</v>
      </c>
      <c r="M499" s="6" t="s">
        <v>1763</v>
      </c>
    </row>
    <row r="500" spans="1:13" ht="165.75">
      <c r="A500" s="143">
        <v>2018</v>
      </c>
      <c r="B500" s="6" t="s">
        <v>1771</v>
      </c>
      <c r="C500" s="6" t="s">
        <v>61</v>
      </c>
      <c r="D500" s="6" t="s">
        <v>1763</v>
      </c>
      <c r="E500" s="115" t="s">
        <v>1859</v>
      </c>
      <c r="F500" s="121">
        <v>27700</v>
      </c>
      <c r="G500" s="6"/>
      <c r="H500" s="6" t="s">
        <v>1772</v>
      </c>
      <c r="I500" s="6" t="s">
        <v>1728</v>
      </c>
      <c r="J500" s="6" t="s">
        <v>2942</v>
      </c>
      <c r="K500" s="6" t="s">
        <v>1828</v>
      </c>
      <c r="L500" s="6" t="s">
        <v>2943</v>
      </c>
      <c r="M500" s="6" t="s">
        <v>1763</v>
      </c>
    </row>
    <row r="501" spans="1:13" ht="114.75">
      <c r="A501" s="143">
        <v>2018</v>
      </c>
      <c r="B501" s="6" t="s">
        <v>1773</v>
      </c>
      <c r="C501" s="6" t="s">
        <v>61</v>
      </c>
      <c r="D501" s="6" t="s">
        <v>1763</v>
      </c>
      <c r="E501" s="115" t="s">
        <v>1859</v>
      </c>
      <c r="F501" s="121">
        <v>40000</v>
      </c>
      <c r="G501" s="6"/>
      <c r="H501" s="6" t="s">
        <v>1774</v>
      </c>
      <c r="I501" s="6" t="s">
        <v>1775</v>
      </c>
      <c r="J501" s="6" t="s">
        <v>2944</v>
      </c>
      <c r="K501" s="6" t="s">
        <v>1886</v>
      </c>
      <c r="L501" s="6" t="s">
        <v>2945</v>
      </c>
      <c r="M501" s="6" t="s">
        <v>1763</v>
      </c>
    </row>
    <row r="502" spans="1:13" ht="153">
      <c r="A502" s="143">
        <v>2018</v>
      </c>
      <c r="B502" s="6" t="s">
        <v>965</v>
      </c>
      <c r="C502" s="6" t="s">
        <v>61</v>
      </c>
      <c r="D502" s="6" t="s">
        <v>652</v>
      </c>
      <c r="E502" s="6" t="s">
        <v>1874</v>
      </c>
      <c r="F502" s="121">
        <v>18268</v>
      </c>
      <c r="G502" s="6"/>
      <c r="H502" s="6" t="s">
        <v>966</v>
      </c>
      <c r="I502" s="6" t="s">
        <v>967</v>
      </c>
      <c r="J502" s="6" t="s">
        <v>2946</v>
      </c>
      <c r="K502" s="6" t="s">
        <v>2047</v>
      </c>
      <c r="L502" s="6" t="s">
        <v>2947</v>
      </c>
      <c r="M502" s="6" t="s">
        <v>652</v>
      </c>
    </row>
    <row r="503" spans="1:13" ht="89.25">
      <c r="A503" s="143">
        <v>2018</v>
      </c>
      <c r="B503" s="6" t="s">
        <v>1776</v>
      </c>
      <c r="C503" s="6" t="s">
        <v>61</v>
      </c>
      <c r="D503" s="6" t="s">
        <v>1763</v>
      </c>
      <c r="E503" s="115" t="s">
        <v>1859</v>
      </c>
      <c r="F503" s="121">
        <v>4500</v>
      </c>
      <c r="G503" s="6"/>
      <c r="H503" s="6" t="s">
        <v>1777</v>
      </c>
      <c r="I503" s="6" t="s">
        <v>1778</v>
      </c>
      <c r="J503" s="6" t="s">
        <v>2948</v>
      </c>
      <c r="K503" s="6" t="s">
        <v>1886</v>
      </c>
      <c r="L503" s="6" t="s">
        <v>2949</v>
      </c>
      <c r="M503" s="6" t="s">
        <v>1763</v>
      </c>
    </row>
    <row r="504" spans="1:13" ht="102">
      <c r="A504" s="143">
        <v>2018</v>
      </c>
      <c r="B504" s="6" t="s">
        <v>1751</v>
      </c>
      <c r="C504" s="6" t="s">
        <v>61</v>
      </c>
      <c r="D504" s="115" t="s">
        <v>1383</v>
      </c>
      <c r="E504" s="115" t="s">
        <v>1859</v>
      </c>
      <c r="F504" s="121">
        <v>100000</v>
      </c>
      <c r="G504" s="6"/>
      <c r="H504" s="6" t="s">
        <v>1752</v>
      </c>
      <c r="I504" s="6" t="s">
        <v>1753</v>
      </c>
      <c r="J504" s="6" t="s">
        <v>2298</v>
      </c>
      <c r="K504" s="6" t="s">
        <v>1828</v>
      </c>
      <c r="L504" s="6" t="s">
        <v>2950</v>
      </c>
      <c r="M504" s="6" t="s">
        <v>1383</v>
      </c>
    </row>
    <row r="505" spans="1:13" ht="140.25">
      <c r="A505" s="143">
        <v>2018</v>
      </c>
      <c r="B505" s="6" t="s">
        <v>1297</v>
      </c>
      <c r="C505" s="9" t="s">
        <v>61</v>
      </c>
      <c r="D505" s="6" t="s">
        <v>1141</v>
      </c>
      <c r="E505" s="6" t="s">
        <v>1904</v>
      </c>
      <c r="F505" s="64">
        <v>71755.679999999993</v>
      </c>
      <c r="G505" s="6"/>
      <c r="H505" s="6" t="s">
        <v>1298</v>
      </c>
      <c r="I505" s="6" t="s">
        <v>1299</v>
      </c>
      <c r="J505" s="6" t="s">
        <v>2912</v>
      </c>
      <c r="K505" s="6" t="s">
        <v>2031</v>
      </c>
      <c r="L505" s="6" t="s">
        <v>2951</v>
      </c>
      <c r="M505" s="6" t="s">
        <v>1141</v>
      </c>
    </row>
    <row r="506" spans="1:13" ht="140.25">
      <c r="A506" s="143">
        <v>2018</v>
      </c>
      <c r="B506" s="6" t="s">
        <v>968</v>
      </c>
      <c r="C506" s="6" t="s">
        <v>61</v>
      </c>
      <c r="D506" s="6" t="s">
        <v>652</v>
      </c>
      <c r="E506" s="6" t="s">
        <v>1874</v>
      </c>
      <c r="F506" s="121">
        <v>99200</v>
      </c>
      <c r="G506" s="6"/>
      <c r="H506" s="6" t="s">
        <v>2952</v>
      </c>
      <c r="I506" s="6" t="s">
        <v>970</v>
      </c>
      <c r="J506" s="6" t="s">
        <v>2953</v>
      </c>
      <c r="K506" s="6" t="s">
        <v>1886</v>
      </c>
      <c r="L506" s="6" t="s">
        <v>2954</v>
      </c>
      <c r="M506" s="6" t="s">
        <v>652</v>
      </c>
    </row>
    <row r="507" spans="1:13" ht="191.25">
      <c r="A507" s="143">
        <v>2018</v>
      </c>
      <c r="B507" s="6" t="s">
        <v>971</v>
      </c>
      <c r="C507" s="6" t="s">
        <v>61</v>
      </c>
      <c r="D507" s="6" t="s">
        <v>652</v>
      </c>
      <c r="E507" s="6" t="s">
        <v>1874</v>
      </c>
      <c r="F507" s="121">
        <v>87009</v>
      </c>
      <c r="G507" s="6"/>
      <c r="H507" s="6" t="s">
        <v>2955</v>
      </c>
      <c r="I507" s="6" t="s">
        <v>973</v>
      </c>
      <c r="J507" s="6" t="s">
        <v>2956</v>
      </c>
      <c r="K507" s="6" t="s">
        <v>1828</v>
      </c>
      <c r="L507" s="6" t="s">
        <v>2957</v>
      </c>
      <c r="M507" s="6" t="s">
        <v>652</v>
      </c>
    </row>
    <row r="508" spans="1:13" ht="178.5">
      <c r="A508" s="143">
        <v>2018</v>
      </c>
      <c r="B508" s="6" t="s">
        <v>1300</v>
      </c>
      <c r="C508" s="9" t="s">
        <v>61</v>
      </c>
      <c r="D508" s="6" t="s">
        <v>1141</v>
      </c>
      <c r="E508" s="6" t="s">
        <v>1904</v>
      </c>
      <c r="F508" s="64">
        <v>77357.03</v>
      </c>
      <c r="G508" s="6"/>
      <c r="H508" s="6" t="s">
        <v>1301</v>
      </c>
      <c r="I508" s="6" t="s">
        <v>1302</v>
      </c>
      <c r="J508" s="6" t="s">
        <v>2958</v>
      </c>
      <c r="K508" s="6" t="s">
        <v>2031</v>
      </c>
      <c r="L508" s="6" t="s">
        <v>2959</v>
      </c>
      <c r="M508" s="6" t="s">
        <v>1141</v>
      </c>
    </row>
    <row r="509" spans="1:13" ht="165.75">
      <c r="A509" s="143">
        <v>2018</v>
      </c>
      <c r="B509" s="6" t="s">
        <v>1303</v>
      </c>
      <c r="C509" s="9" t="s">
        <v>61</v>
      </c>
      <c r="D509" s="6" t="s">
        <v>1141</v>
      </c>
      <c r="E509" s="6" t="s">
        <v>1904</v>
      </c>
      <c r="F509" s="64">
        <v>56005.41</v>
      </c>
      <c r="G509" s="6"/>
      <c r="H509" s="6" t="s">
        <v>1304</v>
      </c>
      <c r="I509" s="6" t="s">
        <v>1305</v>
      </c>
      <c r="J509" s="6" t="s">
        <v>2960</v>
      </c>
      <c r="K509" s="6" t="s">
        <v>2031</v>
      </c>
      <c r="L509" s="6" t="s">
        <v>2961</v>
      </c>
      <c r="M509" s="6" t="s">
        <v>1141</v>
      </c>
    </row>
    <row r="510" spans="1:13" ht="102">
      <c r="A510" s="143">
        <v>2018</v>
      </c>
      <c r="B510" s="6" t="s">
        <v>974</v>
      </c>
      <c r="C510" s="6" t="s">
        <v>61</v>
      </c>
      <c r="D510" s="6" t="s">
        <v>652</v>
      </c>
      <c r="E510" s="6" t="s">
        <v>1874</v>
      </c>
      <c r="F510" s="121">
        <v>87880</v>
      </c>
      <c r="G510" s="6"/>
      <c r="H510" s="6" t="s">
        <v>2962</v>
      </c>
      <c r="I510" s="6" t="s">
        <v>976</v>
      </c>
      <c r="J510" s="6" t="s">
        <v>2963</v>
      </c>
      <c r="K510" s="6" t="s">
        <v>1899</v>
      </c>
      <c r="L510" s="6" t="s">
        <v>2964</v>
      </c>
      <c r="M510" s="6" t="s">
        <v>652</v>
      </c>
    </row>
    <row r="511" spans="1:13" ht="153">
      <c r="A511" s="143">
        <v>2018</v>
      </c>
      <c r="B511" s="6" t="s">
        <v>1754</v>
      </c>
      <c r="C511" s="6" t="s">
        <v>61</v>
      </c>
      <c r="D511" s="115" t="s">
        <v>1383</v>
      </c>
      <c r="E511" s="115" t="s">
        <v>1859</v>
      </c>
      <c r="F511" s="121">
        <v>50000</v>
      </c>
      <c r="G511" s="6"/>
      <c r="H511" s="6" t="s">
        <v>1755</v>
      </c>
      <c r="I511" s="6" t="s">
        <v>1756</v>
      </c>
      <c r="J511" s="6" t="s">
        <v>2965</v>
      </c>
      <c r="K511" s="6" t="s">
        <v>1828</v>
      </c>
      <c r="L511" s="6" t="s">
        <v>2966</v>
      </c>
      <c r="M511" s="6" t="s">
        <v>1383</v>
      </c>
    </row>
    <row r="512" spans="1:13" ht="204">
      <c r="A512" s="143">
        <v>2018</v>
      </c>
      <c r="B512" s="6" t="s">
        <v>1757</v>
      </c>
      <c r="C512" s="6" t="s">
        <v>61</v>
      </c>
      <c r="D512" s="115" t="s">
        <v>1383</v>
      </c>
      <c r="E512" s="115" t="s">
        <v>1859</v>
      </c>
      <c r="F512" s="121">
        <v>100000</v>
      </c>
      <c r="G512" s="6"/>
      <c r="H512" s="6" t="s">
        <v>1758</v>
      </c>
      <c r="I512" s="6" t="s">
        <v>1759</v>
      </c>
      <c r="J512" s="6" t="s">
        <v>2967</v>
      </c>
      <c r="K512" s="6" t="s">
        <v>1828</v>
      </c>
      <c r="L512" s="6" t="s">
        <v>2968</v>
      </c>
      <c r="M512" s="6" t="s">
        <v>1383</v>
      </c>
    </row>
    <row r="513" spans="1:13" ht="140.25">
      <c r="A513" s="143">
        <v>2018</v>
      </c>
      <c r="B513" s="6" t="s">
        <v>977</v>
      </c>
      <c r="C513" s="6" t="s">
        <v>61</v>
      </c>
      <c r="D513" s="6" t="s">
        <v>586</v>
      </c>
      <c r="E513" s="6" t="s">
        <v>1874</v>
      </c>
      <c r="F513" s="121">
        <v>20150</v>
      </c>
      <c r="G513" s="6"/>
      <c r="H513" s="6" t="s">
        <v>978</v>
      </c>
      <c r="I513" s="6" t="s">
        <v>906</v>
      </c>
      <c r="J513" s="6" t="s">
        <v>2969</v>
      </c>
      <c r="K513" s="6" t="s">
        <v>1828</v>
      </c>
      <c r="L513" s="6" t="s">
        <v>2970</v>
      </c>
      <c r="M513" s="6" t="s">
        <v>586</v>
      </c>
    </row>
    <row r="514" spans="1:13" ht="102">
      <c r="A514" s="143">
        <v>2018</v>
      </c>
      <c r="B514" s="6" t="s">
        <v>1306</v>
      </c>
      <c r="C514" s="9" t="s">
        <v>61</v>
      </c>
      <c r="D514" s="6" t="s">
        <v>1141</v>
      </c>
      <c r="E514" s="6" t="s">
        <v>1904</v>
      </c>
      <c r="F514" s="64">
        <v>52464.86</v>
      </c>
      <c r="G514" s="6"/>
      <c r="H514" s="6" t="s">
        <v>1307</v>
      </c>
      <c r="I514" s="6" t="s">
        <v>1206</v>
      </c>
      <c r="J514" s="6" t="s">
        <v>2971</v>
      </c>
      <c r="K514" s="6" t="s">
        <v>1916</v>
      </c>
      <c r="L514" s="6" t="s">
        <v>2972</v>
      </c>
      <c r="M514" s="6" t="s">
        <v>1141</v>
      </c>
    </row>
    <row r="515" spans="1:13" ht="165.75">
      <c r="A515" s="143">
        <v>2018</v>
      </c>
      <c r="B515" s="6" t="s">
        <v>1308</v>
      </c>
      <c r="C515" s="6" t="s">
        <v>925</v>
      </c>
      <c r="D515" s="6" t="s">
        <v>1231</v>
      </c>
      <c r="E515" s="6" t="s">
        <v>2163</v>
      </c>
      <c r="F515" s="121">
        <v>50000</v>
      </c>
      <c r="G515" s="6"/>
      <c r="H515" s="6" t="s">
        <v>1309</v>
      </c>
      <c r="I515" s="6" t="s">
        <v>1310</v>
      </c>
      <c r="J515" s="6" t="s">
        <v>2973</v>
      </c>
      <c r="K515" s="6" t="s">
        <v>1828</v>
      </c>
      <c r="L515" s="6" t="s">
        <v>2974</v>
      </c>
      <c r="M515" s="6" t="s">
        <v>1231</v>
      </c>
    </row>
    <row r="516" spans="1:13" ht="204">
      <c r="A516" s="143">
        <v>2018</v>
      </c>
      <c r="B516" s="6" t="s">
        <v>2975</v>
      </c>
      <c r="C516" s="6"/>
      <c r="D516" s="6"/>
      <c r="E516" s="6"/>
      <c r="F516" s="121">
        <v>40000</v>
      </c>
      <c r="G516" s="6"/>
      <c r="H516" s="6" t="s">
        <v>2976</v>
      </c>
      <c r="I516" s="6" t="s">
        <v>1753</v>
      </c>
      <c r="J516" s="6"/>
      <c r="K516" s="6"/>
      <c r="L516" s="6" t="s">
        <v>2977</v>
      </c>
      <c r="M516" s="6"/>
    </row>
    <row r="517" spans="1:13" ht="153">
      <c r="A517" s="143">
        <v>2018</v>
      </c>
      <c r="B517" s="6" t="s">
        <v>979</v>
      </c>
      <c r="C517" s="6" t="s">
        <v>61</v>
      </c>
      <c r="D517" s="6" t="s">
        <v>652</v>
      </c>
      <c r="E517" s="6" t="s">
        <v>1874</v>
      </c>
      <c r="F517" s="121">
        <v>98750</v>
      </c>
      <c r="G517" s="6"/>
      <c r="H517" s="6" t="s">
        <v>980</v>
      </c>
      <c r="I517" s="6" t="s">
        <v>981</v>
      </c>
      <c r="J517" s="6" t="s">
        <v>2978</v>
      </c>
      <c r="K517" s="6" t="s">
        <v>1828</v>
      </c>
      <c r="L517" s="6" t="s">
        <v>2979</v>
      </c>
      <c r="M517" s="6" t="s">
        <v>652</v>
      </c>
    </row>
    <row r="518" spans="1:13" ht="140.25">
      <c r="A518" s="143">
        <v>2018</v>
      </c>
      <c r="B518" s="6" t="s">
        <v>1311</v>
      </c>
      <c r="C518" s="9" t="s">
        <v>61</v>
      </c>
      <c r="D518" s="6" t="s">
        <v>1141</v>
      </c>
      <c r="E518" s="6" t="s">
        <v>1904</v>
      </c>
      <c r="F518" s="64">
        <v>93859.46</v>
      </c>
      <c r="G518" s="6"/>
      <c r="H518" s="6" t="s">
        <v>1312</v>
      </c>
      <c r="I518" s="6" t="s">
        <v>1206</v>
      </c>
      <c r="J518" s="6" t="s">
        <v>2500</v>
      </c>
      <c r="K518" s="6" t="s">
        <v>1916</v>
      </c>
      <c r="L518" s="6" t="s">
        <v>2980</v>
      </c>
      <c r="M518" s="6" t="s">
        <v>1141</v>
      </c>
    </row>
    <row r="519" spans="1:13" ht="153">
      <c r="A519" s="143">
        <v>2018</v>
      </c>
      <c r="B519" s="6" t="s">
        <v>982</v>
      </c>
      <c r="C519" s="6" t="s">
        <v>61</v>
      </c>
      <c r="D519" s="6" t="s">
        <v>652</v>
      </c>
      <c r="E519" s="6" t="s">
        <v>1874</v>
      </c>
      <c r="F519" s="121">
        <v>100000</v>
      </c>
      <c r="G519" s="6"/>
      <c r="H519" s="6" t="s">
        <v>983</v>
      </c>
      <c r="I519" s="6" t="s">
        <v>984</v>
      </c>
      <c r="J519" s="6" t="s">
        <v>2981</v>
      </c>
      <c r="K519" s="6" t="s">
        <v>1886</v>
      </c>
      <c r="L519" s="6" t="s">
        <v>2982</v>
      </c>
      <c r="M519" s="6" t="s">
        <v>652</v>
      </c>
    </row>
    <row r="520" spans="1:13" ht="114.75">
      <c r="A520" s="143">
        <v>2018</v>
      </c>
      <c r="B520" s="6" t="s">
        <v>1760</v>
      </c>
      <c r="C520" s="6" t="s">
        <v>61</v>
      </c>
      <c r="D520" s="115" t="s">
        <v>1383</v>
      </c>
      <c r="E520" s="115" t="s">
        <v>1859</v>
      </c>
      <c r="F520" s="121">
        <v>64080</v>
      </c>
      <c r="G520" s="6"/>
      <c r="H520" s="6" t="s">
        <v>1761</v>
      </c>
      <c r="I520" s="6" t="s">
        <v>1762</v>
      </c>
      <c r="J520" s="6" t="s">
        <v>1828</v>
      </c>
      <c r="K520" s="6" t="s">
        <v>1828</v>
      </c>
      <c r="L520" s="6" t="s">
        <v>2983</v>
      </c>
      <c r="M520" s="6" t="s">
        <v>1383</v>
      </c>
    </row>
    <row r="521" spans="1:13" ht="191.25">
      <c r="A521" s="143">
        <v>2018</v>
      </c>
      <c r="B521" s="6" t="s">
        <v>985</v>
      </c>
      <c r="C521" s="6" t="s">
        <v>61</v>
      </c>
      <c r="D521" s="6" t="s">
        <v>586</v>
      </c>
      <c r="E521" s="6" t="s">
        <v>1874</v>
      </c>
      <c r="F521" s="121">
        <v>11620.76</v>
      </c>
      <c r="G521" s="6"/>
      <c r="H521" s="6" t="s">
        <v>857</v>
      </c>
      <c r="I521" s="6" t="s">
        <v>986</v>
      </c>
      <c r="J521" s="6" t="s">
        <v>2656</v>
      </c>
      <c r="K521" s="6" t="s">
        <v>1886</v>
      </c>
      <c r="L521" s="6" t="s">
        <v>2984</v>
      </c>
      <c r="M521" s="6" t="s">
        <v>586</v>
      </c>
    </row>
    <row r="522" spans="1:13" ht="63.75">
      <c r="A522" s="143">
        <v>2018</v>
      </c>
      <c r="B522" s="6" t="s">
        <v>985</v>
      </c>
      <c r="C522" s="6" t="s">
        <v>61</v>
      </c>
      <c r="D522" s="6" t="s">
        <v>1763</v>
      </c>
      <c r="E522" s="115" t="s">
        <v>1859</v>
      </c>
      <c r="F522" s="121">
        <v>296400</v>
      </c>
      <c r="G522" s="6"/>
      <c r="H522" s="6" t="s">
        <v>1779</v>
      </c>
      <c r="I522" s="6" t="s">
        <v>2985</v>
      </c>
      <c r="J522" s="6" t="s">
        <v>2986</v>
      </c>
      <c r="K522" s="6" t="s">
        <v>1886</v>
      </c>
      <c r="L522" s="6" t="s">
        <v>2987</v>
      </c>
      <c r="M522" s="6" t="s">
        <v>1763</v>
      </c>
    </row>
    <row r="523" spans="1:13" ht="114.75">
      <c r="A523" s="143">
        <v>2018</v>
      </c>
      <c r="B523" s="6" t="s">
        <v>987</v>
      </c>
      <c r="C523" s="6" t="s">
        <v>61</v>
      </c>
      <c r="D523" s="6" t="s">
        <v>652</v>
      </c>
      <c r="E523" s="6" t="s">
        <v>1874</v>
      </c>
      <c r="F523" s="121">
        <v>92152.5</v>
      </c>
      <c r="G523" s="6"/>
      <c r="H523" s="6" t="s">
        <v>988</v>
      </c>
      <c r="I523" s="6" t="s">
        <v>989</v>
      </c>
      <c r="J523" s="6" t="s">
        <v>2988</v>
      </c>
      <c r="K523" s="6" t="s">
        <v>2051</v>
      </c>
      <c r="L523" s="6" t="s">
        <v>2989</v>
      </c>
      <c r="M523" s="6" t="s">
        <v>652</v>
      </c>
    </row>
    <row r="524" spans="1:13" ht="102">
      <c r="A524" s="143">
        <v>2018</v>
      </c>
      <c r="B524" s="6" t="s">
        <v>990</v>
      </c>
      <c r="C524" s="6" t="s">
        <v>61</v>
      </c>
      <c r="D524" s="6" t="s">
        <v>652</v>
      </c>
      <c r="E524" s="6" t="s">
        <v>1874</v>
      </c>
      <c r="F524" s="121">
        <v>94000</v>
      </c>
      <c r="G524" s="6"/>
      <c r="H524" s="6" t="s">
        <v>991</v>
      </c>
      <c r="I524" s="6" t="s">
        <v>992</v>
      </c>
      <c r="J524" s="6" t="s">
        <v>2990</v>
      </c>
      <c r="K524" s="6" t="s">
        <v>1828</v>
      </c>
      <c r="L524" s="6" t="s">
        <v>2991</v>
      </c>
      <c r="M524" s="6" t="s">
        <v>652</v>
      </c>
    </row>
    <row r="525" spans="1:13" ht="25.5">
      <c r="A525" s="143">
        <v>2017</v>
      </c>
      <c r="B525" s="61">
        <v>42736</v>
      </c>
      <c r="C525" s="6" t="s">
        <v>61</v>
      </c>
      <c r="D525" s="6" t="s">
        <v>125</v>
      </c>
      <c r="E525" s="6" t="s">
        <v>1874</v>
      </c>
      <c r="F525" s="121">
        <v>450000</v>
      </c>
      <c r="G525" s="172"/>
      <c r="H525" s="158" t="s">
        <v>807</v>
      </c>
      <c r="I525" s="158" t="s">
        <v>2992</v>
      </c>
      <c r="J525" s="6" t="s">
        <v>1938</v>
      </c>
      <c r="K525" s="6" t="s">
        <v>1828</v>
      </c>
      <c r="L525" s="172"/>
      <c r="M525" s="6" t="s">
        <v>125</v>
      </c>
    </row>
    <row r="526" spans="1:13" ht="51">
      <c r="A526" s="143">
        <v>2017</v>
      </c>
      <c r="B526" s="61">
        <v>42767</v>
      </c>
      <c r="C526" s="6" t="s">
        <v>1867</v>
      </c>
      <c r="D526" s="6" t="s">
        <v>2993</v>
      </c>
      <c r="E526" s="6" t="s">
        <v>1824</v>
      </c>
      <c r="F526" s="121">
        <v>300000</v>
      </c>
      <c r="G526" s="6"/>
      <c r="H526" s="6" t="s">
        <v>2994</v>
      </c>
      <c r="I526" s="6" t="s">
        <v>2995</v>
      </c>
      <c r="J526" s="160" t="s">
        <v>2996</v>
      </c>
      <c r="K526" s="6" t="s">
        <v>1896</v>
      </c>
      <c r="L526" s="6"/>
      <c r="M526" s="6" t="s">
        <v>2993</v>
      </c>
    </row>
    <row r="527" spans="1:13" ht="25.5">
      <c r="A527" s="143">
        <v>2017</v>
      </c>
      <c r="B527" s="61">
        <v>42795</v>
      </c>
      <c r="C527" s="6" t="s">
        <v>61</v>
      </c>
      <c r="D527" s="115" t="s">
        <v>1383</v>
      </c>
      <c r="E527" s="115" t="s">
        <v>1859</v>
      </c>
      <c r="F527" s="121">
        <v>188800</v>
      </c>
      <c r="G527" s="6"/>
      <c r="H527" s="6" t="s">
        <v>2997</v>
      </c>
      <c r="I527" s="6" t="s">
        <v>2998</v>
      </c>
      <c r="J527" s="6"/>
      <c r="K527" s="6" t="s">
        <v>1919</v>
      </c>
      <c r="L527" s="6"/>
      <c r="M527" s="6" t="s">
        <v>1500</v>
      </c>
    </row>
    <row r="528" spans="1:13" ht="38.25">
      <c r="A528" s="143">
        <v>2017</v>
      </c>
      <c r="B528" s="61">
        <v>42826</v>
      </c>
      <c r="C528" s="6" t="s">
        <v>61</v>
      </c>
      <c r="D528" s="115" t="s">
        <v>1383</v>
      </c>
      <c r="E528" s="115" t="s">
        <v>1859</v>
      </c>
      <c r="F528" s="121">
        <v>200000</v>
      </c>
      <c r="G528" s="6"/>
      <c r="H528" s="6" t="s">
        <v>2999</v>
      </c>
      <c r="I528" s="6" t="s">
        <v>3000</v>
      </c>
      <c r="J528" s="6" t="s">
        <v>3001</v>
      </c>
      <c r="K528" s="6" t="s">
        <v>1828</v>
      </c>
      <c r="L528" s="6"/>
      <c r="M528" s="6" t="s">
        <v>1500</v>
      </c>
    </row>
    <row r="529" spans="1:13" ht="38.25">
      <c r="A529" s="143">
        <v>2017</v>
      </c>
      <c r="B529" s="61">
        <v>42856</v>
      </c>
      <c r="C529" s="6" t="s">
        <v>61</v>
      </c>
      <c r="D529" s="115" t="s">
        <v>1383</v>
      </c>
      <c r="E529" s="115" t="s">
        <v>1859</v>
      </c>
      <c r="F529" s="121">
        <v>200000</v>
      </c>
      <c r="G529" s="6"/>
      <c r="H529" s="6" t="s">
        <v>3002</v>
      </c>
      <c r="I529" s="6" t="s">
        <v>3003</v>
      </c>
      <c r="J529" s="160" t="s">
        <v>3001</v>
      </c>
      <c r="K529" s="6" t="s">
        <v>1828</v>
      </c>
      <c r="L529" s="6"/>
      <c r="M529" s="6" t="s">
        <v>1500</v>
      </c>
    </row>
    <row r="530" spans="1:13" ht="38.25">
      <c r="A530" s="143">
        <v>2017</v>
      </c>
      <c r="B530" s="61">
        <v>42887</v>
      </c>
      <c r="C530" s="6" t="s">
        <v>61</v>
      </c>
      <c r="D530" s="115" t="s">
        <v>1383</v>
      </c>
      <c r="E530" s="115" t="s">
        <v>1859</v>
      </c>
      <c r="F530" s="121">
        <v>200000</v>
      </c>
      <c r="G530" s="6"/>
      <c r="H530" s="6" t="s">
        <v>3004</v>
      </c>
      <c r="I530" s="6" t="s">
        <v>3005</v>
      </c>
      <c r="J530" s="160" t="s">
        <v>3006</v>
      </c>
      <c r="K530" s="6" t="s">
        <v>1886</v>
      </c>
      <c r="L530" s="6"/>
      <c r="M530" s="6" t="s">
        <v>1500</v>
      </c>
    </row>
    <row r="531" spans="1:13" ht="38.25">
      <c r="A531" s="143">
        <v>2017</v>
      </c>
      <c r="B531" s="62">
        <v>42917</v>
      </c>
      <c r="C531" s="6" t="s">
        <v>61</v>
      </c>
      <c r="D531" s="115" t="s">
        <v>1383</v>
      </c>
      <c r="E531" s="115" t="s">
        <v>1859</v>
      </c>
      <c r="F531" s="121">
        <v>200000</v>
      </c>
      <c r="G531" s="6"/>
      <c r="H531" s="6" t="s">
        <v>3007</v>
      </c>
      <c r="I531" s="6" t="s">
        <v>3008</v>
      </c>
      <c r="J531" s="160" t="s">
        <v>3001</v>
      </c>
      <c r="K531" s="6" t="s">
        <v>1828</v>
      </c>
      <c r="L531" s="6"/>
      <c r="M531" s="6" t="s">
        <v>1500</v>
      </c>
    </row>
    <row r="532" spans="1:13" ht="38.25">
      <c r="A532" s="143">
        <v>2017</v>
      </c>
      <c r="B532" s="61">
        <v>42948</v>
      </c>
      <c r="C532" s="6" t="s">
        <v>61</v>
      </c>
      <c r="D532" s="115" t="s">
        <v>1383</v>
      </c>
      <c r="E532" s="115" t="s">
        <v>1859</v>
      </c>
      <c r="F532" s="163">
        <v>200000</v>
      </c>
      <c r="G532" s="158"/>
      <c r="H532" s="158" t="s">
        <v>3009</v>
      </c>
      <c r="I532" s="158" t="s">
        <v>3010</v>
      </c>
      <c r="J532" s="158" t="s">
        <v>3001</v>
      </c>
      <c r="K532" s="6" t="s">
        <v>1828</v>
      </c>
      <c r="L532" s="158"/>
      <c r="M532" s="6" t="s">
        <v>1500</v>
      </c>
    </row>
    <row r="533" spans="1:13" ht="38.25">
      <c r="A533" s="143">
        <v>2017</v>
      </c>
      <c r="B533" s="62">
        <v>42979</v>
      </c>
      <c r="C533" s="6" t="s">
        <v>61</v>
      </c>
      <c r="D533" s="115" t="s">
        <v>1383</v>
      </c>
      <c r="E533" s="115" t="s">
        <v>1859</v>
      </c>
      <c r="F533" s="121">
        <v>200000</v>
      </c>
      <c r="G533" s="6"/>
      <c r="H533" s="6" t="s">
        <v>3011</v>
      </c>
      <c r="I533" s="6" t="s">
        <v>3012</v>
      </c>
      <c r="J533" s="158" t="s">
        <v>3001</v>
      </c>
      <c r="K533" s="6" t="s">
        <v>1828</v>
      </c>
      <c r="L533" s="6"/>
      <c r="M533" s="6" t="s">
        <v>1500</v>
      </c>
    </row>
    <row r="534" spans="1:13" ht="25.5">
      <c r="A534" s="143">
        <v>2017</v>
      </c>
      <c r="B534" s="62">
        <v>43009</v>
      </c>
      <c r="C534" s="6" t="s">
        <v>61</v>
      </c>
      <c r="D534" s="115" t="s">
        <v>1383</v>
      </c>
      <c r="E534" s="115" t="s">
        <v>1859</v>
      </c>
      <c r="F534" s="121">
        <v>200000</v>
      </c>
      <c r="G534" s="6"/>
      <c r="H534" s="6" t="s">
        <v>3013</v>
      </c>
      <c r="I534" s="6" t="s">
        <v>3014</v>
      </c>
      <c r="J534" s="160" t="s">
        <v>3015</v>
      </c>
      <c r="K534" s="6" t="s">
        <v>1828</v>
      </c>
      <c r="L534" s="6"/>
      <c r="M534" s="6" t="s">
        <v>1500</v>
      </c>
    </row>
    <row r="535" spans="1:13" ht="25.5">
      <c r="A535" s="143">
        <v>2017</v>
      </c>
      <c r="B535" s="62">
        <v>43040</v>
      </c>
      <c r="C535" s="160" t="s">
        <v>61</v>
      </c>
      <c r="D535" s="115" t="s">
        <v>1383</v>
      </c>
      <c r="E535" s="115" t="s">
        <v>1859</v>
      </c>
      <c r="F535" s="121">
        <v>200000</v>
      </c>
      <c r="G535" s="6"/>
      <c r="H535" s="6" t="s">
        <v>3016</v>
      </c>
      <c r="I535" s="6" t="s">
        <v>3017</v>
      </c>
      <c r="J535" s="160" t="s">
        <v>3018</v>
      </c>
      <c r="K535" s="6" t="s">
        <v>1828</v>
      </c>
      <c r="L535" s="6"/>
      <c r="M535" s="6" t="s">
        <v>1500</v>
      </c>
    </row>
    <row r="536" spans="1:13" ht="12.75">
      <c r="A536" s="143">
        <v>2017</v>
      </c>
      <c r="B536" s="62">
        <v>43070</v>
      </c>
      <c r="C536" s="6" t="s">
        <v>61</v>
      </c>
      <c r="D536" s="115" t="s">
        <v>1383</v>
      </c>
      <c r="E536" s="115" t="s">
        <v>1859</v>
      </c>
      <c r="F536" s="121">
        <v>200000</v>
      </c>
      <c r="G536" s="6"/>
      <c r="H536" s="6" t="s">
        <v>3019</v>
      </c>
      <c r="I536" s="6" t="s">
        <v>3020</v>
      </c>
      <c r="J536" s="6" t="s">
        <v>1938</v>
      </c>
      <c r="K536" s="6" t="s">
        <v>1828</v>
      </c>
      <c r="L536" s="6"/>
      <c r="M536" s="6" t="s">
        <v>1500</v>
      </c>
    </row>
    <row r="537" spans="1:13" ht="25.5">
      <c r="A537" s="143">
        <v>2017</v>
      </c>
      <c r="B537" s="6" t="s">
        <v>3021</v>
      </c>
      <c r="C537" s="6" t="s">
        <v>61</v>
      </c>
      <c r="D537" s="115" t="s">
        <v>1383</v>
      </c>
      <c r="E537" s="115" t="s">
        <v>1859</v>
      </c>
      <c r="F537" s="121">
        <v>200000</v>
      </c>
      <c r="G537" s="6"/>
      <c r="H537" s="6" t="s">
        <v>3022</v>
      </c>
      <c r="I537" s="158" t="s">
        <v>1742</v>
      </c>
      <c r="J537" s="6" t="s">
        <v>1938</v>
      </c>
      <c r="K537" s="6" t="s">
        <v>1828</v>
      </c>
      <c r="L537" s="6"/>
      <c r="M537" s="6" t="s">
        <v>1500</v>
      </c>
    </row>
    <row r="538" spans="1:13" ht="25.5">
      <c r="A538" s="143">
        <v>2017</v>
      </c>
      <c r="B538" s="6" t="s">
        <v>3023</v>
      </c>
      <c r="C538" s="6" t="s">
        <v>61</v>
      </c>
      <c r="D538" s="115" t="s">
        <v>1383</v>
      </c>
      <c r="E538" s="115" t="s">
        <v>1859</v>
      </c>
      <c r="F538" s="121">
        <v>200000</v>
      </c>
      <c r="G538" s="6"/>
      <c r="H538" s="6" t="s">
        <v>3024</v>
      </c>
      <c r="I538" s="6" t="s">
        <v>3025</v>
      </c>
      <c r="J538" s="160" t="s">
        <v>3018</v>
      </c>
      <c r="K538" s="6" t="s">
        <v>1828</v>
      </c>
      <c r="L538" s="6"/>
      <c r="M538" s="6" t="s">
        <v>1500</v>
      </c>
    </row>
    <row r="539" spans="1:13" ht="25.5">
      <c r="A539" s="143">
        <v>2017</v>
      </c>
      <c r="B539" s="6" t="s">
        <v>3026</v>
      </c>
      <c r="C539" s="6" t="s">
        <v>61</v>
      </c>
      <c r="D539" s="115" t="s">
        <v>1383</v>
      </c>
      <c r="E539" s="115" t="s">
        <v>1859</v>
      </c>
      <c r="F539" s="121">
        <v>200000</v>
      </c>
      <c r="G539" s="158"/>
      <c r="H539" s="158" t="s">
        <v>3027</v>
      </c>
      <c r="I539" s="6" t="s">
        <v>3028</v>
      </c>
      <c r="J539" s="160" t="s">
        <v>3029</v>
      </c>
      <c r="K539" s="6" t="s">
        <v>2085</v>
      </c>
      <c r="L539" s="158"/>
      <c r="M539" s="6" t="s">
        <v>1500</v>
      </c>
    </row>
    <row r="540" spans="1:13" ht="51">
      <c r="A540" s="143">
        <v>2017</v>
      </c>
      <c r="B540" s="6" t="s">
        <v>3030</v>
      </c>
      <c r="C540" s="6" t="s">
        <v>61</v>
      </c>
      <c r="D540" s="115" t="s">
        <v>1383</v>
      </c>
      <c r="E540" s="115" t="s">
        <v>1859</v>
      </c>
      <c r="F540" s="121">
        <v>200000</v>
      </c>
      <c r="G540" s="6"/>
      <c r="H540" s="6" t="s">
        <v>3031</v>
      </c>
      <c r="I540" s="6" t="s">
        <v>3032</v>
      </c>
      <c r="J540" s="160" t="s">
        <v>3033</v>
      </c>
      <c r="K540" s="6" t="s">
        <v>1916</v>
      </c>
      <c r="L540" s="6"/>
      <c r="M540" s="6" t="s">
        <v>1500</v>
      </c>
    </row>
    <row r="541" spans="1:13" ht="25.5">
      <c r="A541" s="143">
        <v>2017</v>
      </c>
      <c r="B541" s="6" t="s">
        <v>3034</v>
      </c>
      <c r="C541" s="6" t="s">
        <v>61</v>
      </c>
      <c r="D541" s="115" t="s">
        <v>1383</v>
      </c>
      <c r="E541" s="115" t="s">
        <v>1859</v>
      </c>
      <c r="F541" s="121">
        <v>200000</v>
      </c>
      <c r="G541" s="6"/>
      <c r="H541" s="6" t="s">
        <v>3035</v>
      </c>
      <c r="I541" s="6" t="s">
        <v>3036</v>
      </c>
      <c r="J541" s="160" t="s">
        <v>3037</v>
      </c>
      <c r="K541" s="6" t="s">
        <v>1879</v>
      </c>
      <c r="L541" s="6"/>
      <c r="M541" s="6" t="s">
        <v>1500</v>
      </c>
    </row>
    <row r="542" spans="1:13" ht="38.25">
      <c r="A542" s="143">
        <v>2017</v>
      </c>
      <c r="B542" s="6" t="s">
        <v>3038</v>
      </c>
      <c r="C542" s="6" t="s">
        <v>61</v>
      </c>
      <c r="D542" s="115" t="s">
        <v>1383</v>
      </c>
      <c r="E542" s="115" t="s">
        <v>1859</v>
      </c>
      <c r="F542" s="121">
        <v>200000</v>
      </c>
      <c r="G542" s="6"/>
      <c r="H542" s="6" t="s">
        <v>3039</v>
      </c>
      <c r="I542" s="6" t="s">
        <v>3040</v>
      </c>
      <c r="J542" s="160" t="s">
        <v>3041</v>
      </c>
      <c r="K542" s="6" t="s">
        <v>1899</v>
      </c>
      <c r="L542" s="6"/>
      <c r="M542" s="6" t="s">
        <v>1500</v>
      </c>
    </row>
    <row r="543" spans="1:13" ht="25.5">
      <c r="A543" s="143">
        <v>2017</v>
      </c>
      <c r="B543" s="6" t="s">
        <v>3042</v>
      </c>
      <c r="C543" s="6" t="s">
        <v>61</v>
      </c>
      <c r="D543" s="115" t="s">
        <v>1383</v>
      </c>
      <c r="E543" s="115" t="s">
        <v>1859</v>
      </c>
      <c r="F543" s="121">
        <v>200000</v>
      </c>
      <c r="G543" s="6"/>
      <c r="H543" s="6" t="s">
        <v>3043</v>
      </c>
      <c r="I543" s="6" t="s">
        <v>3044</v>
      </c>
      <c r="J543" s="160" t="s">
        <v>3045</v>
      </c>
      <c r="K543" s="6" t="s">
        <v>1886</v>
      </c>
      <c r="L543" s="6"/>
      <c r="M543" s="6" t="s">
        <v>1500</v>
      </c>
    </row>
    <row r="544" spans="1:13" ht="38.25">
      <c r="A544" s="143">
        <v>2017</v>
      </c>
      <c r="B544" s="6" t="s">
        <v>3046</v>
      </c>
      <c r="C544" s="6" t="s">
        <v>61</v>
      </c>
      <c r="D544" s="115" t="s">
        <v>1383</v>
      </c>
      <c r="E544" s="115" t="s">
        <v>1859</v>
      </c>
      <c r="F544" s="121">
        <v>200000</v>
      </c>
      <c r="G544" s="6"/>
      <c r="H544" s="6" t="s">
        <v>3047</v>
      </c>
      <c r="I544" s="6" t="s">
        <v>3048</v>
      </c>
      <c r="J544" s="160" t="s">
        <v>3049</v>
      </c>
      <c r="K544" s="6" t="s">
        <v>2082</v>
      </c>
      <c r="L544" s="6"/>
      <c r="M544" s="6" t="s">
        <v>1500</v>
      </c>
    </row>
    <row r="545" spans="1:13" ht="25.5">
      <c r="A545" s="143">
        <v>2017</v>
      </c>
      <c r="B545" s="6" t="s">
        <v>3050</v>
      </c>
      <c r="C545" s="6" t="s">
        <v>61</v>
      </c>
      <c r="D545" s="115" t="s">
        <v>1383</v>
      </c>
      <c r="E545" s="115" t="s">
        <v>1859</v>
      </c>
      <c r="F545" s="121">
        <v>200000</v>
      </c>
      <c r="G545" s="6"/>
      <c r="H545" s="6" t="s">
        <v>3051</v>
      </c>
      <c r="I545" s="6" t="s">
        <v>3052</v>
      </c>
      <c r="J545" s="160" t="s">
        <v>3053</v>
      </c>
      <c r="K545" s="6" t="s">
        <v>1896</v>
      </c>
      <c r="L545" s="6"/>
      <c r="M545" s="6" t="s">
        <v>1500</v>
      </c>
    </row>
    <row r="546" spans="1:13" ht="25.5">
      <c r="A546" s="143">
        <v>2017</v>
      </c>
      <c r="B546" s="6" t="s">
        <v>3054</v>
      </c>
      <c r="C546" s="6" t="s">
        <v>61</v>
      </c>
      <c r="D546" s="115" t="s">
        <v>1383</v>
      </c>
      <c r="E546" s="115" t="s">
        <v>1859</v>
      </c>
      <c r="F546" s="121">
        <v>200000</v>
      </c>
      <c r="G546" s="6"/>
      <c r="H546" s="6" t="s">
        <v>3055</v>
      </c>
      <c r="I546" s="6" t="s">
        <v>3056</v>
      </c>
      <c r="J546" s="160" t="s">
        <v>3057</v>
      </c>
      <c r="K546" s="6" t="s">
        <v>1919</v>
      </c>
      <c r="L546" s="6"/>
      <c r="M546" s="6" t="s">
        <v>1500</v>
      </c>
    </row>
    <row r="547" spans="1:13" ht="38.25">
      <c r="A547" s="143">
        <v>2017</v>
      </c>
      <c r="B547" s="6" t="s">
        <v>3058</v>
      </c>
      <c r="C547" s="160" t="s">
        <v>61</v>
      </c>
      <c r="D547" s="115" t="s">
        <v>1383</v>
      </c>
      <c r="E547" s="115" t="s">
        <v>1859</v>
      </c>
      <c r="F547" s="121">
        <v>200000</v>
      </c>
      <c r="G547" s="6"/>
      <c r="H547" s="6" t="s">
        <v>3059</v>
      </c>
      <c r="I547" s="6" t="s">
        <v>3060</v>
      </c>
      <c r="J547" s="160" t="s">
        <v>3061</v>
      </c>
      <c r="K547" s="6" t="s">
        <v>2051</v>
      </c>
      <c r="L547" s="6"/>
      <c r="M547" s="6" t="s">
        <v>1500</v>
      </c>
    </row>
    <row r="548" spans="1:13" ht="25.5">
      <c r="A548" s="143">
        <v>2017</v>
      </c>
      <c r="B548" s="6" t="s">
        <v>3062</v>
      </c>
      <c r="C548" s="6" t="s">
        <v>61</v>
      </c>
      <c r="D548" s="115" t="s">
        <v>1383</v>
      </c>
      <c r="E548" s="115" t="s">
        <v>1859</v>
      </c>
      <c r="F548" s="121">
        <v>200000</v>
      </c>
      <c r="G548" s="6"/>
      <c r="H548" s="6" t="s">
        <v>3063</v>
      </c>
      <c r="I548" s="6" t="s">
        <v>3064</v>
      </c>
      <c r="J548" s="160" t="s">
        <v>3065</v>
      </c>
      <c r="K548" s="6" t="s">
        <v>2031</v>
      </c>
      <c r="L548" s="6"/>
      <c r="M548" s="6" t="s">
        <v>1500</v>
      </c>
    </row>
    <row r="549" spans="1:13" ht="51">
      <c r="A549" s="143">
        <v>2017</v>
      </c>
      <c r="B549" s="6" t="s">
        <v>3066</v>
      </c>
      <c r="C549" s="6" t="s">
        <v>61</v>
      </c>
      <c r="D549" s="115" t="s">
        <v>1383</v>
      </c>
      <c r="E549" s="115" t="s">
        <v>1859</v>
      </c>
      <c r="F549" s="121">
        <v>200000</v>
      </c>
      <c r="G549" s="6"/>
      <c r="H549" s="6" t="s">
        <v>3067</v>
      </c>
      <c r="I549" s="6" t="s">
        <v>3068</v>
      </c>
      <c r="J549" s="160" t="s">
        <v>3069</v>
      </c>
      <c r="K549" s="6" t="s">
        <v>1855</v>
      </c>
      <c r="L549" s="6"/>
      <c r="M549" s="6" t="s">
        <v>1500</v>
      </c>
    </row>
    <row r="550" spans="1:13" ht="25.5">
      <c r="A550" s="143">
        <v>2017</v>
      </c>
      <c r="B550" s="6" t="s">
        <v>3070</v>
      </c>
      <c r="C550" s="6" t="s">
        <v>61</v>
      </c>
      <c r="D550" s="115" t="s">
        <v>1383</v>
      </c>
      <c r="E550" s="115" t="s">
        <v>1859</v>
      </c>
      <c r="F550" s="121">
        <v>200000</v>
      </c>
      <c r="G550" s="6"/>
      <c r="H550" s="6" t="s">
        <v>3071</v>
      </c>
      <c r="I550" s="6" t="s">
        <v>3072</v>
      </c>
      <c r="J550" s="160" t="s">
        <v>3073</v>
      </c>
      <c r="K550" s="9" t="s">
        <v>2571</v>
      </c>
      <c r="L550" s="6"/>
      <c r="M550" s="6" t="s">
        <v>1500</v>
      </c>
    </row>
    <row r="551" spans="1:13" ht="25.5">
      <c r="A551" s="143">
        <v>2017</v>
      </c>
      <c r="B551" s="6" t="s">
        <v>3074</v>
      </c>
      <c r="C551" s="6" t="s">
        <v>61</v>
      </c>
      <c r="D551" s="6" t="s">
        <v>3075</v>
      </c>
      <c r="E551" s="6" t="s">
        <v>1824</v>
      </c>
      <c r="F551" s="121">
        <v>257160</v>
      </c>
      <c r="G551" s="6"/>
      <c r="H551" s="6" t="s">
        <v>929</v>
      </c>
      <c r="I551" s="6" t="s">
        <v>3076</v>
      </c>
      <c r="J551" s="6" t="s">
        <v>1938</v>
      </c>
      <c r="K551" s="6" t="s">
        <v>1828</v>
      </c>
      <c r="L551" s="6"/>
      <c r="M551" s="6" t="s">
        <v>3075</v>
      </c>
    </row>
    <row r="552" spans="1:13" ht="38.25">
      <c r="A552" s="143">
        <v>2017</v>
      </c>
      <c r="B552" s="6" t="s">
        <v>3077</v>
      </c>
      <c r="C552" s="6"/>
      <c r="D552" s="115" t="s">
        <v>1383</v>
      </c>
      <c r="E552" s="6" t="s">
        <v>1824</v>
      </c>
      <c r="F552" s="121">
        <v>8975000</v>
      </c>
      <c r="G552" s="6"/>
      <c r="H552" s="6" t="s">
        <v>3078</v>
      </c>
      <c r="I552" s="6" t="s">
        <v>3079</v>
      </c>
      <c r="J552" s="6" t="s">
        <v>3080</v>
      </c>
      <c r="K552" s="6" t="s">
        <v>1828</v>
      </c>
      <c r="L552" s="6"/>
      <c r="M552" s="6" t="s">
        <v>2172</v>
      </c>
    </row>
    <row r="553" spans="1:13" ht="25.5">
      <c r="A553" s="143">
        <v>2017</v>
      </c>
      <c r="B553" s="6" t="s">
        <v>3081</v>
      </c>
      <c r="C553" s="6" t="s">
        <v>61</v>
      </c>
      <c r="D553" s="115" t="s">
        <v>1383</v>
      </c>
      <c r="E553" s="115" t="s">
        <v>1859</v>
      </c>
      <c r="F553" s="121">
        <v>200000</v>
      </c>
      <c r="G553" s="6"/>
      <c r="H553" s="6" t="s">
        <v>3082</v>
      </c>
      <c r="I553" s="6" t="s">
        <v>3083</v>
      </c>
      <c r="J553" s="160" t="s">
        <v>3084</v>
      </c>
      <c r="K553" s="6" t="s">
        <v>1828</v>
      </c>
      <c r="L553" s="6"/>
      <c r="M553" s="6" t="s">
        <v>1500</v>
      </c>
    </row>
    <row r="554" spans="1:13" ht="38.25">
      <c r="A554" s="143">
        <v>2017</v>
      </c>
      <c r="B554" s="6" t="s">
        <v>3085</v>
      </c>
      <c r="C554" s="6" t="s">
        <v>61</v>
      </c>
      <c r="D554" s="115" t="s">
        <v>1383</v>
      </c>
      <c r="E554" s="115" t="s">
        <v>1859</v>
      </c>
      <c r="F554" s="121">
        <v>200000</v>
      </c>
      <c r="G554" s="6"/>
      <c r="H554" s="6" t="s">
        <v>3086</v>
      </c>
      <c r="I554" s="6" t="s">
        <v>3087</v>
      </c>
      <c r="J554" s="6" t="s">
        <v>3001</v>
      </c>
      <c r="K554" s="6" t="s">
        <v>1828</v>
      </c>
      <c r="L554" s="6"/>
      <c r="M554" s="6" t="s">
        <v>1500</v>
      </c>
    </row>
    <row r="555" spans="1:13" ht="12.75">
      <c r="A555" s="143">
        <v>2017</v>
      </c>
      <c r="B555" s="6" t="s">
        <v>3088</v>
      </c>
      <c r="C555" s="6" t="s">
        <v>61</v>
      </c>
      <c r="D555" s="115" t="s">
        <v>1383</v>
      </c>
      <c r="E555" s="115" t="s">
        <v>1859</v>
      </c>
      <c r="F555" s="121">
        <v>200000</v>
      </c>
      <c r="G555" s="6"/>
      <c r="H555" s="6" t="s">
        <v>3089</v>
      </c>
      <c r="I555" s="6" t="s">
        <v>3090</v>
      </c>
      <c r="J555" s="160" t="s">
        <v>2901</v>
      </c>
      <c r="K555" s="6" t="s">
        <v>2047</v>
      </c>
      <c r="L555" s="6"/>
      <c r="M555" s="6" t="s">
        <v>1500</v>
      </c>
    </row>
    <row r="556" spans="1:13" ht="12.75">
      <c r="A556" s="143">
        <v>2017</v>
      </c>
      <c r="B556" s="6" t="s">
        <v>3091</v>
      </c>
      <c r="C556" s="6" t="s">
        <v>61</v>
      </c>
      <c r="D556" s="6" t="s">
        <v>3092</v>
      </c>
      <c r="E556" s="6" t="s">
        <v>1904</v>
      </c>
      <c r="F556" s="121">
        <v>316050</v>
      </c>
      <c r="G556" s="6"/>
      <c r="H556" s="6" t="s">
        <v>3093</v>
      </c>
      <c r="I556" s="6" t="s">
        <v>3094</v>
      </c>
      <c r="J556" s="6"/>
      <c r="K556" s="6" t="s">
        <v>1886</v>
      </c>
      <c r="L556" s="6"/>
      <c r="M556" s="6" t="s">
        <v>3092</v>
      </c>
    </row>
    <row r="557" spans="1:13" ht="25.5">
      <c r="A557" s="143">
        <v>2017</v>
      </c>
      <c r="B557" s="6" t="s">
        <v>3095</v>
      </c>
      <c r="C557" s="6" t="s">
        <v>3096</v>
      </c>
      <c r="D557" s="6" t="s">
        <v>3097</v>
      </c>
      <c r="E557" s="6" t="s">
        <v>1824</v>
      </c>
      <c r="F557" s="121">
        <v>308000</v>
      </c>
      <c r="G557" s="6"/>
      <c r="H557" s="6" t="s">
        <v>3098</v>
      </c>
      <c r="I557" s="6" t="s">
        <v>811</v>
      </c>
      <c r="J557" s="6" t="s">
        <v>1938</v>
      </c>
      <c r="K557" s="6" t="s">
        <v>1828</v>
      </c>
      <c r="L557" s="6"/>
      <c r="M557" s="6" t="s">
        <v>3097</v>
      </c>
    </row>
    <row r="558" spans="1:13" ht="25.5">
      <c r="A558" s="143">
        <v>2017</v>
      </c>
      <c r="B558" s="6" t="s">
        <v>3099</v>
      </c>
      <c r="C558" s="6" t="s">
        <v>61</v>
      </c>
      <c r="D558" s="6" t="s">
        <v>1262</v>
      </c>
      <c r="E558" s="6" t="s">
        <v>1904</v>
      </c>
      <c r="F558" s="121">
        <v>604800</v>
      </c>
      <c r="G558" s="6"/>
      <c r="H558" s="6" t="s">
        <v>3100</v>
      </c>
      <c r="I558" s="6" t="s">
        <v>3101</v>
      </c>
      <c r="J558" s="160" t="s">
        <v>3102</v>
      </c>
      <c r="K558" s="6" t="s">
        <v>1828</v>
      </c>
      <c r="L558" s="6"/>
      <c r="M558" s="6" t="s">
        <v>1262</v>
      </c>
    </row>
    <row r="559" spans="1:13" ht="12.75">
      <c r="A559" s="143">
        <v>2017</v>
      </c>
      <c r="B559" s="6" t="s">
        <v>3103</v>
      </c>
      <c r="C559" s="6" t="s">
        <v>2328</v>
      </c>
      <c r="D559" s="6"/>
      <c r="E559" s="6"/>
      <c r="F559" s="121">
        <v>72000</v>
      </c>
      <c r="G559" s="6"/>
      <c r="H559" s="6" t="s">
        <v>3104</v>
      </c>
      <c r="I559" s="6" t="s">
        <v>3105</v>
      </c>
      <c r="J559" s="160" t="s">
        <v>3106</v>
      </c>
      <c r="K559" s="6" t="s">
        <v>1919</v>
      </c>
      <c r="L559" s="6"/>
      <c r="M559" s="6"/>
    </row>
    <row r="560" spans="1:13" ht="51">
      <c r="A560" s="143">
        <v>2017</v>
      </c>
      <c r="B560" s="6" t="s">
        <v>3107</v>
      </c>
      <c r="C560" s="6" t="s">
        <v>3108</v>
      </c>
      <c r="D560" s="6" t="s">
        <v>3109</v>
      </c>
      <c r="E560" s="6" t="s">
        <v>1874</v>
      </c>
      <c r="F560" s="121">
        <v>167500</v>
      </c>
      <c r="G560" s="6"/>
      <c r="H560" s="6" t="s">
        <v>3110</v>
      </c>
      <c r="I560" s="6" t="s">
        <v>3111</v>
      </c>
      <c r="J560" s="160" t="s">
        <v>3112</v>
      </c>
      <c r="K560" s="6" t="s">
        <v>1828</v>
      </c>
      <c r="L560" s="6"/>
      <c r="M560" s="6" t="s">
        <v>3109</v>
      </c>
    </row>
    <row r="561" spans="1:13" ht="38.25">
      <c r="A561" s="143">
        <v>2017</v>
      </c>
      <c r="B561" s="6" t="s">
        <v>3113</v>
      </c>
      <c r="C561" s="6" t="s">
        <v>61</v>
      </c>
      <c r="D561" s="112" t="s">
        <v>68</v>
      </c>
      <c r="E561" s="6" t="s">
        <v>1874</v>
      </c>
      <c r="F561" s="121">
        <v>996971</v>
      </c>
      <c r="G561" s="6"/>
      <c r="H561" s="6" t="s">
        <v>3114</v>
      </c>
      <c r="I561" s="6" t="s">
        <v>3115</v>
      </c>
      <c r="J561" s="160" t="s">
        <v>2740</v>
      </c>
      <c r="K561" s="6" t="s">
        <v>1828</v>
      </c>
      <c r="L561" s="6"/>
      <c r="M561" s="6" t="s">
        <v>68</v>
      </c>
    </row>
    <row r="562" spans="1:13" ht="38.25">
      <c r="A562" s="143">
        <v>2017</v>
      </c>
      <c r="B562" s="6" t="s">
        <v>3116</v>
      </c>
      <c r="C562" s="6" t="s">
        <v>61</v>
      </c>
      <c r="D562" s="6" t="s">
        <v>3117</v>
      </c>
      <c r="E562" s="6" t="s">
        <v>1874</v>
      </c>
      <c r="F562" s="121">
        <v>150000</v>
      </c>
      <c r="G562" s="6"/>
      <c r="H562" s="6" t="s">
        <v>3118</v>
      </c>
      <c r="I562" s="6" t="s">
        <v>3076</v>
      </c>
      <c r="J562" s="6" t="s">
        <v>1938</v>
      </c>
      <c r="K562" s="6" t="s">
        <v>1828</v>
      </c>
      <c r="L562" s="6"/>
      <c r="M562" s="6" t="s">
        <v>3117</v>
      </c>
    </row>
    <row r="563" spans="1:13" ht="51">
      <c r="A563" s="143">
        <v>2017</v>
      </c>
      <c r="B563" s="6" t="s">
        <v>3119</v>
      </c>
      <c r="C563" s="6" t="s">
        <v>61</v>
      </c>
      <c r="D563" s="115" t="s">
        <v>1383</v>
      </c>
      <c r="E563" s="115" t="s">
        <v>1859</v>
      </c>
      <c r="F563" s="121">
        <v>200000</v>
      </c>
      <c r="G563" s="6"/>
      <c r="H563" s="6" t="s">
        <v>3120</v>
      </c>
      <c r="I563" s="6" t="s">
        <v>3121</v>
      </c>
      <c r="J563" s="6" t="s">
        <v>1938</v>
      </c>
      <c r="K563" s="6" t="s">
        <v>1828</v>
      </c>
      <c r="L563" s="6"/>
      <c r="M563" s="6" t="s">
        <v>1500</v>
      </c>
    </row>
    <row r="564" spans="1:13" ht="38.25">
      <c r="A564" s="143">
        <v>2017</v>
      </c>
      <c r="B564" s="6" t="s">
        <v>3122</v>
      </c>
      <c r="C564" s="6" t="s">
        <v>61</v>
      </c>
      <c r="D564" s="115" t="s">
        <v>1383</v>
      </c>
      <c r="E564" s="115" t="s">
        <v>1859</v>
      </c>
      <c r="F564" s="121">
        <v>200000</v>
      </c>
      <c r="G564" s="6"/>
      <c r="H564" s="6" t="s">
        <v>3123</v>
      </c>
      <c r="I564" s="6" t="s">
        <v>3124</v>
      </c>
      <c r="J564" s="160" t="s">
        <v>3001</v>
      </c>
      <c r="K564" s="6" t="s">
        <v>1828</v>
      </c>
      <c r="L564" s="6"/>
      <c r="M564" s="6" t="s">
        <v>1500</v>
      </c>
    </row>
    <row r="565" spans="1:13" ht="25.5">
      <c r="A565" s="143">
        <v>2017</v>
      </c>
      <c r="B565" s="6" t="s">
        <v>3125</v>
      </c>
      <c r="C565" s="6" t="s">
        <v>61</v>
      </c>
      <c r="D565" s="115" t="s">
        <v>1383</v>
      </c>
      <c r="E565" s="115" t="s">
        <v>1859</v>
      </c>
      <c r="F565" s="121">
        <v>200000</v>
      </c>
      <c r="G565" s="6"/>
      <c r="H565" s="6" t="s">
        <v>3126</v>
      </c>
      <c r="I565" s="6" t="s">
        <v>3127</v>
      </c>
      <c r="J565" s="160" t="s">
        <v>3128</v>
      </c>
      <c r="K565" s="6" t="s">
        <v>1828</v>
      </c>
      <c r="L565" s="6"/>
      <c r="M565" s="6" t="s">
        <v>1500</v>
      </c>
    </row>
    <row r="566" spans="1:13" ht="204">
      <c r="A566" s="143">
        <v>2017</v>
      </c>
      <c r="B566" s="6" t="s">
        <v>3129</v>
      </c>
      <c r="C566" s="6" t="s">
        <v>61</v>
      </c>
      <c r="D566" s="115" t="s">
        <v>1383</v>
      </c>
      <c r="E566" s="115" t="s">
        <v>1859</v>
      </c>
      <c r="F566" s="121">
        <v>791970</v>
      </c>
      <c r="G566" s="6"/>
      <c r="H566" s="6" t="s">
        <v>3130</v>
      </c>
      <c r="I566" s="6" t="s">
        <v>3131</v>
      </c>
      <c r="J566" s="6"/>
      <c r="K566" s="6" t="s">
        <v>1828</v>
      </c>
      <c r="L566" s="6"/>
      <c r="M566" s="6" t="s">
        <v>1500</v>
      </c>
    </row>
    <row r="567" spans="1:13" ht="25.5">
      <c r="A567" s="143">
        <v>2017</v>
      </c>
      <c r="B567" s="6" t="s">
        <v>3132</v>
      </c>
      <c r="C567" s="6" t="s">
        <v>61</v>
      </c>
      <c r="D567" s="115" t="s">
        <v>1383</v>
      </c>
      <c r="E567" s="115" t="s">
        <v>1859</v>
      </c>
      <c r="F567" s="121">
        <v>200000</v>
      </c>
      <c r="G567" s="6"/>
      <c r="H567" s="6" t="s">
        <v>3133</v>
      </c>
      <c r="I567" s="6" t="s">
        <v>3134</v>
      </c>
      <c r="J567" s="160" t="s">
        <v>3135</v>
      </c>
      <c r="K567" s="6" t="s">
        <v>2041</v>
      </c>
      <c r="L567" s="6"/>
      <c r="M567" s="6" t="s">
        <v>1500</v>
      </c>
    </row>
    <row r="568" spans="1:13" ht="25.5">
      <c r="A568" s="143">
        <v>2017</v>
      </c>
      <c r="B568" s="6" t="s">
        <v>3136</v>
      </c>
      <c r="C568" s="6" t="s">
        <v>61</v>
      </c>
      <c r="D568" s="115" t="s">
        <v>1383</v>
      </c>
      <c r="E568" s="115" t="s">
        <v>1859</v>
      </c>
      <c r="F568" s="121">
        <v>200000</v>
      </c>
      <c r="G568" s="6"/>
      <c r="H568" s="6" t="s">
        <v>3137</v>
      </c>
      <c r="I568" s="6" t="s">
        <v>3138</v>
      </c>
      <c r="J568" s="160" t="s">
        <v>2578</v>
      </c>
      <c r="K568" s="6" t="s">
        <v>2130</v>
      </c>
      <c r="L568" s="6"/>
      <c r="M568" s="6" t="s">
        <v>1500</v>
      </c>
    </row>
    <row r="569" spans="1:13" ht="38.25">
      <c r="A569" s="143">
        <v>2017</v>
      </c>
      <c r="B569" s="6" t="s">
        <v>3139</v>
      </c>
      <c r="C569" s="6" t="s">
        <v>61</v>
      </c>
      <c r="D569" s="6" t="s">
        <v>2834</v>
      </c>
      <c r="E569" s="6" t="s">
        <v>1874</v>
      </c>
      <c r="F569" s="121">
        <v>200000</v>
      </c>
      <c r="G569" s="6"/>
      <c r="H569" s="6" t="s">
        <v>3140</v>
      </c>
      <c r="I569" s="6" t="s">
        <v>3141</v>
      </c>
      <c r="J569" s="160" t="s">
        <v>3001</v>
      </c>
      <c r="K569" s="6" t="s">
        <v>1828</v>
      </c>
      <c r="L569" s="6"/>
      <c r="M569" s="6" t="s">
        <v>3142</v>
      </c>
    </row>
    <row r="570" spans="1:13" ht="38.25">
      <c r="A570" s="143">
        <v>2017</v>
      </c>
      <c r="B570" s="6" t="s">
        <v>3143</v>
      </c>
      <c r="C570" s="6" t="s">
        <v>61</v>
      </c>
      <c r="D570" s="6" t="s">
        <v>1262</v>
      </c>
      <c r="E570" s="6" t="s">
        <v>1904</v>
      </c>
      <c r="F570" s="121">
        <v>999407</v>
      </c>
      <c r="G570" s="158"/>
      <c r="H570" s="158" t="s">
        <v>3144</v>
      </c>
      <c r="I570" s="6" t="s">
        <v>3145</v>
      </c>
      <c r="J570" s="160" t="s">
        <v>3146</v>
      </c>
      <c r="K570" s="6" t="s">
        <v>1886</v>
      </c>
      <c r="L570" s="158"/>
      <c r="M570" s="6" t="s">
        <v>1262</v>
      </c>
    </row>
    <row r="571" spans="1:13" ht="38.25">
      <c r="A571" s="143">
        <v>2017</v>
      </c>
      <c r="B571" s="6" t="s">
        <v>3147</v>
      </c>
      <c r="C571" s="6" t="s">
        <v>61</v>
      </c>
      <c r="D571" s="6" t="s">
        <v>394</v>
      </c>
      <c r="E571" s="115" t="s">
        <v>1853</v>
      </c>
      <c r="F571" s="121">
        <v>520000</v>
      </c>
      <c r="G571" s="6"/>
      <c r="H571" s="6" t="s">
        <v>3148</v>
      </c>
      <c r="I571" s="6" t="s">
        <v>3149</v>
      </c>
      <c r="J571" s="160" t="s">
        <v>3001</v>
      </c>
      <c r="K571" s="6" t="s">
        <v>1828</v>
      </c>
      <c r="L571" s="6"/>
      <c r="M571" s="6" t="s">
        <v>394</v>
      </c>
    </row>
    <row r="572" spans="1:13" ht="38.25">
      <c r="A572" s="143">
        <v>2017</v>
      </c>
      <c r="B572" s="6" t="s">
        <v>3150</v>
      </c>
      <c r="C572" s="6" t="s">
        <v>61</v>
      </c>
      <c r="D572" s="9" t="s">
        <v>62</v>
      </c>
      <c r="E572" s="6" t="s">
        <v>1904</v>
      </c>
      <c r="F572" s="121">
        <v>712468.76</v>
      </c>
      <c r="G572" s="6"/>
      <c r="H572" s="6" t="s">
        <v>3151</v>
      </c>
      <c r="I572" s="6" t="s">
        <v>3152</v>
      </c>
      <c r="J572" s="160" t="s">
        <v>3153</v>
      </c>
      <c r="K572" s="6" t="s">
        <v>2051</v>
      </c>
      <c r="L572" s="6"/>
      <c r="M572" s="6" t="s">
        <v>62</v>
      </c>
    </row>
    <row r="573" spans="1:13" ht="38.25">
      <c r="A573" s="143">
        <v>2017</v>
      </c>
      <c r="B573" s="6" t="s">
        <v>3154</v>
      </c>
      <c r="C573" s="6" t="s">
        <v>61</v>
      </c>
      <c r="D573" s="6" t="s">
        <v>3155</v>
      </c>
      <c r="E573" s="6" t="s">
        <v>1824</v>
      </c>
      <c r="F573" s="121">
        <v>5708000</v>
      </c>
      <c r="G573" s="6"/>
      <c r="H573" s="6" t="s">
        <v>3156</v>
      </c>
      <c r="I573" s="6" t="s">
        <v>3157</v>
      </c>
      <c r="J573" s="6" t="s">
        <v>2508</v>
      </c>
      <c r="K573" s="6" t="s">
        <v>1828</v>
      </c>
      <c r="L573" s="6"/>
      <c r="M573" s="6" t="s">
        <v>3155</v>
      </c>
    </row>
    <row r="574" spans="1:13" ht="12.75">
      <c r="A574" s="143">
        <v>2017</v>
      </c>
      <c r="B574" s="6" t="s">
        <v>3158</v>
      </c>
      <c r="C574" s="6" t="s">
        <v>2328</v>
      </c>
      <c r="D574" s="6" t="s">
        <v>3075</v>
      </c>
      <c r="E574" s="6" t="s">
        <v>1824</v>
      </c>
      <c r="F574" s="121">
        <v>10415256</v>
      </c>
      <c r="G574" s="6"/>
      <c r="H574" s="6" t="s">
        <v>3159</v>
      </c>
      <c r="I574" s="6" t="s">
        <v>3160</v>
      </c>
      <c r="J574" s="6" t="s">
        <v>2508</v>
      </c>
      <c r="K574" s="6" t="s">
        <v>1828</v>
      </c>
      <c r="L574" s="6"/>
      <c r="M574" s="6" t="s">
        <v>3075</v>
      </c>
    </row>
    <row r="575" spans="1:13" ht="38.25">
      <c r="A575" s="143">
        <v>2017</v>
      </c>
      <c r="B575" s="6" t="s">
        <v>3161</v>
      </c>
      <c r="C575" s="6" t="s">
        <v>2328</v>
      </c>
      <c r="D575" s="6"/>
      <c r="E575" s="6"/>
      <c r="F575" s="121">
        <v>300000</v>
      </c>
      <c r="G575" s="6"/>
      <c r="H575" s="6" t="s">
        <v>2994</v>
      </c>
      <c r="I575" s="6" t="s">
        <v>3162</v>
      </c>
      <c r="J575" s="160" t="s">
        <v>2996</v>
      </c>
      <c r="K575" s="6" t="s">
        <v>2082</v>
      </c>
      <c r="L575" s="6"/>
      <c r="M575" s="6"/>
    </row>
    <row r="576" spans="1:13" ht="38.25">
      <c r="A576" s="143">
        <v>2017</v>
      </c>
      <c r="B576" s="6" t="s">
        <v>3163</v>
      </c>
      <c r="C576" s="6" t="s">
        <v>2328</v>
      </c>
      <c r="D576" s="6"/>
      <c r="E576" s="6"/>
      <c r="F576" s="121"/>
      <c r="G576" s="6"/>
      <c r="H576" s="6" t="s">
        <v>3164</v>
      </c>
      <c r="I576" s="6" t="s">
        <v>3165</v>
      </c>
      <c r="J576" s="160" t="s">
        <v>3166</v>
      </c>
      <c r="K576" s="6" t="s">
        <v>2085</v>
      </c>
      <c r="L576" s="6"/>
      <c r="M576" s="6"/>
    </row>
    <row r="577" spans="1:13" ht="38.25">
      <c r="A577" s="143">
        <v>2017</v>
      </c>
      <c r="B577" s="6" t="s">
        <v>3167</v>
      </c>
      <c r="C577" s="6" t="s">
        <v>61</v>
      </c>
      <c r="D577" s="6" t="s">
        <v>3168</v>
      </c>
      <c r="E577" s="115" t="s">
        <v>1859</v>
      </c>
      <c r="F577" s="121">
        <v>480000</v>
      </c>
      <c r="G577" s="6"/>
      <c r="H577" s="6" t="s">
        <v>3169</v>
      </c>
      <c r="I577" s="6" t="s">
        <v>3170</v>
      </c>
      <c r="J577" s="6"/>
      <c r="K577" s="6" t="s">
        <v>1919</v>
      </c>
      <c r="L577" s="6"/>
      <c r="M577" s="6" t="s">
        <v>3168</v>
      </c>
    </row>
    <row r="578" spans="1:13" ht="25.5">
      <c r="A578" s="143">
        <v>2017</v>
      </c>
      <c r="B578" s="6" t="s">
        <v>3171</v>
      </c>
      <c r="C578" s="6"/>
      <c r="D578" s="6" t="s">
        <v>3155</v>
      </c>
      <c r="E578" s="6" t="s">
        <v>1824</v>
      </c>
      <c r="F578" s="121">
        <v>900320</v>
      </c>
      <c r="G578" s="6"/>
      <c r="H578" s="6" t="s">
        <v>3172</v>
      </c>
      <c r="I578" s="6" t="s">
        <v>3173</v>
      </c>
      <c r="J578" s="160" t="s">
        <v>3174</v>
      </c>
      <c r="K578" s="6" t="s">
        <v>2051</v>
      </c>
      <c r="L578" s="6"/>
      <c r="M578" s="6" t="s">
        <v>3155</v>
      </c>
    </row>
    <row r="579" spans="1:13" ht="38.25">
      <c r="A579" s="143">
        <v>2017</v>
      </c>
      <c r="B579" s="6" t="s">
        <v>3175</v>
      </c>
      <c r="C579" s="6" t="s">
        <v>61</v>
      </c>
      <c r="D579" s="9" t="s">
        <v>62</v>
      </c>
      <c r="E579" s="6" t="s">
        <v>1904</v>
      </c>
      <c r="F579" s="121">
        <v>777970</v>
      </c>
      <c r="G579" s="6"/>
      <c r="H579" s="6" t="s">
        <v>3176</v>
      </c>
      <c r="I579" s="6" t="s">
        <v>3177</v>
      </c>
      <c r="J579" s="160" t="s">
        <v>3178</v>
      </c>
      <c r="K579" s="6" t="s">
        <v>1899</v>
      </c>
      <c r="L579" s="6"/>
      <c r="M579" s="6" t="s">
        <v>62</v>
      </c>
    </row>
    <row r="580" spans="1:13" ht="38.25">
      <c r="A580" s="143">
        <v>2017</v>
      </c>
      <c r="B580" s="6" t="s">
        <v>3179</v>
      </c>
      <c r="C580" s="6" t="s">
        <v>61</v>
      </c>
      <c r="D580" s="9" t="s">
        <v>62</v>
      </c>
      <c r="E580" s="6" t="s">
        <v>1904</v>
      </c>
      <c r="F580" s="121">
        <v>2987995</v>
      </c>
      <c r="G580" s="6"/>
      <c r="H580" s="6" t="s">
        <v>3180</v>
      </c>
      <c r="I580" s="6" t="s">
        <v>3181</v>
      </c>
      <c r="J580" s="160" t="s">
        <v>3182</v>
      </c>
      <c r="K580" s="6" t="s">
        <v>1899</v>
      </c>
      <c r="L580" s="6"/>
      <c r="M580" s="6" t="s">
        <v>1118</v>
      </c>
    </row>
    <row r="581" spans="1:13" ht="51">
      <c r="A581" s="143">
        <v>2017</v>
      </c>
      <c r="B581" s="6" t="s">
        <v>3183</v>
      </c>
      <c r="C581" s="6" t="s">
        <v>61</v>
      </c>
      <c r="D581" s="6" t="s">
        <v>3092</v>
      </c>
      <c r="E581" s="6" t="s">
        <v>1904</v>
      </c>
      <c r="F581" s="121">
        <v>421622</v>
      </c>
      <c r="G581" s="6"/>
      <c r="H581" s="6" t="s">
        <v>3184</v>
      </c>
      <c r="I581" s="6" t="s">
        <v>3185</v>
      </c>
      <c r="J581" s="160" t="s">
        <v>3186</v>
      </c>
      <c r="K581" s="6" t="s">
        <v>1916</v>
      </c>
      <c r="L581" s="6"/>
      <c r="M581" s="6" t="s">
        <v>3092</v>
      </c>
    </row>
    <row r="582" spans="1:13" ht="12.75">
      <c r="A582" s="143">
        <v>2017</v>
      </c>
      <c r="B582" s="6" t="s">
        <v>3187</v>
      </c>
      <c r="C582" s="6" t="s">
        <v>61</v>
      </c>
      <c r="D582" s="6" t="s">
        <v>1141</v>
      </c>
      <c r="E582" s="6" t="s">
        <v>1904</v>
      </c>
      <c r="F582" s="121">
        <v>23860.21</v>
      </c>
      <c r="G582" s="6"/>
      <c r="H582" s="6" t="s">
        <v>3188</v>
      </c>
      <c r="I582" s="6" t="s">
        <v>3189</v>
      </c>
      <c r="J582" s="160" t="s">
        <v>3190</v>
      </c>
      <c r="K582" s="6" t="s">
        <v>2085</v>
      </c>
      <c r="L582" s="6"/>
      <c r="M582" s="6" t="s">
        <v>1141</v>
      </c>
    </row>
    <row r="583" spans="1:13" ht="38.25">
      <c r="A583" s="143">
        <v>2017</v>
      </c>
      <c r="B583" s="6" t="s">
        <v>3191</v>
      </c>
      <c r="C583" s="6" t="s">
        <v>2328</v>
      </c>
      <c r="D583" s="6"/>
      <c r="E583" s="6"/>
      <c r="F583" s="121">
        <v>316600</v>
      </c>
      <c r="G583" s="6"/>
      <c r="H583" s="6" t="s">
        <v>3192</v>
      </c>
      <c r="I583" s="6" t="s">
        <v>3193</v>
      </c>
      <c r="J583" s="160" t="s">
        <v>3194</v>
      </c>
      <c r="K583" s="6" t="s">
        <v>1828</v>
      </c>
      <c r="L583" s="6"/>
      <c r="M583" s="6"/>
    </row>
    <row r="584" spans="1:13" ht="51">
      <c r="A584" s="143">
        <v>2017</v>
      </c>
      <c r="B584" s="6" t="s">
        <v>3195</v>
      </c>
      <c r="C584" s="6" t="s">
        <v>61</v>
      </c>
      <c r="D584" s="6" t="s">
        <v>2834</v>
      </c>
      <c r="E584" s="6" t="s">
        <v>1874</v>
      </c>
      <c r="F584" s="121">
        <v>249990</v>
      </c>
      <c r="G584" s="6"/>
      <c r="H584" s="6" t="s">
        <v>3196</v>
      </c>
      <c r="I584" s="6" t="s">
        <v>3197</v>
      </c>
      <c r="J584" s="160" t="s">
        <v>3198</v>
      </c>
      <c r="K584" s="6" t="s">
        <v>2130</v>
      </c>
      <c r="L584" s="6"/>
      <c r="M584" s="6" t="s">
        <v>2834</v>
      </c>
    </row>
    <row r="585" spans="1:13" ht="38.25">
      <c r="A585" s="143">
        <v>2017</v>
      </c>
      <c r="B585" s="6" t="s">
        <v>3199</v>
      </c>
      <c r="C585" s="6" t="s">
        <v>61</v>
      </c>
      <c r="D585" s="9" t="s">
        <v>62</v>
      </c>
      <c r="E585" s="6" t="s">
        <v>1904</v>
      </c>
      <c r="F585" s="121">
        <v>1428000</v>
      </c>
      <c r="G585" s="6"/>
      <c r="H585" s="6" t="s">
        <v>3200</v>
      </c>
      <c r="I585" s="6" t="s">
        <v>3201</v>
      </c>
      <c r="J585" s="160" t="s">
        <v>3202</v>
      </c>
      <c r="K585" s="6" t="s">
        <v>1886</v>
      </c>
      <c r="L585" s="6"/>
      <c r="M585" s="6" t="s">
        <v>62</v>
      </c>
    </row>
    <row r="586" spans="1:13" ht="12.75">
      <c r="A586" s="143">
        <v>2017</v>
      </c>
      <c r="B586" s="6" t="s">
        <v>3203</v>
      </c>
      <c r="C586" s="6" t="s">
        <v>3204</v>
      </c>
      <c r="D586" s="6" t="s">
        <v>3155</v>
      </c>
      <c r="E586" s="6" t="s">
        <v>1824</v>
      </c>
      <c r="F586" s="121">
        <v>1015000</v>
      </c>
      <c r="G586" s="6"/>
      <c r="H586" s="6" t="s">
        <v>3205</v>
      </c>
      <c r="I586" s="6" t="s">
        <v>581</v>
      </c>
      <c r="J586" s="6"/>
      <c r="K586" s="6" t="s">
        <v>1916</v>
      </c>
      <c r="L586" s="6"/>
      <c r="M586" s="6" t="s">
        <v>3155</v>
      </c>
    </row>
    <row r="587" spans="1:13" ht="25.5">
      <c r="A587" s="143">
        <v>2017</v>
      </c>
      <c r="B587" s="6" t="s">
        <v>3206</v>
      </c>
      <c r="C587" s="6" t="s">
        <v>3204</v>
      </c>
      <c r="D587" s="6" t="s">
        <v>3155</v>
      </c>
      <c r="E587" s="6" t="s">
        <v>1824</v>
      </c>
      <c r="F587" s="121">
        <v>1316250</v>
      </c>
      <c r="G587" s="6"/>
      <c r="H587" s="6" t="s">
        <v>3207</v>
      </c>
      <c r="I587" s="6" t="s">
        <v>3208</v>
      </c>
      <c r="J587" s="160" t="s">
        <v>3209</v>
      </c>
      <c r="K587" s="6" t="s">
        <v>2041</v>
      </c>
      <c r="L587" s="6"/>
      <c r="M587" s="6" t="s">
        <v>3155</v>
      </c>
    </row>
    <row r="588" spans="1:13" ht="25.5">
      <c r="A588" s="143">
        <v>2017</v>
      </c>
      <c r="B588" s="6" t="s">
        <v>3210</v>
      </c>
      <c r="C588" s="6" t="s">
        <v>61</v>
      </c>
      <c r="D588" s="6" t="s">
        <v>394</v>
      </c>
      <c r="E588" s="115" t="s">
        <v>1853</v>
      </c>
      <c r="F588" s="121">
        <v>169240</v>
      </c>
      <c r="G588" s="6"/>
      <c r="H588" s="6" t="s">
        <v>3211</v>
      </c>
      <c r="I588" s="6" t="s">
        <v>3212</v>
      </c>
      <c r="J588" s="160" t="s">
        <v>2901</v>
      </c>
      <c r="K588" s="6" t="s">
        <v>2047</v>
      </c>
      <c r="L588" s="6"/>
      <c r="M588" s="6" t="s">
        <v>394</v>
      </c>
    </row>
    <row r="589" spans="1:13" ht="76.5">
      <c r="A589" s="143">
        <v>2017</v>
      </c>
      <c r="B589" s="6" t="s">
        <v>3213</v>
      </c>
      <c r="C589" s="6" t="s">
        <v>61</v>
      </c>
      <c r="D589" s="6" t="s">
        <v>3168</v>
      </c>
      <c r="E589" s="115" t="s">
        <v>1859</v>
      </c>
      <c r="F589" s="121">
        <v>500000</v>
      </c>
      <c r="G589" s="6"/>
      <c r="H589" s="6" t="s">
        <v>3214</v>
      </c>
      <c r="I589" s="6" t="s">
        <v>3215</v>
      </c>
      <c r="J589" s="6" t="s">
        <v>2508</v>
      </c>
      <c r="K589" s="6" t="s">
        <v>1828</v>
      </c>
      <c r="L589" s="6"/>
      <c r="M589" s="6" t="s">
        <v>3168</v>
      </c>
    </row>
    <row r="590" spans="1:13" ht="25.5">
      <c r="A590" s="143">
        <v>2017</v>
      </c>
      <c r="B590" s="6" t="s">
        <v>3216</v>
      </c>
      <c r="C590" s="6" t="s">
        <v>61</v>
      </c>
      <c r="D590" s="115" t="s">
        <v>1383</v>
      </c>
      <c r="E590" s="115" t="s">
        <v>1859</v>
      </c>
      <c r="F590" s="121">
        <v>354000</v>
      </c>
      <c r="G590" s="6"/>
      <c r="H590" s="6" t="s">
        <v>3217</v>
      </c>
      <c r="I590" s="6" t="s">
        <v>1556</v>
      </c>
      <c r="J590" s="6" t="s">
        <v>1938</v>
      </c>
      <c r="K590" s="6" t="s">
        <v>1828</v>
      </c>
      <c r="L590" s="6"/>
      <c r="M590" s="6" t="s">
        <v>1383</v>
      </c>
    </row>
    <row r="591" spans="1:13" ht="25.5">
      <c r="A591" s="143">
        <v>2017</v>
      </c>
      <c r="B591" s="6" t="s">
        <v>3218</v>
      </c>
      <c r="C591" s="6" t="s">
        <v>3204</v>
      </c>
      <c r="D591" s="6" t="s">
        <v>3155</v>
      </c>
      <c r="E591" s="6" t="s">
        <v>1824</v>
      </c>
      <c r="F591" s="121">
        <v>1337500</v>
      </c>
      <c r="G591" s="6"/>
      <c r="H591" s="6" t="s">
        <v>3219</v>
      </c>
      <c r="I591" s="6" t="s">
        <v>3220</v>
      </c>
      <c r="J591" s="6" t="s">
        <v>3221</v>
      </c>
      <c r="K591" s="6" t="s">
        <v>1919</v>
      </c>
      <c r="L591" s="6"/>
      <c r="M591" s="6" t="s">
        <v>3155</v>
      </c>
    </row>
    <row r="592" spans="1:13" ht="38.25">
      <c r="A592" s="143">
        <v>2017</v>
      </c>
      <c r="B592" s="6" t="s">
        <v>3222</v>
      </c>
      <c r="C592" s="6" t="s">
        <v>61</v>
      </c>
      <c r="D592" s="22" t="s">
        <v>3092</v>
      </c>
      <c r="E592" s="6" t="s">
        <v>1904</v>
      </c>
      <c r="F592" s="121">
        <v>743784</v>
      </c>
      <c r="G592" s="6"/>
      <c r="H592" s="6" t="s">
        <v>3223</v>
      </c>
      <c r="I592" s="6" t="s">
        <v>3224</v>
      </c>
      <c r="J592" s="160" t="s">
        <v>3225</v>
      </c>
      <c r="K592" s="6" t="s">
        <v>2041</v>
      </c>
      <c r="L592" s="6"/>
      <c r="M592" s="6" t="s">
        <v>3092</v>
      </c>
    </row>
    <row r="593" spans="1:13" ht="38.25">
      <c r="A593" s="143">
        <v>2017</v>
      </c>
      <c r="B593" s="6" t="s">
        <v>3226</v>
      </c>
      <c r="C593" s="6" t="s">
        <v>61</v>
      </c>
      <c r="D593" s="115" t="s">
        <v>1383</v>
      </c>
      <c r="E593" s="115" t="s">
        <v>1859</v>
      </c>
      <c r="F593" s="121">
        <v>1248000</v>
      </c>
      <c r="G593" s="6"/>
      <c r="H593" s="6" t="s">
        <v>3227</v>
      </c>
      <c r="I593" s="6" t="s">
        <v>3228</v>
      </c>
      <c r="J593" s="160" t="s">
        <v>3229</v>
      </c>
      <c r="K593" s="6" t="s">
        <v>1916</v>
      </c>
      <c r="L593" s="6"/>
      <c r="M593" s="6" t="s">
        <v>1383</v>
      </c>
    </row>
    <row r="594" spans="1:13" ht="25.5">
      <c r="A594" s="143">
        <v>2017</v>
      </c>
      <c r="B594" s="6" t="s">
        <v>3230</v>
      </c>
      <c r="C594" s="6" t="s">
        <v>61</v>
      </c>
      <c r="D594" s="6" t="s">
        <v>125</v>
      </c>
      <c r="E594" s="6" t="s">
        <v>1874</v>
      </c>
      <c r="F594" s="121">
        <v>500000</v>
      </c>
      <c r="G594" s="6"/>
      <c r="H594" s="6" t="s">
        <v>807</v>
      </c>
      <c r="I594" s="6" t="s">
        <v>811</v>
      </c>
      <c r="J594" s="6" t="s">
        <v>1938</v>
      </c>
      <c r="K594" s="6" t="s">
        <v>1828</v>
      </c>
      <c r="L594" s="6"/>
      <c r="M594" s="6" t="s">
        <v>125</v>
      </c>
    </row>
    <row r="595" spans="1:13" ht="38.25">
      <c r="A595" s="143">
        <v>2017</v>
      </c>
      <c r="B595" s="6" t="s">
        <v>3231</v>
      </c>
      <c r="C595" s="6" t="s">
        <v>61</v>
      </c>
      <c r="D595" s="6" t="s">
        <v>394</v>
      </c>
      <c r="E595" s="115" t="s">
        <v>1853</v>
      </c>
      <c r="F595" s="121">
        <v>241450</v>
      </c>
      <c r="G595" s="6"/>
      <c r="H595" s="6" t="s">
        <v>3232</v>
      </c>
      <c r="I595" s="6" t="s">
        <v>3233</v>
      </c>
      <c r="J595" s="160" t="s">
        <v>3234</v>
      </c>
      <c r="K595" s="6" t="s">
        <v>1899</v>
      </c>
      <c r="L595" s="6"/>
      <c r="M595" s="6" t="s">
        <v>394</v>
      </c>
    </row>
    <row r="596" spans="1:13" ht="38.25">
      <c r="A596" s="143">
        <v>2017</v>
      </c>
      <c r="B596" s="6" t="s">
        <v>3235</v>
      </c>
      <c r="C596" s="6" t="s">
        <v>2328</v>
      </c>
      <c r="D596" s="6"/>
      <c r="E596" s="6"/>
      <c r="F596" s="121">
        <v>1326052.5</v>
      </c>
      <c r="G596" s="6"/>
      <c r="H596" s="6" t="s">
        <v>3236</v>
      </c>
      <c r="I596" s="6" t="s">
        <v>3237</v>
      </c>
      <c r="J596" s="160" t="s">
        <v>3238</v>
      </c>
      <c r="K596" s="6" t="s">
        <v>1916</v>
      </c>
      <c r="L596" s="6"/>
      <c r="M596" s="6"/>
    </row>
    <row r="597" spans="1:13" ht="76.5">
      <c r="A597" s="143">
        <v>2017</v>
      </c>
      <c r="B597" s="6" t="s">
        <v>3239</v>
      </c>
      <c r="C597" s="6" t="s">
        <v>2328</v>
      </c>
      <c r="D597" s="6"/>
      <c r="E597" s="6" t="s">
        <v>1824</v>
      </c>
      <c r="F597" s="121">
        <v>5030944</v>
      </c>
      <c r="G597" s="6"/>
      <c r="H597" s="6" t="s">
        <v>3240</v>
      </c>
      <c r="I597" s="6" t="s">
        <v>3241</v>
      </c>
      <c r="J597" s="160" t="s">
        <v>3242</v>
      </c>
      <c r="K597" s="6" t="s">
        <v>2051</v>
      </c>
      <c r="L597" s="6"/>
      <c r="M597" s="6"/>
    </row>
    <row r="598" spans="1:13" ht="76.5">
      <c r="A598" s="143">
        <v>2017</v>
      </c>
      <c r="B598" s="6" t="s">
        <v>3243</v>
      </c>
      <c r="C598" s="6" t="s">
        <v>2328</v>
      </c>
      <c r="D598" s="6"/>
      <c r="E598" s="6" t="s">
        <v>1824</v>
      </c>
      <c r="F598" s="121">
        <v>3500000</v>
      </c>
      <c r="G598" s="6"/>
      <c r="H598" s="6" t="s">
        <v>3244</v>
      </c>
      <c r="I598" s="6" t="s">
        <v>3241</v>
      </c>
      <c r="J598" s="160" t="s">
        <v>3242</v>
      </c>
      <c r="K598" s="6" t="s">
        <v>2051</v>
      </c>
      <c r="L598" s="6"/>
      <c r="M598" s="6"/>
    </row>
    <row r="599" spans="1:13" ht="76.5">
      <c r="A599" s="143">
        <v>2017</v>
      </c>
      <c r="B599" s="6" t="s">
        <v>3245</v>
      </c>
      <c r="C599" s="6" t="s">
        <v>2328</v>
      </c>
      <c r="D599" s="6"/>
      <c r="E599" s="6" t="s">
        <v>1824</v>
      </c>
      <c r="F599" s="121">
        <v>552000</v>
      </c>
      <c r="G599" s="6"/>
      <c r="H599" s="6" t="s">
        <v>3246</v>
      </c>
      <c r="I599" s="6" t="s">
        <v>3247</v>
      </c>
      <c r="J599" s="160" t="s">
        <v>3242</v>
      </c>
      <c r="K599" s="6" t="s">
        <v>2051</v>
      </c>
      <c r="L599" s="6"/>
      <c r="M599" s="6"/>
    </row>
    <row r="600" spans="1:13" ht="12.75">
      <c r="A600" s="143">
        <v>2017</v>
      </c>
      <c r="B600" s="6" t="s">
        <v>3248</v>
      </c>
      <c r="C600" s="6" t="s">
        <v>2328</v>
      </c>
      <c r="D600" s="6"/>
      <c r="E600" s="6"/>
      <c r="F600" s="121">
        <v>605937</v>
      </c>
      <c r="G600" s="6"/>
      <c r="H600" s="6" t="s">
        <v>3249</v>
      </c>
      <c r="I600" s="6" t="s">
        <v>3250</v>
      </c>
      <c r="J600" s="160" t="s">
        <v>3251</v>
      </c>
      <c r="K600" s="6" t="s">
        <v>1899</v>
      </c>
      <c r="L600" s="6"/>
      <c r="M600" s="6"/>
    </row>
    <row r="601" spans="1:13" ht="51">
      <c r="A601" s="143">
        <v>2017</v>
      </c>
      <c r="B601" s="6" t="s">
        <v>3252</v>
      </c>
      <c r="C601" s="6" t="s">
        <v>61</v>
      </c>
      <c r="D601" s="9" t="s">
        <v>62</v>
      </c>
      <c r="E601" s="6" t="s">
        <v>1904</v>
      </c>
      <c r="F601" s="121">
        <v>1328975.1200000001</v>
      </c>
      <c r="G601" s="6"/>
      <c r="H601" s="6" t="s">
        <v>3253</v>
      </c>
      <c r="I601" s="6" t="s">
        <v>3254</v>
      </c>
      <c r="J601" s="160" t="s">
        <v>3255</v>
      </c>
      <c r="K601" s="6" t="s">
        <v>2082</v>
      </c>
      <c r="L601" s="6"/>
      <c r="M601" s="6" t="s">
        <v>1111</v>
      </c>
    </row>
    <row r="602" spans="1:13" ht="38.25">
      <c r="A602" s="143">
        <v>2017</v>
      </c>
      <c r="B602" s="6" t="s">
        <v>3256</v>
      </c>
      <c r="C602" s="6" t="s">
        <v>61</v>
      </c>
      <c r="D602" s="115" t="s">
        <v>1383</v>
      </c>
      <c r="E602" s="115" t="s">
        <v>1859</v>
      </c>
      <c r="F602" s="121">
        <v>200000</v>
      </c>
      <c r="G602" s="6"/>
      <c r="H602" s="6" t="s">
        <v>3257</v>
      </c>
      <c r="I602" s="6" t="s">
        <v>3258</v>
      </c>
      <c r="J602" s="160" t="s">
        <v>3229</v>
      </c>
      <c r="K602" s="6" t="s">
        <v>1916</v>
      </c>
      <c r="L602" s="6"/>
      <c r="M602" s="6" t="s">
        <v>1545</v>
      </c>
    </row>
    <row r="603" spans="1:13" ht="25.5">
      <c r="A603" s="143">
        <v>2017</v>
      </c>
      <c r="B603" s="6" t="s">
        <v>3259</v>
      </c>
      <c r="C603" s="6" t="s">
        <v>3204</v>
      </c>
      <c r="D603" s="6" t="s">
        <v>3155</v>
      </c>
      <c r="E603" s="6" t="s">
        <v>1824</v>
      </c>
      <c r="F603" s="150">
        <v>956511.2</v>
      </c>
      <c r="G603" s="6"/>
      <c r="H603" s="6" t="s">
        <v>3260</v>
      </c>
      <c r="I603" s="6" t="s">
        <v>3261</v>
      </c>
      <c r="J603" s="6" t="s">
        <v>1938</v>
      </c>
      <c r="K603" s="6" t="s">
        <v>1828</v>
      </c>
      <c r="L603" s="6"/>
      <c r="M603" s="6" t="s">
        <v>3155</v>
      </c>
    </row>
    <row r="604" spans="1:13" ht="25.5">
      <c r="A604" s="143">
        <v>2017</v>
      </c>
      <c r="B604" s="6" t="s">
        <v>3262</v>
      </c>
      <c r="C604" s="6" t="s">
        <v>61</v>
      </c>
      <c r="D604" s="6" t="s">
        <v>652</v>
      </c>
      <c r="E604" s="6" t="s">
        <v>1874</v>
      </c>
      <c r="F604" s="173">
        <v>63840</v>
      </c>
      <c r="G604" s="6"/>
      <c r="H604" s="6" t="s">
        <v>3263</v>
      </c>
      <c r="I604" s="6" t="s">
        <v>3264</v>
      </c>
      <c r="J604" s="160" t="s">
        <v>1938</v>
      </c>
      <c r="K604" s="6" t="s">
        <v>1828</v>
      </c>
      <c r="L604" s="6"/>
      <c r="M604" s="6" t="s">
        <v>652</v>
      </c>
    </row>
    <row r="605" spans="1:13" ht="25.5">
      <c r="A605" s="143">
        <v>2017</v>
      </c>
      <c r="B605" s="6" t="s">
        <v>3265</v>
      </c>
      <c r="C605" s="6"/>
      <c r="D605" s="6"/>
      <c r="E605" s="6"/>
      <c r="F605" s="174"/>
      <c r="G605" s="6"/>
      <c r="H605" s="6"/>
      <c r="I605" s="6"/>
      <c r="J605" s="6"/>
      <c r="K605" s="6"/>
      <c r="L605" s="6"/>
      <c r="M605" s="6"/>
    </row>
    <row r="606" spans="1:13" ht="63.75">
      <c r="A606" s="143">
        <v>2017</v>
      </c>
      <c r="B606" s="6" t="s">
        <v>3266</v>
      </c>
      <c r="C606" s="6" t="s">
        <v>61</v>
      </c>
      <c r="D606" s="6" t="s">
        <v>586</v>
      </c>
      <c r="E606" s="6" t="s">
        <v>1874</v>
      </c>
      <c r="F606" s="121">
        <v>8500</v>
      </c>
      <c r="G606" s="6"/>
      <c r="H606" s="6" t="s">
        <v>3267</v>
      </c>
      <c r="I606" s="6" t="s">
        <v>3268</v>
      </c>
      <c r="J606" s="6" t="s">
        <v>3269</v>
      </c>
      <c r="K606" s="6" t="s">
        <v>1855</v>
      </c>
      <c r="L606" s="6"/>
      <c r="M606" s="6" t="s">
        <v>586</v>
      </c>
    </row>
    <row r="607" spans="1:13" ht="25.5">
      <c r="A607" s="143">
        <v>2017</v>
      </c>
      <c r="B607" s="6" t="s">
        <v>3270</v>
      </c>
      <c r="C607" s="6" t="s">
        <v>61</v>
      </c>
      <c r="D607" s="6" t="s">
        <v>394</v>
      </c>
      <c r="E607" s="115" t="s">
        <v>1853</v>
      </c>
      <c r="F607" s="121">
        <v>62000</v>
      </c>
      <c r="G607" s="6"/>
      <c r="H607" s="6" t="s">
        <v>3271</v>
      </c>
      <c r="I607" s="6" t="s">
        <v>3272</v>
      </c>
      <c r="J607" s="6" t="s">
        <v>3273</v>
      </c>
      <c r="K607" s="6" t="s">
        <v>1896</v>
      </c>
      <c r="L607" s="6"/>
      <c r="M607" s="6" t="s">
        <v>394</v>
      </c>
    </row>
    <row r="608" spans="1:13" ht="25.5">
      <c r="A608" s="143">
        <v>2017</v>
      </c>
      <c r="B608" s="160" t="s">
        <v>3274</v>
      </c>
      <c r="C608" s="6" t="s">
        <v>61</v>
      </c>
      <c r="D608" s="6" t="s">
        <v>394</v>
      </c>
      <c r="E608" s="115" t="s">
        <v>1853</v>
      </c>
      <c r="F608" s="121">
        <v>32000</v>
      </c>
      <c r="G608" s="6"/>
      <c r="H608" s="6" t="s">
        <v>3275</v>
      </c>
      <c r="I608" s="160" t="s">
        <v>3272</v>
      </c>
      <c r="J608" s="6" t="s">
        <v>3273</v>
      </c>
      <c r="K608" s="6" t="s">
        <v>1896</v>
      </c>
      <c r="L608" s="6"/>
      <c r="M608" s="6" t="s">
        <v>394</v>
      </c>
    </row>
    <row r="609" spans="1:13" ht="38.25">
      <c r="A609" s="143">
        <v>2017</v>
      </c>
      <c r="B609" s="160" t="s">
        <v>3276</v>
      </c>
      <c r="C609" s="6" t="s">
        <v>61</v>
      </c>
      <c r="D609" s="115" t="s">
        <v>1383</v>
      </c>
      <c r="E609" s="115" t="s">
        <v>1859</v>
      </c>
      <c r="F609" s="170">
        <v>40000</v>
      </c>
      <c r="G609" s="6"/>
      <c r="H609" s="6" t="s">
        <v>3277</v>
      </c>
      <c r="I609" s="6" t="s">
        <v>3278</v>
      </c>
      <c r="J609" s="6" t="s">
        <v>3279</v>
      </c>
      <c r="K609" s="6" t="s">
        <v>1828</v>
      </c>
      <c r="L609" s="6"/>
      <c r="M609" s="6" t="s">
        <v>1383</v>
      </c>
    </row>
    <row r="610" spans="1:13" ht="25.5">
      <c r="A610" s="143">
        <v>2017</v>
      </c>
      <c r="B610" s="160" t="s">
        <v>3280</v>
      </c>
      <c r="C610" s="6" t="s">
        <v>61</v>
      </c>
      <c r="D610" s="6" t="s">
        <v>394</v>
      </c>
      <c r="E610" s="115" t="s">
        <v>1853</v>
      </c>
      <c r="F610" s="121">
        <v>31000</v>
      </c>
      <c r="G610" s="6"/>
      <c r="H610" s="6" t="s">
        <v>3281</v>
      </c>
      <c r="I610" s="6" t="s">
        <v>3282</v>
      </c>
      <c r="J610" s="6" t="s">
        <v>3283</v>
      </c>
      <c r="K610" s="6" t="s">
        <v>1828</v>
      </c>
      <c r="L610" s="6"/>
      <c r="M610" s="6" t="s">
        <v>394</v>
      </c>
    </row>
    <row r="611" spans="1:13" ht="25.5">
      <c r="A611" s="143">
        <v>2017</v>
      </c>
      <c r="B611" s="160" t="s">
        <v>3284</v>
      </c>
      <c r="C611" s="6" t="s">
        <v>61</v>
      </c>
      <c r="D611" s="6" t="s">
        <v>394</v>
      </c>
      <c r="E611" s="115" t="s">
        <v>1853</v>
      </c>
      <c r="F611" s="170">
        <v>48900</v>
      </c>
      <c r="G611" s="160"/>
      <c r="H611" s="160" t="s">
        <v>3285</v>
      </c>
      <c r="I611" s="6" t="s">
        <v>3286</v>
      </c>
      <c r="J611" s="6" t="s">
        <v>3287</v>
      </c>
      <c r="K611" s="6" t="s">
        <v>1899</v>
      </c>
      <c r="L611" s="160"/>
      <c r="M611" s="6" t="s">
        <v>394</v>
      </c>
    </row>
    <row r="612" spans="1:13" ht="25.5">
      <c r="A612" s="143">
        <v>2017</v>
      </c>
      <c r="B612" s="160" t="s">
        <v>3288</v>
      </c>
      <c r="C612" s="6"/>
      <c r="D612" s="6"/>
      <c r="E612" s="6"/>
      <c r="F612" s="121"/>
      <c r="G612" s="6"/>
      <c r="H612" s="6"/>
      <c r="I612" s="6"/>
      <c r="J612" s="6"/>
      <c r="K612" s="6"/>
      <c r="L612" s="6"/>
      <c r="M612" s="6"/>
    </row>
    <row r="613" spans="1:13" ht="38.25">
      <c r="A613" s="143">
        <v>2017</v>
      </c>
      <c r="B613" s="160" t="s">
        <v>3289</v>
      </c>
      <c r="C613" s="6" t="s">
        <v>61</v>
      </c>
      <c r="D613" s="115" t="s">
        <v>1383</v>
      </c>
      <c r="E613" s="115" t="s">
        <v>1859</v>
      </c>
      <c r="F613" s="121">
        <v>15000</v>
      </c>
      <c r="G613" s="6"/>
      <c r="H613" s="6" t="s">
        <v>3290</v>
      </c>
      <c r="I613" s="6" t="s">
        <v>3291</v>
      </c>
      <c r="J613" s="6" t="s">
        <v>3292</v>
      </c>
      <c r="K613" s="6" t="s">
        <v>1828</v>
      </c>
      <c r="L613" s="6"/>
      <c r="M613" s="6" t="s">
        <v>1383</v>
      </c>
    </row>
    <row r="614" spans="1:13" ht="25.5">
      <c r="A614" s="143">
        <v>2017</v>
      </c>
      <c r="B614" s="160" t="s">
        <v>3293</v>
      </c>
      <c r="C614" s="6" t="s">
        <v>61</v>
      </c>
      <c r="D614" s="6" t="s">
        <v>1763</v>
      </c>
      <c r="E614" s="115" t="s">
        <v>1859</v>
      </c>
      <c r="F614" s="121">
        <v>34200</v>
      </c>
      <c r="G614" s="6"/>
      <c r="H614" s="6" t="s">
        <v>3294</v>
      </c>
      <c r="I614" s="6" t="s">
        <v>3295</v>
      </c>
      <c r="J614" s="6" t="s">
        <v>3296</v>
      </c>
      <c r="K614" s="6" t="s">
        <v>1828</v>
      </c>
      <c r="L614" s="6"/>
      <c r="M614" s="6" t="s">
        <v>1763</v>
      </c>
    </row>
    <row r="615" spans="1:13" ht="51">
      <c r="A615" s="143">
        <v>2017</v>
      </c>
      <c r="B615" s="160" t="s">
        <v>3297</v>
      </c>
      <c r="C615" s="6" t="s">
        <v>61</v>
      </c>
      <c r="D615" s="112" t="s">
        <v>68</v>
      </c>
      <c r="E615" s="6" t="s">
        <v>1874</v>
      </c>
      <c r="F615" s="121">
        <v>20000</v>
      </c>
      <c r="G615" s="6"/>
      <c r="H615" s="6" t="s">
        <v>3298</v>
      </c>
      <c r="I615" s="6" t="s">
        <v>3299</v>
      </c>
      <c r="J615" s="6" t="s">
        <v>3300</v>
      </c>
      <c r="K615" s="6" t="s">
        <v>1828</v>
      </c>
      <c r="L615" s="6"/>
      <c r="M615" s="6" t="s">
        <v>68</v>
      </c>
    </row>
    <row r="616" spans="1:13" ht="25.5">
      <c r="A616" s="143">
        <v>2017</v>
      </c>
      <c r="B616" s="160" t="s">
        <v>3301</v>
      </c>
      <c r="C616" s="6" t="s">
        <v>61</v>
      </c>
      <c r="D616" s="6" t="s">
        <v>586</v>
      </c>
      <c r="E616" s="6" t="s">
        <v>1874</v>
      </c>
      <c r="F616" s="121">
        <v>13876.49</v>
      </c>
      <c r="G616" s="6"/>
      <c r="H616" s="6" t="s">
        <v>3302</v>
      </c>
      <c r="I616" s="6" t="s">
        <v>3303</v>
      </c>
      <c r="J616" s="6" t="s">
        <v>3304</v>
      </c>
      <c r="K616" s="6" t="s">
        <v>1828</v>
      </c>
      <c r="L616" s="6"/>
      <c r="M616" s="6" t="s">
        <v>586</v>
      </c>
    </row>
    <row r="617" spans="1:13" ht="38.25">
      <c r="A617" s="143">
        <v>2017</v>
      </c>
      <c r="B617" s="160" t="s">
        <v>3305</v>
      </c>
      <c r="C617" s="6" t="s">
        <v>61</v>
      </c>
      <c r="D617" s="6" t="s">
        <v>1763</v>
      </c>
      <c r="E617" s="115" t="s">
        <v>1859</v>
      </c>
      <c r="F617" s="175">
        <v>42700</v>
      </c>
      <c r="G617" s="6"/>
      <c r="H617" s="6" t="s">
        <v>3306</v>
      </c>
      <c r="I617" s="6" t="s">
        <v>3295</v>
      </c>
      <c r="J617" s="6" t="s">
        <v>3307</v>
      </c>
      <c r="K617" s="6" t="s">
        <v>1828</v>
      </c>
      <c r="L617" s="6"/>
      <c r="M617" s="6" t="s">
        <v>1763</v>
      </c>
    </row>
    <row r="618" spans="1:13" ht="25.5">
      <c r="A618" s="143">
        <v>2017</v>
      </c>
      <c r="B618" s="160" t="s">
        <v>3308</v>
      </c>
      <c r="C618" s="6" t="s">
        <v>61</v>
      </c>
      <c r="D618" s="6" t="s">
        <v>1141</v>
      </c>
      <c r="E618" s="6" t="s">
        <v>1904</v>
      </c>
      <c r="F618" s="121">
        <v>80702.94</v>
      </c>
      <c r="G618" s="6"/>
      <c r="H618" s="6" t="s">
        <v>3309</v>
      </c>
      <c r="I618" s="6" t="s">
        <v>3310</v>
      </c>
      <c r="J618" s="6" t="s">
        <v>3311</v>
      </c>
      <c r="K618" s="6" t="s">
        <v>1899</v>
      </c>
      <c r="L618" s="6"/>
      <c r="M618" s="6" t="s">
        <v>1141</v>
      </c>
    </row>
    <row r="619" spans="1:13" ht="25.5">
      <c r="A619" s="143">
        <v>2017</v>
      </c>
      <c r="B619" s="160" t="s">
        <v>3312</v>
      </c>
      <c r="C619" s="6" t="s">
        <v>61</v>
      </c>
      <c r="D619" s="115" t="s">
        <v>1383</v>
      </c>
      <c r="E619" s="115" t="s">
        <v>1859</v>
      </c>
      <c r="F619" s="175">
        <v>15000</v>
      </c>
      <c r="G619" s="6"/>
      <c r="H619" s="6" t="s">
        <v>3313</v>
      </c>
      <c r="I619" s="6" t="s">
        <v>2319</v>
      </c>
      <c r="J619" s="6" t="s">
        <v>3314</v>
      </c>
      <c r="K619" s="6" t="s">
        <v>1828</v>
      </c>
      <c r="L619" s="6"/>
      <c r="M619" s="6" t="s">
        <v>1383</v>
      </c>
    </row>
    <row r="620" spans="1:13" ht="38.25">
      <c r="A620" s="143">
        <v>2017</v>
      </c>
      <c r="B620" s="160" t="s">
        <v>3315</v>
      </c>
      <c r="C620" s="6" t="s">
        <v>61</v>
      </c>
      <c r="D620" s="6" t="s">
        <v>394</v>
      </c>
      <c r="E620" s="115" t="s">
        <v>1853</v>
      </c>
      <c r="F620" s="121">
        <v>63500</v>
      </c>
      <c r="G620" s="6"/>
      <c r="H620" s="6" t="s">
        <v>3316</v>
      </c>
      <c r="I620" s="6" t="s">
        <v>3317</v>
      </c>
      <c r="J620" s="6" t="s">
        <v>3318</v>
      </c>
      <c r="K620" s="6" t="s">
        <v>1828</v>
      </c>
      <c r="L620" s="6"/>
      <c r="M620" s="6" t="s">
        <v>394</v>
      </c>
    </row>
    <row r="621" spans="1:13" ht="63.75">
      <c r="A621" s="143">
        <v>2017</v>
      </c>
      <c r="B621" s="160" t="s">
        <v>3319</v>
      </c>
      <c r="C621" s="6" t="s">
        <v>61</v>
      </c>
      <c r="D621" s="6" t="s">
        <v>3168</v>
      </c>
      <c r="E621" s="115" t="s">
        <v>1859</v>
      </c>
      <c r="F621" s="121">
        <v>20000</v>
      </c>
      <c r="G621" s="6"/>
      <c r="H621" s="6" t="s">
        <v>3320</v>
      </c>
      <c r="I621" s="6" t="s">
        <v>3321</v>
      </c>
      <c r="J621" s="6" t="s">
        <v>3322</v>
      </c>
      <c r="K621" s="6" t="s">
        <v>1828</v>
      </c>
      <c r="L621" s="6"/>
      <c r="M621" s="6" t="s">
        <v>3168</v>
      </c>
    </row>
    <row r="622" spans="1:13" ht="25.5">
      <c r="A622" s="143">
        <v>2017</v>
      </c>
      <c r="B622" s="160" t="s">
        <v>3323</v>
      </c>
      <c r="C622" s="6" t="s">
        <v>61</v>
      </c>
      <c r="D622" s="115" t="s">
        <v>1383</v>
      </c>
      <c r="E622" s="115" t="s">
        <v>1859</v>
      </c>
      <c r="F622" s="121">
        <v>50000</v>
      </c>
      <c r="G622" s="6"/>
      <c r="H622" s="6" t="s">
        <v>3324</v>
      </c>
      <c r="I622" s="6" t="s">
        <v>2620</v>
      </c>
      <c r="J622" s="6" t="s">
        <v>2793</v>
      </c>
      <c r="K622" s="6" t="s">
        <v>2130</v>
      </c>
      <c r="L622" s="6"/>
      <c r="M622" s="6" t="s">
        <v>1383</v>
      </c>
    </row>
    <row r="623" spans="1:13" ht="38.25">
      <c r="A623" s="143">
        <v>2017</v>
      </c>
      <c r="B623" s="160" t="s">
        <v>3325</v>
      </c>
      <c r="C623" s="6" t="s">
        <v>61</v>
      </c>
      <c r="D623" s="6" t="s">
        <v>394</v>
      </c>
      <c r="E623" s="115" t="s">
        <v>1853</v>
      </c>
      <c r="F623" s="121">
        <v>63500</v>
      </c>
      <c r="G623" s="6"/>
      <c r="H623" s="6" t="s">
        <v>3326</v>
      </c>
      <c r="I623" s="6" t="s">
        <v>3327</v>
      </c>
      <c r="J623" s="6" t="s">
        <v>3328</v>
      </c>
      <c r="K623" s="6" t="s">
        <v>2085</v>
      </c>
      <c r="L623" s="6"/>
      <c r="M623" s="6" t="s">
        <v>394</v>
      </c>
    </row>
    <row r="624" spans="1:13" ht="51">
      <c r="A624" s="143">
        <v>2017</v>
      </c>
      <c r="B624" s="160" t="s">
        <v>3329</v>
      </c>
      <c r="C624" s="6" t="s">
        <v>61</v>
      </c>
      <c r="D624" s="6" t="s">
        <v>394</v>
      </c>
      <c r="E624" s="115" t="s">
        <v>1853</v>
      </c>
      <c r="F624" s="121">
        <v>63500</v>
      </c>
      <c r="G624" s="6"/>
      <c r="H624" s="6" t="s">
        <v>3326</v>
      </c>
      <c r="I624" s="6" t="s">
        <v>572</v>
      </c>
      <c r="J624" s="6" t="s">
        <v>3330</v>
      </c>
      <c r="K624" s="6" t="s">
        <v>1855</v>
      </c>
      <c r="L624" s="6"/>
      <c r="M624" s="6" t="s">
        <v>394</v>
      </c>
    </row>
    <row r="625" spans="1:13" ht="38.25">
      <c r="A625" s="143">
        <v>2017</v>
      </c>
      <c r="B625" s="160" t="s">
        <v>3331</v>
      </c>
      <c r="C625" s="6" t="s">
        <v>61</v>
      </c>
      <c r="D625" s="115" t="s">
        <v>1383</v>
      </c>
      <c r="E625" s="115" t="s">
        <v>1859</v>
      </c>
      <c r="F625" s="121">
        <v>50000</v>
      </c>
      <c r="G625" s="6"/>
      <c r="H625" s="6" t="s">
        <v>3332</v>
      </c>
      <c r="I625" s="6" t="s">
        <v>3333</v>
      </c>
      <c r="J625" s="6" t="s">
        <v>3334</v>
      </c>
      <c r="K625" s="6" t="s">
        <v>1828</v>
      </c>
      <c r="L625" s="6"/>
      <c r="M625" s="6" t="s">
        <v>3335</v>
      </c>
    </row>
    <row r="626" spans="1:13" ht="25.5">
      <c r="A626" s="143">
        <v>2017</v>
      </c>
      <c r="B626" s="160" t="s">
        <v>3336</v>
      </c>
      <c r="C626" s="6" t="s">
        <v>61</v>
      </c>
      <c r="D626" s="115" t="s">
        <v>1383</v>
      </c>
      <c r="E626" s="115" t="s">
        <v>1859</v>
      </c>
      <c r="F626" s="121">
        <v>63000</v>
      </c>
      <c r="G626" s="6"/>
      <c r="H626" s="6" t="s">
        <v>3337</v>
      </c>
      <c r="I626" s="6" t="s">
        <v>811</v>
      </c>
      <c r="J626" s="6" t="s">
        <v>2924</v>
      </c>
      <c r="K626" s="6" t="s">
        <v>1828</v>
      </c>
      <c r="L626" s="6"/>
      <c r="M626" s="6" t="s">
        <v>1383</v>
      </c>
    </row>
    <row r="627" spans="1:13" ht="38.25">
      <c r="A627" s="143">
        <v>2017</v>
      </c>
      <c r="B627" s="160" t="s">
        <v>3338</v>
      </c>
      <c r="C627" s="6" t="s">
        <v>61</v>
      </c>
      <c r="D627" s="115" t="s">
        <v>1383</v>
      </c>
      <c r="E627" s="115" t="s">
        <v>1859</v>
      </c>
      <c r="F627" s="121">
        <v>47000</v>
      </c>
      <c r="G627" s="6"/>
      <c r="H627" s="6" t="s">
        <v>3339</v>
      </c>
      <c r="I627" s="6" t="s">
        <v>3340</v>
      </c>
      <c r="J627" s="6" t="s">
        <v>3341</v>
      </c>
      <c r="K627" s="6" t="s">
        <v>1828</v>
      </c>
      <c r="L627" s="6"/>
      <c r="M627" s="6" t="s">
        <v>1383</v>
      </c>
    </row>
    <row r="628" spans="1:13" ht="38.25">
      <c r="A628" s="143">
        <v>2017</v>
      </c>
      <c r="B628" s="160" t="s">
        <v>3342</v>
      </c>
      <c r="C628" s="6" t="s">
        <v>61</v>
      </c>
      <c r="D628" s="112" t="s">
        <v>68</v>
      </c>
      <c r="E628" s="6" t="s">
        <v>1874</v>
      </c>
      <c r="F628" s="121">
        <v>98500</v>
      </c>
      <c r="G628" s="6"/>
      <c r="H628" s="6" t="s">
        <v>3343</v>
      </c>
      <c r="I628" s="6" t="s">
        <v>3344</v>
      </c>
      <c r="J628" s="6" t="s">
        <v>3345</v>
      </c>
      <c r="K628" s="6" t="s">
        <v>1828</v>
      </c>
      <c r="L628" s="6"/>
      <c r="M628" s="6" t="s">
        <v>68</v>
      </c>
    </row>
    <row r="629" spans="1:13" ht="25.5">
      <c r="A629" s="143">
        <v>2017</v>
      </c>
      <c r="B629" s="160" t="s">
        <v>3346</v>
      </c>
      <c r="C629" s="6" t="s">
        <v>61</v>
      </c>
      <c r="D629" s="6" t="s">
        <v>2834</v>
      </c>
      <c r="E629" s="6" t="s">
        <v>1874</v>
      </c>
      <c r="F629" s="121">
        <v>68045.67</v>
      </c>
      <c r="G629" s="6"/>
      <c r="H629" s="6" t="s">
        <v>3347</v>
      </c>
      <c r="I629" s="6" t="s">
        <v>3348</v>
      </c>
      <c r="J629" s="6" t="s">
        <v>3349</v>
      </c>
      <c r="K629" s="6" t="s">
        <v>1855</v>
      </c>
      <c r="L629" s="6"/>
      <c r="M629" s="6" t="s">
        <v>2834</v>
      </c>
    </row>
    <row r="630" spans="1:13" ht="25.5">
      <c r="A630" s="143">
        <v>2017</v>
      </c>
      <c r="B630" s="160" t="s">
        <v>3350</v>
      </c>
      <c r="C630" s="6"/>
      <c r="D630" s="6"/>
      <c r="E630" s="6"/>
      <c r="F630" s="121"/>
      <c r="G630" s="6"/>
      <c r="H630" s="6"/>
      <c r="I630" s="6"/>
      <c r="J630" s="6"/>
      <c r="K630" s="6"/>
      <c r="L630" s="6"/>
      <c r="M630" s="6"/>
    </row>
    <row r="631" spans="1:13" ht="38.25">
      <c r="A631" s="143">
        <v>2017</v>
      </c>
      <c r="B631" s="160" t="s">
        <v>3351</v>
      </c>
      <c r="C631" s="6" t="s">
        <v>61</v>
      </c>
      <c r="D631" s="112" t="s">
        <v>68</v>
      </c>
      <c r="E631" s="6" t="s">
        <v>1874</v>
      </c>
      <c r="F631" s="121">
        <v>82960</v>
      </c>
      <c r="G631" s="6"/>
      <c r="H631" s="6" t="s">
        <v>3352</v>
      </c>
      <c r="I631" s="6" t="s">
        <v>3353</v>
      </c>
      <c r="J631" s="6" t="s">
        <v>3354</v>
      </c>
      <c r="K631" s="6" t="s">
        <v>1828</v>
      </c>
      <c r="L631" s="6"/>
      <c r="M631" s="6" t="s">
        <v>68</v>
      </c>
    </row>
    <row r="632" spans="1:13" ht="51">
      <c r="A632" s="143">
        <v>2017</v>
      </c>
      <c r="B632" s="160" t="s">
        <v>3355</v>
      </c>
      <c r="C632" s="6" t="s">
        <v>61</v>
      </c>
      <c r="D632" s="6" t="s">
        <v>2834</v>
      </c>
      <c r="E632" s="6" t="s">
        <v>1874</v>
      </c>
      <c r="F632" s="121">
        <v>99872</v>
      </c>
      <c r="G632" s="6"/>
      <c r="H632" s="6" t="s">
        <v>3356</v>
      </c>
      <c r="I632" s="6" t="s">
        <v>3357</v>
      </c>
      <c r="J632" s="6" t="s">
        <v>3358</v>
      </c>
      <c r="K632" s="6" t="s">
        <v>2082</v>
      </c>
      <c r="L632" s="6"/>
      <c r="M632" s="6" t="s">
        <v>2834</v>
      </c>
    </row>
    <row r="633" spans="1:13" ht="51">
      <c r="A633" s="143">
        <v>2017</v>
      </c>
      <c r="B633" s="160" t="s">
        <v>3359</v>
      </c>
      <c r="C633" s="6" t="s">
        <v>61</v>
      </c>
      <c r="D633" s="6" t="s">
        <v>652</v>
      </c>
      <c r="E633" s="6" t="s">
        <v>1874</v>
      </c>
      <c r="F633" s="121">
        <v>45940</v>
      </c>
      <c r="G633" s="6"/>
      <c r="H633" s="6" t="s">
        <v>3360</v>
      </c>
      <c r="I633" s="6" t="s">
        <v>811</v>
      </c>
      <c r="J633" s="6" t="s">
        <v>3001</v>
      </c>
      <c r="K633" s="6" t="s">
        <v>1828</v>
      </c>
      <c r="L633" s="6"/>
      <c r="M633" s="6" t="s">
        <v>652</v>
      </c>
    </row>
    <row r="634" spans="1:13" ht="25.5">
      <c r="A634" s="143">
        <v>2017</v>
      </c>
      <c r="B634" s="160" t="s">
        <v>3361</v>
      </c>
      <c r="C634" s="6" t="s">
        <v>61</v>
      </c>
      <c r="D634" s="6" t="s">
        <v>652</v>
      </c>
      <c r="E634" s="6" t="s">
        <v>1874</v>
      </c>
      <c r="F634" s="121">
        <v>87443.73</v>
      </c>
      <c r="G634" s="6"/>
      <c r="H634" s="6" t="s">
        <v>3362</v>
      </c>
      <c r="I634" s="6" t="s">
        <v>3363</v>
      </c>
      <c r="J634" s="6" t="s">
        <v>3364</v>
      </c>
      <c r="K634" s="6" t="s">
        <v>1919</v>
      </c>
      <c r="L634" s="6"/>
      <c r="M634" s="6" t="s">
        <v>652</v>
      </c>
    </row>
    <row r="635" spans="1:13" ht="25.5">
      <c r="A635" s="143">
        <v>2017</v>
      </c>
      <c r="B635" s="160" t="s">
        <v>3365</v>
      </c>
      <c r="C635" s="6" t="s">
        <v>61</v>
      </c>
      <c r="D635" s="6" t="s">
        <v>394</v>
      </c>
      <c r="E635" s="115" t="s">
        <v>1853</v>
      </c>
      <c r="F635" s="121">
        <v>98800</v>
      </c>
      <c r="G635" s="6"/>
      <c r="H635" s="6" t="s">
        <v>3366</v>
      </c>
      <c r="I635" s="6" t="s">
        <v>3367</v>
      </c>
      <c r="J635" s="6" t="s">
        <v>3368</v>
      </c>
      <c r="K635" s="6" t="s">
        <v>1828</v>
      </c>
      <c r="L635" s="6"/>
      <c r="M635" s="6" t="s">
        <v>394</v>
      </c>
    </row>
    <row r="636" spans="1:13" ht="38.25">
      <c r="A636" s="143">
        <v>2017</v>
      </c>
      <c r="B636" s="160" t="s">
        <v>3369</v>
      </c>
      <c r="C636" s="6" t="s">
        <v>3370</v>
      </c>
      <c r="D636" s="6" t="s">
        <v>3371</v>
      </c>
      <c r="E636" s="6"/>
      <c r="F636" s="121">
        <v>29000</v>
      </c>
      <c r="G636" s="6"/>
      <c r="H636" s="6" t="s">
        <v>3372</v>
      </c>
      <c r="I636" s="6" t="s">
        <v>3373</v>
      </c>
      <c r="J636" s="6" t="s">
        <v>3368</v>
      </c>
      <c r="K636" s="6" t="s">
        <v>1828</v>
      </c>
      <c r="L636" s="6"/>
      <c r="M636" s="6" t="s">
        <v>3371</v>
      </c>
    </row>
    <row r="637" spans="1:13" ht="38.25">
      <c r="A637" s="143">
        <v>2017</v>
      </c>
      <c r="B637" s="160" t="s">
        <v>3374</v>
      </c>
      <c r="C637" s="6" t="s">
        <v>61</v>
      </c>
      <c r="D637" s="6" t="s">
        <v>1763</v>
      </c>
      <c r="E637" s="115" t="s">
        <v>1859</v>
      </c>
      <c r="F637" s="121">
        <v>41000</v>
      </c>
      <c r="G637" s="6"/>
      <c r="H637" s="6" t="s">
        <v>3375</v>
      </c>
      <c r="I637" s="6" t="s">
        <v>1728</v>
      </c>
      <c r="J637" s="6" t="s">
        <v>3376</v>
      </c>
      <c r="K637" s="6" t="s">
        <v>1828</v>
      </c>
      <c r="L637" s="6"/>
      <c r="M637" s="6" t="s">
        <v>1763</v>
      </c>
    </row>
    <row r="638" spans="1:13" ht="51">
      <c r="A638" s="143">
        <v>2017</v>
      </c>
      <c r="B638" s="160" t="s">
        <v>3377</v>
      </c>
      <c r="C638" s="6" t="s">
        <v>61</v>
      </c>
      <c r="D638" s="6" t="s">
        <v>652</v>
      </c>
      <c r="E638" s="6" t="s">
        <v>1874</v>
      </c>
      <c r="F638" s="121">
        <v>99926</v>
      </c>
      <c r="G638" s="6"/>
      <c r="H638" s="6" t="s">
        <v>3378</v>
      </c>
      <c r="I638" s="6" t="s">
        <v>3379</v>
      </c>
      <c r="J638" s="6" t="s">
        <v>3380</v>
      </c>
      <c r="K638" s="6" t="s">
        <v>1899</v>
      </c>
      <c r="L638" s="6"/>
      <c r="M638" s="6" t="s">
        <v>652</v>
      </c>
    </row>
    <row r="639" spans="1:13" ht="38.25">
      <c r="A639" s="143">
        <v>2017</v>
      </c>
      <c r="B639" s="160" t="s">
        <v>3381</v>
      </c>
      <c r="C639" s="6" t="s">
        <v>61</v>
      </c>
      <c r="D639" s="6" t="s">
        <v>394</v>
      </c>
      <c r="E639" s="115" t="s">
        <v>1853</v>
      </c>
      <c r="F639" s="121">
        <v>100000</v>
      </c>
      <c r="G639" s="6"/>
      <c r="H639" s="6" t="s">
        <v>3382</v>
      </c>
      <c r="I639" s="6" t="s">
        <v>3383</v>
      </c>
      <c r="J639" s="6" t="s">
        <v>3384</v>
      </c>
      <c r="K639" s="6" t="s">
        <v>1916</v>
      </c>
      <c r="L639" s="6"/>
      <c r="M639" s="6" t="s">
        <v>394</v>
      </c>
    </row>
    <row r="640" spans="1:13" ht="38.25">
      <c r="A640" s="143">
        <v>2017</v>
      </c>
      <c r="B640" s="160" t="s">
        <v>3385</v>
      </c>
      <c r="C640" s="6" t="s">
        <v>61</v>
      </c>
      <c r="D640" s="6" t="s">
        <v>394</v>
      </c>
      <c r="E640" s="115" t="s">
        <v>1853</v>
      </c>
      <c r="F640" s="121">
        <v>100000</v>
      </c>
      <c r="G640" s="6"/>
      <c r="H640" s="6" t="s">
        <v>3382</v>
      </c>
      <c r="I640" s="6" t="s">
        <v>3383</v>
      </c>
      <c r="J640" s="6" t="s">
        <v>3384</v>
      </c>
      <c r="K640" s="6" t="s">
        <v>1916</v>
      </c>
      <c r="L640" s="6"/>
      <c r="M640" s="6" t="s">
        <v>394</v>
      </c>
    </row>
    <row r="641" spans="1:13" ht="25.5">
      <c r="A641" s="143">
        <v>2017</v>
      </c>
      <c r="B641" s="160" t="s">
        <v>3386</v>
      </c>
      <c r="C641" s="6" t="s">
        <v>61</v>
      </c>
      <c r="D641" s="6" t="s">
        <v>586</v>
      </c>
      <c r="E641" s="6" t="s">
        <v>1874</v>
      </c>
      <c r="F641" s="121">
        <v>28250</v>
      </c>
      <c r="G641" s="6"/>
      <c r="H641" s="6" t="s">
        <v>3387</v>
      </c>
      <c r="I641" s="6" t="s">
        <v>3388</v>
      </c>
      <c r="J641" s="6" t="s">
        <v>3389</v>
      </c>
      <c r="K641" s="6" t="s">
        <v>1828</v>
      </c>
      <c r="L641" s="6"/>
      <c r="M641" s="6" t="s">
        <v>586</v>
      </c>
    </row>
    <row r="642" spans="1:13" ht="25.5">
      <c r="A642" s="143">
        <v>2017</v>
      </c>
      <c r="B642" s="160" t="s">
        <v>3390</v>
      </c>
      <c r="C642" s="6" t="s">
        <v>61</v>
      </c>
      <c r="D642" s="6" t="s">
        <v>394</v>
      </c>
      <c r="E642" s="115" t="s">
        <v>1853</v>
      </c>
      <c r="F642" s="121">
        <v>63500</v>
      </c>
      <c r="G642" s="6"/>
      <c r="H642" s="6" t="s">
        <v>3391</v>
      </c>
      <c r="I642" s="6" t="s">
        <v>3392</v>
      </c>
      <c r="J642" s="6" t="s">
        <v>3311</v>
      </c>
      <c r="K642" s="6" t="s">
        <v>1899</v>
      </c>
      <c r="L642" s="6"/>
      <c r="M642" s="6" t="s">
        <v>394</v>
      </c>
    </row>
    <row r="643" spans="1:13" ht="25.5">
      <c r="A643" s="143">
        <v>2017</v>
      </c>
      <c r="B643" s="160" t="s">
        <v>3393</v>
      </c>
      <c r="C643" s="6"/>
      <c r="D643" s="6"/>
      <c r="E643" s="6"/>
      <c r="F643" s="121"/>
      <c r="G643" s="6"/>
      <c r="H643" s="6"/>
      <c r="I643" s="6"/>
      <c r="J643" s="6"/>
      <c r="K643" s="6"/>
      <c r="L643" s="6"/>
      <c r="M643" s="6"/>
    </row>
    <row r="644" spans="1:13" ht="38.25">
      <c r="A644" s="143">
        <v>2017</v>
      </c>
      <c r="B644" s="160" t="s">
        <v>3394</v>
      </c>
      <c r="C644" s="6" t="s">
        <v>61</v>
      </c>
      <c r="D644" s="6" t="s">
        <v>1763</v>
      </c>
      <c r="E644" s="115" t="s">
        <v>1859</v>
      </c>
      <c r="F644" s="121">
        <v>90000</v>
      </c>
      <c r="G644" s="6"/>
      <c r="H644" s="6" t="s">
        <v>3395</v>
      </c>
      <c r="I644" s="6" t="s">
        <v>3396</v>
      </c>
      <c r="J644" s="6" t="s">
        <v>3397</v>
      </c>
      <c r="K644" s="6" t="s">
        <v>1886</v>
      </c>
      <c r="L644" s="6"/>
      <c r="M644" s="6" t="s">
        <v>1763</v>
      </c>
    </row>
    <row r="645" spans="1:13" ht="38.25">
      <c r="A645" s="143">
        <v>2017</v>
      </c>
      <c r="B645" s="160" t="s">
        <v>3398</v>
      </c>
      <c r="C645" s="6" t="s">
        <v>61</v>
      </c>
      <c r="D645" s="6" t="s">
        <v>1763</v>
      </c>
      <c r="E645" s="115" t="s">
        <v>1859</v>
      </c>
      <c r="F645" s="121">
        <v>40000</v>
      </c>
      <c r="G645" s="6"/>
      <c r="H645" s="6" t="s">
        <v>3399</v>
      </c>
      <c r="I645" s="6" t="s">
        <v>3400</v>
      </c>
      <c r="J645" s="6" t="s">
        <v>3401</v>
      </c>
      <c r="K645" s="6" t="s">
        <v>1828</v>
      </c>
      <c r="L645" s="6"/>
      <c r="M645" s="6" t="s">
        <v>1763</v>
      </c>
    </row>
    <row r="646" spans="1:13" ht="25.5">
      <c r="A646" s="143">
        <v>2017</v>
      </c>
      <c r="B646" s="160" t="s">
        <v>3402</v>
      </c>
      <c r="C646" s="6" t="s">
        <v>61</v>
      </c>
      <c r="D646" s="6" t="s">
        <v>394</v>
      </c>
      <c r="E646" s="115" t="s">
        <v>1853</v>
      </c>
      <c r="F646" s="121">
        <v>63500</v>
      </c>
      <c r="G646" s="6"/>
      <c r="H646" s="6" t="s">
        <v>3403</v>
      </c>
      <c r="I646" s="6" t="s">
        <v>3404</v>
      </c>
      <c r="J646" s="6" t="s">
        <v>3405</v>
      </c>
      <c r="K646" s="6" t="s">
        <v>2130</v>
      </c>
      <c r="L646" s="6"/>
      <c r="M646" s="6" t="s">
        <v>394</v>
      </c>
    </row>
    <row r="647" spans="1:13" ht="38.25">
      <c r="A647" s="143">
        <v>2017</v>
      </c>
      <c r="B647" s="160" t="s">
        <v>3406</v>
      </c>
      <c r="C647" s="6" t="s">
        <v>61</v>
      </c>
      <c r="D647" s="115" t="s">
        <v>1383</v>
      </c>
      <c r="E647" s="115" t="s">
        <v>1859</v>
      </c>
      <c r="F647" s="121">
        <v>50000</v>
      </c>
      <c r="G647" s="6"/>
      <c r="H647" s="6" t="s">
        <v>3407</v>
      </c>
      <c r="I647" s="6" t="s">
        <v>3408</v>
      </c>
      <c r="J647" s="6" t="s">
        <v>3409</v>
      </c>
      <c r="K647" s="6" t="s">
        <v>1828</v>
      </c>
      <c r="L647" s="6"/>
      <c r="M647" s="6" t="s">
        <v>1383</v>
      </c>
    </row>
    <row r="648" spans="1:13" ht="38.25">
      <c r="A648" s="143">
        <v>2017</v>
      </c>
      <c r="B648" s="160" t="s">
        <v>3410</v>
      </c>
      <c r="C648" s="6" t="s">
        <v>61</v>
      </c>
      <c r="D648" s="6" t="s">
        <v>586</v>
      </c>
      <c r="E648" s="6" t="s">
        <v>1874</v>
      </c>
      <c r="F648" s="121">
        <v>8500</v>
      </c>
      <c r="G648" s="6"/>
      <c r="H648" s="6" t="s">
        <v>3411</v>
      </c>
      <c r="I648" s="6" t="s">
        <v>3412</v>
      </c>
      <c r="J648" s="6" t="s">
        <v>3413</v>
      </c>
      <c r="K648" s="6" t="s">
        <v>1828</v>
      </c>
      <c r="L648" s="6"/>
      <c r="M648" s="6" t="s">
        <v>586</v>
      </c>
    </row>
    <row r="649" spans="1:13" ht="25.5">
      <c r="A649" s="143">
        <v>2017</v>
      </c>
      <c r="B649" s="160" t="s">
        <v>3414</v>
      </c>
      <c r="C649" s="6" t="s">
        <v>61</v>
      </c>
      <c r="D649" s="6" t="s">
        <v>394</v>
      </c>
      <c r="E649" s="115" t="s">
        <v>1853</v>
      </c>
      <c r="F649" s="121">
        <v>30000</v>
      </c>
      <c r="G649" s="6"/>
      <c r="H649" s="6" t="s">
        <v>3415</v>
      </c>
      <c r="I649" s="6" t="s">
        <v>3416</v>
      </c>
      <c r="J649" s="6" t="s">
        <v>3417</v>
      </c>
      <c r="K649" s="6" t="s">
        <v>1828</v>
      </c>
      <c r="L649" s="6"/>
      <c r="M649" s="6" t="s">
        <v>394</v>
      </c>
    </row>
    <row r="650" spans="1:13" ht="25.5">
      <c r="A650" s="143">
        <v>2017</v>
      </c>
      <c r="B650" s="160" t="s">
        <v>3418</v>
      </c>
      <c r="C650" s="6" t="s">
        <v>61</v>
      </c>
      <c r="D650" s="6" t="s">
        <v>394</v>
      </c>
      <c r="E650" s="115" t="s">
        <v>1853</v>
      </c>
      <c r="F650" s="121">
        <v>30000</v>
      </c>
      <c r="G650" s="6"/>
      <c r="H650" s="6" t="s">
        <v>3419</v>
      </c>
      <c r="I650" s="6" t="s">
        <v>3420</v>
      </c>
      <c r="J650" s="6" t="s">
        <v>3421</v>
      </c>
      <c r="K650" s="6" t="s">
        <v>2085</v>
      </c>
      <c r="L650" s="6"/>
      <c r="M650" s="6" t="s">
        <v>394</v>
      </c>
    </row>
    <row r="651" spans="1:13" ht="25.5">
      <c r="A651" s="143">
        <v>2017</v>
      </c>
      <c r="B651" s="160" t="s">
        <v>3422</v>
      </c>
      <c r="C651" s="6" t="s">
        <v>61</v>
      </c>
      <c r="D651" s="6" t="s">
        <v>394</v>
      </c>
      <c r="E651" s="115" t="s">
        <v>1853</v>
      </c>
      <c r="F651" s="121">
        <v>12000</v>
      </c>
      <c r="G651" s="6"/>
      <c r="H651" s="6" t="s">
        <v>3403</v>
      </c>
      <c r="I651" s="6" t="s">
        <v>3423</v>
      </c>
      <c r="J651" s="6" t="s">
        <v>3405</v>
      </c>
      <c r="K651" s="6" t="s">
        <v>2130</v>
      </c>
      <c r="L651" s="6"/>
      <c r="M651" s="6" t="s">
        <v>394</v>
      </c>
    </row>
    <row r="652" spans="1:13" ht="38.25">
      <c r="A652" s="143">
        <v>2017</v>
      </c>
      <c r="B652" s="160" t="s">
        <v>3424</v>
      </c>
      <c r="C652" s="6" t="s">
        <v>61</v>
      </c>
      <c r="D652" s="6" t="s">
        <v>394</v>
      </c>
      <c r="E652" s="115" t="s">
        <v>1853</v>
      </c>
      <c r="F652" s="121">
        <v>64000</v>
      </c>
      <c r="G652" s="6"/>
      <c r="H652" s="6" t="s">
        <v>3425</v>
      </c>
      <c r="I652" s="6" t="s">
        <v>3426</v>
      </c>
      <c r="J652" s="6" t="s">
        <v>3427</v>
      </c>
      <c r="K652" s="6" t="s">
        <v>1855</v>
      </c>
      <c r="L652" s="6"/>
      <c r="M652" s="6" t="s">
        <v>394</v>
      </c>
    </row>
    <row r="653" spans="1:13" ht="25.5">
      <c r="A653" s="143">
        <v>2017</v>
      </c>
      <c r="B653" s="160" t="s">
        <v>3428</v>
      </c>
      <c r="C653" s="6" t="s">
        <v>61</v>
      </c>
      <c r="D653" s="115" t="s">
        <v>1383</v>
      </c>
      <c r="E653" s="115" t="s">
        <v>1859</v>
      </c>
      <c r="F653" s="121">
        <v>100000</v>
      </c>
      <c r="G653" s="6"/>
      <c r="H653" s="6" t="s">
        <v>3429</v>
      </c>
      <c r="I653" s="6" t="s">
        <v>3430</v>
      </c>
      <c r="J653" s="6" t="s">
        <v>3431</v>
      </c>
      <c r="K653" s="6" t="s">
        <v>2047</v>
      </c>
      <c r="L653" s="6"/>
      <c r="M653" s="6" t="s">
        <v>1383</v>
      </c>
    </row>
    <row r="654" spans="1:13" ht="25.5">
      <c r="A654" s="143">
        <v>2017</v>
      </c>
      <c r="B654" s="160" t="s">
        <v>3432</v>
      </c>
      <c r="C654" s="6" t="s">
        <v>61</v>
      </c>
      <c r="D654" s="9" t="s">
        <v>62</v>
      </c>
      <c r="E654" s="6" t="s">
        <v>1904</v>
      </c>
      <c r="F654" s="121">
        <v>793460</v>
      </c>
      <c r="G654" s="6"/>
      <c r="H654" s="6" t="s">
        <v>3433</v>
      </c>
      <c r="I654" s="6" t="s">
        <v>3434</v>
      </c>
      <c r="J654" s="6" t="s">
        <v>3435</v>
      </c>
      <c r="K654" s="6" t="s">
        <v>1828</v>
      </c>
      <c r="L654" s="6"/>
      <c r="M654" s="6" t="s">
        <v>62</v>
      </c>
    </row>
    <row r="655" spans="1:13" ht="25.5">
      <c r="A655" s="143">
        <v>2017</v>
      </c>
      <c r="B655" s="160" t="s">
        <v>3436</v>
      </c>
      <c r="C655" s="6" t="s">
        <v>61</v>
      </c>
      <c r="D655" s="6" t="s">
        <v>586</v>
      </c>
      <c r="E655" s="6" t="s">
        <v>1874</v>
      </c>
      <c r="F655" s="121">
        <v>8500</v>
      </c>
      <c r="G655" s="6"/>
      <c r="H655" s="6" t="s">
        <v>3437</v>
      </c>
      <c r="I655" s="6" t="s">
        <v>3438</v>
      </c>
      <c r="J655" s="6" t="s">
        <v>3439</v>
      </c>
      <c r="K655" s="6" t="s">
        <v>1828</v>
      </c>
      <c r="L655" s="6"/>
      <c r="M655" s="6" t="s">
        <v>586</v>
      </c>
    </row>
    <row r="656" spans="1:13" ht="25.5">
      <c r="A656" s="143">
        <v>2017</v>
      </c>
      <c r="B656" s="160" t="s">
        <v>3440</v>
      </c>
      <c r="C656" s="6" t="s">
        <v>61</v>
      </c>
      <c r="D656" s="6" t="s">
        <v>1141</v>
      </c>
      <c r="E656" s="6" t="s">
        <v>1904</v>
      </c>
      <c r="F656" s="121">
        <v>94008.75</v>
      </c>
      <c r="G656" s="6"/>
      <c r="H656" s="6" t="s">
        <v>3441</v>
      </c>
      <c r="I656" s="6" t="s">
        <v>3442</v>
      </c>
      <c r="J656" s="6" t="s">
        <v>3443</v>
      </c>
      <c r="K656" s="6" t="s">
        <v>1899</v>
      </c>
      <c r="L656" s="6"/>
      <c r="M656" s="6" t="s">
        <v>1141</v>
      </c>
    </row>
    <row r="657" spans="1:13" ht="25.5">
      <c r="A657" s="143">
        <v>2017</v>
      </c>
      <c r="B657" s="160" t="s">
        <v>3444</v>
      </c>
      <c r="C657" s="6" t="s">
        <v>61</v>
      </c>
      <c r="D657" s="6" t="s">
        <v>586</v>
      </c>
      <c r="E657" s="6" t="s">
        <v>1874</v>
      </c>
      <c r="F657" s="121">
        <v>8500</v>
      </c>
      <c r="G657" s="6"/>
      <c r="H657" s="6" t="s">
        <v>3445</v>
      </c>
      <c r="I657" s="6" t="s">
        <v>2625</v>
      </c>
      <c r="J657" s="6" t="s">
        <v>3446</v>
      </c>
      <c r="K657" s="6" t="s">
        <v>1886</v>
      </c>
      <c r="L657" s="6"/>
      <c r="M657" s="6" t="s">
        <v>586</v>
      </c>
    </row>
    <row r="658" spans="1:13" ht="25.5">
      <c r="A658" s="143">
        <v>2017</v>
      </c>
      <c r="B658" s="160" t="s">
        <v>3447</v>
      </c>
      <c r="C658" s="6" t="s">
        <v>61</v>
      </c>
      <c r="D658" s="115" t="s">
        <v>1383</v>
      </c>
      <c r="E658" s="115" t="s">
        <v>1859</v>
      </c>
      <c r="F658" s="121">
        <v>50000</v>
      </c>
      <c r="G658" s="6"/>
      <c r="H658" s="6" t="s">
        <v>3448</v>
      </c>
      <c r="I658" s="6" t="s">
        <v>3449</v>
      </c>
      <c r="J658" s="6" t="s">
        <v>3450</v>
      </c>
      <c r="K658" s="6" t="s">
        <v>1828</v>
      </c>
      <c r="L658" s="6"/>
      <c r="M658" s="6" t="s">
        <v>1383</v>
      </c>
    </row>
    <row r="659" spans="1:13" ht="38.25">
      <c r="A659" s="143">
        <v>2017</v>
      </c>
      <c r="B659" s="160" t="s">
        <v>3451</v>
      </c>
      <c r="C659" s="6" t="s">
        <v>61</v>
      </c>
      <c r="D659" s="6" t="s">
        <v>1262</v>
      </c>
      <c r="E659" s="6" t="s">
        <v>1904</v>
      </c>
      <c r="F659" s="121">
        <v>1135672</v>
      </c>
      <c r="G659" s="6"/>
      <c r="H659" s="6" t="s">
        <v>3452</v>
      </c>
      <c r="I659" s="6" t="s">
        <v>3453</v>
      </c>
      <c r="J659" s="6" t="s">
        <v>3454</v>
      </c>
      <c r="K659" s="6" t="s">
        <v>1828</v>
      </c>
      <c r="L659" s="6"/>
      <c r="M659" s="6" t="s">
        <v>1262</v>
      </c>
    </row>
    <row r="660" spans="1:13" ht="25.5">
      <c r="A660" s="143">
        <v>2017</v>
      </c>
      <c r="B660" s="160" t="s">
        <v>3455</v>
      </c>
      <c r="C660" s="6" t="s">
        <v>61</v>
      </c>
      <c r="D660" s="6" t="s">
        <v>394</v>
      </c>
      <c r="E660" s="115" t="s">
        <v>1853</v>
      </c>
      <c r="F660" s="121">
        <v>96000</v>
      </c>
      <c r="G660" s="6"/>
      <c r="H660" s="6" t="s">
        <v>3456</v>
      </c>
      <c r="I660" s="6" t="s">
        <v>811</v>
      </c>
      <c r="J660" s="6" t="s">
        <v>3368</v>
      </c>
      <c r="K660" s="6" t="s">
        <v>1828</v>
      </c>
      <c r="L660" s="6"/>
      <c r="M660" s="6" t="s">
        <v>394</v>
      </c>
    </row>
    <row r="661" spans="1:13" ht="25.5">
      <c r="A661" s="143">
        <v>2017</v>
      </c>
      <c r="B661" s="160" t="s">
        <v>3457</v>
      </c>
      <c r="C661" s="6" t="s">
        <v>61</v>
      </c>
      <c r="D661" s="6" t="s">
        <v>394</v>
      </c>
      <c r="E661" s="115" t="s">
        <v>1853</v>
      </c>
      <c r="F661" s="121">
        <v>86000</v>
      </c>
      <c r="G661" s="6"/>
      <c r="H661" s="6" t="s">
        <v>3458</v>
      </c>
      <c r="I661" s="6" t="s">
        <v>3459</v>
      </c>
      <c r="J661" s="6" t="s">
        <v>2924</v>
      </c>
      <c r="K661" s="6" t="s">
        <v>1828</v>
      </c>
      <c r="L661" s="6"/>
      <c r="M661" s="6" t="s">
        <v>394</v>
      </c>
    </row>
    <row r="662" spans="1:13" ht="25.5">
      <c r="A662" s="143">
        <v>2017</v>
      </c>
      <c r="B662" s="160" t="s">
        <v>3460</v>
      </c>
      <c r="C662" s="6" t="s">
        <v>61</v>
      </c>
      <c r="D662" s="6" t="s">
        <v>394</v>
      </c>
      <c r="E662" s="115" t="s">
        <v>1853</v>
      </c>
      <c r="F662" s="121">
        <v>33000</v>
      </c>
      <c r="G662" s="6"/>
      <c r="H662" s="6" t="s">
        <v>3461</v>
      </c>
      <c r="I662" s="6" t="s">
        <v>3459</v>
      </c>
      <c r="J662" s="6" t="s">
        <v>2924</v>
      </c>
      <c r="K662" s="6" t="s">
        <v>1828</v>
      </c>
      <c r="L662" s="6"/>
      <c r="M662" s="6" t="s">
        <v>394</v>
      </c>
    </row>
    <row r="663" spans="1:13" ht="25.5">
      <c r="A663" s="143">
        <v>2017</v>
      </c>
      <c r="B663" s="160" t="s">
        <v>3462</v>
      </c>
      <c r="C663" s="6" t="s">
        <v>61</v>
      </c>
      <c r="D663" s="6" t="s">
        <v>394</v>
      </c>
      <c r="E663" s="115" t="s">
        <v>1853</v>
      </c>
      <c r="F663" s="121">
        <v>42000</v>
      </c>
      <c r="G663" s="6"/>
      <c r="H663" s="6" t="s">
        <v>3463</v>
      </c>
      <c r="I663" s="6" t="s">
        <v>3464</v>
      </c>
      <c r="J663" s="6"/>
      <c r="K663" s="6" t="s">
        <v>1919</v>
      </c>
      <c r="L663" s="6"/>
      <c r="M663" s="6" t="s">
        <v>394</v>
      </c>
    </row>
    <row r="664" spans="1:13" ht="25.5">
      <c r="A664" s="143">
        <v>2017</v>
      </c>
      <c r="B664" s="160" t="s">
        <v>3465</v>
      </c>
      <c r="C664" s="6"/>
      <c r="D664" s="6"/>
      <c r="E664" s="6"/>
      <c r="F664" s="121"/>
      <c r="G664" s="6"/>
      <c r="H664" s="6"/>
      <c r="I664" s="6"/>
      <c r="J664" s="6"/>
      <c r="K664" s="6"/>
      <c r="L664" s="6"/>
      <c r="M664" s="6"/>
    </row>
    <row r="665" spans="1:13" ht="25.5">
      <c r="A665" s="143">
        <v>2017</v>
      </c>
      <c r="B665" s="160" t="s">
        <v>3466</v>
      </c>
      <c r="C665" s="6" t="s">
        <v>61</v>
      </c>
      <c r="D665" s="115" t="s">
        <v>1383</v>
      </c>
      <c r="E665" s="115" t="s">
        <v>1859</v>
      </c>
      <c r="F665" s="121">
        <v>76500</v>
      </c>
      <c r="G665" s="6"/>
      <c r="H665" s="6" t="s">
        <v>3467</v>
      </c>
      <c r="I665" s="6" t="s">
        <v>811</v>
      </c>
      <c r="J665" s="6" t="s">
        <v>2924</v>
      </c>
      <c r="K665" s="6" t="s">
        <v>1828</v>
      </c>
      <c r="L665" s="6"/>
      <c r="M665" s="6" t="s">
        <v>1383</v>
      </c>
    </row>
    <row r="666" spans="1:13" ht="38.25">
      <c r="A666" s="143">
        <v>2017</v>
      </c>
      <c r="B666" s="160" t="s">
        <v>3468</v>
      </c>
      <c r="C666" s="6" t="s">
        <v>61</v>
      </c>
      <c r="D666" s="6" t="s">
        <v>3168</v>
      </c>
      <c r="E666" s="115" t="s">
        <v>1859</v>
      </c>
      <c r="F666" s="121">
        <v>100000</v>
      </c>
      <c r="G666" s="6"/>
      <c r="H666" s="6" t="s">
        <v>3469</v>
      </c>
      <c r="I666" s="6" t="s">
        <v>3470</v>
      </c>
      <c r="J666" s="6" t="s">
        <v>3471</v>
      </c>
      <c r="K666" s="6" t="s">
        <v>1828</v>
      </c>
      <c r="L666" s="6"/>
      <c r="M666" s="6" t="s">
        <v>3168</v>
      </c>
    </row>
    <row r="667" spans="1:13" ht="25.5">
      <c r="A667" s="143">
        <v>2017</v>
      </c>
      <c r="B667" s="160" t="s">
        <v>3472</v>
      </c>
      <c r="C667" s="6" t="s">
        <v>61</v>
      </c>
      <c r="D667" s="6" t="s">
        <v>652</v>
      </c>
      <c r="E667" s="6" t="s">
        <v>1874</v>
      </c>
      <c r="F667" s="121">
        <v>36726</v>
      </c>
      <c r="G667" s="6"/>
      <c r="H667" s="6" t="s">
        <v>3473</v>
      </c>
      <c r="I667" s="6" t="s">
        <v>3474</v>
      </c>
      <c r="J667" s="6" t="s">
        <v>3475</v>
      </c>
      <c r="K667" s="6" t="s">
        <v>1828</v>
      </c>
      <c r="L667" s="6"/>
      <c r="M667" s="6" t="s">
        <v>652</v>
      </c>
    </row>
    <row r="668" spans="1:13" ht="38.25">
      <c r="A668" s="143">
        <v>2017</v>
      </c>
      <c r="B668" s="160" t="s">
        <v>3476</v>
      </c>
      <c r="C668" s="6" t="s">
        <v>61</v>
      </c>
      <c r="D668" s="6" t="s">
        <v>652</v>
      </c>
      <c r="E668" s="6" t="s">
        <v>1874</v>
      </c>
      <c r="F668" s="121">
        <v>83796.25</v>
      </c>
      <c r="G668" s="6"/>
      <c r="H668" s="6" t="s">
        <v>3477</v>
      </c>
      <c r="I668" s="6" t="s">
        <v>3478</v>
      </c>
      <c r="J668" s="6" t="s">
        <v>3479</v>
      </c>
      <c r="K668" s="6" t="s">
        <v>1886</v>
      </c>
      <c r="L668" s="6"/>
      <c r="M668" s="6" t="s">
        <v>652</v>
      </c>
    </row>
    <row r="669" spans="1:13" ht="38.25">
      <c r="A669" s="143">
        <v>2017</v>
      </c>
      <c r="B669" s="160" t="s">
        <v>3480</v>
      </c>
      <c r="C669" s="6" t="s">
        <v>61</v>
      </c>
      <c r="D669" s="6" t="s">
        <v>2834</v>
      </c>
      <c r="E669" s="6" t="s">
        <v>1874</v>
      </c>
      <c r="F669" s="175" t="s">
        <v>3481</v>
      </c>
      <c r="G669" s="6"/>
      <c r="H669" s="6" t="s">
        <v>3482</v>
      </c>
      <c r="I669" s="6" t="s">
        <v>3483</v>
      </c>
      <c r="J669" s="6" t="s">
        <v>3368</v>
      </c>
      <c r="K669" s="6" t="s">
        <v>1828</v>
      </c>
      <c r="L669" s="6"/>
      <c r="M669" s="6" t="s">
        <v>2834</v>
      </c>
    </row>
    <row r="670" spans="1:13" ht="51">
      <c r="A670" s="143">
        <v>2017</v>
      </c>
      <c r="B670" s="160" t="s">
        <v>3484</v>
      </c>
      <c r="C670" s="6" t="s">
        <v>61</v>
      </c>
      <c r="D670" s="6" t="s">
        <v>2834</v>
      </c>
      <c r="E670" s="6" t="s">
        <v>1874</v>
      </c>
      <c r="F670" s="121">
        <v>100000</v>
      </c>
      <c r="G670" s="6"/>
      <c r="H670" s="6" t="s">
        <v>3485</v>
      </c>
      <c r="I670" s="6" t="s">
        <v>581</v>
      </c>
      <c r="J670" s="6" t="s">
        <v>3486</v>
      </c>
      <c r="K670" s="6" t="s">
        <v>1916</v>
      </c>
      <c r="L670" s="6"/>
      <c r="M670" s="6" t="s">
        <v>2834</v>
      </c>
    </row>
    <row r="671" spans="1:13" ht="12.75">
      <c r="A671" s="143">
        <v>2017</v>
      </c>
      <c r="B671" s="160"/>
      <c r="C671" s="6"/>
      <c r="D671" s="6"/>
      <c r="E671" s="6"/>
      <c r="F671" s="121"/>
      <c r="G671" s="6"/>
      <c r="H671" s="6"/>
      <c r="I671" s="6"/>
      <c r="J671" s="6"/>
      <c r="K671" s="6"/>
      <c r="L671" s="6"/>
      <c r="M671" s="6"/>
    </row>
    <row r="672" spans="1:13" ht="25.5">
      <c r="A672" s="143">
        <v>2017</v>
      </c>
      <c r="B672" s="160" t="s">
        <v>3487</v>
      </c>
      <c r="C672" s="6" t="s">
        <v>61</v>
      </c>
      <c r="D672" s="6" t="s">
        <v>586</v>
      </c>
      <c r="E672" s="6" t="s">
        <v>1874</v>
      </c>
      <c r="F672" s="121">
        <v>29330</v>
      </c>
      <c r="G672" s="6"/>
      <c r="H672" s="6" t="s">
        <v>3488</v>
      </c>
      <c r="I672" s="6" t="s">
        <v>3489</v>
      </c>
      <c r="J672" s="6" t="s">
        <v>3490</v>
      </c>
      <c r="K672" s="6" t="s">
        <v>1828</v>
      </c>
      <c r="L672" s="6"/>
      <c r="M672" s="6" t="s">
        <v>586</v>
      </c>
    </row>
    <row r="673" spans="1:13" ht="38.25">
      <c r="A673" s="143">
        <v>2017</v>
      </c>
      <c r="B673" s="160" t="s">
        <v>3491</v>
      </c>
      <c r="C673" s="6" t="s">
        <v>61</v>
      </c>
      <c r="D673" s="6" t="s">
        <v>1763</v>
      </c>
      <c r="E673" s="115" t="s">
        <v>1859</v>
      </c>
      <c r="F673" s="121">
        <v>13945</v>
      </c>
      <c r="G673" s="6"/>
      <c r="H673" s="6" t="s">
        <v>3492</v>
      </c>
      <c r="I673" s="6" t="s">
        <v>3493</v>
      </c>
      <c r="J673" s="6"/>
      <c r="K673" s="6" t="s">
        <v>1828</v>
      </c>
      <c r="L673" s="6"/>
      <c r="M673" s="6" t="s">
        <v>1763</v>
      </c>
    </row>
    <row r="674" spans="1:13" ht="51">
      <c r="A674" s="143">
        <v>2017</v>
      </c>
      <c r="B674" s="160" t="s">
        <v>3494</v>
      </c>
      <c r="C674" s="6" t="s">
        <v>61</v>
      </c>
      <c r="D674" s="6" t="s">
        <v>3092</v>
      </c>
      <c r="E674" s="6" t="s">
        <v>1904</v>
      </c>
      <c r="F674" s="121">
        <v>98162</v>
      </c>
      <c r="G674" s="6"/>
      <c r="H674" s="6" t="s">
        <v>3495</v>
      </c>
      <c r="I674" s="6" t="s">
        <v>997</v>
      </c>
      <c r="J674" s="6" t="s">
        <v>3496</v>
      </c>
      <c r="K674" s="6" t="s">
        <v>1899</v>
      </c>
      <c r="L674" s="6"/>
      <c r="M674" s="6" t="s">
        <v>3092</v>
      </c>
    </row>
    <row r="675" spans="1:13" ht="38.25">
      <c r="A675" s="143">
        <v>2017</v>
      </c>
      <c r="B675" s="160" t="s">
        <v>3497</v>
      </c>
      <c r="C675" s="6" t="s">
        <v>61</v>
      </c>
      <c r="D675" s="6" t="s">
        <v>3168</v>
      </c>
      <c r="E675" s="115" t="s">
        <v>1859</v>
      </c>
      <c r="F675" s="121">
        <v>500000</v>
      </c>
      <c r="G675" s="6"/>
      <c r="H675" s="6" t="s">
        <v>3498</v>
      </c>
      <c r="I675" s="6" t="s">
        <v>3499</v>
      </c>
      <c r="J675" s="6" t="s">
        <v>3500</v>
      </c>
      <c r="K675" s="6" t="s">
        <v>1828</v>
      </c>
      <c r="L675" s="6"/>
      <c r="M675" s="6" t="s">
        <v>3168</v>
      </c>
    </row>
    <row r="676" spans="1:13" ht="38.25">
      <c r="A676" s="143">
        <v>2017</v>
      </c>
      <c r="B676" s="160" t="s">
        <v>3501</v>
      </c>
      <c r="C676" s="6" t="s">
        <v>61</v>
      </c>
      <c r="D676" s="6" t="s">
        <v>1763</v>
      </c>
      <c r="E676" s="115" t="s">
        <v>1859</v>
      </c>
      <c r="F676" s="121">
        <v>37500</v>
      </c>
      <c r="G676" s="6"/>
      <c r="H676" s="6" t="s">
        <v>3502</v>
      </c>
      <c r="I676" s="6" t="s">
        <v>3503</v>
      </c>
      <c r="J676" s="6" t="s">
        <v>3504</v>
      </c>
      <c r="K676" s="6" t="s">
        <v>1828</v>
      </c>
      <c r="L676" s="6"/>
      <c r="M676" s="6" t="s">
        <v>1763</v>
      </c>
    </row>
    <row r="677" spans="1:13" ht="12.75">
      <c r="A677" s="143">
        <v>2017</v>
      </c>
      <c r="B677" s="50" t="s">
        <v>3187</v>
      </c>
      <c r="C677" s="6" t="s">
        <v>61</v>
      </c>
      <c r="D677" s="6" t="s">
        <v>1141</v>
      </c>
      <c r="E677" s="6" t="s">
        <v>1904</v>
      </c>
      <c r="F677" s="176">
        <v>23860.21</v>
      </c>
      <c r="G677" s="6"/>
      <c r="H677" s="50" t="s">
        <v>3188</v>
      </c>
      <c r="I677" s="50" t="s">
        <v>3189</v>
      </c>
      <c r="J677" s="177" t="s">
        <v>3190</v>
      </c>
      <c r="K677" s="6" t="s">
        <v>2085</v>
      </c>
      <c r="L677" s="6"/>
      <c r="M677" s="6" t="s">
        <v>1141</v>
      </c>
    </row>
    <row r="678" spans="1:13" ht="25.5">
      <c r="A678" s="143">
        <v>2017</v>
      </c>
      <c r="B678" s="177" t="s">
        <v>3440</v>
      </c>
      <c r="C678" s="6" t="s">
        <v>61</v>
      </c>
      <c r="D678" s="6" t="s">
        <v>1141</v>
      </c>
      <c r="E678" s="6" t="s">
        <v>1904</v>
      </c>
      <c r="F678" s="176">
        <v>94008.75</v>
      </c>
      <c r="G678" s="6"/>
      <c r="H678" s="50" t="s">
        <v>3441</v>
      </c>
      <c r="I678" s="50" t="s">
        <v>3442</v>
      </c>
      <c r="J678" s="50" t="s">
        <v>3443</v>
      </c>
      <c r="K678" s="6" t="s">
        <v>1899</v>
      </c>
      <c r="L678" s="6"/>
      <c r="M678" s="6" t="s">
        <v>1141</v>
      </c>
    </row>
    <row r="679" spans="1:13" ht="25.5">
      <c r="A679" s="143">
        <v>2016</v>
      </c>
      <c r="B679" s="61">
        <v>42370</v>
      </c>
      <c r="C679" s="6" t="s">
        <v>61</v>
      </c>
      <c r="D679" s="6" t="s">
        <v>3505</v>
      </c>
      <c r="E679" s="6" t="s">
        <v>1824</v>
      </c>
      <c r="F679" s="121">
        <v>560000</v>
      </c>
      <c r="G679" s="178"/>
      <c r="H679" s="158" t="s">
        <v>3506</v>
      </c>
      <c r="I679" s="158" t="s">
        <v>1556</v>
      </c>
      <c r="J679" s="6" t="s">
        <v>1938</v>
      </c>
      <c r="K679" s="6" t="s">
        <v>1828</v>
      </c>
      <c r="L679" s="178"/>
      <c r="M679" s="22" t="s">
        <v>3505</v>
      </c>
    </row>
    <row r="680" spans="1:13" ht="38.25">
      <c r="A680" s="140">
        <v>2016</v>
      </c>
      <c r="B680" s="61">
        <v>42401</v>
      </c>
      <c r="C680" s="6" t="s">
        <v>61</v>
      </c>
      <c r="D680" s="9" t="s">
        <v>62</v>
      </c>
      <c r="E680" s="6" t="s">
        <v>1904</v>
      </c>
      <c r="F680" s="121">
        <v>2000000</v>
      </c>
      <c r="G680" s="179"/>
      <c r="H680" s="6" t="s">
        <v>3507</v>
      </c>
      <c r="I680" s="6" t="s">
        <v>3508</v>
      </c>
      <c r="J680" s="160" t="s">
        <v>3509</v>
      </c>
      <c r="K680" s="6" t="s">
        <v>1828</v>
      </c>
      <c r="L680" s="179"/>
      <c r="M680" s="22" t="s">
        <v>62</v>
      </c>
    </row>
    <row r="681" spans="1:13" ht="25.5">
      <c r="A681" s="143">
        <v>2016</v>
      </c>
      <c r="B681" s="61">
        <v>42430</v>
      </c>
      <c r="C681" s="6" t="s">
        <v>61</v>
      </c>
      <c r="D681" s="6" t="s">
        <v>3075</v>
      </c>
      <c r="E681" s="6" t="s">
        <v>1824</v>
      </c>
      <c r="F681" s="121">
        <v>437790</v>
      </c>
      <c r="G681" s="179"/>
      <c r="H681" s="6" t="s">
        <v>3510</v>
      </c>
      <c r="I681" s="6" t="s">
        <v>3076</v>
      </c>
      <c r="J681" s="6" t="s">
        <v>1938</v>
      </c>
      <c r="K681" s="6" t="s">
        <v>1828</v>
      </c>
      <c r="L681" s="179"/>
      <c r="M681" s="22" t="s">
        <v>3075</v>
      </c>
    </row>
    <row r="682" spans="1:13" ht="76.5">
      <c r="A682" s="143">
        <v>2016</v>
      </c>
      <c r="B682" s="61">
        <v>42461</v>
      </c>
      <c r="C682" s="6" t="s">
        <v>2328</v>
      </c>
      <c r="D682" s="6" t="s">
        <v>2724</v>
      </c>
      <c r="E682" s="6" t="s">
        <v>1874</v>
      </c>
      <c r="F682" s="121"/>
      <c r="G682" s="179"/>
      <c r="H682" s="6" t="s">
        <v>3511</v>
      </c>
      <c r="I682" s="6" t="s">
        <v>3512</v>
      </c>
      <c r="J682" s="160" t="s">
        <v>3513</v>
      </c>
      <c r="K682" s="6" t="s">
        <v>1828</v>
      </c>
      <c r="L682" s="179"/>
      <c r="M682" s="22" t="s">
        <v>3514</v>
      </c>
    </row>
    <row r="683" spans="1:13" ht="38.25">
      <c r="A683" s="143">
        <v>2016</v>
      </c>
      <c r="B683" s="61">
        <v>42491</v>
      </c>
      <c r="C683" s="6" t="s">
        <v>2328</v>
      </c>
      <c r="D683" s="6" t="s">
        <v>2724</v>
      </c>
      <c r="E683" s="6" t="s">
        <v>1874</v>
      </c>
      <c r="F683" s="121">
        <v>586479</v>
      </c>
      <c r="G683" s="179"/>
      <c r="H683" s="6" t="s">
        <v>3515</v>
      </c>
      <c r="I683" s="6" t="s">
        <v>3516</v>
      </c>
      <c r="J683" s="160" t="s">
        <v>3517</v>
      </c>
      <c r="K683" s="6" t="s">
        <v>2085</v>
      </c>
      <c r="L683" s="179"/>
      <c r="M683" s="22" t="s">
        <v>3514</v>
      </c>
    </row>
    <row r="684" spans="1:13" ht="38.25">
      <c r="A684" s="143">
        <v>2016</v>
      </c>
      <c r="B684" s="61">
        <v>42522</v>
      </c>
      <c r="C684" s="6" t="s">
        <v>2328</v>
      </c>
      <c r="D684" s="6" t="s">
        <v>3109</v>
      </c>
      <c r="E684" s="6" t="s">
        <v>1874</v>
      </c>
      <c r="F684" s="121">
        <v>10700</v>
      </c>
      <c r="G684" s="179"/>
      <c r="H684" s="6" t="s">
        <v>3518</v>
      </c>
      <c r="I684" s="6" t="s">
        <v>3519</v>
      </c>
      <c r="J684" s="160" t="s">
        <v>3520</v>
      </c>
      <c r="K684" s="6" t="s">
        <v>1828</v>
      </c>
      <c r="L684" s="179"/>
      <c r="M684" s="22" t="s">
        <v>3521</v>
      </c>
    </row>
    <row r="685" spans="1:13" ht="38.25">
      <c r="A685" s="143">
        <v>2016</v>
      </c>
      <c r="B685" s="62">
        <v>42552</v>
      </c>
      <c r="C685" s="6" t="s">
        <v>2328</v>
      </c>
      <c r="D685" s="6" t="s">
        <v>3109</v>
      </c>
      <c r="E685" s="6" t="s">
        <v>1874</v>
      </c>
      <c r="F685" s="121">
        <v>55000</v>
      </c>
      <c r="G685" s="179"/>
      <c r="H685" s="6" t="s">
        <v>3522</v>
      </c>
      <c r="I685" s="6" t="s">
        <v>3523</v>
      </c>
      <c r="J685" s="160" t="s">
        <v>3524</v>
      </c>
      <c r="K685" s="6" t="s">
        <v>1828</v>
      </c>
      <c r="L685" s="179"/>
      <c r="M685" s="22" t="s">
        <v>3521</v>
      </c>
    </row>
    <row r="686" spans="1:13" ht="25.5">
      <c r="A686" s="143">
        <v>2016</v>
      </c>
      <c r="B686" s="61">
        <v>42583</v>
      </c>
      <c r="C686" s="6" t="s">
        <v>2328</v>
      </c>
      <c r="D686" s="6" t="s">
        <v>2724</v>
      </c>
      <c r="E686" s="6" t="s">
        <v>1874</v>
      </c>
      <c r="F686" s="163">
        <v>71966</v>
      </c>
      <c r="G686" s="178"/>
      <c r="H686" s="158" t="s">
        <v>3525</v>
      </c>
      <c r="I686" s="158" t="s">
        <v>3526</v>
      </c>
      <c r="J686" s="158" t="s">
        <v>3527</v>
      </c>
      <c r="K686" s="6" t="s">
        <v>1828</v>
      </c>
      <c r="L686" s="178"/>
      <c r="M686" s="22" t="s">
        <v>3514</v>
      </c>
    </row>
    <row r="687" spans="1:13" ht="25.5">
      <c r="A687" s="143">
        <v>2016</v>
      </c>
      <c r="B687" s="62">
        <v>42614</v>
      </c>
      <c r="C687" s="6" t="s">
        <v>61</v>
      </c>
      <c r="D687" s="6" t="s">
        <v>394</v>
      </c>
      <c r="E687" s="115" t="s">
        <v>1853</v>
      </c>
      <c r="F687" s="121">
        <v>60800</v>
      </c>
      <c r="G687" s="179"/>
      <c r="H687" s="6" t="s">
        <v>3528</v>
      </c>
      <c r="I687" s="6" t="s">
        <v>3529</v>
      </c>
      <c r="J687" s="6" t="s">
        <v>1938</v>
      </c>
      <c r="K687" s="6" t="s">
        <v>1828</v>
      </c>
      <c r="L687" s="179"/>
      <c r="M687" s="22" t="s">
        <v>394</v>
      </c>
    </row>
    <row r="688" spans="1:13" ht="38.25">
      <c r="A688" s="143">
        <v>2016</v>
      </c>
      <c r="B688" s="62">
        <v>42644</v>
      </c>
      <c r="C688" s="6" t="s">
        <v>61</v>
      </c>
      <c r="D688" s="6" t="s">
        <v>1782</v>
      </c>
      <c r="E688" s="6" t="s">
        <v>1824</v>
      </c>
      <c r="F688" s="121">
        <v>318000</v>
      </c>
      <c r="G688" s="179"/>
      <c r="H688" s="6" t="s">
        <v>3530</v>
      </c>
      <c r="I688" s="6" t="s">
        <v>1556</v>
      </c>
      <c r="J688" s="6" t="s">
        <v>1938</v>
      </c>
      <c r="K688" s="6" t="s">
        <v>1828</v>
      </c>
      <c r="L688" s="179"/>
      <c r="M688" s="22" t="s">
        <v>1830</v>
      </c>
    </row>
    <row r="689" spans="1:13" ht="38.25">
      <c r="A689" s="143">
        <v>2017</v>
      </c>
      <c r="B689" s="62">
        <v>42675</v>
      </c>
      <c r="C689" s="6" t="s">
        <v>61</v>
      </c>
      <c r="D689" s="6" t="s">
        <v>1262</v>
      </c>
      <c r="E689" s="6" t="s">
        <v>1904</v>
      </c>
      <c r="F689" s="121">
        <v>863105.4</v>
      </c>
      <c r="G689" s="179"/>
      <c r="H689" s="6" t="s">
        <v>3531</v>
      </c>
      <c r="I689" s="6" t="s">
        <v>3532</v>
      </c>
      <c r="J689" s="6" t="s">
        <v>2508</v>
      </c>
      <c r="K689" s="6" t="s">
        <v>1828</v>
      </c>
      <c r="L689" s="179"/>
      <c r="M689" s="22" t="s">
        <v>1262</v>
      </c>
    </row>
    <row r="690" spans="1:13" ht="25.5">
      <c r="A690" s="143">
        <v>2016</v>
      </c>
      <c r="B690" s="62">
        <v>42705</v>
      </c>
      <c r="C690" s="6" t="s">
        <v>61</v>
      </c>
      <c r="D690" s="115" t="s">
        <v>1383</v>
      </c>
      <c r="E690" s="115" t="s">
        <v>1859</v>
      </c>
      <c r="F690" s="121">
        <v>2000000</v>
      </c>
      <c r="G690" s="179"/>
      <c r="H690" s="6" t="s">
        <v>3533</v>
      </c>
      <c r="I690" s="6" t="s">
        <v>1556</v>
      </c>
      <c r="J690" s="6" t="s">
        <v>1938</v>
      </c>
      <c r="K690" s="6" t="s">
        <v>1828</v>
      </c>
      <c r="L690" s="179"/>
      <c r="M690" s="22" t="s">
        <v>1940</v>
      </c>
    </row>
    <row r="691" spans="1:13" ht="51">
      <c r="A691" s="143">
        <v>2016</v>
      </c>
      <c r="B691" s="6" t="s">
        <v>3534</v>
      </c>
      <c r="C691" s="6" t="s">
        <v>2328</v>
      </c>
      <c r="D691" s="6" t="s">
        <v>2724</v>
      </c>
      <c r="E691" s="6" t="s">
        <v>1874</v>
      </c>
      <c r="F691" s="121">
        <v>197515.03</v>
      </c>
      <c r="G691" s="179"/>
      <c r="H691" s="6" t="s">
        <v>3535</v>
      </c>
      <c r="I691" s="158" t="s">
        <v>3536</v>
      </c>
      <c r="J691" s="158" t="s">
        <v>3537</v>
      </c>
      <c r="K691" s="6" t="s">
        <v>2085</v>
      </c>
      <c r="L691" s="179"/>
      <c r="M691" s="22" t="s">
        <v>3538</v>
      </c>
    </row>
    <row r="692" spans="1:13" ht="25.5">
      <c r="A692" s="143">
        <v>2016</v>
      </c>
      <c r="B692" s="6" t="s">
        <v>3539</v>
      </c>
      <c r="C692" s="6" t="s">
        <v>61</v>
      </c>
      <c r="D692" s="6" t="s">
        <v>3155</v>
      </c>
      <c r="E692" s="6" t="s">
        <v>1824</v>
      </c>
      <c r="F692" s="121">
        <v>1638300</v>
      </c>
      <c r="G692" s="179"/>
      <c r="H692" s="6" t="s">
        <v>3540</v>
      </c>
      <c r="I692" s="6" t="s">
        <v>1556</v>
      </c>
      <c r="J692" s="6" t="s">
        <v>1938</v>
      </c>
      <c r="K692" s="6" t="s">
        <v>1828</v>
      </c>
      <c r="L692" s="179"/>
      <c r="M692" s="22" t="s">
        <v>573</v>
      </c>
    </row>
    <row r="693" spans="1:13" ht="25.5">
      <c r="A693" s="143">
        <v>2016</v>
      </c>
      <c r="B693" s="6" t="s">
        <v>3541</v>
      </c>
      <c r="C693" s="6" t="s">
        <v>61</v>
      </c>
      <c r="D693" s="6" t="s">
        <v>1859</v>
      </c>
      <c r="E693" s="115" t="s">
        <v>1859</v>
      </c>
      <c r="F693" s="121">
        <v>400000</v>
      </c>
      <c r="G693" s="178"/>
      <c r="H693" s="158" t="s">
        <v>3542</v>
      </c>
      <c r="I693" s="6" t="s">
        <v>1556</v>
      </c>
      <c r="J693" s="6" t="s">
        <v>1938</v>
      </c>
      <c r="K693" s="6" t="s">
        <v>1828</v>
      </c>
      <c r="L693" s="178"/>
      <c r="M693" s="22" t="s">
        <v>1859</v>
      </c>
    </row>
    <row r="694" spans="1:13" ht="25.5">
      <c r="A694" s="143">
        <v>2016</v>
      </c>
      <c r="B694" s="6" t="s">
        <v>3543</v>
      </c>
      <c r="C694" s="6" t="s">
        <v>61</v>
      </c>
      <c r="D694" s="6" t="s">
        <v>1859</v>
      </c>
      <c r="E694" s="115" t="s">
        <v>1859</v>
      </c>
      <c r="F694" s="121">
        <v>200000</v>
      </c>
      <c r="G694" s="179"/>
      <c r="H694" s="6" t="s">
        <v>3544</v>
      </c>
      <c r="I694" s="6" t="s">
        <v>1556</v>
      </c>
      <c r="J694" s="6" t="s">
        <v>1938</v>
      </c>
      <c r="K694" s="6" t="s">
        <v>1828</v>
      </c>
      <c r="L694" s="179"/>
      <c r="M694" s="22" t="s">
        <v>1859</v>
      </c>
    </row>
    <row r="695" spans="1:13" ht="38.25">
      <c r="A695" s="140">
        <v>2016</v>
      </c>
      <c r="B695" s="6" t="s">
        <v>3545</v>
      </c>
      <c r="C695" s="6" t="s">
        <v>61</v>
      </c>
      <c r="D695" s="9" t="s">
        <v>62</v>
      </c>
      <c r="E695" s="6" t="s">
        <v>1904</v>
      </c>
      <c r="F695" s="121">
        <v>715000</v>
      </c>
      <c r="G695" s="179"/>
      <c r="H695" s="6" t="s">
        <v>3546</v>
      </c>
      <c r="I695" s="6" t="s">
        <v>3547</v>
      </c>
      <c r="J695" s="160" t="s">
        <v>3548</v>
      </c>
      <c r="K695" s="6" t="s">
        <v>1828</v>
      </c>
      <c r="L695" s="179"/>
      <c r="M695" s="22" t="s">
        <v>62</v>
      </c>
    </row>
    <row r="696" spans="1:13" ht="25.5">
      <c r="A696" s="143">
        <v>2016</v>
      </c>
      <c r="B696" s="6" t="s">
        <v>3549</v>
      </c>
      <c r="C696" s="6" t="s">
        <v>61</v>
      </c>
      <c r="D696" s="6" t="s">
        <v>3155</v>
      </c>
      <c r="E696" s="6" t="s">
        <v>1824</v>
      </c>
      <c r="F696" s="121">
        <v>800000</v>
      </c>
      <c r="G696" s="179"/>
      <c r="H696" s="6" t="s">
        <v>3540</v>
      </c>
      <c r="I696" s="6" t="s">
        <v>1556</v>
      </c>
      <c r="J696" s="6" t="s">
        <v>1938</v>
      </c>
      <c r="K696" s="6" t="s">
        <v>1828</v>
      </c>
      <c r="L696" s="179"/>
      <c r="M696" s="22" t="s">
        <v>3155</v>
      </c>
    </row>
    <row r="697" spans="1:13" ht="25.5">
      <c r="A697" s="143">
        <v>2016</v>
      </c>
      <c r="B697" s="6" t="s">
        <v>3550</v>
      </c>
      <c r="C697" s="6" t="s">
        <v>61</v>
      </c>
      <c r="D697" s="115" t="s">
        <v>1383</v>
      </c>
      <c r="E697" s="115" t="s">
        <v>1859</v>
      </c>
      <c r="F697" s="121">
        <v>200000</v>
      </c>
      <c r="G697" s="179"/>
      <c r="H697" s="6" t="s">
        <v>3551</v>
      </c>
      <c r="I697" s="6" t="s">
        <v>3552</v>
      </c>
      <c r="J697" s="6" t="s">
        <v>2508</v>
      </c>
      <c r="K697" s="6" t="s">
        <v>1828</v>
      </c>
      <c r="L697" s="179"/>
      <c r="M697" s="22" t="s">
        <v>2093</v>
      </c>
    </row>
    <row r="698" spans="1:13" ht="25.5">
      <c r="A698" s="143">
        <v>2016</v>
      </c>
      <c r="B698" s="6" t="s">
        <v>3553</v>
      </c>
      <c r="C698" s="6" t="s">
        <v>61</v>
      </c>
      <c r="D698" s="115" t="s">
        <v>1383</v>
      </c>
      <c r="E698" s="115" t="s">
        <v>1859</v>
      </c>
      <c r="F698" s="121">
        <v>200000</v>
      </c>
      <c r="G698" s="179"/>
      <c r="H698" s="6" t="s">
        <v>3554</v>
      </c>
      <c r="I698" s="6" t="s">
        <v>3555</v>
      </c>
      <c r="J698" s="6" t="s">
        <v>2508</v>
      </c>
      <c r="K698" s="6" t="s">
        <v>1828</v>
      </c>
      <c r="L698" s="179"/>
      <c r="M698" s="22" t="s">
        <v>2093</v>
      </c>
    </row>
    <row r="699" spans="1:13" ht="38.25">
      <c r="A699" s="143">
        <v>2016</v>
      </c>
      <c r="B699" s="6" t="s">
        <v>3556</v>
      </c>
      <c r="C699" s="6" t="s">
        <v>61</v>
      </c>
      <c r="D699" s="115" t="s">
        <v>1383</v>
      </c>
      <c r="E699" s="115" t="s">
        <v>1859</v>
      </c>
      <c r="F699" s="121">
        <v>200000</v>
      </c>
      <c r="G699" s="179"/>
      <c r="H699" s="6" t="s">
        <v>3557</v>
      </c>
      <c r="I699" s="6" t="s">
        <v>1686</v>
      </c>
      <c r="J699" s="6" t="s">
        <v>2508</v>
      </c>
      <c r="K699" s="6" t="s">
        <v>1828</v>
      </c>
      <c r="L699" s="179"/>
      <c r="M699" s="22" t="s">
        <v>2093</v>
      </c>
    </row>
    <row r="700" spans="1:13" ht="25.5">
      <c r="A700" s="143">
        <v>2016</v>
      </c>
      <c r="B700" s="6" t="s">
        <v>3558</v>
      </c>
      <c r="C700" s="6" t="s">
        <v>61</v>
      </c>
      <c r="D700" s="115" t="s">
        <v>1383</v>
      </c>
      <c r="E700" s="115" t="s">
        <v>1859</v>
      </c>
      <c r="F700" s="121">
        <v>200000</v>
      </c>
      <c r="G700" s="179"/>
      <c r="H700" s="6" t="s">
        <v>3559</v>
      </c>
      <c r="I700" s="6" t="s">
        <v>3560</v>
      </c>
      <c r="J700" s="6" t="s">
        <v>1938</v>
      </c>
      <c r="K700" s="6" t="s">
        <v>1828</v>
      </c>
      <c r="L700" s="179"/>
      <c r="M700" s="22" t="s">
        <v>2093</v>
      </c>
    </row>
    <row r="701" spans="1:13" ht="25.5">
      <c r="A701" s="143">
        <v>2016</v>
      </c>
      <c r="B701" s="6" t="s">
        <v>3561</v>
      </c>
      <c r="C701" s="6" t="s">
        <v>61</v>
      </c>
      <c r="D701" s="115" t="s">
        <v>1383</v>
      </c>
      <c r="E701" s="115" t="s">
        <v>1859</v>
      </c>
      <c r="F701" s="121">
        <v>200000</v>
      </c>
      <c r="G701" s="179"/>
      <c r="H701" s="6" t="s">
        <v>3562</v>
      </c>
      <c r="I701" s="6" t="s">
        <v>3563</v>
      </c>
      <c r="J701" s="6" t="s">
        <v>1938</v>
      </c>
      <c r="K701" s="6" t="s">
        <v>1828</v>
      </c>
      <c r="L701" s="179"/>
      <c r="M701" s="22" t="s">
        <v>2093</v>
      </c>
    </row>
    <row r="702" spans="1:13" ht="12.75">
      <c r="A702" s="143">
        <v>2016</v>
      </c>
      <c r="B702" s="6" t="s">
        <v>3564</v>
      </c>
      <c r="C702" s="6" t="s">
        <v>61</v>
      </c>
      <c r="D702" s="115" t="s">
        <v>1383</v>
      </c>
      <c r="E702" s="115" t="s">
        <v>1859</v>
      </c>
      <c r="F702" s="121">
        <v>200000</v>
      </c>
      <c r="G702" s="179"/>
      <c r="H702" s="6" t="s">
        <v>3565</v>
      </c>
      <c r="I702" s="6" t="s">
        <v>3566</v>
      </c>
      <c r="J702" s="6" t="s">
        <v>2508</v>
      </c>
      <c r="K702" s="6" t="s">
        <v>1828</v>
      </c>
      <c r="L702" s="179"/>
      <c r="M702" s="22" t="s">
        <v>2093</v>
      </c>
    </row>
    <row r="703" spans="1:13" ht="25.5">
      <c r="A703" s="143">
        <v>2016</v>
      </c>
      <c r="B703" s="6" t="s">
        <v>3567</v>
      </c>
      <c r="C703" s="6" t="s">
        <v>61</v>
      </c>
      <c r="D703" s="115" t="s">
        <v>1383</v>
      </c>
      <c r="E703" s="115" t="s">
        <v>1859</v>
      </c>
      <c r="F703" s="121">
        <v>200000</v>
      </c>
      <c r="G703" s="179"/>
      <c r="H703" s="6" t="s">
        <v>3568</v>
      </c>
      <c r="I703" s="6" t="s">
        <v>1611</v>
      </c>
      <c r="J703" s="6" t="s">
        <v>2508</v>
      </c>
      <c r="K703" s="6" t="s">
        <v>1828</v>
      </c>
      <c r="L703" s="179"/>
      <c r="M703" s="22" t="s">
        <v>2093</v>
      </c>
    </row>
    <row r="704" spans="1:13" ht="12.75">
      <c r="A704" s="143">
        <v>2016</v>
      </c>
      <c r="B704" s="6" t="s">
        <v>3569</v>
      </c>
      <c r="C704" s="6" t="s">
        <v>61</v>
      </c>
      <c r="D704" s="115" t="s">
        <v>1383</v>
      </c>
      <c r="E704" s="115" t="s">
        <v>1859</v>
      </c>
      <c r="F704" s="121">
        <v>200000</v>
      </c>
      <c r="G704" s="179"/>
      <c r="H704" s="6" t="s">
        <v>3570</v>
      </c>
      <c r="I704" s="6" t="s">
        <v>3571</v>
      </c>
      <c r="J704" s="6" t="s">
        <v>2508</v>
      </c>
      <c r="K704" s="6" t="s">
        <v>1828</v>
      </c>
      <c r="L704" s="179"/>
      <c r="M704" s="22" t="s">
        <v>2093</v>
      </c>
    </row>
    <row r="705" spans="1:13" ht="25.5">
      <c r="A705" s="143">
        <v>2016</v>
      </c>
      <c r="B705" s="6" t="s">
        <v>3572</v>
      </c>
      <c r="C705" s="6" t="s">
        <v>61</v>
      </c>
      <c r="D705" s="115" t="s">
        <v>1383</v>
      </c>
      <c r="E705" s="115" t="s">
        <v>1859</v>
      </c>
      <c r="F705" s="121">
        <v>200000</v>
      </c>
      <c r="G705" s="179"/>
      <c r="H705" s="6" t="s">
        <v>3573</v>
      </c>
      <c r="I705" s="6" t="s">
        <v>1742</v>
      </c>
      <c r="J705" s="6" t="s">
        <v>2508</v>
      </c>
      <c r="K705" s="6" t="s">
        <v>1828</v>
      </c>
      <c r="L705" s="179"/>
      <c r="M705" s="22" t="s">
        <v>2093</v>
      </c>
    </row>
    <row r="706" spans="1:13" ht="25.5">
      <c r="A706" s="143">
        <v>2016</v>
      </c>
      <c r="B706" s="6" t="s">
        <v>3574</v>
      </c>
      <c r="C706" s="6" t="s">
        <v>61</v>
      </c>
      <c r="D706" s="115" t="s">
        <v>1383</v>
      </c>
      <c r="E706" s="115" t="s">
        <v>1859</v>
      </c>
      <c r="F706" s="121">
        <v>200000</v>
      </c>
      <c r="G706" s="179"/>
      <c r="H706" s="6" t="s">
        <v>3575</v>
      </c>
      <c r="I706" s="6" t="s">
        <v>3576</v>
      </c>
      <c r="J706" s="6" t="s">
        <v>2508</v>
      </c>
      <c r="K706" s="6" t="s">
        <v>1828</v>
      </c>
      <c r="L706" s="179"/>
      <c r="M706" s="22" t="s">
        <v>2093</v>
      </c>
    </row>
    <row r="707" spans="1:13" ht="25.5">
      <c r="A707" s="143">
        <v>2016</v>
      </c>
      <c r="B707" s="6" t="s">
        <v>3577</v>
      </c>
      <c r="C707" s="6" t="s">
        <v>61</v>
      </c>
      <c r="D707" s="115" t="s">
        <v>1383</v>
      </c>
      <c r="E707" s="115" t="s">
        <v>1859</v>
      </c>
      <c r="F707" s="121">
        <v>200000</v>
      </c>
      <c r="G707" s="179"/>
      <c r="H707" s="6" t="s">
        <v>3578</v>
      </c>
      <c r="I707" s="6" t="s">
        <v>650</v>
      </c>
      <c r="J707" s="6"/>
      <c r="K707" s="6" t="s">
        <v>2085</v>
      </c>
      <c r="L707" s="179"/>
      <c r="M707" s="22" t="s">
        <v>2093</v>
      </c>
    </row>
    <row r="708" spans="1:13" ht="12.75">
      <c r="A708" s="143">
        <v>2016</v>
      </c>
      <c r="B708" s="6" t="s">
        <v>3579</v>
      </c>
      <c r="C708" s="6" t="s">
        <v>61</v>
      </c>
      <c r="D708" s="115" t="s">
        <v>1383</v>
      </c>
      <c r="E708" s="115" t="s">
        <v>1859</v>
      </c>
      <c r="F708" s="121">
        <v>200000</v>
      </c>
      <c r="G708" s="179"/>
      <c r="H708" s="6" t="s">
        <v>3580</v>
      </c>
      <c r="I708" s="6" t="s">
        <v>581</v>
      </c>
      <c r="J708" s="6"/>
      <c r="K708" s="6" t="s">
        <v>1916</v>
      </c>
      <c r="L708" s="179"/>
      <c r="M708" s="22" t="s">
        <v>2093</v>
      </c>
    </row>
    <row r="709" spans="1:13" ht="12.75">
      <c r="A709" s="143">
        <v>2016</v>
      </c>
      <c r="B709" s="6" t="s">
        <v>3581</v>
      </c>
      <c r="C709" s="6" t="s">
        <v>61</v>
      </c>
      <c r="D709" s="115" t="s">
        <v>1383</v>
      </c>
      <c r="E709" s="115" t="s">
        <v>1859</v>
      </c>
      <c r="F709" s="121">
        <v>200000</v>
      </c>
      <c r="G709" s="179"/>
      <c r="H709" s="6" t="s">
        <v>3582</v>
      </c>
      <c r="I709" s="6" t="s">
        <v>1722</v>
      </c>
      <c r="J709" s="6"/>
      <c r="K709" s="6" t="s">
        <v>1919</v>
      </c>
      <c r="L709" s="179"/>
      <c r="M709" s="22" t="s">
        <v>2093</v>
      </c>
    </row>
    <row r="710" spans="1:13" ht="38.25">
      <c r="A710" s="143">
        <v>2016</v>
      </c>
      <c r="B710" s="6" t="s">
        <v>3583</v>
      </c>
      <c r="C710" s="6" t="s">
        <v>61</v>
      </c>
      <c r="D710" s="115" t="s">
        <v>1383</v>
      </c>
      <c r="E710" s="115" t="s">
        <v>1859</v>
      </c>
      <c r="F710" s="121">
        <v>200000</v>
      </c>
      <c r="G710" s="179"/>
      <c r="H710" s="6" t="s">
        <v>3584</v>
      </c>
      <c r="I710" s="6" t="s">
        <v>1502</v>
      </c>
      <c r="J710" s="6"/>
      <c r="K710" s="6" t="s">
        <v>2051</v>
      </c>
      <c r="L710" s="179"/>
      <c r="M710" s="22" t="s">
        <v>2093</v>
      </c>
    </row>
    <row r="711" spans="1:13" ht="12.75">
      <c r="A711" s="143">
        <v>2016</v>
      </c>
      <c r="B711" s="6" t="s">
        <v>3585</v>
      </c>
      <c r="C711" s="6" t="s">
        <v>61</v>
      </c>
      <c r="D711" s="115" t="s">
        <v>1383</v>
      </c>
      <c r="E711" s="115" t="s">
        <v>1859</v>
      </c>
      <c r="F711" s="121">
        <v>200000</v>
      </c>
      <c r="G711" s="179"/>
      <c r="H711" s="6" t="s">
        <v>3586</v>
      </c>
      <c r="I711" s="6" t="s">
        <v>3587</v>
      </c>
      <c r="J711" s="6"/>
      <c r="K711" s="6" t="s">
        <v>1828</v>
      </c>
      <c r="L711" s="179"/>
      <c r="M711" s="22" t="s">
        <v>2093</v>
      </c>
    </row>
    <row r="712" spans="1:13" ht="25.5">
      <c r="A712" s="143">
        <v>2016</v>
      </c>
      <c r="B712" s="6" t="s">
        <v>3588</v>
      </c>
      <c r="C712" s="6" t="s">
        <v>61</v>
      </c>
      <c r="D712" s="115" t="s">
        <v>1383</v>
      </c>
      <c r="E712" s="115" t="s">
        <v>1859</v>
      </c>
      <c r="F712" s="121">
        <v>200000</v>
      </c>
      <c r="G712" s="179"/>
      <c r="H712" s="6" t="s">
        <v>3589</v>
      </c>
      <c r="I712" s="6" t="s">
        <v>1491</v>
      </c>
      <c r="J712" s="6"/>
      <c r="K712" s="6" t="s">
        <v>2041</v>
      </c>
      <c r="L712" s="179"/>
      <c r="M712" s="22" t="s">
        <v>2093</v>
      </c>
    </row>
    <row r="713" spans="1:13" ht="38.25">
      <c r="A713" s="143">
        <v>2016</v>
      </c>
      <c r="B713" s="6" t="s">
        <v>3590</v>
      </c>
      <c r="C713" s="6" t="s">
        <v>61</v>
      </c>
      <c r="D713" s="115" t="s">
        <v>1383</v>
      </c>
      <c r="E713" s="115" t="s">
        <v>1859</v>
      </c>
      <c r="F713" s="121">
        <v>200000</v>
      </c>
      <c r="G713" s="179"/>
      <c r="H713" s="6" t="s">
        <v>3591</v>
      </c>
      <c r="I713" s="6" t="s">
        <v>3592</v>
      </c>
      <c r="J713" s="6" t="s">
        <v>2508</v>
      </c>
      <c r="K713" s="6" t="s">
        <v>1828</v>
      </c>
      <c r="L713" s="179"/>
      <c r="M713" s="22" t="s">
        <v>2093</v>
      </c>
    </row>
    <row r="714" spans="1:13" ht="38.25">
      <c r="A714" s="143">
        <v>2016</v>
      </c>
      <c r="B714" s="6" t="s">
        <v>3593</v>
      </c>
      <c r="C714" s="6" t="s">
        <v>2328</v>
      </c>
      <c r="D714" s="6"/>
      <c r="E714" s="6"/>
      <c r="F714" s="121"/>
      <c r="G714" s="179"/>
      <c r="H714" s="6" t="s">
        <v>3594</v>
      </c>
      <c r="I714" s="6" t="s">
        <v>3595</v>
      </c>
      <c r="J714" s="160" t="s">
        <v>3596</v>
      </c>
      <c r="K714" s="6" t="s">
        <v>1828</v>
      </c>
      <c r="L714" s="179"/>
      <c r="M714" s="22"/>
    </row>
    <row r="715" spans="1:13" ht="38.25">
      <c r="A715" s="143">
        <v>2016</v>
      </c>
      <c r="B715" s="6" t="s">
        <v>3597</v>
      </c>
      <c r="C715" s="6" t="s">
        <v>2328</v>
      </c>
      <c r="D715" s="6" t="s">
        <v>2724</v>
      </c>
      <c r="E715" s="6" t="s">
        <v>1874</v>
      </c>
      <c r="F715" s="121"/>
      <c r="G715" s="179"/>
      <c r="H715" s="6" t="s">
        <v>3598</v>
      </c>
      <c r="I715" s="6" t="s">
        <v>3599</v>
      </c>
      <c r="J715" s="160" t="s">
        <v>3600</v>
      </c>
      <c r="K715" s="6" t="s">
        <v>1828</v>
      </c>
      <c r="L715" s="179"/>
      <c r="M715" s="22" t="s">
        <v>3538</v>
      </c>
    </row>
    <row r="716" spans="1:13" ht="51">
      <c r="A716" s="143">
        <v>2016</v>
      </c>
      <c r="B716" s="6" t="s">
        <v>3601</v>
      </c>
      <c r="C716" s="6" t="s">
        <v>2328</v>
      </c>
      <c r="D716" s="6" t="s">
        <v>2724</v>
      </c>
      <c r="E716" s="6" t="s">
        <v>1874</v>
      </c>
      <c r="F716" s="121">
        <v>81900</v>
      </c>
      <c r="G716" s="179"/>
      <c r="H716" s="6" t="s">
        <v>3602</v>
      </c>
      <c r="I716" s="6" t="s">
        <v>3603</v>
      </c>
      <c r="J716" s="158" t="s">
        <v>3604</v>
      </c>
      <c r="K716" s="6" t="s">
        <v>1828</v>
      </c>
      <c r="L716" s="179"/>
      <c r="M716" s="22" t="s">
        <v>3538</v>
      </c>
    </row>
    <row r="717" spans="1:13" ht="25.5">
      <c r="A717" s="143">
        <v>2016</v>
      </c>
      <c r="B717" s="6" t="s">
        <v>3605</v>
      </c>
      <c r="C717" s="6" t="s">
        <v>2328</v>
      </c>
      <c r="D717" s="6" t="s">
        <v>2724</v>
      </c>
      <c r="E717" s="6" t="s">
        <v>1874</v>
      </c>
      <c r="F717" s="121">
        <v>25000</v>
      </c>
      <c r="G717" s="179"/>
      <c r="H717" s="6" t="s">
        <v>3606</v>
      </c>
      <c r="I717" s="6" t="s">
        <v>3607</v>
      </c>
      <c r="J717" s="160" t="s">
        <v>3608</v>
      </c>
      <c r="K717" s="6" t="s">
        <v>1828</v>
      </c>
      <c r="L717" s="179"/>
      <c r="M717" s="22" t="s">
        <v>3538</v>
      </c>
    </row>
    <row r="718" spans="1:13" ht="38.25">
      <c r="A718" s="143">
        <v>2016</v>
      </c>
      <c r="B718" s="6" t="s">
        <v>3609</v>
      </c>
      <c r="C718" s="160" t="s">
        <v>2328</v>
      </c>
      <c r="D718" s="6" t="s">
        <v>3109</v>
      </c>
      <c r="E718" s="6" t="s">
        <v>1874</v>
      </c>
      <c r="F718" s="121">
        <v>78591</v>
      </c>
      <c r="G718" s="179"/>
      <c r="H718" s="6" t="s">
        <v>3610</v>
      </c>
      <c r="I718" s="6" t="s">
        <v>3611</v>
      </c>
      <c r="J718" s="160" t="s">
        <v>3612</v>
      </c>
      <c r="K718" s="6" t="s">
        <v>1828</v>
      </c>
      <c r="L718" s="179"/>
      <c r="M718" s="22" t="s">
        <v>3109</v>
      </c>
    </row>
    <row r="719" spans="1:13" ht="25.5">
      <c r="A719" s="143">
        <v>2016</v>
      </c>
      <c r="B719" s="6" t="s">
        <v>3613</v>
      </c>
      <c r="C719" s="6" t="s">
        <v>2328</v>
      </c>
      <c r="D719" s="6"/>
      <c r="E719" s="6"/>
      <c r="F719" s="121">
        <v>82650</v>
      </c>
      <c r="G719" s="179"/>
      <c r="H719" s="6" t="s">
        <v>3614</v>
      </c>
      <c r="I719" s="6" t="s">
        <v>3615</v>
      </c>
      <c r="J719" s="160" t="s">
        <v>3616</v>
      </c>
      <c r="K719" s="6" t="s">
        <v>1919</v>
      </c>
      <c r="L719" s="179"/>
      <c r="M719" s="22"/>
    </row>
    <row r="720" spans="1:13" ht="38.25">
      <c r="A720" s="143">
        <v>2016</v>
      </c>
      <c r="B720" s="6" t="s">
        <v>3617</v>
      </c>
      <c r="C720" s="6" t="s">
        <v>2328</v>
      </c>
      <c r="D720" s="6" t="s">
        <v>3109</v>
      </c>
      <c r="E720" s="6" t="s">
        <v>1874</v>
      </c>
      <c r="F720" s="121">
        <v>394193.22</v>
      </c>
      <c r="G720" s="179"/>
      <c r="H720" s="6" t="s">
        <v>3618</v>
      </c>
      <c r="I720" s="6" t="s">
        <v>3619</v>
      </c>
      <c r="J720" s="160" t="s">
        <v>3620</v>
      </c>
      <c r="K720" s="6" t="s">
        <v>1828</v>
      </c>
      <c r="L720" s="179"/>
      <c r="M720" s="22" t="s">
        <v>3109</v>
      </c>
    </row>
    <row r="721" spans="1:13" ht="38.25">
      <c r="A721" s="143">
        <v>2016</v>
      </c>
      <c r="B721" s="6" t="s">
        <v>3621</v>
      </c>
      <c r="C721" s="6" t="s">
        <v>2328</v>
      </c>
      <c r="D721" s="6" t="s">
        <v>3109</v>
      </c>
      <c r="E721" s="6" t="s">
        <v>1874</v>
      </c>
      <c r="F721" s="121">
        <v>28457.05</v>
      </c>
      <c r="G721" s="179"/>
      <c r="H721" s="6" t="s">
        <v>3622</v>
      </c>
      <c r="I721" s="6" t="s">
        <v>3623</v>
      </c>
      <c r="J721" s="160" t="s">
        <v>3624</v>
      </c>
      <c r="K721" s="6" t="s">
        <v>1828</v>
      </c>
      <c r="L721" s="179"/>
      <c r="M721" s="22" t="s">
        <v>3109</v>
      </c>
    </row>
    <row r="722" spans="1:13" ht="25.5">
      <c r="A722" s="143">
        <v>2016</v>
      </c>
      <c r="B722" s="6" t="s">
        <v>3625</v>
      </c>
      <c r="C722" s="6" t="s">
        <v>3626</v>
      </c>
      <c r="D722" s="6"/>
      <c r="E722" s="6"/>
      <c r="F722" s="121">
        <v>311000</v>
      </c>
      <c r="G722" s="179"/>
      <c r="H722" s="6" t="s">
        <v>3627</v>
      </c>
      <c r="I722" s="6" t="s">
        <v>3628</v>
      </c>
      <c r="J722" s="6"/>
      <c r="K722" s="6"/>
      <c r="L722" s="179"/>
      <c r="M722" s="22"/>
    </row>
    <row r="723" spans="1:13" ht="25.5">
      <c r="A723" s="143">
        <v>2016</v>
      </c>
      <c r="B723" s="6" t="s">
        <v>3629</v>
      </c>
      <c r="C723" s="6" t="s">
        <v>61</v>
      </c>
      <c r="D723" s="115" t="s">
        <v>1383</v>
      </c>
      <c r="E723" s="115" t="s">
        <v>1859</v>
      </c>
      <c r="F723" s="121">
        <v>200000</v>
      </c>
      <c r="G723" s="179"/>
      <c r="H723" s="6" t="s">
        <v>3630</v>
      </c>
      <c r="I723" s="6" t="s">
        <v>3631</v>
      </c>
      <c r="J723" s="6" t="s">
        <v>2508</v>
      </c>
      <c r="K723" s="6" t="s">
        <v>1828</v>
      </c>
      <c r="L723" s="179"/>
      <c r="M723" s="22" t="s">
        <v>2093</v>
      </c>
    </row>
    <row r="724" spans="1:13" ht="25.5">
      <c r="A724" s="143">
        <v>2016</v>
      </c>
      <c r="B724" s="6" t="s">
        <v>3632</v>
      </c>
      <c r="C724" s="6" t="s">
        <v>61</v>
      </c>
      <c r="D724" s="115" t="s">
        <v>1383</v>
      </c>
      <c r="E724" s="115" t="s">
        <v>1859</v>
      </c>
      <c r="F724" s="121">
        <v>200000</v>
      </c>
      <c r="G724" s="178"/>
      <c r="H724" s="158" t="s">
        <v>3633</v>
      </c>
      <c r="I724" s="6" t="s">
        <v>3634</v>
      </c>
      <c r="J724" s="6" t="s">
        <v>1938</v>
      </c>
      <c r="K724" s="6" t="s">
        <v>1828</v>
      </c>
      <c r="L724" s="178"/>
      <c r="M724" s="22" t="s">
        <v>2093</v>
      </c>
    </row>
    <row r="725" spans="1:13" ht="25.5">
      <c r="A725" s="143">
        <v>2016</v>
      </c>
      <c r="B725" s="6" t="s">
        <v>3635</v>
      </c>
      <c r="C725" s="6" t="s">
        <v>61</v>
      </c>
      <c r="D725" s="115" t="s">
        <v>1383</v>
      </c>
      <c r="E725" s="115" t="s">
        <v>1859</v>
      </c>
      <c r="F725" s="121">
        <v>200000</v>
      </c>
      <c r="G725" s="179"/>
      <c r="H725" s="6" t="s">
        <v>3636</v>
      </c>
      <c r="I725" s="6" t="s">
        <v>3637</v>
      </c>
      <c r="J725" s="6"/>
      <c r="K725" s="6" t="s">
        <v>1886</v>
      </c>
      <c r="L725" s="179"/>
      <c r="M725" s="22" t="s">
        <v>2093</v>
      </c>
    </row>
    <row r="726" spans="1:13" ht="12.75">
      <c r="A726" s="143">
        <v>2016</v>
      </c>
      <c r="B726" s="6" t="s">
        <v>3638</v>
      </c>
      <c r="C726" s="6" t="s">
        <v>61</v>
      </c>
      <c r="D726" s="115" t="s">
        <v>1383</v>
      </c>
      <c r="E726" s="115" t="s">
        <v>1859</v>
      </c>
      <c r="F726" s="121">
        <v>200000</v>
      </c>
      <c r="G726" s="179"/>
      <c r="H726" s="6" t="s">
        <v>3639</v>
      </c>
      <c r="I726" s="6" t="s">
        <v>3640</v>
      </c>
      <c r="J726" s="6"/>
      <c r="K726" s="6" t="s">
        <v>2082</v>
      </c>
      <c r="L726" s="179"/>
      <c r="M726" s="22" t="s">
        <v>2093</v>
      </c>
    </row>
    <row r="727" spans="1:13" ht="12.75">
      <c r="A727" s="143">
        <v>2016</v>
      </c>
      <c r="B727" s="6" t="s">
        <v>3641</v>
      </c>
      <c r="C727" s="160" t="s">
        <v>61</v>
      </c>
      <c r="D727" s="115" t="s">
        <v>1383</v>
      </c>
      <c r="E727" s="115" t="s">
        <v>1859</v>
      </c>
      <c r="F727" s="121">
        <v>200000</v>
      </c>
      <c r="G727" s="179"/>
      <c r="H727" s="6" t="s">
        <v>3582</v>
      </c>
      <c r="I727" s="6" t="s">
        <v>707</v>
      </c>
      <c r="J727" s="6"/>
      <c r="K727" s="6" t="s">
        <v>1896</v>
      </c>
      <c r="L727" s="179"/>
      <c r="M727" s="22" t="s">
        <v>2093</v>
      </c>
    </row>
    <row r="728" spans="1:13" ht="12.75">
      <c r="A728" s="143">
        <v>2016</v>
      </c>
      <c r="B728" s="6" t="s">
        <v>3642</v>
      </c>
      <c r="C728" s="6" t="s">
        <v>61</v>
      </c>
      <c r="D728" s="115" t="s">
        <v>1383</v>
      </c>
      <c r="E728" s="115" t="s">
        <v>1859</v>
      </c>
      <c r="F728" s="121">
        <v>200000</v>
      </c>
      <c r="G728" s="179"/>
      <c r="H728" s="6" t="s">
        <v>3643</v>
      </c>
      <c r="I728" s="6" t="s">
        <v>1451</v>
      </c>
      <c r="J728" s="6"/>
      <c r="K728" s="6" t="s">
        <v>2051</v>
      </c>
      <c r="L728" s="179"/>
      <c r="M728" s="22" t="s">
        <v>2093</v>
      </c>
    </row>
    <row r="729" spans="1:13" ht="12.75">
      <c r="A729" s="143">
        <v>2016</v>
      </c>
      <c r="B729" s="6" t="s">
        <v>3644</v>
      </c>
      <c r="C729" s="6" t="s">
        <v>61</v>
      </c>
      <c r="D729" s="115" t="s">
        <v>1383</v>
      </c>
      <c r="E729" s="115" t="s">
        <v>1859</v>
      </c>
      <c r="F729" s="121">
        <v>200000</v>
      </c>
      <c r="G729" s="179"/>
      <c r="H729" s="6" t="s">
        <v>3645</v>
      </c>
      <c r="I729" s="6" t="s">
        <v>3646</v>
      </c>
      <c r="J729" s="6"/>
      <c r="K729" s="6" t="s">
        <v>1855</v>
      </c>
      <c r="L729" s="179"/>
      <c r="M729" s="22" t="s">
        <v>2093</v>
      </c>
    </row>
    <row r="730" spans="1:13" ht="25.5">
      <c r="A730" s="143">
        <v>2016</v>
      </c>
      <c r="B730" s="6" t="s">
        <v>3647</v>
      </c>
      <c r="C730" s="6" t="s">
        <v>61</v>
      </c>
      <c r="D730" s="115" t="s">
        <v>1383</v>
      </c>
      <c r="E730" s="115" t="s">
        <v>1859</v>
      </c>
      <c r="F730" s="121">
        <v>200000</v>
      </c>
      <c r="G730" s="179"/>
      <c r="H730" s="6" t="s">
        <v>3648</v>
      </c>
      <c r="I730" s="6" t="s">
        <v>3649</v>
      </c>
      <c r="J730" s="6"/>
      <c r="K730" s="6" t="s">
        <v>2047</v>
      </c>
      <c r="L730" s="179"/>
      <c r="M730" s="22" t="s">
        <v>2093</v>
      </c>
    </row>
    <row r="731" spans="1:13" ht="38.25">
      <c r="A731" s="143">
        <v>2016</v>
      </c>
      <c r="B731" s="6" t="s">
        <v>3650</v>
      </c>
      <c r="C731" s="6" t="s">
        <v>61</v>
      </c>
      <c r="D731" s="115" t="s">
        <v>1383</v>
      </c>
      <c r="E731" s="115" t="s">
        <v>1859</v>
      </c>
      <c r="F731" s="121">
        <v>1655000</v>
      </c>
      <c r="G731" s="179"/>
      <c r="H731" s="6" t="s">
        <v>3651</v>
      </c>
      <c r="I731" s="6" t="s">
        <v>1556</v>
      </c>
      <c r="J731" s="6" t="s">
        <v>1938</v>
      </c>
      <c r="K731" s="6" t="s">
        <v>1828</v>
      </c>
      <c r="L731" s="179"/>
      <c r="M731" s="22" t="s">
        <v>2093</v>
      </c>
    </row>
    <row r="732" spans="1:13" ht="63.75">
      <c r="A732" s="143">
        <v>2016</v>
      </c>
      <c r="B732" s="6" t="s">
        <v>3652</v>
      </c>
      <c r="C732" s="6" t="s">
        <v>61</v>
      </c>
      <c r="D732" s="115" t="s">
        <v>1383</v>
      </c>
      <c r="E732" s="115" t="s">
        <v>1859</v>
      </c>
      <c r="F732" s="121">
        <v>200000</v>
      </c>
      <c r="G732" s="179"/>
      <c r="H732" s="6" t="s">
        <v>3653</v>
      </c>
      <c r="I732" s="6" t="s">
        <v>3654</v>
      </c>
      <c r="J732" s="160" t="s">
        <v>3655</v>
      </c>
      <c r="K732" s="6" t="s">
        <v>1828</v>
      </c>
      <c r="L732" s="179"/>
      <c r="M732" s="22" t="s">
        <v>2093</v>
      </c>
    </row>
    <row r="733" spans="1:13" ht="25.5">
      <c r="A733" s="143">
        <v>2016</v>
      </c>
      <c r="B733" s="6" t="s">
        <v>3656</v>
      </c>
      <c r="C733" s="6" t="s">
        <v>61</v>
      </c>
      <c r="D733" s="115" t="s">
        <v>1383</v>
      </c>
      <c r="E733" s="115" t="s">
        <v>1859</v>
      </c>
      <c r="F733" s="121">
        <v>200000</v>
      </c>
      <c r="G733" s="179"/>
      <c r="H733" s="6" t="s">
        <v>3657</v>
      </c>
      <c r="I733" s="6" t="s">
        <v>3658</v>
      </c>
      <c r="J733" s="160" t="s">
        <v>3659</v>
      </c>
      <c r="K733" s="6" t="s">
        <v>1828</v>
      </c>
      <c r="L733" s="179"/>
      <c r="M733" s="22" t="s">
        <v>2093</v>
      </c>
    </row>
    <row r="734" spans="1:13" ht="25.5">
      <c r="A734" s="143">
        <v>2016</v>
      </c>
      <c r="B734" s="6" t="s">
        <v>3660</v>
      </c>
      <c r="C734" s="6" t="s">
        <v>61</v>
      </c>
      <c r="D734" s="115" t="s">
        <v>1383</v>
      </c>
      <c r="E734" s="115" t="s">
        <v>1859</v>
      </c>
      <c r="F734" s="121">
        <v>200000</v>
      </c>
      <c r="G734" s="179"/>
      <c r="H734" s="6" t="s">
        <v>3661</v>
      </c>
      <c r="I734" s="6" t="s">
        <v>3662</v>
      </c>
      <c r="J734" s="160" t="s">
        <v>3663</v>
      </c>
      <c r="K734" s="6" t="s">
        <v>1879</v>
      </c>
      <c r="L734" s="179"/>
      <c r="M734" s="22" t="s">
        <v>2093</v>
      </c>
    </row>
    <row r="735" spans="1:13" ht="51">
      <c r="A735" s="143">
        <v>2016</v>
      </c>
      <c r="B735" s="6" t="s">
        <v>3664</v>
      </c>
      <c r="C735" s="6" t="s">
        <v>61</v>
      </c>
      <c r="D735" s="115" t="s">
        <v>1383</v>
      </c>
      <c r="E735" s="115" t="s">
        <v>1859</v>
      </c>
      <c r="F735" s="121">
        <v>200000</v>
      </c>
      <c r="G735" s="179"/>
      <c r="H735" s="6" t="s">
        <v>3665</v>
      </c>
      <c r="I735" s="6" t="s">
        <v>3666</v>
      </c>
      <c r="J735" s="160" t="s">
        <v>3667</v>
      </c>
      <c r="K735" s="6" t="s">
        <v>1899</v>
      </c>
      <c r="L735" s="179"/>
      <c r="M735" s="22" t="s">
        <v>2093</v>
      </c>
    </row>
    <row r="736" spans="1:13" ht="25.5">
      <c r="A736" s="143">
        <v>2016</v>
      </c>
      <c r="B736" s="6" t="s">
        <v>3668</v>
      </c>
      <c r="C736" s="6" t="s">
        <v>61</v>
      </c>
      <c r="D736" s="115" t="s">
        <v>1383</v>
      </c>
      <c r="E736" s="115" t="s">
        <v>1859</v>
      </c>
      <c r="F736" s="121">
        <v>200000</v>
      </c>
      <c r="G736" s="179"/>
      <c r="H736" s="6" t="s">
        <v>3669</v>
      </c>
      <c r="I736" s="6" t="s">
        <v>3670</v>
      </c>
      <c r="J736" s="160" t="s">
        <v>3671</v>
      </c>
      <c r="K736" s="9" t="s">
        <v>2571</v>
      </c>
      <c r="L736" s="179"/>
      <c r="M736" s="22" t="s">
        <v>2093</v>
      </c>
    </row>
    <row r="737" spans="1:13" ht="25.5">
      <c r="A737" s="143">
        <v>2016</v>
      </c>
      <c r="B737" s="6" t="s">
        <v>3672</v>
      </c>
      <c r="C737" s="6" t="s">
        <v>61</v>
      </c>
      <c r="D737" s="115" t="s">
        <v>1383</v>
      </c>
      <c r="E737" s="115" t="s">
        <v>1859</v>
      </c>
      <c r="F737" s="121">
        <v>200000</v>
      </c>
      <c r="G737" s="179"/>
      <c r="H737" s="6" t="s">
        <v>3673</v>
      </c>
      <c r="I737" s="6" t="s">
        <v>3674</v>
      </c>
      <c r="J737" s="160" t="s">
        <v>2793</v>
      </c>
      <c r="K737" s="6" t="s">
        <v>1899</v>
      </c>
      <c r="L737" s="179"/>
      <c r="M737" s="22" t="s">
        <v>2093</v>
      </c>
    </row>
    <row r="738" spans="1:13" ht="38.25">
      <c r="A738" s="143">
        <v>2016</v>
      </c>
      <c r="B738" s="6" t="s">
        <v>3675</v>
      </c>
      <c r="C738" s="6" t="s">
        <v>61</v>
      </c>
      <c r="D738" s="115" t="s">
        <v>1383</v>
      </c>
      <c r="E738" s="115" t="s">
        <v>1859</v>
      </c>
      <c r="F738" s="121">
        <v>200000</v>
      </c>
      <c r="G738" s="179"/>
      <c r="H738" s="6" t="s">
        <v>3676</v>
      </c>
      <c r="I738" s="6" t="s">
        <v>3677</v>
      </c>
      <c r="J738" s="160" t="s">
        <v>3678</v>
      </c>
      <c r="K738" s="6" t="s">
        <v>1828</v>
      </c>
      <c r="L738" s="179"/>
      <c r="M738" s="22" t="s">
        <v>2093</v>
      </c>
    </row>
    <row r="739" spans="1:13" ht="25.5">
      <c r="A739" s="143">
        <v>2016</v>
      </c>
      <c r="B739" s="6" t="s">
        <v>3679</v>
      </c>
      <c r="C739" s="6" t="s">
        <v>61</v>
      </c>
      <c r="D739" s="115" t="s">
        <v>1383</v>
      </c>
      <c r="E739" s="115" t="s">
        <v>1859</v>
      </c>
      <c r="F739" s="121">
        <v>200000</v>
      </c>
      <c r="G739" s="179"/>
      <c r="H739" s="6" t="s">
        <v>3680</v>
      </c>
      <c r="I739" s="6" t="s">
        <v>3681</v>
      </c>
      <c r="J739" s="160" t="s">
        <v>3682</v>
      </c>
      <c r="K739" s="6" t="s">
        <v>1828</v>
      </c>
      <c r="L739" s="179"/>
      <c r="M739" s="22" t="s">
        <v>2093</v>
      </c>
    </row>
    <row r="740" spans="1:13" ht="38.25">
      <c r="A740" s="143">
        <v>2016</v>
      </c>
      <c r="B740" s="6" t="s">
        <v>3683</v>
      </c>
      <c r="C740" s="6" t="s">
        <v>61</v>
      </c>
      <c r="D740" s="115" t="s">
        <v>1383</v>
      </c>
      <c r="E740" s="115" t="s">
        <v>1859</v>
      </c>
      <c r="F740" s="121">
        <v>200000</v>
      </c>
      <c r="G740" s="179"/>
      <c r="H740" s="6" t="s">
        <v>3684</v>
      </c>
      <c r="I740" s="6" t="s">
        <v>3685</v>
      </c>
      <c r="J740" s="160" t="s">
        <v>3686</v>
      </c>
      <c r="K740" s="6" t="s">
        <v>2082</v>
      </c>
      <c r="L740" s="179"/>
      <c r="M740" s="22" t="s">
        <v>2093</v>
      </c>
    </row>
    <row r="741" spans="1:13" ht="25.5">
      <c r="A741" s="143">
        <v>2016</v>
      </c>
      <c r="B741" s="6" t="s">
        <v>3687</v>
      </c>
      <c r="C741" s="6" t="s">
        <v>61</v>
      </c>
      <c r="D741" s="6" t="s">
        <v>3092</v>
      </c>
      <c r="E741" s="6" t="s">
        <v>1904</v>
      </c>
      <c r="F741" s="121">
        <v>432150</v>
      </c>
      <c r="G741" s="179"/>
      <c r="H741" s="6" t="s">
        <v>3688</v>
      </c>
      <c r="I741" s="6" t="s">
        <v>3689</v>
      </c>
      <c r="J741" s="6"/>
      <c r="K741" s="6" t="s">
        <v>3690</v>
      </c>
      <c r="L741" s="179"/>
      <c r="M741" s="22" t="s">
        <v>3092</v>
      </c>
    </row>
    <row r="742" spans="1:13" ht="38.25">
      <c r="A742" s="143">
        <v>2016</v>
      </c>
      <c r="B742" s="6" t="s">
        <v>3691</v>
      </c>
      <c r="C742" s="6" t="s">
        <v>61</v>
      </c>
      <c r="D742" s="22" t="s">
        <v>3092</v>
      </c>
      <c r="E742" s="6" t="s">
        <v>1904</v>
      </c>
      <c r="F742" s="121">
        <v>282080</v>
      </c>
      <c r="G742" s="179"/>
      <c r="H742" s="6" t="s">
        <v>3692</v>
      </c>
      <c r="I742" s="6" t="s">
        <v>3693</v>
      </c>
      <c r="J742" s="160" t="s">
        <v>3694</v>
      </c>
      <c r="K742" s="6" t="s">
        <v>1855</v>
      </c>
      <c r="L742" s="179"/>
      <c r="M742" s="22" t="s">
        <v>3092</v>
      </c>
    </row>
    <row r="743" spans="1:13" ht="12.75">
      <c r="A743" s="143">
        <v>2016</v>
      </c>
      <c r="B743" s="6" t="s">
        <v>3695</v>
      </c>
      <c r="C743" s="6" t="s">
        <v>61</v>
      </c>
      <c r="D743" s="6" t="s">
        <v>3092</v>
      </c>
      <c r="E743" s="6" t="s">
        <v>1904</v>
      </c>
      <c r="F743" s="121">
        <v>339700</v>
      </c>
      <c r="G743" s="179"/>
      <c r="H743" s="6" t="s">
        <v>3696</v>
      </c>
      <c r="I743" s="6" t="s">
        <v>581</v>
      </c>
      <c r="J743" s="6"/>
      <c r="K743" s="6" t="s">
        <v>1916</v>
      </c>
      <c r="L743" s="179"/>
      <c r="M743" s="22" t="s">
        <v>3092</v>
      </c>
    </row>
    <row r="744" spans="1:13" ht="38.25">
      <c r="A744" s="140">
        <v>2016</v>
      </c>
      <c r="B744" s="6" t="s">
        <v>3697</v>
      </c>
      <c r="C744" s="6" t="s">
        <v>61</v>
      </c>
      <c r="D744" s="9" t="s">
        <v>62</v>
      </c>
      <c r="E744" s="6" t="s">
        <v>1904</v>
      </c>
      <c r="F744" s="121">
        <v>1065240</v>
      </c>
      <c r="G744" s="179"/>
      <c r="H744" s="6" t="s">
        <v>3698</v>
      </c>
      <c r="I744" s="6" t="s">
        <v>3699</v>
      </c>
      <c r="J744" s="160" t="s">
        <v>3700</v>
      </c>
      <c r="K744" s="6" t="s">
        <v>1886</v>
      </c>
      <c r="L744" s="179"/>
      <c r="M744" s="22" t="s">
        <v>62</v>
      </c>
    </row>
    <row r="745" spans="1:13" ht="25.5">
      <c r="A745" s="143">
        <v>2016</v>
      </c>
      <c r="B745" s="6" t="s">
        <v>3701</v>
      </c>
      <c r="C745" s="6" t="s">
        <v>61</v>
      </c>
      <c r="D745" s="6" t="s">
        <v>586</v>
      </c>
      <c r="E745" s="6" t="s">
        <v>1874</v>
      </c>
      <c r="F745" s="121">
        <v>96000</v>
      </c>
      <c r="G745" s="179"/>
      <c r="H745" s="6" t="s">
        <v>3702</v>
      </c>
      <c r="I745" s="6" t="s">
        <v>3703</v>
      </c>
      <c r="J745" s="160" t="s">
        <v>3704</v>
      </c>
      <c r="K745" s="6" t="s">
        <v>1828</v>
      </c>
      <c r="L745" s="179"/>
      <c r="M745" s="22" t="s">
        <v>3705</v>
      </c>
    </row>
    <row r="746" spans="1:13" ht="51">
      <c r="A746" s="143">
        <v>2016</v>
      </c>
      <c r="B746" s="6" t="s">
        <v>3706</v>
      </c>
      <c r="C746" s="6" t="s">
        <v>61</v>
      </c>
      <c r="D746" s="6" t="s">
        <v>652</v>
      </c>
      <c r="E746" s="6" t="s">
        <v>1874</v>
      </c>
      <c r="F746" s="121">
        <v>62473.45</v>
      </c>
      <c r="G746" s="179"/>
      <c r="H746" s="6" t="s">
        <v>3707</v>
      </c>
      <c r="I746" s="6" t="s">
        <v>3708</v>
      </c>
      <c r="J746" s="160" t="s">
        <v>3709</v>
      </c>
      <c r="K746" s="6" t="s">
        <v>1886</v>
      </c>
      <c r="L746" s="179"/>
      <c r="M746" s="22" t="s">
        <v>652</v>
      </c>
    </row>
    <row r="747" spans="1:13" ht="51">
      <c r="A747" s="143">
        <v>2016</v>
      </c>
      <c r="B747" s="6" t="s">
        <v>3710</v>
      </c>
      <c r="C747" s="6" t="s">
        <v>61</v>
      </c>
      <c r="D747" s="6" t="s">
        <v>652</v>
      </c>
      <c r="E747" s="6" t="s">
        <v>1874</v>
      </c>
      <c r="F747" s="121">
        <v>100000</v>
      </c>
      <c r="G747" s="179"/>
      <c r="H747" s="6" t="s">
        <v>3711</v>
      </c>
      <c r="I747" s="6" t="s">
        <v>3712</v>
      </c>
      <c r="J747" s="160" t="s">
        <v>3713</v>
      </c>
      <c r="K747" s="6" t="s">
        <v>1828</v>
      </c>
      <c r="L747" s="179"/>
      <c r="M747" s="22" t="s">
        <v>652</v>
      </c>
    </row>
    <row r="748" spans="1:13" ht="12.75">
      <c r="A748" s="143">
        <v>2016</v>
      </c>
      <c r="B748" s="6" t="s">
        <v>3714</v>
      </c>
      <c r="C748" s="6" t="s">
        <v>61</v>
      </c>
      <c r="D748" s="112" t="s">
        <v>68</v>
      </c>
      <c r="E748" s="6" t="s">
        <v>1874</v>
      </c>
      <c r="F748" s="121">
        <v>99600</v>
      </c>
      <c r="G748" s="179"/>
      <c r="H748" s="6" t="s">
        <v>3715</v>
      </c>
      <c r="I748" s="6" t="s">
        <v>3716</v>
      </c>
      <c r="J748" s="160" t="s">
        <v>3717</v>
      </c>
      <c r="K748" s="6" t="s">
        <v>2031</v>
      </c>
      <c r="L748" s="179"/>
      <c r="M748" s="22" t="s">
        <v>68</v>
      </c>
    </row>
    <row r="749" spans="1:13" ht="25.5">
      <c r="A749" s="143">
        <v>2016</v>
      </c>
      <c r="B749" s="6" t="s">
        <v>3718</v>
      </c>
      <c r="C749" s="6" t="s">
        <v>61</v>
      </c>
      <c r="D749" s="6" t="s">
        <v>3719</v>
      </c>
      <c r="E749" s="6" t="s">
        <v>1824</v>
      </c>
      <c r="F749" s="121">
        <v>300000</v>
      </c>
      <c r="G749" s="179"/>
      <c r="H749" s="6" t="s">
        <v>3720</v>
      </c>
      <c r="I749" s="6" t="s">
        <v>1556</v>
      </c>
      <c r="J749" s="160" t="s">
        <v>3682</v>
      </c>
      <c r="K749" s="6" t="s">
        <v>1828</v>
      </c>
      <c r="L749" s="179"/>
      <c r="M749" s="22" t="s">
        <v>3719</v>
      </c>
    </row>
    <row r="750" spans="1:13" ht="38.25">
      <c r="A750" s="143">
        <v>2016</v>
      </c>
      <c r="B750" s="6" t="s">
        <v>3721</v>
      </c>
      <c r="C750" s="6" t="s">
        <v>2328</v>
      </c>
      <c r="D750" s="6" t="s">
        <v>3109</v>
      </c>
      <c r="E750" s="6" t="s">
        <v>1874</v>
      </c>
      <c r="F750" s="121">
        <v>30000</v>
      </c>
      <c r="G750" s="179"/>
      <c r="H750" s="6" t="s">
        <v>3722</v>
      </c>
      <c r="I750" s="6" t="s">
        <v>3723</v>
      </c>
      <c r="J750" s="160" t="s">
        <v>3724</v>
      </c>
      <c r="K750" s="6" t="s">
        <v>1828</v>
      </c>
      <c r="L750" s="179"/>
      <c r="M750" s="22" t="s">
        <v>3109</v>
      </c>
    </row>
    <row r="751" spans="1:13" ht="38.25">
      <c r="A751" s="143">
        <v>2016</v>
      </c>
      <c r="B751" s="6" t="s">
        <v>3725</v>
      </c>
      <c r="C751" s="6" t="s">
        <v>2328</v>
      </c>
      <c r="D751" s="6" t="s">
        <v>3109</v>
      </c>
      <c r="E751" s="6" t="s">
        <v>1874</v>
      </c>
      <c r="F751" s="121">
        <v>100000</v>
      </c>
      <c r="G751" s="179"/>
      <c r="H751" s="6" t="s">
        <v>3726</v>
      </c>
      <c r="I751" s="6" t="s">
        <v>3727</v>
      </c>
      <c r="J751" s="160" t="s">
        <v>3728</v>
      </c>
      <c r="K751" s="6" t="s">
        <v>2031</v>
      </c>
      <c r="L751" s="179"/>
      <c r="M751" s="22" t="s">
        <v>3109</v>
      </c>
    </row>
    <row r="752" spans="1:13" ht="25.5">
      <c r="A752" s="143">
        <v>2016</v>
      </c>
      <c r="B752" s="6" t="s">
        <v>3729</v>
      </c>
      <c r="C752" s="6"/>
      <c r="D752" s="115" t="s">
        <v>1383</v>
      </c>
      <c r="E752" s="6" t="s">
        <v>1824</v>
      </c>
      <c r="F752" s="121">
        <v>1412800</v>
      </c>
      <c r="G752" s="179"/>
      <c r="H752" s="6" t="s">
        <v>3730</v>
      </c>
      <c r="I752" s="6" t="s">
        <v>1556</v>
      </c>
      <c r="J752" s="160" t="s">
        <v>3682</v>
      </c>
      <c r="K752" s="6" t="s">
        <v>1828</v>
      </c>
      <c r="L752" s="179"/>
      <c r="M752" s="22" t="s">
        <v>1940</v>
      </c>
    </row>
    <row r="753" spans="1:13" ht="12.75">
      <c r="A753" s="143">
        <v>2016</v>
      </c>
      <c r="B753" s="6" t="s">
        <v>3731</v>
      </c>
      <c r="C753" s="6" t="s">
        <v>61</v>
      </c>
      <c r="D753" s="115" t="s">
        <v>1383</v>
      </c>
      <c r="E753" s="115" t="s">
        <v>1859</v>
      </c>
      <c r="F753" s="121">
        <v>200000</v>
      </c>
      <c r="G753" s="179"/>
      <c r="H753" s="6" t="s">
        <v>3732</v>
      </c>
      <c r="I753" s="6" t="s">
        <v>3733</v>
      </c>
      <c r="J753" s="6"/>
      <c r="K753" s="9" t="s">
        <v>2676</v>
      </c>
      <c r="L753" s="179"/>
      <c r="M753" s="22" t="s">
        <v>2093</v>
      </c>
    </row>
    <row r="754" spans="1:13" ht="12.75">
      <c r="A754" s="143">
        <v>2016</v>
      </c>
      <c r="B754" s="6" t="s">
        <v>3734</v>
      </c>
      <c r="C754" s="6" t="s">
        <v>61</v>
      </c>
      <c r="D754" s="6" t="s">
        <v>3092</v>
      </c>
      <c r="E754" s="6" t="s">
        <v>1904</v>
      </c>
      <c r="F754" s="121">
        <v>432150</v>
      </c>
      <c r="G754" s="179"/>
      <c r="H754" s="6" t="s">
        <v>3735</v>
      </c>
      <c r="I754" s="6" t="s">
        <v>3333</v>
      </c>
      <c r="J754" s="6"/>
      <c r="K754" s="6" t="s">
        <v>1828</v>
      </c>
      <c r="L754" s="179"/>
      <c r="M754" s="22" t="s">
        <v>3092</v>
      </c>
    </row>
    <row r="755" spans="1:13" ht="25.5">
      <c r="A755" s="143">
        <v>2016</v>
      </c>
      <c r="B755" s="6" t="s">
        <v>3736</v>
      </c>
      <c r="C755" s="6" t="s">
        <v>61</v>
      </c>
      <c r="D755" s="6" t="s">
        <v>1262</v>
      </c>
      <c r="E755" s="6" t="s">
        <v>1904</v>
      </c>
      <c r="F755" s="121">
        <v>726800</v>
      </c>
      <c r="G755" s="179"/>
      <c r="H755" s="6" t="s">
        <v>3737</v>
      </c>
      <c r="I755" s="6" t="s">
        <v>3738</v>
      </c>
      <c r="J755" s="160" t="s">
        <v>3739</v>
      </c>
      <c r="K755" s="6" t="s">
        <v>1886</v>
      </c>
      <c r="L755" s="179"/>
      <c r="M755" s="22" t="s">
        <v>1262</v>
      </c>
    </row>
    <row r="756" spans="1:13" ht="25.5">
      <c r="A756" s="143">
        <v>2016</v>
      </c>
      <c r="B756" s="6" t="s">
        <v>3740</v>
      </c>
      <c r="C756" s="6" t="s">
        <v>61</v>
      </c>
      <c r="D756" s="6" t="s">
        <v>3168</v>
      </c>
      <c r="E756" s="115" t="s">
        <v>1859</v>
      </c>
      <c r="F756" s="121">
        <v>394000</v>
      </c>
      <c r="G756" s="179"/>
      <c r="H756" s="6" t="s">
        <v>3741</v>
      </c>
      <c r="I756" s="6" t="s">
        <v>1556</v>
      </c>
      <c r="J756" s="160" t="s">
        <v>3682</v>
      </c>
      <c r="K756" s="6" t="s">
        <v>1828</v>
      </c>
      <c r="L756" s="179"/>
      <c r="M756" s="22" t="s">
        <v>3168</v>
      </c>
    </row>
    <row r="757" spans="1:13" ht="38.25">
      <c r="A757" s="143">
        <v>2016</v>
      </c>
      <c r="B757" s="6" t="s">
        <v>3742</v>
      </c>
      <c r="C757" s="6" t="s">
        <v>3743</v>
      </c>
      <c r="D757" s="9" t="s">
        <v>62</v>
      </c>
      <c r="E757" s="6"/>
      <c r="F757" s="121"/>
      <c r="G757" s="179"/>
      <c r="H757" s="6" t="s">
        <v>3744</v>
      </c>
      <c r="I757" s="6" t="s">
        <v>3745</v>
      </c>
      <c r="J757" s="160" t="s">
        <v>3746</v>
      </c>
      <c r="K757" s="6" t="s">
        <v>1886</v>
      </c>
      <c r="L757" s="179"/>
      <c r="M757" s="22" t="s">
        <v>62</v>
      </c>
    </row>
    <row r="758" spans="1:13" ht="25.5">
      <c r="A758" s="143">
        <v>2016</v>
      </c>
      <c r="B758" s="6" t="s">
        <v>3747</v>
      </c>
      <c r="C758" s="6"/>
      <c r="D758" s="6" t="s">
        <v>3155</v>
      </c>
      <c r="E758" s="6" t="s">
        <v>1824</v>
      </c>
      <c r="F758" s="121">
        <v>1200000</v>
      </c>
      <c r="G758" s="179"/>
      <c r="H758" s="6" t="s">
        <v>3748</v>
      </c>
      <c r="I758" s="6" t="s">
        <v>1556</v>
      </c>
      <c r="J758" s="160" t="s">
        <v>3682</v>
      </c>
      <c r="K758" s="6" t="s">
        <v>1828</v>
      </c>
      <c r="L758" s="179"/>
      <c r="M758" s="22" t="s">
        <v>3155</v>
      </c>
    </row>
    <row r="759" spans="1:13" ht="38.25">
      <c r="A759" s="140">
        <v>2016</v>
      </c>
      <c r="B759" s="6" t="s">
        <v>3749</v>
      </c>
      <c r="C759" s="6" t="s">
        <v>61</v>
      </c>
      <c r="D759" s="9" t="s">
        <v>62</v>
      </c>
      <c r="E759" s="6" t="s">
        <v>1904</v>
      </c>
      <c r="F759" s="121">
        <v>1986200</v>
      </c>
      <c r="G759" s="179"/>
      <c r="H759" s="6" t="s">
        <v>3750</v>
      </c>
      <c r="I759" s="6" t="s">
        <v>3751</v>
      </c>
      <c r="J759" s="160" t="s">
        <v>3752</v>
      </c>
      <c r="K759" s="6" t="s">
        <v>1828</v>
      </c>
      <c r="L759" s="179"/>
      <c r="M759" s="22" t="s">
        <v>62</v>
      </c>
    </row>
    <row r="760" spans="1:13" ht="51">
      <c r="A760" s="140">
        <v>2016</v>
      </c>
      <c r="B760" s="6" t="s">
        <v>3753</v>
      </c>
      <c r="C760" s="6" t="s">
        <v>61</v>
      </c>
      <c r="D760" s="9" t="s">
        <v>62</v>
      </c>
      <c r="E760" s="6" t="s">
        <v>1904</v>
      </c>
      <c r="F760" s="121">
        <v>1923000</v>
      </c>
      <c r="G760" s="179"/>
      <c r="H760" s="6" t="s">
        <v>3754</v>
      </c>
      <c r="I760" s="6" t="s">
        <v>3755</v>
      </c>
      <c r="J760" s="148" t="s">
        <v>3756</v>
      </c>
      <c r="K760" s="6" t="s">
        <v>1828</v>
      </c>
      <c r="L760" s="179"/>
      <c r="M760" s="22" t="s">
        <v>62</v>
      </c>
    </row>
    <row r="761" spans="1:13" ht="25.5">
      <c r="A761" s="143">
        <v>2016</v>
      </c>
      <c r="B761" s="6" t="s">
        <v>3757</v>
      </c>
      <c r="C761" s="6" t="s">
        <v>61</v>
      </c>
      <c r="D761" s="115" t="s">
        <v>1383</v>
      </c>
      <c r="E761" s="115" t="s">
        <v>1859</v>
      </c>
      <c r="F761" s="121">
        <v>121500</v>
      </c>
      <c r="G761" s="179"/>
      <c r="H761" s="6" t="s">
        <v>3758</v>
      </c>
      <c r="I761" s="6" t="s">
        <v>3449</v>
      </c>
      <c r="J761" s="160"/>
      <c r="K761" s="6" t="s">
        <v>1828</v>
      </c>
      <c r="L761" s="179"/>
      <c r="M761" s="22" t="s">
        <v>1383</v>
      </c>
    </row>
    <row r="762" spans="1:13" ht="25.5">
      <c r="A762" s="143">
        <v>2016</v>
      </c>
      <c r="B762" s="6" t="s">
        <v>3759</v>
      </c>
      <c r="C762" s="6" t="s">
        <v>61</v>
      </c>
      <c r="D762" s="6" t="s">
        <v>3155</v>
      </c>
      <c r="E762" s="6" t="s">
        <v>1824</v>
      </c>
      <c r="F762" s="121">
        <v>3000000</v>
      </c>
      <c r="G762" s="179"/>
      <c r="H762" s="6" t="s">
        <v>3760</v>
      </c>
      <c r="I762" s="6" t="s">
        <v>1556</v>
      </c>
      <c r="J762" s="160" t="s">
        <v>3682</v>
      </c>
      <c r="K762" s="6" t="s">
        <v>1828</v>
      </c>
      <c r="L762" s="179"/>
      <c r="M762" s="22" t="s">
        <v>3155</v>
      </c>
    </row>
    <row r="763" spans="1:13" ht="38.25">
      <c r="A763" s="140">
        <v>2016</v>
      </c>
      <c r="B763" s="6" t="s">
        <v>3761</v>
      </c>
      <c r="C763" s="6" t="s">
        <v>61</v>
      </c>
      <c r="D763" s="9" t="s">
        <v>62</v>
      </c>
      <c r="E763" s="6" t="s">
        <v>1904</v>
      </c>
      <c r="F763" s="121">
        <v>793460</v>
      </c>
      <c r="G763" s="179"/>
      <c r="H763" s="6" t="s">
        <v>3433</v>
      </c>
      <c r="I763" s="6" t="s">
        <v>3762</v>
      </c>
      <c r="J763" s="6" t="s">
        <v>3763</v>
      </c>
      <c r="K763" s="6" t="s">
        <v>1899</v>
      </c>
      <c r="L763" s="179"/>
      <c r="M763" s="22" t="s">
        <v>62</v>
      </c>
    </row>
    <row r="764" spans="1:13" ht="25.5">
      <c r="A764" s="143">
        <v>2016</v>
      </c>
      <c r="B764" s="6" t="s">
        <v>3764</v>
      </c>
      <c r="C764" s="6" t="s">
        <v>61</v>
      </c>
      <c r="D764" s="6" t="s">
        <v>2834</v>
      </c>
      <c r="E764" s="6" t="s">
        <v>1874</v>
      </c>
      <c r="F764" s="121">
        <v>165000</v>
      </c>
      <c r="G764" s="179"/>
      <c r="H764" s="6" t="s">
        <v>3765</v>
      </c>
      <c r="I764" s="6" t="s">
        <v>3631</v>
      </c>
      <c r="J764" s="6" t="s">
        <v>2508</v>
      </c>
      <c r="K764" s="6" t="s">
        <v>1828</v>
      </c>
      <c r="L764" s="179"/>
      <c r="M764" s="22" t="s">
        <v>1730</v>
      </c>
    </row>
    <row r="765" spans="1:13" ht="25.5">
      <c r="A765" s="143">
        <v>2016</v>
      </c>
      <c r="B765" s="6" t="s">
        <v>3766</v>
      </c>
      <c r="C765" s="6" t="s">
        <v>61</v>
      </c>
      <c r="D765" s="6" t="s">
        <v>3168</v>
      </c>
      <c r="E765" s="115" t="s">
        <v>1859</v>
      </c>
      <c r="F765" s="121">
        <v>200000</v>
      </c>
      <c r="G765" s="179"/>
      <c r="H765" s="6" t="s">
        <v>3767</v>
      </c>
      <c r="I765" s="6" t="s">
        <v>3064</v>
      </c>
      <c r="J765" s="160" t="s">
        <v>3768</v>
      </c>
      <c r="K765" s="6" t="s">
        <v>2031</v>
      </c>
      <c r="L765" s="179"/>
      <c r="M765" s="22" t="s">
        <v>3168</v>
      </c>
    </row>
    <row r="766" spans="1:13" ht="51">
      <c r="A766" s="143">
        <v>2016</v>
      </c>
      <c r="B766" s="6" t="s">
        <v>3769</v>
      </c>
      <c r="C766" s="6" t="s">
        <v>2328</v>
      </c>
      <c r="D766" s="6" t="s">
        <v>2724</v>
      </c>
      <c r="E766" s="6" t="s">
        <v>1874</v>
      </c>
      <c r="F766" s="121">
        <v>78200</v>
      </c>
      <c r="G766" s="179"/>
      <c r="H766" s="6" t="s">
        <v>3770</v>
      </c>
      <c r="I766" s="6" t="s">
        <v>3771</v>
      </c>
      <c r="J766" s="160" t="s">
        <v>3772</v>
      </c>
      <c r="K766" s="6" t="s">
        <v>1886</v>
      </c>
      <c r="L766" s="179"/>
      <c r="M766" s="22" t="s">
        <v>2724</v>
      </c>
    </row>
    <row r="767" spans="1:13" ht="38.25">
      <c r="A767" s="143">
        <v>2016</v>
      </c>
      <c r="B767" s="6" t="s">
        <v>3773</v>
      </c>
      <c r="C767" s="6" t="s">
        <v>2328</v>
      </c>
      <c r="D767" s="9" t="s">
        <v>62</v>
      </c>
      <c r="E767" s="6"/>
      <c r="F767" s="121">
        <v>522500</v>
      </c>
      <c r="G767" s="179"/>
      <c r="H767" s="6" t="s">
        <v>3774</v>
      </c>
      <c r="I767" s="6" t="s">
        <v>3775</v>
      </c>
      <c r="J767" s="160" t="s">
        <v>3776</v>
      </c>
      <c r="K767" s="6" t="s">
        <v>1916</v>
      </c>
      <c r="L767" s="179"/>
      <c r="M767" s="22" t="s">
        <v>62</v>
      </c>
    </row>
    <row r="768" spans="1:13" ht="38.25">
      <c r="A768" s="143">
        <v>2016</v>
      </c>
      <c r="B768" s="6" t="s">
        <v>3777</v>
      </c>
      <c r="C768" s="6" t="s">
        <v>2328</v>
      </c>
      <c r="D768" s="6" t="s">
        <v>3109</v>
      </c>
      <c r="E768" s="6" t="s">
        <v>1874</v>
      </c>
      <c r="F768" s="121">
        <v>70625</v>
      </c>
      <c r="G768" s="179"/>
      <c r="H768" s="6" t="s">
        <v>3778</v>
      </c>
      <c r="I768" s="6" t="s">
        <v>3779</v>
      </c>
      <c r="J768" s="160" t="s">
        <v>3780</v>
      </c>
      <c r="K768" s="6" t="s">
        <v>1828</v>
      </c>
      <c r="L768" s="179"/>
      <c r="M768" s="22" t="s">
        <v>3781</v>
      </c>
    </row>
    <row r="769" spans="1:13" ht="38.25">
      <c r="A769" s="143">
        <v>2016</v>
      </c>
      <c r="B769" s="6" t="s">
        <v>3782</v>
      </c>
      <c r="C769" s="6" t="s">
        <v>2328</v>
      </c>
      <c r="D769" s="9" t="s">
        <v>62</v>
      </c>
      <c r="E769" s="6"/>
      <c r="F769" s="121" t="s">
        <v>3783</v>
      </c>
      <c r="G769" s="179"/>
      <c r="H769" s="6" t="s">
        <v>3784</v>
      </c>
      <c r="I769" s="6" t="s">
        <v>3785</v>
      </c>
      <c r="J769" s="160" t="s">
        <v>3786</v>
      </c>
      <c r="K769" s="6" t="s">
        <v>1828</v>
      </c>
      <c r="L769" s="179"/>
      <c r="M769" s="22" t="s">
        <v>62</v>
      </c>
    </row>
    <row r="770" spans="1:13" ht="38.25">
      <c r="A770" s="143">
        <v>2016</v>
      </c>
      <c r="B770" s="6" t="s">
        <v>3787</v>
      </c>
      <c r="C770" s="6" t="s">
        <v>2328</v>
      </c>
      <c r="D770" s="9" t="s">
        <v>62</v>
      </c>
      <c r="E770" s="6"/>
      <c r="F770" s="121">
        <v>650000</v>
      </c>
      <c r="G770" s="179"/>
      <c r="H770" s="6" t="s">
        <v>3774</v>
      </c>
      <c r="I770" s="6" t="s">
        <v>3788</v>
      </c>
      <c r="J770" s="160" t="s">
        <v>3789</v>
      </c>
      <c r="K770" s="6" t="s">
        <v>1916</v>
      </c>
      <c r="L770" s="179"/>
      <c r="M770" s="22" t="s">
        <v>62</v>
      </c>
    </row>
    <row r="771" spans="1:13" ht="38.25">
      <c r="A771" s="143">
        <v>2016</v>
      </c>
      <c r="B771" s="6" t="s">
        <v>3790</v>
      </c>
      <c r="C771" s="6" t="s">
        <v>2328</v>
      </c>
      <c r="D771" s="6" t="s">
        <v>3791</v>
      </c>
      <c r="E771" s="6" t="s">
        <v>1874</v>
      </c>
      <c r="F771" s="121">
        <v>143175</v>
      </c>
      <c r="G771" s="179"/>
      <c r="H771" s="6" t="s">
        <v>3792</v>
      </c>
      <c r="I771" s="6" t="s">
        <v>3793</v>
      </c>
      <c r="J771" s="160" t="s">
        <v>3794</v>
      </c>
      <c r="K771" s="6" t="s">
        <v>1828</v>
      </c>
      <c r="L771" s="179"/>
      <c r="M771" s="22" t="s">
        <v>3791</v>
      </c>
    </row>
    <row r="772" spans="1:13" ht="25.5">
      <c r="A772" s="143">
        <v>2016</v>
      </c>
      <c r="B772" s="6" t="s">
        <v>3795</v>
      </c>
      <c r="C772" s="6" t="s">
        <v>2328</v>
      </c>
      <c r="D772" s="6" t="s">
        <v>2724</v>
      </c>
      <c r="E772" s="6" t="s">
        <v>1874</v>
      </c>
      <c r="F772" s="121">
        <v>515560</v>
      </c>
      <c r="G772" s="179"/>
      <c r="H772" s="6" t="s">
        <v>3796</v>
      </c>
      <c r="I772" s="6" t="s">
        <v>3797</v>
      </c>
      <c r="J772" s="160" t="s">
        <v>3798</v>
      </c>
      <c r="K772" s="6" t="s">
        <v>1828</v>
      </c>
      <c r="L772" s="179"/>
      <c r="M772" s="22" t="s">
        <v>2728</v>
      </c>
    </row>
    <row r="773" spans="1:13" ht="25.5">
      <c r="A773" s="143">
        <v>2016</v>
      </c>
      <c r="B773" s="6" t="s">
        <v>3799</v>
      </c>
      <c r="C773" s="6" t="s">
        <v>3096</v>
      </c>
      <c r="D773" s="6" t="s">
        <v>2724</v>
      </c>
      <c r="E773" s="6" t="s">
        <v>1874</v>
      </c>
      <c r="F773" s="121">
        <v>2000000</v>
      </c>
      <c r="G773" s="179"/>
      <c r="H773" s="6" t="s">
        <v>3800</v>
      </c>
      <c r="I773" s="6" t="s">
        <v>3801</v>
      </c>
      <c r="J773" s="160" t="s">
        <v>3682</v>
      </c>
      <c r="K773" s="6" t="s">
        <v>1828</v>
      </c>
      <c r="L773" s="179"/>
      <c r="M773" s="22" t="s">
        <v>2724</v>
      </c>
    </row>
    <row r="774" spans="1:13" ht="38.25">
      <c r="A774" s="140">
        <v>2016</v>
      </c>
      <c r="B774" s="6" t="s">
        <v>3802</v>
      </c>
      <c r="C774" s="6" t="s">
        <v>61</v>
      </c>
      <c r="D774" s="9" t="s">
        <v>62</v>
      </c>
      <c r="E774" s="6" t="s">
        <v>1904</v>
      </c>
      <c r="F774" s="121">
        <v>6232775</v>
      </c>
      <c r="G774" s="179"/>
      <c r="H774" s="6" t="s">
        <v>3803</v>
      </c>
      <c r="I774" s="6" t="s">
        <v>3804</v>
      </c>
      <c r="J774" s="160" t="s">
        <v>3805</v>
      </c>
      <c r="K774" s="6" t="s">
        <v>1828</v>
      </c>
      <c r="L774" s="179"/>
      <c r="M774" s="22" t="s">
        <v>62</v>
      </c>
    </row>
    <row r="775" spans="1:13" ht="38.25">
      <c r="A775" s="140">
        <v>2016</v>
      </c>
      <c r="B775" s="6" t="s">
        <v>3806</v>
      </c>
      <c r="C775" s="6" t="s">
        <v>61</v>
      </c>
      <c r="D775" s="9" t="s">
        <v>62</v>
      </c>
      <c r="E775" s="6" t="s">
        <v>1904</v>
      </c>
      <c r="F775" s="121">
        <v>1297977.67</v>
      </c>
      <c r="G775" s="179"/>
      <c r="H775" s="6" t="s">
        <v>3807</v>
      </c>
      <c r="I775" s="6" t="s">
        <v>3808</v>
      </c>
      <c r="J775" s="6"/>
      <c r="K775" s="6" t="s">
        <v>2051</v>
      </c>
      <c r="L775" s="179"/>
      <c r="M775" s="22" t="s">
        <v>62</v>
      </c>
    </row>
    <row r="776" spans="1:13" ht="25.5">
      <c r="A776" s="140">
        <v>2016</v>
      </c>
      <c r="B776" s="6" t="s">
        <v>3809</v>
      </c>
      <c r="C776" s="6" t="s">
        <v>61</v>
      </c>
      <c r="D776" s="9" t="s">
        <v>62</v>
      </c>
      <c r="E776" s="6" t="s">
        <v>1904</v>
      </c>
      <c r="F776" s="121">
        <v>1036115.4</v>
      </c>
      <c r="G776" s="179"/>
      <c r="H776" s="6" t="s">
        <v>3810</v>
      </c>
      <c r="I776" s="6" t="s">
        <v>3811</v>
      </c>
      <c r="J776" s="6"/>
      <c r="K776" s="6" t="s">
        <v>2051</v>
      </c>
      <c r="L776" s="179"/>
      <c r="M776" s="22" t="s">
        <v>62</v>
      </c>
    </row>
    <row r="777" spans="1:13" ht="114.75">
      <c r="A777" s="143">
        <v>2016</v>
      </c>
      <c r="B777" s="6" t="s">
        <v>3812</v>
      </c>
      <c r="C777" s="6" t="s">
        <v>61</v>
      </c>
      <c r="D777" s="115" t="s">
        <v>1383</v>
      </c>
      <c r="E777" s="115" t="s">
        <v>1859</v>
      </c>
      <c r="F777" s="121">
        <v>60100</v>
      </c>
      <c r="G777" s="179"/>
      <c r="H777" s="6" t="s">
        <v>3813</v>
      </c>
      <c r="I777" s="6" t="s">
        <v>3814</v>
      </c>
      <c r="J777" s="6" t="s">
        <v>3815</v>
      </c>
      <c r="K777" s="6" t="s">
        <v>1828</v>
      </c>
      <c r="L777" s="180" t="s">
        <v>3816</v>
      </c>
      <c r="M777" s="22" t="s">
        <v>1383</v>
      </c>
    </row>
    <row r="778" spans="1:13" ht="102">
      <c r="A778" s="143">
        <v>2016</v>
      </c>
      <c r="B778" s="6" t="s">
        <v>3817</v>
      </c>
      <c r="C778" s="6" t="s">
        <v>61</v>
      </c>
      <c r="D778" s="6" t="s">
        <v>3168</v>
      </c>
      <c r="E778" s="115" t="s">
        <v>1859</v>
      </c>
      <c r="F778" s="121">
        <v>50000</v>
      </c>
      <c r="G778" s="179"/>
      <c r="H778" s="6" t="s">
        <v>3818</v>
      </c>
      <c r="I778" s="6" t="s">
        <v>3819</v>
      </c>
      <c r="J778" s="6"/>
      <c r="K778" s="6" t="s">
        <v>1828</v>
      </c>
      <c r="L778" s="180" t="s">
        <v>3820</v>
      </c>
      <c r="M778" s="22" t="s">
        <v>3168</v>
      </c>
    </row>
    <row r="779" spans="1:13" ht="178.5">
      <c r="A779" s="143">
        <v>2016</v>
      </c>
      <c r="B779" s="6" t="s">
        <v>3821</v>
      </c>
      <c r="C779" s="6" t="s">
        <v>61</v>
      </c>
      <c r="D779" s="115" t="s">
        <v>1383</v>
      </c>
      <c r="E779" s="115" t="s">
        <v>1859</v>
      </c>
      <c r="F779" s="121">
        <v>40000</v>
      </c>
      <c r="G779" s="179"/>
      <c r="H779" s="6" t="s">
        <v>3822</v>
      </c>
      <c r="I779" s="6" t="s">
        <v>3823</v>
      </c>
      <c r="J779" s="6" t="s">
        <v>3824</v>
      </c>
      <c r="K779" s="6" t="s">
        <v>1828</v>
      </c>
      <c r="L779" s="180" t="s">
        <v>3825</v>
      </c>
      <c r="M779" s="22" t="s">
        <v>1383</v>
      </c>
    </row>
    <row r="780" spans="1:13" ht="25.5">
      <c r="A780" s="143">
        <v>2016</v>
      </c>
      <c r="B780" s="181" t="s">
        <v>3826</v>
      </c>
      <c r="C780" s="181"/>
      <c r="D780" s="181" t="s">
        <v>3827</v>
      </c>
      <c r="E780" s="181"/>
      <c r="F780" s="182" t="s">
        <v>3827</v>
      </c>
      <c r="G780" s="183"/>
      <c r="H780" s="181" t="s">
        <v>3827</v>
      </c>
      <c r="I780" s="181" t="s">
        <v>3827</v>
      </c>
      <c r="J780" s="181" t="s">
        <v>3827</v>
      </c>
      <c r="K780" s="181"/>
      <c r="L780" s="183" t="s">
        <v>3827</v>
      </c>
      <c r="M780" s="184" t="s">
        <v>3827</v>
      </c>
    </row>
    <row r="781" spans="1:13" ht="140.25">
      <c r="A781" s="143">
        <v>2016</v>
      </c>
      <c r="B781" s="6" t="s">
        <v>3828</v>
      </c>
      <c r="C781" s="6" t="s">
        <v>61</v>
      </c>
      <c r="D781" s="6" t="s">
        <v>3168</v>
      </c>
      <c r="E781" s="115" t="s">
        <v>1859</v>
      </c>
      <c r="F781" s="121">
        <v>60000</v>
      </c>
      <c r="G781" s="179"/>
      <c r="H781" s="6" t="s">
        <v>3829</v>
      </c>
      <c r="I781" s="6" t="s">
        <v>3830</v>
      </c>
      <c r="J781" s="6" t="s">
        <v>3831</v>
      </c>
      <c r="K781" s="6" t="s">
        <v>1828</v>
      </c>
      <c r="L781" s="180" t="s">
        <v>3832</v>
      </c>
      <c r="M781" s="22" t="s">
        <v>3168</v>
      </c>
    </row>
    <row r="782" spans="1:13" ht="127.5">
      <c r="A782" s="143">
        <v>2016</v>
      </c>
      <c r="B782" s="6" t="s">
        <v>3833</v>
      </c>
      <c r="C782" s="6" t="s">
        <v>61</v>
      </c>
      <c r="D782" s="6" t="s">
        <v>394</v>
      </c>
      <c r="E782" s="115" t="s">
        <v>1853</v>
      </c>
      <c r="F782" s="121">
        <v>55000</v>
      </c>
      <c r="G782" s="179"/>
      <c r="H782" s="6" t="s">
        <v>3834</v>
      </c>
      <c r="I782" s="6" t="s">
        <v>3835</v>
      </c>
      <c r="J782" s="6" t="s">
        <v>3836</v>
      </c>
      <c r="K782" s="6" t="s">
        <v>2130</v>
      </c>
      <c r="L782" s="180" t="s">
        <v>3837</v>
      </c>
      <c r="M782" s="22" t="s">
        <v>394</v>
      </c>
    </row>
    <row r="783" spans="1:13" ht="102">
      <c r="A783" s="143">
        <v>2016</v>
      </c>
      <c r="B783" s="6" t="s">
        <v>3838</v>
      </c>
      <c r="C783" s="6" t="s">
        <v>61</v>
      </c>
      <c r="D783" s="6" t="s">
        <v>3168</v>
      </c>
      <c r="E783" s="115" t="s">
        <v>1859</v>
      </c>
      <c r="F783" s="121">
        <v>100000</v>
      </c>
      <c r="G783" s="179"/>
      <c r="H783" s="6" t="s">
        <v>3839</v>
      </c>
      <c r="I783" s="6" t="s">
        <v>3840</v>
      </c>
      <c r="J783" s="6" t="s">
        <v>3841</v>
      </c>
      <c r="K783" s="6" t="s">
        <v>1828</v>
      </c>
      <c r="L783" s="180" t="s">
        <v>3842</v>
      </c>
      <c r="M783" s="22" t="s">
        <v>3168</v>
      </c>
    </row>
    <row r="784" spans="1:13" ht="63.75">
      <c r="A784" s="143">
        <v>2016</v>
      </c>
      <c r="B784" s="6" t="s">
        <v>3843</v>
      </c>
      <c r="C784" s="6" t="s">
        <v>61</v>
      </c>
      <c r="D784" s="6" t="s">
        <v>586</v>
      </c>
      <c r="E784" s="6" t="s">
        <v>1874</v>
      </c>
      <c r="F784" s="121">
        <v>15950</v>
      </c>
      <c r="G784" s="179"/>
      <c r="H784" s="6" t="s">
        <v>3844</v>
      </c>
      <c r="I784" s="6" t="s">
        <v>3845</v>
      </c>
      <c r="J784" s="6" t="s">
        <v>3846</v>
      </c>
      <c r="K784" s="6" t="s">
        <v>1886</v>
      </c>
      <c r="L784" s="180" t="s">
        <v>3847</v>
      </c>
      <c r="M784" s="22" t="s">
        <v>586</v>
      </c>
    </row>
    <row r="785" spans="1:13" ht="89.25">
      <c r="A785" s="143">
        <v>2016</v>
      </c>
      <c r="B785" s="6" t="s">
        <v>3848</v>
      </c>
      <c r="C785" s="6" t="s">
        <v>61</v>
      </c>
      <c r="D785" s="6" t="s">
        <v>3168</v>
      </c>
      <c r="E785" s="115" t="s">
        <v>1859</v>
      </c>
      <c r="F785" s="121">
        <v>100000</v>
      </c>
      <c r="G785" s="179"/>
      <c r="H785" s="6" t="s">
        <v>3849</v>
      </c>
      <c r="I785" s="6" t="s">
        <v>3850</v>
      </c>
      <c r="J785" s="6" t="s">
        <v>3851</v>
      </c>
      <c r="K785" s="6" t="s">
        <v>1828</v>
      </c>
      <c r="L785" s="180" t="s">
        <v>3852</v>
      </c>
      <c r="M785" s="22" t="s">
        <v>3168</v>
      </c>
    </row>
    <row r="786" spans="1:13" ht="76.5">
      <c r="A786" s="143">
        <v>2016</v>
      </c>
      <c r="B786" s="6" t="s">
        <v>3853</v>
      </c>
      <c r="C786" s="6" t="s">
        <v>61</v>
      </c>
      <c r="D786" s="6" t="s">
        <v>394</v>
      </c>
      <c r="E786" s="115" t="s">
        <v>1853</v>
      </c>
      <c r="F786" s="121">
        <v>58000</v>
      </c>
      <c r="G786" s="179"/>
      <c r="H786" s="6" t="s">
        <v>3419</v>
      </c>
      <c r="I786" s="6" t="s">
        <v>3854</v>
      </c>
      <c r="J786" s="6" t="s">
        <v>3855</v>
      </c>
      <c r="K786" s="6" t="s">
        <v>1855</v>
      </c>
      <c r="L786" s="180" t="s">
        <v>3856</v>
      </c>
      <c r="M786" s="22" t="s">
        <v>394</v>
      </c>
    </row>
    <row r="787" spans="1:13" ht="114.75">
      <c r="A787" s="143">
        <v>2016</v>
      </c>
      <c r="B787" s="6" t="s">
        <v>3857</v>
      </c>
      <c r="C787" s="6" t="s">
        <v>61</v>
      </c>
      <c r="D787" s="6" t="s">
        <v>2834</v>
      </c>
      <c r="E787" s="6" t="s">
        <v>1874</v>
      </c>
      <c r="F787" s="121">
        <v>90015.75</v>
      </c>
      <c r="G787" s="179"/>
      <c r="H787" s="6" t="s">
        <v>3858</v>
      </c>
      <c r="I787" s="6" t="s">
        <v>3859</v>
      </c>
      <c r="J787" s="6" t="s">
        <v>3860</v>
      </c>
      <c r="K787" s="6" t="s">
        <v>1855</v>
      </c>
      <c r="L787" s="180" t="s">
        <v>3861</v>
      </c>
      <c r="M787" s="22" t="s">
        <v>1730</v>
      </c>
    </row>
    <row r="788" spans="1:13" ht="102">
      <c r="A788" s="143">
        <v>2016</v>
      </c>
      <c r="B788" s="6" t="s">
        <v>3862</v>
      </c>
      <c r="C788" s="6" t="s">
        <v>61</v>
      </c>
      <c r="D788" s="6" t="s">
        <v>2834</v>
      </c>
      <c r="E788" s="6" t="s">
        <v>1874</v>
      </c>
      <c r="F788" s="121">
        <v>94505</v>
      </c>
      <c r="G788" s="179"/>
      <c r="H788" s="6" t="s">
        <v>3863</v>
      </c>
      <c r="I788" s="6" t="s">
        <v>3859</v>
      </c>
      <c r="J788" s="6" t="s">
        <v>3860</v>
      </c>
      <c r="K788" s="6" t="s">
        <v>1855</v>
      </c>
      <c r="L788" s="180" t="s">
        <v>3864</v>
      </c>
      <c r="M788" s="22" t="s">
        <v>1730</v>
      </c>
    </row>
    <row r="789" spans="1:13" ht="140.25">
      <c r="A789" s="143">
        <v>2016</v>
      </c>
      <c r="B789" s="6" t="s">
        <v>3865</v>
      </c>
      <c r="C789" s="6" t="s">
        <v>61</v>
      </c>
      <c r="D789" s="6" t="s">
        <v>2834</v>
      </c>
      <c r="E789" s="6" t="s">
        <v>1874</v>
      </c>
      <c r="F789" s="121">
        <v>98105</v>
      </c>
      <c r="G789" s="179"/>
      <c r="H789" s="6" t="s">
        <v>3866</v>
      </c>
      <c r="I789" s="6" t="s">
        <v>3867</v>
      </c>
      <c r="J789" s="6"/>
      <c r="K789" s="6" t="s">
        <v>1855</v>
      </c>
      <c r="L789" s="180" t="s">
        <v>3868</v>
      </c>
      <c r="M789" s="22" t="s">
        <v>1730</v>
      </c>
    </row>
    <row r="790" spans="1:13" ht="140.25">
      <c r="A790" s="143">
        <v>2016</v>
      </c>
      <c r="B790" s="6" t="s">
        <v>3869</v>
      </c>
      <c r="C790" s="6" t="s">
        <v>61</v>
      </c>
      <c r="D790" s="6" t="s">
        <v>394</v>
      </c>
      <c r="E790" s="115" t="s">
        <v>1853</v>
      </c>
      <c r="F790" s="121">
        <v>46000</v>
      </c>
      <c r="G790" s="179"/>
      <c r="H790" s="6" t="s">
        <v>3870</v>
      </c>
      <c r="I790" s="6" t="s">
        <v>3871</v>
      </c>
      <c r="J790" s="6" t="s">
        <v>3872</v>
      </c>
      <c r="K790" s="6" t="s">
        <v>2085</v>
      </c>
      <c r="L790" s="180" t="s">
        <v>3873</v>
      </c>
      <c r="M790" s="22" t="s">
        <v>394</v>
      </c>
    </row>
    <row r="791" spans="1:13" ht="178.5">
      <c r="A791" s="143">
        <v>2016</v>
      </c>
      <c r="B791" s="6" t="s">
        <v>3874</v>
      </c>
      <c r="C791" s="6" t="s">
        <v>61</v>
      </c>
      <c r="D791" s="6" t="s">
        <v>3168</v>
      </c>
      <c r="E791" s="115" t="s">
        <v>1859</v>
      </c>
      <c r="F791" s="121">
        <v>99000</v>
      </c>
      <c r="G791" s="179"/>
      <c r="H791" s="6" t="s">
        <v>3875</v>
      </c>
      <c r="I791" s="6" t="s">
        <v>3876</v>
      </c>
      <c r="J791" s="6" t="s">
        <v>3877</v>
      </c>
      <c r="K791" s="6" t="s">
        <v>1828</v>
      </c>
      <c r="L791" s="180" t="s">
        <v>3878</v>
      </c>
      <c r="M791" s="22" t="s">
        <v>3168</v>
      </c>
    </row>
    <row r="792" spans="1:13" ht="165.75">
      <c r="A792" s="143">
        <v>2016</v>
      </c>
      <c r="B792" s="6" t="s">
        <v>3879</v>
      </c>
      <c r="C792" s="6" t="s">
        <v>61</v>
      </c>
      <c r="D792" s="6" t="s">
        <v>1763</v>
      </c>
      <c r="E792" s="115" t="s">
        <v>1859</v>
      </c>
      <c r="F792" s="121">
        <v>18400</v>
      </c>
      <c r="G792" s="179"/>
      <c r="H792" s="6" t="s">
        <v>3880</v>
      </c>
      <c r="I792" s="6" t="s">
        <v>3881</v>
      </c>
      <c r="J792" s="6" t="s">
        <v>3882</v>
      </c>
      <c r="K792" s="6" t="s">
        <v>1828</v>
      </c>
      <c r="L792" s="180" t="s">
        <v>3883</v>
      </c>
      <c r="M792" s="22" t="s">
        <v>1763</v>
      </c>
    </row>
    <row r="793" spans="1:13" ht="140.25">
      <c r="A793" s="143">
        <v>2016</v>
      </c>
      <c r="B793" s="6" t="s">
        <v>3884</v>
      </c>
      <c r="C793" s="6" t="s">
        <v>61</v>
      </c>
      <c r="D793" s="6" t="s">
        <v>1763</v>
      </c>
      <c r="E793" s="115" t="s">
        <v>1859</v>
      </c>
      <c r="F793" s="121">
        <v>78000</v>
      </c>
      <c r="G793" s="179"/>
      <c r="H793" s="6" t="s">
        <v>3885</v>
      </c>
      <c r="I793" s="6" t="s">
        <v>3886</v>
      </c>
      <c r="J793" s="6" t="s">
        <v>3397</v>
      </c>
      <c r="K793" s="6" t="s">
        <v>1886</v>
      </c>
      <c r="L793" s="180" t="s">
        <v>3887</v>
      </c>
      <c r="M793" s="22" t="s">
        <v>1763</v>
      </c>
    </row>
    <row r="794" spans="1:13" ht="165.75">
      <c r="A794" s="143">
        <v>2016</v>
      </c>
      <c r="B794" s="6" t="s">
        <v>3888</v>
      </c>
      <c r="C794" s="6" t="s">
        <v>61</v>
      </c>
      <c r="D794" s="115" t="s">
        <v>1383</v>
      </c>
      <c r="E794" s="115" t="s">
        <v>1859</v>
      </c>
      <c r="F794" s="121">
        <v>24750</v>
      </c>
      <c r="G794" s="179"/>
      <c r="H794" s="6" t="s">
        <v>3889</v>
      </c>
      <c r="I794" s="6" t="s">
        <v>3890</v>
      </c>
      <c r="J794" s="6" t="s">
        <v>3891</v>
      </c>
      <c r="K794" s="6" t="s">
        <v>1828</v>
      </c>
      <c r="L794" s="180" t="s">
        <v>3892</v>
      </c>
      <c r="M794" s="22" t="s">
        <v>1383</v>
      </c>
    </row>
    <row r="795" spans="1:13" ht="127.5">
      <c r="A795" s="143">
        <v>2016</v>
      </c>
      <c r="B795" s="6" t="s">
        <v>3893</v>
      </c>
      <c r="C795" s="6" t="s">
        <v>61</v>
      </c>
      <c r="D795" s="6" t="s">
        <v>1763</v>
      </c>
      <c r="E795" s="115" t="s">
        <v>1859</v>
      </c>
      <c r="F795" s="121">
        <v>6900</v>
      </c>
      <c r="G795" s="179"/>
      <c r="H795" s="6" t="s">
        <v>3894</v>
      </c>
      <c r="I795" s="6" t="s">
        <v>3895</v>
      </c>
      <c r="J795" s="6"/>
      <c r="K795" s="6" t="s">
        <v>1828</v>
      </c>
      <c r="L795" s="180" t="s">
        <v>3896</v>
      </c>
      <c r="M795" s="22" t="s">
        <v>1763</v>
      </c>
    </row>
    <row r="796" spans="1:13" ht="165.75">
      <c r="A796" s="143">
        <v>2016</v>
      </c>
      <c r="B796" s="6" t="s">
        <v>3897</v>
      </c>
      <c r="C796" s="6" t="s">
        <v>61</v>
      </c>
      <c r="D796" s="6" t="s">
        <v>3168</v>
      </c>
      <c r="E796" s="115" t="s">
        <v>1859</v>
      </c>
      <c r="F796" s="121">
        <v>50000</v>
      </c>
      <c r="G796" s="179"/>
      <c r="H796" s="6" t="s">
        <v>3898</v>
      </c>
      <c r="I796" s="6" t="s">
        <v>3899</v>
      </c>
      <c r="J796" s="6"/>
      <c r="K796" s="6" t="s">
        <v>1828</v>
      </c>
      <c r="L796" s="180" t="s">
        <v>3900</v>
      </c>
      <c r="M796" s="22" t="s">
        <v>3168</v>
      </c>
    </row>
    <row r="797" spans="1:13" ht="178.5">
      <c r="A797" s="143">
        <v>2016</v>
      </c>
      <c r="B797" s="6" t="s">
        <v>3901</v>
      </c>
      <c r="C797" s="6" t="s">
        <v>61</v>
      </c>
      <c r="D797" s="6" t="s">
        <v>3168</v>
      </c>
      <c r="E797" s="115" t="s">
        <v>1859</v>
      </c>
      <c r="F797" s="121">
        <v>100000</v>
      </c>
      <c r="G797" s="179"/>
      <c r="H797" s="6" t="s">
        <v>3902</v>
      </c>
      <c r="I797" s="6" t="s">
        <v>3903</v>
      </c>
      <c r="J797" s="6" t="s">
        <v>3851</v>
      </c>
      <c r="K797" s="6" t="s">
        <v>1828</v>
      </c>
      <c r="L797" s="180" t="s">
        <v>3904</v>
      </c>
      <c r="M797" s="22" t="s">
        <v>3168</v>
      </c>
    </row>
    <row r="798" spans="1:13" ht="140.25">
      <c r="A798" s="143">
        <v>2016</v>
      </c>
      <c r="B798" s="6" t="s">
        <v>3905</v>
      </c>
      <c r="C798" s="6" t="s">
        <v>61</v>
      </c>
      <c r="D798" s="115" t="s">
        <v>1383</v>
      </c>
      <c r="E798" s="115" t="s">
        <v>1859</v>
      </c>
      <c r="F798" s="121">
        <v>28000</v>
      </c>
      <c r="G798" s="179"/>
      <c r="H798" s="6" t="s">
        <v>3906</v>
      </c>
      <c r="I798" s="6" t="s">
        <v>3907</v>
      </c>
      <c r="J798" s="6" t="s">
        <v>3841</v>
      </c>
      <c r="K798" s="6" t="s">
        <v>1828</v>
      </c>
      <c r="L798" s="180" t="s">
        <v>3908</v>
      </c>
      <c r="M798" s="22" t="s">
        <v>1500</v>
      </c>
    </row>
    <row r="799" spans="1:13" ht="165.75">
      <c r="A799" s="143">
        <v>2016</v>
      </c>
      <c r="B799" s="6" t="s">
        <v>3909</v>
      </c>
      <c r="C799" s="6" t="s">
        <v>61</v>
      </c>
      <c r="D799" s="6" t="s">
        <v>1763</v>
      </c>
      <c r="E799" s="115" t="s">
        <v>1859</v>
      </c>
      <c r="F799" s="121">
        <v>99000</v>
      </c>
      <c r="G799" s="179"/>
      <c r="H799" s="6" t="s">
        <v>3910</v>
      </c>
      <c r="I799" s="6" t="s">
        <v>811</v>
      </c>
      <c r="J799" s="6" t="s">
        <v>3841</v>
      </c>
      <c r="K799" s="6" t="s">
        <v>1828</v>
      </c>
      <c r="L799" s="180" t="s">
        <v>3911</v>
      </c>
      <c r="M799" s="22" t="s">
        <v>1763</v>
      </c>
    </row>
    <row r="800" spans="1:13" ht="178.5">
      <c r="A800" s="143">
        <v>2016</v>
      </c>
      <c r="B800" s="6" t="s">
        <v>3912</v>
      </c>
      <c r="C800" s="6" t="s">
        <v>61</v>
      </c>
      <c r="D800" s="6" t="s">
        <v>394</v>
      </c>
      <c r="E800" s="115" t="s">
        <v>1853</v>
      </c>
      <c r="F800" s="121">
        <v>52000</v>
      </c>
      <c r="G800" s="179"/>
      <c r="H800" s="6" t="s">
        <v>3913</v>
      </c>
      <c r="I800" s="6" t="s">
        <v>840</v>
      </c>
      <c r="J800" s="6" t="s">
        <v>3841</v>
      </c>
      <c r="K800" s="6" t="s">
        <v>1828</v>
      </c>
      <c r="L800" s="180" t="s">
        <v>3914</v>
      </c>
      <c r="M800" s="22" t="s">
        <v>394</v>
      </c>
    </row>
    <row r="801" spans="1:13" ht="178.5">
      <c r="A801" s="143">
        <v>2016</v>
      </c>
      <c r="B801" s="6" t="s">
        <v>3915</v>
      </c>
      <c r="C801" s="6" t="s">
        <v>61</v>
      </c>
      <c r="D801" s="6" t="s">
        <v>1782</v>
      </c>
      <c r="E801" s="6"/>
      <c r="F801" s="121">
        <v>43000</v>
      </c>
      <c r="G801" s="179"/>
      <c r="H801" s="6" t="s">
        <v>3916</v>
      </c>
      <c r="I801" s="6" t="s">
        <v>811</v>
      </c>
      <c r="J801" s="6" t="s">
        <v>3841</v>
      </c>
      <c r="K801" s="6" t="s">
        <v>1828</v>
      </c>
      <c r="L801" s="180" t="s">
        <v>3917</v>
      </c>
      <c r="M801" s="22" t="s">
        <v>1782</v>
      </c>
    </row>
    <row r="802" spans="1:13" ht="102">
      <c r="A802" s="143">
        <v>2016</v>
      </c>
      <c r="B802" s="6" t="s">
        <v>3918</v>
      </c>
      <c r="C802" s="6" t="s">
        <v>61</v>
      </c>
      <c r="D802" s="6" t="s">
        <v>3168</v>
      </c>
      <c r="E802" s="115" t="s">
        <v>1859</v>
      </c>
      <c r="F802" s="121">
        <v>100000</v>
      </c>
      <c r="G802" s="179"/>
      <c r="H802" s="6" t="s">
        <v>3919</v>
      </c>
      <c r="I802" s="6" t="s">
        <v>3920</v>
      </c>
      <c r="J802" s="6" t="s">
        <v>3921</v>
      </c>
      <c r="K802" s="6" t="s">
        <v>2031</v>
      </c>
      <c r="L802" s="180" t="s">
        <v>3922</v>
      </c>
      <c r="M802" s="22" t="s">
        <v>3168</v>
      </c>
    </row>
    <row r="803" spans="1:13" ht="127.5">
      <c r="A803" s="143">
        <v>2016</v>
      </c>
      <c r="B803" s="6" t="s">
        <v>3923</v>
      </c>
      <c r="C803" s="6" t="s">
        <v>61</v>
      </c>
      <c r="D803" s="115" t="s">
        <v>1383</v>
      </c>
      <c r="E803" s="115" t="s">
        <v>1859</v>
      </c>
      <c r="F803" s="121">
        <v>28500</v>
      </c>
      <c r="G803" s="179"/>
      <c r="H803" s="6" t="s">
        <v>3924</v>
      </c>
      <c r="I803" s="6" t="s">
        <v>3340</v>
      </c>
      <c r="J803" s="6" t="s">
        <v>3925</v>
      </c>
      <c r="K803" s="6" t="s">
        <v>1828</v>
      </c>
      <c r="L803" s="180" t="s">
        <v>3926</v>
      </c>
      <c r="M803" s="22" t="s">
        <v>1383</v>
      </c>
    </row>
    <row r="804" spans="1:13" ht="153">
      <c r="A804" s="143">
        <v>2016</v>
      </c>
      <c r="B804" s="6" t="s">
        <v>3927</v>
      </c>
      <c r="C804" s="6" t="s">
        <v>61</v>
      </c>
      <c r="D804" s="6" t="s">
        <v>394</v>
      </c>
      <c r="E804" s="115" t="s">
        <v>1853</v>
      </c>
      <c r="F804" s="121">
        <v>37400</v>
      </c>
      <c r="G804" s="179"/>
      <c r="H804" s="6" t="s">
        <v>3928</v>
      </c>
      <c r="I804" s="6" t="s">
        <v>3929</v>
      </c>
      <c r="J804" s="6" t="s">
        <v>3930</v>
      </c>
      <c r="K804" s="6" t="s">
        <v>1886</v>
      </c>
      <c r="L804" s="180" t="s">
        <v>3931</v>
      </c>
      <c r="M804" s="22" t="s">
        <v>394</v>
      </c>
    </row>
    <row r="805" spans="1:13" ht="140.25">
      <c r="A805" s="143">
        <v>2016</v>
      </c>
      <c r="B805" s="6" t="s">
        <v>3932</v>
      </c>
      <c r="C805" s="6" t="s">
        <v>61</v>
      </c>
      <c r="D805" s="6" t="s">
        <v>394</v>
      </c>
      <c r="E805" s="115" t="s">
        <v>1853</v>
      </c>
      <c r="F805" s="121">
        <v>46600</v>
      </c>
      <c r="G805" s="179"/>
      <c r="H805" s="6" t="s">
        <v>3933</v>
      </c>
      <c r="I805" s="6" t="s">
        <v>3934</v>
      </c>
      <c r="J805" s="6" t="s">
        <v>3935</v>
      </c>
      <c r="K805" s="6" t="s">
        <v>2085</v>
      </c>
      <c r="L805" s="180" t="s">
        <v>3936</v>
      </c>
      <c r="M805" s="22" t="s">
        <v>394</v>
      </c>
    </row>
    <row r="806" spans="1:13" ht="165.75">
      <c r="A806" s="143">
        <v>2016</v>
      </c>
      <c r="B806" s="6" t="s">
        <v>3937</v>
      </c>
      <c r="C806" s="9" t="s">
        <v>61</v>
      </c>
      <c r="D806" s="6" t="s">
        <v>1141</v>
      </c>
      <c r="E806" s="6" t="s">
        <v>1904</v>
      </c>
      <c r="F806" s="121">
        <v>88006.86</v>
      </c>
      <c r="G806" s="179"/>
      <c r="H806" s="6" t="s">
        <v>3938</v>
      </c>
      <c r="I806" s="6" t="s">
        <v>3939</v>
      </c>
      <c r="J806" s="6" t="s">
        <v>3940</v>
      </c>
      <c r="K806" s="6" t="s">
        <v>1899</v>
      </c>
      <c r="L806" s="180" t="s">
        <v>3941</v>
      </c>
      <c r="M806" s="22" t="s">
        <v>1141</v>
      </c>
    </row>
    <row r="807" spans="1:13" ht="165.75">
      <c r="A807" s="143">
        <v>2016</v>
      </c>
      <c r="B807" s="6" t="s">
        <v>3942</v>
      </c>
      <c r="C807" s="9" t="s">
        <v>61</v>
      </c>
      <c r="D807" s="6" t="s">
        <v>1141</v>
      </c>
      <c r="E807" s="6" t="s">
        <v>1904</v>
      </c>
      <c r="F807" s="121">
        <v>39629.879999999997</v>
      </c>
      <c r="G807" s="6"/>
      <c r="H807" s="6" t="s">
        <v>3943</v>
      </c>
      <c r="I807" s="6" t="s">
        <v>3939</v>
      </c>
      <c r="J807" s="6" t="s">
        <v>3940</v>
      </c>
      <c r="K807" s="6" t="s">
        <v>1899</v>
      </c>
      <c r="L807" s="180" t="s">
        <v>3944</v>
      </c>
      <c r="M807" s="22" t="s">
        <v>1141</v>
      </c>
    </row>
    <row r="808" spans="1:13" ht="140.25">
      <c r="A808" s="143">
        <v>2016</v>
      </c>
      <c r="B808" s="6" t="s">
        <v>3945</v>
      </c>
      <c r="C808" s="6" t="s">
        <v>61</v>
      </c>
      <c r="D808" s="6" t="s">
        <v>394</v>
      </c>
      <c r="E808" s="115" t="s">
        <v>1853</v>
      </c>
      <c r="F808" s="121">
        <v>97500</v>
      </c>
      <c r="G808" s="179"/>
      <c r="H808" s="6" t="s">
        <v>3913</v>
      </c>
      <c r="I808" s="6" t="s">
        <v>840</v>
      </c>
      <c r="J808" s="6" t="s">
        <v>3841</v>
      </c>
      <c r="K808" s="6" t="s">
        <v>1828</v>
      </c>
      <c r="L808" s="180" t="s">
        <v>3946</v>
      </c>
      <c r="M808" s="22" t="s">
        <v>394</v>
      </c>
    </row>
    <row r="809" spans="1:13" ht="165.75">
      <c r="A809" s="143">
        <v>2016</v>
      </c>
      <c r="B809" s="6" t="s">
        <v>3947</v>
      </c>
      <c r="C809" s="6" t="s">
        <v>61</v>
      </c>
      <c r="D809" s="6" t="s">
        <v>586</v>
      </c>
      <c r="E809" s="6" t="s">
        <v>1874</v>
      </c>
      <c r="F809" s="121">
        <v>12640</v>
      </c>
      <c r="G809" s="179"/>
      <c r="H809" s="6" t="s">
        <v>3948</v>
      </c>
      <c r="I809" s="6" t="s">
        <v>3949</v>
      </c>
      <c r="J809" s="6" t="s">
        <v>3950</v>
      </c>
      <c r="K809" s="6" t="s">
        <v>1828</v>
      </c>
      <c r="L809" s="180" t="s">
        <v>3951</v>
      </c>
      <c r="M809" s="22" t="s">
        <v>586</v>
      </c>
    </row>
    <row r="810" spans="1:13" ht="102">
      <c r="A810" s="143">
        <v>2016</v>
      </c>
      <c r="B810" s="6" t="s">
        <v>3952</v>
      </c>
      <c r="C810" s="6" t="s">
        <v>61</v>
      </c>
      <c r="D810" s="6" t="s">
        <v>394</v>
      </c>
      <c r="E810" s="115" t="s">
        <v>1853</v>
      </c>
      <c r="F810" s="121">
        <v>45800</v>
      </c>
      <c r="G810" s="179"/>
      <c r="H810" s="6" t="s">
        <v>3928</v>
      </c>
      <c r="I810" s="6" t="s">
        <v>3953</v>
      </c>
      <c r="J810" s="6" t="s">
        <v>3954</v>
      </c>
      <c r="K810" s="6" t="s">
        <v>1899</v>
      </c>
      <c r="L810" s="180" t="s">
        <v>3955</v>
      </c>
      <c r="M810" s="22" t="s">
        <v>394</v>
      </c>
    </row>
    <row r="811" spans="1:13" ht="140.25">
      <c r="A811" s="143">
        <v>2016</v>
      </c>
      <c r="B811" s="6" t="s">
        <v>3956</v>
      </c>
      <c r="C811" s="9" t="s">
        <v>61</v>
      </c>
      <c r="D811" s="6" t="s">
        <v>1141</v>
      </c>
      <c r="E811" s="6" t="s">
        <v>1904</v>
      </c>
      <c r="F811" s="121">
        <v>69273</v>
      </c>
      <c r="G811" s="179"/>
      <c r="H811" s="6" t="s">
        <v>3957</v>
      </c>
      <c r="I811" s="6" t="s">
        <v>3939</v>
      </c>
      <c r="J811" s="6" t="s">
        <v>3940</v>
      </c>
      <c r="K811" s="6" t="s">
        <v>1899</v>
      </c>
      <c r="L811" s="180" t="s">
        <v>3958</v>
      </c>
      <c r="M811" s="22" t="s">
        <v>1141</v>
      </c>
    </row>
    <row r="812" spans="1:13" ht="76.5">
      <c r="A812" s="143">
        <v>2016</v>
      </c>
      <c r="B812" s="6" t="s">
        <v>3959</v>
      </c>
      <c r="C812" s="6" t="s">
        <v>61</v>
      </c>
      <c r="D812" s="6" t="s">
        <v>2834</v>
      </c>
      <c r="E812" s="6" t="s">
        <v>1874</v>
      </c>
      <c r="F812" s="121">
        <v>100000</v>
      </c>
      <c r="G812" s="179"/>
      <c r="H812" s="6" t="s">
        <v>3960</v>
      </c>
      <c r="I812" s="6" t="s">
        <v>3961</v>
      </c>
      <c r="J812" s="6" t="s">
        <v>3921</v>
      </c>
      <c r="K812" s="6" t="s">
        <v>2031</v>
      </c>
      <c r="L812" s="180" t="s">
        <v>3962</v>
      </c>
      <c r="M812" s="22" t="s">
        <v>1730</v>
      </c>
    </row>
    <row r="813" spans="1:13" ht="114.75">
      <c r="A813" s="143">
        <v>2016</v>
      </c>
      <c r="B813" s="6" t="s">
        <v>3963</v>
      </c>
      <c r="C813" s="6" t="s">
        <v>61</v>
      </c>
      <c r="D813" s="6" t="s">
        <v>394</v>
      </c>
      <c r="E813" s="115" t="s">
        <v>1853</v>
      </c>
      <c r="F813" s="121">
        <v>67200</v>
      </c>
      <c r="G813" s="179"/>
      <c r="H813" s="6" t="s">
        <v>3419</v>
      </c>
      <c r="I813" s="6" t="s">
        <v>3964</v>
      </c>
      <c r="J813" s="6" t="s">
        <v>3965</v>
      </c>
      <c r="K813" s="6" t="s">
        <v>1855</v>
      </c>
      <c r="L813" s="180" t="s">
        <v>3966</v>
      </c>
      <c r="M813" s="22" t="s">
        <v>394</v>
      </c>
    </row>
    <row r="814" spans="1:13" ht="114.75">
      <c r="A814" s="143">
        <v>2016</v>
      </c>
      <c r="B814" s="6" t="s">
        <v>3967</v>
      </c>
      <c r="C814" s="6" t="s">
        <v>61</v>
      </c>
      <c r="D814" s="6" t="s">
        <v>1763</v>
      </c>
      <c r="E814" s="115" t="s">
        <v>1859</v>
      </c>
      <c r="F814" s="121">
        <v>68000</v>
      </c>
      <c r="G814" s="179"/>
      <c r="H814" s="6" t="s">
        <v>3968</v>
      </c>
      <c r="I814" s="6" t="s">
        <v>3969</v>
      </c>
      <c r="J814" s="6" t="s">
        <v>3970</v>
      </c>
      <c r="K814" s="6" t="s">
        <v>1886</v>
      </c>
      <c r="L814" s="180" t="s">
        <v>3971</v>
      </c>
      <c r="M814" s="22" t="s">
        <v>1763</v>
      </c>
    </row>
    <row r="815" spans="1:13" ht="178.5">
      <c r="A815" s="143">
        <v>2016</v>
      </c>
      <c r="B815" s="6" t="s">
        <v>3972</v>
      </c>
      <c r="C815" s="6" t="s">
        <v>61</v>
      </c>
      <c r="D815" s="6" t="s">
        <v>394</v>
      </c>
      <c r="E815" s="115" t="s">
        <v>1853</v>
      </c>
      <c r="F815" s="121">
        <v>63800</v>
      </c>
      <c r="G815" s="179"/>
      <c r="H815" s="6" t="s">
        <v>3973</v>
      </c>
      <c r="I815" s="6" t="s">
        <v>3974</v>
      </c>
      <c r="J815" s="6"/>
      <c r="K815" s="6" t="s">
        <v>1919</v>
      </c>
      <c r="L815" s="180" t="s">
        <v>3975</v>
      </c>
      <c r="M815" s="22" t="s">
        <v>394</v>
      </c>
    </row>
    <row r="816" spans="1:13" ht="165.75">
      <c r="A816" s="143">
        <v>2016</v>
      </c>
      <c r="B816" s="6" t="s">
        <v>3976</v>
      </c>
      <c r="C816" s="9" t="s">
        <v>61</v>
      </c>
      <c r="D816" s="6" t="s">
        <v>1141</v>
      </c>
      <c r="E816" s="6" t="s">
        <v>1904</v>
      </c>
      <c r="F816" s="121">
        <v>84114.45</v>
      </c>
      <c r="G816" s="179"/>
      <c r="H816" s="6" t="s">
        <v>3977</v>
      </c>
      <c r="I816" s="6" t="s">
        <v>3939</v>
      </c>
      <c r="J816" s="6" t="s">
        <v>3940</v>
      </c>
      <c r="K816" s="6" t="s">
        <v>1899</v>
      </c>
      <c r="L816" s="180" t="s">
        <v>3978</v>
      </c>
      <c r="M816" s="22" t="s">
        <v>1141</v>
      </c>
    </row>
    <row r="817" spans="1:13" ht="89.25">
      <c r="A817" s="143">
        <v>2016</v>
      </c>
      <c r="B817" s="6" t="s">
        <v>3979</v>
      </c>
      <c r="C817" s="6" t="s">
        <v>61</v>
      </c>
      <c r="D817" s="6" t="s">
        <v>394</v>
      </c>
      <c r="E817" s="115" t="s">
        <v>1853</v>
      </c>
      <c r="F817" s="121">
        <v>68000</v>
      </c>
      <c r="G817" s="179"/>
      <c r="H817" s="6" t="s">
        <v>3419</v>
      </c>
      <c r="I817" s="6" t="s">
        <v>3980</v>
      </c>
      <c r="J817" s="6" t="s">
        <v>3405</v>
      </c>
      <c r="K817" s="6" t="s">
        <v>2130</v>
      </c>
      <c r="L817" s="180" t="s">
        <v>3981</v>
      </c>
      <c r="M817" s="22" t="s">
        <v>394</v>
      </c>
    </row>
    <row r="818" spans="1:13" ht="127.5">
      <c r="A818" s="143">
        <v>2016</v>
      </c>
      <c r="B818" s="6" t="s">
        <v>3982</v>
      </c>
      <c r="C818" s="6" t="s">
        <v>61</v>
      </c>
      <c r="D818" s="115" t="s">
        <v>1383</v>
      </c>
      <c r="E818" s="115" t="s">
        <v>1859</v>
      </c>
      <c r="F818" s="121">
        <v>83480</v>
      </c>
      <c r="G818" s="179"/>
      <c r="H818" s="6" t="s">
        <v>3983</v>
      </c>
      <c r="I818" s="6" t="s">
        <v>811</v>
      </c>
      <c r="J818" s="6" t="s">
        <v>3500</v>
      </c>
      <c r="K818" s="6" t="s">
        <v>1828</v>
      </c>
      <c r="L818" s="180" t="s">
        <v>3984</v>
      </c>
      <c r="M818" s="22" t="s">
        <v>1383</v>
      </c>
    </row>
    <row r="819" spans="1:13" ht="89.25">
      <c r="A819" s="143">
        <v>2016</v>
      </c>
      <c r="B819" s="6" t="s">
        <v>3985</v>
      </c>
      <c r="C819" s="6" t="s">
        <v>61</v>
      </c>
      <c r="D819" s="115" t="s">
        <v>1383</v>
      </c>
      <c r="E819" s="115" t="s">
        <v>1859</v>
      </c>
      <c r="F819" s="121">
        <v>67200</v>
      </c>
      <c r="G819" s="179"/>
      <c r="H819" s="6" t="s">
        <v>3986</v>
      </c>
      <c r="I819" s="6" t="s">
        <v>3987</v>
      </c>
      <c r="J819" s="6" t="s">
        <v>3988</v>
      </c>
      <c r="K819" s="6" t="s">
        <v>1896</v>
      </c>
      <c r="L819" s="180" t="s">
        <v>3989</v>
      </c>
      <c r="M819" s="22" t="s">
        <v>1383</v>
      </c>
    </row>
    <row r="820" spans="1:13" ht="89.25">
      <c r="A820" s="143">
        <v>2016</v>
      </c>
      <c r="B820" s="6" t="s">
        <v>3990</v>
      </c>
      <c r="C820" s="6" t="s">
        <v>61</v>
      </c>
      <c r="D820" s="6" t="s">
        <v>394</v>
      </c>
      <c r="E820" s="115" t="s">
        <v>1853</v>
      </c>
      <c r="F820" s="121">
        <v>71800</v>
      </c>
      <c r="G820" s="179"/>
      <c r="H820" s="6" t="s">
        <v>3991</v>
      </c>
      <c r="I820" s="6" t="s">
        <v>3987</v>
      </c>
      <c r="J820" s="6" t="s">
        <v>3988</v>
      </c>
      <c r="K820" s="6" t="s">
        <v>1896</v>
      </c>
      <c r="L820" s="180" t="s">
        <v>3989</v>
      </c>
      <c r="M820" s="22" t="s">
        <v>394</v>
      </c>
    </row>
    <row r="821" spans="1:13" ht="102">
      <c r="A821" s="143">
        <v>2016</v>
      </c>
      <c r="B821" s="6" t="s">
        <v>3992</v>
      </c>
      <c r="C821" s="6" t="s">
        <v>61</v>
      </c>
      <c r="D821" s="6" t="s">
        <v>3168</v>
      </c>
      <c r="E821" s="115" t="s">
        <v>1859</v>
      </c>
      <c r="F821" s="121">
        <v>100000</v>
      </c>
      <c r="G821" s="179"/>
      <c r="H821" s="6" t="s">
        <v>3993</v>
      </c>
      <c r="I821" s="6" t="s">
        <v>811</v>
      </c>
      <c r="J821" s="6" t="s">
        <v>3841</v>
      </c>
      <c r="K821" s="6" t="s">
        <v>1828</v>
      </c>
      <c r="L821" s="180" t="s">
        <v>3994</v>
      </c>
      <c r="M821" s="22" t="s">
        <v>3168</v>
      </c>
    </row>
    <row r="822" spans="1:13" ht="114.75">
      <c r="A822" s="143">
        <v>2016</v>
      </c>
      <c r="B822" s="6" t="s">
        <v>3995</v>
      </c>
      <c r="C822" s="6" t="s">
        <v>61</v>
      </c>
      <c r="D822" s="6" t="s">
        <v>3168</v>
      </c>
      <c r="E822" s="115" t="s">
        <v>1859</v>
      </c>
      <c r="F822" s="121">
        <v>50000</v>
      </c>
      <c r="G822" s="179"/>
      <c r="H822" s="6" t="s">
        <v>3996</v>
      </c>
      <c r="I822" s="6" t="s">
        <v>3997</v>
      </c>
      <c r="J822" s="6"/>
      <c r="K822" s="6" t="s">
        <v>1828</v>
      </c>
      <c r="L822" s="180" t="s">
        <v>3998</v>
      </c>
      <c r="M822" s="22" t="s">
        <v>3168</v>
      </c>
    </row>
    <row r="823" spans="1:13" ht="25.5">
      <c r="A823" s="143">
        <v>2016</v>
      </c>
      <c r="B823" s="181" t="s">
        <v>3999</v>
      </c>
      <c r="C823" s="181"/>
      <c r="D823" s="181" t="s">
        <v>3827</v>
      </c>
      <c r="E823" s="181"/>
      <c r="F823" s="182" t="s">
        <v>3827</v>
      </c>
      <c r="G823" s="181"/>
      <c r="H823" s="181" t="s">
        <v>3827</v>
      </c>
      <c r="I823" s="181" t="s">
        <v>3827</v>
      </c>
      <c r="J823" s="181" t="s">
        <v>3827</v>
      </c>
      <c r="K823" s="181"/>
      <c r="L823" s="181" t="s">
        <v>3827</v>
      </c>
      <c r="M823" s="181" t="s">
        <v>3827</v>
      </c>
    </row>
    <row r="824" spans="1:13" ht="127.5">
      <c r="A824" s="143">
        <v>2016</v>
      </c>
      <c r="B824" s="6" t="s">
        <v>4000</v>
      </c>
      <c r="C824" s="6" t="s">
        <v>61</v>
      </c>
      <c r="D824" s="6" t="s">
        <v>1763</v>
      </c>
      <c r="E824" s="115" t="s">
        <v>1859</v>
      </c>
      <c r="F824" s="121">
        <v>10500</v>
      </c>
      <c r="G824" s="179"/>
      <c r="H824" s="6" t="s">
        <v>4001</v>
      </c>
      <c r="I824" s="6" t="s">
        <v>4002</v>
      </c>
      <c r="J824" s="6" t="s">
        <v>4003</v>
      </c>
      <c r="K824" s="6" t="s">
        <v>1828</v>
      </c>
      <c r="L824" s="180" t="s">
        <v>4004</v>
      </c>
      <c r="M824" s="22" t="s">
        <v>1763</v>
      </c>
    </row>
    <row r="825" spans="1:13" ht="127.5">
      <c r="A825" s="143">
        <v>2016</v>
      </c>
      <c r="B825" s="6" t="s">
        <v>4005</v>
      </c>
      <c r="C825" s="6" t="s">
        <v>61</v>
      </c>
      <c r="D825" s="115" t="s">
        <v>1383</v>
      </c>
      <c r="E825" s="115" t="s">
        <v>1859</v>
      </c>
      <c r="F825" s="121">
        <v>15000</v>
      </c>
      <c r="G825" s="179"/>
      <c r="H825" s="6" t="s">
        <v>4006</v>
      </c>
      <c r="I825" s="6" t="s">
        <v>4007</v>
      </c>
      <c r="J825" s="6" t="s">
        <v>4008</v>
      </c>
      <c r="K825" s="6" t="s">
        <v>1828</v>
      </c>
      <c r="L825" s="180" t="s">
        <v>4009</v>
      </c>
      <c r="M825" s="22" t="s">
        <v>1383</v>
      </c>
    </row>
    <row r="826" spans="1:13" ht="127.5">
      <c r="A826" s="143">
        <v>2016</v>
      </c>
      <c r="B826" s="6" t="s">
        <v>4010</v>
      </c>
      <c r="C826" s="6" t="s">
        <v>61</v>
      </c>
      <c r="D826" s="6" t="s">
        <v>394</v>
      </c>
      <c r="E826" s="115" t="s">
        <v>1853</v>
      </c>
      <c r="F826" s="121">
        <v>65200</v>
      </c>
      <c r="G826" s="179"/>
      <c r="H826" s="6" t="s">
        <v>3391</v>
      </c>
      <c r="I826" s="6" t="s">
        <v>4011</v>
      </c>
      <c r="J826" s="6" t="s">
        <v>4012</v>
      </c>
      <c r="K826" s="6" t="s">
        <v>2082</v>
      </c>
      <c r="L826" s="180" t="s">
        <v>4013</v>
      </c>
      <c r="M826" s="22" t="s">
        <v>394</v>
      </c>
    </row>
    <row r="827" spans="1:13" ht="140.25">
      <c r="A827" s="143">
        <v>2016</v>
      </c>
      <c r="B827" s="6" t="s">
        <v>4014</v>
      </c>
      <c r="C827" s="6" t="s">
        <v>61</v>
      </c>
      <c r="D827" s="6" t="s">
        <v>2834</v>
      </c>
      <c r="E827" s="6" t="s">
        <v>1874</v>
      </c>
      <c r="F827" s="121">
        <v>99998</v>
      </c>
      <c r="G827" s="179"/>
      <c r="H827" s="6" t="s">
        <v>4015</v>
      </c>
      <c r="I827" s="6" t="s">
        <v>3859</v>
      </c>
      <c r="J827" s="6" t="s">
        <v>4016</v>
      </c>
      <c r="K827" s="6" t="s">
        <v>1855</v>
      </c>
      <c r="L827" s="180" t="s">
        <v>4017</v>
      </c>
      <c r="M827" s="22" t="s">
        <v>1730</v>
      </c>
    </row>
    <row r="828" spans="1:13" ht="165.75">
      <c r="A828" s="143">
        <v>2016</v>
      </c>
      <c r="B828" s="6" t="s">
        <v>4018</v>
      </c>
      <c r="C828" s="6" t="s">
        <v>61</v>
      </c>
      <c r="D828" s="115" t="s">
        <v>1383</v>
      </c>
      <c r="E828" s="115" t="s">
        <v>1859</v>
      </c>
      <c r="F828" s="121">
        <v>66000</v>
      </c>
      <c r="G828" s="179"/>
      <c r="H828" s="6" t="s">
        <v>4019</v>
      </c>
      <c r="I828" s="6" t="s">
        <v>4020</v>
      </c>
      <c r="J828" s="6" t="s">
        <v>4021</v>
      </c>
      <c r="K828" s="6" t="s">
        <v>1828</v>
      </c>
      <c r="L828" s="180" t="s">
        <v>4022</v>
      </c>
      <c r="M828" s="22" t="s">
        <v>1383</v>
      </c>
    </row>
    <row r="829" spans="1:13" ht="153">
      <c r="A829" s="143">
        <v>2016</v>
      </c>
      <c r="B829" s="6" t="s">
        <v>4023</v>
      </c>
      <c r="C829" s="6" t="s">
        <v>61</v>
      </c>
      <c r="D829" s="6" t="s">
        <v>394</v>
      </c>
      <c r="E829" s="115" t="s">
        <v>1853</v>
      </c>
      <c r="F829" s="121">
        <v>62000</v>
      </c>
      <c r="G829" s="179"/>
      <c r="H829" s="6" t="s">
        <v>3419</v>
      </c>
      <c r="I829" s="6" t="s">
        <v>4024</v>
      </c>
      <c r="J829" s="6" t="s">
        <v>4025</v>
      </c>
      <c r="K829" s="6" t="s">
        <v>1896</v>
      </c>
      <c r="L829" s="180" t="s">
        <v>4026</v>
      </c>
      <c r="M829" s="22" t="s">
        <v>394</v>
      </c>
    </row>
    <row r="830" spans="1:13" ht="140.25">
      <c r="A830" s="143">
        <v>2016</v>
      </c>
      <c r="B830" s="6" t="s">
        <v>4027</v>
      </c>
      <c r="C830" s="6" t="s">
        <v>61</v>
      </c>
      <c r="D830" s="6" t="s">
        <v>394</v>
      </c>
      <c r="E830" s="115" t="s">
        <v>1853</v>
      </c>
      <c r="F830" s="121">
        <v>51000</v>
      </c>
      <c r="G830" s="179"/>
      <c r="H830" s="6" t="s">
        <v>4028</v>
      </c>
      <c r="I830" s="6" t="s">
        <v>4029</v>
      </c>
      <c r="J830" s="6" t="s">
        <v>4030</v>
      </c>
      <c r="K830" s="6" t="s">
        <v>2085</v>
      </c>
      <c r="L830" s="180" t="s">
        <v>4031</v>
      </c>
      <c r="M830" s="22" t="s">
        <v>394</v>
      </c>
    </row>
    <row r="831" spans="1:13" ht="89.25">
      <c r="A831" s="143">
        <v>2016</v>
      </c>
      <c r="B831" s="6" t="s">
        <v>4032</v>
      </c>
      <c r="C831" s="6" t="s">
        <v>61</v>
      </c>
      <c r="D831" s="6" t="s">
        <v>394</v>
      </c>
      <c r="E831" s="115" t="s">
        <v>1853</v>
      </c>
      <c r="F831" s="121">
        <v>58500</v>
      </c>
      <c r="G831" s="179"/>
      <c r="H831" s="6" t="s">
        <v>3391</v>
      </c>
      <c r="I831" s="6" t="s">
        <v>4033</v>
      </c>
      <c r="J831" s="6"/>
      <c r="K831" s="9" t="s">
        <v>2571</v>
      </c>
      <c r="L831" s="180" t="s">
        <v>4034</v>
      </c>
      <c r="M831" s="22" t="s">
        <v>394</v>
      </c>
    </row>
    <row r="832" spans="1:13" ht="140.25">
      <c r="A832" s="143">
        <v>2016</v>
      </c>
      <c r="B832" s="6" t="s">
        <v>4035</v>
      </c>
      <c r="C832" s="6" t="s">
        <v>61</v>
      </c>
      <c r="D832" s="6" t="s">
        <v>1763</v>
      </c>
      <c r="E832" s="115" t="s">
        <v>1859</v>
      </c>
      <c r="F832" s="121">
        <v>50000</v>
      </c>
      <c r="G832" s="179"/>
      <c r="H832" s="6" t="s">
        <v>4036</v>
      </c>
      <c r="I832" s="6" t="s">
        <v>4037</v>
      </c>
      <c r="J832" s="6" t="s">
        <v>4038</v>
      </c>
      <c r="K832" s="6" t="s">
        <v>1886</v>
      </c>
      <c r="L832" s="180" t="s">
        <v>4039</v>
      </c>
      <c r="M832" s="22" t="s">
        <v>1763</v>
      </c>
    </row>
    <row r="833" spans="1:13" ht="76.5">
      <c r="A833" s="143">
        <v>2016</v>
      </c>
      <c r="B833" s="6" t="s">
        <v>4040</v>
      </c>
      <c r="C833" s="6" t="s">
        <v>61</v>
      </c>
      <c r="D833" s="6" t="s">
        <v>394</v>
      </c>
      <c r="E833" s="115" t="s">
        <v>1853</v>
      </c>
      <c r="F833" s="121">
        <v>42000</v>
      </c>
      <c r="G833" s="179"/>
      <c r="H833" s="6" t="s">
        <v>4041</v>
      </c>
      <c r="I833" s="6" t="s">
        <v>4042</v>
      </c>
      <c r="J833" s="6"/>
      <c r="K833" s="6" t="s">
        <v>1916</v>
      </c>
      <c r="L833" s="180" t="s">
        <v>4043</v>
      </c>
      <c r="M833" s="22" t="s">
        <v>394</v>
      </c>
    </row>
    <row r="834" spans="1:13" ht="102">
      <c r="A834" s="143">
        <v>2016</v>
      </c>
      <c r="B834" s="6" t="s">
        <v>4044</v>
      </c>
      <c r="C834" s="6" t="s">
        <v>61</v>
      </c>
      <c r="D834" s="6" t="s">
        <v>394</v>
      </c>
      <c r="E834" s="115" t="s">
        <v>1853</v>
      </c>
      <c r="F834" s="121">
        <v>32000</v>
      </c>
      <c r="G834" s="179"/>
      <c r="H834" s="6" t="s">
        <v>4045</v>
      </c>
      <c r="I834" s="6" t="s">
        <v>4046</v>
      </c>
      <c r="J834" s="6"/>
      <c r="K834" s="6" t="s">
        <v>1896</v>
      </c>
      <c r="L834" s="180" t="s">
        <v>4047</v>
      </c>
      <c r="M834" s="22" t="s">
        <v>394</v>
      </c>
    </row>
    <row r="835" spans="1:13" ht="89.25">
      <c r="A835" s="143">
        <v>2016</v>
      </c>
      <c r="B835" s="6" t="s">
        <v>4048</v>
      </c>
      <c r="C835" s="6" t="s">
        <v>61</v>
      </c>
      <c r="D835" s="6" t="s">
        <v>394</v>
      </c>
      <c r="E835" s="115" t="s">
        <v>1853</v>
      </c>
      <c r="F835" s="121">
        <v>38000</v>
      </c>
      <c r="G835" s="179"/>
      <c r="H835" s="6" t="s">
        <v>3419</v>
      </c>
      <c r="I835" s="6" t="s">
        <v>4049</v>
      </c>
      <c r="J835" s="6"/>
      <c r="K835" s="6" t="s">
        <v>1886</v>
      </c>
      <c r="L835" s="180" t="s">
        <v>4050</v>
      </c>
      <c r="M835" s="22" t="s">
        <v>394</v>
      </c>
    </row>
    <row r="836" spans="1:13" ht="102">
      <c r="A836" s="143">
        <v>2016</v>
      </c>
      <c r="B836" s="6" t="s">
        <v>4051</v>
      </c>
      <c r="C836" s="6" t="s">
        <v>61</v>
      </c>
      <c r="D836" s="6" t="s">
        <v>394</v>
      </c>
      <c r="E836" s="115" t="s">
        <v>1853</v>
      </c>
      <c r="F836" s="121">
        <v>68000</v>
      </c>
      <c r="G836" s="179"/>
      <c r="H836" s="6" t="s">
        <v>4052</v>
      </c>
      <c r="I836" s="6" t="s">
        <v>4053</v>
      </c>
      <c r="J836" s="6" t="s">
        <v>4054</v>
      </c>
      <c r="K836" s="6" t="s">
        <v>2041</v>
      </c>
      <c r="L836" s="180" t="s">
        <v>4055</v>
      </c>
      <c r="M836" s="22" t="s">
        <v>394</v>
      </c>
    </row>
    <row r="837" spans="1:13" ht="102">
      <c r="A837" s="143">
        <v>2016</v>
      </c>
      <c r="B837" s="6" t="s">
        <v>4056</v>
      </c>
      <c r="C837" s="6" t="s">
        <v>61</v>
      </c>
      <c r="D837" s="6" t="s">
        <v>3092</v>
      </c>
      <c r="E837" s="6" t="s">
        <v>1904</v>
      </c>
      <c r="F837" s="121">
        <v>95135</v>
      </c>
      <c r="G837" s="179"/>
      <c r="H837" s="6" t="s">
        <v>4057</v>
      </c>
      <c r="I837" s="6" t="s">
        <v>3333</v>
      </c>
      <c r="J837" s="6" t="s">
        <v>4058</v>
      </c>
      <c r="K837" s="6" t="s">
        <v>1828</v>
      </c>
      <c r="L837" s="180" t="s">
        <v>4059</v>
      </c>
      <c r="M837" s="22" t="s">
        <v>3092</v>
      </c>
    </row>
    <row r="838" spans="1:13" ht="114.75">
      <c r="A838" s="143">
        <v>2016</v>
      </c>
      <c r="B838" s="6" t="s">
        <v>4060</v>
      </c>
      <c r="C838" s="6" t="s">
        <v>61</v>
      </c>
      <c r="D838" s="6" t="s">
        <v>3168</v>
      </c>
      <c r="E838" s="115" t="s">
        <v>1859</v>
      </c>
      <c r="F838" s="121">
        <v>39200</v>
      </c>
      <c r="G838" s="179"/>
      <c r="H838" s="6" t="s">
        <v>4061</v>
      </c>
      <c r="I838" s="6" t="s">
        <v>4062</v>
      </c>
      <c r="J838" s="6" t="s">
        <v>4063</v>
      </c>
      <c r="K838" s="6" t="s">
        <v>2051</v>
      </c>
      <c r="L838" s="180" t="s">
        <v>4064</v>
      </c>
      <c r="M838" s="22" t="s">
        <v>3168</v>
      </c>
    </row>
    <row r="839" spans="1:13" ht="25.5">
      <c r="A839" s="143">
        <v>2016</v>
      </c>
      <c r="B839" s="181" t="s">
        <v>4065</v>
      </c>
      <c r="C839" s="181"/>
      <c r="D839" s="181" t="s">
        <v>3827</v>
      </c>
      <c r="E839" s="181"/>
      <c r="F839" s="182" t="s">
        <v>3827</v>
      </c>
      <c r="G839" s="183"/>
      <c r="H839" s="181" t="s">
        <v>3827</v>
      </c>
      <c r="I839" s="181" t="s">
        <v>3827</v>
      </c>
      <c r="J839" s="181" t="s">
        <v>3827</v>
      </c>
      <c r="K839" s="181"/>
      <c r="L839" s="183" t="s">
        <v>3827</v>
      </c>
      <c r="M839" s="184" t="s">
        <v>3827</v>
      </c>
    </row>
    <row r="840" spans="1:13" ht="127.5">
      <c r="A840" s="143">
        <v>2016</v>
      </c>
      <c r="B840" s="6" t="s">
        <v>4066</v>
      </c>
      <c r="C840" s="6" t="s">
        <v>61</v>
      </c>
      <c r="D840" s="115" t="s">
        <v>1383</v>
      </c>
      <c r="E840" s="115" t="s">
        <v>1859</v>
      </c>
      <c r="F840" s="121">
        <v>50000</v>
      </c>
      <c r="G840" s="179"/>
      <c r="H840" s="6" t="s">
        <v>4067</v>
      </c>
      <c r="I840" s="6" t="s">
        <v>4068</v>
      </c>
      <c r="J840" s="6" t="s">
        <v>4058</v>
      </c>
      <c r="K840" s="6" t="s">
        <v>1828</v>
      </c>
      <c r="L840" s="180" t="s">
        <v>4069</v>
      </c>
      <c r="M840" s="22" t="s">
        <v>1383</v>
      </c>
    </row>
    <row r="841" spans="1:13" ht="165.75">
      <c r="A841" s="143">
        <v>2016</v>
      </c>
      <c r="B841" s="6" t="s">
        <v>4070</v>
      </c>
      <c r="C841" s="6" t="s">
        <v>61</v>
      </c>
      <c r="D841" s="6" t="s">
        <v>394</v>
      </c>
      <c r="E841" s="115" t="s">
        <v>1853</v>
      </c>
      <c r="F841" s="121">
        <v>70000</v>
      </c>
      <c r="G841" s="179"/>
      <c r="H841" s="6" t="s">
        <v>4071</v>
      </c>
      <c r="I841" s="6" t="s">
        <v>4072</v>
      </c>
      <c r="J841" s="6" t="s">
        <v>4073</v>
      </c>
      <c r="K841" s="6" t="s">
        <v>2085</v>
      </c>
      <c r="L841" s="180" t="s">
        <v>4074</v>
      </c>
      <c r="M841" s="22" t="s">
        <v>394</v>
      </c>
    </row>
    <row r="842" spans="1:13" ht="102">
      <c r="A842" s="143">
        <v>2016</v>
      </c>
      <c r="B842" s="6" t="s">
        <v>4075</v>
      </c>
      <c r="C842" s="6" t="s">
        <v>61</v>
      </c>
      <c r="D842" s="6" t="s">
        <v>586</v>
      </c>
      <c r="E842" s="6" t="s">
        <v>1874</v>
      </c>
      <c r="F842" s="121">
        <v>8500</v>
      </c>
      <c r="G842" s="179"/>
      <c r="H842" s="6" t="s">
        <v>4076</v>
      </c>
      <c r="I842" s="6" t="s">
        <v>4077</v>
      </c>
      <c r="J842" s="6" t="s">
        <v>4078</v>
      </c>
      <c r="K842" s="6" t="s">
        <v>1828</v>
      </c>
      <c r="L842" s="180" t="s">
        <v>4079</v>
      </c>
      <c r="M842" s="22" t="s">
        <v>586</v>
      </c>
    </row>
    <row r="843" spans="1:13" ht="89.25">
      <c r="A843" s="143">
        <v>2016</v>
      </c>
      <c r="B843" s="6" t="s">
        <v>4080</v>
      </c>
      <c r="C843" s="6" t="s">
        <v>61</v>
      </c>
      <c r="D843" s="115" t="s">
        <v>1383</v>
      </c>
      <c r="E843" s="115" t="s">
        <v>1859</v>
      </c>
      <c r="F843" s="121">
        <v>50000</v>
      </c>
      <c r="G843" s="179"/>
      <c r="H843" s="6" t="s">
        <v>4081</v>
      </c>
      <c r="I843" s="6" t="s">
        <v>4082</v>
      </c>
      <c r="J843" s="6" t="s">
        <v>3925</v>
      </c>
      <c r="K843" s="6" t="s">
        <v>1828</v>
      </c>
      <c r="L843" s="180" t="s">
        <v>4083</v>
      </c>
      <c r="M843" s="22" t="s">
        <v>1383</v>
      </c>
    </row>
    <row r="844" spans="1:13" ht="114.75">
      <c r="A844" s="143">
        <v>2016</v>
      </c>
      <c r="B844" s="6" t="s">
        <v>4084</v>
      </c>
      <c r="C844" s="9" t="s">
        <v>61</v>
      </c>
      <c r="D844" s="6" t="s">
        <v>1141</v>
      </c>
      <c r="E844" s="6" t="s">
        <v>1904</v>
      </c>
      <c r="F844" s="121">
        <v>49880</v>
      </c>
      <c r="G844" s="179"/>
      <c r="H844" s="6" t="s">
        <v>4085</v>
      </c>
      <c r="I844" s="6" t="s">
        <v>4086</v>
      </c>
      <c r="J844" s="6" t="s">
        <v>4087</v>
      </c>
      <c r="K844" s="6" t="s">
        <v>1919</v>
      </c>
      <c r="L844" s="180" t="s">
        <v>4088</v>
      </c>
      <c r="M844" s="22" t="s">
        <v>1141</v>
      </c>
    </row>
    <row r="845" spans="1:13" ht="25.5">
      <c r="A845" s="140">
        <v>2015</v>
      </c>
      <c r="B845" s="185">
        <v>42005</v>
      </c>
      <c r="C845" s="112" t="s">
        <v>3096</v>
      </c>
      <c r="D845" s="179" t="s">
        <v>3075</v>
      </c>
      <c r="E845" s="6"/>
      <c r="F845" s="186">
        <v>384896</v>
      </c>
      <c r="G845" s="180"/>
      <c r="H845" s="178" t="s">
        <v>4089</v>
      </c>
      <c r="I845" s="178" t="s">
        <v>3076</v>
      </c>
      <c r="J845" s="187" t="s">
        <v>1938</v>
      </c>
      <c r="K845" s="179" t="s">
        <v>1828</v>
      </c>
      <c r="L845" s="22"/>
      <c r="M845" s="6"/>
    </row>
    <row r="846" spans="1:13" ht="25.5">
      <c r="A846" s="140">
        <v>2015</v>
      </c>
      <c r="B846" s="185">
        <v>42036</v>
      </c>
      <c r="C846" s="112" t="s">
        <v>1867</v>
      </c>
      <c r="D846" s="179" t="s">
        <v>4090</v>
      </c>
      <c r="E846" s="6" t="s">
        <v>1874</v>
      </c>
      <c r="F846" s="179"/>
      <c r="G846" s="180"/>
      <c r="H846" s="179" t="s">
        <v>4091</v>
      </c>
      <c r="I846" s="179" t="s">
        <v>4092</v>
      </c>
      <c r="J846" s="187" t="s">
        <v>4093</v>
      </c>
      <c r="K846" s="179" t="s">
        <v>1828</v>
      </c>
      <c r="L846" s="188"/>
      <c r="M846" s="34"/>
    </row>
    <row r="847" spans="1:13" ht="25.5">
      <c r="A847" s="140">
        <v>2015</v>
      </c>
      <c r="B847" s="185">
        <v>42064</v>
      </c>
      <c r="C847" s="112" t="s">
        <v>1867</v>
      </c>
      <c r="D847" s="179" t="s">
        <v>3097</v>
      </c>
      <c r="E847" s="34"/>
      <c r="F847" s="179"/>
      <c r="G847" s="180"/>
      <c r="H847" s="179" t="s">
        <v>4094</v>
      </c>
      <c r="I847" s="189" t="s">
        <v>4095</v>
      </c>
      <c r="J847" s="187" t="s">
        <v>4096</v>
      </c>
      <c r="K847" s="179" t="s">
        <v>1828</v>
      </c>
      <c r="L847" s="188"/>
      <c r="M847" s="34"/>
    </row>
    <row r="848" spans="1:13" ht="38.25">
      <c r="A848" s="140">
        <v>2015</v>
      </c>
      <c r="B848" s="185">
        <v>42095</v>
      </c>
      <c r="C848" s="112" t="s">
        <v>1867</v>
      </c>
      <c r="D848" s="34" t="s">
        <v>62</v>
      </c>
      <c r="E848" s="34"/>
      <c r="F848" s="179"/>
      <c r="G848" s="188"/>
      <c r="H848" s="179" t="s">
        <v>4097</v>
      </c>
      <c r="I848" s="179" t="s">
        <v>4098</v>
      </c>
      <c r="J848" s="187" t="s">
        <v>4099</v>
      </c>
      <c r="K848" s="179" t="s">
        <v>2031</v>
      </c>
      <c r="L848" s="188"/>
      <c r="M848" s="34"/>
    </row>
    <row r="849" spans="1:13" ht="76.5">
      <c r="A849" s="140">
        <v>2015</v>
      </c>
      <c r="B849" s="185">
        <v>42125</v>
      </c>
      <c r="C849" s="112" t="s">
        <v>1867</v>
      </c>
      <c r="D849" s="190" t="s">
        <v>1231</v>
      </c>
      <c r="E849" s="34"/>
      <c r="F849" s="179" t="s">
        <v>4100</v>
      </c>
      <c r="G849" s="191"/>
      <c r="H849" s="179" t="s">
        <v>4101</v>
      </c>
      <c r="I849" s="179" t="s">
        <v>4102</v>
      </c>
      <c r="J849" s="189" t="s">
        <v>1938</v>
      </c>
      <c r="K849" s="179" t="s">
        <v>1828</v>
      </c>
      <c r="L849" s="188"/>
      <c r="M849" s="34"/>
    </row>
    <row r="850" spans="1:13" ht="25.5">
      <c r="A850" s="140">
        <v>2015</v>
      </c>
      <c r="B850" s="185">
        <v>42156</v>
      </c>
      <c r="C850" s="112" t="s">
        <v>3096</v>
      </c>
      <c r="D850" s="190" t="s">
        <v>3371</v>
      </c>
      <c r="E850" s="34"/>
      <c r="F850" s="186">
        <v>744000</v>
      </c>
      <c r="G850" s="191"/>
      <c r="H850" s="179" t="s">
        <v>4103</v>
      </c>
      <c r="I850" s="179" t="s">
        <v>4104</v>
      </c>
      <c r="J850" s="189" t="s">
        <v>1938</v>
      </c>
      <c r="K850" s="179" t="s">
        <v>1828</v>
      </c>
      <c r="L850" s="188"/>
      <c r="M850" s="34"/>
    </row>
    <row r="851" spans="1:13" ht="38.25">
      <c r="A851" s="140">
        <v>2015</v>
      </c>
      <c r="B851" s="192">
        <v>42186</v>
      </c>
      <c r="C851" s="112" t="s">
        <v>3096</v>
      </c>
      <c r="D851" s="190" t="s">
        <v>1383</v>
      </c>
      <c r="E851" s="34"/>
      <c r="F851" s="186">
        <v>7796082</v>
      </c>
      <c r="G851" s="191"/>
      <c r="H851" s="179" t="s">
        <v>4105</v>
      </c>
      <c r="I851" s="179" t="s">
        <v>4106</v>
      </c>
      <c r="J851" s="189" t="s">
        <v>1938</v>
      </c>
      <c r="K851" s="179" t="s">
        <v>1828</v>
      </c>
      <c r="L851" s="188"/>
      <c r="M851" s="34"/>
    </row>
    <row r="852" spans="1:13" ht="25.5">
      <c r="A852" s="140">
        <v>2015</v>
      </c>
      <c r="B852" s="185">
        <v>42217</v>
      </c>
      <c r="C852" s="112" t="s">
        <v>61</v>
      </c>
      <c r="D852" s="180" t="s">
        <v>1383</v>
      </c>
      <c r="E852" s="115" t="s">
        <v>1859</v>
      </c>
      <c r="F852" s="193">
        <v>500000</v>
      </c>
      <c r="G852" s="180"/>
      <c r="H852" s="178" t="s">
        <v>4107</v>
      </c>
      <c r="I852" s="178" t="s">
        <v>4108</v>
      </c>
      <c r="J852" s="187" t="s">
        <v>1938</v>
      </c>
      <c r="K852" s="179" t="s">
        <v>1828</v>
      </c>
      <c r="L852" s="188"/>
      <c r="M852" s="34"/>
    </row>
    <row r="853" spans="1:13" ht="25.5">
      <c r="A853" s="140">
        <v>2015</v>
      </c>
      <c r="B853" s="185">
        <v>42248</v>
      </c>
      <c r="C853" s="112" t="s">
        <v>61</v>
      </c>
      <c r="D853" s="180" t="s">
        <v>1383</v>
      </c>
      <c r="E853" s="115" t="s">
        <v>1859</v>
      </c>
      <c r="F853" s="194">
        <v>1000000</v>
      </c>
      <c r="G853" s="180"/>
      <c r="H853" s="179" t="s">
        <v>4109</v>
      </c>
      <c r="I853" s="179" t="s">
        <v>4110</v>
      </c>
      <c r="J853" s="187" t="s">
        <v>4111</v>
      </c>
      <c r="K853" s="179" t="s">
        <v>1828</v>
      </c>
      <c r="L853" s="188"/>
      <c r="M853" s="34"/>
    </row>
    <row r="854" spans="1:13" ht="25.5">
      <c r="A854" s="140">
        <v>2015</v>
      </c>
      <c r="B854" s="192">
        <v>42278</v>
      </c>
      <c r="C854" s="112" t="s">
        <v>61</v>
      </c>
      <c r="D854" s="180" t="s">
        <v>1383</v>
      </c>
      <c r="E854" s="115" t="s">
        <v>1859</v>
      </c>
      <c r="F854" s="194">
        <v>500000</v>
      </c>
      <c r="G854" s="180"/>
      <c r="H854" s="179" t="s">
        <v>4112</v>
      </c>
      <c r="I854" s="179" t="s">
        <v>4113</v>
      </c>
      <c r="J854" s="187" t="s">
        <v>4114</v>
      </c>
      <c r="K854" s="179" t="s">
        <v>1828</v>
      </c>
      <c r="L854" s="188"/>
      <c r="M854" s="34"/>
    </row>
    <row r="855" spans="1:13" ht="38.25">
      <c r="A855" s="140">
        <v>2015</v>
      </c>
      <c r="B855" s="192">
        <v>42309</v>
      </c>
      <c r="C855" s="112" t="s">
        <v>61</v>
      </c>
      <c r="D855" s="22" t="s">
        <v>62</v>
      </c>
      <c r="E855" s="6" t="s">
        <v>1904</v>
      </c>
      <c r="F855" s="194">
        <v>672777.28</v>
      </c>
      <c r="G855" s="22"/>
      <c r="H855" s="179" t="s">
        <v>4115</v>
      </c>
      <c r="I855" s="179" t="s">
        <v>4116</v>
      </c>
      <c r="J855" s="187" t="s">
        <v>4117</v>
      </c>
      <c r="K855" s="179" t="s">
        <v>1828</v>
      </c>
      <c r="L855" s="188"/>
      <c r="M855" s="34"/>
    </row>
    <row r="856" spans="1:13" ht="38.25">
      <c r="A856" s="140">
        <v>2015</v>
      </c>
      <c r="B856" s="192">
        <v>42339</v>
      </c>
      <c r="C856" s="112" t="s">
        <v>61</v>
      </c>
      <c r="D856" s="180" t="s">
        <v>3168</v>
      </c>
      <c r="E856" s="115" t="s">
        <v>1859</v>
      </c>
      <c r="F856" s="194">
        <v>500000</v>
      </c>
      <c r="G856" s="180"/>
      <c r="H856" s="179" t="s">
        <v>4118</v>
      </c>
      <c r="I856" s="179" t="s">
        <v>4119</v>
      </c>
      <c r="J856" s="179" t="s">
        <v>2508</v>
      </c>
      <c r="K856" s="179" t="s">
        <v>1828</v>
      </c>
      <c r="L856" s="188"/>
      <c r="M856" s="34"/>
    </row>
    <row r="857" spans="1:13" ht="38.25">
      <c r="A857" s="140">
        <v>2015</v>
      </c>
      <c r="B857" s="179" t="s">
        <v>4120</v>
      </c>
      <c r="C857" s="112" t="s">
        <v>61</v>
      </c>
      <c r="D857" s="180" t="s">
        <v>1383</v>
      </c>
      <c r="E857" s="115" t="s">
        <v>1859</v>
      </c>
      <c r="F857" s="194">
        <v>500000</v>
      </c>
      <c r="G857" s="180"/>
      <c r="H857" s="179" t="s">
        <v>4121</v>
      </c>
      <c r="I857" s="178" t="s">
        <v>4122</v>
      </c>
      <c r="J857" s="179" t="s">
        <v>2508</v>
      </c>
      <c r="K857" s="179" t="s">
        <v>1828</v>
      </c>
      <c r="L857" s="188"/>
      <c r="M857" s="34"/>
    </row>
    <row r="858" spans="1:13" ht="38.25">
      <c r="A858" s="140">
        <v>2015</v>
      </c>
      <c r="B858" s="179" t="s">
        <v>4123</v>
      </c>
      <c r="C858" s="112" t="s">
        <v>61</v>
      </c>
      <c r="D858" s="180" t="s">
        <v>1383</v>
      </c>
      <c r="E858" s="115" t="s">
        <v>1859</v>
      </c>
      <c r="F858" s="194">
        <v>500000</v>
      </c>
      <c r="G858" s="180"/>
      <c r="H858" s="179" t="s">
        <v>4124</v>
      </c>
      <c r="I858" s="178" t="s">
        <v>4119</v>
      </c>
      <c r="J858" s="179" t="s">
        <v>2508</v>
      </c>
      <c r="K858" s="179" t="s">
        <v>1828</v>
      </c>
      <c r="L858" s="188"/>
      <c r="M858" s="34"/>
    </row>
    <row r="859" spans="1:13" ht="38.25">
      <c r="A859" s="140">
        <v>2015</v>
      </c>
      <c r="B859" s="179" t="s">
        <v>4125</v>
      </c>
      <c r="C859" s="112" t="s">
        <v>61</v>
      </c>
      <c r="D859" s="180" t="s">
        <v>1383</v>
      </c>
      <c r="E859" s="115" t="s">
        <v>1859</v>
      </c>
      <c r="F859" s="194">
        <v>500000</v>
      </c>
      <c r="G859" s="180"/>
      <c r="H859" s="178" t="s">
        <v>4126</v>
      </c>
      <c r="I859" s="179" t="s">
        <v>4127</v>
      </c>
      <c r="J859" s="179"/>
      <c r="K859" s="190" t="s">
        <v>1828</v>
      </c>
      <c r="L859" s="188"/>
      <c r="M859" s="34"/>
    </row>
    <row r="860" spans="1:13" ht="38.25">
      <c r="A860" s="140">
        <v>2015</v>
      </c>
      <c r="B860" s="179" t="s">
        <v>4128</v>
      </c>
      <c r="C860" s="112" t="s">
        <v>61</v>
      </c>
      <c r="D860" s="180" t="s">
        <v>1383</v>
      </c>
      <c r="E860" s="115" t="s">
        <v>1859</v>
      </c>
      <c r="F860" s="194">
        <v>500000</v>
      </c>
      <c r="G860" s="180"/>
      <c r="H860" s="179" t="s">
        <v>4129</v>
      </c>
      <c r="I860" s="179" t="s">
        <v>3571</v>
      </c>
      <c r="J860" s="179"/>
      <c r="K860" s="190" t="s">
        <v>1828</v>
      </c>
      <c r="L860" s="188"/>
      <c r="M860" s="34"/>
    </row>
    <row r="861" spans="1:13" ht="25.5">
      <c r="A861" s="140">
        <v>2015</v>
      </c>
      <c r="B861" s="179" t="s">
        <v>4130</v>
      </c>
      <c r="C861" s="112" t="s">
        <v>61</v>
      </c>
      <c r="D861" s="180" t="s">
        <v>2993</v>
      </c>
      <c r="E861" s="34"/>
      <c r="F861" s="194">
        <v>230000</v>
      </c>
      <c r="G861" s="180"/>
      <c r="H861" s="179" t="s">
        <v>4131</v>
      </c>
      <c r="I861" s="179" t="s">
        <v>4132</v>
      </c>
      <c r="J861" s="179"/>
      <c r="K861" s="190" t="s">
        <v>1828</v>
      </c>
      <c r="L861" s="188"/>
      <c r="M861" s="34"/>
    </row>
    <row r="862" spans="1:13" ht="12.75">
      <c r="A862" s="140">
        <v>2015</v>
      </c>
      <c r="B862" s="179" t="s">
        <v>4133</v>
      </c>
      <c r="C862" s="112" t="s">
        <v>61</v>
      </c>
      <c r="D862" s="180" t="s">
        <v>2993</v>
      </c>
      <c r="E862" s="34"/>
      <c r="F862" s="194">
        <v>220000</v>
      </c>
      <c r="G862" s="180"/>
      <c r="H862" s="179" t="s">
        <v>4134</v>
      </c>
      <c r="I862" s="179" t="s">
        <v>4132</v>
      </c>
      <c r="J862" s="179"/>
      <c r="K862" s="190" t="s">
        <v>1828</v>
      </c>
      <c r="L862" s="188"/>
      <c r="M862" s="34"/>
    </row>
    <row r="863" spans="1:13" ht="25.5">
      <c r="A863" s="140">
        <v>2015</v>
      </c>
      <c r="B863" s="179" t="s">
        <v>4135</v>
      </c>
      <c r="C863" s="112" t="s">
        <v>61</v>
      </c>
      <c r="D863" s="180" t="s">
        <v>3092</v>
      </c>
      <c r="E863" s="6" t="s">
        <v>1904</v>
      </c>
      <c r="F863" s="194">
        <v>366000</v>
      </c>
      <c r="G863" s="180"/>
      <c r="H863" s="179" t="s">
        <v>4136</v>
      </c>
      <c r="I863" s="179" t="s">
        <v>4137</v>
      </c>
      <c r="J863" s="187" t="s">
        <v>4138</v>
      </c>
      <c r="K863" s="179" t="s">
        <v>2051</v>
      </c>
      <c r="L863" s="188"/>
      <c r="M863" s="34"/>
    </row>
    <row r="864" spans="1:13" ht="25.5">
      <c r="A864" s="140">
        <v>2015</v>
      </c>
      <c r="B864" s="179" t="s">
        <v>4139</v>
      </c>
      <c r="C864" s="112" t="s">
        <v>3096</v>
      </c>
      <c r="D864" s="190" t="s">
        <v>1231</v>
      </c>
      <c r="E864" s="34"/>
      <c r="F864" s="186">
        <v>200000</v>
      </c>
      <c r="G864" s="191"/>
      <c r="H864" s="179" t="s">
        <v>4140</v>
      </c>
      <c r="I864" s="179" t="s">
        <v>4141</v>
      </c>
      <c r="J864" s="187" t="s">
        <v>1938</v>
      </c>
      <c r="K864" s="179" t="s">
        <v>1828</v>
      </c>
      <c r="L864" s="188"/>
      <c r="M864" s="34"/>
    </row>
    <row r="865" spans="1:13" ht="38.25">
      <c r="A865" s="140">
        <v>2015</v>
      </c>
      <c r="B865" s="179" t="s">
        <v>4142</v>
      </c>
      <c r="C865" s="112" t="s">
        <v>61</v>
      </c>
      <c r="D865" s="22" t="s">
        <v>62</v>
      </c>
      <c r="E865" s="6" t="s">
        <v>1904</v>
      </c>
      <c r="F865" s="194">
        <v>1800000</v>
      </c>
      <c r="G865" s="22"/>
      <c r="H865" s="179" t="s">
        <v>4143</v>
      </c>
      <c r="I865" s="179" t="s">
        <v>4144</v>
      </c>
      <c r="J865" s="187" t="s">
        <v>4145</v>
      </c>
      <c r="K865" s="179" t="s">
        <v>1828</v>
      </c>
      <c r="L865" s="188"/>
      <c r="M865" s="34"/>
    </row>
    <row r="866" spans="1:13" ht="51">
      <c r="A866" s="140">
        <v>2015</v>
      </c>
      <c r="B866" s="179" t="s">
        <v>4146</v>
      </c>
      <c r="C866" s="112" t="s">
        <v>61</v>
      </c>
      <c r="D866" s="180" t="s">
        <v>3168</v>
      </c>
      <c r="E866" s="115" t="s">
        <v>1859</v>
      </c>
      <c r="F866" s="194">
        <v>160000</v>
      </c>
      <c r="G866" s="180"/>
      <c r="H866" s="179" t="s">
        <v>4147</v>
      </c>
      <c r="I866" s="179" t="s">
        <v>4148</v>
      </c>
      <c r="J866" s="187" t="s">
        <v>4149</v>
      </c>
      <c r="K866" s="179" t="s">
        <v>1828</v>
      </c>
      <c r="L866" s="188"/>
      <c r="M866" s="34"/>
    </row>
    <row r="867" spans="1:13" ht="25.5">
      <c r="A867" s="140">
        <v>2015</v>
      </c>
      <c r="B867" s="179" t="s">
        <v>4150</v>
      </c>
      <c r="C867" s="112" t="s">
        <v>61</v>
      </c>
      <c r="D867" s="180" t="s">
        <v>4151</v>
      </c>
      <c r="E867" s="6" t="s">
        <v>1874</v>
      </c>
      <c r="F867" s="194">
        <v>220000</v>
      </c>
      <c r="G867" s="180"/>
      <c r="H867" s="179" t="s">
        <v>4152</v>
      </c>
      <c r="I867" s="179" t="s">
        <v>811</v>
      </c>
      <c r="J867" s="187" t="s">
        <v>4149</v>
      </c>
      <c r="K867" s="179" t="s">
        <v>1828</v>
      </c>
      <c r="L867" s="188"/>
      <c r="M867" s="34"/>
    </row>
    <row r="868" spans="1:13" ht="12.75">
      <c r="A868" s="140">
        <v>2015</v>
      </c>
      <c r="B868" s="179" t="s">
        <v>4153</v>
      </c>
      <c r="C868" s="112" t="s">
        <v>61</v>
      </c>
      <c r="D868" s="180" t="s">
        <v>1383</v>
      </c>
      <c r="E868" s="115" t="s">
        <v>1859</v>
      </c>
      <c r="F868" s="195">
        <v>954000</v>
      </c>
      <c r="G868" s="180"/>
      <c r="H868" s="179" t="s">
        <v>4154</v>
      </c>
      <c r="I868" s="179" t="s">
        <v>4155</v>
      </c>
      <c r="J868" s="187"/>
      <c r="K868" s="179" t="s">
        <v>1919</v>
      </c>
      <c r="L868" s="188"/>
      <c r="M868" s="34"/>
    </row>
    <row r="869" spans="1:13" ht="25.5">
      <c r="A869" s="140">
        <v>2015</v>
      </c>
      <c r="B869" s="179" t="s">
        <v>4156</v>
      </c>
      <c r="C869" s="112" t="s">
        <v>61</v>
      </c>
      <c r="D869" s="180" t="s">
        <v>1383</v>
      </c>
      <c r="E869" s="115" t="s">
        <v>1859</v>
      </c>
      <c r="F869" s="195">
        <v>575000</v>
      </c>
      <c r="G869" s="180"/>
      <c r="H869" s="179" t="s">
        <v>4157</v>
      </c>
      <c r="I869" s="179" t="s">
        <v>4158</v>
      </c>
      <c r="J869" s="179"/>
      <c r="K869" s="179" t="s">
        <v>2085</v>
      </c>
      <c r="L869" s="188"/>
      <c r="M869" s="34"/>
    </row>
    <row r="870" spans="1:13" ht="25.5">
      <c r="A870" s="140">
        <v>2015</v>
      </c>
      <c r="B870" s="179" t="s">
        <v>4159</v>
      </c>
      <c r="C870" s="112" t="s">
        <v>61</v>
      </c>
      <c r="D870" s="180" t="s">
        <v>1383</v>
      </c>
      <c r="E870" s="115" t="s">
        <v>1859</v>
      </c>
      <c r="F870" s="195">
        <v>800000</v>
      </c>
      <c r="G870" s="180"/>
      <c r="H870" s="179" t="s">
        <v>4160</v>
      </c>
      <c r="I870" s="179" t="s">
        <v>4161</v>
      </c>
      <c r="J870" s="179"/>
      <c r="K870" s="6" t="s">
        <v>1886</v>
      </c>
      <c r="L870" s="188"/>
      <c r="M870" s="34"/>
    </row>
    <row r="871" spans="1:13" ht="12.75">
      <c r="A871" s="140">
        <v>2015</v>
      </c>
      <c r="B871" s="179" t="s">
        <v>4162</v>
      </c>
      <c r="C871" s="112" t="s">
        <v>61</v>
      </c>
      <c r="D871" s="180" t="s">
        <v>394</v>
      </c>
      <c r="E871" s="115" t="s">
        <v>1853</v>
      </c>
      <c r="F871" s="194">
        <v>375000</v>
      </c>
      <c r="G871" s="180"/>
      <c r="H871" s="179" t="s">
        <v>4163</v>
      </c>
      <c r="I871" s="179" t="s">
        <v>581</v>
      </c>
      <c r="J871" s="179"/>
      <c r="K871" s="179" t="s">
        <v>1916</v>
      </c>
      <c r="L871" s="188"/>
      <c r="M871" s="34"/>
    </row>
    <row r="872" spans="1:13" ht="76.5">
      <c r="A872" s="140">
        <v>2015</v>
      </c>
      <c r="B872" s="179" t="s">
        <v>4164</v>
      </c>
      <c r="C872" s="112" t="s">
        <v>61</v>
      </c>
      <c r="D872" s="180" t="s">
        <v>1383</v>
      </c>
      <c r="E872" s="115" t="s">
        <v>1859</v>
      </c>
      <c r="F872" s="194">
        <v>243000</v>
      </c>
      <c r="G872" s="180"/>
      <c r="H872" s="179" t="s">
        <v>4165</v>
      </c>
      <c r="I872" s="179" t="s">
        <v>4166</v>
      </c>
      <c r="J872" s="179"/>
      <c r="K872" s="190" t="s">
        <v>1855</v>
      </c>
      <c r="L872" s="188"/>
      <c r="M872" s="34"/>
    </row>
    <row r="873" spans="1:13" ht="25.5">
      <c r="A873" s="140">
        <v>2015</v>
      </c>
      <c r="B873" s="179" t="s">
        <v>4167</v>
      </c>
      <c r="C873" s="112" t="s">
        <v>61</v>
      </c>
      <c r="D873" s="22" t="s">
        <v>586</v>
      </c>
      <c r="E873" s="6" t="s">
        <v>1874</v>
      </c>
      <c r="F873" s="194">
        <v>106000</v>
      </c>
      <c r="G873" s="22"/>
      <c r="H873" s="179" t="s">
        <v>4168</v>
      </c>
      <c r="I873" s="179" t="s">
        <v>4169</v>
      </c>
      <c r="J873" s="187" t="s">
        <v>4170</v>
      </c>
      <c r="K873" s="179" t="s">
        <v>1828</v>
      </c>
      <c r="L873" s="188"/>
      <c r="M873" s="34"/>
    </row>
    <row r="874" spans="1:13" ht="25.5">
      <c r="A874" s="140">
        <v>2015</v>
      </c>
      <c r="B874" s="179" t="s">
        <v>4171</v>
      </c>
      <c r="C874" s="112" t="s">
        <v>61</v>
      </c>
      <c r="D874" s="180" t="s">
        <v>394</v>
      </c>
      <c r="E874" s="115" t="s">
        <v>1853</v>
      </c>
      <c r="F874" s="194">
        <v>168660</v>
      </c>
      <c r="G874" s="180"/>
      <c r="H874" s="179" t="s">
        <v>4172</v>
      </c>
      <c r="I874" s="179" t="s">
        <v>1478</v>
      </c>
      <c r="J874" s="179"/>
      <c r="K874" s="179" t="s">
        <v>1879</v>
      </c>
      <c r="L874" s="188"/>
      <c r="M874" s="34"/>
    </row>
    <row r="875" spans="1:13" ht="38.25">
      <c r="A875" s="140">
        <v>2015</v>
      </c>
      <c r="B875" s="179" t="s">
        <v>4173</v>
      </c>
      <c r="C875" s="112" t="s">
        <v>4174</v>
      </c>
      <c r="D875" s="179"/>
      <c r="E875" s="6"/>
      <c r="F875" s="186">
        <v>200000</v>
      </c>
      <c r="G875" s="180"/>
      <c r="H875" s="179" t="s">
        <v>4175</v>
      </c>
      <c r="I875" s="179" t="s">
        <v>4176</v>
      </c>
      <c r="J875" s="179" t="s">
        <v>4149</v>
      </c>
      <c r="K875" s="179" t="s">
        <v>1828</v>
      </c>
      <c r="L875" s="188"/>
      <c r="M875" s="34"/>
    </row>
    <row r="876" spans="1:13" ht="25.5">
      <c r="A876" s="140">
        <v>2015</v>
      </c>
      <c r="B876" s="179" t="s">
        <v>4177</v>
      </c>
      <c r="C876" s="112" t="s">
        <v>61</v>
      </c>
      <c r="D876" s="143" t="s">
        <v>3168</v>
      </c>
      <c r="E876" s="115" t="s">
        <v>1859</v>
      </c>
      <c r="F876" s="194">
        <v>176000</v>
      </c>
      <c r="G876" s="143"/>
      <c r="H876" s="179" t="s">
        <v>4178</v>
      </c>
      <c r="I876" s="179" t="s">
        <v>811</v>
      </c>
      <c r="J876" s="179" t="s">
        <v>4149</v>
      </c>
      <c r="K876" s="179" t="s">
        <v>1828</v>
      </c>
      <c r="L876" s="188"/>
      <c r="M876" s="34"/>
    </row>
    <row r="877" spans="1:13" ht="25.5">
      <c r="A877" s="140">
        <v>2015</v>
      </c>
      <c r="B877" s="179" t="s">
        <v>4179</v>
      </c>
      <c r="C877" s="112" t="s">
        <v>61</v>
      </c>
      <c r="D877" s="180" t="s">
        <v>3168</v>
      </c>
      <c r="E877" s="115" t="s">
        <v>1859</v>
      </c>
      <c r="F877" s="194">
        <v>272000</v>
      </c>
      <c r="G877" s="180"/>
      <c r="H877" s="179" t="s">
        <v>4180</v>
      </c>
      <c r="I877" s="179" t="s">
        <v>811</v>
      </c>
      <c r="J877" s="179" t="s">
        <v>4149</v>
      </c>
      <c r="K877" s="179" t="s">
        <v>1828</v>
      </c>
      <c r="L877" s="188"/>
      <c r="M877" s="34"/>
    </row>
    <row r="878" spans="1:13" ht="76.5">
      <c r="A878" s="140">
        <v>2015</v>
      </c>
      <c r="B878" s="179" t="s">
        <v>4181</v>
      </c>
      <c r="C878" s="112" t="s">
        <v>61</v>
      </c>
      <c r="D878" s="180" t="s">
        <v>1383</v>
      </c>
      <c r="E878" s="115" t="s">
        <v>1859</v>
      </c>
      <c r="F878" s="194">
        <v>147000</v>
      </c>
      <c r="G878" s="180"/>
      <c r="H878" s="179" t="s">
        <v>4165</v>
      </c>
      <c r="I878" s="187" t="s">
        <v>4166</v>
      </c>
      <c r="J878" s="179"/>
      <c r="K878" s="179" t="s">
        <v>1855</v>
      </c>
      <c r="L878" s="188"/>
      <c r="M878" s="34"/>
    </row>
    <row r="879" spans="1:13" ht="25.5">
      <c r="A879" s="140">
        <v>2015</v>
      </c>
      <c r="B879" s="179" t="s">
        <v>4182</v>
      </c>
      <c r="C879" s="112" t="s">
        <v>61</v>
      </c>
      <c r="D879" s="180" t="s">
        <v>1383</v>
      </c>
      <c r="E879" s="115" t="s">
        <v>1859</v>
      </c>
      <c r="F879" s="194">
        <v>250000</v>
      </c>
      <c r="G879" s="180"/>
      <c r="H879" s="179" t="s">
        <v>4183</v>
      </c>
      <c r="I879" s="179" t="s">
        <v>4184</v>
      </c>
      <c r="J879" s="187" t="s">
        <v>4185</v>
      </c>
      <c r="K879" s="9" t="s">
        <v>2676</v>
      </c>
      <c r="L879" s="188"/>
      <c r="M879" s="34"/>
    </row>
    <row r="880" spans="1:13" ht="63.75">
      <c r="A880" s="140">
        <v>2015</v>
      </c>
      <c r="B880" s="179" t="s">
        <v>4186</v>
      </c>
      <c r="C880" s="112" t="s">
        <v>61</v>
      </c>
      <c r="D880" s="22" t="s">
        <v>62</v>
      </c>
      <c r="E880" s="6" t="s">
        <v>1904</v>
      </c>
      <c r="F880" s="194">
        <v>2000000</v>
      </c>
      <c r="G880" s="22"/>
      <c r="H880" s="179" t="s">
        <v>4187</v>
      </c>
      <c r="I880" s="179" t="s">
        <v>4188</v>
      </c>
      <c r="J880" s="187" t="s">
        <v>4189</v>
      </c>
      <c r="K880" s="179" t="s">
        <v>2051</v>
      </c>
      <c r="L880" s="188"/>
      <c r="M880" s="34"/>
    </row>
    <row r="881" spans="1:13" ht="25.5">
      <c r="A881" s="140">
        <v>2015</v>
      </c>
      <c r="B881" s="179" t="s">
        <v>4190</v>
      </c>
      <c r="C881" s="112" t="s">
        <v>61</v>
      </c>
      <c r="D881" s="22" t="s">
        <v>3092</v>
      </c>
      <c r="E881" s="6" t="s">
        <v>1904</v>
      </c>
      <c r="F881" s="194">
        <v>818000</v>
      </c>
      <c r="G881" s="180"/>
      <c r="H881" s="179" t="s">
        <v>4191</v>
      </c>
      <c r="I881" s="179" t="s">
        <v>4192</v>
      </c>
      <c r="J881" s="179"/>
      <c r="K881" s="179" t="s">
        <v>2047</v>
      </c>
      <c r="L881" s="188"/>
      <c r="M881" s="34"/>
    </row>
    <row r="882" spans="1:13" ht="25.5">
      <c r="A882" s="140">
        <v>2015</v>
      </c>
      <c r="B882" s="179" t="s">
        <v>4193</v>
      </c>
      <c r="C882" s="112" t="s">
        <v>61</v>
      </c>
      <c r="D882" s="180" t="s">
        <v>1141</v>
      </c>
      <c r="E882" s="6" t="s">
        <v>1904</v>
      </c>
      <c r="F882" s="194">
        <v>53759.67</v>
      </c>
      <c r="G882" s="180"/>
      <c r="H882" s="179" t="s">
        <v>4194</v>
      </c>
      <c r="I882" s="179" t="s">
        <v>4195</v>
      </c>
      <c r="J882" s="179" t="s">
        <v>4196</v>
      </c>
      <c r="K882" s="6" t="s">
        <v>1886</v>
      </c>
      <c r="L882" s="188"/>
      <c r="M882" s="34"/>
    </row>
    <row r="883" spans="1:13" ht="38.25">
      <c r="A883" s="140">
        <v>2015</v>
      </c>
      <c r="B883" s="179" t="s">
        <v>4197</v>
      </c>
      <c r="C883" s="112" t="s">
        <v>61</v>
      </c>
      <c r="D883" s="180" t="s">
        <v>652</v>
      </c>
      <c r="E883" s="6" t="s">
        <v>1874</v>
      </c>
      <c r="F883" s="194">
        <v>1135672</v>
      </c>
      <c r="G883" s="180"/>
      <c r="H883" s="179" t="s">
        <v>4198</v>
      </c>
      <c r="I883" s="179" t="s">
        <v>4199</v>
      </c>
      <c r="J883" s="187" t="s">
        <v>4200</v>
      </c>
      <c r="K883" s="6" t="s">
        <v>1886</v>
      </c>
      <c r="L883" s="188"/>
      <c r="M883" s="34"/>
    </row>
    <row r="884" spans="1:13" ht="25.5">
      <c r="A884" s="140">
        <v>2015</v>
      </c>
      <c r="B884" s="179" t="s">
        <v>4201</v>
      </c>
      <c r="C884" s="112" t="s">
        <v>61</v>
      </c>
      <c r="D884" s="180" t="s">
        <v>394</v>
      </c>
      <c r="E884" s="115" t="s">
        <v>1853</v>
      </c>
      <c r="F884" s="194">
        <v>191150</v>
      </c>
      <c r="G884" s="180"/>
      <c r="H884" s="179" t="s">
        <v>4202</v>
      </c>
      <c r="I884" s="179" t="s">
        <v>4176</v>
      </c>
      <c r="J884" s="187" t="s">
        <v>4149</v>
      </c>
      <c r="K884" s="179" t="s">
        <v>1828</v>
      </c>
      <c r="L884" s="188"/>
      <c r="M884" s="34"/>
    </row>
    <row r="885" spans="1:13" ht="38.25">
      <c r="A885" s="140">
        <v>2015</v>
      </c>
      <c r="B885" s="179" t="s">
        <v>4203</v>
      </c>
      <c r="C885" s="112" t="s">
        <v>1867</v>
      </c>
      <c r="D885" s="190"/>
      <c r="E885" s="6"/>
      <c r="F885" s="190"/>
      <c r="G885" s="191"/>
      <c r="H885" s="179" t="s">
        <v>4204</v>
      </c>
      <c r="I885" s="179" t="s">
        <v>4205</v>
      </c>
      <c r="J885" s="187" t="s">
        <v>4206</v>
      </c>
      <c r="K885" s="179" t="s">
        <v>1896</v>
      </c>
      <c r="L885" s="188"/>
      <c r="M885" s="34"/>
    </row>
    <row r="886" spans="1:13" ht="25.5">
      <c r="A886" s="140">
        <v>2015</v>
      </c>
      <c r="B886" s="179" t="s">
        <v>4207</v>
      </c>
      <c r="C886" s="112" t="s">
        <v>61</v>
      </c>
      <c r="D886" s="180" t="s">
        <v>68</v>
      </c>
      <c r="E886" s="6" t="s">
        <v>1874</v>
      </c>
      <c r="F886" s="194">
        <v>30000</v>
      </c>
      <c r="G886" s="180"/>
      <c r="H886" s="179" t="s">
        <v>4208</v>
      </c>
      <c r="I886" s="179" t="s">
        <v>4209</v>
      </c>
      <c r="J886" s="187" t="s">
        <v>4210</v>
      </c>
      <c r="K886" s="179" t="s">
        <v>1828</v>
      </c>
      <c r="L886" s="188"/>
      <c r="M886" s="34"/>
    </row>
    <row r="887" spans="1:13" ht="38.25">
      <c r="A887" s="140">
        <v>2015</v>
      </c>
      <c r="B887" s="179" t="s">
        <v>4211</v>
      </c>
      <c r="C887" s="112" t="s">
        <v>61</v>
      </c>
      <c r="D887" s="180" t="s">
        <v>394</v>
      </c>
      <c r="E887" s="115" t="s">
        <v>1853</v>
      </c>
      <c r="F887" s="194">
        <v>107900</v>
      </c>
      <c r="G887" s="180"/>
      <c r="H887" s="179" t="s">
        <v>4212</v>
      </c>
      <c r="I887" s="179" t="s">
        <v>4213</v>
      </c>
      <c r="J887" s="187" t="s">
        <v>3311</v>
      </c>
      <c r="K887" s="179" t="s">
        <v>1899</v>
      </c>
      <c r="L887" s="188"/>
      <c r="M887" s="34"/>
    </row>
    <row r="888" spans="1:13" ht="25.5">
      <c r="A888" s="140">
        <v>2015</v>
      </c>
      <c r="B888" s="179" t="s">
        <v>4214</v>
      </c>
      <c r="C888" s="53" t="s">
        <v>61</v>
      </c>
      <c r="D888" s="180" t="s">
        <v>3092</v>
      </c>
      <c r="E888" s="6" t="s">
        <v>1904</v>
      </c>
      <c r="F888" s="194">
        <v>531000</v>
      </c>
      <c r="G888" s="180"/>
      <c r="H888" s="179" t="s">
        <v>4191</v>
      </c>
      <c r="I888" s="179" t="s">
        <v>4215</v>
      </c>
      <c r="J888" s="187" t="s">
        <v>4216</v>
      </c>
      <c r="K888" s="179" t="s">
        <v>1828</v>
      </c>
      <c r="L888" s="188"/>
      <c r="M888" s="34"/>
    </row>
    <row r="889" spans="1:13" ht="51">
      <c r="A889" s="140">
        <v>2015</v>
      </c>
      <c r="B889" s="179" t="s">
        <v>4217</v>
      </c>
      <c r="C889" s="112" t="s">
        <v>61</v>
      </c>
      <c r="D889" s="180" t="s">
        <v>1141</v>
      </c>
      <c r="E889" s="6" t="s">
        <v>1904</v>
      </c>
      <c r="F889" s="195">
        <v>138019.25</v>
      </c>
      <c r="G889" s="180"/>
      <c r="H889" s="179" t="s">
        <v>4218</v>
      </c>
      <c r="I889" s="179" t="s">
        <v>4219</v>
      </c>
      <c r="J889" s="187" t="s">
        <v>4220</v>
      </c>
      <c r="K889" s="179" t="s">
        <v>2051</v>
      </c>
      <c r="L889" s="188"/>
      <c r="M889" s="34"/>
    </row>
    <row r="890" spans="1:13" ht="63.75">
      <c r="A890" s="140">
        <v>2015</v>
      </c>
      <c r="B890" s="179" t="s">
        <v>4221</v>
      </c>
      <c r="C890" s="112" t="s">
        <v>61</v>
      </c>
      <c r="D890" s="22" t="s">
        <v>62</v>
      </c>
      <c r="E890" s="6" t="s">
        <v>1904</v>
      </c>
      <c r="F890" s="194">
        <v>195000</v>
      </c>
      <c r="G890" s="22"/>
      <c r="H890" s="178" t="s">
        <v>4222</v>
      </c>
      <c r="I890" s="179" t="s">
        <v>4223</v>
      </c>
      <c r="J890" s="187" t="s">
        <v>4224</v>
      </c>
      <c r="K890" s="6" t="s">
        <v>1886</v>
      </c>
      <c r="L890" s="188"/>
      <c r="M890" s="34"/>
    </row>
    <row r="891" spans="1:13" ht="38.25">
      <c r="A891" s="140">
        <v>2015</v>
      </c>
      <c r="B891" s="179" t="s">
        <v>4225</v>
      </c>
      <c r="C891" s="112" t="s">
        <v>61</v>
      </c>
      <c r="D891" s="22" t="s">
        <v>62</v>
      </c>
      <c r="E891" s="6" t="s">
        <v>1904</v>
      </c>
      <c r="F891" s="194">
        <v>1930000</v>
      </c>
      <c r="G891" s="22"/>
      <c r="H891" s="179" t="s">
        <v>4226</v>
      </c>
      <c r="I891" s="179" t="s">
        <v>4227</v>
      </c>
      <c r="J891" s="187" t="s">
        <v>4228</v>
      </c>
      <c r="K891" s="6" t="s">
        <v>1886</v>
      </c>
      <c r="L891" s="188"/>
      <c r="M891" s="34"/>
    </row>
    <row r="892" spans="1:13" ht="25.5">
      <c r="A892" s="140">
        <v>2015</v>
      </c>
      <c r="B892" s="179" t="s">
        <v>4229</v>
      </c>
      <c r="C892" s="112" t="s">
        <v>61</v>
      </c>
      <c r="D892" s="180" t="s">
        <v>68</v>
      </c>
      <c r="E892" s="6" t="s">
        <v>1874</v>
      </c>
      <c r="F892" s="194">
        <v>480000</v>
      </c>
      <c r="G892" s="180"/>
      <c r="H892" s="179" t="s">
        <v>4230</v>
      </c>
      <c r="I892" s="179" t="s">
        <v>4231</v>
      </c>
      <c r="J892" s="187" t="s">
        <v>4232</v>
      </c>
      <c r="K892" s="179" t="s">
        <v>1828</v>
      </c>
      <c r="L892" s="188"/>
      <c r="M892" s="34"/>
    </row>
    <row r="893" spans="1:13" ht="38.25">
      <c r="A893" s="140">
        <v>2015</v>
      </c>
      <c r="B893" s="179" t="s">
        <v>4233</v>
      </c>
      <c r="C893" s="112" t="s">
        <v>61</v>
      </c>
      <c r="D893" s="180" t="s">
        <v>3168</v>
      </c>
      <c r="E893" s="115" t="s">
        <v>1859</v>
      </c>
      <c r="F893" s="195">
        <v>556600</v>
      </c>
      <c r="G893" s="180"/>
      <c r="H893" s="179" t="s">
        <v>4234</v>
      </c>
      <c r="I893" s="179" t="s">
        <v>4235</v>
      </c>
      <c r="J893" s="179" t="s">
        <v>4149</v>
      </c>
      <c r="K893" s="179" t="s">
        <v>1828</v>
      </c>
      <c r="L893" s="188"/>
      <c r="M893" s="34"/>
    </row>
    <row r="894" spans="1:13" ht="51">
      <c r="A894" s="140">
        <v>2015</v>
      </c>
      <c r="B894" s="179" t="s">
        <v>4236</v>
      </c>
      <c r="C894" s="112" t="s">
        <v>1867</v>
      </c>
      <c r="D894" s="190"/>
      <c r="E894" s="6"/>
      <c r="F894" s="190"/>
      <c r="G894" s="191"/>
      <c r="H894" s="179" t="s">
        <v>4237</v>
      </c>
      <c r="I894" s="179" t="s">
        <v>4238</v>
      </c>
      <c r="J894" s="189" t="s">
        <v>4239</v>
      </c>
      <c r="K894" s="179" t="s">
        <v>1916</v>
      </c>
      <c r="L894" s="188"/>
      <c r="M894" s="34"/>
    </row>
    <row r="895" spans="1:13" ht="25.5">
      <c r="A895" s="140">
        <v>2015</v>
      </c>
      <c r="B895" s="179" t="s">
        <v>4240</v>
      </c>
      <c r="C895" s="112" t="s">
        <v>3096</v>
      </c>
      <c r="D895" s="190"/>
      <c r="E895" s="6"/>
      <c r="F895" s="194">
        <v>483315</v>
      </c>
      <c r="G895" s="191"/>
      <c r="H895" s="179" t="s">
        <v>4241</v>
      </c>
      <c r="I895" s="179" t="s">
        <v>4242</v>
      </c>
      <c r="J895" s="179" t="s">
        <v>4149</v>
      </c>
      <c r="K895" s="179" t="s">
        <v>1828</v>
      </c>
      <c r="L895" s="188"/>
      <c r="M895" s="34"/>
    </row>
    <row r="896" spans="1:13" ht="51">
      <c r="A896" s="140">
        <v>2015</v>
      </c>
      <c r="B896" s="179" t="s">
        <v>4243</v>
      </c>
      <c r="C896" s="112" t="s">
        <v>61</v>
      </c>
      <c r="D896" s="180" t="s">
        <v>1383</v>
      </c>
      <c r="E896" s="115" t="s">
        <v>1859</v>
      </c>
      <c r="F896" s="194">
        <v>1225800</v>
      </c>
      <c r="G896" s="180"/>
      <c r="H896" s="179" t="s">
        <v>4244</v>
      </c>
      <c r="I896" s="179" t="s">
        <v>1753</v>
      </c>
      <c r="J896" s="179" t="s">
        <v>4149</v>
      </c>
      <c r="K896" s="179" t="s">
        <v>1828</v>
      </c>
      <c r="L896" s="188"/>
      <c r="M896" s="34"/>
    </row>
    <row r="897" spans="1:13" ht="25.5">
      <c r="A897" s="140">
        <v>2015</v>
      </c>
      <c r="B897" s="179" t="s">
        <v>4245</v>
      </c>
      <c r="C897" s="112" t="s">
        <v>61</v>
      </c>
      <c r="D897" s="180" t="s">
        <v>1383</v>
      </c>
      <c r="E897" s="115" t="s">
        <v>1859</v>
      </c>
      <c r="F897" s="194">
        <v>210250</v>
      </c>
      <c r="G897" s="180"/>
      <c r="H897" s="179" t="s">
        <v>4246</v>
      </c>
      <c r="I897" s="179" t="s">
        <v>1753</v>
      </c>
      <c r="J897" s="179" t="s">
        <v>4149</v>
      </c>
      <c r="K897" s="179" t="s">
        <v>1828</v>
      </c>
      <c r="L897" s="188"/>
      <c r="M897" s="34"/>
    </row>
    <row r="898" spans="1:13" ht="12.75">
      <c r="A898" s="140">
        <v>2015</v>
      </c>
      <c r="B898" s="179" t="s">
        <v>4247</v>
      </c>
      <c r="C898" s="112" t="s">
        <v>61</v>
      </c>
      <c r="D898" s="180" t="s">
        <v>1383</v>
      </c>
      <c r="E898" s="115" t="s">
        <v>1859</v>
      </c>
      <c r="F898" s="194">
        <v>888000</v>
      </c>
      <c r="G898" s="180"/>
      <c r="H898" s="179" t="s">
        <v>4248</v>
      </c>
      <c r="I898" s="179" t="s">
        <v>4249</v>
      </c>
      <c r="J898" s="179"/>
      <c r="K898" s="6" t="s">
        <v>1886</v>
      </c>
      <c r="L898" s="188"/>
      <c r="M898" s="34"/>
    </row>
    <row r="899" spans="1:13" ht="38.25">
      <c r="A899" s="140">
        <v>2015</v>
      </c>
      <c r="B899" s="179" t="s">
        <v>4250</v>
      </c>
      <c r="C899" s="112" t="s">
        <v>61</v>
      </c>
      <c r="D899" s="180" t="s">
        <v>68</v>
      </c>
      <c r="E899" s="6" t="s">
        <v>1874</v>
      </c>
      <c r="F899" s="194">
        <v>41440</v>
      </c>
      <c r="G899" s="180"/>
      <c r="H899" s="179" t="s">
        <v>4251</v>
      </c>
      <c r="I899" s="179" t="s">
        <v>4252</v>
      </c>
      <c r="J899" s="187" t="s">
        <v>4253</v>
      </c>
      <c r="K899" s="6" t="s">
        <v>1886</v>
      </c>
      <c r="L899" s="188"/>
      <c r="M899" s="34"/>
    </row>
    <row r="900" spans="1:13" ht="25.5">
      <c r="A900" s="140">
        <v>2015</v>
      </c>
      <c r="B900" s="179" t="s">
        <v>4254</v>
      </c>
      <c r="C900" s="112" t="s">
        <v>61</v>
      </c>
      <c r="D900" s="180" t="s">
        <v>68</v>
      </c>
      <c r="E900" s="6" t="s">
        <v>1874</v>
      </c>
      <c r="F900" s="194">
        <v>604800</v>
      </c>
      <c r="G900" s="180"/>
      <c r="H900" s="179" t="s">
        <v>4255</v>
      </c>
      <c r="I900" s="179" t="s">
        <v>4256</v>
      </c>
      <c r="J900" s="187" t="s">
        <v>4257</v>
      </c>
      <c r="K900" s="179" t="s">
        <v>1828</v>
      </c>
      <c r="L900" s="188"/>
      <c r="M900" s="34"/>
    </row>
    <row r="901" spans="1:13" ht="38.25">
      <c r="A901" s="140">
        <v>2015</v>
      </c>
      <c r="B901" s="179" t="s">
        <v>4258</v>
      </c>
      <c r="C901" s="112" t="s">
        <v>61</v>
      </c>
      <c r="D901" s="22" t="s">
        <v>62</v>
      </c>
      <c r="E901" s="6" t="s">
        <v>1904</v>
      </c>
      <c r="F901" s="194">
        <v>958369.8</v>
      </c>
      <c r="G901" s="22"/>
      <c r="H901" s="179" t="s">
        <v>4259</v>
      </c>
      <c r="I901" s="179" t="s">
        <v>4260</v>
      </c>
      <c r="J901" s="187" t="s">
        <v>4261</v>
      </c>
      <c r="K901" s="179" t="s">
        <v>1899</v>
      </c>
      <c r="L901" s="188"/>
      <c r="M901" s="34"/>
    </row>
    <row r="902" spans="1:13" ht="38.25">
      <c r="A902" s="140">
        <v>2015</v>
      </c>
      <c r="B902" s="179" t="s">
        <v>4262</v>
      </c>
      <c r="C902" s="112" t="s">
        <v>61</v>
      </c>
      <c r="D902" s="22" t="s">
        <v>62</v>
      </c>
      <c r="E902" s="6" t="s">
        <v>1904</v>
      </c>
      <c r="F902" s="194">
        <v>410000</v>
      </c>
      <c r="G902" s="22"/>
      <c r="H902" s="179" t="s">
        <v>4263</v>
      </c>
      <c r="I902" s="179" t="s">
        <v>4264</v>
      </c>
      <c r="J902" s="187" t="s">
        <v>4265</v>
      </c>
      <c r="K902" s="6" t="s">
        <v>1886</v>
      </c>
      <c r="L902" s="188"/>
      <c r="M902" s="34"/>
    </row>
    <row r="903" spans="1:13" ht="38.25">
      <c r="A903" s="140">
        <v>2015</v>
      </c>
      <c r="B903" s="179" t="s">
        <v>4266</v>
      </c>
      <c r="C903" s="112" t="s">
        <v>61</v>
      </c>
      <c r="D903" s="22" t="s">
        <v>62</v>
      </c>
      <c r="E903" s="6" t="s">
        <v>1904</v>
      </c>
      <c r="F903" s="194">
        <v>1956500</v>
      </c>
      <c r="G903" s="22"/>
      <c r="H903" s="179" t="s">
        <v>4267</v>
      </c>
      <c r="I903" s="179" t="s">
        <v>4268</v>
      </c>
      <c r="J903" s="187" t="s">
        <v>4269</v>
      </c>
      <c r="K903" s="6" t="s">
        <v>1886</v>
      </c>
      <c r="L903" s="188"/>
      <c r="M903" s="34"/>
    </row>
    <row r="904" spans="1:13" ht="51">
      <c r="A904" s="140">
        <v>2015</v>
      </c>
      <c r="B904" s="179" t="s">
        <v>4270</v>
      </c>
      <c r="C904" s="112" t="s">
        <v>61</v>
      </c>
      <c r="D904" s="22" t="s">
        <v>62</v>
      </c>
      <c r="E904" s="6" t="s">
        <v>1904</v>
      </c>
      <c r="F904" s="194">
        <v>1900000</v>
      </c>
      <c r="G904" s="22"/>
      <c r="H904" s="179" t="s">
        <v>4271</v>
      </c>
      <c r="I904" s="179" t="s">
        <v>4272</v>
      </c>
      <c r="J904" s="187" t="s">
        <v>4273</v>
      </c>
      <c r="K904" s="6" t="s">
        <v>1886</v>
      </c>
      <c r="L904" s="188"/>
      <c r="M904" s="34"/>
    </row>
    <row r="905" spans="1:13" ht="38.25">
      <c r="A905" s="140">
        <v>2015</v>
      </c>
      <c r="B905" s="179" t="s">
        <v>4274</v>
      </c>
      <c r="C905" s="112" t="s">
        <v>61</v>
      </c>
      <c r="D905" s="22" t="s">
        <v>62</v>
      </c>
      <c r="E905" s="6" t="s">
        <v>1904</v>
      </c>
      <c r="F905" s="194">
        <v>598728</v>
      </c>
      <c r="G905" s="22"/>
      <c r="H905" s="179" t="s">
        <v>4275</v>
      </c>
      <c r="I905" s="179" t="s">
        <v>4276</v>
      </c>
      <c r="J905" s="187" t="s">
        <v>4277</v>
      </c>
      <c r="K905" s="179" t="s">
        <v>1919</v>
      </c>
      <c r="L905" s="188"/>
      <c r="M905" s="34"/>
    </row>
    <row r="906" spans="1:13" ht="25.5">
      <c r="A906" s="140">
        <v>2015</v>
      </c>
      <c r="B906" s="179" t="s">
        <v>4278</v>
      </c>
      <c r="C906" s="112" t="s">
        <v>61</v>
      </c>
      <c r="D906" s="22" t="s">
        <v>62</v>
      </c>
      <c r="E906" s="6" t="s">
        <v>1904</v>
      </c>
      <c r="F906" s="194">
        <v>420000</v>
      </c>
      <c r="G906" s="22"/>
      <c r="H906" s="179" t="s">
        <v>807</v>
      </c>
      <c r="I906" s="179" t="s">
        <v>811</v>
      </c>
      <c r="J906" s="179" t="s">
        <v>4149</v>
      </c>
      <c r="K906" s="179" t="s">
        <v>1828</v>
      </c>
      <c r="L906" s="188"/>
      <c r="M906" s="34"/>
    </row>
    <row r="907" spans="1:13" ht="38.25">
      <c r="A907" s="140">
        <v>2015</v>
      </c>
      <c r="B907" s="179" t="s">
        <v>4279</v>
      </c>
      <c r="C907" s="112" t="s">
        <v>61</v>
      </c>
      <c r="D907" s="180" t="s">
        <v>1383</v>
      </c>
      <c r="E907" s="115" t="s">
        <v>1859</v>
      </c>
      <c r="F907" s="194">
        <v>30000</v>
      </c>
      <c r="G907" s="180"/>
      <c r="H907" s="179" t="s">
        <v>4280</v>
      </c>
      <c r="I907" s="179" t="s">
        <v>4281</v>
      </c>
      <c r="J907" s="179" t="s">
        <v>4282</v>
      </c>
      <c r="K907" s="179" t="s">
        <v>1847</v>
      </c>
      <c r="L907" s="188"/>
      <c r="M907" s="34"/>
    </row>
    <row r="908" spans="1:13" ht="25.5">
      <c r="A908" s="140">
        <v>2015</v>
      </c>
      <c r="B908" s="179" t="s">
        <v>4283</v>
      </c>
      <c r="C908" s="112" t="s">
        <v>61</v>
      </c>
      <c r="D908" s="22" t="s">
        <v>586</v>
      </c>
      <c r="E908" s="6" t="s">
        <v>1874</v>
      </c>
      <c r="F908" s="194">
        <v>50000</v>
      </c>
      <c r="G908" s="22"/>
      <c r="H908" s="179" t="s">
        <v>4284</v>
      </c>
      <c r="I908" s="179" t="s">
        <v>4285</v>
      </c>
      <c r="J908" s="179" t="s">
        <v>4286</v>
      </c>
      <c r="K908" s="179" t="s">
        <v>1847</v>
      </c>
      <c r="L908" s="188"/>
      <c r="M908" s="34"/>
    </row>
    <row r="909" spans="1:13" ht="25.5">
      <c r="A909" s="140">
        <v>2015</v>
      </c>
      <c r="B909" s="179" t="s">
        <v>4287</v>
      </c>
      <c r="C909" s="112" t="s">
        <v>61</v>
      </c>
      <c r="D909" s="180" t="s">
        <v>1383</v>
      </c>
      <c r="E909" s="115" t="s">
        <v>1859</v>
      </c>
      <c r="F909" s="194">
        <v>27176</v>
      </c>
      <c r="G909" s="180"/>
      <c r="H909" s="179" t="s">
        <v>4288</v>
      </c>
      <c r="I909" s="179" t="s">
        <v>4289</v>
      </c>
      <c r="J909" s="179" t="s">
        <v>4290</v>
      </c>
      <c r="K909" s="6" t="s">
        <v>1886</v>
      </c>
      <c r="L909" s="188"/>
      <c r="M909" s="34"/>
    </row>
    <row r="910" spans="1:13" ht="25.5">
      <c r="A910" s="140">
        <v>2015</v>
      </c>
      <c r="B910" s="179" t="s">
        <v>4291</v>
      </c>
      <c r="C910" s="112" t="s">
        <v>61</v>
      </c>
      <c r="D910" s="180" t="s">
        <v>1383</v>
      </c>
      <c r="E910" s="115" t="s">
        <v>1859</v>
      </c>
      <c r="F910" s="194">
        <v>41880</v>
      </c>
      <c r="G910" s="180"/>
      <c r="H910" s="179" t="s">
        <v>4292</v>
      </c>
      <c r="I910" s="179" t="s">
        <v>4293</v>
      </c>
      <c r="J910" s="179" t="s">
        <v>1828</v>
      </c>
      <c r="K910" s="179" t="s">
        <v>1828</v>
      </c>
      <c r="L910" s="188"/>
      <c r="M910" s="34"/>
    </row>
    <row r="911" spans="1:13" ht="25.5">
      <c r="A911" s="140">
        <v>2015</v>
      </c>
      <c r="B911" s="179" t="s">
        <v>4294</v>
      </c>
      <c r="C911" s="112" t="s">
        <v>61</v>
      </c>
      <c r="D911" s="180" t="s">
        <v>394</v>
      </c>
      <c r="E911" s="115" t="s">
        <v>1853</v>
      </c>
      <c r="F911" s="194">
        <v>90000</v>
      </c>
      <c r="G911" s="180"/>
      <c r="H911" s="179" t="s">
        <v>4295</v>
      </c>
      <c r="I911" s="179" t="s">
        <v>4161</v>
      </c>
      <c r="J911" s="179" t="s">
        <v>4296</v>
      </c>
      <c r="K911" s="179" t="s">
        <v>1828</v>
      </c>
      <c r="L911" s="188"/>
      <c r="M911" s="34"/>
    </row>
    <row r="912" spans="1:13" ht="63.75">
      <c r="A912" s="140">
        <v>2015</v>
      </c>
      <c r="B912" s="179" t="s">
        <v>4297</v>
      </c>
      <c r="C912" s="112" t="s">
        <v>61</v>
      </c>
      <c r="D912" s="180" t="s">
        <v>1383</v>
      </c>
      <c r="E912" s="115" t="s">
        <v>1859</v>
      </c>
      <c r="F912" s="194">
        <v>30000</v>
      </c>
      <c r="G912" s="180"/>
      <c r="H912" s="179" t="s">
        <v>4298</v>
      </c>
      <c r="I912" s="179" t="s">
        <v>4281</v>
      </c>
      <c r="J912" s="179" t="s">
        <v>4299</v>
      </c>
      <c r="K912" s="179" t="s">
        <v>1828</v>
      </c>
      <c r="L912" s="188"/>
      <c r="M912" s="34"/>
    </row>
    <row r="913" spans="1:13" ht="25.5">
      <c r="A913" s="140">
        <v>2015</v>
      </c>
      <c r="B913" s="179" t="s">
        <v>4300</v>
      </c>
      <c r="C913" s="112" t="s">
        <v>61</v>
      </c>
      <c r="D913" s="180" t="s">
        <v>1763</v>
      </c>
      <c r="E913" s="115" t="s">
        <v>1859</v>
      </c>
      <c r="F913" s="194">
        <v>16250</v>
      </c>
      <c r="G913" s="180"/>
      <c r="H913" s="179" t="s">
        <v>4301</v>
      </c>
      <c r="I913" s="179" t="s">
        <v>4302</v>
      </c>
      <c r="J913" s="179" t="s">
        <v>4303</v>
      </c>
      <c r="K913" s="179" t="s">
        <v>1855</v>
      </c>
      <c r="L913" s="188"/>
      <c r="M913" s="34"/>
    </row>
    <row r="914" spans="1:13" ht="38.25">
      <c r="A914" s="140">
        <v>2015</v>
      </c>
      <c r="B914" s="179" t="s">
        <v>4304</v>
      </c>
      <c r="C914" s="112" t="s">
        <v>61</v>
      </c>
      <c r="D914" s="180" t="s">
        <v>1383</v>
      </c>
      <c r="E914" s="115" t="s">
        <v>1859</v>
      </c>
      <c r="F914" s="194">
        <v>50000</v>
      </c>
      <c r="G914" s="180"/>
      <c r="H914" s="179" t="s">
        <v>4305</v>
      </c>
      <c r="I914" s="179" t="s">
        <v>4302</v>
      </c>
      <c r="J914" s="179"/>
      <c r="K914" s="179" t="s">
        <v>1855</v>
      </c>
      <c r="L914" s="188"/>
      <c r="M914" s="34"/>
    </row>
    <row r="915" spans="1:13" ht="51">
      <c r="A915" s="140">
        <v>2015</v>
      </c>
      <c r="B915" s="179" t="s">
        <v>4306</v>
      </c>
      <c r="C915" s="112" t="s">
        <v>61</v>
      </c>
      <c r="D915" s="180" t="s">
        <v>1383</v>
      </c>
      <c r="E915" s="115" t="s">
        <v>1859</v>
      </c>
      <c r="F915" s="194">
        <v>50000</v>
      </c>
      <c r="G915" s="180"/>
      <c r="H915" s="179" t="s">
        <v>4307</v>
      </c>
      <c r="I915" s="179" t="s">
        <v>4308</v>
      </c>
      <c r="J915" s="179" t="s">
        <v>4309</v>
      </c>
      <c r="K915" s="179" t="s">
        <v>1916</v>
      </c>
      <c r="L915" s="188"/>
      <c r="M915" s="34"/>
    </row>
    <row r="916" spans="1:13" ht="25.5">
      <c r="A916" s="140">
        <v>2015</v>
      </c>
      <c r="B916" s="179" t="s">
        <v>4310</v>
      </c>
      <c r="C916" s="112" t="s">
        <v>61</v>
      </c>
      <c r="D916" s="180" t="s">
        <v>1383</v>
      </c>
      <c r="E916" s="115" t="s">
        <v>1859</v>
      </c>
      <c r="F916" s="194">
        <v>50000</v>
      </c>
      <c r="G916" s="180"/>
      <c r="H916" s="179" t="s">
        <v>4311</v>
      </c>
      <c r="I916" s="179" t="s">
        <v>4312</v>
      </c>
      <c r="J916" s="179" t="s">
        <v>4313</v>
      </c>
      <c r="K916" s="179" t="s">
        <v>1828</v>
      </c>
      <c r="L916" s="188"/>
      <c r="M916" s="34"/>
    </row>
    <row r="917" spans="1:13" ht="25.5">
      <c r="A917" s="140">
        <v>2015</v>
      </c>
      <c r="B917" s="179" t="s">
        <v>4314</v>
      </c>
      <c r="C917" s="112" t="s">
        <v>61</v>
      </c>
      <c r="D917" s="180" t="s">
        <v>1383</v>
      </c>
      <c r="E917" s="115" t="s">
        <v>1859</v>
      </c>
      <c r="F917" s="194">
        <v>40000</v>
      </c>
      <c r="G917" s="180"/>
      <c r="H917" s="179" t="s">
        <v>4315</v>
      </c>
      <c r="I917" s="179" t="s">
        <v>4316</v>
      </c>
      <c r="J917" s="179"/>
      <c r="K917" s="190" t="s">
        <v>1828</v>
      </c>
      <c r="L917" s="188"/>
      <c r="M917" s="34"/>
    </row>
    <row r="918" spans="1:13" ht="25.5">
      <c r="A918" s="140">
        <v>2015</v>
      </c>
      <c r="B918" s="179" t="s">
        <v>4317</v>
      </c>
      <c r="C918" s="112" t="s">
        <v>61</v>
      </c>
      <c r="D918" s="180" t="s">
        <v>1383</v>
      </c>
      <c r="E918" s="115" t="s">
        <v>1859</v>
      </c>
      <c r="F918" s="194">
        <v>99000</v>
      </c>
      <c r="G918" s="180"/>
      <c r="H918" s="179" t="s">
        <v>4318</v>
      </c>
      <c r="I918" s="179" t="s">
        <v>4319</v>
      </c>
      <c r="J918" s="179"/>
      <c r="K918" s="190" t="s">
        <v>1828</v>
      </c>
      <c r="L918" s="188"/>
      <c r="M918" s="34"/>
    </row>
    <row r="919" spans="1:13" ht="25.5">
      <c r="A919" s="140">
        <v>2015</v>
      </c>
      <c r="B919" s="179" t="s">
        <v>4320</v>
      </c>
      <c r="C919" s="112" t="s">
        <v>61</v>
      </c>
      <c r="D919" s="180" t="s">
        <v>1383</v>
      </c>
      <c r="E919" s="115" t="s">
        <v>1859</v>
      </c>
      <c r="F919" s="194">
        <v>20660</v>
      </c>
      <c r="G919" s="180"/>
      <c r="H919" s="179" t="s">
        <v>4321</v>
      </c>
      <c r="I919" s="179" t="s">
        <v>4322</v>
      </c>
      <c r="J919" s="179"/>
      <c r="K919" s="190" t="s">
        <v>1828</v>
      </c>
      <c r="L919" s="188"/>
      <c r="M919" s="34"/>
    </row>
    <row r="920" spans="1:13" ht="25.5">
      <c r="A920" s="140">
        <v>2015</v>
      </c>
      <c r="B920" s="179" t="s">
        <v>4323</v>
      </c>
      <c r="C920" s="112" t="s">
        <v>61</v>
      </c>
      <c r="D920" s="180" t="s">
        <v>394</v>
      </c>
      <c r="E920" s="115" t="s">
        <v>1853</v>
      </c>
      <c r="F920" s="194">
        <v>77500</v>
      </c>
      <c r="G920" s="180"/>
      <c r="H920" s="179" t="s">
        <v>4324</v>
      </c>
      <c r="I920" s="179" t="s">
        <v>4325</v>
      </c>
      <c r="J920" s="179"/>
      <c r="K920" s="179" t="s">
        <v>1855</v>
      </c>
      <c r="L920" s="188"/>
      <c r="M920" s="34"/>
    </row>
    <row r="921" spans="1:13" ht="51">
      <c r="A921" s="140">
        <v>2015</v>
      </c>
      <c r="B921" s="179" t="s">
        <v>4326</v>
      </c>
      <c r="C921" s="112" t="s">
        <v>61</v>
      </c>
      <c r="D921" s="180" t="s">
        <v>1763</v>
      </c>
      <c r="E921" s="115" t="s">
        <v>1859</v>
      </c>
      <c r="F921" s="194">
        <v>15875</v>
      </c>
      <c r="G921" s="180"/>
      <c r="H921" s="179" t="s">
        <v>4327</v>
      </c>
      <c r="I921" s="179" t="s">
        <v>4328</v>
      </c>
      <c r="J921" s="179" t="s">
        <v>4329</v>
      </c>
      <c r="K921" s="179" t="s">
        <v>1916</v>
      </c>
      <c r="L921" s="188"/>
      <c r="M921" s="34"/>
    </row>
    <row r="922" spans="1:13" ht="25.5">
      <c r="A922" s="140">
        <v>2015</v>
      </c>
      <c r="B922" s="179" t="s">
        <v>4330</v>
      </c>
      <c r="C922" s="112" t="s">
        <v>61</v>
      </c>
      <c r="D922" s="180" t="s">
        <v>2993</v>
      </c>
      <c r="E922" s="6" t="s">
        <v>1874</v>
      </c>
      <c r="F922" s="194">
        <v>84805</v>
      </c>
      <c r="G922" s="180"/>
      <c r="H922" s="179" t="s">
        <v>4331</v>
      </c>
      <c r="I922" s="179" t="s">
        <v>4332</v>
      </c>
      <c r="J922" s="179" t="s">
        <v>4333</v>
      </c>
      <c r="K922" s="179" t="s">
        <v>2031</v>
      </c>
      <c r="L922" s="188"/>
      <c r="M922" s="34"/>
    </row>
    <row r="923" spans="1:13" ht="25.5">
      <c r="A923" s="140">
        <v>2015</v>
      </c>
      <c r="B923" s="179" t="s">
        <v>4334</v>
      </c>
      <c r="C923" s="112" t="s">
        <v>61</v>
      </c>
      <c r="D923" s="180" t="s">
        <v>1383</v>
      </c>
      <c r="E923" s="115" t="s">
        <v>1859</v>
      </c>
      <c r="F923" s="194">
        <v>65000</v>
      </c>
      <c r="G923" s="180"/>
      <c r="H923" s="179" t="s">
        <v>4335</v>
      </c>
      <c r="I923" s="179" t="s">
        <v>3859</v>
      </c>
      <c r="J923" s="179" t="s">
        <v>4336</v>
      </c>
      <c r="K923" s="179" t="s">
        <v>1855</v>
      </c>
      <c r="L923" s="188"/>
      <c r="M923" s="34"/>
    </row>
    <row r="924" spans="1:13" ht="25.5">
      <c r="A924" s="140">
        <v>2015</v>
      </c>
      <c r="B924" s="179" t="s">
        <v>4337</v>
      </c>
      <c r="C924" s="112" t="s">
        <v>61</v>
      </c>
      <c r="D924" s="180" t="s">
        <v>1763</v>
      </c>
      <c r="E924" s="115" t="s">
        <v>1859</v>
      </c>
      <c r="F924" s="194">
        <v>16100</v>
      </c>
      <c r="G924" s="180"/>
      <c r="H924" s="179" t="s">
        <v>4338</v>
      </c>
      <c r="I924" s="179" t="s">
        <v>4339</v>
      </c>
      <c r="J924" s="179"/>
      <c r="K924" s="6" t="s">
        <v>1886</v>
      </c>
      <c r="L924" s="188"/>
      <c r="M924" s="34"/>
    </row>
    <row r="925" spans="1:13" ht="25.5">
      <c r="A925" s="140">
        <v>2015</v>
      </c>
      <c r="B925" s="179" t="s">
        <v>4340</v>
      </c>
      <c r="C925" s="112" t="s">
        <v>61</v>
      </c>
      <c r="D925" s="180" t="s">
        <v>394</v>
      </c>
      <c r="E925" s="115" t="s">
        <v>1853</v>
      </c>
      <c r="F925" s="194">
        <v>55000</v>
      </c>
      <c r="G925" s="180"/>
      <c r="H925" s="179" t="s">
        <v>4341</v>
      </c>
      <c r="I925" s="179" t="s">
        <v>4342</v>
      </c>
      <c r="J925" s="179" t="s">
        <v>4343</v>
      </c>
      <c r="K925" s="179" t="s">
        <v>1899</v>
      </c>
      <c r="L925" s="188"/>
      <c r="M925" s="34"/>
    </row>
    <row r="926" spans="1:13" ht="25.5">
      <c r="A926" s="140">
        <v>2015</v>
      </c>
      <c r="B926" s="179" t="s">
        <v>4344</v>
      </c>
      <c r="C926" s="112" t="s">
        <v>61</v>
      </c>
      <c r="D926" s="180" t="s">
        <v>1383</v>
      </c>
      <c r="E926" s="115" t="s">
        <v>1859</v>
      </c>
      <c r="F926" s="194">
        <v>100000</v>
      </c>
      <c r="G926" s="180"/>
      <c r="H926" s="179" t="s">
        <v>4345</v>
      </c>
      <c r="I926" s="179" t="s">
        <v>4346</v>
      </c>
      <c r="J926" s="179" t="s">
        <v>4347</v>
      </c>
      <c r="K926" s="179" t="s">
        <v>1828</v>
      </c>
      <c r="L926" s="188"/>
      <c r="M926" s="34"/>
    </row>
    <row r="927" spans="1:13" ht="38.25">
      <c r="A927" s="140">
        <v>2015</v>
      </c>
      <c r="B927" s="179" t="s">
        <v>4348</v>
      </c>
      <c r="C927" s="112" t="s">
        <v>61</v>
      </c>
      <c r="D927" s="22" t="s">
        <v>3092</v>
      </c>
      <c r="E927" s="6" t="s">
        <v>1904</v>
      </c>
      <c r="F927" s="194">
        <v>48800</v>
      </c>
      <c r="G927" s="180"/>
      <c r="H927" s="179" t="s">
        <v>4349</v>
      </c>
      <c r="I927" s="179" t="s">
        <v>4350</v>
      </c>
      <c r="J927" s="179"/>
      <c r="K927" s="179" t="s">
        <v>1855</v>
      </c>
      <c r="L927" s="188"/>
      <c r="M927" s="34"/>
    </row>
    <row r="928" spans="1:13" ht="25.5">
      <c r="A928" s="140">
        <v>2015</v>
      </c>
      <c r="B928" s="179" t="s">
        <v>4351</v>
      </c>
      <c r="C928" s="112" t="s">
        <v>61</v>
      </c>
      <c r="D928" s="180" t="s">
        <v>1383</v>
      </c>
      <c r="E928" s="115" t="s">
        <v>1859</v>
      </c>
      <c r="F928" s="194">
        <v>48000</v>
      </c>
      <c r="G928" s="180"/>
      <c r="H928" s="179" t="s">
        <v>4352</v>
      </c>
      <c r="I928" s="179" t="s">
        <v>4353</v>
      </c>
      <c r="J928" s="179" t="s">
        <v>4354</v>
      </c>
      <c r="K928" s="179" t="s">
        <v>1828</v>
      </c>
      <c r="L928" s="188"/>
      <c r="M928" s="34"/>
    </row>
    <row r="929" spans="1:13" ht="38.25">
      <c r="A929" s="140">
        <v>2015</v>
      </c>
      <c r="B929" s="179" t="s">
        <v>4355</v>
      </c>
      <c r="C929" s="112" t="s">
        <v>61</v>
      </c>
      <c r="D929" s="180" t="s">
        <v>3168</v>
      </c>
      <c r="E929" s="115" t="s">
        <v>1859</v>
      </c>
      <c r="F929" s="194">
        <v>73000</v>
      </c>
      <c r="G929" s="180"/>
      <c r="H929" s="179" t="s">
        <v>4356</v>
      </c>
      <c r="I929" s="179" t="s">
        <v>2331</v>
      </c>
      <c r="J929" s="179"/>
      <c r="K929" s="179" t="s">
        <v>1828</v>
      </c>
      <c r="L929" s="188"/>
      <c r="M929" s="34"/>
    </row>
    <row r="930" spans="1:13" ht="38.25">
      <c r="A930" s="140">
        <v>2015</v>
      </c>
      <c r="B930" s="179" t="s">
        <v>4357</v>
      </c>
      <c r="C930" s="112" t="s">
        <v>61</v>
      </c>
      <c r="D930" s="180" t="s">
        <v>394</v>
      </c>
      <c r="E930" s="115" t="s">
        <v>1853</v>
      </c>
      <c r="F930" s="194">
        <v>55000</v>
      </c>
      <c r="G930" s="180"/>
      <c r="H930" s="179" t="s">
        <v>4358</v>
      </c>
      <c r="I930" s="179" t="s">
        <v>4359</v>
      </c>
      <c r="J930" s="179" t="s">
        <v>4360</v>
      </c>
      <c r="K930" s="179" t="s">
        <v>1899</v>
      </c>
      <c r="L930" s="188"/>
      <c r="M930" s="34"/>
    </row>
    <row r="931" spans="1:13" ht="25.5">
      <c r="A931" s="140">
        <v>2015</v>
      </c>
      <c r="B931" s="179" t="s">
        <v>4361</v>
      </c>
      <c r="C931" s="112" t="s">
        <v>61</v>
      </c>
      <c r="D931" s="180" t="s">
        <v>3168</v>
      </c>
      <c r="E931" s="115" t="s">
        <v>1859</v>
      </c>
      <c r="F931" s="194">
        <v>50000</v>
      </c>
      <c r="G931" s="180"/>
      <c r="H931" s="179" t="s">
        <v>4362</v>
      </c>
      <c r="I931" s="179" t="s">
        <v>4363</v>
      </c>
      <c r="J931" s="179"/>
      <c r="K931" s="190" t="s">
        <v>1828</v>
      </c>
      <c r="L931" s="188"/>
      <c r="M931" s="34"/>
    </row>
    <row r="932" spans="1:13" ht="38.25">
      <c r="A932" s="140">
        <v>2015</v>
      </c>
      <c r="B932" s="179" t="s">
        <v>4364</v>
      </c>
      <c r="C932" s="112" t="s">
        <v>61</v>
      </c>
      <c r="D932" s="180" t="s">
        <v>2993</v>
      </c>
      <c r="E932" s="6"/>
      <c r="F932" s="194">
        <v>39000</v>
      </c>
      <c r="G932" s="180"/>
      <c r="H932" s="179" t="s">
        <v>4365</v>
      </c>
      <c r="I932" s="179" t="s">
        <v>4366</v>
      </c>
      <c r="J932" s="179"/>
      <c r="K932" s="190" t="s">
        <v>1828</v>
      </c>
      <c r="L932" s="188"/>
      <c r="M932" s="34"/>
    </row>
    <row r="933" spans="1:13" ht="25.5">
      <c r="A933" s="140">
        <v>2015</v>
      </c>
      <c r="B933" s="179" t="s">
        <v>4367</v>
      </c>
      <c r="C933" s="112" t="s">
        <v>61</v>
      </c>
      <c r="D933" s="180" t="s">
        <v>652</v>
      </c>
      <c r="E933" s="6" t="s">
        <v>1874</v>
      </c>
      <c r="F933" s="194">
        <v>99860</v>
      </c>
      <c r="G933" s="180"/>
      <c r="H933" s="179" t="s">
        <v>4368</v>
      </c>
      <c r="I933" s="179" t="s">
        <v>4369</v>
      </c>
      <c r="J933" s="179" t="s">
        <v>4370</v>
      </c>
      <c r="K933" s="179" t="s">
        <v>1828</v>
      </c>
      <c r="L933" s="188"/>
      <c r="M933" s="34"/>
    </row>
    <row r="934" spans="1:13" ht="38.25">
      <c r="A934" s="140">
        <v>2015</v>
      </c>
      <c r="B934" s="179" t="s">
        <v>4371</v>
      </c>
      <c r="C934" s="112" t="s">
        <v>61</v>
      </c>
      <c r="D934" s="180" t="s">
        <v>2993</v>
      </c>
      <c r="E934" s="6"/>
      <c r="F934" s="194">
        <v>65000</v>
      </c>
      <c r="G934" s="180"/>
      <c r="H934" s="179" t="s">
        <v>4372</v>
      </c>
      <c r="I934" s="179" t="s">
        <v>4366</v>
      </c>
      <c r="J934" s="179"/>
      <c r="K934" s="190" t="s">
        <v>1828</v>
      </c>
      <c r="L934" s="188"/>
      <c r="M934" s="34"/>
    </row>
    <row r="935" spans="1:13" ht="38.25">
      <c r="A935" s="140">
        <v>2015</v>
      </c>
      <c r="B935" s="179" t="s">
        <v>4373</v>
      </c>
      <c r="C935" s="112" t="s">
        <v>61</v>
      </c>
      <c r="D935" s="180" t="s">
        <v>2993</v>
      </c>
      <c r="E935" s="6"/>
      <c r="F935" s="194">
        <v>39000</v>
      </c>
      <c r="G935" s="180"/>
      <c r="H935" s="179" t="s">
        <v>4374</v>
      </c>
      <c r="I935" s="179" t="s">
        <v>4366</v>
      </c>
      <c r="J935" s="179"/>
      <c r="K935" s="190" t="s">
        <v>1828</v>
      </c>
      <c r="L935" s="188"/>
      <c r="M935" s="34"/>
    </row>
    <row r="936" spans="1:13" ht="38.25">
      <c r="A936" s="140">
        <v>2015</v>
      </c>
      <c r="B936" s="179" t="s">
        <v>4375</v>
      </c>
      <c r="C936" s="112" t="s">
        <v>61</v>
      </c>
      <c r="D936" s="180" t="s">
        <v>652</v>
      </c>
      <c r="E936" s="6" t="s">
        <v>1874</v>
      </c>
      <c r="F936" s="194">
        <v>76569.679999999993</v>
      </c>
      <c r="G936" s="180"/>
      <c r="H936" s="179" t="s">
        <v>4376</v>
      </c>
      <c r="I936" s="179" t="s">
        <v>4377</v>
      </c>
      <c r="J936" s="179" t="s">
        <v>4378</v>
      </c>
      <c r="K936" s="6" t="s">
        <v>1886</v>
      </c>
      <c r="L936" s="188"/>
      <c r="M936" s="34"/>
    </row>
    <row r="937" spans="1:13" ht="38.25">
      <c r="A937" s="140">
        <v>2015</v>
      </c>
      <c r="B937" s="179" t="s">
        <v>4379</v>
      </c>
      <c r="C937" s="112" t="s">
        <v>61</v>
      </c>
      <c r="D937" s="180" t="s">
        <v>3168</v>
      </c>
      <c r="E937" s="115" t="s">
        <v>1859</v>
      </c>
      <c r="F937" s="194">
        <v>99000</v>
      </c>
      <c r="G937" s="180"/>
      <c r="H937" s="179" t="s">
        <v>4380</v>
      </c>
      <c r="I937" s="179" t="s">
        <v>4381</v>
      </c>
      <c r="J937" s="179" t="s">
        <v>4382</v>
      </c>
      <c r="K937" s="179" t="s">
        <v>1828</v>
      </c>
      <c r="L937" s="188"/>
      <c r="M937" s="34"/>
    </row>
    <row r="938" spans="1:13" ht="38.25">
      <c r="A938" s="140">
        <v>2015</v>
      </c>
      <c r="B938" s="179" t="s">
        <v>4383</v>
      </c>
      <c r="C938" s="112" t="s">
        <v>61</v>
      </c>
      <c r="D938" s="180" t="s">
        <v>3168</v>
      </c>
      <c r="E938" s="115" t="s">
        <v>1859</v>
      </c>
      <c r="F938" s="194">
        <v>35000</v>
      </c>
      <c r="G938" s="180"/>
      <c r="H938" s="179" t="s">
        <v>4384</v>
      </c>
      <c r="I938" s="179" t="s">
        <v>4381</v>
      </c>
      <c r="J938" s="179" t="s">
        <v>4382</v>
      </c>
      <c r="K938" s="179" t="s">
        <v>1828</v>
      </c>
      <c r="L938" s="188"/>
      <c r="M938" s="34"/>
    </row>
    <row r="939" spans="1:13" ht="38.25">
      <c r="A939" s="140">
        <v>2015</v>
      </c>
      <c r="B939" s="179" t="s">
        <v>4385</v>
      </c>
      <c r="C939" s="112" t="s">
        <v>3096</v>
      </c>
      <c r="D939" s="196" t="s">
        <v>4386</v>
      </c>
      <c r="E939" s="6"/>
      <c r="F939" s="186">
        <v>75000</v>
      </c>
      <c r="G939" s="197"/>
      <c r="H939" s="179" t="s">
        <v>4387</v>
      </c>
      <c r="I939" s="179" t="s">
        <v>4388</v>
      </c>
      <c r="J939" s="179" t="s">
        <v>3322</v>
      </c>
      <c r="K939" s="179" t="s">
        <v>1828</v>
      </c>
      <c r="L939" s="188"/>
      <c r="M939" s="34"/>
    </row>
    <row r="940" spans="1:13" ht="25.5">
      <c r="A940" s="140">
        <v>2015</v>
      </c>
      <c r="B940" s="179" t="s">
        <v>4389</v>
      </c>
      <c r="C940" s="112" t="s">
        <v>61</v>
      </c>
      <c r="D940" s="180" t="s">
        <v>394</v>
      </c>
      <c r="E940" s="115" t="s">
        <v>1853</v>
      </c>
      <c r="F940" s="194">
        <v>58000</v>
      </c>
      <c r="G940" s="180"/>
      <c r="H940" s="179" t="s">
        <v>4390</v>
      </c>
      <c r="I940" s="179" t="s">
        <v>4391</v>
      </c>
      <c r="J940" s="179" t="s">
        <v>4392</v>
      </c>
      <c r="K940" s="53" t="s">
        <v>1916</v>
      </c>
      <c r="L940" s="188"/>
      <c r="M940" s="34"/>
    </row>
    <row r="941" spans="1:13" ht="51">
      <c r="A941" s="140">
        <v>2015</v>
      </c>
      <c r="B941" s="179" t="s">
        <v>4393</v>
      </c>
      <c r="C941" s="112" t="s">
        <v>61</v>
      </c>
      <c r="D941" s="180" t="s">
        <v>3092</v>
      </c>
      <c r="E941" s="6" t="s">
        <v>1904</v>
      </c>
      <c r="F941" s="194">
        <v>80000</v>
      </c>
      <c r="G941" s="180"/>
      <c r="H941" s="179" t="s">
        <v>4394</v>
      </c>
      <c r="I941" s="179" t="s">
        <v>4395</v>
      </c>
      <c r="J941" s="179"/>
      <c r="K941" s="179" t="s">
        <v>1899</v>
      </c>
      <c r="L941" s="188"/>
      <c r="M941" s="34"/>
    </row>
    <row r="942" spans="1:13" ht="51">
      <c r="A942" s="140">
        <v>2015</v>
      </c>
      <c r="B942" s="179" t="s">
        <v>4396</v>
      </c>
      <c r="C942" s="112" t="s">
        <v>1926</v>
      </c>
      <c r="D942" s="179" t="s">
        <v>62</v>
      </c>
      <c r="E942" s="6"/>
      <c r="F942" s="186">
        <v>34008</v>
      </c>
      <c r="G942" s="180"/>
      <c r="H942" s="179" t="s">
        <v>4397</v>
      </c>
      <c r="I942" s="179" t="s">
        <v>4398</v>
      </c>
      <c r="J942" s="179" t="s">
        <v>4399</v>
      </c>
      <c r="K942" s="179" t="s">
        <v>2051</v>
      </c>
      <c r="L942" s="188"/>
      <c r="M942" s="34"/>
    </row>
    <row r="943" spans="1:13" ht="38.25">
      <c r="A943" s="140">
        <v>2015</v>
      </c>
      <c r="B943" s="179" t="s">
        <v>4400</v>
      </c>
      <c r="C943" s="112" t="s">
        <v>61</v>
      </c>
      <c r="D943" s="180" t="s">
        <v>1763</v>
      </c>
      <c r="E943" s="115" t="s">
        <v>1859</v>
      </c>
      <c r="F943" s="194">
        <v>17400</v>
      </c>
      <c r="G943" s="180"/>
      <c r="H943" s="179" t="s">
        <v>4401</v>
      </c>
      <c r="I943" s="179" t="s">
        <v>4402</v>
      </c>
      <c r="J943" s="179" t="s">
        <v>4403</v>
      </c>
      <c r="K943" s="179" t="s">
        <v>1828</v>
      </c>
      <c r="L943" s="188"/>
      <c r="M943" s="34"/>
    </row>
    <row r="944" spans="1:13" ht="25.5">
      <c r="A944" s="140">
        <v>2015</v>
      </c>
      <c r="B944" s="179" t="s">
        <v>4404</v>
      </c>
      <c r="C944" s="112" t="s">
        <v>61</v>
      </c>
      <c r="D944" s="180" t="s">
        <v>3168</v>
      </c>
      <c r="E944" s="115" t="s">
        <v>1859</v>
      </c>
      <c r="F944" s="194">
        <v>50000</v>
      </c>
      <c r="G944" s="180"/>
      <c r="H944" s="179" t="s">
        <v>4405</v>
      </c>
      <c r="I944" s="179" t="s">
        <v>4406</v>
      </c>
      <c r="J944" s="179" t="s">
        <v>4407</v>
      </c>
      <c r="K944" s="179" t="s">
        <v>2041</v>
      </c>
      <c r="L944" s="188"/>
      <c r="M944" s="34"/>
    </row>
    <row r="945" spans="1:13" ht="38.25">
      <c r="A945" s="140">
        <v>2015</v>
      </c>
      <c r="B945" s="179" t="s">
        <v>4408</v>
      </c>
      <c r="C945" s="112" t="s">
        <v>61</v>
      </c>
      <c r="D945" s="180" t="s">
        <v>1383</v>
      </c>
      <c r="E945" s="115" t="s">
        <v>1859</v>
      </c>
      <c r="F945" s="194">
        <v>100000</v>
      </c>
      <c r="G945" s="180"/>
      <c r="H945" s="179" t="s">
        <v>4409</v>
      </c>
      <c r="I945" s="179" t="s">
        <v>4410</v>
      </c>
      <c r="J945" s="179"/>
      <c r="K945" s="6" t="s">
        <v>1886</v>
      </c>
      <c r="L945" s="188"/>
      <c r="M945" s="34"/>
    </row>
    <row r="946" spans="1:13" ht="25.5">
      <c r="A946" s="140">
        <v>2015</v>
      </c>
      <c r="B946" s="179" t="s">
        <v>4411</v>
      </c>
      <c r="C946" s="112" t="s">
        <v>61</v>
      </c>
      <c r="D946" s="180" t="s">
        <v>1763</v>
      </c>
      <c r="E946" s="115" t="s">
        <v>1859</v>
      </c>
      <c r="F946" s="194">
        <v>21600</v>
      </c>
      <c r="G946" s="180"/>
      <c r="H946" s="179" t="s">
        <v>4412</v>
      </c>
      <c r="I946" s="179" t="s">
        <v>4413</v>
      </c>
      <c r="J946" s="179" t="s">
        <v>4414</v>
      </c>
      <c r="K946" s="179" t="s">
        <v>2047</v>
      </c>
      <c r="L946" s="188"/>
      <c r="M946" s="34"/>
    </row>
    <row r="947" spans="1:13" ht="38.25">
      <c r="A947" s="140">
        <v>2015</v>
      </c>
      <c r="B947" s="179" t="s">
        <v>4415</v>
      </c>
      <c r="C947" s="112" t="s">
        <v>61</v>
      </c>
      <c r="D947" s="180" t="s">
        <v>3092</v>
      </c>
      <c r="E947" s="6" t="s">
        <v>1904</v>
      </c>
      <c r="F947" s="194">
        <v>48000</v>
      </c>
      <c r="G947" s="180"/>
      <c r="H947" s="179" t="s">
        <v>4416</v>
      </c>
      <c r="I947" s="179" t="s">
        <v>4417</v>
      </c>
      <c r="J947" s="179" t="s">
        <v>4418</v>
      </c>
      <c r="K947" s="179" t="s">
        <v>1899</v>
      </c>
      <c r="L947" s="188"/>
      <c r="M947" s="34"/>
    </row>
    <row r="948" spans="1:13" ht="25.5">
      <c r="A948" s="140">
        <v>2015</v>
      </c>
      <c r="B948" s="179" t="s">
        <v>4419</v>
      </c>
      <c r="C948" s="112" t="s">
        <v>61</v>
      </c>
      <c r="D948" s="180" t="s">
        <v>3092</v>
      </c>
      <c r="E948" s="6" t="s">
        <v>1904</v>
      </c>
      <c r="F948" s="194">
        <v>48000</v>
      </c>
      <c r="G948" s="180"/>
      <c r="H948" s="179" t="s">
        <v>4416</v>
      </c>
      <c r="I948" s="179" t="s">
        <v>4420</v>
      </c>
      <c r="J948" s="179" t="s">
        <v>4421</v>
      </c>
      <c r="K948" s="179" t="s">
        <v>1899</v>
      </c>
      <c r="L948" s="188"/>
      <c r="M948" s="34"/>
    </row>
    <row r="949" spans="1:13" ht="38.25">
      <c r="A949" s="140">
        <v>2015</v>
      </c>
      <c r="B949" s="179" t="s">
        <v>4422</v>
      </c>
      <c r="C949" s="112" t="s">
        <v>61</v>
      </c>
      <c r="D949" s="180" t="s">
        <v>1383</v>
      </c>
      <c r="E949" s="115" t="s">
        <v>1859</v>
      </c>
      <c r="F949" s="194">
        <v>26000</v>
      </c>
      <c r="G949" s="180"/>
      <c r="H949" s="179" t="s">
        <v>4423</v>
      </c>
      <c r="I949" s="179" t="s">
        <v>4424</v>
      </c>
      <c r="J949" s="179" t="s">
        <v>4425</v>
      </c>
      <c r="K949" s="6" t="s">
        <v>1886</v>
      </c>
      <c r="L949" s="188"/>
      <c r="M949" s="34"/>
    </row>
    <row r="950" spans="1:13" ht="38.25">
      <c r="A950" s="140">
        <v>2015</v>
      </c>
      <c r="B950" s="179" t="s">
        <v>4426</v>
      </c>
      <c r="C950" s="112" t="s">
        <v>61</v>
      </c>
      <c r="D950" s="180" t="s">
        <v>1383</v>
      </c>
      <c r="E950" s="115" t="s">
        <v>1859</v>
      </c>
      <c r="F950" s="194">
        <v>42000</v>
      </c>
      <c r="G950" s="180"/>
      <c r="H950" s="179" t="s">
        <v>4427</v>
      </c>
      <c r="I950" s="179" t="s">
        <v>4428</v>
      </c>
      <c r="J950" s="179"/>
      <c r="K950" s="179" t="s">
        <v>1828</v>
      </c>
      <c r="L950" s="188"/>
      <c r="M950" s="34"/>
    </row>
    <row r="951" spans="1:13" ht="25.5">
      <c r="A951" s="140">
        <v>2015</v>
      </c>
      <c r="B951" s="179" t="s">
        <v>4429</v>
      </c>
      <c r="C951" s="112" t="s">
        <v>61</v>
      </c>
      <c r="D951" s="180" t="s">
        <v>394</v>
      </c>
      <c r="E951" s="115" t="s">
        <v>1853</v>
      </c>
      <c r="F951" s="194">
        <v>64000</v>
      </c>
      <c r="G951" s="180"/>
      <c r="H951" s="179" t="s">
        <v>4430</v>
      </c>
      <c r="I951" s="179" t="s">
        <v>4431</v>
      </c>
      <c r="J951" s="179" t="s">
        <v>4414</v>
      </c>
      <c r="K951" s="179" t="s">
        <v>2047</v>
      </c>
      <c r="L951" s="188"/>
      <c r="M951" s="34"/>
    </row>
    <row r="952" spans="1:13" ht="25.5">
      <c r="A952" s="140">
        <v>2015</v>
      </c>
      <c r="B952" s="179" t="s">
        <v>4432</v>
      </c>
      <c r="C952" s="112" t="s">
        <v>61</v>
      </c>
      <c r="D952" s="22" t="s">
        <v>586</v>
      </c>
      <c r="E952" s="6" t="s">
        <v>1874</v>
      </c>
      <c r="F952" s="194">
        <v>14390</v>
      </c>
      <c r="G952" s="22"/>
      <c r="H952" s="179" t="s">
        <v>4433</v>
      </c>
      <c r="I952" s="179" t="s">
        <v>4434</v>
      </c>
      <c r="J952" s="179" t="s">
        <v>4435</v>
      </c>
      <c r="K952" s="179" t="s">
        <v>1828</v>
      </c>
      <c r="L952" s="188"/>
      <c r="M952" s="34"/>
    </row>
    <row r="953" spans="1:13" ht="38.25">
      <c r="A953" s="140">
        <v>2015</v>
      </c>
      <c r="B953" s="179" t="s">
        <v>4436</v>
      </c>
      <c r="C953" s="112" t="s">
        <v>61</v>
      </c>
      <c r="D953" s="197" t="s">
        <v>3168</v>
      </c>
      <c r="E953" s="115" t="s">
        <v>1859</v>
      </c>
      <c r="F953" s="194">
        <v>77550</v>
      </c>
      <c r="G953" s="197"/>
      <c r="H953" s="179" t="s">
        <v>4437</v>
      </c>
      <c r="I953" s="179" t="s">
        <v>4438</v>
      </c>
      <c r="J953" s="179" t="s">
        <v>4439</v>
      </c>
      <c r="K953" s="179" t="s">
        <v>1828</v>
      </c>
      <c r="L953" s="188"/>
      <c r="M953" s="34"/>
    </row>
    <row r="954" spans="1:13" ht="38.25">
      <c r="A954" s="140">
        <v>2015</v>
      </c>
      <c r="B954" s="179" t="s">
        <v>4440</v>
      </c>
      <c r="C954" s="112" t="s">
        <v>61</v>
      </c>
      <c r="D954" s="180" t="s">
        <v>1383</v>
      </c>
      <c r="E954" s="115" t="s">
        <v>1859</v>
      </c>
      <c r="F954" s="194">
        <v>50000</v>
      </c>
      <c r="G954" s="180"/>
      <c r="H954" s="179" t="s">
        <v>4441</v>
      </c>
      <c r="I954" s="179" t="s">
        <v>4442</v>
      </c>
      <c r="J954" s="179" t="s">
        <v>4443</v>
      </c>
      <c r="K954" s="179" t="s">
        <v>1828</v>
      </c>
      <c r="L954" s="188"/>
      <c r="M954" s="34"/>
    </row>
    <row r="955" spans="1:13" ht="25.5">
      <c r="A955" s="140">
        <v>2015</v>
      </c>
      <c r="B955" s="179" t="s">
        <v>4444</v>
      </c>
      <c r="C955" s="112" t="s">
        <v>61</v>
      </c>
      <c r="D955" s="180" t="s">
        <v>1383</v>
      </c>
      <c r="E955" s="115" t="s">
        <v>1859</v>
      </c>
      <c r="F955" s="194">
        <v>25000</v>
      </c>
      <c r="G955" s="180"/>
      <c r="H955" s="179" t="s">
        <v>4445</v>
      </c>
      <c r="I955" s="179" t="s">
        <v>4446</v>
      </c>
      <c r="J955" s="179" t="s">
        <v>4447</v>
      </c>
      <c r="K955" s="179" t="s">
        <v>2031</v>
      </c>
      <c r="L955" s="188"/>
      <c r="M955" s="34"/>
    </row>
    <row r="956" spans="1:13" ht="38.25">
      <c r="A956" s="140">
        <v>2015</v>
      </c>
      <c r="B956" s="179" t="s">
        <v>4448</v>
      </c>
      <c r="C956" s="112" t="s">
        <v>61</v>
      </c>
      <c r="D956" s="180" t="s">
        <v>394</v>
      </c>
      <c r="E956" s="115" t="s">
        <v>1853</v>
      </c>
      <c r="F956" s="194">
        <v>107900</v>
      </c>
      <c r="G956" s="180"/>
      <c r="H956" s="179" t="s">
        <v>4449</v>
      </c>
      <c r="I956" s="179" t="s">
        <v>4450</v>
      </c>
      <c r="J956" s="179" t="s">
        <v>3500</v>
      </c>
      <c r="K956" s="179" t="s">
        <v>1828</v>
      </c>
      <c r="L956" s="188"/>
      <c r="M956" s="34"/>
    </row>
    <row r="957" spans="1:13" ht="25.5">
      <c r="A957" s="140">
        <v>2015</v>
      </c>
      <c r="B957" s="179" t="s">
        <v>4451</v>
      </c>
      <c r="C957" s="112" t="s">
        <v>61</v>
      </c>
      <c r="D957" s="180" t="s">
        <v>3168</v>
      </c>
      <c r="E957" s="115" t="s">
        <v>1859</v>
      </c>
      <c r="F957" s="194">
        <v>61500</v>
      </c>
      <c r="G957" s="180"/>
      <c r="H957" s="179" t="s">
        <v>4452</v>
      </c>
      <c r="I957" s="179" t="s">
        <v>4453</v>
      </c>
      <c r="J957" s="179" t="s">
        <v>4454</v>
      </c>
      <c r="K957" s="179" t="s">
        <v>1828</v>
      </c>
      <c r="L957" s="188"/>
      <c r="M957" s="34"/>
    </row>
    <row r="958" spans="1:13" ht="25.5">
      <c r="A958" s="140">
        <v>2015</v>
      </c>
      <c r="B958" s="179" t="s">
        <v>4455</v>
      </c>
      <c r="C958" s="112" t="s">
        <v>61</v>
      </c>
      <c r="D958" s="180" t="s">
        <v>1141</v>
      </c>
      <c r="E958" s="6" t="s">
        <v>1904</v>
      </c>
      <c r="F958" s="194">
        <v>30110</v>
      </c>
      <c r="G958" s="180"/>
      <c r="H958" s="179" t="s">
        <v>4456</v>
      </c>
      <c r="I958" s="179" t="s">
        <v>4457</v>
      </c>
      <c r="J958" s="179" t="s">
        <v>4458</v>
      </c>
      <c r="K958" s="6" t="s">
        <v>1886</v>
      </c>
      <c r="L958" s="188"/>
      <c r="M958" s="34"/>
    </row>
    <row r="959" spans="1:13" ht="25.5">
      <c r="A959" s="140">
        <v>2015</v>
      </c>
      <c r="B959" s="179" t="s">
        <v>4459</v>
      </c>
      <c r="C959" s="112" t="s">
        <v>61</v>
      </c>
      <c r="D959" s="180" t="s">
        <v>2993</v>
      </c>
      <c r="E959" s="6"/>
      <c r="F959" s="194">
        <v>81000</v>
      </c>
      <c r="G959" s="180"/>
      <c r="H959" s="179" t="s">
        <v>4460</v>
      </c>
      <c r="I959" s="179" t="s">
        <v>4461</v>
      </c>
      <c r="J959" s="179" t="s">
        <v>4462</v>
      </c>
      <c r="K959" s="179" t="s">
        <v>1896</v>
      </c>
      <c r="L959" s="188"/>
      <c r="M959" s="34"/>
    </row>
    <row r="960" spans="1:13" ht="25.5">
      <c r="A960" s="140">
        <v>2015</v>
      </c>
      <c r="B960" s="179" t="s">
        <v>4463</v>
      </c>
      <c r="C960" s="112" t="s">
        <v>61</v>
      </c>
      <c r="D960" s="180" t="s">
        <v>3092</v>
      </c>
      <c r="E960" s="6" t="s">
        <v>1904</v>
      </c>
      <c r="F960" s="194">
        <v>86000</v>
      </c>
      <c r="G960" s="180"/>
      <c r="H960" s="179" t="s">
        <v>4464</v>
      </c>
      <c r="I960" s="179" t="s">
        <v>4465</v>
      </c>
      <c r="J960" s="179" t="s">
        <v>4466</v>
      </c>
      <c r="K960" s="179" t="s">
        <v>2051</v>
      </c>
      <c r="L960" s="188"/>
      <c r="M960" s="34"/>
    </row>
    <row r="961" spans="1:13" ht="25.5">
      <c r="A961" s="140">
        <v>2015</v>
      </c>
      <c r="B961" s="179" t="s">
        <v>4467</v>
      </c>
      <c r="C961" s="112" t="s">
        <v>61</v>
      </c>
      <c r="D961" s="180" t="s">
        <v>3092</v>
      </c>
      <c r="E961" s="6" t="s">
        <v>1904</v>
      </c>
      <c r="F961" s="194">
        <v>94600</v>
      </c>
      <c r="G961" s="180"/>
      <c r="H961" s="179" t="s">
        <v>4468</v>
      </c>
      <c r="I961" s="179" t="s">
        <v>4469</v>
      </c>
      <c r="J961" s="179" t="s">
        <v>4470</v>
      </c>
      <c r="K961" s="179" t="s">
        <v>1899</v>
      </c>
      <c r="L961" s="188"/>
      <c r="M961" s="34"/>
    </row>
    <row r="962" spans="1:13" ht="38.25">
      <c r="A962" s="140">
        <v>2015</v>
      </c>
      <c r="B962" s="179" t="s">
        <v>4471</v>
      </c>
      <c r="C962" s="112" t="s">
        <v>61</v>
      </c>
      <c r="D962" s="180" t="s">
        <v>1383</v>
      </c>
      <c r="E962" s="115" t="s">
        <v>1859</v>
      </c>
      <c r="F962" s="194">
        <v>47000</v>
      </c>
      <c r="G962" s="180"/>
      <c r="H962" s="179" t="s">
        <v>4472</v>
      </c>
      <c r="I962" s="179" t="s">
        <v>811</v>
      </c>
      <c r="J962" s="179" t="s">
        <v>4382</v>
      </c>
      <c r="K962" s="179" t="s">
        <v>1828</v>
      </c>
      <c r="L962" s="188"/>
      <c r="M962" s="34"/>
    </row>
    <row r="963" spans="1:13" ht="25.5">
      <c r="A963" s="140">
        <v>2015</v>
      </c>
      <c r="B963" s="179" t="s">
        <v>4473</v>
      </c>
      <c r="C963" s="112" t="s">
        <v>61</v>
      </c>
      <c r="D963" s="180" t="s">
        <v>1141</v>
      </c>
      <c r="E963" s="6" t="s">
        <v>1904</v>
      </c>
      <c r="F963" s="194">
        <v>54820</v>
      </c>
      <c r="G963" s="180"/>
      <c r="H963" s="179" t="s">
        <v>4474</v>
      </c>
      <c r="I963" s="179" t="s">
        <v>4475</v>
      </c>
      <c r="J963" s="179" t="s">
        <v>4476</v>
      </c>
      <c r="K963" s="6" t="s">
        <v>1886</v>
      </c>
      <c r="L963" s="188"/>
      <c r="M963" s="34"/>
    </row>
    <row r="964" spans="1:13" ht="25.5">
      <c r="A964" s="140">
        <v>2015</v>
      </c>
      <c r="B964" s="179" t="s">
        <v>4477</v>
      </c>
      <c r="C964" s="112" t="s">
        <v>61</v>
      </c>
      <c r="D964" s="180" t="s">
        <v>1141</v>
      </c>
      <c r="E964" s="6" t="s">
        <v>1904</v>
      </c>
      <c r="F964" s="194">
        <v>83912</v>
      </c>
      <c r="G964" s="180"/>
      <c r="H964" s="179" t="s">
        <v>4478</v>
      </c>
      <c r="I964" s="179" t="s">
        <v>4479</v>
      </c>
      <c r="J964" s="179" t="s">
        <v>4480</v>
      </c>
      <c r="K964" s="179" t="s">
        <v>2051</v>
      </c>
      <c r="L964" s="188"/>
      <c r="M964" s="34"/>
    </row>
    <row r="965" spans="1:13" ht="25.5">
      <c r="A965" s="140">
        <v>2015</v>
      </c>
      <c r="B965" s="179" t="s">
        <v>4481</v>
      </c>
      <c r="C965" s="112" t="s">
        <v>61</v>
      </c>
      <c r="D965" s="180" t="s">
        <v>1383</v>
      </c>
      <c r="E965" s="115" t="s">
        <v>1859</v>
      </c>
      <c r="F965" s="194">
        <v>67200</v>
      </c>
      <c r="G965" s="180"/>
      <c r="H965" s="179" t="s">
        <v>4482</v>
      </c>
      <c r="I965" s="179" t="s">
        <v>4483</v>
      </c>
      <c r="J965" s="179"/>
      <c r="K965" s="179" t="s">
        <v>1828</v>
      </c>
      <c r="L965" s="188"/>
      <c r="M965" s="34"/>
    </row>
    <row r="966" spans="1:13" ht="12.75">
      <c r="A966" s="22">
        <v>2014</v>
      </c>
      <c r="B966" s="185">
        <v>41640</v>
      </c>
      <c r="C966" s="112" t="s">
        <v>61</v>
      </c>
      <c r="D966" s="180" t="s">
        <v>1383</v>
      </c>
      <c r="E966" s="115" t="s">
        <v>1859</v>
      </c>
      <c r="F966" s="194">
        <v>336300</v>
      </c>
      <c r="G966" s="180"/>
      <c r="H966" s="178" t="s">
        <v>4484</v>
      </c>
      <c r="I966" s="178" t="s">
        <v>4485</v>
      </c>
      <c r="J966" s="187"/>
      <c r="K966" s="198" t="s">
        <v>2041</v>
      </c>
      <c r="L966" s="188"/>
      <c r="M966" s="34"/>
    </row>
    <row r="967" spans="1:13" ht="25.5">
      <c r="A967" s="22">
        <v>2014</v>
      </c>
      <c r="B967" s="185">
        <v>41671</v>
      </c>
      <c r="C967" s="112" t="s">
        <v>61</v>
      </c>
      <c r="D967" s="180" t="s">
        <v>1383</v>
      </c>
      <c r="E967" s="115" t="s">
        <v>1859</v>
      </c>
      <c r="F967" s="194">
        <v>2023600</v>
      </c>
      <c r="G967" s="180"/>
      <c r="H967" s="179" t="s">
        <v>4486</v>
      </c>
      <c r="I967" s="179" t="s">
        <v>2331</v>
      </c>
      <c r="J967" s="187" t="s">
        <v>4487</v>
      </c>
      <c r="K967" s="179" t="s">
        <v>1828</v>
      </c>
      <c r="L967" s="188"/>
      <c r="M967" s="34"/>
    </row>
    <row r="968" spans="1:13" ht="51">
      <c r="A968" s="22">
        <v>2014</v>
      </c>
      <c r="B968" s="185">
        <v>41699</v>
      </c>
      <c r="C968" s="112" t="s">
        <v>61</v>
      </c>
      <c r="D968" s="22" t="s">
        <v>62</v>
      </c>
      <c r="E968" s="6" t="s">
        <v>1904</v>
      </c>
      <c r="F968" s="194">
        <v>491892</v>
      </c>
      <c r="G968" s="22"/>
      <c r="H968" s="179" t="s">
        <v>4488</v>
      </c>
      <c r="I968" s="189" t="s">
        <v>4489</v>
      </c>
      <c r="J968" s="187" t="s">
        <v>4490</v>
      </c>
      <c r="K968" s="179" t="s">
        <v>1828</v>
      </c>
      <c r="L968" s="188"/>
      <c r="M968" s="34"/>
    </row>
    <row r="969" spans="1:13" ht="25.5">
      <c r="A969" s="22">
        <v>2014</v>
      </c>
      <c r="B969" s="185">
        <v>41730</v>
      </c>
      <c r="C969" s="112" t="s">
        <v>61</v>
      </c>
      <c r="D969" s="180" t="s">
        <v>4151</v>
      </c>
      <c r="E969" s="6" t="s">
        <v>1874</v>
      </c>
      <c r="F969" s="194">
        <v>178000</v>
      </c>
      <c r="G969" s="180"/>
      <c r="H969" s="179" t="s">
        <v>4491</v>
      </c>
      <c r="I969" s="179" t="s">
        <v>2331</v>
      </c>
      <c r="J969" s="187" t="s">
        <v>4487</v>
      </c>
      <c r="K969" s="179" t="s">
        <v>1828</v>
      </c>
      <c r="L969" s="188"/>
      <c r="M969" s="34"/>
    </row>
    <row r="970" spans="1:13" ht="25.5">
      <c r="A970" s="22">
        <v>2014</v>
      </c>
      <c r="B970" s="185">
        <v>41760</v>
      </c>
      <c r="C970" s="112" t="s">
        <v>3096</v>
      </c>
      <c r="D970" s="179" t="s">
        <v>3075</v>
      </c>
      <c r="E970" s="6"/>
      <c r="F970" s="194"/>
      <c r="G970" s="180"/>
      <c r="H970" s="179" t="s">
        <v>4492</v>
      </c>
      <c r="I970" s="179" t="s">
        <v>4493</v>
      </c>
      <c r="J970" s="187" t="s">
        <v>4487</v>
      </c>
      <c r="K970" s="179" t="s">
        <v>1828</v>
      </c>
      <c r="L970" s="188"/>
      <c r="M970" s="34"/>
    </row>
    <row r="971" spans="1:13" ht="25.5">
      <c r="A971" s="22">
        <v>2014</v>
      </c>
      <c r="B971" s="185">
        <v>41791</v>
      </c>
      <c r="C971" s="112" t="s">
        <v>61</v>
      </c>
      <c r="D971" s="180" t="s">
        <v>68</v>
      </c>
      <c r="E971" s="6" t="s">
        <v>1874</v>
      </c>
      <c r="F971" s="194">
        <v>880971</v>
      </c>
      <c r="G971" s="180"/>
      <c r="H971" s="179" t="s">
        <v>4494</v>
      </c>
      <c r="I971" s="179" t="s">
        <v>4495</v>
      </c>
      <c r="J971" s="187" t="s">
        <v>4496</v>
      </c>
      <c r="K971" s="179" t="s">
        <v>1828</v>
      </c>
      <c r="L971" s="188"/>
      <c r="M971" s="34"/>
    </row>
    <row r="972" spans="1:13" ht="25.5">
      <c r="A972" s="22">
        <v>2014</v>
      </c>
      <c r="B972" s="192">
        <v>41821</v>
      </c>
      <c r="C972" s="112" t="s">
        <v>61</v>
      </c>
      <c r="D972" s="180" t="s">
        <v>3075</v>
      </c>
      <c r="E972" s="6"/>
      <c r="F972" s="194">
        <v>400000</v>
      </c>
      <c r="G972" s="180"/>
      <c r="H972" s="179" t="s">
        <v>4497</v>
      </c>
      <c r="I972" s="179" t="s">
        <v>4498</v>
      </c>
      <c r="J972" s="187" t="s">
        <v>4487</v>
      </c>
      <c r="K972" s="179" t="s">
        <v>1828</v>
      </c>
      <c r="L972" s="188"/>
      <c r="M972" s="34"/>
    </row>
    <row r="973" spans="1:13" ht="25.5">
      <c r="A973" s="22">
        <v>2014</v>
      </c>
      <c r="B973" s="185">
        <v>41852</v>
      </c>
      <c r="C973" s="112" t="s">
        <v>61</v>
      </c>
      <c r="D973" s="180" t="s">
        <v>1383</v>
      </c>
      <c r="E973" s="115" t="s">
        <v>1859</v>
      </c>
      <c r="F973" s="193">
        <v>200000</v>
      </c>
      <c r="G973" s="180"/>
      <c r="H973" s="178" t="s">
        <v>4499</v>
      </c>
      <c r="I973" s="178" t="s">
        <v>4500</v>
      </c>
      <c r="J973" s="187" t="s">
        <v>4487</v>
      </c>
      <c r="K973" s="179" t="s">
        <v>1828</v>
      </c>
      <c r="L973" s="188"/>
      <c r="M973" s="34"/>
    </row>
    <row r="974" spans="1:13" ht="25.5">
      <c r="A974" s="22">
        <v>2014</v>
      </c>
      <c r="B974" s="185">
        <v>41883</v>
      </c>
      <c r="C974" s="112" t="s">
        <v>61</v>
      </c>
      <c r="D974" s="180" t="s">
        <v>1383</v>
      </c>
      <c r="E974" s="115" t="s">
        <v>1859</v>
      </c>
      <c r="F974" s="194">
        <v>200000</v>
      </c>
      <c r="G974" s="180"/>
      <c r="H974" s="179" t="s">
        <v>4501</v>
      </c>
      <c r="I974" s="179" t="s">
        <v>4502</v>
      </c>
      <c r="J974" s="187" t="s">
        <v>4487</v>
      </c>
      <c r="K974" s="179" t="s">
        <v>1828</v>
      </c>
      <c r="L974" s="188"/>
      <c r="M974" s="34"/>
    </row>
    <row r="975" spans="1:13" ht="51">
      <c r="A975" s="22">
        <v>2014</v>
      </c>
      <c r="B975" s="192">
        <v>41913</v>
      </c>
      <c r="C975" s="112" t="s">
        <v>61</v>
      </c>
      <c r="D975" s="180" t="s">
        <v>1383</v>
      </c>
      <c r="E975" s="115" t="s">
        <v>1859</v>
      </c>
      <c r="F975" s="194">
        <v>750000</v>
      </c>
      <c r="G975" s="180"/>
      <c r="H975" s="179" t="s">
        <v>4503</v>
      </c>
      <c r="I975" s="179" t="s">
        <v>2171</v>
      </c>
      <c r="J975" s="187" t="s">
        <v>4504</v>
      </c>
      <c r="K975" s="179" t="s">
        <v>1916</v>
      </c>
      <c r="L975" s="188"/>
      <c r="M975" s="34"/>
    </row>
    <row r="976" spans="1:13" ht="76.5">
      <c r="A976" s="22">
        <v>2014</v>
      </c>
      <c r="B976" s="192">
        <v>41944</v>
      </c>
      <c r="C976" s="112" t="s">
        <v>61</v>
      </c>
      <c r="D976" s="180" t="s">
        <v>3168</v>
      </c>
      <c r="E976" s="115" t="s">
        <v>1859</v>
      </c>
      <c r="F976" s="194">
        <v>235000</v>
      </c>
      <c r="G976" s="180"/>
      <c r="H976" s="179" t="s">
        <v>4505</v>
      </c>
      <c r="I976" s="179" t="s">
        <v>4506</v>
      </c>
      <c r="J976" s="187" t="s">
        <v>2508</v>
      </c>
      <c r="K976" s="179" t="s">
        <v>1828</v>
      </c>
      <c r="L976" s="188"/>
      <c r="M976" s="34"/>
    </row>
    <row r="977" spans="1:13" ht="38.25">
      <c r="A977" s="22">
        <v>2014</v>
      </c>
      <c r="B977" s="179" t="s">
        <v>4507</v>
      </c>
      <c r="C977" s="112" t="s">
        <v>61</v>
      </c>
      <c r="D977" s="180" t="s">
        <v>1383</v>
      </c>
      <c r="E977" s="115" t="s">
        <v>1859</v>
      </c>
      <c r="F977" s="194">
        <v>200000</v>
      </c>
      <c r="G977" s="180"/>
      <c r="H977" s="179" t="s">
        <v>4508</v>
      </c>
      <c r="I977" s="179" t="s">
        <v>4509</v>
      </c>
      <c r="J977" s="179" t="s">
        <v>3686</v>
      </c>
      <c r="K977" s="6" t="s">
        <v>1886</v>
      </c>
      <c r="L977" s="188"/>
      <c r="M977" s="34"/>
    </row>
    <row r="978" spans="1:13" ht="38.25">
      <c r="A978" s="22">
        <v>2014</v>
      </c>
      <c r="B978" s="179" t="s">
        <v>4510</v>
      </c>
      <c r="C978" s="112" t="s">
        <v>61</v>
      </c>
      <c r="D978" s="180" t="s">
        <v>1383</v>
      </c>
      <c r="E978" s="115" t="s">
        <v>1859</v>
      </c>
      <c r="F978" s="194">
        <v>200000</v>
      </c>
      <c r="G978" s="180"/>
      <c r="H978" s="179" t="s">
        <v>4511</v>
      </c>
      <c r="I978" s="178" t="s">
        <v>4512</v>
      </c>
      <c r="J978" s="179"/>
      <c r="K978" s="179" t="s">
        <v>1828</v>
      </c>
      <c r="L978" s="188"/>
      <c r="M978" s="34"/>
    </row>
    <row r="979" spans="1:13" ht="38.25">
      <c r="A979" s="22">
        <v>2014</v>
      </c>
      <c r="B979" s="179" t="s">
        <v>4513</v>
      </c>
      <c r="C979" s="112" t="s">
        <v>61</v>
      </c>
      <c r="D979" s="180" t="s">
        <v>1383</v>
      </c>
      <c r="E979" s="115" t="s">
        <v>1859</v>
      </c>
      <c r="F979" s="194">
        <v>200000</v>
      </c>
      <c r="G979" s="180"/>
      <c r="H979" s="179" t="s">
        <v>4514</v>
      </c>
      <c r="I979" s="178" t="s">
        <v>4515</v>
      </c>
      <c r="J979" s="187" t="s">
        <v>2293</v>
      </c>
      <c r="K979" s="6" t="s">
        <v>1886</v>
      </c>
      <c r="L979" s="188"/>
      <c r="M979" s="34"/>
    </row>
    <row r="980" spans="1:13" ht="38.25">
      <c r="A980" s="22">
        <v>2014</v>
      </c>
      <c r="B980" s="179" t="s">
        <v>4516</v>
      </c>
      <c r="C980" s="112" t="s">
        <v>61</v>
      </c>
      <c r="D980" s="22" t="s">
        <v>62</v>
      </c>
      <c r="E980" s="6" t="s">
        <v>1904</v>
      </c>
      <c r="F980" s="194">
        <v>494491</v>
      </c>
      <c r="G980" s="22"/>
      <c r="H980" s="178" t="s">
        <v>4517</v>
      </c>
      <c r="I980" s="179" t="s">
        <v>4518</v>
      </c>
      <c r="J980" s="179" t="s">
        <v>4519</v>
      </c>
      <c r="K980" s="179" t="s">
        <v>1828</v>
      </c>
      <c r="L980" s="188"/>
      <c r="M980" s="34"/>
    </row>
    <row r="981" spans="1:13" ht="25.5">
      <c r="A981" s="22">
        <v>2014</v>
      </c>
      <c r="B981" s="179" t="s">
        <v>4520</v>
      </c>
      <c r="C981" s="112" t="s">
        <v>2406</v>
      </c>
      <c r="D981" s="190" t="s">
        <v>62</v>
      </c>
      <c r="E981" s="6"/>
      <c r="F981" s="199" t="s">
        <v>4521</v>
      </c>
      <c r="G981" s="191"/>
      <c r="H981" s="179" t="s">
        <v>4522</v>
      </c>
      <c r="I981" s="179" t="s">
        <v>4523</v>
      </c>
      <c r="J981" s="179"/>
      <c r="K981" s="190" t="s">
        <v>1919</v>
      </c>
      <c r="L981" s="188"/>
      <c r="M981" s="34"/>
    </row>
    <row r="982" spans="1:13" ht="25.5">
      <c r="A982" s="22">
        <v>2014</v>
      </c>
      <c r="B982" s="179" t="s">
        <v>4524</v>
      </c>
      <c r="C982" s="112" t="s">
        <v>61</v>
      </c>
      <c r="D982" s="180" t="s">
        <v>1383</v>
      </c>
      <c r="E982" s="115" t="s">
        <v>1859</v>
      </c>
      <c r="F982" s="194">
        <v>200000</v>
      </c>
      <c r="G982" s="180"/>
      <c r="H982" s="179" t="s">
        <v>4525</v>
      </c>
      <c r="I982" s="179" t="s">
        <v>4526</v>
      </c>
      <c r="J982" s="179" t="s">
        <v>4487</v>
      </c>
      <c r="K982" s="179" t="s">
        <v>1828</v>
      </c>
      <c r="L982" s="188"/>
      <c r="M982" s="34"/>
    </row>
    <row r="983" spans="1:13" ht="25.5">
      <c r="A983" s="22">
        <v>2014</v>
      </c>
      <c r="B983" s="179" t="s">
        <v>4527</v>
      </c>
      <c r="C983" s="112" t="s">
        <v>61</v>
      </c>
      <c r="D983" s="180" t="s">
        <v>1383</v>
      </c>
      <c r="E983" s="115" t="s">
        <v>1859</v>
      </c>
      <c r="F983" s="195">
        <v>320000</v>
      </c>
      <c r="G983" s="180"/>
      <c r="H983" s="179" t="s">
        <v>4528</v>
      </c>
      <c r="I983" s="179" t="s">
        <v>4529</v>
      </c>
      <c r="J983" s="179"/>
      <c r="K983" s="200" t="s">
        <v>1919</v>
      </c>
      <c r="L983" s="188"/>
      <c r="M983" s="34"/>
    </row>
    <row r="984" spans="1:13" ht="25.5">
      <c r="A984" s="22">
        <v>2014</v>
      </c>
      <c r="B984" s="179" t="s">
        <v>4530</v>
      </c>
      <c r="C984" s="112" t="s">
        <v>4174</v>
      </c>
      <c r="D984" s="179" t="s">
        <v>2724</v>
      </c>
      <c r="E984" s="6" t="s">
        <v>1874</v>
      </c>
      <c r="F984" s="194">
        <v>250000</v>
      </c>
      <c r="G984" s="180"/>
      <c r="H984" s="179" t="s">
        <v>4531</v>
      </c>
      <c r="I984" s="179" t="s">
        <v>4493</v>
      </c>
      <c r="J984" s="187" t="s">
        <v>4487</v>
      </c>
      <c r="K984" s="179" t="s">
        <v>1828</v>
      </c>
      <c r="L984" s="188"/>
      <c r="M984" s="34"/>
    </row>
    <row r="985" spans="1:13" ht="25.5">
      <c r="A985" s="22">
        <v>2014</v>
      </c>
      <c r="B985" s="179" t="s">
        <v>4532</v>
      </c>
      <c r="C985" s="112" t="s">
        <v>61</v>
      </c>
      <c r="D985" s="180" t="s">
        <v>1383</v>
      </c>
      <c r="E985" s="115" t="s">
        <v>1859</v>
      </c>
      <c r="F985" s="195">
        <v>800000</v>
      </c>
      <c r="G985" s="180"/>
      <c r="H985" s="179" t="s">
        <v>4533</v>
      </c>
      <c r="I985" s="179" t="s">
        <v>4534</v>
      </c>
      <c r="J985" s="187"/>
      <c r="K985" s="179" t="s">
        <v>1896</v>
      </c>
      <c r="L985" s="188"/>
      <c r="M985" s="34"/>
    </row>
    <row r="986" spans="1:13" ht="25.5">
      <c r="A986" s="22">
        <v>2014</v>
      </c>
      <c r="B986" s="179" t="s">
        <v>4535</v>
      </c>
      <c r="C986" s="112" t="s">
        <v>61</v>
      </c>
      <c r="D986" s="180" t="s">
        <v>3092</v>
      </c>
      <c r="E986" s="6" t="s">
        <v>1904</v>
      </c>
      <c r="F986" s="194">
        <v>522000</v>
      </c>
      <c r="G986" s="180"/>
      <c r="H986" s="179" t="s">
        <v>4536</v>
      </c>
      <c r="I986" s="179" t="s">
        <v>4537</v>
      </c>
      <c r="J986" s="187" t="s">
        <v>4538</v>
      </c>
      <c r="K986" s="6" t="s">
        <v>1886</v>
      </c>
      <c r="L986" s="188"/>
      <c r="M986" s="34"/>
    </row>
    <row r="987" spans="1:13" ht="38.25">
      <c r="A987" s="22">
        <v>2014</v>
      </c>
      <c r="B987" s="179" t="s">
        <v>4539</v>
      </c>
      <c r="C987" s="112" t="s">
        <v>61</v>
      </c>
      <c r="D987" s="180" t="s">
        <v>1383</v>
      </c>
      <c r="E987" s="115" t="s">
        <v>1859</v>
      </c>
      <c r="F987" s="194">
        <v>850000</v>
      </c>
      <c r="G987" s="180"/>
      <c r="H987" s="179" t="s">
        <v>4540</v>
      </c>
      <c r="I987" s="179" t="s">
        <v>4541</v>
      </c>
      <c r="J987" s="201" t="s">
        <v>4542</v>
      </c>
      <c r="K987" s="179" t="s">
        <v>1855</v>
      </c>
      <c r="L987" s="188"/>
      <c r="M987" s="34"/>
    </row>
    <row r="988" spans="1:13" ht="51">
      <c r="A988" s="22">
        <v>2014</v>
      </c>
      <c r="B988" s="179" t="s">
        <v>4543</v>
      </c>
      <c r="C988" s="112" t="s">
        <v>61</v>
      </c>
      <c r="D988" s="180" t="s">
        <v>652</v>
      </c>
      <c r="E988" s="6" t="s">
        <v>1874</v>
      </c>
      <c r="F988" s="194">
        <v>231600</v>
      </c>
      <c r="G988" s="180"/>
      <c r="H988" s="179" t="s">
        <v>4544</v>
      </c>
      <c r="I988" s="179" t="s">
        <v>4545</v>
      </c>
      <c r="J988" s="187" t="s">
        <v>4546</v>
      </c>
      <c r="K988" s="179" t="s">
        <v>1919</v>
      </c>
      <c r="L988" s="188"/>
      <c r="M988" s="34"/>
    </row>
    <row r="989" spans="1:13" ht="38.25">
      <c r="A989" s="22">
        <v>2014</v>
      </c>
      <c r="B989" s="179" t="s">
        <v>4547</v>
      </c>
      <c r="C989" s="112" t="s">
        <v>61</v>
      </c>
      <c r="D989" s="22" t="s">
        <v>62</v>
      </c>
      <c r="E989" s="6" t="s">
        <v>1904</v>
      </c>
      <c r="F989" s="194">
        <v>1121750</v>
      </c>
      <c r="G989" s="22"/>
      <c r="H989" s="179" t="s">
        <v>4548</v>
      </c>
      <c r="I989" s="179" t="s">
        <v>4549</v>
      </c>
      <c r="J989" s="179" t="s">
        <v>4550</v>
      </c>
      <c r="K989" s="179" t="s">
        <v>1899</v>
      </c>
      <c r="L989" s="188"/>
      <c r="M989" s="34"/>
    </row>
    <row r="990" spans="1:13" ht="25.5">
      <c r="A990" s="22">
        <v>2014</v>
      </c>
      <c r="B990" s="179" t="s">
        <v>4551</v>
      </c>
      <c r="C990" s="112" t="s">
        <v>61</v>
      </c>
      <c r="D990" s="22" t="s">
        <v>62</v>
      </c>
      <c r="E990" s="6" t="s">
        <v>1904</v>
      </c>
      <c r="F990" s="194">
        <v>1000000</v>
      </c>
      <c r="G990" s="22"/>
      <c r="H990" s="179" t="s">
        <v>4552</v>
      </c>
      <c r="I990" s="179" t="s">
        <v>4553</v>
      </c>
      <c r="J990" s="179" t="s">
        <v>4554</v>
      </c>
      <c r="K990" s="179" t="s">
        <v>1828</v>
      </c>
      <c r="L990" s="188"/>
      <c r="M990" s="34"/>
    </row>
    <row r="991" spans="1:13" ht="25.5">
      <c r="A991" s="22">
        <v>2014</v>
      </c>
      <c r="B991" s="179" t="s">
        <v>4555</v>
      </c>
      <c r="C991" s="112" t="s">
        <v>3096</v>
      </c>
      <c r="D991" s="179" t="s">
        <v>1231</v>
      </c>
      <c r="E991" s="6"/>
      <c r="F991" s="194">
        <v>200000</v>
      </c>
      <c r="G991" s="180"/>
      <c r="H991" s="179" t="s">
        <v>4556</v>
      </c>
      <c r="I991" s="179" t="s">
        <v>4557</v>
      </c>
      <c r="J991" s="179" t="s">
        <v>4558</v>
      </c>
      <c r="K991" s="179" t="s">
        <v>1828</v>
      </c>
      <c r="L991" s="188"/>
      <c r="M991" s="34"/>
    </row>
    <row r="992" spans="1:13" ht="12.75">
      <c r="A992" s="22">
        <v>2014</v>
      </c>
      <c r="B992" s="179" t="s">
        <v>4559</v>
      </c>
      <c r="C992" s="112" t="s">
        <v>61</v>
      </c>
      <c r="D992" s="180" t="s">
        <v>1141</v>
      </c>
      <c r="E992" s="6" t="s">
        <v>1904</v>
      </c>
      <c r="F992" s="194">
        <v>78604</v>
      </c>
      <c r="G992" s="180"/>
      <c r="H992" s="179" t="s">
        <v>4560</v>
      </c>
      <c r="I992" s="179" t="s">
        <v>4561</v>
      </c>
      <c r="J992" s="187" t="s">
        <v>4562</v>
      </c>
      <c r="K992" s="6" t="s">
        <v>1886</v>
      </c>
      <c r="L992" s="188"/>
      <c r="M992" s="34"/>
    </row>
    <row r="993" spans="1:13" ht="51">
      <c r="A993" s="22">
        <v>2014</v>
      </c>
      <c r="B993" s="179" t="s">
        <v>4563</v>
      </c>
      <c r="C993" s="112" t="s">
        <v>61</v>
      </c>
      <c r="D993" s="180" t="s">
        <v>3092</v>
      </c>
      <c r="E993" s="6" t="s">
        <v>1904</v>
      </c>
      <c r="F993" s="194">
        <v>430000</v>
      </c>
      <c r="G993" s="180"/>
      <c r="H993" s="179" t="s">
        <v>4564</v>
      </c>
      <c r="I993" s="179" t="s">
        <v>4565</v>
      </c>
      <c r="J993" s="202" t="s">
        <v>4566</v>
      </c>
      <c r="K993" s="179" t="s">
        <v>1828</v>
      </c>
      <c r="L993" s="188"/>
      <c r="M993" s="34"/>
    </row>
    <row r="994" spans="1:13" ht="25.5">
      <c r="A994" s="22">
        <v>2014</v>
      </c>
      <c r="B994" s="179" t="s">
        <v>4567</v>
      </c>
      <c r="C994" s="112" t="s">
        <v>3096</v>
      </c>
      <c r="D994" s="53" t="s">
        <v>3075</v>
      </c>
      <c r="E994" s="6"/>
      <c r="F994" s="194">
        <v>132000</v>
      </c>
      <c r="G994" s="143"/>
      <c r="H994" s="179" t="s">
        <v>4568</v>
      </c>
      <c r="I994" s="179" t="s">
        <v>4569</v>
      </c>
      <c r="J994" s="179" t="s">
        <v>4487</v>
      </c>
      <c r="K994" s="179" t="s">
        <v>1828</v>
      </c>
      <c r="L994" s="188"/>
      <c r="M994" s="34"/>
    </row>
    <row r="995" spans="1:13" ht="51">
      <c r="A995" s="22">
        <v>2014</v>
      </c>
      <c r="B995" s="179" t="s">
        <v>4570</v>
      </c>
      <c r="C995" s="112" t="s">
        <v>61</v>
      </c>
      <c r="D995" s="22" t="s">
        <v>2993</v>
      </c>
      <c r="E995" s="6"/>
      <c r="F995" s="194">
        <v>247000</v>
      </c>
      <c r="G995" s="22"/>
      <c r="H995" s="179" t="s">
        <v>4571</v>
      </c>
      <c r="I995" s="179" t="s">
        <v>4572</v>
      </c>
      <c r="J995" s="179" t="s">
        <v>4573</v>
      </c>
      <c r="K995" s="179" t="s">
        <v>1896</v>
      </c>
      <c r="L995" s="188"/>
      <c r="M995" s="34"/>
    </row>
    <row r="996" spans="1:13" ht="38.25">
      <c r="A996" s="22">
        <v>2014</v>
      </c>
      <c r="B996" s="179" t="s">
        <v>4574</v>
      </c>
      <c r="C996" s="112" t="s">
        <v>61</v>
      </c>
      <c r="D996" s="22" t="s">
        <v>62</v>
      </c>
      <c r="E996" s="6" t="s">
        <v>1904</v>
      </c>
      <c r="F996" s="194">
        <v>1793500</v>
      </c>
      <c r="G996" s="22"/>
      <c r="H996" s="179" t="s">
        <v>4575</v>
      </c>
      <c r="I996" s="179" t="s">
        <v>4576</v>
      </c>
      <c r="J996" s="187" t="s">
        <v>4577</v>
      </c>
      <c r="K996" s="179" t="s">
        <v>1828</v>
      </c>
      <c r="L996" s="188"/>
      <c r="M996" s="34"/>
    </row>
    <row r="997" spans="1:13" ht="89.25">
      <c r="A997" s="22">
        <v>2014</v>
      </c>
      <c r="B997" s="179" t="s">
        <v>4578</v>
      </c>
      <c r="C997" s="112" t="s">
        <v>61</v>
      </c>
      <c r="D997" s="191" t="s">
        <v>3092</v>
      </c>
      <c r="E997" s="6" t="s">
        <v>1904</v>
      </c>
      <c r="F997" s="195">
        <v>1271400</v>
      </c>
      <c r="G997" s="191"/>
      <c r="H997" s="203" t="s">
        <v>4579</v>
      </c>
      <c r="I997" s="187" t="s">
        <v>4580</v>
      </c>
      <c r="J997" s="187" t="s">
        <v>4581</v>
      </c>
      <c r="K997" s="179" t="s">
        <v>1828</v>
      </c>
      <c r="L997" s="188"/>
      <c r="M997" s="34"/>
    </row>
    <row r="998" spans="1:13" ht="63.75">
      <c r="A998" s="22">
        <v>2014</v>
      </c>
      <c r="B998" s="179" t="s">
        <v>4582</v>
      </c>
      <c r="C998" s="112" t="s">
        <v>61</v>
      </c>
      <c r="D998" s="22" t="s">
        <v>62</v>
      </c>
      <c r="E998" s="6" t="s">
        <v>1904</v>
      </c>
      <c r="F998" s="194">
        <v>1000000</v>
      </c>
      <c r="G998" s="22"/>
      <c r="H998" s="179" t="s">
        <v>4583</v>
      </c>
      <c r="I998" s="179" t="s">
        <v>4584</v>
      </c>
      <c r="J998" s="179" t="s">
        <v>4585</v>
      </c>
      <c r="K998" s="179" t="s">
        <v>2051</v>
      </c>
      <c r="L998" s="188"/>
      <c r="M998" s="34"/>
    </row>
    <row r="999" spans="1:13" ht="51">
      <c r="A999" s="22">
        <v>2014</v>
      </c>
      <c r="B999" s="179" t="s">
        <v>4586</v>
      </c>
      <c r="C999" s="112" t="s">
        <v>61</v>
      </c>
      <c r="D999" s="22" t="s">
        <v>62</v>
      </c>
      <c r="E999" s="6" t="s">
        <v>1904</v>
      </c>
      <c r="F999" s="194">
        <v>2500000</v>
      </c>
      <c r="G999" s="22"/>
      <c r="H999" s="179" t="s">
        <v>4587</v>
      </c>
      <c r="I999" s="179" t="s">
        <v>4588</v>
      </c>
      <c r="J999" s="187" t="s">
        <v>4589</v>
      </c>
      <c r="K999" s="6" t="s">
        <v>1886</v>
      </c>
      <c r="L999" s="188"/>
      <c r="M999" s="34"/>
    </row>
    <row r="1000" spans="1:13" ht="25.5">
      <c r="A1000" s="22">
        <v>2014</v>
      </c>
      <c r="B1000" s="179" t="s">
        <v>4590</v>
      </c>
      <c r="C1000" s="112" t="s">
        <v>61</v>
      </c>
      <c r="D1000" s="22" t="s">
        <v>62</v>
      </c>
      <c r="E1000" s="6" t="s">
        <v>1904</v>
      </c>
      <c r="F1000" s="194">
        <v>1850000</v>
      </c>
      <c r="G1000" s="22"/>
      <c r="H1000" s="179" t="s">
        <v>4591</v>
      </c>
      <c r="I1000" s="179" t="s">
        <v>4592</v>
      </c>
      <c r="J1000" s="187" t="s">
        <v>4593</v>
      </c>
      <c r="K1000" s="6" t="s">
        <v>1886</v>
      </c>
      <c r="L1000" s="188"/>
      <c r="M1000" s="34"/>
    </row>
    <row r="1001" spans="1:13" ht="25.5">
      <c r="A1001" s="22">
        <v>2014</v>
      </c>
      <c r="B1001" s="179" t="s">
        <v>4594</v>
      </c>
      <c r="C1001" s="112" t="s">
        <v>61</v>
      </c>
      <c r="D1001" s="180" t="s">
        <v>1383</v>
      </c>
      <c r="E1001" s="115" t="s">
        <v>1859</v>
      </c>
      <c r="F1001" s="194">
        <v>632000</v>
      </c>
      <c r="G1001" s="180"/>
      <c r="H1001" s="179" t="s">
        <v>4595</v>
      </c>
      <c r="I1001" s="179" t="s">
        <v>1689</v>
      </c>
      <c r="J1001" s="178" t="s">
        <v>4487</v>
      </c>
      <c r="K1001" s="179" t="s">
        <v>1828</v>
      </c>
      <c r="L1001" s="188"/>
      <c r="M1001" s="34"/>
    </row>
    <row r="1002" spans="1:13" ht="51">
      <c r="A1002" s="22">
        <v>2014</v>
      </c>
      <c r="B1002" s="179" t="s">
        <v>4596</v>
      </c>
      <c r="C1002" s="112" t="s">
        <v>61</v>
      </c>
      <c r="D1002" s="180" t="s">
        <v>68</v>
      </c>
      <c r="E1002" s="6" t="s">
        <v>1874</v>
      </c>
      <c r="F1002" s="194">
        <v>993412.5</v>
      </c>
      <c r="G1002" s="180"/>
      <c r="H1002" s="179" t="s">
        <v>4597</v>
      </c>
      <c r="I1002" s="179" t="s">
        <v>4598</v>
      </c>
      <c r="J1002" s="187" t="s">
        <v>4599</v>
      </c>
      <c r="K1002" s="179" t="s">
        <v>1828</v>
      </c>
      <c r="L1002" s="188"/>
      <c r="M1002" s="34"/>
    </row>
    <row r="1003" spans="1:13" ht="25.5">
      <c r="A1003" s="22">
        <v>2014</v>
      </c>
      <c r="B1003" s="179" t="s">
        <v>4600</v>
      </c>
      <c r="C1003" s="112" t="s">
        <v>61</v>
      </c>
      <c r="D1003" s="22" t="s">
        <v>62</v>
      </c>
      <c r="E1003" s="6" t="s">
        <v>1904</v>
      </c>
      <c r="F1003" s="194">
        <v>618554</v>
      </c>
      <c r="G1003" s="22"/>
      <c r="H1003" s="179" t="s">
        <v>4601</v>
      </c>
      <c r="I1003" s="179" t="s">
        <v>4602</v>
      </c>
      <c r="J1003" s="187" t="s">
        <v>4603</v>
      </c>
      <c r="K1003" s="179" t="s">
        <v>1828</v>
      </c>
      <c r="L1003" s="188"/>
      <c r="M1003" s="34"/>
    </row>
    <row r="1004" spans="1:13" ht="25.5">
      <c r="A1004" s="22">
        <v>2014</v>
      </c>
      <c r="B1004" s="179" t="s">
        <v>4604</v>
      </c>
      <c r="C1004" s="112" t="s">
        <v>61</v>
      </c>
      <c r="D1004" s="180" t="s">
        <v>68</v>
      </c>
      <c r="E1004" s="6" t="s">
        <v>1874</v>
      </c>
      <c r="F1004" s="194">
        <v>958103</v>
      </c>
      <c r="G1004" s="180"/>
      <c r="H1004" s="179" t="s">
        <v>4605</v>
      </c>
      <c r="I1004" s="179" t="s">
        <v>4606</v>
      </c>
      <c r="J1004" s="187" t="s">
        <v>4607</v>
      </c>
      <c r="K1004" s="6" t="s">
        <v>1886</v>
      </c>
      <c r="L1004" s="188"/>
      <c r="M1004" s="34"/>
    </row>
    <row r="1005" spans="1:13" ht="25.5">
      <c r="A1005" s="22">
        <v>2014</v>
      </c>
      <c r="B1005" s="179" t="s">
        <v>4608</v>
      </c>
      <c r="C1005" s="112" t="s">
        <v>61</v>
      </c>
      <c r="D1005" s="180" t="s">
        <v>3168</v>
      </c>
      <c r="E1005" s="115" t="s">
        <v>1859</v>
      </c>
      <c r="F1005" s="194">
        <v>250000</v>
      </c>
      <c r="G1005" s="180"/>
      <c r="H1005" s="179" t="s">
        <v>4609</v>
      </c>
      <c r="I1005" s="179" t="s">
        <v>1689</v>
      </c>
      <c r="J1005" s="187" t="s">
        <v>4487</v>
      </c>
      <c r="K1005" s="179" t="s">
        <v>1828</v>
      </c>
      <c r="L1005" s="188"/>
      <c r="M1005" s="34"/>
    </row>
    <row r="1006" spans="1:13" ht="12.75">
      <c r="A1006" s="22">
        <v>2014</v>
      </c>
      <c r="B1006" s="179" t="s">
        <v>4610</v>
      </c>
      <c r="C1006" s="53" t="s">
        <v>61</v>
      </c>
      <c r="D1006" s="180" t="s">
        <v>1763</v>
      </c>
      <c r="E1006" s="115" t="s">
        <v>1859</v>
      </c>
      <c r="F1006" s="194">
        <v>26000</v>
      </c>
      <c r="G1006" s="180"/>
      <c r="H1006" s="178" t="s">
        <v>4611</v>
      </c>
      <c r="I1006" s="179"/>
      <c r="J1006" s="187"/>
      <c r="K1006" s="204" t="s">
        <v>1828</v>
      </c>
      <c r="L1006" s="188"/>
      <c r="M1006" s="34"/>
    </row>
    <row r="1007" spans="1:13" ht="51">
      <c r="A1007" s="22">
        <v>2014</v>
      </c>
      <c r="B1007" s="185">
        <v>41671</v>
      </c>
      <c r="C1007" s="112" t="s">
        <v>61</v>
      </c>
      <c r="D1007" s="180" t="s">
        <v>2993</v>
      </c>
      <c r="E1007" s="6"/>
      <c r="F1007" s="194">
        <v>53797</v>
      </c>
      <c r="G1007" s="180"/>
      <c r="H1007" s="179" t="s">
        <v>4612</v>
      </c>
      <c r="I1007" s="179" t="s">
        <v>4613</v>
      </c>
      <c r="J1007" s="187" t="s">
        <v>4614</v>
      </c>
      <c r="K1007" s="179" t="s">
        <v>1828</v>
      </c>
      <c r="L1007" s="188"/>
      <c r="M1007" s="34"/>
    </row>
    <row r="1008" spans="1:13" ht="25.5">
      <c r="A1008" s="22">
        <v>2014</v>
      </c>
      <c r="B1008" s="185">
        <v>41699</v>
      </c>
      <c r="C1008" s="112" t="s">
        <v>3096</v>
      </c>
      <c r="D1008" s="196" t="s">
        <v>2412</v>
      </c>
      <c r="E1008" s="6"/>
      <c r="F1008" s="194">
        <v>44640</v>
      </c>
      <c r="G1008" s="197"/>
      <c r="H1008" s="179" t="s">
        <v>4615</v>
      </c>
      <c r="I1008" s="179" t="s">
        <v>4616</v>
      </c>
      <c r="J1008" s="187"/>
      <c r="K1008" s="179" t="s">
        <v>1828</v>
      </c>
      <c r="L1008" s="188"/>
      <c r="M1008" s="34"/>
    </row>
    <row r="1009" spans="1:13" ht="25.5">
      <c r="A1009" s="22">
        <v>2014</v>
      </c>
      <c r="B1009" s="185">
        <v>41730</v>
      </c>
      <c r="C1009" s="112" t="s">
        <v>61</v>
      </c>
      <c r="D1009" s="180" t="s">
        <v>3168</v>
      </c>
      <c r="E1009" s="115" t="s">
        <v>1859</v>
      </c>
      <c r="F1009" s="194">
        <v>60000</v>
      </c>
      <c r="G1009" s="180"/>
      <c r="H1009" s="179" t="s">
        <v>4617</v>
      </c>
      <c r="I1009" s="179" t="s">
        <v>4618</v>
      </c>
      <c r="J1009" s="179" t="s">
        <v>4619</v>
      </c>
      <c r="K1009" s="179" t="s">
        <v>2051</v>
      </c>
      <c r="L1009" s="188"/>
      <c r="M1009" s="34"/>
    </row>
    <row r="1010" spans="1:13" ht="38.25">
      <c r="A1010" s="22">
        <v>2014</v>
      </c>
      <c r="B1010" s="185">
        <v>41760</v>
      </c>
      <c r="C1010" s="112" t="s">
        <v>61</v>
      </c>
      <c r="D1010" s="191" t="s">
        <v>3092</v>
      </c>
      <c r="E1010" s="6" t="s">
        <v>1904</v>
      </c>
      <c r="F1010" s="194">
        <v>98000</v>
      </c>
      <c r="G1010" s="191"/>
      <c r="H1010" s="179" t="s">
        <v>4620</v>
      </c>
      <c r="I1010" s="179" t="s">
        <v>4621</v>
      </c>
      <c r="J1010" s="187" t="s">
        <v>4622</v>
      </c>
      <c r="K1010" s="179" t="s">
        <v>1916</v>
      </c>
      <c r="L1010" s="188"/>
      <c r="M1010" s="34"/>
    </row>
    <row r="1011" spans="1:13" ht="12.75">
      <c r="A1011" s="22">
        <v>2014</v>
      </c>
      <c r="B1011" s="185">
        <v>41791</v>
      </c>
      <c r="C1011" s="112" t="s">
        <v>61</v>
      </c>
      <c r="D1011" s="180" t="s">
        <v>3168</v>
      </c>
      <c r="E1011" s="115" t="s">
        <v>1859</v>
      </c>
      <c r="F1011" s="194">
        <v>50000</v>
      </c>
      <c r="G1011" s="180"/>
      <c r="H1011" s="179" t="s">
        <v>4623</v>
      </c>
      <c r="I1011" s="179" t="s">
        <v>4624</v>
      </c>
      <c r="J1011" s="179" t="s">
        <v>4625</v>
      </c>
      <c r="K1011" s="179" t="s">
        <v>1828</v>
      </c>
      <c r="L1011" s="188"/>
      <c r="M1011" s="34"/>
    </row>
    <row r="1012" spans="1:13" ht="12.75">
      <c r="A1012" s="22">
        <v>2014</v>
      </c>
      <c r="B1012" s="185">
        <v>41821</v>
      </c>
      <c r="C1012" s="112" t="s">
        <v>61</v>
      </c>
      <c r="D1012" s="180" t="s">
        <v>394</v>
      </c>
      <c r="E1012" s="115" t="s">
        <v>1853</v>
      </c>
      <c r="F1012" s="194">
        <v>80000</v>
      </c>
      <c r="G1012" s="180"/>
      <c r="H1012" s="179" t="s">
        <v>4626</v>
      </c>
      <c r="I1012" s="179" t="s">
        <v>840</v>
      </c>
      <c r="J1012" s="179" t="s">
        <v>4627</v>
      </c>
      <c r="K1012" s="179" t="s">
        <v>1828</v>
      </c>
      <c r="L1012" s="188"/>
      <c r="M1012" s="34"/>
    </row>
    <row r="1013" spans="1:13" ht="38.25">
      <c r="A1013" s="22">
        <v>2014</v>
      </c>
      <c r="B1013" s="185">
        <v>41852</v>
      </c>
      <c r="C1013" s="112" t="s">
        <v>61</v>
      </c>
      <c r="D1013" s="180" t="s">
        <v>1763</v>
      </c>
      <c r="E1013" s="115" t="s">
        <v>1859</v>
      </c>
      <c r="F1013" s="194">
        <v>13700</v>
      </c>
      <c r="G1013" s="180"/>
      <c r="H1013" s="179" t="s">
        <v>4628</v>
      </c>
      <c r="I1013" s="179" t="s">
        <v>4629</v>
      </c>
      <c r="J1013" s="179" t="s">
        <v>4630</v>
      </c>
      <c r="K1013" s="179" t="s">
        <v>1828</v>
      </c>
      <c r="L1013" s="188"/>
      <c r="M1013" s="34"/>
    </row>
    <row r="1014" spans="1:13" ht="38.25">
      <c r="A1014" s="22">
        <v>2014</v>
      </c>
      <c r="B1014" s="185">
        <v>41883</v>
      </c>
      <c r="C1014" s="112" t="s">
        <v>61</v>
      </c>
      <c r="D1014" s="180" t="s">
        <v>1763</v>
      </c>
      <c r="E1014" s="115" t="s">
        <v>1859</v>
      </c>
      <c r="F1014" s="194">
        <v>5000</v>
      </c>
      <c r="G1014" s="180"/>
      <c r="H1014" s="179" t="s">
        <v>4631</v>
      </c>
      <c r="I1014" s="179" t="s">
        <v>4632</v>
      </c>
      <c r="J1014" s="179" t="s">
        <v>4633</v>
      </c>
      <c r="K1014" s="6" t="s">
        <v>1886</v>
      </c>
      <c r="L1014" s="188"/>
      <c r="M1014" s="34"/>
    </row>
    <row r="1015" spans="1:13" ht="63.75">
      <c r="A1015" s="22">
        <v>2014</v>
      </c>
      <c r="B1015" s="185">
        <v>41913</v>
      </c>
      <c r="C1015" s="112" t="s">
        <v>4634</v>
      </c>
      <c r="D1015" s="179"/>
      <c r="E1015" s="6"/>
      <c r="F1015" s="194">
        <v>47031.75</v>
      </c>
      <c r="G1015" s="180"/>
      <c r="H1015" s="179" t="s">
        <v>4635</v>
      </c>
      <c r="I1015" s="179" t="s">
        <v>4636</v>
      </c>
      <c r="J1015" s="187" t="s">
        <v>4637</v>
      </c>
      <c r="K1015" s="6" t="s">
        <v>2082</v>
      </c>
      <c r="L1015" s="188"/>
      <c r="M1015" s="34"/>
    </row>
    <row r="1016" spans="1:13" ht="25.5">
      <c r="A1016" s="22">
        <v>2014</v>
      </c>
      <c r="B1016" s="185">
        <v>41944</v>
      </c>
      <c r="C1016" s="112" t="s">
        <v>61</v>
      </c>
      <c r="D1016" s="180" t="s">
        <v>394</v>
      </c>
      <c r="E1016" s="115" t="s">
        <v>1853</v>
      </c>
      <c r="F1016" s="194">
        <v>34000</v>
      </c>
      <c r="G1016" s="180"/>
      <c r="H1016" s="179" t="s">
        <v>4638</v>
      </c>
      <c r="I1016" s="179" t="s">
        <v>844</v>
      </c>
      <c r="J1016" s="187" t="s">
        <v>4639</v>
      </c>
      <c r="K1016" s="179" t="s">
        <v>1896</v>
      </c>
      <c r="L1016" s="188"/>
      <c r="M1016" s="34"/>
    </row>
    <row r="1017" spans="1:13" ht="12.75">
      <c r="A1017" s="22">
        <v>2014</v>
      </c>
      <c r="B1017" s="185">
        <v>41974</v>
      </c>
      <c r="C1017" s="112" t="s">
        <v>61</v>
      </c>
      <c r="D1017" s="180" t="s">
        <v>394</v>
      </c>
      <c r="E1017" s="115" t="s">
        <v>1853</v>
      </c>
      <c r="F1017" s="194">
        <v>58000</v>
      </c>
      <c r="G1017" s="180"/>
      <c r="H1017" s="179" t="s">
        <v>4640</v>
      </c>
      <c r="I1017" s="179" t="s">
        <v>1593</v>
      </c>
      <c r="J1017" s="187" t="s">
        <v>4641</v>
      </c>
      <c r="K1017" s="179" t="s">
        <v>1899</v>
      </c>
      <c r="L1017" s="188"/>
      <c r="M1017" s="34"/>
    </row>
    <row r="1018" spans="1:13" ht="12.75">
      <c r="A1018" s="22">
        <v>2014</v>
      </c>
      <c r="B1018" s="179" t="s">
        <v>4642</v>
      </c>
      <c r="C1018" s="112" t="s">
        <v>61</v>
      </c>
      <c r="D1018" s="180" t="s">
        <v>1383</v>
      </c>
      <c r="E1018" s="115" t="s">
        <v>1859</v>
      </c>
      <c r="F1018" s="194">
        <v>320000</v>
      </c>
      <c r="G1018" s="180"/>
      <c r="H1018" s="179" t="s">
        <v>4528</v>
      </c>
      <c r="I1018" s="179" t="s">
        <v>4643</v>
      </c>
      <c r="J1018" s="187" t="s">
        <v>4644</v>
      </c>
      <c r="K1018" s="179" t="s">
        <v>2051</v>
      </c>
      <c r="L1018" s="188"/>
      <c r="M1018" s="34"/>
    </row>
    <row r="1019" spans="1:13" ht="51">
      <c r="A1019" s="22">
        <v>2014</v>
      </c>
      <c r="B1019" s="179" t="s">
        <v>4510</v>
      </c>
      <c r="C1019" s="112" t="s">
        <v>61</v>
      </c>
      <c r="D1019" s="180" t="s">
        <v>3168</v>
      </c>
      <c r="E1019" s="115" t="s">
        <v>1859</v>
      </c>
      <c r="F1019" s="194">
        <v>50000</v>
      </c>
      <c r="G1019" s="180"/>
      <c r="H1019" s="179" t="s">
        <v>4645</v>
      </c>
      <c r="I1019" s="179" t="s">
        <v>4646</v>
      </c>
      <c r="J1019" s="187" t="s">
        <v>4647</v>
      </c>
      <c r="K1019" s="179" t="s">
        <v>1828</v>
      </c>
      <c r="L1019" s="188"/>
      <c r="M1019" s="34"/>
    </row>
    <row r="1020" spans="1:13" ht="38.25">
      <c r="A1020" s="22">
        <v>2014</v>
      </c>
      <c r="B1020" s="179" t="s">
        <v>4648</v>
      </c>
      <c r="C1020" s="112" t="s">
        <v>61</v>
      </c>
      <c r="D1020" s="180" t="s">
        <v>394</v>
      </c>
      <c r="E1020" s="115" t="s">
        <v>1853</v>
      </c>
      <c r="F1020" s="194">
        <v>38000</v>
      </c>
      <c r="G1020" s="180"/>
      <c r="H1020" s="179"/>
      <c r="I1020" s="179" t="s">
        <v>4649</v>
      </c>
      <c r="J1020" s="187" t="s">
        <v>4650</v>
      </c>
      <c r="K1020" s="179" t="s">
        <v>1899</v>
      </c>
      <c r="L1020" s="188"/>
      <c r="M1020" s="34"/>
    </row>
    <row r="1021" spans="1:13" ht="38.25">
      <c r="A1021" s="22">
        <v>2014</v>
      </c>
      <c r="B1021" s="179" t="s">
        <v>4651</v>
      </c>
      <c r="C1021" s="112" t="s">
        <v>61</v>
      </c>
      <c r="D1021" s="180" t="s">
        <v>1383</v>
      </c>
      <c r="E1021" s="115" t="s">
        <v>1859</v>
      </c>
      <c r="F1021" s="194">
        <v>27000</v>
      </c>
      <c r="G1021" s="180"/>
      <c r="H1021" s="179" t="s">
        <v>4652</v>
      </c>
      <c r="I1021" s="179" t="s">
        <v>4653</v>
      </c>
      <c r="J1021" s="187" t="s">
        <v>4654</v>
      </c>
      <c r="K1021" s="179" t="s">
        <v>1828</v>
      </c>
      <c r="L1021" s="188"/>
      <c r="M1021" s="34"/>
    </row>
    <row r="1022" spans="1:13" ht="51">
      <c r="A1022" s="22">
        <v>2014</v>
      </c>
      <c r="B1022" s="179" t="s">
        <v>4520</v>
      </c>
      <c r="C1022" s="112" t="s">
        <v>61</v>
      </c>
      <c r="D1022" s="180" t="s">
        <v>394</v>
      </c>
      <c r="E1022" s="115" t="s">
        <v>1853</v>
      </c>
      <c r="F1022" s="194">
        <v>120000</v>
      </c>
      <c r="G1022" s="180"/>
      <c r="H1022" s="179" t="s">
        <v>4655</v>
      </c>
      <c r="I1022" s="179" t="s">
        <v>854</v>
      </c>
      <c r="J1022" s="179" t="s">
        <v>4656</v>
      </c>
      <c r="K1022" s="179" t="s">
        <v>1916</v>
      </c>
      <c r="L1022" s="188"/>
      <c r="M1022" s="34"/>
    </row>
    <row r="1023" spans="1:13" ht="38.25">
      <c r="A1023" s="22">
        <v>2014</v>
      </c>
      <c r="B1023" s="179" t="s">
        <v>4657</v>
      </c>
      <c r="C1023" s="112" t="s">
        <v>61</v>
      </c>
      <c r="D1023" s="180" t="s">
        <v>3168</v>
      </c>
      <c r="E1023" s="115" t="s">
        <v>1859</v>
      </c>
      <c r="F1023" s="194">
        <v>50000</v>
      </c>
      <c r="G1023" s="180"/>
      <c r="H1023" s="179" t="s">
        <v>4658</v>
      </c>
      <c r="I1023" s="179" t="s">
        <v>4659</v>
      </c>
      <c r="J1023" s="179" t="s">
        <v>4660</v>
      </c>
      <c r="K1023" s="179" t="s">
        <v>1828</v>
      </c>
      <c r="L1023" s="188"/>
      <c r="M1023" s="34"/>
    </row>
    <row r="1024" spans="1:13" ht="51">
      <c r="A1024" s="22">
        <v>2014</v>
      </c>
      <c r="B1024" s="179" t="s">
        <v>4661</v>
      </c>
      <c r="C1024" s="112" t="s">
        <v>61</v>
      </c>
      <c r="D1024" s="180" t="s">
        <v>1383</v>
      </c>
      <c r="E1024" s="115" t="s">
        <v>1859</v>
      </c>
      <c r="F1024" s="194">
        <v>100000</v>
      </c>
      <c r="G1024" s="180"/>
      <c r="H1024" s="179" t="s">
        <v>4662</v>
      </c>
      <c r="I1024" s="179" t="s">
        <v>854</v>
      </c>
      <c r="J1024" s="179" t="s">
        <v>4663</v>
      </c>
      <c r="K1024" s="179" t="s">
        <v>1916</v>
      </c>
      <c r="L1024" s="188"/>
      <c r="M1024" s="34"/>
    </row>
    <row r="1025" spans="1:13" ht="25.5">
      <c r="A1025" s="22">
        <v>2014</v>
      </c>
      <c r="B1025" s="179" t="s">
        <v>4524</v>
      </c>
      <c r="C1025" s="112" t="s">
        <v>61</v>
      </c>
      <c r="D1025" s="180" t="s">
        <v>652</v>
      </c>
      <c r="E1025" s="6" t="s">
        <v>1874</v>
      </c>
      <c r="F1025" s="194">
        <v>346753.22</v>
      </c>
      <c r="G1025" s="180"/>
      <c r="H1025" s="179" t="s">
        <v>4664</v>
      </c>
      <c r="I1025" s="179" t="s">
        <v>4665</v>
      </c>
      <c r="J1025" s="179" t="s">
        <v>4666</v>
      </c>
      <c r="K1025" s="179" t="s">
        <v>1828</v>
      </c>
      <c r="L1025" s="188"/>
      <c r="M1025" s="34"/>
    </row>
    <row r="1026" spans="1:13" ht="25.5">
      <c r="A1026" s="22">
        <v>2014</v>
      </c>
      <c r="B1026" s="179" t="s">
        <v>4527</v>
      </c>
      <c r="C1026" s="112" t="s">
        <v>61</v>
      </c>
      <c r="D1026" s="180" t="s">
        <v>1383</v>
      </c>
      <c r="E1026" s="115" t="s">
        <v>1859</v>
      </c>
      <c r="F1026" s="194">
        <v>100000</v>
      </c>
      <c r="G1026" s="180"/>
      <c r="H1026" s="179" t="s">
        <v>4667</v>
      </c>
      <c r="I1026" s="179" t="s">
        <v>854</v>
      </c>
      <c r="J1026" s="179" t="s">
        <v>4668</v>
      </c>
      <c r="K1026" s="179" t="s">
        <v>2051</v>
      </c>
      <c r="L1026" s="188"/>
      <c r="M1026" s="34"/>
    </row>
    <row r="1027" spans="1:13" ht="12.75">
      <c r="A1027" s="22">
        <v>2014</v>
      </c>
      <c r="B1027" s="179" t="s">
        <v>4530</v>
      </c>
      <c r="C1027" s="112" t="s">
        <v>61</v>
      </c>
      <c r="D1027" s="180" t="s">
        <v>1141</v>
      </c>
      <c r="E1027" s="6" t="s">
        <v>1904</v>
      </c>
      <c r="F1027" s="194">
        <v>96889</v>
      </c>
      <c r="G1027" s="180"/>
      <c r="H1027" s="179" t="s">
        <v>4669</v>
      </c>
      <c r="I1027" s="179" t="s">
        <v>4670</v>
      </c>
      <c r="J1027" s="179" t="s">
        <v>4671</v>
      </c>
      <c r="K1027" s="179" t="s">
        <v>1919</v>
      </c>
      <c r="L1027" s="188"/>
      <c r="M1027" s="34"/>
    </row>
    <row r="1028" spans="1:13" ht="25.5">
      <c r="A1028" s="22">
        <v>2014</v>
      </c>
      <c r="B1028" s="179" t="s">
        <v>4532</v>
      </c>
      <c r="C1028" s="112" t="s">
        <v>61</v>
      </c>
      <c r="D1028" s="180" t="s">
        <v>1383</v>
      </c>
      <c r="E1028" s="115" t="s">
        <v>1859</v>
      </c>
      <c r="F1028" s="194">
        <v>67600</v>
      </c>
      <c r="G1028" s="180"/>
      <c r="H1028" s="179" t="s">
        <v>4672</v>
      </c>
      <c r="I1028" s="179" t="s">
        <v>4673</v>
      </c>
      <c r="J1028" s="179" t="s">
        <v>3417</v>
      </c>
      <c r="K1028" s="179" t="s">
        <v>1828</v>
      </c>
      <c r="L1028" s="188"/>
      <c r="M1028" s="34"/>
    </row>
    <row r="1029" spans="1:13" ht="38.25">
      <c r="A1029" s="22">
        <v>2014</v>
      </c>
      <c r="B1029" s="179" t="s">
        <v>4535</v>
      </c>
      <c r="C1029" s="112" t="s">
        <v>61</v>
      </c>
      <c r="D1029" s="191" t="s">
        <v>3092</v>
      </c>
      <c r="E1029" s="6" t="s">
        <v>1904</v>
      </c>
      <c r="F1029" s="194">
        <v>64800</v>
      </c>
      <c r="G1029" s="191"/>
      <c r="H1029" s="179" t="s">
        <v>4674</v>
      </c>
      <c r="I1029" s="179" t="s">
        <v>4675</v>
      </c>
      <c r="J1029" s="179" t="s">
        <v>4676</v>
      </c>
      <c r="K1029" s="179" t="s">
        <v>1828</v>
      </c>
      <c r="L1029" s="188"/>
      <c r="M1029" s="34"/>
    </row>
    <row r="1030" spans="1:13" ht="38.25">
      <c r="A1030" s="22">
        <v>2014</v>
      </c>
      <c r="B1030" s="179" t="s">
        <v>4539</v>
      </c>
      <c r="C1030" s="112" t="s">
        <v>61</v>
      </c>
      <c r="D1030" s="191" t="s">
        <v>3092</v>
      </c>
      <c r="E1030" s="6" t="s">
        <v>1904</v>
      </c>
      <c r="F1030" s="194">
        <v>99600</v>
      </c>
      <c r="G1030" s="191"/>
      <c r="H1030" s="179" t="s">
        <v>4677</v>
      </c>
      <c r="I1030" s="179" t="s">
        <v>4675</v>
      </c>
      <c r="J1030" s="179" t="s">
        <v>4676</v>
      </c>
      <c r="K1030" s="179" t="s">
        <v>1828</v>
      </c>
      <c r="L1030" s="188"/>
      <c r="M1030" s="34"/>
    </row>
    <row r="1031" spans="1:13" ht="38.25">
      <c r="A1031" s="22">
        <v>2014</v>
      </c>
      <c r="B1031" s="179" t="s">
        <v>4678</v>
      </c>
      <c r="C1031" s="112" t="s">
        <v>61</v>
      </c>
      <c r="D1031" s="191" t="s">
        <v>3092</v>
      </c>
      <c r="E1031" s="6" t="s">
        <v>1904</v>
      </c>
      <c r="F1031" s="194">
        <v>48000</v>
      </c>
      <c r="G1031" s="191"/>
      <c r="H1031" s="179" t="s">
        <v>4679</v>
      </c>
      <c r="I1031" s="179" t="s">
        <v>4675</v>
      </c>
      <c r="J1031" s="179" t="s">
        <v>4676</v>
      </c>
      <c r="K1031" s="179" t="s">
        <v>1828</v>
      </c>
      <c r="L1031" s="188"/>
      <c r="M1031" s="34"/>
    </row>
    <row r="1032" spans="1:13" ht="25.5">
      <c r="A1032" s="22">
        <v>2014</v>
      </c>
      <c r="B1032" s="179" t="s">
        <v>4680</v>
      </c>
      <c r="C1032" s="112" t="s">
        <v>61</v>
      </c>
      <c r="D1032" s="180" t="s">
        <v>1383</v>
      </c>
      <c r="E1032" s="115" t="s">
        <v>1859</v>
      </c>
      <c r="F1032" s="194">
        <v>100000</v>
      </c>
      <c r="G1032" s="180"/>
      <c r="H1032" s="179" t="s">
        <v>4681</v>
      </c>
      <c r="I1032" s="179" t="s">
        <v>838</v>
      </c>
      <c r="J1032" s="179" t="s">
        <v>4682</v>
      </c>
      <c r="K1032" s="179" t="s">
        <v>1855</v>
      </c>
      <c r="L1032" s="188"/>
      <c r="M1032" s="34"/>
    </row>
    <row r="1033" spans="1:13" ht="12.75">
      <c r="A1033" s="22">
        <v>2014</v>
      </c>
      <c r="B1033" s="179" t="s">
        <v>4683</v>
      </c>
      <c r="C1033" s="112" t="s">
        <v>61</v>
      </c>
      <c r="D1033" s="22" t="s">
        <v>113</v>
      </c>
      <c r="E1033" s="6"/>
      <c r="F1033" s="194">
        <v>37000</v>
      </c>
      <c r="G1033" s="22"/>
      <c r="H1033" s="179" t="s">
        <v>4684</v>
      </c>
      <c r="I1033" s="179" t="s">
        <v>575</v>
      </c>
      <c r="J1033" s="179" t="s">
        <v>1938</v>
      </c>
      <c r="K1033" s="179" t="s">
        <v>1828</v>
      </c>
      <c r="L1033" s="188"/>
      <c r="M1033" s="34"/>
    </row>
    <row r="1034" spans="1:13" ht="12.75">
      <c r="A1034" s="22">
        <v>2014</v>
      </c>
      <c r="B1034" s="179" t="s">
        <v>4685</v>
      </c>
      <c r="C1034" s="112" t="s">
        <v>61</v>
      </c>
      <c r="D1034" s="180" t="s">
        <v>394</v>
      </c>
      <c r="E1034" s="115" t="s">
        <v>1853</v>
      </c>
      <c r="F1034" s="194">
        <v>55600</v>
      </c>
      <c r="G1034" s="180"/>
      <c r="H1034" s="179" t="s">
        <v>4686</v>
      </c>
      <c r="I1034" s="179" t="s">
        <v>1346</v>
      </c>
      <c r="J1034" s="179" t="s">
        <v>1938</v>
      </c>
      <c r="K1034" s="6" t="s">
        <v>2082</v>
      </c>
      <c r="L1034" s="188"/>
      <c r="M1034" s="34"/>
    </row>
    <row r="1035" spans="1:13" ht="25.5">
      <c r="A1035" s="22">
        <v>2014</v>
      </c>
      <c r="B1035" s="179" t="s">
        <v>4547</v>
      </c>
      <c r="C1035" s="112" t="s">
        <v>61</v>
      </c>
      <c r="D1035" s="180" t="s">
        <v>394</v>
      </c>
      <c r="E1035" s="115" t="s">
        <v>1853</v>
      </c>
      <c r="F1035" s="194">
        <v>28000</v>
      </c>
      <c r="G1035" s="180"/>
      <c r="H1035" s="179" t="s">
        <v>4687</v>
      </c>
      <c r="I1035" s="179" t="s">
        <v>1593</v>
      </c>
      <c r="J1035" s="179" t="s">
        <v>4688</v>
      </c>
      <c r="K1035" s="179" t="s">
        <v>1899</v>
      </c>
      <c r="L1035" s="188"/>
      <c r="M1035" s="34"/>
    </row>
    <row r="1036" spans="1:13" ht="25.5">
      <c r="A1036" s="22">
        <v>2014</v>
      </c>
      <c r="B1036" s="179" t="s">
        <v>4689</v>
      </c>
      <c r="C1036" s="112" t="s">
        <v>61</v>
      </c>
      <c r="D1036" s="180" t="s">
        <v>394</v>
      </c>
      <c r="E1036" s="115" t="s">
        <v>1853</v>
      </c>
      <c r="F1036" s="194">
        <v>34000</v>
      </c>
      <c r="G1036" s="180"/>
      <c r="H1036" s="179" t="s">
        <v>4690</v>
      </c>
      <c r="I1036" s="179" t="s">
        <v>1605</v>
      </c>
      <c r="J1036" s="179" t="s">
        <v>4691</v>
      </c>
      <c r="K1036" s="179" t="s">
        <v>1919</v>
      </c>
      <c r="L1036" s="188"/>
      <c r="M1036" s="34"/>
    </row>
    <row r="1037" spans="1:13" ht="25.5">
      <c r="A1037" s="22">
        <v>2014</v>
      </c>
      <c r="B1037" s="179" t="s">
        <v>4692</v>
      </c>
      <c r="C1037" s="112" t="s">
        <v>61</v>
      </c>
      <c r="D1037" s="180" t="s">
        <v>394</v>
      </c>
      <c r="E1037" s="115" t="s">
        <v>1853</v>
      </c>
      <c r="F1037" s="194">
        <v>26000</v>
      </c>
      <c r="G1037" s="180"/>
      <c r="H1037" s="179" t="s">
        <v>4693</v>
      </c>
      <c r="I1037" s="179" t="s">
        <v>1605</v>
      </c>
      <c r="J1037" s="179" t="s">
        <v>4694</v>
      </c>
      <c r="K1037" s="179" t="s">
        <v>1919</v>
      </c>
      <c r="L1037" s="188"/>
      <c r="M1037" s="34"/>
    </row>
    <row r="1038" spans="1:13" ht="38.25">
      <c r="A1038" s="22">
        <v>2014</v>
      </c>
      <c r="B1038" s="179" t="s">
        <v>4695</v>
      </c>
      <c r="C1038" s="112" t="s">
        <v>61</v>
      </c>
      <c r="D1038" s="180" t="s">
        <v>2724</v>
      </c>
      <c r="E1038" s="6" t="s">
        <v>1874</v>
      </c>
      <c r="F1038" s="194">
        <v>68045.67</v>
      </c>
      <c r="G1038" s="180"/>
      <c r="H1038" s="179" t="s">
        <v>4696</v>
      </c>
      <c r="I1038" s="179"/>
      <c r="J1038" s="179" t="s">
        <v>4697</v>
      </c>
      <c r="K1038" s="179" t="s">
        <v>1855</v>
      </c>
      <c r="L1038" s="188"/>
      <c r="M1038" s="34"/>
    </row>
    <row r="1039" spans="1:13" ht="38.25">
      <c r="A1039" s="22">
        <v>2014</v>
      </c>
      <c r="B1039" s="179" t="s">
        <v>4559</v>
      </c>
      <c r="C1039" s="112" t="s">
        <v>61</v>
      </c>
      <c r="D1039" s="180" t="s">
        <v>1383</v>
      </c>
      <c r="E1039" s="115" t="s">
        <v>1859</v>
      </c>
      <c r="F1039" s="194">
        <v>100000</v>
      </c>
      <c r="G1039" s="180"/>
      <c r="H1039" s="179" t="s">
        <v>4698</v>
      </c>
      <c r="I1039" s="179" t="s">
        <v>4699</v>
      </c>
      <c r="J1039" s="179" t="s">
        <v>1938</v>
      </c>
      <c r="K1039" s="179" t="s">
        <v>1828</v>
      </c>
      <c r="L1039" s="188"/>
      <c r="M1039" s="34"/>
    </row>
    <row r="1040" spans="1:13" ht="25.5">
      <c r="A1040" s="22">
        <v>2014</v>
      </c>
      <c r="B1040" s="179" t="s">
        <v>4700</v>
      </c>
      <c r="C1040" s="112" t="s">
        <v>61</v>
      </c>
      <c r="D1040" s="180" t="s">
        <v>1763</v>
      </c>
      <c r="E1040" s="115" t="s">
        <v>1859</v>
      </c>
      <c r="F1040" s="194">
        <v>7800</v>
      </c>
      <c r="G1040" s="180"/>
      <c r="H1040" s="179" t="s">
        <v>4701</v>
      </c>
      <c r="I1040" s="179" t="s">
        <v>4702</v>
      </c>
      <c r="J1040" s="179" t="s">
        <v>1938</v>
      </c>
      <c r="K1040" s="179" t="s">
        <v>1828</v>
      </c>
      <c r="L1040" s="188"/>
      <c r="M1040" s="34"/>
    </row>
    <row r="1041" spans="1:13" ht="51">
      <c r="A1041" s="22">
        <v>2014</v>
      </c>
      <c r="B1041" s="179" t="s">
        <v>4703</v>
      </c>
      <c r="C1041" s="112" t="s">
        <v>61</v>
      </c>
      <c r="D1041" s="180" t="s">
        <v>3168</v>
      </c>
      <c r="E1041" s="115" t="s">
        <v>1859</v>
      </c>
      <c r="F1041" s="194">
        <v>50000</v>
      </c>
      <c r="G1041" s="180"/>
      <c r="H1041" s="179" t="s">
        <v>4704</v>
      </c>
      <c r="I1041" s="179" t="s">
        <v>4705</v>
      </c>
      <c r="J1041" s="179" t="s">
        <v>4706</v>
      </c>
      <c r="K1041" s="179" t="s">
        <v>1828</v>
      </c>
      <c r="L1041" s="188"/>
      <c r="M1041" s="34"/>
    </row>
    <row r="1042" spans="1:13" ht="12.75">
      <c r="A1042" s="22">
        <v>2014</v>
      </c>
      <c r="B1042" s="179" t="s">
        <v>4707</v>
      </c>
      <c r="C1042" s="112" t="s">
        <v>61</v>
      </c>
      <c r="D1042" s="22" t="s">
        <v>113</v>
      </c>
      <c r="E1042" s="6"/>
      <c r="F1042" s="194">
        <v>38500</v>
      </c>
      <c r="G1042" s="22"/>
      <c r="H1042" s="179" t="s">
        <v>4708</v>
      </c>
      <c r="I1042" s="179" t="s">
        <v>575</v>
      </c>
      <c r="J1042" s="179" t="s">
        <v>1938</v>
      </c>
      <c r="K1042" s="179" t="s">
        <v>1828</v>
      </c>
      <c r="L1042" s="188"/>
      <c r="M1042" s="34"/>
    </row>
    <row r="1043" spans="1:13" ht="25.5">
      <c r="A1043" s="22">
        <v>2014</v>
      </c>
      <c r="B1043" s="179" t="s">
        <v>4709</v>
      </c>
      <c r="C1043" s="112" t="s">
        <v>61</v>
      </c>
      <c r="D1043" s="180" t="s">
        <v>1763</v>
      </c>
      <c r="E1043" s="115" t="s">
        <v>1859</v>
      </c>
      <c r="F1043" s="194">
        <v>26000</v>
      </c>
      <c r="G1043" s="180"/>
      <c r="H1043" s="179" t="s">
        <v>4710</v>
      </c>
      <c r="I1043" s="179" t="s">
        <v>4711</v>
      </c>
      <c r="J1043" s="179" t="s">
        <v>1938</v>
      </c>
      <c r="K1043" s="179" t="s">
        <v>1828</v>
      </c>
      <c r="L1043" s="188"/>
      <c r="M1043" s="34"/>
    </row>
    <row r="1044" spans="1:13" ht="25.5">
      <c r="A1044" s="22">
        <v>2014</v>
      </c>
      <c r="B1044" s="179" t="s">
        <v>4567</v>
      </c>
      <c r="C1044" s="112" t="s">
        <v>61</v>
      </c>
      <c r="D1044" s="180" t="s">
        <v>1763</v>
      </c>
      <c r="E1044" s="115" t="s">
        <v>1859</v>
      </c>
      <c r="F1044" s="194">
        <v>46500</v>
      </c>
      <c r="G1044" s="180"/>
      <c r="H1044" s="179" t="s">
        <v>4712</v>
      </c>
      <c r="I1044" s="179" t="s">
        <v>4713</v>
      </c>
      <c r="J1044" s="179" t="s">
        <v>1938</v>
      </c>
      <c r="K1044" s="179" t="s">
        <v>1828</v>
      </c>
      <c r="L1044" s="188"/>
      <c r="M1044" s="34"/>
    </row>
    <row r="1045" spans="1:13" ht="25.5">
      <c r="A1045" s="22">
        <v>2014</v>
      </c>
      <c r="B1045" s="179" t="s">
        <v>4714</v>
      </c>
      <c r="C1045" s="112" t="s">
        <v>61</v>
      </c>
      <c r="D1045" s="180" t="s">
        <v>3168</v>
      </c>
      <c r="E1045" s="115" t="s">
        <v>1859</v>
      </c>
      <c r="F1045" s="194">
        <v>55000</v>
      </c>
      <c r="G1045" s="180"/>
      <c r="H1045" s="179" t="s">
        <v>4715</v>
      </c>
      <c r="I1045" s="179" t="s">
        <v>4716</v>
      </c>
      <c r="J1045" s="179" t="s">
        <v>4717</v>
      </c>
      <c r="K1045" s="179" t="s">
        <v>1828</v>
      </c>
      <c r="L1045" s="188"/>
      <c r="M1045" s="34"/>
    </row>
    <row r="1046" spans="1:13" ht="25.5">
      <c r="A1046" s="22">
        <v>2014</v>
      </c>
      <c r="B1046" s="179" t="s">
        <v>4718</v>
      </c>
      <c r="C1046" s="112" t="s">
        <v>61</v>
      </c>
      <c r="D1046" s="180" t="s">
        <v>652</v>
      </c>
      <c r="E1046" s="6" t="s">
        <v>1874</v>
      </c>
      <c r="F1046" s="194">
        <v>100000</v>
      </c>
      <c r="G1046" s="180"/>
      <c r="H1046" s="179" t="s">
        <v>4719</v>
      </c>
      <c r="I1046" s="179" t="s">
        <v>4720</v>
      </c>
      <c r="J1046" s="179" t="s">
        <v>4721</v>
      </c>
      <c r="K1046" s="179" t="s">
        <v>1828</v>
      </c>
      <c r="L1046" s="188"/>
      <c r="M1046" s="34"/>
    </row>
    <row r="1047" spans="1:13" ht="25.5">
      <c r="A1047" s="22">
        <v>2014</v>
      </c>
      <c r="B1047" s="179" t="s">
        <v>4574</v>
      </c>
      <c r="C1047" s="112" t="s">
        <v>61</v>
      </c>
      <c r="D1047" s="180" t="s">
        <v>1383</v>
      </c>
      <c r="E1047" s="115" t="s">
        <v>1859</v>
      </c>
      <c r="F1047" s="194">
        <v>106960</v>
      </c>
      <c r="G1047" s="180"/>
      <c r="H1047" s="179" t="s">
        <v>4722</v>
      </c>
      <c r="I1047" s="179" t="s">
        <v>4723</v>
      </c>
      <c r="J1047" s="179"/>
      <c r="K1047" s="179" t="s">
        <v>1828</v>
      </c>
      <c r="L1047" s="188"/>
      <c r="M1047" s="34"/>
    </row>
    <row r="1048" spans="1:13" ht="38.25">
      <c r="A1048" s="22">
        <v>2013</v>
      </c>
      <c r="B1048" s="185">
        <v>41275</v>
      </c>
      <c r="C1048" s="112" t="s">
        <v>3096</v>
      </c>
      <c r="D1048" s="190"/>
      <c r="E1048" s="6"/>
      <c r="F1048" s="194">
        <v>400000</v>
      </c>
      <c r="G1048" s="191"/>
      <c r="H1048" s="178" t="s">
        <v>4724</v>
      </c>
      <c r="I1048" s="178" t="s">
        <v>4725</v>
      </c>
      <c r="J1048" s="187" t="s">
        <v>4726</v>
      </c>
      <c r="K1048" s="179" t="s">
        <v>1828</v>
      </c>
      <c r="L1048" s="188"/>
      <c r="M1048" s="34"/>
    </row>
    <row r="1049" spans="1:13" ht="51">
      <c r="A1049" s="22">
        <v>2013</v>
      </c>
      <c r="B1049" s="185">
        <v>41334</v>
      </c>
      <c r="C1049" s="112" t="s">
        <v>61</v>
      </c>
      <c r="D1049" s="191" t="s">
        <v>3092</v>
      </c>
      <c r="E1049" s="6" t="s">
        <v>1904</v>
      </c>
      <c r="F1049" s="194">
        <v>386800</v>
      </c>
      <c r="G1049" s="191"/>
      <c r="H1049" s="179" t="s">
        <v>4727</v>
      </c>
      <c r="I1049" s="179" t="s">
        <v>4728</v>
      </c>
      <c r="J1049" s="201" t="s">
        <v>4729</v>
      </c>
      <c r="K1049" s="179" t="s">
        <v>1919</v>
      </c>
      <c r="L1049" s="188"/>
      <c r="M1049" s="34"/>
    </row>
    <row r="1050" spans="1:13" ht="25.5">
      <c r="A1050" s="22">
        <v>2013</v>
      </c>
      <c r="B1050" s="185">
        <v>41426</v>
      </c>
      <c r="C1050" s="112" t="s">
        <v>61</v>
      </c>
      <c r="D1050" s="180" t="s">
        <v>1383</v>
      </c>
      <c r="E1050" s="115" t="s">
        <v>1859</v>
      </c>
      <c r="F1050" s="194">
        <v>321500</v>
      </c>
      <c r="G1050" s="180"/>
      <c r="H1050" s="179" t="s">
        <v>4730</v>
      </c>
      <c r="I1050" s="189" t="s">
        <v>1473</v>
      </c>
      <c r="J1050" s="187" t="s">
        <v>2837</v>
      </c>
      <c r="K1050" s="6" t="s">
        <v>1886</v>
      </c>
      <c r="L1050" s="188"/>
      <c r="M1050" s="34"/>
    </row>
    <row r="1051" spans="1:13" ht="25.5">
      <c r="A1051" s="22">
        <v>2013</v>
      </c>
      <c r="B1051" s="185">
        <v>41456</v>
      </c>
      <c r="C1051" s="112" t="s">
        <v>61</v>
      </c>
      <c r="D1051" s="180" t="s">
        <v>1383</v>
      </c>
      <c r="E1051" s="115" t="s">
        <v>1859</v>
      </c>
      <c r="F1051" s="194">
        <v>450000</v>
      </c>
      <c r="G1051" s="180"/>
      <c r="H1051" s="179" t="s">
        <v>4731</v>
      </c>
      <c r="I1051" s="179" t="s">
        <v>1680</v>
      </c>
      <c r="J1051" s="187" t="s">
        <v>4732</v>
      </c>
      <c r="K1051" s="9" t="s">
        <v>2571</v>
      </c>
      <c r="L1051" s="188"/>
      <c r="M1051" s="34"/>
    </row>
    <row r="1052" spans="1:13" ht="25.5">
      <c r="A1052" s="22">
        <v>2013</v>
      </c>
      <c r="B1052" s="185">
        <v>41487</v>
      </c>
      <c r="C1052" s="112" t="s">
        <v>61</v>
      </c>
      <c r="D1052" s="180" t="s">
        <v>1383</v>
      </c>
      <c r="E1052" s="115" t="s">
        <v>1859</v>
      </c>
      <c r="F1052" s="194">
        <v>426000</v>
      </c>
      <c r="G1052" s="180"/>
      <c r="H1052" s="179" t="s">
        <v>4733</v>
      </c>
      <c r="I1052" s="179" t="s">
        <v>1680</v>
      </c>
      <c r="J1052" s="187" t="s">
        <v>4734</v>
      </c>
      <c r="K1052" s="179" t="s">
        <v>1879</v>
      </c>
      <c r="L1052" s="188"/>
      <c r="M1052" s="34"/>
    </row>
    <row r="1053" spans="1:13" ht="25.5">
      <c r="A1053" s="22">
        <v>2013</v>
      </c>
      <c r="B1053" s="185">
        <v>41518</v>
      </c>
      <c r="C1053" s="112" t="s">
        <v>61</v>
      </c>
      <c r="D1053" s="180" t="s">
        <v>1383</v>
      </c>
      <c r="E1053" s="115" t="s">
        <v>1859</v>
      </c>
      <c r="F1053" s="194">
        <v>120000</v>
      </c>
      <c r="G1053" s="180"/>
      <c r="H1053" s="179" t="s">
        <v>4735</v>
      </c>
      <c r="I1053" s="179" t="s">
        <v>4736</v>
      </c>
      <c r="J1053" s="187" t="s">
        <v>4726</v>
      </c>
      <c r="K1053" s="179" t="s">
        <v>1828</v>
      </c>
      <c r="L1053" s="188"/>
      <c r="M1053" s="34"/>
    </row>
    <row r="1054" spans="1:13" ht="25.5">
      <c r="A1054" s="22">
        <v>2013</v>
      </c>
      <c r="B1054" s="192">
        <v>41548</v>
      </c>
      <c r="C1054" s="112" t="s">
        <v>61</v>
      </c>
      <c r="D1054" s="180" t="s">
        <v>652</v>
      </c>
      <c r="E1054" s="6" t="s">
        <v>1874</v>
      </c>
      <c r="F1054" s="194">
        <v>613088.85</v>
      </c>
      <c r="G1054" s="180"/>
      <c r="H1054" s="179" t="s">
        <v>4737</v>
      </c>
      <c r="I1054" s="179" t="s">
        <v>4738</v>
      </c>
      <c r="J1054" s="187" t="s">
        <v>4739</v>
      </c>
      <c r="K1054" s="179" t="s">
        <v>2130</v>
      </c>
      <c r="L1054" s="188"/>
      <c r="M1054" s="34"/>
    </row>
    <row r="1055" spans="1:13" ht="25.5">
      <c r="A1055" s="22">
        <v>2013</v>
      </c>
      <c r="B1055" s="185">
        <v>41579</v>
      </c>
      <c r="C1055" s="112" t="s">
        <v>61</v>
      </c>
      <c r="D1055" s="22" t="s">
        <v>62</v>
      </c>
      <c r="E1055" s="6" t="s">
        <v>1904</v>
      </c>
      <c r="F1055" s="193">
        <v>910963.19999999995</v>
      </c>
      <c r="G1055" s="22"/>
      <c r="H1055" s="178" t="s">
        <v>4740</v>
      </c>
      <c r="I1055" s="178" t="s">
        <v>4741</v>
      </c>
      <c r="J1055" s="187" t="s">
        <v>4742</v>
      </c>
      <c r="K1055" s="179" t="s">
        <v>1828</v>
      </c>
      <c r="L1055" s="188"/>
      <c r="M1055" s="34"/>
    </row>
    <row r="1056" spans="1:13" ht="12.75">
      <c r="A1056" s="22">
        <v>2013</v>
      </c>
      <c r="B1056" s="185">
        <v>41609</v>
      </c>
      <c r="C1056" s="112" t="s">
        <v>61</v>
      </c>
      <c r="D1056" s="22" t="s">
        <v>586</v>
      </c>
      <c r="E1056" s="6" t="s">
        <v>1874</v>
      </c>
      <c r="F1056" s="205">
        <v>161640</v>
      </c>
      <c r="G1056" s="22"/>
      <c r="H1056" s="179" t="s">
        <v>4743</v>
      </c>
      <c r="I1056" s="179" t="s">
        <v>894</v>
      </c>
      <c r="J1056" s="187" t="s">
        <v>2508</v>
      </c>
      <c r="K1056" s="179" t="s">
        <v>1828</v>
      </c>
      <c r="L1056" s="188"/>
      <c r="M1056" s="34"/>
    </row>
    <row r="1057" spans="1:13" ht="89.25">
      <c r="A1057" s="22">
        <v>2013</v>
      </c>
      <c r="B1057" s="179" t="s">
        <v>4744</v>
      </c>
      <c r="C1057" s="112" t="s">
        <v>61</v>
      </c>
      <c r="D1057" s="22" t="s">
        <v>62</v>
      </c>
      <c r="E1057" s="6" t="s">
        <v>1904</v>
      </c>
      <c r="F1057" s="195">
        <v>1187443.3600000001</v>
      </c>
      <c r="G1057" s="22"/>
      <c r="H1057" s="179" t="s">
        <v>4745</v>
      </c>
      <c r="I1057" s="179" t="s">
        <v>4746</v>
      </c>
      <c r="J1057" s="187" t="s">
        <v>4747</v>
      </c>
      <c r="K1057" s="179" t="s">
        <v>2031</v>
      </c>
      <c r="L1057" s="188"/>
      <c r="M1057" s="34"/>
    </row>
    <row r="1058" spans="1:13" ht="25.5">
      <c r="A1058" s="22">
        <v>2013</v>
      </c>
      <c r="B1058" s="179" t="s">
        <v>4748</v>
      </c>
      <c r="C1058" s="112" t="s">
        <v>61</v>
      </c>
      <c r="D1058" s="180" t="s">
        <v>611</v>
      </c>
      <c r="E1058" s="6"/>
      <c r="F1058" s="194">
        <v>91000</v>
      </c>
      <c r="G1058" s="180"/>
      <c r="H1058" s="179" t="s">
        <v>4749</v>
      </c>
      <c r="I1058" s="179" t="s">
        <v>811</v>
      </c>
      <c r="J1058" s="187" t="s">
        <v>4726</v>
      </c>
      <c r="K1058" s="179" t="s">
        <v>1828</v>
      </c>
      <c r="L1058" s="188"/>
      <c r="M1058" s="34"/>
    </row>
    <row r="1059" spans="1:13" ht="38.25">
      <c r="A1059" s="22">
        <v>2013</v>
      </c>
      <c r="B1059" s="179" t="s">
        <v>4750</v>
      </c>
      <c r="C1059" s="112" t="s">
        <v>61</v>
      </c>
      <c r="D1059" s="180" t="s">
        <v>1383</v>
      </c>
      <c r="E1059" s="115" t="s">
        <v>1859</v>
      </c>
      <c r="F1059" s="194">
        <v>200000</v>
      </c>
      <c r="G1059" s="180"/>
      <c r="H1059" s="179" t="s">
        <v>4751</v>
      </c>
      <c r="I1059" s="179" t="s">
        <v>4752</v>
      </c>
      <c r="J1059" s="179" t="s">
        <v>4753</v>
      </c>
      <c r="K1059" s="179" t="s">
        <v>1828</v>
      </c>
      <c r="L1059" s="188"/>
      <c r="M1059" s="34"/>
    </row>
    <row r="1060" spans="1:13" ht="25.5">
      <c r="A1060" s="22">
        <v>2013</v>
      </c>
      <c r="B1060" s="179" t="s">
        <v>4754</v>
      </c>
      <c r="C1060" s="112" t="s">
        <v>61</v>
      </c>
      <c r="D1060" s="22" t="s">
        <v>62</v>
      </c>
      <c r="E1060" s="6" t="s">
        <v>1904</v>
      </c>
      <c r="F1060" s="194">
        <v>486612.2</v>
      </c>
      <c r="G1060" s="22"/>
      <c r="H1060" s="179" t="s">
        <v>4755</v>
      </c>
      <c r="I1060" s="178" t="s">
        <v>4756</v>
      </c>
      <c r="J1060" s="179" t="s">
        <v>4757</v>
      </c>
      <c r="K1060" s="179" t="s">
        <v>2031</v>
      </c>
      <c r="L1060" s="188"/>
      <c r="M1060" s="34"/>
    </row>
    <row r="1061" spans="1:13" ht="38.25">
      <c r="A1061" s="22">
        <v>2013</v>
      </c>
      <c r="B1061" s="179" t="s">
        <v>4758</v>
      </c>
      <c r="C1061" s="112" t="s">
        <v>61</v>
      </c>
      <c r="D1061" s="22" t="s">
        <v>62</v>
      </c>
      <c r="E1061" s="6" t="s">
        <v>1904</v>
      </c>
      <c r="F1061" s="194">
        <v>424015.98</v>
      </c>
      <c r="G1061" s="22"/>
      <c r="H1061" s="179" t="s">
        <v>4759</v>
      </c>
      <c r="I1061" s="178" t="s">
        <v>4760</v>
      </c>
      <c r="J1061" s="179" t="s">
        <v>4761</v>
      </c>
      <c r="K1061" s="179" t="s">
        <v>2031</v>
      </c>
      <c r="L1061" s="188"/>
      <c r="M1061" s="34"/>
    </row>
    <row r="1062" spans="1:13" ht="25.5">
      <c r="A1062" s="22">
        <v>2013</v>
      </c>
      <c r="B1062" s="179" t="s">
        <v>4762</v>
      </c>
      <c r="C1062" s="53" t="s">
        <v>61</v>
      </c>
      <c r="D1062" s="22" t="s">
        <v>62</v>
      </c>
      <c r="E1062" s="6" t="s">
        <v>1904</v>
      </c>
      <c r="F1062" s="194">
        <v>374000</v>
      </c>
      <c r="G1062" s="22"/>
      <c r="H1062" s="178" t="s">
        <v>4763</v>
      </c>
      <c r="I1062" s="179" t="s">
        <v>4764</v>
      </c>
      <c r="J1062" s="179" t="s">
        <v>4765</v>
      </c>
      <c r="K1062" s="179" t="s">
        <v>2031</v>
      </c>
      <c r="L1062" s="188"/>
      <c r="M1062" s="34"/>
    </row>
    <row r="1063" spans="1:13" ht="51">
      <c r="A1063" s="22">
        <v>2013</v>
      </c>
      <c r="B1063" s="179" t="s">
        <v>4766</v>
      </c>
      <c r="C1063" s="112" t="s">
        <v>61</v>
      </c>
      <c r="D1063" s="22" t="s">
        <v>62</v>
      </c>
      <c r="E1063" s="6" t="s">
        <v>1904</v>
      </c>
      <c r="F1063" s="194">
        <v>1071763</v>
      </c>
      <c r="G1063" s="22"/>
      <c r="H1063" s="179" t="s">
        <v>4767</v>
      </c>
      <c r="I1063" s="179" t="s">
        <v>4768</v>
      </c>
      <c r="J1063" s="179" t="s">
        <v>4769</v>
      </c>
      <c r="K1063" s="179" t="s">
        <v>1828</v>
      </c>
      <c r="L1063" s="188"/>
      <c r="M1063" s="34"/>
    </row>
    <row r="1064" spans="1:13" ht="38.25">
      <c r="A1064" s="22">
        <v>2013</v>
      </c>
      <c r="B1064" s="179" t="s">
        <v>4770</v>
      </c>
      <c r="C1064" s="112" t="s">
        <v>61</v>
      </c>
      <c r="D1064" s="180" t="s">
        <v>1383</v>
      </c>
      <c r="E1064" s="115" t="s">
        <v>1859</v>
      </c>
      <c r="F1064" s="194">
        <v>414500</v>
      </c>
      <c r="G1064" s="180"/>
      <c r="H1064" s="179" t="s">
        <v>4771</v>
      </c>
      <c r="I1064" s="179" t="s">
        <v>4772</v>
      </c>
      <c r="J1064" s="179" t="s">
        <v>4726</v>
      </c>
      <c r="K1064" s="179" t="s">
        <v>1919</v>
      </c>
      <c r="L1064" s="188"/>
      <c r="M1064" s="34"/>
    </row>
    <row r="1065" spans="1:13" ht="25.5">
      <c r="A1065" s="22">
        <v>2013</v>
      </c>
      <c r="B1065" s="179" t="s">
        <v>4773</v>
      </c>
      <c r="C1065" s="112" t="s">
        <v>61</v>
      </c>
      <c r="D1065" s="180" t="s">
        <v>1383</v>
      </c>
      <c r="E1065" s="115" t="s">
        <v>1859</v>
      </c>
      <c r="F1065" s="194">
        <v>357000</v>
      </c>
      <c r="G1065" s="180"/>
      <c r="H1065" s="179" t="s">
        <v>4774</v>
      </c>
      <c r="I1065" s="179" t="s">
        <v>4775</v>
      </c>
      <c r="J1065" s="179" t="s">
        <v>2557</v>
      </c>
      <c r="K1065" s="179" t="s">
        <v>1919</v>
      </c>
      <c r="L1065" s="188"/>
      <c r="M1065" s="34"/>
    </row>
    <row r="1066" spans="1:13" ht="63.75">
      <c r="A1066" s="22">
        <v>2013</v>
      </c>
      <c r="B1066" s="179" t="s">
        <v>4776</v>
      </c>
      <c r="C1066" s="112" t="s">
        <v>61</v>
      </c>
      <c r="D1066" s="180" t="s">
        <v>68</v>
      </c>
      <c r="E1066" s="6" t="s">
        <v>1874</v>
      </c>
      <c r="F1066" s="194">
        <v>3000000</v>
      </c>
      <c r="G1066" s="180"/>
      <c r="H1066" s="179" t="s">
        <v>4777</v>
      </c>
      <c r="I1066" s="179" t="s">
        <v>4778</v>
      </c>
      <c r="J1066" s="187" t="s">
        <v>4779</v>
      </c>
      <c r="K1066" s="179" t="s">
        <v>1828</v>
      </c>
      <c r="L1066" s="188"/>
      <c r="M1066" s="34"/>
    </row>
    <row r="1067" spans="1:13" ht="38.25">
      <c r="A1067" s="22">
        <v>2013</v>
      </c>
      <c r="B1067" s="179" t="s">
        <v>4780</v>
      </c>
      <c r="C1067" s="112" t="s">
        <v>61</v>
      </c>
      <c r="D1067" s="22" t="s">
        <v>62</v>
      </c>
      <c r="E1067" s="6" t="s">
        <v>1904</v>
      </c>
      <c r="F1067" s="194">
        <v>297060</v>
      </c>
      <c r="G1067" s="22"/>
      <c r="H1067" s="179" t="s">
        <v>4781</v>
      </c>
      <c r="I1067" s="179" t="s">
        <v>4782</v>
      </c>
      <c r="J1067" s="187" t="s">
        <v>4783</v>
      </c>
      <c r="K1067" s="179" t="s">
        <v>2051</v>
      </c>
      <c r="L1067" s="188"/>
      <c r="M1067" s="34"/>
    </row>
    <row r="1068" spans="1:13" ht="25.5">
      <c r="A1068" s="22">
        <v>2013</v>
      </c>
      <c r="B1068" s="179" t="s">
        <v>4784</v>
      </c>
      <c r="C1068" s="112" t="s">
        <v>61</v>
      </c>
      <c r="D1068" s="180" t="s">
        <v>1383</v>
      </c>
      <c r="E1068" s="115" t="s">
        <v>1859</v>
      </c>
      <c r="F1068" s="194">
        <v>172000</v>
      </c>
      <c r="G1068" s="180"/>
      <c r="H1068" s="179" t="s">
        <v>4785</v>
      </c>
      <c r="I1068" s="179" t="s">
        <v>1722</v>
      </c>
      <c r="J1068" s="187" t="s">
        <v>2557</v>
      </c>
      <c r="K1068" s="179" t="s">
        <v>1919</v>
      </c>
      <c r="L1068" s="188"/>
      <c r="M1068" s="34"/>
    </row>
    <row r="1069" spans="1:13" ht="38.25">
      <c r="A1069" s="22">
        <v>2013</v>
      </c>
      <c r="B1069" s="179" t="s">
        <v>4786</v>
      </c>
      <c r="C1069" s="112" t="s">
        <v>61</v>
      </c>
      <c r="D1069" s="180" t="s">
        <v>4787</v>
      </c>
      <c r="E1069" s="115" t="s">
        <v>1859</v>
      </c>
      <c r="F1069" s="194">
        <v>173000</v>
      </c>
      <c r="G1069" s="180"/>
      <c r="H1069" s="179" t="s">
        <v>4788</v>
      </c>
      <c r="I1069" s="179" t="s">
        <v>4789</v>
      </c>
      <c r="J1069" s="187"/>
      <c r="K1069" s="187" t="s">
        <v>1828</v>
      </c>
      <c r="L1069" s="188"/>
      <c r="M1069" s="34"/>
    </row>
    <row r="1070" spans="1:13" ht="25.5">
      <c r="A1070" s="22">
        <v>2013</v>
      </c>
      <c r="B1070" s="179" t="s">
        <v>4790</v>
      </c>
      <c r="C1070" s="112" t="s">
        <v>61</v>
      </c>
      <c r="D1070" s="191" t="s">
        <v>3092</v>
      </c>
      <c r="E1070" s="6" t="s">
        <v>1904</v>
      </c>
      <c r="F1070" s="194">
        <v>445000</v>
      </c>
      <c r="G1070" s="191"/>
      <c r="H1070" s="179" t="s">
        <v>4791</v>
      </c>
      <c r="I1070" s="179" t="s">
        <v>4792</v>
      </c>
      <c r="J1070" s="187" t="s">
        <v>4793</v>
      </c>
      <c r="K1070" s="6" t="s">
        <v>1886</v>
      </c>
      <c r="L1070" s="188"/>
      <c r="M1070" s="34"/>
    </row>
    <row r="1071" spans="1:13" ht="38.25">
      <c r="A1071" s="22">
        <v>2013</v>
      </c>
      <c r="B1071" s="179" t="s">
        <v>4794</v>
      </c>
      <c r="C1071" s="112" t="s">
        <v>61</v>
      </c>
      <c r="D1071" s="180" t="s">
        <v>4787</v>
      </c>
      <c r="E1071" s="115" t="s">
        <v>1859</v>
      </c>
      <c r="F1071" s="194">
        <v>228945</v>
      </c>
      <c r="G1071" s="180"/>
      <c r="H1071" s="179" t="s">
        <v>4795</v>
      </c>
      <c r="I1071" s="179" t="s">
        <v>4796</v>
      </c>
      <c r="J1071" s="179" t="s">
        <v>4797</v>
      </c>
      <c r="K1071" s="179" t="s">
        <v>1828</v>
      </c>
      <c r="L1071" s="188"/>
      <c r="M1071" s="34"/>
    </row>
    <row r="1072" spans="1:13" ht="38.25">
      <c r="A1072" s="22">
        <v>2013</v>
      </c>
      <c r="B1072" s="179" t="s">
        <v>4798</v>
      </c>
      <c r="C1072" s="112" t="s">
        <v>61</v>
      </c>
      <c r="D1072" s="22" t="s">
        <v>62</v>
      </c>
      <c r="E1072" s="6" t="s">
        <v>1904</v>
      </c>
      <c r="F1072" s="194">
        <v>659400</v>
      </c>
      <c r="G1072" s="22"/>
      <c r="H1072" s="179" t="s">
        <v>4799</v>
      </c>
      <c r="I1072" s="179" t="s">
        <v>4800</v>
      </c>
      <c r="J1072" s="179" t="s">
        <v>4801</v>
      </c>
      <c r="K1072" s="6" t="s">
        <v>1886</v>
      </c>
      <c r="L1072" s="188"/>
      <c r="M1072" s="34"/>
    </row>
    <row r="1073" spans="1:13" ht="25.5">
      <c r="A1073" s="22">
        <v>2013</v>
      </c>
      <c r="B1073" s="179" t="s">
        <v>4802</v>
      </c>
      <c r="C1073" s="112" t="s">
        <v>3096</v>
      </c>
      <c r="D1073" s="179" t="s">
        <v>3075</v>
      </c>
      <c r="E1073" s="6"/>
      <c r="F1073" s="194">
        <v>200000</v>
      </c>
      <c r="G1073" s="180"/>
      <c r="H1073" s="179" t="s">
        <v>4803</v>
      </c>
      <c r="I1073" s="179" t="s">
        <v>4804</v>
      </c>
      <c r="J1073" s="179" t="s">
        <v>4726</v>
      </c>
      <c r="K1073" s="179" t="s">
        <v>1828</v>
      </c>
      <c r="L1073" s="188"/>
      <c r="M1073" s="34"/>
    </row>
    <row r="1074" spans="1:13" ht="38.25">
      <c r="A1074" s="22">
        <v>2013</v>
      </c>
      <c r="B1074" s="179" t="s">
        <v>4805</v>
      </c>
      <c r="C1074" s="112" t="s">
        <v>3096</v>
      </c>
      <c r="D1074" s="179" t="s">
        <v>125</v>
      </c>
      <c r="E1074" s="6" t="s">
        <v>1874</v>
      </c>
      <c r="F1074" s="195">
        <v>360600</v>
      </c>
      <c r="G1074" s="180"/>
      <c r="H1074" s="179" t="s">
        <v>4806</v>
      </c>
      <c r="I1074" s="179" t="s">
        <v>4804</v>
      </c>
      <c r="J1074" s="179" t="s">
        <v>4726</v>
      </c>
      <c r="K1074" s="179" t="s">
        <v>1828</v>
      </c>
      <c r="L1074" s="188"/>
      <c r="M1074" s="34"/>
    </row>
    <row r="1075" spans="1:13" ht="38.25">
      <c r="A1075" s="22">
        <v>2013</v>
      </c>
      <c r="B1075" s="179" t="s">
        <v>4807</v>
      </c>
      <c r="C1075" s="112" t="s">
        <v>61</v>
      </c>
      <c r="D1075" s="180" t="s">
        <v>68</v>
      </c>
      <c r="E1075" s="6" t="s">
        <v>1874</v>
      </c>
      <c r="F1075" s="194">
        <v>996976</v>
      </c>
      <c r="G1075" s="180"/>
      <c r="H1075" s="179" t="s">
        <v>4808</v>
      </c>
      <c r="I1075" s="179" t="s">
        <v>4809</v>
      </c>
      <c r="J1075" s="179" t="s">
        <v>4810</v>
      </c>
      <c r="K1075" s="179" t="s">
        <v>1828</v>
      </c>
      <c r="L1075" s="188"/>
      <c r="M1075" s="34"/>
    </row>
    <row r="1076" spans="1:13" ht="25.5">
      <c r="A1076" s="22">
        <v>2013</v>
      </c>
      <c r="B1076" s="179" t="s">
        <v>4811</v>
      </c>
      <c r="C1076" s="112" t="s">
        <v>61</v>
      </c>
      <c r="D1076" s="180" t="s">
        <v>652</v>
      </c>
      <c r="E1076" s="6" t="s">
        <v>1874</v>
      </c>
      <c r="F1076" s="58">
        <v>109500</v>
      </c>
      <c r="G1076" s="180"/>
      <c r="H1076" s="179" t="s">
        <v>4812</v>
      </c>
      <c r="I1076" s="179" t="s">
        <v>4813</v>
      </c>
      <c r="J1076" s="187" t="s">
        <v>4814</v>
      </c>
      <c r="K1076" s="6" t="s">
        <v>1886</v>
      </c>
      <c r="L1076" s="188"/>
      <c r="M1076" s="34"/>
    </row>
    <row r="1077" spans="1:13" ht="25.5">
      <c r="A1077" s="22">
        <v>2013</v>
      </c>
      <c r="B1077" s="179" t="s">
        <v>4815</v>
      </c>
      <c r="C1077" s="112" t="s">
        <v>61</v>
      </c>
      <c r="D1077" s="191" t="s">
        <v>3092</v>
      </c>
      <c r="E1077" s="6" t="s">
        <v>1904</v>
      </c>
      <c r="F1077" s="194">
        <v>340000</v>
      </c>
      <c r="G1077" s="191"/>
      <c r="H1077" s="179" t="s">
        <v>4816</v>
      </c>
      <c r="I1077" s="179" t="s">
        <v>4817</v>
      </c>
      <c r="J1077" s="179" t="s">
        <v>4818</v>
      </c>
      <c r="K1077" s="6" t="s">
        <v>1886</v>
      </c>
      <c r="L1077" s="188"/>
      <c r="M1077" s="34"/>
    </row>
    <row r="1078" spans="1:13" ht="38.25">
      <c r="A1078" s="22">
        <v>2013</v>
      </c>
      <c r="B1078" s="185">
        <v>41275</v>
      </c>
      <c r="C1078" s="112" t="s">
        <v>61</v>
      </c>
      <c r="D1078" s="180" t="s">
        <v>3168</v>
      </c>
      <c r="E1078" s="115" t="s">
        <v>1859</v>
      </c>
      <c r="F1078" s="194">
        <v>50000</v>
      </c>
      <c r="G1078" s="180"/>
      <c r="H1078" s="179" t="s">
        <v>4819</v>
      </c>
      <c r="I1078" s="179" t="s">
        <v>4820</v>
      </c>
      <c r="J1078" s="179" t="s">
        <v>4821</v>
      </c>
      <c r="K1078" s="179" t="s">
        <v>1828</v>
      </c>
      <c r="L1078" s="188"/>
      <c r="M1078" s="34"/>
    </row>
    <row r="1079" spans="1:13" ht="12.75">
      <c r="A1079" s="22">
        <v>2013</v>
      </c>
      <c r="B1079" s="185">
        <v>41306</v>
      </c>
      <c r="C1079" s="112" t="s">
        <v>61</v>
      </c>
      <c r="D1079" s="180" t="s">
        <v>1763</v>
      </c>
      <c r="E1079" s="115" t="s">
        <v>1859</v>
      </c>
      <c r="F1079" s="194">
        <v>80000</v>
      </c>
      <c r="G1079" s="180"/>
      <c r="H1079" s="206" t="s">
        <v>4822</v>
      </c>
      <c r="I1079" s="179" t="s">
        <v>4823</v>
      </c>
      <c r="J1079" s="179" t="s">
        <v>4824</v>
      </c>
      <c r="K1079" s="6" t="s">
        <v>1886</v>
      </c>
      <c r="L1079" s="188"/>
      <c r="M1079" s="34"/>
    </row>
    <row r="1080" spans="1:13" ht="38.25">
      <c r="A1080" s="22">
        <v>2013</v>
      </c>
      <c r="B1080" s="185">
        <v>41334</v>
      </c>
      <c r="C1080" s="112" t="s">
        <v>61</v>
      </c>
      <c r="D1080" s="180" t="s">
        <v>1383</v>
      </c>
      <c r="E1080" s="115" t="s">
        <v>1859</v>
      </c>
      <c r="F1080" s="194">
        <v>21000</v>
      </c>
      <c r="G1080" s="180"/>
      <c r="H1080" s="179" t="s">
        <v>4825</v>
      </c>
      <c r="I1080" s="179" t="s">
        <v>4826</v>
      </c>
      <c r="J1080" s="179" t="s">
        <v>4827</v>
      </c>
      <c r="K1080" s="179" t="s">
        <v>1828</v>
      </c>
      <c r="L1080" s="188"/>
      <c r="M1080" s="34"/>
    </row>
    <row r="1081" spans="1:13" ht="38.25">
      <c r="A1081" s="22">
        <v>2013</v>
      </c>
      <c r="B1081" s="185">
        <v>41365</v>
      </c>
      <c r="C1081" s="112" t="s">
        <v>61</v>
      </c>
      <c r="D1081" s="180" t="s">
        <v>3168</v>
      </c>
      <c r="E1081" s="115" t="s">
        <v>1859</v>
      </c>
      <c r="F1081" s="194">
        <v>12061.25</v>
      </c>
      <c r="G1081" s="180"/>
      <c r="H1081" s="206" t="s">
        <v>4828</v>
      </c>
      <c r="I1081" s="187" t="s">
        <v>4829</v>
      </c>
      <c r="J1081" s="179" t="s">
        <v>4830</v>
      </c>
      <c r="K1081" s="179" t="s">
        <v>1916</v>
      </c>
      <c r="L1081" s="188"/>
      <c r="M1081" s="34"/>
    </row>
    <row r="1082" spans="1:13" ht="25.5">
      <c r="A1082" s="22">
        <v>2013</v>
      </c>
      <c r="B1082" s="185">
        <v>41395</v>
      </c>
      <c r="C1082" s="112" t="s">
        <v>61</v>
      </c>
      <c r="D1082" s="180" t="s">
        <v>1383</v>
      </c>
      <c r="E1082" s="115" t="s">
        <v>1859</v>
      </c>
      <c r="F1082" s="194">
        <v>25128</v>
      </c>
      <c r="G1082" s="180"/>
      <c r="H1082" s="179" t="s">
        <v>4831</v>
      </c>
      <c r="I1082" s="179" t="s">
        <v>4832</v>
      </c>
      <c r="J1082" s="187"/>
      <c r="K1082" s="179" t="s">
        <v>1828</v>
      </c>
      <c r="L1082" s="188"/>
      <c r="M1082" s="34"/>
    </row>
    <row r="1083" spans="1:13" ht="25.5">
      <c r="A1083" s="22">
        <v>2013</v>
      </c>
      <c r="B1083" s="185">
        <v>41426</v>
      </c>
      <c r="C1083" s="112" t="s">
        <v>61</v>
      </c>
      <c r="D1083" s="180" t="s">
        <v>1383</v>
      </c>
      <c r="E1083" s="115" t="s">
        <v>1859</v>
      </c>
      <c r="F1083" s="194">
        <v>10904.3</v>
      </c>
      <c r="G1083" s="180"/>
      <c r="H1083" s="206" t="s">
        <v>4833</v>
      </c>
      <c r="I1083" s="187" t="s">
        <v>4834</v>
      </c>
      <c r="J1083" s="187" t="s">
        <v>4835</v>
      </c>
      <c r="K1083" s="179" t="s">
        <v>1828</v>
      </c>
      <c r="L1083" s="188"/>
      <c r="M1083" s="34"/>
    </row>
    <row r="1084" spans="1:13" ht="12.75">
      <c r="A1084" s="22">
        <v>2013</v>
      </c>
      <c r="B1084" s="185">
        <v>41456</v>
      </c>
      <c r="C1084" s="112" t="s">
        <v>61</v>
      </c>
      <c r="D1084" s="180" t="s">
        <v>1763</v>
      </c>
      <c r="E1084" s="115" t="s">
        <v>1859</v>
      </c>
      <c r="F1084" s="194">
        <v>100000</v>
      </c>
      <c r="G1084" s="180"/>
      <c r="H1084" s="179" t="s">
        <v>4836</v>
      </c>
      <c r="I1084" s="179" t="s">
        <v>4837</v>
      </c>
      <c r="J1084" s="179" t="s">
        <v>4838</v>
      </c>
      <c r="K1084" s="6" t="s">
        <v>1886</v>
      </c>
      <c r="L1084" s="188"/>
      <c r="M1084" s="34"/>
    </row>
    <row r="1085" spans="1:13" ht="12.75">
      <c r="A1085" s="22">
        <v>2013</v>
      </c>
      <c r="B1085" s="185">
        <v>41487</v>
      </c>
      <c r="C1085" s="112" t="s">
        <v>61</v>
      </c>
      <c r="D1085" s="180" t="s">
        <v>394</v>
      </c>
      <c r="E1085" s="115" t="s">
        <v>1853</v>
      </c>
      <c r="F1085" s="194">
        <v>32000</v>
      </c>
      <c r="G1085" s="180"/>
      <c r="H1085" s="179" t="s">
        <v>4839</v>
      </c>
      <c r="I1085" s="179" t="s">
        <v>1346</v>
      </c>
      <c r="J1085" s="179" t="s">
        <v>4149</v>
      </c>
      <c r="K1085" s="6" t="s">
        <v>2082</v>
      </c>
      <c r="L1085" s="188"/>
      <c r="M1085" s="34"/>
    </row>
    <row r="1086" spans="1:13" ht="25.5">
      <c r="A1086" s="22">
        <v>2013</v>
      </c>
      <c r="B1086" s="185">
        <v>41518</v>
      </c>
      <c r="C1086" s="112" t="s">
        <v>61</v>
      </c>
      <c r="D1086" s="180" t="s">
        <v>1141</v>
      </c>
      <c r="E1086" s="6" t="s">
        <v>1904</v>
      </c>
      <c r="F1086" s="194">
        <v>94895</v>
      </c>
      <c r="G1086" s="180"/>
      <c r="H1086" s="179" t="s">
        <v>4840</v>
      </c>
      <c r="I1086" s="179" t="s">
        <v>4841</v>
      </c>
      <c r="J1086" s="187" t="s">
        <v>4842</v>
      </c>
      <c r="K1086" s="179" t="s">
        <v>1916</v>
      </c>
      <c r="L1086" s="188"/>
      <c r="M1086" s="34"/>
    </row>
    <row r="1087" spans="1:13" ht="51">
      <c r="A1087" s="22">
        <v>2013</v>
      </c>
      <c r="B1087" s="192">
        <v>41548</v>
      </c>
      <c r="C1087" s="112" t="s">
        <v>61</v>
      </c>
      <c r="D1087" s="180" t="s">
        <v>4787</v>
      </c>
      <c r="E1087" s="115" t="s">
        <v>1859</v>
      </c>
      <c r="F1087" s="194">
        <v>84000</v>
      </c>
      <c r="G1087" s="180"/>
      <c r="H1087" s="179" t="s">
        <v>4843</v>
      </c>
      <c r="I1087" s="179" t="s">
        <v>4844</v>
      </c>
      <c r="J1087" s="187" t="s">
        <v>4845</v>
      </c>
      <c r="K1087" s="179" t="s">
        <v>1828</v>
      </c>
      <c r="L1087" s="188"/>
      <c r="M1087" s="34"/>
    </row>
    <row r="1088" spans="1:13" ht="12.75">
      <c r="A1088" s="22">
        <v>2013</v>
      </c>
      <c r="B1088" s="179" t="s">
        <v>4846</v>
      </c>
      <c r="C1088" s="112" t="s">
        <v>61</v>
      </c>
      <c r="D1088" s="180" t="s">
        <v>1383</v>
      </c>
      <c r="E1088" s="115" t="s">
        <v>1859</v>
      </c>
      <c r="F1088" s="194">
        <v>100000</v>
      </c>
      <c r="G1088" s="180"/>
      <c r="H1088" s="179" t="s">
        <v>4847</v>
      </c>
      <c r="I1088" s="179" t="s">
        <v>840</v>
      </c>
      <c r="J1088" s="178" t="s">
        <v>4848</v>
      </c>
      <c r="K1088" s="179" t="s">
        <v>1828</v>
      </c>
      <c r="L1088" s="188"/>
      <c r="M1088" s="34"/>
    </row>
    <row r="1089" spans="1:13" ht="25.5">
      <c r="A1089" s="22">
        <v>2013</v>
      </c>
      <c r="B1089" s="192">
        <v>41609</v>
      </c>
      <c r="C1089" s="112" t="s">
        <v>61</v>
      </c>
      <c r="D1089" s="180" t="s">
        <v>1383</v>
      </c>
      <c r="E1089" s="115" t="s">
        <v>1859</v>
      </c>
      <c r="F1089" s="194">
        <v>30000</v>
      </c>
      <c r="G1089" s="180"/>
      <c r="H1089" s="179" t="s">
        <v>4849</v>
      </c>
      <c r="I1089" s="179" t="s">
        <v>1346</v>
      </c>
      <c r="J1089" s="187" t="s">
        <v>4848</v>
      </c>
      <c r="K1089" s="6" t="s">
        <v>2082</v>
      </c>
      <c r="L1089" s="188"/>
      <c r="M1089" s="34"/>
    </row>
    <row r="1090" spans="1:13" ht="25.5">
      <c r="A1090" s="22">
        <v>2013</v>
      </c>
      <c r="B1090" s="179" t="s">
        <v>4744</v>
      </c>
      <c r="C1090" s="112" t="s">
        <v>61</v>
      </c>
      <c r="D1090" s="180" t="s">
        <v>1383</v>
      </c>
      <c r="E1090" s="115" t="s">
        <v>1859</v>
      </c>
      <c r="F1090" s="194">
        <v>50000</v>
      </c>
      <c r="G1090" s="180"/>
      <c r="H1090" s="179" t="s">
        <v>4850</v>
      </c>
      <c r="I1090" s="179" t="s">
        <v>4851</v>
      </c>
      <c r="J1090" s="187" t="s">
        <v>4848</v>
      </c>
      <c r="K1090" s="179" t="s">
        <v>1828</v>
      </c>
      <c r="L1090" s="188"/>
      <c r="M1090" s="34"/>
    </row>
    <row r="1091" spans="1:13" ht="51">
      <c r="A1091" s="22">
        <v>2013</v>
      </c>
      <c r="B1091" s="179" t="s">
        <v>4748</v>
      </c>
      <c r="C1091" s="112" t="s">
        <v>61</v>
      </c>
      <c r="D1091" s="180" t="s">
        <v>1383</v>
      </c>
      <c r="E1091" s="115" t="s">
        <v>1859</v>
      </c>
      <c r="F1091" s="194">
        <v>35000</v>
      </c>
      <c r="G1091" s="180"/>
      <c r="H1091" s="179" t="s">
        <v>4852</v>
      </c>
      <c r="I1091" s="179" t="s">
        <v>4853</v>
      </c>
      <c r="J1091" s="187" t="s">
        <v>4848</v>
      </c>
      <c r="K1091" s="179" t="s">
        <v>1828</v>
      </c>
      <c r="L1091" s="188"/>
      <c r="M1091" s="34"/>
    </row>
    <row r="1092" spans="1:13" ht="12.75">
      <c r="A1092" s="22">
        <v>2013</v>
      </c>
      <c r="B1092" s="179" t="s">
        <v>4750</v>
      </c>
      <c r="C1092" s="112" t="s">
        <v>61</v>
      </c>
      <c r="D1092" s="180" t="s">
        <v>1141</v>
      </c>
      <c r="E1092" s="6" t="s">
        <v>1904</v>
      </c>
      <c r="F1092" s="194">
        <v>90693</v>
      </c>
      <c r="G1092" s="180"/>
      <c r="H1092" s="179" t="s">
        <v>4854</v>
      </c>
      <c r="I1092" s="179" t="s">
        <v>4855</v>
      </c>
      <c r="J1092" s="187" t="s">
        <v>4856</v>
      </c>
      <c r="K1092" s="179" t="s">
        <v>2031</v>
      </c>
      <c r="L1092" s="188"/>
      <c r="M1092" s="34"/>
    </row>
    <row r="1093" spans="1:13" ht="38.25">
      <c r="A1093" s="22">
        <v>2013</v>
      </c>
      <c r="B1093" s="179" t="s">
        <v>4754</v>
      </c>
      <c r="C1093" s="112" t="s">
        <v>61</v>
      </c>
      <c r="D1093" s="180" t="s">
        <v>1763</v>
      </c>
      <c r="E1093" s="115" t="s">
        <v>1859</v>
      </c>
      <c r="F1093" s="194">
        <v>60000</v>
      </c>
      <c r="G1093" s="180"/>
      <c r="H1093" s="178" t="s">
        <v>4857</v>
      </c>
      <c r="I1093" s="179" t="s">
        <v>4858</v>
      </c>
      <c r="J1093" s="187" t="s">
        <v>4859</v>
      </c>
      <c r="K1093" s="198" t="s">
        <v>2041</v>
      </c>
      <c r="L1093" s="188"/>
      <c r="M1093" s="34"/>
    </row>
    <row r="1094" spans="1:13" ht="38.25">
      <c r="A1094" s="22">
        <v>2013</v>
      </c>
      <c r="B1094" s="179" t="s">
        <v>4762</v>
      </c>
      <c r="C1094" s="112" t="s">
        <v>61</v>
      </c>
      <c r="D1094" s="180" t="s">
        <v>1383</v>
      </c>
      <c r="E1094" s="115" t="s">
        <v>1859</v>
      </c>
      <c r="F1094" s="194">
        <v>25000</v>
      </c>
      <c r="G1094" s="180"/>
      <c r="H1094" s="179" t="s">
        <v>4860</v>
      </c>
      <c r="I1094" s="179" t="s">
        <v>4861</v>
      </c>
      <c r="J1094" s="187" t="s">
        <v>4862</v>
      </c>
      <c r="K1094" s="179" t="s">
        <v>1828</v>
      </c>
      <c r="L1094" s="188"/>
      <c r="M1094" s="34"/>
    </row>
    <row r="1095" spans="1:13" ht="25.5">
      <c r="A1095" s="22">
        <v>2013</v>
      </c>
      <c r="B1095" s="179" t="s">
        <v>4766</v>
      </c>
      <c r="C1095" s="112" t="s">
        <v>61</v>
      </c>
      <c r="D1095" s="22" t="s">
        <v>62</v>
      </c>
      <c r="E1095" s="6" t="s">
        <v>1904</v>
      </c>
      <c r="F1095" s="194">
        <v>97464</v>
      </c>
      <c r="G1095" s="22"/>
      <c r="H1095" s="179" t="s">
        <v>4863</v>
      </c>
      <c r="I1095" s="179" t="s">
        <v>4864</v>
      </c>
      <c r="J1095" s="179" t="s">
        <v>4865</v>
      </c>
      <c r="K1095" s="179" t="s">
        <v>1899</v>
      </c>
      <c r="L1095" s="188"/>
      <c r="M1095" s="34"/>
    </row>
    <row r="1096" spans="1:13" ht="12.75">
      <c r="A1096" s="22">
        <v>2013</v>
      </c>
      <c r="B1096" s="179" t="s">
        <v>4770</v>
      </c>
      <c r="C1096" s="112" t="s">
        <v>61</v>
      </c>
      <c r="D1096" s="180" t="s">
        <v>3168</v>
      </c>
      <c r="E1096" s="115" t="s">
        <v>1859</v>
      </c>
      <c r="F1096" s="194">
        <v>46700</v>
      </c>
      <c r="G1096" s="180"/>
      <c r="H1096" s="179" t="s">
        <v>4866</v>
      </c>
      <c r="I1096" s="179" t="s">
        <v>575</v>
      </c>
      <c r="J1096" s="187" t="s">
        <v>4149</v>
      </c>
      <c r="K1096" s="179" t="s">
        <v>1828</v>
      </c>
      <c r="L1096" s="188"/>
      <c r="M1096" s="34"/>
    </row>
    <row r="1097" spans="1:13" ht="25.5">
      <c r="A1097" s="22">
        <v>2013</v>
      </c>
      <c r="B1097" s="179" t="s">
        <v>4867</v>
      </c>
      <c r="C1097" s="112" t="s">
        <v>61</v>
      </c>
      <c r="D1097" s="180" t="s">
        <v>1383</v>
      </c>
      <c r="E1097" s="115" t="s">
        <v>1859</v>
      </c>
      <c r="F1097" s="194">
        <v>6000</v>
      </c>
      <c r="G1097" s="180"/>
      <c r="H1097" s="179" t="s">
        <v>4868</v>
      </c>
      <c r="I1097" s="179" t="s">
        <v>4869</v>
      </c>
      <c r="J1097" s="179" t="s">
        <v>4870</v>
      </c>
      <c r="K1097" s="179" t="s">
        <v>1828</v>
      </c>
      <c r="L1097" s="188"/>
      <c r="M1097" s="34"/>
    </row>
    <row r="1098" spans="1:13" ht="25.5">
      <c r="A1098" s="22">
        <v>2013</v>
      </c>
      <c r="B1098" s="179" t="s">
        <v>4871</v>
      </c>
      <c r="C1098" s="112" t="s">
        <v>61</v>
      </c>
      <c r="D1098" s="180" t="s">
        <v>1383</v>
      </c>
      <c r="E1098" s="115" t="s">
        <v>1859</v>
      </c>
      <c r="F1098" s="194">
        <v>100000</v>
      </c>
      <c r="G1098" s="180"/>
      <c r="H1098" s="179" t="s">
        <v>4872</v>
      </c>
      <c r="I1098" s="179" t="s">
        <v>4873</v>
      </c>
      <c r="J1098" s="179" t="s">
        <v>4874</v>
      </c>
      <c r="K1098" s="6" t="s">
        <v>1886</v>
      </c>
      <c r="L1098" s="188"/>
      <c r="M1098" s="34"/>
    </row>
    <row r="1099" spans="1:13" ht="25.5">
      <c r="A1099" s="22">
        <v>2013</v>
      </c>
      <c r="B1099" s="179" t="s">
        <v>4875</v>
      </c>
      <c r="C1099" s="112" t="s">
        <v>61</v>
      </c>
      <c r="D1099" s="180" t="s">
        <v>394</v>
      </c>
      <c r="E1099" s="115" t="s">
        <v>1853</v>
      </c>
      <c r="F1099" s="194">
        <v>37500</v>
      </c>
      <c r="G1099" s="180"/>
      <c r="H1099" s="179" t="s">
        <v>4876</v>
      </c>
      <c r="I1099" s="179" t="s">
        <v>1508</v>
      </c>
      <c r="J1099" s="179" t="s">
        <v>4877</v>
      </c>
      <c r="K1099" s="53" t="s">
        <v>2085</v>
      </c>
      <c r="L1099" s="188"/>
      <c r="M1099" s="34"/>
    </row>
    <row r="1100" spans="1:13" ht="12.75">
      <c r="A1100" s="22">
        <v>2013</v>
      </c>
      <c r="B1100" s="179" t="s">
        <v>4878</v>
      </c>
      <c r="C1100" s="53" t="s">
        <v>61</v>
      </c>
      <c r="D1100" s="180" t="s">
        <v>1383</v>
      </c>
      <c r="E1100" s="115" t="s">
        <v>1859</v>
      </c>
      <c r="F1100" s="194"/>
      <c r="G1100" s="180"/>
      <c r="H1100" s="179" t="s">
        <v>4879</v>
      </c>
      <c r="I1100" s="179" t="s">
        <v>4880</v>
      </c>
      <c r="J1100" s="179"/>
      <c r="K1100" s="179"/>
      <c r="L1100" s="188"/>
      <c r="M1100" s="34"/>
    </row>
    <row r="1101" spans="1:13" ht="51">
      <c r="A1101" s="22">
        <v>2013</v>
      </c>
      <c r="B1101" s="179" t="s">
        <v>4881</v>
      </c>
      <c r="C1101" s="112" t="s">
        <v>61</v>
      </c>
      <c r="D1101" s="180" t="s">
        <v>1383</v>
      </c>
      <c r="E1101" s="115" t="s">
        <v>1859</v>
      </c>
      <c r="F1101" s="194">
        <v>30500</v>
      </c>
      <c r="G1101" s="180"/>
      <c r="H1101" s="179" t="s">
        <v>4882</v>
      </c>
      <c r="I1101" s="179" t="s">
        <v>4883</v>
      </c>
      <c r="J1101" s="187" t="s">
        <v>4884</v>
      </c>
      <c r="K1101" s="179" t="s">
        <v>1828</v>
      </c>
      <c r="L1101" s="188"/>
      <c r="M1101" s="34"/>
    </row>
    <row r="1102" spans="1:13" ht="25.5">
      <c r="A1102" s="22">
        <v>2013</v>
      </c>
      <c r="B1102" s="179" t="s">
        <v>4790</v>
      </c>
      <c r="C1102" s="112" t="s">
        <v>61</v>
      </c>
      <c r="D1102" s="180" t="s">
        <v>1383</v>
      </c>
      <c r="E1102" s="115" t="s">
        <v>1859</v>
      </c>
      <c r="F1102" s="194">
        <v>84500</v>
      </c>
      <c r="G1102" s="180"/>
      <c r="H1102" s="179" t="s">
        <v>4885</v>
      </c>
      <c r="I1102" s="179" t="s">
        <v>4886</v>
      </c>
      <c r="J1102" s="187"/>
      <c r="K1102" s="179" t="s">
        <v>1828</v>
      </c>
      <c r="L1102" s="188"/>
      <c r="M1102" s="34"/>
    </row>
    <row r="1103" spans="1:13" ht="38.25">
      <c r="A1103" s="22">
        <v>2013</v>
      </c>
      <c r="B1103" s="179" t="s">
        <v>4887</v>
      </c>
      <c r="C1103" s="112" t="s">
        <v>61</v>
      </c>
      <c r="D1103" s="180" t="s">
        <v>1383</v>
      </c>
      <c r="E1103" s="115" t="s">
        <v>1859</v>
      </c>
      <c r="F1103" s="194">
        <v>50000</v>
      </c>
      <c r="G1103" s="180"/>
      <c r="H1103" s="179" t="s">
        <v>4888</v>
      </c>
      <c r="I1103" s="179" t="s">
        <v>4851</v>
      </c>
      <c r="J1103" s="187"/>
      <c r="K1103" s="179" t="s">
        <v>1828</v>
      </c>
      <c r="L1103" s="188"/>
      <c r="M1103" s="34"/>
    </row>
    <row r="1104" spans="1:13" ht="25.5">
      <c r="A1104" s="22">
        <v>2013</v>
      </c>
      <c r="B1104" s="179" t="s">
        <v>4798</v>
      </c>
      <c r="C1104" s="112" t="s">
        <v>61</v>
      </c>
      <c r="D1104" s="180" t="s">
        <v>1383</v>
      </c>
      <c r="E1104" s="115" t="s">
        <v>1859</v>
      </c>
      <c r="F1104" s="194">
        <v>39000</v>
      </c>
      <c r="G1104" s="180"/>
      <c r="H1104" s="179" t="s">
        <v>4889</v>
      </c>
      <c r="I1104" s="179" t="s">
        <v>1598</v>
      </c>
      <c r="J1104" s="187" t="s">
        <v>4890</v>
      </c>
      <c r="K1104" s="179" t="s">
        <v>2031</v>
      </c>
      <c r="L1104" s="188"/>
      <c r="M1104" s="34"/>
    </row>
    <row r="1105" spans="1:13" ht="38.25">
      <c r="A1105" s="22">
        <v>2013</v>
      </c>
      <c r="B1105" s="179" t="s">
        <v>4802</v>
      </c>
      <c r="C1105" s="112" t="s">
        <v>61</v>
      </c>
      <c r="D1105" s="180" t="s">
        <v>1383</v>
      </c>
      <c r="E1105" s="115" t="s">
        <v>1859</v>
      </c>
      <c r="F1105" s="194">
        <v>50000</v>
      </c>
      <c r="G1105" s="180"/>
      <c r="H1105" s="179" t="s">
        <v>4891</v>
      </c>
      <c r="I1105" s="179" t="s">
        <v>4892</v>
      </c>
      <c r="J1105" s="187" t="s">
        <v>3686</v>
      </c>
      <c r="K1105" s="6" t="s">
        <v>1886</v>
      </c>
      <c r="L1105" s="188"/>
      <c r="M1105" s="34"/>
    </row>
    <row r="1106" spans="1:13" ht="12.75">
      <c r="A1106" s="22">
        <v>2013</v>
      </c>
      <c r="B1106" s="179" t="s">
        <v>4805</v>
      </c>
      <c r="C1106" s="112" t="s">
        <v>61</v>
      </c>
      <c r="D1106" s="180" t="s">
        <v>1383</v>
      </c>
      <c r="E1106" s="115" t="s">
        <v>1859</v>
      </c>
      <c r="F1106" s="194">
        <v>20000</v>
      </c>
      <c r="G1106" s="180"/>
      <c r="H1106" s="179" t="s">
        <v>4893</v>
      </c>
      <c r="I1106" s="179" t="s">
        <v>4894</v>
      </c>
      <c r="J1106" s="187" t="s">
        <v>1938</v>
      </c>
      <c r="K1106" s="179" t="s">
        <v>1828</v>
      </c>
      <c r="L1106" s="188"/>
      <c r="M1106" s="34"/>
    </row>
    <row r="1107" spans="1:13" ht="25.5">
      <c r="A1107" s="22">
        <v>2013</v>
      </c>
      <c r="B1107" s="179" t="s">
        <v>4807</v>
      </c>
      <c r="C1107" s="112" t="s">
        <v>61</v>
      </c>
      <c r="D1107" s="180" t="s">
        <v>1383</v>
      </c>
      <c r="E1107" s="115" t="s">
        <v>1859</v>
      </c>
      <c r="F1107" s="194">
        <v>20000</v>
      </c>
      <c r="G1107" s="180"/>
      <c r="H1107" s="179" t="s">
        <v>4895</v>
      </c>
      <c r="I1107" s="179" t="s">
        <v>4896</v>
      </c>
      <c r="J1107" s="187" t="s">
        <v>4897</v>
      </c>
      <c r="K1107" s="179" t="s">
        <v>1828</v>
      </c>
      <c r="L1107" s="188"/>
      <c r="M1107" s="34"/>
    </row>
    <row r="1108" spans="1:13" ht="12.75">
      <c r="A1108" s="22">
        <v>2013</v>
      </c>
      <c r="B1108" s="179" t="s">
        <v>4811</v>
      </c>
      <c r="C1108" s="112" t="s">
        <v>61</v>
      </c>
      <c r="D1108" s="180" t="s">
        <v>1383</v>
      </c>
      <c r="E1108" s="115" t="s">
        <v>1859</v>
      </c>
      <c r="F1108" s="194">
        <v>20000</v>
      </c>
      <c r="G1108" s="180"/>
      <c r="H1108" s="179" t="s">
        <v>4898</v>
      </c>
      <c r="I1108" s="179" t="s">
        <v>1889</v>
      </c>
      <c r="J1108" s="179" t="s">
        <v>1938</v>
      </c>
      <c r="K1108" s="179" t="s">
        <v>1828</v>
      </c>
      <c r="L1108" s="188"/>
      <c r="M1108" s="34"/>
    </row>
    <row r="1109" spans="1:13" ht="12.75">
      <c r="A1109" s="22">
        <v>2013</v>
      </c>
      <c r="B1109" s="179" t="s">
        <v>4815</v>
      </c>
      <c r="C1109" s="112" t="s">
        <v>61</v>
      </c>
      <c r="D1109" s="180" t="s">
        <v>1383</v>
      </c>
      <c r="E1109" s="115" t="s">
        <v>1859</v>
      </c>
      <c r="F1109" s="194">
        <v>60000</v>
      </c>
      <c r="G1109" s="180"/>
      <c r="H1109" s="179" t="s">
        <v>4899</v>
      </c>
      <c r="I1109" s="179" t="s">
        <v>1889</v>
      </c>
      <c r="J1109" s="179" t="s">
        <v>1938</v>
      </c>
      <c r="K1109" s="179" t="s">
        <v>1828</v>
      </c>
      <c r="L1109" s="188"/>
      <c r="M1109" s="34"/>
    </row>
    <row r="1110" spans="1:13" ht="12.75">
      <c r="A1110" s="22">
        <v>2013</v>
      </c>
      <c r="B1110" s="179" t="s">
        <v>4900</v>
      </c>
      <c r="C1110" s="112" t="s">
        <v>61</v>
      </c>
      <c r="D1110" s="180" t="s">
        <v>1383</v>
      </c>
      <c r="E1110" s="115" t="s">
        <v>1859</v>
      </c>
      <c r="F1110" s="194">
        <v>20000</v>
      </c>
      <c r="G1110" s="180"/>
      <c r="H1110" s="179" t="s">
        <v>4901</v>
      </c>
      <c r="I1110" s="179" t="s">
        <v>4837</v>
      </c>
      <c r="J1110" s="179" t="s">
        <v>1938</v>
      </c>
      <c r="K1110" s="179" t="s">
        <v>1828</v>
      </c>
      <c r="L1110" s="188"/>
      <c r="M1110" s="34"/>
    </row>
    <row r="1111" spans="1:13" ht="12.75">
      <c r="A1111" s="22">
        <v>2013</v>
      </c>
      <c r="B1111" s="179" t="s">
        <v>4902</v>
      </c>
      <c r="C1111" s="112" t="s">
        <v>61</v>
      </c>
      <c r="D1111" s="180" t="s">
        <v>1383</v>
      </c>
      <c r="E1111" s="115" t="s">
        <v>1859</v>
      </c>
      <c r="F1111" s="194">
        <v>20000</v>
      </c>
      <c r="G1111" s="180"/>
      <c r="H1111" s="179" t="s">
        <v>4903</v>
      </c>
      <c r="I1111" s="179" t="s">
        <v>4904</v>
      </c>
      <c r="J1111" s="179" t="s">
        <v>1938</v>
      </c>
      <c r="K1111" s="6" t="s">
        <v>1886</v>
      </c>
      <c r="L1111" s="188"/>
      <c r="M1111" s="34"/>
    </row>
    <row r="1112" spans="1:13" ht="12.75">
      <c r="A1112" s="22">
        <v>2013</v>
      </c>
      <c r="B1112" s="179" t="s">
        <v>4905</v>
      </c>
      <c r="C1112" s="112" t="s">
        <v>61</v>
      </c>
      <c r="D1112" s="180" t="s">
        <v>1383</v>
      </c>
      <c r="E1112" s="115" t="s">
        <v>1859</v>
      </c>
      <c r="F1112" s="194">
        <v>20000</v>
      </c>
      <c r="G1112" s="180"/>
      <c r="H1112" s="179" t="s">
        <v>4906</v>
      </c>
      <c r="I1112" s="179" t="s">
        <v>4907</v>
      </c>
      <c r="J1112" s="179" t="s">
        <v>1938</v>
      </c>
      <c r="K1112" s="179" t="s">
        <v>1828</v>
      </c>
      <c r="L1112" s="188"/>
      <c r="M1112" s="34"/>
    </row>
    <row r="1113" spans="1:13" ht="12.75">
      <c r="A1113" s="22">
        <v>2013</v>
      </c>
      <c r="B1113" s="179" t="s">
        <v>4908</v>
      </c>
      <c r="C1113" s="112" t="s">
        <v>61</v>
      </c>
      <c r="D1113" s="180" t="s">
        <v>1383</v>
      </c>
      <c r="E1113" s="115" t="s">
        <v>1859</v>
      </c>
      <c r="F1113" s="194">
        <v>57000</v>
      </c>
      <c r="G1113" s="180"/>
      <c r="H1113" s="179" t="s">
        <v>4909</v>
      </c>
      <c r="I1113" s="179" t="s">
        <v>4910</v>
      </c>
      <c r="J1113" s="179" t="s">
        <v>1938</v>
      </c>
      <c r="K1113" s="179" t="s">
        <v>1896</v>
      </c>
      <c r="L1113" s="188"/>
      <c r="M1113" s="34"/>
    </row>
    <row r="1114" spans="1:13" ht="12.75">
      <c r="A1114" s="22">
        <v>2013</v>
      </c>
      <c r="B1114" s="179" t="s">
        <v>4911</v>
      </c>
      <c r="C1114" s="112" t="s">
        <v>61</v>
      </c>
      <c r="D1114" s="180" t="s">
        <v>1383</v>
      </c>
      <c r="E1114" s="115" t="s">
        <v>1859</v>
      </c>
      <c r="F1114" s="194">
        <v>20000</v>
      </c>
      <c r="G1114" s="180"/>
      <c r="H1114" s="179" t="s">
        <v>4912</v>
      </c>
      <c r="I1114" s="179" t="s">
        <v>416</v>
      </c>
      <c r="J1114" s="179" t="s">
        <v>1938</v>
      </c>
      <c r="K1114" s="179" t="s">
        <v>1828</v>
      </c>
      <c r="L1114" s="188"/>
      <c r="M1114" s="34"/>
    </row>
    <row r="1115" spans="1:13" ht="25.5">
      <c r="A1115" s="22">
        <v>2013</v>
      </c>
      <c r="B1115" s="179" t="s">
        <v>4913</v>
      </c>
      <c r="C1115" s="112" t="s">
        <v>61</v>
      </c>
      <c r="D1115" s="180" t="s">
        <v>1383</v>
      </c>
      <c r="E1115" s="115" t="s">
        <v>1859</v>
      </c>
      <c r="F1115" s="194">
        <v>43000</v>
      </c>
      <c r="G1115" s="180"/>
      <c r="H1115" s="179" t="s">
        <v>4914</v>
      </c>
      <c r="I1115" s="179" t="s">
        <v>1641</v>
      </c>
      <c r="J1115" s="179" t="s">
        <v>4915</v>
      </c>
      <c r="K1115" s="179" t="s">
        <v>1919</v>
      </c>
      <c r="L1115" s="188"/>
      <c r="M1115" s="34"/>
    </row>
    <row r="1116" spans="1:13" ht="25.5">
      <c r="A1116" s="22">
        <v>2013</v>
      </c>
      <c r="B1116" s="179" t="s">
        <v>4916</v>
      </c>
      <c r="C1116" s="112" t="s">
        <v>61</v>
      </c>
      <c r="D1116" s="180" t="s">
        <v>1383</v>
      </c>
      <c r="E1116" s="115" t="s">
        <v>1859</v>
      </c>
      <c r="F1116" s="194">
        <v>20000</v>
      </c>
      <c r="G1116" s="180"/>
      <c r="H1116" s="179" t="s">
        <v>4917</v>
      </c>
      <c r="I1116" s="179" t="s">
        <v>1410</v>
      </c>
      <c r="J1116" s="179" t="s">
        <v>1938</v>
      </c>
      <c r="K1116" s="179" t="s">
        <v>1828</v>
      </c>
      <c r="L1116" s="188"/>
      <c r="M1116" s="34"/>
    </row>
    <row r="1117" spans="1:13" ht="12.75">
      <c r="A1117" s="22">
        <v>2013</v>
      </c>
      <c r="B1117" s="179" t="s">
        <v>4918</v>
      </c>
      <c r="C1117" s="112" t="s">
        <v>61</v>
      </c>
      <c r="D1117" s="180" t="s">
        <v>1383</v>
      </c>
      <c r="E1117" s="115" t="s">
        <v>1859</v>
      </c>
      <c r="F1117" s="194">
        <v>20000</v>
      </c>
      <c r="G1117" s="180"/>
      <c r="H1117" s="179" t="s">
        <v>4919</v>
      </c>
      <c r="I1117" s="179" t="s">
        <v>1585</v>
      </c>
      <c r="J1117" s="179" t="s">
        <v>1938</v>
      </c>
      <c r="K1117" s="179" t="s">
        <v>1828</v>
      </c>
      <c r="L1117" s="188"/>
      <c r="M1117" s="34"/>
    </row>
    <row r="1118" spans="1:13" ht="25.5">
      <c r="A1118" s="22">
        <v>2013</v>
      </c>
      <c r="B1118" s="179" t="s">
        <v>4920</v>
      </c>
      <c r="C1118" s="112" t="s">
        <v>61</v>
      </c>
      <c r="D1118" s="180" t="s">
        <v>1383</v>
      </c>
      <c r="E1118" s="115" t="s">
        <v>1859</v>
      </c>
      <c r="F1118" s="194">
        <v>50000</v>
      </c>
      <c r="G1118" s="180"/>
      <c r="H1118" s="179" t="s">
        <v>4921</v>
      </c>
      <c r="I1118" s="179" t="s">
        <v>4922</v>
      </c>
      <c r="J1118" s="179" t="s">
        <v>1938</v>
      </c>
      <c r="K1118" s="179" t="s">
        <v>1828</v>
      </c>
      <c r="L1118" s="188"/>
      <c r="M1118" s="34"/>
    </row>
    <row r="1119" spans="1:13" ht="25.5">
      <c r="A1119" s="22">
        <v>2013</v>
      </c>
      <c r="B1119" s="179" t="s">
        <v>4923</v>
      </c>
      <c r="C1119" s="112" t="s">
        <v>61</v>
      </c>
      <c r="D1119" s="180" t="s">
        <v>1383</v>
      </c>
      <c r="E1119" s="115" t="s">
        <v>1859</v>
      </c>
      <c r="F1119" s="194">
        <v>20000</v>
      </c>
      <c r="G1119" s="180"/>
      <c r="H1119" s="179" t="s">
        <v>4924</v>
      </c>
      <c r="I1119" s="179" t="s">
        <v>4925</v>
      </c>
      <c r="J1119" s="179" t="s">
        <v>1938</v>
      </c>
      <c r="K1119" s="179" t="s">
        <v>1828</v>
      </c>
      <c r="L1119" s="188"/>
      <c r="M1119" s="34"/>
    </row>
    <row r="1120" spans="1:13" ht="25.5">
      <c r="A1120" s="22">
        <v>2013</v>
      </c>
      <c r="B1120" s="179" t="s">
        <v>4926</v>
      </c>
      <c r="C1120" s="112" t="s">
        <v>61</v>
      </c>
      <c r="D1120" s="180" t="s">
        <v>2724</v>
      </c>
      <c r="E1120" s="6" t="s">
        <v>1874</v>
      </c>
      <c r="F1120" s="194">
        <v>100000</v>
      </c>
      <c r="G1120" s="180"/>
      <c r="H1120" s="179" t="s">
        <v>4927</v>
      </c>
      <c r="I1120" s="179" t="s">
        <v>1598</v>
      </c>
      <c r="J1120" s="179" t="s">
        <v>4890</v>
      </c>
      <c r="K1120" s="179" t="s">
        <v>2031</v>
      </c>
      <c r="L1120" s="188"/>
      <c r="M1120" s="34"/>
    </row>
    <row r="1121" spans="1:13" ht="25.5">
      <c r="A1121" s="22">
        <v>2013</v>
      </c>
      <c r="B1121" s="179" t="s">
        <v>4928</v>
      </c>
      <c r="C1121" s="112" t="s">
        <v>61</v>
      </c>
      <c r="D1121" s="180" t="s">
        <v>4787</v>
      </c>
      <c r="E1121" s="115" t="s">
        <v>1859</v>
      </c>
      <c r="F1121" s="194">
        <v>84700</v>
      </c>
      <c r="G1121" s="180"/>
      <c r="H1121" s="179" t="s">
        <v>4929</v>
      </c>
      <c r="I1121" s="179" t="s">
        <v>4930</v>
      </c>
      <c r="J1121" s="179" t="s">
        <v>3733</v>
      </c>
      <c r="K1121" s="9" t="s">
        <v>2676</v>
      </c>
      <c r="L1121" s="188"/>
      <c r="M1121" s="34"/>
    </row>
    <row r="1122" spans="1:13" ht="25.5">
      <c r="A1122" s="22">
        <v>2013</v>
      </c>
      <c r="B1122" s="179" t="s">
        <v>4931</v>
      </c>
      <c r="C1122" s="112" t="s">
        <v>61</v>
      </c>
      <c r="D1122" s="180" t="s">
        <v>1383</v>
      </c>
      <c r="E1122" s="115" t="s">
        <v>1859</v>
      </c>
      <c r="F1122" s="194">
        <v>30000</v>
      </c>
      <c r="G1122" s="180"/>
      <c r="H1122" s="179" t="s">
        <v>4932</v>
      </c>
      <c r="I1122" s="179" t="s">
        <v>849</v>
      </c>
      <c r="J1122" s="179" t="s">
        <v>4933</v>
      </c>
      <c r="K1122" s="53" t="s">
        <v>2085</v>
      </c>
      <c r="L1122" s="188"/>
      <c r="M1122" s="34"/>
    </row>
    <row r="1123" spans="1:13" ht="51">
      <c r="A1123" s="22">
        <v>2013</v>
      </c>
      <c r="B1123" s="179" t="s">
        <v>4934</v>
      </c>
      <c r="C1123" s="112" t="s">
        <v>61</v>
      </c>
      <c r="D1123" s="180" t="s">
        <v>2724</v>
      </c>
      <c r="E1123" s="6" t="s">
        <v>1874</v>
      </c>
      <c r="F1123" s="194">
        <v>100000</v>
      </c>
      <c r="G1123" s="180"/>
      <c r="H1123" s="179" t="s">
        <v>4935</v>
      </c>
      <c r="I1123" s="179" t="s">
        <v>1598</v>
      </c>
      <c r="J1123" s="179" t="s">
        <v>4890</v>
      </c>
      <c r="K1123" s="179" t="s">
        <v>2031</v>
      </c>
      <c r="L1123" s="188"/>
      <c r="M1123" s="34"/>
    </row>
    <row r="1124" spans="1:13" ht="25.5">
      <c r="A1124" s="22">
        <v>2013</v>
      </c>
      <c r="B1124" s="179" t="s">
        <v>4936</v>
      </c>
      <c r="C1124" s="112" t="s">
        <v>61</v>
      </c>
      <c r="D1124" s="180" t="s">
        <v>2724</v>
      </c>
      <c r="E1124" s="6" t="s">
        <v>1874</v>
      </c>
      <c r="F1124" s="194">
        <v>100000</v>
      </c>
      <c r="G1124" s="180"/>
      <c r="H1124" s="179" t="s">
        <v>4937</v>
      </c>
      <c r="I1124" s="179" t="s">
        <v>1598</v>
      </c>
      <c r="J1124" s="179" t="s">
        <v>4890</v>
      </c>
      <c r="K1124" s="179" t="s">
        <v>2031</v>
      </c>
      <c r="L1124" s="188"/>
      <c r="M1124" s="34"/>
    </row>
    <row r="1125" spans="1:13" ht="38.25">
      <c r="A1125" s="22">
        <v>2013</v>
      </c>
      <c r="B1125" s="179" t="s">
        <v>4938</v>
      </c>
      <c r="C1125" s="112" t="s">
        <v>61</v>
      </c>
      <c r="D1125" s="180" t="s">
        <v>394</v>
      </c>
      <c r="E1125" s="115" t="s">
        <v>1853</v>
      </c>
      <c r="F1125" s="194">
        <v>36000</v>
      </c>
      <c r="G1125" s="180"/>
      <c r="H1125" s="179" t="s">
        <v>4939</v>
      </c>
      <c r="I1125" s="179" t="s">
        <v>1593</v>
      </c>
      <c r="J1125" s="179" t="s">
        <v>4940</v>
      </c>
      <c r="K1125" s="179" t="s">
        <v>1899</v>
      </c>
      <c r="L1125" s="188"/>
      <c r="M1125" s="34"/>
    </row>
    <row r="1126" spans="1:13" ht="25.5">
      <c r="A1126" s="22">
        <v>2013</v>
      </c>
      <c r="B1126" s="179" t="s">
        <v>4941</v>
      </c>
      <c r="C1126" s="112" t="s">
        <v>61</v>
      </c>
      <c r="D1126" s="180" t="s">
        <v>1383</v>
      </c>
      <c r="E1126" s="115" t="s">
        <v>1859</v>
      </c>
      <c r="F1126" s="194">
        <v>20000</v>
      </c>
      <c r="G1126" s="180"/>
      <c r="H1126" s="179" t="s">
        <v>4942</v>
      </c>
      <c r="I1126" s="179" t="s">
        <v>4922</v>
      </c>
      <c r="J1126" s="179" t="s">
        <v>1938</v>
      </c>
      <c r="K1126" s="179" t="s">
        <v>1828</v>
      </c>
      <c r="L1126" s="188"/>
      <c r="M1126" s="34"/>
    </row>
    <row r="1127" spans="1:13" ht="25.5">
      <c r="A1127" s="22">
        <v>2013</v>
      </c>
      <c r="B1127" s="179" t="s">
        <v>4943</v>
      </c>
      <c r="C1127" s="112" t="s">
        <v>61</v>
      </c>
      <c r="D1127" s="180" t="s">
        <v>4787</v>
      </c>
      <c r="E1127" s="115" t="s">
        <v>1859</v>
      </c>
      <c r="F1127" s="194">
        <v>30000</v>
      </c>
      <c r="G1127" s="180"/>
      <c r="H1127" s="179" t="s">
        <v>4944</v>
      </c>
      <c r="I1127" s="179" t="s">
        <v>4945</v>
      </c>
      <c r="J1127" s="179" t="s">
        <v>1938</v>
      </c>
      <c r="K1127" s="179" t="s">
        <v>1828</v>
      </c>
      <c r="L1127" s="188"/>
      <c r="M1127" s="34"/>
    </row>
    <row r="1128" spans="1:13" ht="51">
      <c r="A1128" s="22">
        <v>2013</v>
      </c>
      <c r="B1128" s="179" t="s">
        <v>4946</v>
      </c>
      <c r="C1128" s="112" t="s">
        <v>61</v>
      </c>
      <c r="D1128" s="180" t="s">
        <v>1383</v>
      </c>
      <c r="E1128" s="115" t="s">
        <v>1859</v>
      </c>
      <c r="F1128" s="194">
        <v>40000</v>
      </c>
      <c r="G1128" s="180"/>
      <c r="H1128" s="179" t="s">
        <v>4947</v>
      </c>
      <c r="I1128" s="179" t="s">
        <v>4948</v>
      </c>
      <c r="J1128" s="179" t="s">
        <v>4949</v>
      </c>
      <c r="K1128" s="179" t="s">
        <v>1855</v>
      </c>
      <c r="L1128" s="188"/>
      <c r="M1128" s="34"/>
    </row>
    <row r="1129" spans="1:13" ht="38.25">
      <c r="A1129" s="22">
        <v>2013</v>
      </c>
      <c r="B1129" s="179" t="s">
        <v>4950</v>
      </c>
      <c r="C1129" s="112" t="s">
        <v>61</v>
      </c>
      <c r="D1129" s="180" t="s">
        <v>1383</v>
      </c>
      <c r="E1129" s="115" t="s">
        <v>1859</v>
      </c>
      <c r="F1129" s="194">
        <v>30000</v>
      </c>
      <c r="G1129" s="180"/>
      <c r="H1129" s="179" t="s">
        <v>4951</v>
      </c>
      <c r="I1129" s="179" t="s">
        <v>4952</v>
      </c>
      <c r="J1129" s="179" t="s">
        <v>4940</v>
      </c>
      <c r="K1129" s="179" t="s">
        <v>1899</v>
      </c>
      <c r="L1129" s="188"/>
      <c r="M1129" s="34"/>
    </row>
    <row r="1130" spans="1:13" ht="51">
      <c r="A1130" s="22">
        <v>2013</v>
      </c>
      <c r="B1130" s="179" t="s">
        <v>4953</v>
      </c>
      <c r="C1130" s="112" t="s">
        <v>61</v>
      </c>
      <c r="D1130" s="22" t="s">
        <v>586</v>
      </c>
      <c r="E1130" s="6" t="s">
        <v>1874</v>
      </c>
      <c r="F1130" s="194">
        <v>50000</v>
      </c>
      <c r="G1130" s="22"/>
      <c r="H1130" s="179" t="s">
        <v>4954</v>
      </c>
      <c r="I1130" s="179" t="s">
        <v>4955</v>
      </c>
      <c r="J1130" s="179" t="s">
        <v>4956</v>
      </c>
      <c r="K1130" s="179" t="s">
        <v>1828</v>
      </c>
      <c r="L1130" s="188"/>
      <c r="M1130" s="34"/>
    </row>
    <row r="1131" spans="1:13" ht="25.5">
      <c r="A1131" s="22">
        <v>2013</v>
      </c>
      <c r="B1131" s="179" t="s">
        <v>4957</v>
      </c>
      <c r="C1131" s="112" t="s">
        <v>61</v>
      </c>
      <c r="D1131" s="22" t="s">
        <v>586</v>
      </c>
      <c r="E1131" s="6" t="s">
        <v>1874</v>
      </c>
      <c r="F1131" s="194">
        <v>14840</v>
      </c>
      <c r="G1131" s="22"/>
      <c r="H1131" s="179" t="s">
        <v>4958</v>
      </c>
      <c r="I1131" s="179" t="s">
        <v>894</v>
      </c>
      <c r="J1131" s="179" t="s">
        <v>4959</v>
      </c>
      <c r="K1131" s="179" t="s">
        <v>1828</v>
      </c>
      <c r="L1131" s="188"/>
      <c r="M1131" s="34"/>
    </row>
    <row r="1132" spans="1:13" ht="51">
      <c r="A1132" s="22">
        <v>2013</v>
      </c>
      <c r="B1132" s="179" t="s">
        <v>4960</v>
      </c>
      <c r="C1132" s="112" t="s">
        <v>61</v>
      </c>
      <c r="D1132" s="180" t="s">
        <v>1383</v>
      </c>
      <c r="E1132" s="115" t="s">
        <v>1859</v>
      </c>
      <c r="F1132" s="194">
        <v>40000</v>
      </c>
      <c r="G1132" s="180"/>
      <c r="H1132" s="179" t="s">
        <v>4961</v>
      </c>
      <c r="I1132" s="179" t="s">
        <v>854</v>
      </c>
      <c r="J1132" s="179" t="s">
        <v>4962</v>
      </c>
      <c r="K1132" s="179" t="s">
        <v>1916</v>
      </c>
      <c r="L1132" s="188"/>
      <c r="M1132" s="34"/>
    </row>
    <row r="1133" spans="1:13" ht="38.25">
      <c r="A1133" s="22">
        <v>2013</v>
      </c>
      <c r="B1133" s="179" t="s">
        <v>4963</v>
      </c>
      <c r="C1133" s="112" t="s">
        <v>61</v>
      </c>
      <c r="D1133" s="22" t="s">
        <v>62</v>
      </c>
      <c r="E1133" s="6" t="s">
        <v>1904</v>
      </c>
      <c r="F1133" s="194">
        <v>1000000</v>
      </c>
      <c r="G1133" s="22"/>
      <c r="H1133" s="179" t="s">
        <v>4964</v>
      </c>
      <c r="I1133" s="179" t="s">
        <v>4965</v>
      </c>
      <c r="J1133" s="179" t="s">
        <v>4966</v>
      </c>
      <c r="K1133" s="179" t="s">
        <v>1899</v>
      </c>
      <c r="L1133" s="188"/>
      <c r="M1133" s="34"/>
    </row>
    <row r="1134" spans="1:13" ht="25.5">
      <c r="A1134" s="22">
        <v>2013</v>
      </c>
      <c r="B1134" s="179" t="s">
        <v>4967</v>
      </c>
      <c r="C1134" s="112" t="s">
        <v>61</v>
      </c>
      <c r="D1134" s="22" t="s">
        <v>62</v>
      </c>
      <c r="E1134" s="6" t="s">
        <v>1904</v>
      </c>
      <c r="F1134" s="194">
        <v>450155</v>
      </c>
      <c r="G1134" s="22"/>
      <c r="H1134" s="179" t="s">
        <v>4968</v>
      </c>
      <c r="I1134" s="179" t="s">
        <v>4969</v>
      </c>
      <c r="J1134" s="179" t="s">
        <v>4970</v>
      </c>
      <c r="K1134" s="179" t="s">
        <v>1899</v>
      </c>
      <c r="L1134" s="188"/>
      <c r="M1134" s="34"/>
    </row>
    <row r="1135" spans="1:13" ht="51">
      <c r="A1135" s="22">
        <v>2013</v>
      </c>
      <c r="B1135" s="179" t="s">
        <v>4971</v>
      </c>
      <c r="C1135" s="112" t="s">
        <v>61</v>
      </c>
      <c r="D1135" s="180" t="s">
        <v>1383</v>
      </c>
      <c r="E1135" s="115" t="s">
        <v>1859</v>
      </c>
      <c r="F1135" s="194">
        <v>27500</v>
      </c>
      <c r="G1135" s="180"/>
      <c r="H1135" s="179" t="s">
        <v>4972</v>
      </c>
      <c r="I1135" s="179" t="s">
        <v>4973</v>
      </c>
      <c r="J1135" s="179" t="s">
        <v>4974</v>
      </c>
      <c r="K1135" s="179" t="s">
        <v>1828</v>
      </c>
      <c r="L1135" s="188"/>
      <c r="M1135" s="34"/>
    </row>
    <row r="1136" spans="1:13" ht="38.25">
      <c r="A1136" s="22">
        <v>2013</v>
      </c>
      <c r="B1136" s="179" t="s">
        <v>4975</v>
      </c>
      <c r="C1136" s="112" t="s">
        <v>61</v>
      </c>
      <c r="D1136" s="22" t="s">
        <v>586</v>
      </c>
      <c r="E1136" s="6" t="s">
        <v>1874</v>
      </c>
      <c r="F1136" s="194">
        <v>1050</v>
      </c>
      <c r="G1136" s="22"/>
      <c r="H1136" s="179" t="s">
        <v>4976</v>
      </c>
      <c r="I1136" s="179" t="s">
        <v>4977</v>
      </c>
      <c r="J1136" s="179" t="s">
        <v>4978</v>
      </c>
      <c r="K1136" s="6" t="s">
        <v>1886</v>
      </c>
      <c r="L1136" s="188"/>
      <c r="M1136" s="34"/>
    </row>
    <row r="1137" spans="1:13" ht="25.5">
      <c r="A1137" s="22">
        <v>2013</v>
      </c>
      <c r="B1137" s="179" t="s">
        <v>4979</v>
      </c>
      <c r="C1137" s="112" t="s">
        <v>61</v>
      </c>
      <c r="D1137" s="180" t="s">
        <v>1383</v>
      </c>
      <c r="E1137" s="115" t="s">
        <v>1859</v>
      </c>
      <c r="F1137" s="194">
        <v>30000</v>
      </c>
      <c r="G1137" s="180"/>
      <c r="H1137" s="179" t="s">
        <v>4980</v>
      </c>
      <c r="I1137" s="179" t="s">
        <v>842</v>
      </c>
      <c r="J1137" s="179" t="s">
        <v>4981</v>
      </c>
      <c r="K1137" s="53" t="s">
        <v>2130</v>
      </c>
      <c r="L1137" s="188"/>
      <c r="M1137" s="34"/>
    </row>
    <row r="1138" spans="1:13" ht="51">
      <c r="A1138" s="22">
        <v>2012</v>
      </c>
      <c r="B1138" s="185">
        <v>40909</v>
      </c>
      <c r="C1138" s="112" t="s">
        <v>61</v>
      </c>
      <c r="D1138" s="180" t="s">
        <v>4982</v>
      </c>
      <c r="E1138" s="6" t="s">
        <v>1904</v>
      </c>
      <c r="F1138" s="194">
        <v>872700</v>
      </c>
      <c r="G1138" s="180"/>
      <c r="H1138" s="178" t="s">
        <v>4983</v>
      </c>
      <c r="I1138" s="178" t="s">
        <v>581</v>
      </c>
      <c r="J1138" s="187" t="s">
        <v>4984</v>
      </c>
      <c r="K1138" s="179" t="s">
        <v>1916</v>
      </c>
      <c r="L1138" s="188"/>
      <c r="M1138" s="34"/>
    </row>
    <row r="1139" spans="1:13" ht="25.5">
      <c r="A1139" s="22">
        <v>2012</v>
      </c>
      <c r="B1139" s="185">
        <v>40940</v>
      </c>
      <c r="C1139" s="112" t="s">
        <v>61</v>
      </c>
      <c r="D1139" s="180" t="s">
        <v>4982</v>
      </c>
      <c r="E1139" s="6" t="s">
        <v>1904</v>
      </c>
      <c r="F1139" s="194">
        <v>872700</v>
      </c>
      <c r="G1139" s="180"/>
      <c r="H1139" s="179" t="s">
        <v>4985</v>
      </c>
      <c r="I1139" s="179" t="s">
        <v>1389</v>
      </c>
      <c r="J1139" s="187" t="s">
        <v>4986</v>
      </c>
      <c r="K1139" s="179" t="s">
        <v>2031</v>
      </c>
      <c r="L1139" s="188"/>
      <c r="M1139" s="34"/>
    </row>
    <row r="1140" spans="1:13" ht="25.5">
      <c r="A1140" s="22">
        <v>2012</v>
      </c>
      <c r="B1140" s="185">
        <v>40969</v>
      </c>
      <c r="C1140" s="112" t="s">
        <v>61</v>
      </c>
      <c r="D1140" s="180" t="s">
        <v>4987</v>
      </c>
      <c r="E1140" s="6" t="s">
        <v>1904</v>
      </c>
      <c r="F1140" s="194">
        <v>872700</v>
      </c>
      <c r="G1140" s="180"/>
      <c r="H1140" s="179" t="s">
        <v>4988</v>
      </c>
      <c r="I1140" s="187" t="s">
        <v>1389</v>
      </c>
      <c r="J1140" s="187" t="s">
        <v>4986</v>
      </c>
      <c r="K1140" s="179" t="s">
        <v>2031</v>
      </c>
      <c r="L1140" s="188"/>
      <c r="M1140" s="34"/>
    </row>
    <row r="1141" spans="1:13" ht="38.25">
      <c r="A1141" s="22">
        <v>2012</v>
      </c>
      <c r="B1141" s="185">
        <v>41000</v>
      </c>
      <c r="C1141" s="112" t="s">
        <v>61</v>
      </c>
      <c r="D1141" s="180" t="s">
        <v>652</v>
      </c>
      <c r="E1141" s="6" t="s">
        <v>1874</v>
      </c>
      <c r="F1141" s="195">
        <v>1276000</v>
      </c>
      <c r="G1141" s="180"/>
      <c r="H1141" s="179" t="s">
        <v>4989</v>
      </c>
      <c r="I1141" s="179" t="s">
        <v>4990</v>
      </c>
      <c r="J1141" s="187" t="s">
        <v>4991</v>
      </c>
      <c r="K1141" s="179" t="s">
        <v>1828</v>
      </c>
      <c r="L1141" s="188"/>
      <c r="M1141" s="34"/>
    </row>
    <row r="1142" spans="1:13" ht="38.25">
      <c r="A1142" s="22">
        <v>2012</v>
      </c>
      <c r="B1142" s="179" t="s">
        <v>4992</v>
      </c>
      <c r="C1142" s="112" t="s">
        <v>3096</v>
      </c>
      <c r="D1142" s="190" t="s">
        <v>4993</v>
      </c>
      <c r="E1142" s="6"/>
      <c r="F1142" s="179" t="s">
        <v>4994</v>
      </c>
      <c r="G1142" s="191"/>
      <c r="H1142" s="179" t="s">
        <v>4995</v>
      </c>
      <c r="I1142" s="179" t="s">
        <v>2331</v>
      </c>
      <c r="J1142" s="187" t="s">
        <v>4996</v>
      </c>
      <c r="K1142" s="179" t="s">
        <v>1828</v>
      </c>
      <c r="L1142" s="188"/>
      <c r="M1142" s="34"/>
    </row>
    <row r="1143" spans="1:13" ht="38.25">
      <c r="A1143" s="22">
        <v>2012</v>
      </c>
      <c r="B1143" s="185">
        <v>41091</v>
      </c>
      <c r="C1143" s="112" t="s">
        <v>61</v>
      </c>
      <c r="D1143" s="191" t="s">
        <v>4993</v>
      </c>
      <c r="E1143" s="115" t="s">
        <v>1859</v>
      </c>
      <c r="F1143" s="194">
        <v>276000</v>
      </c>
      <c r="G1143" s="191"/>
      <c r="H1143" s="179" t="s">
        <v>4997</v>
      </c>
      <c r="I1143" s="179" t="s">
        <v>2331</v>
      </c>
      <c r="J1143" s="187" t="s">
        <v>4996</v>
      </c>
      <c r="K1143" s="179" t="s">
        <v>1828</v>
      </c>
      <c r="L1143" s="188"/>
      <c r="M1143" s="34"/>
    </row>
    <row r="1144" spans="1:13" ht="25.5">
      <c r="A1144" s="22">
        <v>2012</v>
      </c>
      <c r="B1144" s="179" t="s">
        <v>4998</v>
      </c>
      <c r="C1144" s="112" t="s">
        <v>61</v>
      </c>
      <c r="D1144" s="191" t="s">
        <v>4993</v>
      </c>
      <c r="E1144" s="115" t="s">
        <v>1859</v>
      </c>
      <c r="F1144" s="194">
        <v>680000</v>
      </c>
      <c r="G1144" s="191"/>
      <c r="H1144" s="179" t="s">
        <v>4999</v>
      </c>
      <c r="I1144" s="179" t="s">
        <v>5000</v>
      </c>
      <c r="J1144" s="187"/>
      <c r="K1144" s="187" t="s">
        <v>2085</v>
      </c>
      <c r="L1144" s="188"/>
      <c r="M1144" s="34"/>
    </row>
    <row r="1145" spans="1:13" ht="25.5">
      <c r="A1145" s="22">
        <v>2012</v>
      </c>
      <c r="B1145" s="185">
        <v>41153</v>
      </c>
      <c r="C1145" s="112" t="s">
        <v>61</v>
      </c>
      <c r="D1145" s="22" t="s">
        <v>62</v>
      </c>
      <c r="E1145" s="6" t="s">
        <v>1904</v>
      </c>
      <c r="F1145" s="193">
        <v>500000</v>
      </c>
      <c r="G1145" s="22"/>
      <c r="H1145" s="178" t="s">
        <v>5001</v>
      </c>
      <c r="I1145" s="178" t="s">
        <v>5002</v>
      </c>
      <c r="J1145" s="187" t="s">
        <v>5003</v>
      </c>
      <c r="K1145" s="179" t="s">
        <v>2031</v>
      </c>
      <c r="L1145" s="188"/>
      <c r="M1145" s="34"/>
    </row>
    <row r="1146" spans="1:13" ht="25.5">
      <c r="A1146" s="22">
        <v>2012</v>
      </c>
      <c r="B1146" s="185">
        <v>41183</v>
      </c>
      <c r="C1146" s="112" t="s">
        <v>61</v>
      </c>
      <c r="D1146" s="22" t="s">
        <v>62</v>
      </c>
      <c r="E1146" s="6" t="s">
        <v>1904</v>
      </c>
      <c r="F1146" s="207">
        <v>240018.59</v>
      </c>
      <c r="G1146" s="22"/>
      <c r="H1146" s="179" t="s">
        <v>5004</v>
      </c>
      <c r="I1146" s="179" t="s">
        <v>5005</v>
      </c>
      <c r="J1146" s="187" t="s">
        <v>5006</v>
      </c>
      <c r="K1146" s="179" t="s">
        <v>1899</v>
      </c>
      <c r="L1146" s="188"/>
      <c r="M1146" s="34"/>
    </row>
    <row r="1147" spans="1:13" ht="25.5">
      <c r="A1147" s="22">
        <v>2012</v>
      </c>
      <c r="B1147" s="192">
        <v>41214</v>
      </c>
      <c r="C1147" s="112" t="s">
        <v>61</v>
      </c>
      <c r="D1147" s="180" t="s">
        <v>4987</v>
      </c>
      <c r="E1147" s="6" t="s">
        <v>1904</v>
      </c>
      <c r="F1147" s="194">
        <v>442700</v>
      </c>
      <c r="G1147" s="180"/>
      <c r="H1147" s="179" t="s">
        <v>5007</v>
      </c>
      <c r="I1147" s="179" t="s">
        <v>650</v>
      </c>
      <c r="J1147" s="187" t="s">
        <v>4877</v>
      </c>
      <c r="K1147" s="179" t="s">
        <v>2085</v>
      </c>
      <c r="L1147" s="188"/>
      <c r="M1147" s="34"/>
    </row>
    <row r="1148" spans="1:13" ht="25.5">
      <c r="A1148" s="22">
        <v>2012</v>
      </c>
      <c r="B1148" s="192">
        <v>41244</v>
      </c>
      <c r="C1148" s="112" t="s">
        <v>61</v>
      </c>
      <c r="D1148" s="180" t="s">
        <v>4987</v>
      </c>
      <c r="E1148" s="6" t="s">
        <v>1904</v>
      </c>
      <c r="F1148" s="194">
        <v>442700</v>
      </c>
      <c r="G1148" s="180"/>
      <c r="H1148" s="179" t="s">
        <v>5008</v>
      </c>
      <c r="I1148" s="179" t="s">
        <v>5009</v>
      </c>
      <c r="J1148" s="187" t="s">
        <v>5010</v>
      </c>
      <c r="K1148" s="6" t="s">
        <v>1886</v>
      </c>
      <c r="L1148" s="188"/>
      <c r="M1148" s="34"/>
    </row>
    <row r="1149" spans="1:13" ht="38.25">
      <c r="A1149" s="22">
        <v>2012</v>
      </c>
      <c r="B1149" s="179" t="s">
        <v>5011</v>
      </c>
      <c r="C1149" s="112" t="s">
        <v>61</v>
      </c>
      <c r="D1149" s="180" t="s">
        <v>1383</v>
      </c>
      <c r="E1149" s="115" t="s">
        <v>1859</v>
      </c>
      <c r="F1149" s="194">
        <v>400000</v>
      </c>
      <c r="G1149" s="180"/>
      <c r="H1149" s="179" t="s">
        <v>5012</v>
      </c>
      <c r="I1149" s="179" t="s">
        <v>3333</v>
      </c>
      <c r="J1149" s="179" t="s">
        <v>5013</v>
      </c>
      <c r="K1149" s="179" t="s">
        <v>1828</v>
      </c>
      <c r="L1149" s="188"/>
      <c r="M1149" s="34"/>
    </row>
    <row r="1150" spans="1:13" ht="25.5">
      <c r="A1150" s="22">
        <v>2012</v>
      </c>
      <c r="B1150" s="179" t="s">
        <v>5014</v>
      </c>
      <c r="C1150" s="112" t="s">
        <v>61</v>
      </c>
      <c r="D1150" s="180" t="s">
        <v>1763</v>
      </c>
      <c r="E1150" s="115" t="s">
        <v>1859</v>
      </c>
      <c r="F1150" s="194">
        <v>200000</v>
      </c>
      <c r="G1150" s="180"/>
      <c r="H1150" s="179" t="s">
        <v>5015</v>
      </c>
      <c r="I1150" s="178" t="s">
        <v>2331</v>
      </c>
      <c r="J1150" s="179" t="s">
        <v>5013</v>
      </c>
      <c r="K1150" s="179" t="s">
        <v>1828</v>
      </c>
      <c r="L1150" s="188"/>
      <c r="M1150" s="34"/>
    </row>
    <row r="1151" spans="1:13" ht="38.25">
      <c r="A1151" s="22">
        <v>2012</v>
      </c>
      <c r="B1151" s="179" t="s">
        <v>5016</v>
      </c>
      <c r="C1151" s="112" t="s">
        <v>61</v>
      </c>
      <c r="D1151" s="22" t="s">
        <v>62</v>
      </c>
      <c r="E1151" s="6" t="s">
        <v>1904</v>
      </c>
      <c r="F1151" s="194">
        <v>270028.34999999998</v>
      </c>
      <c r="G1151" s="22"/>
      <c r="H1151" s="179" t="s">
        <v>5017</v>
      </c>
      <c r="I1151" s="178" t="s">
        <v>4518</v>
      </c>
      <c r="J1151" s="179" t="s">
        <v>5018</v>
      </c>
      <c r="K1151" s="179" t="s">
        <v>1828</v>
      </c>
      <c r="L1151" s="188"/>
      <c r="M1151" s="34"/>
    </row>
    <row r="1152" spans="1:13" ht="38.25">
      <c r="A1152" s="22">
        <v>2012</v>
      </c>
      <c r="B1152" s="179" t="s">
        <v>5019</v>
      </c>
      <c r="C1152" s="112" t="s">
        <v>61</v>
      </c>
      <c r="D1152" s="180" t="s">
        <v>2724</v>
      </c>
      <c r="E1152" s="6" t="s">
        <v>1874</v>
      </c>
      <c r="F1152" s="194">
        <v>154000</v>
      </c>
      <c r="G1152" s="180"/>
      <c r="H1152" s="178" t="s">
        <v>5020</v>
      </c>
      <c r="I1152" s="179" t="s">
        <v>722</v>
      </c>
      <c r="J1152" s="179" t="s">
        <v>5021</v>
      </c>
      <c r="K1152" s="179" t="s">
        <v>1899</v>
      </c>
      <c r="L1152" s="188"/>
      <c r="M1152" s="34"/>
    </row>
    <row r="1153" spans="1:13" ht="38.25">
      <c r="A1153" s="22">
        <v>2012</v>
      </c>
      <c r="B1153" s="179" t="s">
        <v>5022</v>
      </c>
      <c r="C1153" s="179" t="s">
        <v>61</v>
      </c>
      <c r="D1153" s="180" t="s">
        <v>4787</v>
      </c>
      <c r="E1153" s="115" t="s">
        <v>1859</v>
      </c>
      <c r="F1153" s="194">
        <v>227000</v>
      </c>
      <c r="G1153" s="180"/>
      <c r="H1153" s="179" t="s">
        <v>5023</v>
      </c>
      <c r="I1153" s="6" t="s">
        <v>5024</v>
      </c>
      <c r="J1153" s="6" t="s">
        <v>5024</v>
      </c>
      <c r="K1153" s="179" t="s">
        <v>1828</v>
      </c>
      <c r="L1153" s="188"/>
      <c r="M1153" s="34"/>
    </row>
    <row r="1154" spans="1:13" ht="38.25">
      <c r="A1154" s="22">
        <v>2012</v>
      </c>
      <c r="B1154" s="179" t="s">
        <v>5025</v>
      </c>
      <c r="C1154" s="112" t="s">
        <v>61</v>
      </c>
      <c r="D1154" s="22" t="s">
        <v>62</v>
      </c>
      <c r="E1154" s="6" t="s">
        <v>1904</v>
      </c>
      <c r="F1154" s="194">
        <v>212321.03</v>
      </c>
      <c r="G1154" s="22"/>
      <c r="H1154" s="179" t="s">
        <v>4115</v>
      </c>
      <c r="I1154" s="179" t="s">
        <v>5026</v>
      </c>
      <c r="J1154" s="179" t="s">
        <v>5027</v>
      </c>
      <c r="K1154" s="179" t="s">
        <v>1828</v>
      </c>
      <c r="L1154" s="188"/>
      <c r="M1154" s="34"/>
    </row>
    <row r="1155" spans="1:13" ht="25.5">
      <c r="A1155" s="22">
        <v>2012</v>
      </c>
      <c r="B1155" s="179" t="s">
        <v>5028</v>
      </c>
      <c r="C1155" s="112" t="s">
        <v>61</v>
      </c>
      <c r="D1155" s="180" t="s">
        <v>1383</v>
      </c>
      <c r="E1155" s="115" t="s">
        <v>1859</v>
      </c>
      <c r="F1155" s="194">
        <v>714600</v>
      </c>
      <c r="G1155" s="180"/>
      <c r="H1155" s="179" t="s">
        <v>5029</v>
      </c>
      <c r="I1155" s="179" t="s">
        <v>1389</v>
      </c>
      <c r="J1155" s="179" t="s">
        <v>4986</v>
      </c>
      <c r="K1155" s="179" t="s">
        <v>2031</v>
      </c>
      <c r="L1155" s="188"/>
      <c r="M1155" s="34"/>
    </row>
    <row r="1156" spans="1:13" ht="25.5">
      <c r="A1156" s="22">
        <v>2012</v>
      </c>
      <c r="B1156" s="179" t="s">
        <v>5030</v>
      </c>
      <c r="C1156" s="112" t="s">
        <v>61</v>
      </c>
      <c r="D1156" s="180" t="s">
        <v>5031</v>
      </c>
      <c r="E1156" s="6"/>
      <c r="F1156" s="194">
        <v>120000</v>
      </c>
      <c r="G1156" s="180"/>
      <c r="H1156" s="179" t="s">
        <v>5032</v>
      </c>
      <c r="I1156" s="179" t="s">
        <v>5033</v>
      </c>
      <c r="J1156" s="187" t="s">
        <v>5034</v>
      </c>
      <c r="K1156" s="179" t="s">
        <v>1828</v>
      </c>
      <c r="L1156" s="188"/>
      <c r="M1156" s="34"/>
    </row>
    <row r="1157" spans="1:13" ht="38.25">
      <c r="A1157" s="22">
        <v>2012</v>
      </c>
      <c r="B1157" s="179" t="s">
        <v>5035</v>
      </c>
      <c r="C1157" s="112" t="s">
        <v>61</v>
      </c>
      <c r="D1157" s="180" t="s">
        <v>1383</v>
      </c>
      <c r="E1157" s="115" t="s">
        <v>1859</v>
      </c>
      <c r="F1157" s="194">
        <v>200000</v>
      </c>
      <c r="G1157" s="180"/>
      <c r="H1157" s="179" t="s">
        <v>5036</v>
      </c>
      <c r="I1157" s="179" t="s">
        <v>5037</v>
      </c>
      <c r="J1157" s="187"/>
      <c r="K1157" s="200" t="s">
        <v>1899</v>
      </c>
      <c r="L1157" s="188"/>
      <c r="M1157" s="34"/>
    </row>
    <row r="1158" spans="1:13" ht="25.5">
      <c r="A1158" s="22">
        <v>2012</v>
      </c>
      <c r="B1158" s="179" t="s">
        <v>5038</v>
      </c>
      <c r="C1158" s="112" t="s">
        <v>61</v>
      </c>
      <c r="D1158" s="180" t="s">
        <v>1383</v>
      </c>
      <c r="E1158" s="115" t="s">
        <v>1859</v>
      </c>
      <c r="F1158" s="194">
        <v>520000</v>
      </c>
      <c r="G1158" s="180"/>
      <c r="H1158" s="179" t="s">
        <v>5039</v>
      </c>
      <c r="I1158" s="179" t="s">
        <v>5040</v>
      </c>
      <c r="J1158" s="187" t="s">
        <v>5041</v>
      </c>
      <c r="K1158" s="179" t="s">
        <v>2047</v>
      </c>
      <c r="L1158" s="188"/>
      <c r="M1158" s="34"/>
    </row>
    <row r="1159" spans="1:13" ht="25.5">
      <c r="A1159" s="22">
        <v>2012</v>
      </c>
      <c r="B1159" s="179" t="s">
        <v>5042</v>
      </c>
      <c r="C1159" s="112" t="s">
        <v>61</v>
      </c>
      <c r="D1159" s="180" t="s">
        <v>5043</v>
      </c>
      <c r="E1159" s="6" t="s">
        <v>1874</v>
      </c>
      <c r="F1159" s="194">
        <v>250000</v>
      </c>
      <c r="G1159" s="180"/>
      <c r="H1159" s="179" t="s">
        <v>5044</v>
      </c>
      <c r="I1159" s="179" t="s">
        <v>5045</v>
      </c>
      <c r="J1159" s="187" t="s">
        <v>5046</v>
      </c>
      <c r="K1159" s="179" t="s">
        <v>1828</v>
      </c>
      <c r="L1159" s="188"/>
      <c r="M1159" s="34"/>
    </row>
    <row r="1160" spans="1:13" ht="25.5">
      <c r="A1160" s="22">
        <v>2012</v>
      </c>
      <c r="B1160" s="179" t="s">
        <v>5047</v>
      </c>
      <c r="C1160" s="112" t="s">
        <v>61</v>
      </c>
      <c r="D1160" s="180" t="s">
        <v>68</v>
      </c>
      <c r="E1160" s="6" t="s">
        <v>1874</v>
      </c>
      <c r="F1160" s="195">
        <v>683200</v>
      </c>
      <c r="G1160" s="180"/>
      <c r="H1160" s="179" t="s">
        <v>5048</v>
      </c>
      <c r="I1160" s="179" t="s">
        <v>5049</v>
      </c>
      <c r="J1160" s="187" t="s">
        <v>5050</v>
      </c>
      <c r="K1160" s="179" t="s">
        <v>1828</v>
      </c>
      <c r="L1160" s="188"/>
      <c r="M1160" s="34"/>
    </row>
    <row r="1161" spans="1:13" ht="63.75">
      <c r="A1161" s="22">
        <v>2012</v>
      </c>
      <c r="B1161" s="179" t="s">
        <v>5051</v>
      </c>
      <c r="C1161" s="112" t="s">
        <v>61</v>
      </c>
      <c r="D1161" s="180" t="s">
        <v>1141</v>
      </c>
      <c r="E1161" s="6" t="s">
        <v>1904</v>
      </c>
      <c r="F1161" s="195">
        <v>68718</v>
      </c>
      <c r="G1161" s="180"/>
      <c r="H1161" s="179" t="s">
        <v>5052</v>
      </c>
      <c r="I1161" s="179" t="s">
        <v>2483</v>
      </c>
      <c r="J1161" s="179" t="s">
        <v>5053</v>
      </c>
      <c r="K1161" s="179" t="s">
        <v>1916</v>
      </c>
      <c r="L1161" s="188"/>
      <c r="M1161" s="34"/>
    </row>
    <row r="1162" spans="1:13" ht="51">
      <c r="A1162" s="22">
        <v>2012</v>
      </c>
      <c r="B1162" s="179" t="s">
        <v>5054</v>
      </c>
      <c r="C1162" s="112" t="s">
        <v>61</v>
      </c>
      <c r="D1162" s="180" t="s">
        <v>4787</v>
      </c>
      <c r="E1162" s="115" t="s">
        <v>1859</v>
      </c>
      <c r="F1162" s="194">
        <v>190000</v>
      </c>
      <c r="G1162" s="180"/>
      <c r="H1162" s="179" t="s">
        <v>5055</v>
      </c>
      <c r="I1162" s="179" t="s">
        <v>5056</v>
      </c>
      <c r="J1162" s="179"/>
      <c r="K1162" s="190" t="s">
        <v>1828</v>
      </c>
      <c r="L1162" s="188"/>
      <c r="M1162" s="34"/>
    </row>
    <row r="1163" spans="1:13" ht="38.25">
      <c r="A1163" s="22">
        <v>2012</v>
      </c>
      <c r="B1163" s="179" t="s">
        <v>5057</v>
      </c>
      <c r="C1163" s="112" t="s">
        <v>61</v>
      </c>
      <c r="D1163" s="180" t="s">
        <v>652</v>
      </c>
      <c r="E1163" s="6" t="s">
        <v>1874</v>
      </c>
      <c r="F1163" s="194">
        <v>800000</v>
      </c>
      <c r="G1163" s="180"/>
      <c r="H1163" s="179" t="s">
        <v>5058</v>
      </c>
      <c r="I1163" s="179" t="s">
        <v>5059</v>
      </c>
      <c r="J1163" s="179" t="s">
        <v>5060</v>
      </c>
      <c r="K1163" s="179" t="s">
        <v>1899</v>
      </c>
      <c r="L1163" s="188"/>
      <c r="M1163" s="34"/>
    </row>
    <row r="1164" spans="1:13" ht="38.25">
      <c r="A1164" s="22">
        <v>2012</v>
      </c>
      <c r="B1164" s="179" t="s">
        <v>5061</v>
      </c>
      <c r="C1164" s="112" t="s">
        <v>61</v>
      </c>
      <c r="D1164" s="180" t="s">
        <v>4982</v>
      </c>
      <c r="E1164" s="6" t="s">
        <v>1904</v>
      </c>
      <c r="F1164" s="194">
        <v>247000</v>
      </c>
      <c r="G1164" s="180"/>
      <c r="H1164" s="179" t="s">
        <v>5062</v>
      </c>
      <c r="I1164" s="179" t="s">
        <v>5063</v>
      </c>
      <c r="J1164" s="179" t="s">
        <v>5064</v>
      </c>
      <c r="K1164" s="179" t="s">
        <v>1828</v>
      </c>
      <c r="L1164" s="188"/>
      <c r="M1164" s="34"/>
    </row>
    <row r="1165" spans="1:13" ht="38.25">
      <c r="A1165" s="22">
        <v>2012</v>
      </c>
      <c r="B1165" s="179" t="s">
        <v>5065</v>
      </c>
      <c r="C1165" s="112" t="s">
        <v>61</v>
      </c>
      <c r="D1165" s="180" t="s">
        <v>4987</v>
      </c>
      <c r="E1165" s="6" t="s">
        <v>1904</v>
      </c>
      <c r="F1165" s="194">
        <v>820000</v>
      </c>
      <c r="G1165" s="180"/>
      <c r="H1165" s="179" t="s">
        <v>5066</v>
      </c>
      <c r="I1165" s="179" t="s">
        <v>5063</v>
      </c>
      <c r="J1165" s="179" t="s">
        <v>5064</v>
      </c>
      <c r="K1165" s="179" t="s">
        <v>1828</v>
      </c>
      <c r="L1165" s="188"/>
      <c r="M1165" s="34"/>
    </row>
    <row r="1166" spans="1:13" ht="38.25">
      <c r="A1166" s="22">
        <v>2012</v>
      </c>
      <c r="B1166" s="179" t="s">
        <v>5067</v>
      </c>
      <c r="C1166" s="112" t="s">
        <v>61</v>
      </c>
      <c r="D1166" s="22" t="s">
        <v>62</v>
      </c>
      <c r="E1166" s="6" t="s">
        <v>1904</v>
      </c>
      <c r="F1166" s="194">
        <v>460600</v>
      </c>
      <c r="G1166" s="22"/>
      <c r="H1166" s="179" t="s">
        <v>2487</v>
      </c>
      <c r="I1166" s="179" t="s">
        <v>5068</v>
      </c>
      <c r="J1166" s="187" t="s">
        <v>5069</v>
      </c>
      <c r="K1166" s="179" t="s">
        <v>1828</v>
      </c>
      <c r="L1166" s="188"/>
      <c r="M1166" s="34"/>
    </row>
    <row r="1167" spans="1:13" ht="51">
      <c r="A1167" s="22">
        <v>2012</v>
      </c>
      <c r="B1167" s="179" t="s">
        <v>5070</v>
      </c>
      <c r="C1167" s="112" t="s">
        <v>3096</v>
      </c>
      <c r="D1167" s="179" t="s">
        <v>2412</v>
      </c>
      <c r="E1167" s="6"/>
      <c r="F1167" s="195">
        <v>14400000</v>
      </c>
      <c r="G1167" s="180"/>
      <c r="H1167" s="179" t="s">
        <v>5071</v>
      </c>
      <c r="I1167" s="179" t="s">
        <v>5072</v>
      </c>
      <c r="J1167" s="179"/>
      <c r="K1167" s="179" t="s">
        <v>1828</v>
      </c>
      <c r="L1167" s="188"/>
      <c r="M1167" s="34"/>
    </row>
    <row r="1168" spans="1:13" ht="51">
      <c r="A1168" s="22">
        <v>2012</v>
      </c>
      <c r="B1168" s="179" t="s">
        <v>5073</v>
      </c>
      <c r="C1168" s="112" t="s">
        <v>61</v>
      </c>
      <c r="D1168" s="180" t="s">
        <v>68</v>
      </c>
      <c r="E1168" s="6" t="s">
        <v>1874</v>
      </c>
      <c r="F1168" s="194">
        <v>760675</v>
      </c>
      <c r="G1168" s="180"/>
      <c r="H1168" s="179" t="s">
        <v>4597</v>
      </c>
      <c r="I1168" s="179" t="s">
        <v>4598</v>
      </c>
      <c r="J1168" s="179" t="s">
        <v>5074</v>
      </c>
      <c r="K1168" s="179" t="s">
        <v>1828</v>
      </c>
      <c r="L1168" s="188"/>
      <c r="M1168" s="34"/>
    </row>
    <row r="1169" spans="1:13" ht="38.25">
      <c r="A1169" s="22">
        <v>2012</v>
      </c>
      <c r="B1169" s="179" t="s">
        <v>5075</v>
      </c>
      <c r="C1169" s="112" t="s">
        <v>61</v>
      </c>
      <c r="D1169" s="22" t="s">
        <v>62</v>
      </c>
      <c r="E1169" s="6" t="s">
        <v>1904</v>
      </c>
      <c r="F1169" s="194">
        <v>1220000</v>
      </c>
      <c r="G1169" s="22"/>
      <c r="H1169" s="179" t="s">
        <v>5076</v>
      </c>
      <c r="I1169" s="179" t="s">
        <v>5077</v>
      </c>
      <c r="J1169" s="179" t="s">
        <v>5078</v>
      </c>
      <c r="K1169" s="179" t="s">
        <v>1828</v>
      </c>
      <c r="L1169" s="188"/>
      <c r="M1169" s="34"/>
    </row>
    <row r="1170" spans="1:13" ht="25.5">
      <c r="A1170" s="22">
        <v>2012</v>
      </c>
      <c r="B1170" s="179" t="s">
        <v>5079</v>
      </c>
      <c r="C1170" s="112" t="s">
        <v>5080</v>
      </c>
      <c r="D1170" s="179" t="s">
        <v>2172</v>
      </c>
      <c r="E1170" s="6"/>
      <c r="F1170" s="195">
        <v>6430440</v>
      </c>
      <c r="G1170" s="180"/>
      <c r="H1170" s="179" t="s">
        <v>5081</v>
      </c>
      <c r="I1170" s="179" t="s">
        <v>1556</v>
      </c>
      <c r="J1170" s="179" t="s">
        <v>2508</v>
      </c>
      <c r="K1170" s="179" t="s">
        <v>1828</v>
      </c>
      <c r="L1170" s="188"/>
      <c r="M1170" s="34"/>
    </row>
    <row r="1171" spans="1:13" ht="38.25">
      <c r="A1171" s="22">
        <v>2012</v>
      </c>
      <c r="B1171" s="179" t="s">
        <v>5082</v>
      </c>
      <c r="C1171" s="112" t="s">
        <v>61</v>
      </c>
      <c r="D1171" s="180" t="s">
        <v>4787</v>
      </c>
      <c r="E1171" s="115" t="s">
        <v>1859</v>
      </c>
      <c r="F1171" s="194">
        <v>123400</v>
      </c>
      <c r="G1171" s="180"/>
      <c r="H1171" s="179" t="s">
        <v>5083</v>
      </c>
      <c r="I1171" s="187" t="s">
        <v>5084</v>
      </c>
      <c r="J1171" s="179" t="s">
        <v>5085</v>
      </c>
      <c r="K1171" s="179" t="s">
        <v>1828</v>
      </c>
      <c r="L1171" s="188"/>
      <c r="M1171" s="34"/>
    </row>
    <row r="1172" spans="1:13" ht="25.5">
      <c r="A1172" s="22">
        <v>2012</v>
      </c>
      <c r="B1172" s="179" t="s">
        <v>5086</v>
      </c>
      <c r="C1172" s="112" t="s">
        <v>61</v>
      </c>
      <c r="D1172" s="22" t="s">
        <v>62</v>
      </c>
      <c r="E1172" s="6" t="s">
        <v>1904</v>
      </c>
      <c r="F1172" s="194">
        <v>804167.07</v>
      </c>
      <c r="G1172" s="22"/>
      <c r="H1172" s="179" t="s">
        <v>5087</v>
      </c>
      <c r="I1172" s="179" t="s">
        <v>4602</v>
      </c>
      <c r="J1172" s="187" t="s">
        <v>5088</v>
      </c>
      <c r="K1172" s="179" t="s">
        <v>1828</v>
      </c>
      <c r="L1172" s="188"/>
      <c r="M1172" s="34"/>
    </row>
    <row r="1173" spans="1:13" ht="12.75">
      <c r="A1173" s="22">
        <v>2012</v>
      </c>
      <c r="B1173" s="179" t="s">
        <v>5089</v>
      </c>
      <c r="C1173" s="112" t="s">
        <v>61</v>
      </c>
      <c r="D1173" s="180" t="s">
        <v>1141</v>
      </c>
      <c r="E1173" s="6" t="s">
        <v>1904</v>
      </c>
      <c r="F1173" s="194">
        <v>290780.5</v>
      </c>
      <c r="G1173" s="180"/>
      <c r="H1173" s="178" t="s">
        <v>5090</v>
      </c>
      <c r="I1173" s="187" t="s">
        <v>5091</v>
      </c>
      <c r="J1173" s="187" t="s">
        <v>5092</v>
      </c>
      <c r="K1173" s="179" t="s">
        <v>2031</v>
      </c>
      <c r="L1173" s="188"/>
      <c r="M1173" s="34"/>
    </row>
    <row r="1174" spans="1:13" ht="25.5">
      <c r="A1174" s="22">
        <v>2012</v>
      </c>
      <c r="B1174" s="179" t="s">
        <v>5093</v>
      </c>
      <c r="C1174" s="112" t="s">
        <v>61</v>
      </c>
      <c r="D1174" s="180" t="s">
        <v>4787</v>
      </c>
      <c r="E1174" s="115" t="s">
        <v>1859</v>
      </c>
      <c r="F1174" s="194">
        <v>14125</v>
      </c>
      <c r="G1174" s="180"/>
      <c r="H1174" s="179" t="s">
        <v>5094</v>
      </c>
      <c r="I1174" s="179" t="s">
        <v>5095</v>
      </c>
      <c r="J1174" s="179" t="s">
        <v>5096</v>
      </c>
      <c r="K1174" s="179" t="s">
        <v>1899</v>
      </c>
      <c r="L1174" s="188"/>
      <c r="M1174" s="34"/>
    </row>
    <row r="1175" spans="1:13" ht="25.5">
      <c r="A1175" s="22">
        <v>2012</v>
      </c>
      <c r="B1175" s="179" t="s">
        <v>5097</v>
      </c>
      <c r="C1175" s="112" t="s">
        <v>61</v>
      </c>
      <c r="D1175" s="180" t="s">
        <v>5031</v>
      </c>
      <c r="E1175" s="6" t="s">
        <v>1859</v>
      </c>
      <c r="F1175" s="194">
        <v>100000</v>
      </c>
      <c r="G1175" s="180"/>
      <c r="H1175" s="179" t="s">
        <v>5098</v>
      </c>
      <c r="I1175" s="179" t="s">
        <v>1491</v>
      </c>
      <c r="J1175" s="179" t="s">
        <v>5099</v>
      </c>
      <c r="K1175" s="198" t="s">
        <v>2041</v>
      </c>
      <c r="L1175" s="188"/>
      <c r="M1175" s="34"/>
    </row>
    <row r="1176" spans="1:13" ht="25.5">
      <c r="A1176" s="22">
        <v>2012</v>
      </c>
      <c r="B1176" s="179" t="s">
        <v>5100</v>
      </c>
      <c r="C1176" s="112" t="s">
        <v>61</v>
      </c>
      <c r="D1176" s="180" t="s">
        <v>1383</v>
      </c>
      <c r="E1176" s="115" t="s">
        <v>1859</v>
      </c>
      <c r="F1176" s="194">
        <v>142329.60000000001</v>
      </c>
      <c r="G1176" s="180"/>
      <c r="H1176" s="179" t="s">
        <v>5101</v>
      </c>
      <c r="I1176" s="179" t="s">
        <v>5102</v>
      </c>
      <c r="J1176" s="187"/>
      <c r="K1176" s="179" t="s">
        <v>1828</v>
      </c>
      <c r="L1176" s="188"/>
      <c r="M1176" s="34"/>
    </row>
    <row r="1177" spans="1:13" ht="25.5">
      <c r="A1177" s="22">
        <v>2012</v>
      </c>
      <c r="B1177" s="179" t="s">
        <v>5103</v>
      </c>
      <c r="C1177" s="112" t="s">
        <v>61</v>
      </c>
      <c r="D1177" s="180" t="s">
        <v>4993</v>
      </c>
      <c r="E1177" s="115" t="s">
        <v>1859</v>
      </c>
      <c r="F1177" s="194">
        <v>37000</v>
      </c>
      <c r="G1177" s="180"/>
      <c r="H1177" s="179" t="s">
        <v>5104</v>
      </c>
      <c r="I1177" s="179" t="s">
        <v>5105</v>
      </c>
      <c r="J1177" s="187" t="s">
        <v>5106</v>
      </c>
      <c r="K1177" s="179" t="s">
        <v>1855</v>
      </c>
      <c r="L1177" s="188"/>
      <c r="M1177" s="34"/>
    </row>
    <row r="1178" spans="1:13" ht="38.25">
      <c r="A1178" s="22">
        <v>2012</v>
      </c>
      <c r="B1178" s="179" t="s">
        <v>5107</v>
      </c>
      <c r="C1178" s="112" t="s">
        <v>61</v>
      </c>
      <c r="D1178" s="180" t="s">
        <v>4993</v>
      </c>
      <c r="E1178" s="115" t="s">
        <v>1859</v>
      </c>
      <c r="F1178" s="194">
        <v>46000</v>
      </c>
      <c r="G1178" s="180"/>
      <c r="H1178" s="179" t="s">
        <v>5108</v>
      </c>
      <c r="I1178" s="179" t="s">
        <v>5109</v>
      </c>
      <c r="J1178" s="178" t="s">
        <v>5110</v>
      </c>
      <c r="K1178" s="179" t="s">
        <v>1847</v>
      </c>
      <c r="L1178" s="188"/>
      <c r="M1178" s="34"/>
    </row>
    <row r="1179" spans="1:13" ht="25.5">
      <c r="A1179" s="22">
        <v>2012</v>
      </c>
      <c r="B1179" s="179" t="s">
        <v>5111</v>
      </c>
      <c r="C1179" s="112" t="s">
        <v>61</v>
      </c>
      <c r="D1179" s="180" t="s">
        <v>4787</v>
      </c>
      <c r="E1179" s="115" t="s">
        <v>1859</v>
      </c>
      <c r="F1179" s="194">
        <v>50000</v>
      </c>
      <c r="G1179" s="180"/>
      <c r="H1179" s="179" t="s">
        <v>5112</v>
      </c>
      <c r="I1179" s="179" t="s">
        <v>1742</v>
      </c>
      <c r="J1179" s="187" t="s">
        <v>5113</v>
      </c>
      <c r="K1179" s="179" t="s">
        <v>1847</v>
      </c>
      <c r="L1179" s="188"/>
      <c r="M1179" s="34"/>
    </row>
    <row r="1180" spans="1:13" ht="38.25">
      <c r="A1180" s="22">
        <v>2012</v>
      </c>
      <c r="B1180" s="179" t="s">
        <v>5114</v>
      </c>
      <c r="C1180" s="112" t="s">
        <v>61</v>
      </c>
      <c r="D1180" s="180" t="s">
        <v>4993</v>
      </c>
      <c r="E1180" s="115" t="s">
        <v>1859</v>
      </c>
      <c r="F1180" s="194">
        <v>55000</v>
      </c>
      <c r="G1180" s="180"/>
      <c r="H1180" s="179" t="s">
        <v>5115</v>
      </c>
      <c r="I1180" s="179" t="s">
        <v>5116</v>
      </c>
      <c r="J1180" s="187" t="s">
        <v>5117</v>
      </c>
      <c r="K1180" s="179" t="s">
        <v>1847</v>
      </c>
      <c r="L1180" s="188"/>
      <c r="M1180" s="34"/>
    </row>
    <row r="1181" spans="1:13" ht="25.5">
      <c r="A1181" s="22">
        <v>2012</v>
      </c>
      <c r="B1181" s="179" t="s">
        <v>5118</v>
      </c>
      <c r="C1181" s="112" t="s">
        <v>61</v>
      </c>
      <c r="D1181" s="180" t="s">
        <v>1763</v>
      </c>
      <c r="E1181" s="115" t="s">
        <v>1859</v>
      </c>
      <c r="F1181" s="194">
        <v>20000</v>
      </c>
      <c r="G1181" s="180"/>
      <c r="H1181" s="179" t="s">
        <v>5119</v>
      </c>
      <c r="I1181" s="179" t="s">
        <v>5120</v>
      </c>
      <c r="J1181" s="187" t="s">
        <v>5121</v>
      </c>
      <c r="K1181" s="179" t="s">
        <v>1847</v>
      </c>
      <c r="L1181" s="188"/>
      <c r="M1181" s="34"/>
    </row>
    <row r="1182" spans="1:13" ht="38.25">
      <c r="A1182" s="22">
        <v>2012</v>
      </c>
      <c r="B1182" s="179" t="s">
        <v>5122</v>
      </c>
      <c r="C1182" s="112" t="s">
        <v>61</v>
      </c>
      <c r="D1182" s="180" t="s">
        <v>4993</v>
      </c>
      <c r="E1182" s="115" t="s">
        <v>1859</v>
      </c>
      <c r="F1182" s="194">
        <v>40000</v>
      </c>
      <c r="G1182" s="180"/>
      <c r="H1182" s="179" t="s">
        <v>5123</v>
      </c>
      <c r="I1182" s="179" t="s">
        <v>5124</v>
      </c>
      <c r="J1182" s="187" t="s">
        <v>5125</v>
      </c>
      <c r="K1182" s="179" t="s">
        <v>1847</v>
      </c>
      <c r="L1182" s="188"/>
      <c r="M1182" s="34"/>
    </row>
    <row r="1183" spans="1:13" ht="25.5">
      <c r="A1183" s="22">
        <v>2012</v>
      </c>
      <c r="B1183" s="179" t="s">
        <v>5126</v>
      </c>
      <c r="C1183" s="112" t="s">
        <v>61</v>
      </c>
      <c r="D1183" s="180" t="s">
        <v>1763</v>
      </c>
      <c r="E1183" s="115" t="s">
        <v>1859</v>
      </c>
      <c r="F1183" s="194">
        <v>26200</v>
      </c>
      <c r="G1183" s="180"/>
      <c r="H1183" s="178" t="s">
        <v>5127</v>
      </c>
      <c r="I1183" s="179" t="s">
        <v>5128</v>
      </c>
      <c r="J1183" s="187" t="s">
        <v>5129</v>
      </c>
      <c r="K1183" s="179" t="s">
        <v>1847</v>
      </c>
      <c r="L1183" s="188"/>
      <c r="M1183" s="34"/>
    </row>
    <row r="1184" spans="1:13" ht="25.5">
      <c r="A1184" s="22">
        <v>2012</v>
      </c>
      <c r="B1184" s="179" t="s">
        <v>5130</v>
      </c>
      <c r="C1184" s="112" t="s">
        <v>61</v>
      </c>
      <c r="D1184" s="180" t="s">
        <v>4993</v>
      </c>
      <c r="E1184" s="115" t="s">
        <v>1859</v>
      </c>
      <c r="F1184" s="194">
        <v>40000</v>
      </c>
      <c r="G1184" s="180"/>
      <c r="H1184" s="179" t="s">
        <v>5131</v>
      </c>
      <c r="I1184" s="179" t="s">
        <v>5000</v>
      </c>
      <c r="J1184" s="187"/>
      <c r="K1184" s="200" t="s">
        <v>2085</v>
      </c>
      <c r="L1184" s="188"/>
      <c r="M1184" s="34"/>
    </row>
    <row r="1185" spans="1:13" ht="25.5">
      <c r="A1185" s="22">
        <v>2012</v>
      </c>
      <c r="B1185" s="179" t="s">
        <v>5132</v>
      </c>
      <c r="C1185" s="112" t="s">
        <v>61</v>
      </c>
      <c r="D1185" s="180" t="s">
        <v>4993</v>
      </c>
      <c r="E1185" s="115" t="s">
        <v>1859</v>
      </c>
      <c r="F1185" s="194">
        <v>80000</v>
      </c>
      <c r="G1185" s="180"/>
      <c r="H1185" s="179" t="s">
        <v>5133</v>
      </c>
      <c r="I1185" s="179" t="s">
        <v>5134</v>
      </c>
      <c r="J1185" s="187" t="s">
        <v>5135</v>
      </c>
      <c r="K1185" s="179" t="s">
        <v>1828</v>
      </c>
      <c r="L1185" s="188"/>
      <c r="M1185" s="34"/>
    </row>
    <row r="1186" spans="1:13" ht="25.5">
      <c r="A1186" s="22">
        <v>2012</v>
      </c>
      <c r="B1186" s="179" t="s">
        <v>5136</v>
      </c>
      <c r="C1186" s="112" t="s">
        <v>61</v>
      </c>
      <c r="D1186" s="180" t="s">
        <v>4993</v>
      </c>
      <c r="E1186" s="115" t="s">
        <v>1859</v>
      </c>
      <c r="F1186" s="194">
        <v>80000</v>
      </c>
      <c r="G1186" s="180"/>
      <c r="H1186" s="179" t="s">
        <v>5137</v>
      </c>
      <c r="I1186" s="179" t="s">
        <v>1689</v>
      </c>
      <c r="J1186" s="179" t="s">
        <v>5135</v>
      </c>
      <c r="K1186" s="179" t="s">
        <v>1828</v>
      </c>
      <c r="L1186" s="188"/>
      <c r="M1186" s="34"/>
    </row>
    <row r="1187" spans="1:13" ht="25.5">
      <c r="A1187" s="22">
        <v>2012</v>
      </c>
      <c r="B1187" s="179" t="s">
        <v>5138</v>
      </c>
      <c r="C1187" s="112" t="s">
        <v>61</v>
      </c>
      <c r="D1187" s="180" t="s">
        <v>4993</v>
      </c>
      <c r="E1187" s="115" t="s">
        <v>1859</v>
      </c>
      <c r="F1187" s="194">
        <v>80000</v>
      </c>
      <c r="G1187" s="180"/>
      <c r="H1187" s="179" t="s">
        <v>5139</v>
      </c>
      <c r="I1187" s="179" t="s">
        <v>5140</v>
      </c>
      <c r="J1187" s="187" t="s">
        <v>5141</v>
      </c>
      <c r="K1187" s="6" t="s">
        <v>1886</v>
      </c>
      <c r="L1187" s="188"/>
      <c r="M1187" s="34"/>
    </row>
    <row r="1188" spans="1:13" ht="25.5">
      <c r="A1188" s="22">
        <v>2012</v>
      </c>
      <c r="B1188" s="179" t="s">
        <v>5142</v>
      </c>
      <c r="C1188" s="112" t="s">
        <v>61</v>
      </c>
      <c r="D1188" s="180" t="s">
        <v>4993</v>
      </c>
      <c r="E1188" s="115" t="s">
        <v>1859</v>
      </c>
      <c r="F1188" s="194">
        <v>80000</v>
      </c>
      <c r="G1188" s="180"/>
      <c r="H1188" s="179" t="s">
        <v>5143</v>
      </c>
      <c r="I1188" s="179" t="s">
        <v>5033</v>
      </c>
      <c r="J1188" s="179" t="s">
        <v>5144</v>
      </c>
      <c r="K1188" s="179" t="s">
        <v>1828</v>
      </c>
      <c r="L1188" s="188"/>
      <c r="M1188" s="34"/>
    </row>
    <row r="1189" spans="1:13" ht="25.5">
      <c r="A1189" s="22">
        <v>2012</v>
      </c>
      <c r="B1189" s="179" t="s">
        <v>5145</v>
      </c>
      <c r="C1189" s="112" t="s">
        <v>61</v>
      </c>
      <c r="D1189" s="180" t="s">
        <v>5031</v>
      </c>
      <c r="E1189" s="6"/>
      <c r="F1189" s="194">
        <v>33600</v>
      </c>
      <c r="G1189" s="180"/>
      <c r="H1189" s="179" t="s">
        <v>5146</v>
      </c>
      <c r="I1189" s="179" t="s">
        <v>5147</v>
      </c>
      <c r="J1189" s="179" t="s">
        <v>5148</v>
      </c>
      <c r="K1189" s="179" t="s">
        <v>1899</v>
      </c>
      <c r="L1189" s="188"/>
      <c r="M1189" s="34"/>
    </row>
    <row r="1190" spans="1:13" ht="25.5">
      <c r="A1190" s="22">
        <v>2012</v>
      </c>
      <c r="B1190" s="179" t="s">
        <v>5149</v>
      </c>
      <c r="C1190" s="112" t="s">
        <v>61</v>
      </c>
      <c r="D1190" s="180" t="s">
        <v>1763</v>
      </c>
      <c r="E1190" s="115" t="s">
        <v>1859</v>
      </c>
      <c r="F1190" s="194">
        <v>10425</v>
      </c>
      <c r="G1190" s="180"/>
      <c r="H1190" s="179" t="s">
        <v>5150</v>
      </c>
      <c r="I1190" s="179" t="s">
        <v>5151</v>
      </c>
      <c r="J1190" s="179" t="s">
        <v>5152</v>
      </c>
      <c r="K1190" s="179" t="s">
        <v>1828</v>
      </c>
      <c r="L1190" s="188"/>
      <c r="M1190" s="34"/>
    </row>
    <row r="1191" spans="1:13" ht="38.25">
      <c r="A1191" s="22">
        <v>2012</v>
      </c>
      <c r="B1191" s="179" t="s">
        <v>5153</v>
      </c>
      <c r="C1191" s="112" t="s">
        <v>61</v>
      </c>
      <c r="D1191" s="180" t="s">
        <v>4993</v>
      </c>
      <c r="E1191" s="115" t="s">
        <v>1859</v>
      </c>
      <c r="F1191" s="194">
        <v>80000</v>
      </c>
      <c r="G1191" s="180"/>
      <c r="H1191" s="179" t="s">
        <v>5154</v>
      </c>
      <c r="I1191" s="179" t="s">
        <v>5155</v>
      </c>
      <c r="J1191" s="179" t="s">
        <v>3686</v>
      </c>
      <c r="K1191" s="6" t="s">
        <v>1886</v>
      </c>
      <c r="L1191" s="188"/>
      <c r="M1191" s="34"/>
    </row>
    <row r="1192" spans="1:13" ht="38.25">
      <c r="A1192" s="22">
        <v>2012</v>
      </c>
      <c r="B1192" s="179" t="s">
        <v>5156</v>
      </c>
      <c r="C1192" s="112" t="s">
        <v>61</v>
      </c>
      <c r="D1192" s="180" t="s">
        <v>1763</v>
      </c>
      <c r="E1192" s="115" t="s">
        <v>1859</v>
      </c>
      <c r="F1192" s="194">
        <v>28600</v>
      </c>
      <c r="G1192" s="180"/>
      <c r="H1192" s="179" t="s">
        <v>5157</v>
      </c>
      <c r="I1192" s="179" t="s">
        <v>5158</v>
      </c>
      <c r="J1192" s="187" t="s">
        <v>5159</v>
      </c>
      <c r="K1192" s="6" t="s">
        <v>1886</v>
      </c>
      <c r="L1192" s="188"/>
      <c r="M1192" s="34"/>
    </row>
    <row r="1193" spans="1:13" ht="38.25">
      <c r="A1193" s="22">
        <v>2012</v>
      </c>
      <c r="B1193" s="179" t="s">
        <v>5160</v>
      </c>
      <c r="C1193" s="112" t="s">
        <v>61</v>
      </c>
      <c r="D1193" s="180" t="s">
        <v>4993</v>
      </c>
      <c r="E1193" s="115" t="s">
        <v>1859</v>
      </c>
      <c r="F1193" s="194">
        <v>60000</v>
      </c>
      <c r="G1193" s="180"/>
      <c r="H1193" s="179" t="s">
        <v>5161</v>
      </c>
      <c r="I1193" s="179" t="s">
        <v>5162</v>
      </c>
      <c r="J1193" s="187" t="s">
        <v>5163</v>
      </c>
      <c r="K1193" s="179" t="s">
        <v>1828</v>
      </c>
      <c r="L1193" s="188"/>
      <c r="M1193" s="34"/>
    </row>
    <row r="1194" spans="1:13" ht="25.5">
      <c r="A1194" s="22">
        <v>2012</v>
      </c>
      <c r="B1194" s="179" t="s">
        <v>5164</v>
      </c>
      <c r="C1194" s="112" t="s">
        <v>61</v>
      </c>
      <c r="D1194" s="180" t="s">
        <v>4993</v>
      </c>
      <c r="E1194" s="115" t="s">
        <v>1859</v>
      </c>
      <c r="F1194" s="194">
        <v>80000</v>
      </c>
      <c r="G1194" s="180"/>
      <c r="H1194" s="179" t="s">
        <v>5165</v>
      </c>
      <c r="I1194" s="179" t="s">
        <v>5166</v>
      </c>
      <c r="J1194" s="187" t="s">
        <v>5167</v>
      </c>
      <c r="K1194" s="179" t="s">
        <v>1828</v>
      </c>
      <c r="L1194" s="188"/>
      <c r="M1194" s="34"/>
    </row>
    <row r="1195" spans="1:13" ht="25.5">
      <c r="A1195" s="22">
        <v>2012</v>
      </c>
      <c r="B1195" s="179" t="s">
        <v>5168</v>
      </c>
      <c r="C1195" s="112" t="s">
        <v>61</v>
      </c>
      <c r="D1195" s="180" t="s">
        <v>4993</v>
      </c>
      <c r="E1195" s="115" t="s">
        <v>1859</v>
      </c>
      <c r="F1195" s="194">
        <v>80000</v>
      </c>
      <c r="G1195" s="180"/>
      <c r="H1195" s="179" t="s">
        <v>5169</v>
      </c>
      <c r="I1195" s="179" t="s">
        <v>5170</v>
      </c>
      <c r="J1195" s="187" t="s">
        <v>5171</v>
      </c>
      <c r="K1195" s="179" t="s">
        <v>1828</v>
      </c>
      <c r="L1195" s="188"/>
      <c r="M1195" s="34"/>
    </row>
    <row r="1196" spans="1:13" ht="25.5">
      <c r="A1196" s="22">
        <v>2012</v>
      </c>
      <c r="B1196" s="179" t="s">
        <v>5172</v>
      </c>
      <c r="C1196" s="112" t="s">
        <v>61</v>
      </c>
      <c r="D1196" s="180" t="s">
        <v>4993</v>
      </c>
      <c r="E1196" s="115" t="s">
        <v>1859</v>
      </c>
      <c r="F1196" s="194">
        <v>80000</v>
      </c>
      <c r="G1196" s="180"/>
      <c r="H1196" s="179" t="s">
        <v>3573</v>
      </c>
      <c r="I1196" s="179" t="s">
        <v>5173</v>
      </c>
      <c r="J1196" s="187" t="s">
        <v>5135</v>
      </c>
      <c r="K1196" s="179" t="s">
        <v>1828</v>
      </c>
      <c r="L1196" s="188"/>
      <c r="M1196" s="34"/>
    </row>
    <row r="1197" spans="1:13" ht="25.5">
      <c r="A1197" s="22">
        <v>2012</v>
      </c>
      <c r="B1197" s="179" t="s">
        <v>5174</v>
      </c>
      <c r="C1197" s="112" t="s">
        <v>61</v>
      </c>
      <c r="D1197" s="180" t="s">
        <v>4993</v>
      </c>
      <c r="E1197" s="115" t="s">
        <v>1859</v>
      </c>
      <c r="F1197" s="194">
        <v>80000</v>
      </c>
      <c r="G1197" s="180"/>
      <c r="H1197" s="179" t="s">
        <v>5175</v>
      </c>
      <c r="I1197" s="179" t="s">
        <v>5176</v>
      </c>
      <c r="J1197" s="187" t="s">
        <v>5135</v>
      </c>
      <c r="K1197" s="179" t="s">
        <v>1828</v>
      </c>
      <c r="L1197" s="188"/>
      <c r="M1197" s="34"/>
    </row>
    <row r="1198" spans="1:13" ht="38.25">
      <c r="A1198" s="22">
        <v>2012</v>
      </c>
      <c r="B1198" s="179" t="s">
        <v>5177</v>
      </c>
      <c r="C1198" s="112" t="s">
        <v>61</v>
      </c>
      <c r="D1198" s="180" t="s">
        <v>4993</v>
      </c>
      <c r="E1198" s="115" t="s">
        <v>1859</v>
      </c>
      <c r="F1198" s="194">
        <v>80000</v>
      </c>
      <c r="G1198" s="180"/>
      <c r="H1198" s="179" t="s">
        <v>5178</v>
      </c>
      <c r="I1198" s="179" t="s">
        <v>5179</v>
      </c>
      <c r="J1198" s="187" t="s">
        <v>5180</v>
      </c>
      <c r="K1198" s="179" t="s">
        <v>1828</v>
      </c>
      <c r="L1198" s="188"/>
      <c r="M1198" s="34"/>
    </row>
    <row r="1199" spans="1:13" ht="38.25">
      <c r="A1199" s="22">
        <v>2012</v>
      </c>
      <c r="B1199" s="179" t="s">
        <v>5181</v>
      </c>
      <c r="C1199" s="112" t="s">
        <v>61</v>
      </c>
      <c r="D1199" s="180" t="s">
        <v>4993</v>
      </c>
      <c r="E1199" s="115" t="s">
        <v>1859</v>
      </c>
      <c r="F1199" s="194">
        <v>80000</v>
      </c>
      <c r="G1199" s="180"/>
      <c r="H1199" s="179" t="s">
        <v>5182</v>
      </c>
      <c r="I1199" s="179" t="s">
        <v>5183</v>
      </c>
      <c r="J1199" s="179" t="s">
        <v>5171</v>
      </c>
      <c r="K1199" s="179" t="s">
        <v>1828</v>
      </c>
      <c r="L1199" s="188"/>
      <c r="M1199" s="34"/>
    </row>
    <row r="1200" spans="1:13" ht="63.75">
      <c r="A1200" s="22">
        <v>2012</v>
      </c>
      <c r="B1200" s="179" t="s">
        <v>5184</v>
      </c>
      <c r="C1200" s="112" t="s">
        <v>61</v>
      </c>
      <c r="D1200" s="180" t="s">
        <v>4993</v>
      </c>
      <c r="E1200" s="115" t="s">
        <v>1859</v>
      </c>
      <c r="F1200" s="194">
        <v>80000</v>
      </c>
      <c r="G1200" s="180"/>
      <c r="H1200" s="179" t="s">
        <v>5185</v>
      </c>
      <c r="I1200" s="179" t="s">
        <v>5186</v>
      </c>
      <c r="J1200" s="179" t="s">
        <v>5187</v>
      </c>
      <c r="K1200" s="179" t="s">
        <v>1828</v>
      </c>
      <c r="L1200" s="188"/>
      <c r="M1200" s="34"/>
    </row>
    <row r="1201" spans="1:13" ht="25.5">
      <c r="A1201" s="22">
        <v>2012</v>
      </c>
      <c r="B1201" s="179" t="s">
        <v>5188</v>
      </c>
      <c r="C1201" s="112" t="s">
        <v>61</v>
      </c>
      <c r="D1201" s="180" t="s">
        <v>4993</v>
      </c>
      <c r="E1201" s="115" t="s">
        <v>1859</v>
      </c>
      <c r="F1201" s="194">
        <v>80000</v>
      </c>
      <c r="G1201" s="180"/>
      <c r="H1201" s="179" t="s">
        <v>5189</v>
      </c>
      <c r="I1201" s="179" t="s">
        <v>5190</v>
      </c>
      <c r="J1201" s="179" t="s">
        <v>5171</v>
      </c>
      <c r="K1201" s="179" t="s">
        <v>1828</v>
      </c>
      <c r="L1201" s="188"/>
      <c r="M1201" s="34"/>
    </row>
    <row r="1202" spans="1:13" ht="25.5">
      <c r="A1202" s="22">
        <v>2012</v>
      </c>
      <c r="B1202" s="179" t="s">
        <v>5191</v>
      </c>
      <c r="C1202" s="112" t="s">
        <v>61</v>
      </c>
      <c r="D1202" s="180" t="s">
        <v>586</v>
      </c>
      <c r="E1202" s="6" t="s">
        <v>1874</v>
      </c>
      <c r="F1202" s="194">
        <v>6100</v>
      </c>
      <c r="G1202" s="180"/>
      <c r="H1202" s="179" t="s">
        <v>5192</v>
      </c>
      <c r="I1202" s="179" t="s">
        <v>5193</v>
      </c>
      <c r="J1202" s="179" t="s">
        <v>5194</v>
      </c>
      <c r="K1202" s="179" t="s">
        <v>2085</v>
      </c>
      <c r="L1202" s="188"/>
      <c r="M1202" s="34"/>
    </row>
    <row r="1203" spans="1:13" ht="51">
      <c r="A1203" s="22">
        <v>2012</v>
      </c>
      <c r="B1203" s="179" t="s">
        <v>5195</v>
      </c>
      <c r="C1203" s="112" t="s">
        <v>61</v>
      </c>
      <c r="D1203" s="180" t="s">
        <v>4993</v>
      </c>
      <c r="E1203" s="115" t="s">
        <v>1859</v>
      </c>
      <c r="F1203" s="194">
        <v>80000</v>
      </c>
      <c r="G1203" s="180"/>
      <c r="H1203" s="179" t="s">
        <v>5196</v>
      </c>
      <c r="I1203" s="179" t="s">
        <v>5197</v>
      </c>
      <c r="J1203" s="179" t="s">
        <v>5198</v>
      </c>
      <c r="K1203" s="179" t="s">
        <v>1828</v>
      </c>
      <c r="L1203" s="188"/>
      <c r="M1203" s="34"/>
    </row>
    <row r="1204" spans="1:13" ht="25.5">
      <c r="A1204" s="22">
        <v>2012</v>
      </c>
      <c r="B1204" s="179" t="s">
        <v>5199</v>
      </c>
      <c r="C1204" s="112" t="s">
        <v>61</v>
      </c>
      <c r="D1204" s="180" t="s">
        <v>4993</v>
      </c>
      <c r="E1204" s="115" t="s">
        <v>1859</v>
      </c>
      <c r="F1204" s="194">
        <v>35000</v>
      </c>
      <c r="G1204" s="180"/>
      <c r="H1204" s="179" t="s">
        <v>5200</v>
      </c>
      <c r="I1204" s="179" t="s">
        <v>5201</v>
      </c>
      <c r="J1204" s="179" t="s">
        <v>5202</v>
      </c>
      <c r="K1204" s="179" t="s">
        <v>1855</v>
      </c>
      <c r="L1204" s="188"/>
      <c r="M1204" s="34"/>
    </row>
    <row r="1205" spans="1:13" ht="25.5">
      <c r="A1205" s="22">
        <v>2012</v>
      </c>
      <c r="B1205" s="179" t="s">
        <v>5203</v>
      </c>
      <c r="C1205" s="112" t="s">
        <v>61</v>
      </c>
      <c r="D1205" s="180" t="s">
        <v>394</v>
      </c>
      <c r="E1205" s="115" t="s">
        <v>1853</v>
      </c>
      <c r="F1205" s="194">
        <v>32000</v>
      </c>
      <c r="G1205" s="180"/>
      <c r="H1205" s="179" t="s">
        <v>5204</v>
      </c>
      <c r="I1205" s="179" t="s">
        <v>5205</v>
      </c>
      <c r="J1205" s="179" t="s">
        <v>5206</v>
      </c>
      <c r="K1205" s="179" t="s">
        <v>1828</v>
      </c>
      <c r="L1205" s="188"/>
      <c r="M1205" s="34"/>
    </row>
    <row r="1206" spans="1:13" ht="25.5">
      <c r="A1206" s="22">
        <v>2012</v>
      </c>
      <c r="B1206" s="179" t="s">
        <v>5207</v>
      </c>
      <c r="C1206" s="112" t="s">
        <v>61</v>
      </c>
      <c r="D1206" s="180" t="s">
        <v>4993</v>
      </c>
      <c r="E1206" s="115" t="s">
        <v>1859</v>
      </c>
      <c r="F1206" s="194">
        <v>80000</v>
      </c>
      <c r="G1206" s="180"/>
      <c r="H1206" s="179" t="s">
        <v>5208</v>
      </c>
      <c r="I1206" s="179" t="s">
        <v>5209</v>
      </c>
      <c r="J1206" s="179" t="s">
        <v>5210</v>
      </c>
      <c r="K1206" s="179" t="s">
        <v>1828</v>
      </c>
      <c r="L1206" s="188"/>
      <c r="M1206" s="34"/>
    </row>
    <row r="1207" spans="1:13" ht="25.5">
      <c r="A1207" s="22">
        <v>2012</v>
      </c>
      <c r="B1207" s="179" t="s">
        <v>5211</v>
      </c>
      <c r="C1207" s="112" t="s">
        <v>61</v>
      </c>
      <c r="D1207" s="180" t="s">
        <v>1141</v>
      </c>
      <c r="E1207" s="6" t="s">
        <v>1904</v>
      </c>
      <c r="F1207" s="194">
        <v>81347.399999999994</v>
      </c>
      <c r="G1207" s="180"/>
      <c r="H1207" s="179" t="s">
        <v>5212</v>
      </c>
      <c r="I1207" s="179" t="s">
        <v>5213</v>
      </c>
      <c r="J1207" s="179" t="s">
        <v>5214</v>
      </c>
      <c r="K1207" s="179" t="s">
        <v>1855</v>
      </c>
      <c r="L1207" s="188"/>
      <c r="M1207" s="34"/>
    </row>
    <row r="1208" spans="1:13" ht="25.5">
      <c r="A1208" s="22">
        <v>2012</v>
      </c>
      <c r="B1208" s="179" t="s">
        <v>5215</v>
      </c>
      <c r="C1208" s="112" t="s">
        <v>61</v>
      </c>
      <c r="D1208" s="180" t="s">
        <v>1383</v>
      </c>
      <c r="E1208" s="115" t="s">
        <v>1859</v>
      </c>
      <c r="F1208" s="194">
        <v>8016.6</v>
      </c>
      <c r="G1208" s="180"/>
      <c r="H1208" s="179" t="s">
        <v>5216</v>
      </c>
      <c r="I1208" s="179" t="s">
        <v>4834</v>
      </c>
      <c r="J1208" s="179" t="s">
        <v>5217</v>
      </c>
      <c r="K1208" s="179" t="s">
        <v>1828</v>
      </c>
      <c r="L1208" s="188"/>
      <c r="M1208" s="34"/>
    </row>
    <row r="1209" spans="1:13" ht="51">
      <c r="A1209" s="22">
        <v>2012</v>
      </c>
      <c r="B1209" s="179" t="s">
        <v>5218</v>
      </c>
      <c r="C1209" s="112" t="s">
        <v>61</v>
      </c>
      <c r="D1209" s="180" t="s">
        <v>1763</v>
      </c>
      <c r="E1209" s="115" t="s">
        <v>1859</v>
      </c>
      <c r="F1209" s="194">
        <v>4500</v>
      </c>
      <c r="G1209" s="180"/>
      <c r="H1209" s="179" t="s">
        <v>5219</v>
      </c>
      <c r="I1209" s="179" t="s">
        <v>5220</v>
      </c>
      <c r="J1209" s="179" t="s">
        <v>5221</v>
      </c>
      <c r="K1209" s="179" t="s">
        <v>1828</v>
      </c>
      <c r="L1209" s="188"/>
      <c r="M1209" s="34"/>
    </row>
    <row r="1210" spans="1:13" ht="25.5">
      <c r="A1210" s="22">
        <v>2012</v>
      </c>
      <c r="B1210" s="179" t="s">
        <v>5222</v>
      </c>
      <c r="C1210" s="112" t="s">
        <v>61</v>
      </c>
      <c r="D1210" s="180" t="s">
        <v>4993</v>
      </c>
      <c r="E1210" s="115" t="s">
        <v>1859</v>
      </c>
      <c r="F1210" s="194">
        <v>80000</v>
      </c>
      <c r="G1210" s="180"/>
      <c r="H1210" s="179" t="s">
        <v>5223</v>
      </c>
      <c r="I1210" s="179" t="s">
        <v>5224</v>
      </c>
      <c r="J1210" s="179" t="s">
        <v>5225</v>
      </c>
      <c r="K1210" s="179" t="s">
        <v>1828</v>
      </c>
      <c r="L1210" s="188"/>
      <c r="M1210" s="34"/>
    </row>
    <row r="1211" spans="1:13" ht="25.5">
      <c r="A1211" s="22">
        <v>2012</v>
      </c>
      <c r="B1211" s="179" t="s">
        <v>5226</v>
      </c>
      <c r="C1211" s="112" t="s">
        <v>61</v>
      </c>
      <c r="D1211" s="180" t="s">
        <v>1141</v>
      </c>
      <c r="E1211" s="6" t="s">
        <v>1904</v>
      </c>
      <c r="F1211" s="194">
        <v>48060.02</v>
      </c>
      <c r="G1211" s="180"/>
      <c r="H1211" s="179" t="s">
        <v>5227</v>
      </c>
      <c r="I1211" s="179" t="s">
        <v>5228</v>
      </c>
      <c r="J1211" s="179" t="s">
        <v>4425</v>
      </c>
      <c r="K1211" s="6" t="s">
        <v>1886</v>
      </c>
      <c r="L1211" s="188"/>
      <c r="M1211" s="34"/>
    </row>
    <row r="1212" spans="1:13" ht="25.5">
      <c r="A1212" s="22">
        <v>2012</v>
      </c>
      <c r="B1212" s="179" t="s">
        <v>5229</v>
      </c>
      <c r="C1212" s="112" t="s">
        <v>61</v>
      </c>
      <c r="D1212" s="180" t="s">
        <v>4993</v>
      </c>
      <c r="E1212" s="115" t="s">
        <v>1859</v>
      </c>
      <c r="F1212" s="194">
        <v>80000</v>
      </c>
      <c r="G1212" s="180"/>
      <c r="H1212" s="179" t="s">
        <v>5230</v>
      </c>
      <c r="I1212" s="179" t="s">
        <v>5231</v>
      </c>
      <c r="J1212" s="179" t="s">
        <v>5206</v>
      </c>
      <c r="K1212" s="179" t="s">
        <v>1828</v>
      </c>
      <c r="L1212" s="188"/>
      <c r="M1212" s="34"/>
    </row>
    <row r="1213" spans="1:13" ht="38.25">
      <c r="A1213" s="22">
        <v>2012</v>
      </c>
      <c r="B1213" s="179" t="s">
        <v>5232</v>
      </c>
      <c r="C1213" s="112" t="s">
        <v>61</v>
      </c>
      <c r="D1213" s="180" t="s">
        <v>4993</v>
      </c>
      <c r="E1213" s="115" t="s">
        <v>1859</v>
      </c>
      <c r="F1213" s="194">
        <v>80000</v>
      </c>
      <c r="G1213" s="180"/>
      <c r="H1213" s="179" t="s">
        <v>5233</v>
      </c>
      <c r="I1213" s="179" t="s">
        <v>5234</v>
      </c>
      <c r="J1213" s="179" t="s">
        <v>5235</v>
      </c>
      <c r="K1213" s="179" t="s">
        <v>1828</v>
      </c>
      <c r="L1213" s="188"/>
      <c r="M1213" s="34"/>
    </row>
    <row r="1214" spans="1:13" ht="63.75">
      <c r="A1214" s="22">
        <v>2012</v>
      </c>
      <c r="B1214" s="179" t="s">
        <v>5236</v>
      </c>
      <c r="C1214" s="112" t="s">
        <v>61</v>
      </c>
      <c r="D1214" s="180" t="s">
        <v>113</v>
      </c>
      <c r="E1214" s="6"/>
      <c r="F1214" s="194">
        <v>47000</v>
      </c>
      <c r="G1214" s="180"/>
      <c r="H1214" s="179" t="s">
        <v>5237</v>
      </c>
      <c r="I1214" s="179" t="s">
        <v>5238</v>
      </c>
      <c r="J1214" s="190"/>
      <c r="K1214" s="179" t="s">
        <v>1828</v>
      </c>
      <c r="L1214" s="188"/>
      <c r="M1214" s="34"/>
    </row>
    <row r="1215" spans="1:13" ht="38.25">
      <c r="A1215" s="22">
        <v>2012</v>
      </c>
      <c r="B1215" s="179" t="s">
        <v>5239</v>
      </c>
      <c r="C1215" s="112" t="s">
        <v>61</v>
      </c>
      <c r="D1215" s="180" t="s">
        <v>4993</v>
      </c>
      <c r="E1215" s="115" t="s">
        <v>1859</v>
      </c>
      <c r="F1215" s="194">
        <v>80000</v>
      </c>
      <c r="G1215" s="180"/>
      <c r="H1215" s="179" t="s">
        <v>5240</v>
      </c>
      <c r="I1215" s="179" t="s">
        <v>5241</v>
      </c>
      <c r="J1215" s="179" t="s">
        <v>5242</v>
      </c>
      <c r="K1215" s="179" t="s">
        <v>1828</v>
      </c>
      <c r="L1215" s="188"/>
      <c r="M1215" s="34"/>
    </row>
    <row r="1216" spans="1:13" ht="51">
      <c r="A1216" s="22">
        <v>2012</v>
      </c>
      <c r="B1216" s="179" t="s">
        <v>5243</v>
      </c>
      <c r="C1216" s="112" t="s">
        <v>61</v>
      </c>
      <c r="D1216" s="180" t="s">
        <v>4993</v>
      </c>
      <c r="E1216" s="115" t="s">
        <v>1859</v>
      </c>
      <c r="F1216" s="194">
        <v>20300</v>
      </c>
      <c r="G1216" s="180"/>
      <c r="H1216" s="179" t="s">
        <v>5244</v>
      </c>
      <c r="I1216" s="179" t="s">
        <v>5245</v>
      </c>
      <c r="J1216" s="179" t="s">
        <v>5246</v>
      </c>
      <c r="K1216" s="179" t="s">
        <v>1828</v>
      </c>
      <c r="L1216" s="188"/>
      <c r="M1216" s="34"/>
    </row>
    <row r="1217" spans="1:13" ht="38.25">
      <c r="A1217" s="22">
        <v>2012</v>
      </c>
      <c r="B1217" s="179" t="s">
        <v>5247</v>
      </c>
      <c r="C1217" s="112" t="s">
        <v>61</v>
      </c>
      <c r="D1217" s="180" t="s">
        <v>1141</v>
      </c>
      <c r="E1217" s="6" t="s">
        <v>1904</v>
      </c>
      <c r="F1217" s="194">
        <v>120855</v>
      </c>
      <c r="G1217" s="180"/>
      <c r="H1217" s="179" t="s">
        <v>5248</v>
      </c>
      <c r="I1217" s="179" t="s">
        <v>5249</v>
      </c>
      <c r="J1217" s="179" t="s">
        <v>4637</v>
      </c>
      <c r="K1217" s="6" t="s">
        <v>2082</v>
      </c>
      <c r="L1217" s="188"/>
      <c r="M1217" s="34"/>
    </row>
    <row r="1218" spans="1:13" ht="25.5">
      <c r="A1218" s="208">
        <v>2012</v>
      </c>
      <c r="B1218" s="179" t="s">
        <v>5250</v>
      </c>
      <c r="C1218" s="209"/>
      <c r="D1218" s="190"/>
      <c r="E1218" s="6"/>
      <c r="F1218" s="190"/>
      <c r="G1218" s="191"/>
      <c r="H1218" s="190"/>
      <c r="I1218" s="190"/>
      <c r="J1218" s="190"/>
      <c r="K1218" s="190"/>
      <c r="L1218" s="188"/>
      <c r="M1218" s="34"/>
    </row>
    <row r="1219" spans="1:13" ht="25.5">
      <c r="A1219" s="22">
        <v>2012</v>
      </c>
      <c r="B1219" s="179" t="s">
        <v>5251</v>
      </c>
      <c r="C1219" s="112" t="s">
        <v>61</v>
      </c>
      <c r="D1219" s="180" t="s">
        <v>4993</v>
      </c>
      <c r="E1219" s="115" t="s">
        <v>1859</v>
      </c>
      <c r="F1219" s="194">
        <v>36000</v>
      </c>
      <c r="G1219" s="180"/>
      <c r="H1219" s="196" t="s">
        <v>5252</v>
      </c>
      <c r="I1219" s="179" t="s">
        <v>5253</v>
      </c>
      <c r="J1219" s="179" t="s">
        <v>5254</v>
      </c>
      <c r="K1219" s="6" t="s">
        <v>1886</v>
      </c>
      <c r="L1219" s="188"/>
      <c r="M1219" s="34"/>
    </row>
    <row r="1220" spans="1:13" ht="51">
      <c r="A1220" s="22">
        <v>2012</v>
      </c>
      <c r="B1220" s="179" t="s">
        <v>5255</v>
      </c>
      <c r="C1220" s="112" t="s">
        <v>61</v>
      </c>
      <c r="D1220" s="180" t="s">
        <v>1763</v>
      </c>
      <c r="E1220" s="115" t="s">
        <v>1859</v>
      </c>
      <c r="F1220" s="194">
        <v>7650</v>
      </c>
      <c r="G1220" s="180"/>
      <c r="H1220" s="179" t="s">
        <v>5256</v>
      </c>
      <c r="I1220" s="179" t="s">
        <v>5257</v>
      </c>
      <c r="J1220" s="179" t="s">
        <v>5258</v>
      </c>
      <c r="K1220" s="179" t="s">
        <v>1828</v>
      </c>
      <c r="L1220" s="188"/>
      <c r="M1220" s="34"/>
    </row>
    <row r="1221" spans="1:13" ht="51">
      <c r="A1221" s="22">
        <v>2012</v>
      </c>
      <c r="B1221" s="179" t="s">
        <v>5259</v>
      </c>
      <c r="C1221" s="112" t="s">
        <v>61</v>
      </c>
      <c r="D1221" s="180" t="s">
        <v>4787</v>
      </c>
      <c r="E1221" s="115" t="s">
        <v>1859</v>
      </c>
      <c r="F1221" s="194">
        <v>55000</v>
      </c>
      <c r="G1221" s="180"/>
      <c r="H1221" s="179" t="s">
        <v>5260</v>
      </c>
      <c r="I1221" s="179" t="s">
        <v>5261</v>
      </c>
      <c r="J1221" s="179"/>
      <c r="K1221" s="190" t="s">
        <v>1828</v>
      </c>
      <c r="L1221" s="188"/>
      <c r="M1221" s="34"/>
    </row>
    <row r="1222" spans="1:13" ht="51">
      <c r="A1222" s="22">
        <v>2012</v>
      </c>
      <c r="B1222" s="179" t="s">
        <v>5262</v>
      </c>
      <c r="C1222" s="112" t="s">
        <v>61</v>
      </c>
      <c r="D1222" s="180" t="s">
        <v>1763</v>
      </c>
      <c r="E1222" s="115" t="s">
        <v>1859</v>
      </c>
      <c r="F1222" s="194">
        <v>8400</v>
      </c>
      <c r="G1222" s="180"/>
      <c r="H1222" s="179" t="s">
        <v>5263</v>
      </c>
      <c r="I1222" s="179" t="s">
        <v>5264</v>
      </c>
      <c r="J1222" s="179" t="s">
        <v>5265</v>
      </c>
      <c r="K1222" s="179" t="s">
        <v>1847</v>
      </c>
      <c r="L1222" s="188"/>
      <c r="M1222" s="34"/>
    </row>
    <row r="1223" spans="1:13" ht="38.25">
      <c r="A1223" s="22">
        <v>2012</v>
      </c>
      <c r="B1223" s="179" t="s">
        <v>5266</v>
      </c>
      <c r="C1223" s="112" t="s">
        <v>61</v>
      </c>
      <c r="D1223" s="180" t="s">
        <v>62</v>
      </c>
      <c r="E1223" s="6" t="s">
        <v>1904</v>
      </c>
      <c r="F1223" s="194">
        <v>612375.27</v>
      </c>
      <c r="G1223" s="180"/>
      <c r="H1223" s="179" t="s">
        <v>5267</v>
      </c>
      <c r="I1223" s="179" t="s">
        <v>5268</v>
      </c>
      <c r="J1223" s="179" t="s">
        <v>5269</v>
      </c>
      <c r="K1223" s="179" t="s">
        <v>1847</v>
      </c>
      <c r="L1223" s="188"/>
      <c r="M1223" s="34"/>
    </row>
    <row r="1224" spans="1:13" ht="25.5">
      <c r="A1224" s="208">
        <v>2012</v>
      </c>
      <c r="B1224" s="190" t="s">
        <v>5270</v>
      </c>
      <c r="C1224" s="209"/>
      <c r="D1224" s="190"/>
      <c r="E1224" s="6"/>
      <c r="F1224" s="190"/>
      <c r="G1224" s="191"/>
      <c r="H1224" s="190"/>
      <c r="I1224" s="190"/>
      <c r="J1224" s="190"/>
      <c r="K1224" s="190"/>
      <c r="L1224" s="188"/>
      <c r="M1224" s="34"/>
    </row>
    <row r="1225" spans="1:13" ht="25.5">
      <c r="A1225" s="22">
        <v>2012</v>
      </c>
      <c r="B1225" s="179" t="s">
        <v>5271</v>
      </c>
      <c r="C1225" s="112" t="s">
        <v>61</v>
      </c>
      <c r="D1225" s="180" t="s">
        <v>5031</v>
      </c>
      <c r="E1225" s="6"/>
      <c r="F1225" s="194">
        <v>45000</v>
      </c>
      <c r="G1225" s="180"/>
      <c r="H1225" s="179" t="s">
        <v>5272</v>
      </c>
      <c r="I1225" s="179" t="s">
        <v>5273</v>
      </c>
      <c r="J1225" s="179" t="s">
        <v>5034</v>
      </c>
      <c r="K1225" s="179" t="s">
        <v>1828</v>
      </c>
      <c r="L1225" s="188"/>
      <c r="M1225" s="34"/>
    </row>
    <row r="1226" spans="1:13" ht="51">
      <c r="A1226" s="22">
        <v>2012</v>
      </c>
      <c r="B1226" s="179" t="s">
        <v>5274</v>
      </c>
      <c r="C1226" s="112" t="s">
        <v>61</v>
      </c>
      <c r="D1226" s="180" t="s">
        <v>5031</v>
      </c>
      <c r="E1226" s="6"/>
      <c r="F1226" s="194">
        <v>50000</v>
      </c>
      <c r="G1226" s="180"/>
      <c r="H1226" s="179" t="s">
        <v>5275</v>
      </c>
      <c r="I1226" s="179" t="s">
        <v>5276</v>
      </c>
      <c r="J1226" s="179" t="s">
        <v>5277</v>
      </c>
      <c r="K1226" s="179" t="s">
        <v>1828</v>
      </c>
      <c r="L1226" s="188"/>
      <c r="M1226" s="34"/>
    </row>
    <row r="1227" spans="1:13" ht="25.5">
      <c r="A1227" s="22">
        <v>2012</v>
      </c>
      <c r="B1227" s="179" t="s">
        <v>5278</v>
      </c>
      <c r="C1227" s="112" t="s">
        <v>61</v>
      </c>
      <c r="D1227" s="180" t="s">
        <v>5031</v>
      </c>
      <c r="E1227" s="6"/>
      <c r="F1227" s="194">
        <v>30000</v>
      </c>
      <c r="G1227" s="180"/>
      <c r="H1227" s="179" t="s">
        <v>5279</v>
      </c>
      <c r="I1227" s="179" t="s">
        <v>5280</v>
      </c>
      <c r="J1227" s="180" t="s">
        <v>5281</v>
      </c>
      <c r="K1227" s="6" t="s">
        <v>1886</v>
      </c>
      <c r="L1227" s="188"/>
      <c r="M1227" s="34"/>
    </row>
    <row r="1228" spans="1:13" ht="38.25">
      <c r="A1228" s="22">
        <v>2012</v>
      </c>
      <c r="B1228" s="179" t="s">
        <v>5282</v>
      </c>
      <c r="C1228" s="112" t="s">
        <v>61</v>
      </c>
      <c r="D1228" s="180" t="s">
        <v>1383</v>
      </c>
      <c r="E1228" s="115" t="s">
        <v>1859</v>
      </c>
      <c r="F1228" s="194">
        <v>50000</v>
      </c>
      <c r="G1228" s="180"/>
      <c r="H1228" s="179" t="s">
        <v>5283</v>
      </c>
      <c r="I1228" s="179" t="s">
        <v>5284</v>
      </c>
      <c r="J1228" s="179" t="s">
        <v>5285</v>
      </c>
      <c r="K1228" s="179" t="s">
        <v>1828</v>
      </c>
      <c r="L1228" s="188"/>
      <c r="M1228" s="34"/>
    </row>
    <row r="1229" spans="1:13" ht="25.5">
      <c r="A1229" s="22">
        <v>2012</v>
      </c>
      <c r="B1229" s="179" t="s">
        <v>5286</v>
      </c>
      <c r="C1229" s="112" t="s">
        <v>61</v>
      </c>
      <c r="D1229" s="180" t="s">
        <v>4787</v>
      </c>
      <c r="E1229" s="115" t="s">
        <v>1859</v>
      </c>
      <c r="F1229" s="194">
        <v>214200</v>
      </c>
      <c r="G1229" s="180"/>
      <c r="H1229" s="179" t="s">
        <v>5287</v>
      </c>
      <c r="I1229" s="179" t="s">
        <v>5288</v>
      </c>
      <c r="J1229" s="179"/>
      <c r="K1229" s="179" t="s">
        <v>1828</v>
      </c>
      <c r="L1229" s="188"/>
      <c r="M1229" s="34"/>
    </row>
    <row r="1230" spans="1:13" ht="51">
      <c r="A1230" s="22">
        <v>2012</v>
      </c>
      <c r="B1230" s="179" t="s">
        <v>5289</v>
      </c>
      <c r="C1230" s="112" t="s">
        <v>61</v>
      </c>
      <c r="D1230" s="180" t="s">
        <v>1763</v>
      </c>
      <c r="E1230" s="115" t="s">
        <v>1859</v>
      </c>
      <c r="F1230" s="194">
        <v>7650</v>
      </c>
      <c r="G1230" s="180"/>
      <c r="H1230" s="179" t="s">
        <v>5290</v>
      </c>
      <c r="I1230" s="179" t="s">
        <v>5291</v>
      </c>
      <c r="J1230" s="179" t="s">
        <v>5292</v>
      </c>
      <c r="K1230" s="179" t="s">
        <v>1847</v>
      </c>
      <c r="L1230" s="188"/>
      <c r="M1230" s="34"/>
    </row>
    <row r="1231" spans="1:13" ht="25.5">
      <c r="A1231" s="22">
        <v>2012</v>
      </c>
      <c r="B1231" s="179" t="s">
        <v>5293</v>
      </c>
      <c r="C1231" s="112" t="s">
        <v>61</v>
      </c>
      <c r="D1231" s="180" t="s">
        <v>5031</v>
      </c>
      <c r="E1231" s="6" t="s">
        <v>1859</v>
      </c>
      <c r="F1231" s="194">
        <v>34000</v>
      </c>
      <c r="G1231" s="180"/>
      <c r="H1231" s="179" t="s">
        <v>5294</v>
      </c>
      <c r="I1231" s="179" t="s">
        <v>5295</v>
      </c>
      <c r="J1231" s="179" t="s">
        <v>5296</v>
      </c>
      <c r="K1231" s="198" t="s">
        <v>2041</v>
      </c>
      <c r="L1231" s="188"/>
      <c r="M1231" s="34"/>
    </row>
    <row r="1232" spans="1:13" ht="38.25">
      <c r="A1232" s="22">
        <v>2012</v>
      </c>
      <c r="B1232" s="179" t="s">
        <v>5297</v>
      </c>
      <c r="C1232" s="112" t="s">
        <v>61</v>
      </c>
      <c r="D1232" s="180" t="s">
        <v>394</v>
      </c>
      <c r="E1232" s="115" t="s">
        <v>1853</v>
      </c>
      <c r="F1232" s="194">
        <v>46800</v>
      </c>
      <c r="G1232" s="180"/>
      <c r="H1232" s="179" t="s">
        <v>4324</v>
      </c>
      <c r="I1232" s="179" t="s">
        <v>5298</v>
      </c>
      <c r="J1232" s="179"/>
      <c r="K1232" s="179" t="s">
        <v>1855</v>
      </c>
      <c r="L1232" s="188"/>
      <c r="M1232" s="34"/>
    </row>
    <row r="1233" spans="1:13" ht="25.5">
      <c r="A1233" s="208">
        <v>2012</v>
      </c>
      <c r="B1233" s="190" t="s">
        <v>5299</v>
      </c>
      <c r="C1233" s="209"/>
      <c r="D1233" s="190"/>
      <c r="E1233" s="34"/>
      <c r="F1233" s="190"/>
      <c r="G1233" s="191"/>
      <c r="H1233" s="190"/>
      <c r="I1233" s="190"/>
      <c r="J1233" s="190"/>
      <c r="K1233" s="190"/>
      <c r="L1233" s="188"/>
      <c r="M1233" s="34"/>
    </row>
    <row r="1234" spans="1:13" ht="25.5">
      <c r="A1234" s="208">
        <v>2012</v>
      </c>
      <c r="B1234" s="190" t="s">
        <v>5300</v>
      </c>
      <c r="C1234" s="209"/>
      <c r="D1234" s="190"/>
      <c r="E1234" s="34"/>
      <c r="F1234" s="190"/>
      <c r="G1234" s="191"/>
      <c r="H1234" s="190"/>
      <c r="I1234" s="190"/>
      <c r="J1234" s="190"/>
      <c r="K1234" s="190"/>
      <c r="L1234" s="188"/>
      <c r="M1234" s="34"/>
    </row>
    <row r="1235" spans="1:13" ht="25.5">
      <c r="A1235" s="22">
        <v>2012</v>
      </c>
      <c r="B1235" s="179" t="s">
        <v>5301</v>
      </c>
      <c r="C1235" s="112" t="s">
        <v>61</v>
      </c>
      <c r="D1235" s="22" t="s">
        <v>113</v>
      </c>
      <c r="E1235" s="34"/>
      <c r="F1235" s="194">
        <v>98080</v>
      </c>
      <c r="G1235" s="22"/>
      <c r="H1235" s="179" t="s">
        <v>5302</v>
      </c>
      <c r="I1235" s="179" t="s">
        <v>2331</v>
      </c>
      <c r="J1235" s="179"/>
      <c r="K1235" s="179" t="s">
        <v>1828</v>
      </c>
      <c r="L1235" s="188"/>
      <c r="M1235" s="34"/>
    </row>
    <row r="1236" spans="1:13" ht="25.5">
      <c r="A1236" s="22">
        <v>2012</v>
      </c>
      <c r="B1236" s="179" t="s">
        <v>5303</v>
      </c>
      <c r="C1236" s="112" t="s">
        <v>61</v>
      </c>
      <c r="D1236" s="180" t="s">
        <v>1383</v>
      </c>
      <c r="E1236" s="115" t="s">
        <v>1859</v>
      </c>
      <c r="F1236" s="194">
        <v>50000</v>
      </c>
      <c r="G1236" s="180"/>
      <c r="H1236" s="179" t="s">
        <v>5304</v>
      </c>
      <c r="I1236" s="179" t="s">
        <v>4469</v>
      </c>
      <c r="J1236" s="179" t="s">
        <v>4470</v>
      </c>
      <c r="K1236" s="179" t="s">
        <v>1899</v>
      </c>
      <c r="L1236" s="188"/>
      <c r="M1236" s="34"/>
    </row>
  </sheetData>
  <conditionalFormatting sqref="C1:C122 C1094:C1236">
    <cfRule type="containsText" dxfId="5" priority="1" operator="containsText" text="Allocation">
      <formula>NOT(ISERROR(SEARCH(("Allocation"),(C1))))</formula>
    </cfRule>
  </conditionalFormatting>
  <dataValidations count="5">
    <dataValidation type="list" allowBlank="1" sqref="D845 G845 D847 G847 D849:D854 G849:G854 D856:D864 G856:G864 D866:D872 G866:G872 D874:D879 G874:G879 D882:D885 G881:G885 D887:D889 G887:G889 D893:D898 G893:G898 D907 G907 D909:D926 D928:D951 G909:G951 D953:D967 G953:G967 D969:D979 G969:G979 D981:D983 G981:G983 D985:D988 G985:G988 D991:D994 G991:G994 D997 G997 D1001 G1001 D1005:D1032 G1005:G1032 D1034:D1037 G1034:G1037 D1039:D1041 G1039:G1041 D1043:D1047 G1043:G1047 D1049:D1053 G1049:G1053 D1059 G1059 D1064:D1065 G1064:G1065 D1068 G1068 D1070 G1070 D1077 G1077 D1079:D1080 G1079:G1080 D1082:D1086 G1082:G1086 D1088:D1094 G1088:G1094 D1097:D1119 G1097:G1119 D1122 G1122 D1125:D1126 G1125:G1126 D1128:D1129 G1128:G1129 D1132 G1132 D1135 G1135 D1137 G1137 D1149:D1150 G1149:G1150 D1155 G1155 D1157:D1158 G1157:G1158 D1161 G1161 D1173 G1173 D1176:D1178 G1176:G1178 D1180:D1183 G1180:G1183 D1190 G1190 D1192 G1192 D1204:D1205 G1204:G1205 D1207:D1209 G1207:G1209 D1211 G1211 D1214 G1214 D1217 G1217 D1220 G1220 D1222 G1222 D1228 G1228 D1230 G1230 D1232 G1232 D1236 G1236" xr:uid="{00000000-0002-0000-0900-000000000000}">
      <formula1>"IPRAP,IBED,IBID,Testing and Analyses,TechniCom,ISP,IGF,Accreditation,Enforcement,ISTE,ACU-N,ACU-I,MAP,PMAP,TBED,DTTC,VFP,I-TECH,IBED 2,DATBED,YET,CAMPI,MPEX,DTTC,TIFT"</formula1>
    </dataValidation>
    <dataValidation type="list" allowBlank="1" showInputMessage="1" prompt="Click and enter a value from the list of items" sqref="C888 C1006" xr:uid="{00000000-0002-0000-0900-000001000000}">
      <formula1>"Allocation,Termination,Guidelines"</formula1>
    </dataValidation>
    <dataValidation type="list" allowBlank="1" sqref="D1048 G1048 D1054 G1054 D1058 G1058 D1069 G1069 D1071 G1071 D1073:D1074 G1073:G1074 D1076 G1076 D1078 G1078 D1081 G1081 D1087 G1087 D1096 G1096 D1121 G1121 D1127 G1127 D1153 G1153 D1162 G1162 D1171 G1171 D1174 G1174 D1179 G1179 D1221 G1221" xr:uid="{00000000-0002-0000-0900-000002000000}">
      <formula1>"IPRAP,IBED,IBID,Testing and Analyses,TechniCom,ISP,IGF,Accreditation,Enforcement,ISTE,RICE/NICE,ACU-N,ACU-I,MAP,PMAP,TBED,DTTC,VFP,I-TECH,IBED 2,DATBED,YET,CAMPI,MPEX,DTTC,TIFT,Pilot"</formula1>
    </dataValidation>
    <dataValidation type="list" allowBlank="1" sqref="K845:K869 K871:K878 K880:K881 K884:K889 K892:K897 K900:K901 K905:K908 K910:K923 K925:K935 K937:K939 K941:K944 K946:K948 K950:K957 K959:K962 K964:K976 K978 K980:K985 K987:K991 K993:K998 K1001:K1003 K1005:K1013 K1016:K1033 K1035:K1049 K1052:K1068 K1071 K1073:K1075 K1078 K1080:K1083 K1086:K1088 K1090:K1097 K1099 K1101:K1104 K1106:K1110 K1112:K1120 K1122:K1135 K1137:K1138 K1146 K1152 K1161 K1163 K1174:K1175 K1177 K1189 K1204 K1207 K1231:K1232 K1236" xr:uid="{00000000-0002-0000-0900-000003000000}">
      <formula1>"Region I – Ilocos Region,Region II – Cagayan Valley,Region III – Central Luzon,Region IV‑A – CALABARZON,MIMAROPA Region,Region V – Bicol Region,Region VI – Western Visayas,Region VII – Central Visayas,Region VIII – Eastern Visayas,Region IX – Zamboanga Pe"&amp;"ninsula,Region X – Northern Mindanao,Region XI – Davao Region,Region XII – SOCCSKSARGEN,Region XIII – Caraga,NCR – National Capital Region,CAR – Cordillera Administrative Region,BARMM – Bangsamoro Autonomous Region in Muslim Mindanao"</formula1>
    </dataValidation>
    <dataValidation type="list" allowBlank="1" sqref="C1062 C1100" xr:uid="{00000000-0002-0000-0900-000004000000}">
      <formula1>"Allocation,Termination,Guidelines"</formula1>
    </dataValidation>
  </dataValidations>
  <printOptions horizontalCentered="1" gridLines="1"/>
  <pageMargins left="0.7" right="0.7" top="0.75" bottom="0.75" header="0" footer="0"/>
  <pageSetup paperSize="5" fitToHeight="0" pageOrder="overThenDown" orientation="portrait"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Q217"/>
  <sheetViews>
    <sheetView workbookViewId="0">
      <pane ySplit="1" topLeftCell="A2" activePane="bottomLeft" state="frozen"/>
      <selection pane="bottomLeft" activeCell="B3" sqref="B3"/>
    </sheetView>
  </sheetViews>
  <sheetFormatPr defaultColWidth="12.5703125" defaultRowHeight="15.75" customHeight="1"/>
  <cols>
    <col min="4" max="4" width="21.42578125" customWidth="1"/>
    <col min="5" max="5" width="12.5703125" hidden="1"/>
    <col min="6" max="6" width="52.5703125" customWidth="1"/>
    <col min="7" max="7" width="50.140625" customWidth="1"/>
    <col min="11" max="11" width="16" customWidth="1"/>
    <col min="16" max="16" width="16.140625" customWidth="1"/>
  </cols>
  <sheetData>
    <row r="1" spans="1:17">
      <c r="A1" s="210" t="s">
        <v>1</v>
      </c>
      <c r="B1" s="210" t="s">
        <v>2</v>
      </c>
      <c r="C1" s="210" t="s">
        <v>3</v>
      </c>
      <c r="D1" s="210" t="s">
        <v>4</v>
      </c>
      <c r="E1" s="210" t="s">
        <v>5</v>
      </c>
      <c r="F1" s="210" t="s">
        <v>6</v>
      </c>
      <c r="G1" s="210" t="s">
        <v>7</v>
      </c>
      <c r="H1" s="211" t="s">
        <v>10</v>
      </c>
      <c r="I1" s="211" t="s">
        <v>11</v>
      </c>
      <c r="J1" s="211" t="s">
        <v>28</v>
      </c>
      <c r="K1" s="211" t="s">
        <v>358</v>
      </c>
      <c r="L1" s="211" t="s">
        <v>5305</v>
      </c>
      <c r="P1" s="212" t="s">
        <v>5306</v>
      </c>
    </row>
    <row r="2" spans="1:17">
      <c r="A2" s="5" t="s">
        <v>314</v>
      </c>
      <c r="B2" s="5" t="s">
        <v>343</v>
      </c>
      <c r="C2" s="6" t="s">
        <v>61</v>
      </c>
      <c r="D2" s="6" t="s">
        <v>225</v>
      </c>
      <c r="E2" s="7">
        <v>45832</v>
      </c>
      <c r="F2" s="6" t="s">
        <v>344</v>
      </c>
      <c r="G2" s="6" t="s">
        <v>5307</v>
      </c>
      <c r="H2" s="8" t="s">
        <v>5308</v>
      </c>
      <c r="I2" s="8" t="s">
        <v>28</v>
      </c>
      <c r="J2" s="213" t="b">
        <v>1</v>
      </c>
      <c r="K2" s="8" t="s">
        <v>361</v>
      </c>
      <c r="L2" s="8"/>
    </row>
    <row r="3" spans="1:17">
      <c r="A3" s="5" t="s">
        <v>314</v>
      </c>
      <c r="B3" s="5" t="s">
        <v>22</v>
      </c>
      <c r="C3" s="6" t="s">
        <v>23</v>
      </c>
      <c r="D3" s="6" t="s">
        <v>125</v>
      </c>
      <c r="E3" s="7"/>
      <c r="F3" s="6" t="s">
        <v>320</v>
      </c>
      <c r="G3" s="6" t="s">
        <v>5309</v>
      </c>
      <c r="H3" s="8">
        <v>7175464</v>
      </c>
      <c r="I3" s="8" t="s">
        <v>28</v>
      </c>
      <c r="J3" s="213" t="b">
        <v>1</v>
      </c>
      <c r="K3" s="8"/>
      <c r="L3" s="8" t="s">
        <v>5310</v>
      </c>
      <c r="P3" s="36" t="s">
        <v>225</v>
      </c>
      <c r="Q3" s="44">
        <f>COUNTIFS(D2:D1000, "EVFP", J2:J1000, TRUE)</f>
        <v>11</v>
      </c>
    </row>
    <row r="4" spans="1:17">
      <c r="A4" s="5" t="s">
        <v>314</v>
      </c>
      <c r="B4" s="5" t="s">
        <v>22</v>
      </c>
      <c r="C4" s="6" t="s">
        <v>23</v>
      </c>
      <c r="D4" s="6" t="s">
        <v>125</v>
      </c>
      <c r="E4" s="7"/>
      <c r="F4" s="6" t="s">
        <v>325</v>
      </c>
      <c r="G4" s="6" t="s">
        <v>5311</v>
      </c>
      <c r="H4" s="8">
        <v>4998689</v>
      </c>
      <c r="I4" s="8" t="s">
        <v>28</v>
      </c>
      <c r="J4" s="213" t="b">
        <v>1</v>
      </c>
      <c r="K4" s="8"/>
      <c r="L4" s="8" t="s">
        <v>5312</v>
      </c>
      <c r="P4" s="36" t="s">
        <v>62</v>
      </c>
      <c r="Q4" s="44">
        <f>COUNTIFS(D2:D1000, "VFP", J2:J1000, TRUE)</f>
        <v>0</v>
      </c>
    </row>
    <row r="5" spans="1:17">
      <c r="A5" s="5" t="s">
        <v>314</v>
      </c>
      <c r="B5" s="5" t="s">
        <v>22</v>
      </c>
      <c r="C5" s="6" t="s">
        <v>23</v>
      </c>
      <c r="D5" s="6" t="s">
        <v>125</v>
      </c>
      <c r="E5" s="7"/>
      <c r="F5" s="6" t="s">
        <v>328</v>
      </c>
      <c r="G5" s="6" t="s">
        <v>5313</v>
      </c>
      <c r="H5" s="8">
        <v>4999988</v>
      </c>
      <c r="I5" s="8" t="s">
        <v>28</v>
      </c>
      <c r="J5" s="213" t="b">
        <v>1</v>
      </c>
      <c r="K5" s="8"/>
      <c r="L5" s="8" t="s">
        <v>5310</v>
      </c>
      <c r="P5" s="36" t="s">
        <v>5314</v>
      </c>
      <c r="Q5" s="44">
        <f>COUNTIFS(D2:D1000, "TECHNICOM", J2:J1000, TRUE)</f>
        <v>18</v>
      </c>
    </row>
    <row r="6" spans="1:17">
      <c r="A6" s="5" t="s">
        <v>314</v>
      </c>
      <c r="B6" s="5" t="s">
        <v>22</v>
      </c>
      <c r="C6" s="6" t="s">
        <v>23</v>
      </c>
      <c r="D6" s="6" t="s">
        <v>125</v>
      </c>
      <c r="E6" s="7"/>
      <c r="F6" s="6" t="s">
        <v>331</v>
      </c>
      <c r="G6" s="6" t="s">
        <v>5315</v>
      </c>
      <c r="H6" s="8">
        <v>5000000</v>
      </c>
      <c r="I6" s="8" t="s">
        <v>28</v>
      </c>
      <c r="J6" s="213" t="b">
        <v>1</v>
      </c>
      <c r="K6" s="8"/>
      <c r="L6" s="8" t="s">
        <v>5310</v>
      </c>
      <c r="P6" s="36" t="s">
        <v>24</v>
      </c>
      <c r="Q6" s="44">
        <f>COUNTIFS(D2:D1000, "TECHNICOM 1.0", J2:J1000, TRUE)</f>
        <v>12</v>
      </c>
    </row>
    <row r="7" spans="1:17">
      <c r="A7" s="5" t="s">
        <v>314</v>
      </c>
      <c r="B7" s="5" t="s">
        <v>22</v>
      </c>
      <c r="C7" s="6" t="s">
        <v>23</v>
      </c>
      <c r="D7" s="6" t="s">
        <v>125</v>
      </c>
      <c r="E7" s="7"/>
      <c r="F7" s="6" t="s">
        <v>5316</v>
      </c>
      <c r="G7" s="6" t="s">
        <v>5317</v>
      </c>
      <c r="H7" s="8">
        <v>3778174</v>
      </c>
      <c r="I7" s="8" t="s">
        <v>5318</v>
      </c>
      <c r="J7" s="213" t="b">
        <v>0</v>
      </c>
      <c r="K7" s="8"/>
      <c r="L7" s="8" t="s">
        <v>5318</v>
      </c>
      <c r="Q7" s="43">
        <f>Q6+Q5+Q4+Q3</f>
        <v>41</v>
      </c>
    </row>
    <row r="8" spans="1:17">
      <c r="A8" s="5" t="s">
        <v>314</v>
      </c>
      <c r="B8" s="5" t="s">
        <v>22</v>
      </c>
      <c r="C8" s="6" t="s">
        <v>23</v>
      </c>
      <c r="D8" s="6" t="s">
        <v>125</v>
      </c>
      <c r="E8" s="7"/>
      <c r="F8" s="6" t="s">
        <v>335</v>
      </c>
      <c r="G8" s="6" t="s">
        <v>5319</v>
      </c>
      <c r="H8" s="8">
        <v>4884739</v>
      </c>
      <c r="I8" s="8" t="s">
        <v>28</v>
      </c>
      <c r="J8" s="213" t="b">
        <v>1</v>
      </c>
      <c r="K8" s="8"/>
      <c r="L8" s="8" t="s">
        <v>5310</v>
      </c>
    </row>
    <row r="9" spans="1:17">
      <c r="A9" s="5" t="s">
        <v>314</v>
      </c>
      <c r="B9" s="5" t="s">
        <v>22</v>
      </c>
      <c r="C9" s="6" t="s">
        <v>23</v>
      </c>
      <c r="D9" s="6" t="s">
        <v>125</v>
      </c>
      <c r="E9" s="7"/>
      <c r="F9" s="6" t="s">
        <v>339</v>
      </c>
      <c r="G9" s="6" t="s">
        <v>5320</v>
      </c>
      <c r="H9" s="8">
        <v>4993468</v>
      </c>
      <c r="I9" s="8" t="s">
        <v>28</v>
      </c>
      <c r="J9" s="213" t="b">
        <v>1</v>
      </c>
      <c r="K9" s="8"/>
      <c r="L9" s="8" t="s">
        <v>5310</v>
      </c>
    </row>
    <row r="10" spans="1:17">
      <c r="A10" s="5" t="s">
        <v>295</v>
      </c>
      <c r="B10" s="5" t="s">
        <v>296</v>
      </c>
      <c r="C10" s="6" t="s">
        <v>61</v>
      </c>
      <c r="D10" s="6" t="s">
        <v>225</v>
      </c>
      <c r="E10" s="7">
        <v>45586</v>
      </c>
      <c r="F10" s="6" t="s">
        <v>297</v>
      </c>
      <c r="G10" s="6" t="s">
        <v>298</v>
      </c>
      <c r="H10" s="8">
        <v>4551960</v>
      </c>
      <c r="I10" s="8" t="s">
        <v>28</v>
      </c>
      <c r="J10" s="213" t="b">
        <v>1</v>
      </c>
      <c r="K10" s="8" t="s">
        <v>359</v>
      </c>
      <c r="L10" s="8"/>
    </row>
    <row r="11" spans="1:17">
      <c r="A11" s="5" t="s">
        <v>295</v>
      </c>
      <c r="B11" s="5" t="s">
        <v>302</v>
      </c>
      <c r="C11" s="6" t="s">
        <v>61</v>
      </c>
      <c r="D11" s="6" t="s">
        <v>225</v>
      </c>
      <c r="E11" s="7">
        <v>45558</v>
      </c>
      <c r="F11" s="6" t="s">
        <v>303</v>
      </c>
      <c r="G11" s="6" t="s">
        <v>304</v>
      </c>
      <c r="H11" s="214">
        <v>4143400.5</v>
      </c>
      <c r="I11" s="8" t="s">
        <v>28</v>
      </c>
      <c r="J11" s="213" t="b">
        <v>1</v>
      </c>
      <c r="K11" s="8" t="s">
        <v>359</v>
      </c>
      <c r="L11" s="8"/>
    </row>
    <row r="12" spans="1:17">
      <c r="A12" s="5" t="s">
        <v>166</v>
      </c>
      <c r="B12" s="5" t="s">
        <v>224</v>
      </c>
      <c r="C12" s="6" t="s">
        <v>61</v>
      </c>
      <c r="D12" s="6" t="s">
        <v>225</v>
      </c>
      <c r="E12" s="31">
        <v>45544</v>
      </c>
      <c r="F12" s="6" t="s">
        <v>226</v>
      </c>
      <c r="G12" s="6" t="s">
        <v>227</v>
      </c>
      <c r="H12" s="8">
        <v>3412000</v>
      </c>
      <c r="I12" s="8" t="s">
        <v>28</v>
      </c>
      <c r="J12" s="213" t="b">
        <v>1</v>
      </c>
      <c r="K12" s="8" t="s">
        <v>359</v>
      </c>
      <c r="L12" s="8"/>
    </row>
    <row r="13" spans="1:17">
      <c r="A13" s="5" t="s">
        <v>166</v>
      </c>
      <c r="B13" s="5" t="s">
        <v>230</v>
      </c>
      <c r="C13" s="6" t="s">
        <v>61</v>
      </c>
      <c r="D13" s="6" t="s">
        <v>225</v>
      </c>
      <c r="E13" s="7">
        <v>45565</v>
      </c>
      <c r="F13" s="6" t="s">
        <v>231</v>
      </c>
      <c r="G13" s="6" t="s">
        <v>232</v>
      </c>
      <c r="H13" s="214">
        <v>2332760.88</v>
      </c>
      <c r="I13" s="8" t="s">
        <v>28</v>
      </c>
      <c r="J13" s="213" t="b">
        <v>1</v>
      </c>
      <c r="K13" s="8" t="s">
        <v>359</v>
      </c>
      <c r="L13" s="8"/>
    </row>
    <row r="14" spans="1:17">
      <c r="A14" s="5" t="s">
        <v>166</v>
      </c>
      <c r="B14" s="5" t="s">
        <v>234</v>
      </c>
      <c r="C14" s="6" t="s">
        <v>61</v>
      </c>
      <c r="D14" s="6" t="s">
        <v>225</v>
      </c>
      <c r="E14" s="7">
        <v>45547</v>
      </c>
      <c r="F14" s="6" t="s">
        <v>235</v>
      </c>
      <c r="G14" s="6" t="s">
        <v>236</v>
      </c>
      <c r="H14" s="214">
        <v>4000000</v>
      </c>
      <c r="I14" s="8" t="s">
        <v>28</v>
      </c>
      <c r="J14" s="213" t="b">
        <v>1</v>
      </c>
      <c r="K14" s="8" t="s">
        <v>359</v>
      </c>
      <c r="L14" s="8"/>
    </row>
    <row r="15" spans="1:17">
      <c r="A15" s="5" t="s">
        <v>166</v>
      </c>
      <c r="B15" s="5" t="s">
        <v>240</v>
      </c>
      <c r="C15" s="6" t="s">
        <v>61</v>
      </c>
      <c r="D15" s="6" t="s">
        <v>225</v>
      </c>
      <c r="E15" s="7">
        <v>45609</v>
      </c>
      <c r="F15" s="6" t="s">
        <v>241</v>
      </c>
      <c r="G15" s="6" t="s">
        <v>242</v>
      </c>
      <c r="H15" s="8">
        <v>4771250</v>
      </c>
      <c r="I15" s="8" t="s">
        <v>28</v>
      </c>
      <c r="J15" s="213" t="b">
        <v>1</v>
      </c>
      <c r="K15" s="8" t="s">
        <v>359</v>
      </c>
      <c r="L15" s="8"/>
    </row>
    <row r="16" spans="1:17">
      <c r="A16" s="5" t="s">
        <v>166</v>
      </c>
      <c r="B16" s="5" t="s">
        <v>246</v>
      </c>
      <c r="C16" s="6" t="s">
        <v>61</v>
      </c>
      <c r="D16" s="6" t="s">
        <v>225</v>
      </c>
      <c r="E16" s="7">
        <v>45601</v>
      </c>
      <c r="F16" s="6" t="s">
        <v>247</v>
      </c>
      <c r="G16" s="6" t="s">
        <v>248</v>
      </c>
      <c r="H16" s="8" t="s">
        <v>251</v>
      </c>
      <c r="I16" s="8" t="s">
        <v>28</v>
      </c>
      <c r="J16" s="213" t="b">
        <v>1</v>
      </c>
      <c r="K16" s="8" t="s">
        <v>359</v>
      </c>
      <c r="L16" s="8"/>
    </row>
    <row r="17" spans="1:12">
      <c r="A17" s="5" t="s">
        <v>166</v>
      </c>
      <c r="B17" s="5" t="s">
        <v>253</v>
      </c>
      <c r="C17" s="6" t="s">
        <v>61</v>
      </c>
      <c r="D17" s="6" t="s">
        <v>225</v>
      </c>
      <c r="E17" s="7">
        <v>45637</v>
      </c>
      <c r="F17" s="6" t="s">
        <v>254</v>
      </c>
      <c r="G17" s="6" t="s">
        <v>255</v>
      </c>
      <c r="H17" s="8">
        <v>4000000</v>
      </c>
      <c r="I17" s="8" t="s">
        <v>28</v>
      </c>
      <c r="J17" s="213" t="b">
        <v>1</v>
      </c>
      <c r="K17" s="8" t="s">
        <v>359</v>
      </c>
      <c r="L17" s="8"/>
    </row>
    <row r="18" spans="1:12">
      <c r="A18" s="5" t="s">
        <v>166</v>
      </c>
      <c r="B18" s="5" t="s">
        <v>259</v>
      </c>
      <c r="C18" s="6" t="s">
        <v>61</v>
      </c>
      <c r="D18" s="6" t="s">
        <v>225</v>
      </c>
      <c r="E18" s="7">
        <v>45595</v>
      </c>
      <c r="F18" s="6" t="s">
        <v>260</v>
      </c>
      <c r="G18" s="6" t="s">
        <v>261</v>
      </c>
      <c r="H18" s="8">
        <v>5000000</v>
      </c>
      <c r="I18" s="8" t="s">
        <v>28</v>
      </c>
      <c r="J18" s="213" t="b">
        <v>1</v>
      </c>
      <c r="K18" s="8" t="s">
        <v>359</v>
      </c>
      <c r="L18" s="8"/>
    </row>
    <row r="19" spans="1:12">
      <c r="A19" s="5" t="s">
        <v>166</v>
      </c>
      <c r="B19" s="5" t="s">
        <v>265</v>
      </c>
      <c r="C19" s="6" t="s">
        <v>61</v>
      </c>
      <c r="D19" s="6" t="s">
        <v>225</v>
      </c>
      <c r="E19" s="7">
        <v>45547</v>
      </c>
      <c r="F19" s="6" t="s">
        <v>266</v>
      </c>
      <c r="G19" s="6" t="s">
        <v>267</v>
      </c>
      <c r="H19" s="8">
        <v>4668619.32</v>
      </c>
      <c r="I19" s="8" t="s">
        <v>28</v>
      </c>
      <c r="J19" s="213" t="b">
        <v>1</v>
      </c>
      <c r="K19" s="8" t="s">
        <v>359</v>
      </c>
      <c r="L19" s="8"/>
    </row>
    <row r="20" spans="1:12">
      <c r="A20" s="5" t="s">
        <v>166</v>
      </c>
      <c r="B20" s="5" t="s">
        <v>462</v>
      </c>
      <c r="C20" s="6" t="s">
        <v>61</v>
      </c>
      <c r="D20" s="6" t="s">
        <v>125</v>
      </c>
      <c r="E20" s="7">
        <v>45448</v>
      </c>
      <c r="F20" s="6" t="s">
        <v>5321</v>
      </c>
      <c r="G20" s="6" t="s">
        <v>464</v>
      </c>
      <c r="H20" s="64">
        <v>2344480</v>
      </c>
      <c r="I20" s="8" t="s">
        <v>5318</v>
      </c>
      <c r="J20" s="213" t="b">
        <v>0</v>
      </c>
      <c r="K20" s="8"/>
      <c r="L20" s="8" t="s">
        <v>5318</v>
      </c>
    </row>
    <row r="21" spans="1:12">
      <c r="A21" s="5" t="s">
        <v>166</v>
      </c>
      <c r="B21" s="5" t="s">
        <v>182</v>
      </c>
      <c r="C21" s="6" t="s">
        <v>61</v>
      </c>
      <c r="D21" s="6" t="s">
        <v>125</v>
      </c>
      <c r="E21" s="7">
        <v>45574</v>
      </c>
      <c r="F21" s="6" t="s">
        <v>183</v>
      </c>
      <c r="G21" s="6" t="s">
        <v>184</v>
      </c>
      <c r="H21" s="64">
        <v>2998072</v>
      </c>
      <c r="I21" s="8" t="s">
        <v>28</v>
      </c>
      <c r="J21" s="213" t="b">
        <v>1</v>
      </c>
      <c r="K21" s="8"/>
      <c r="L21" s="8" t="s">
        <v>5310</v>
      </c>
    </row>
    <row r="22" spans="1:12">
      <c r="A22" s="5" t="s">
        <v>166</v>
      </c>
      <c r="B22" s="5" t="s">
        <v>187</v>
      </c>
      <c r="C22" s="6" t="s">
        <v>61</v>
      </c>
      <c r="D22" s="6" t="s">
        <v>125</v>
      </c>
      <c r="E22" s="7">
        <v>45581</v>
      </c>
      <c r="F22" s="6" t="s">
        <v>188</v>
      </c>
      <c r="G22" s="6" t="s">
        <v>189</v>
      </c>
      <c r="H22" s="64">
        <v>2911170</v>
      </c>
      <c r="I22" s="8" t="s">
        <v>28</v>
      </c>
      <c r="J22" s="213" t="b">
        <v>1</v>
      </c>
      <c r="K22" s="8"/>
      <c r="L22" s="8" t="s">
        <v>5310</v>
      </c>
    </row>
    <row r="23" spans="1:12">
      <c r="A23" s="5" t="s">
        <v>166</v>
      </c>
      <c r="B23" s="5" t="s">
        <v>192</v>
      </c>
      <c r="C23" s="6" t="s">
        <v>61</v>
      </c>
      <c r="D23" s="6" t="s">
        <v>125</v>
      </c>
      <c r="E23" s="7">
        <v>45601</v>
      </c>
      <c r="F23" s="6" t="s">
        <v>193</v>
      </c>
      <c r="G23" s="6" t="s">
        <v>194</v>
      </c>
      <c r="H23" s="64">
        <v>2384720</v>
      </c>
      <c r="I23" s="8" t="s">
        <v>28</v>
      </c>
      <c r="J23" s="213" t="b">
        <v>1</v>
      </c>
      <c r="K23" s="8"/>
      <c r="L23" s="8" t="s">
        <v>5312</v>
      </c>
    </row>
    <row r="24" spans="1:12">
      <c r="A24" s="5" t="s">
        <v>166</v>
      </c>
      <c r="B24" s="5" t="s">
        <v>471</v>
      </c>
      <c r="C24" s="6" t="s">
        <v>61</v>
      </c>
      <c r="D24" s="6" t="s">
        <v>125</v>
      </c>
      <c r="E24" s="7">
        <v>45478</v>
      </c>
      <c r="F24" s="6" t="s">
        <v>5322</v>
      </c>
      <c r="G24" s="6" t="s">
        <v>473</v>
      </c>
      <c r="H24" s="64">
        <v>2715984</v>
      </c>
      <c r="I24" s="8" t="s">
        <v>5318</v>
      </c>
      <c r="J24" s="213" t="b">
        <v>0</v>
      </c>
      <c r="K24" s="8"/>
      <c r="L24" s="8" t="s">
        <v>5318</v>
      </c>
    </row>
    <row r="25" spans="1:12">
      <c r="A25" s="5" t="s">
        <v>166</v>
      </c>
      <c r="B25" s="5" t="s">
        <v>196</v>
      </c>
      <c r="C25" s="6" t="s">
        <v>61</v>
      </c>
      <c r="D25" s="6" t="s">
        <v>197</v>
      </c>
      <c r="E25" s="7">
        <v>45609</v>
      </c>
      <c r="F25" s="6" t="s">
        <v>198</v>
      </c>
      <c r="G25" s="6" t="s">
        <v>199</v>
      </c>
      <c r="H25" s="64">
        <v>2975715</v>
      </c>
      <c r="I25" s="8" t="s">
        <v>28</v>
      </c>
      <c r="J25" s="213" t="b">
        <v>1</v>
      </c>
      <c r="K25" s="8"/>
      <c r="L25" s="8" t="s">
        <v>5310</v>
      </c>
    </row>
    <row r="26" spans="1:12">
      <c r="A26" s="5" t="s">
        <v>166</v>
      </c>
      <c r="B26" s="5" t="s">
        <v>202</v>
      </c>
      <c r="C26" s="6" t="s">
        <v>61</v>
      </c>
      <c r="D26" s="6" t="s">
        <v>125</v>
      </c>
      <c r="E26" s="7">
        <v>45574</v>
      </c>
      <c r="F26" s="6" t="s">
        <v>203</v>
      </c>
      <c r="G26" s="6" t="s">
        <v>204</v>
      </c>
      <c r="H26" s="64">
        <v>2999945.74</v>
      </c>
      <c r="I26" s="8" t="s">
        <v>28</v>
      </c>
      <c r="J26" s="213" t="b">
        <v>1</v>
      </c>
      <c r="K26" s="8"/>
      <c r="L26" s="8" t="s">
        <v>5310</v>
      </c>
    </row>
    <row r="27" spans="1:12">
      <c r="A27" s="5" t="s">
        <v>166</v>
      </c>
      <c r="B27" s="5" t="s">
        <v>207</v>
      </c>
      <c r="C27" s="6" t="s">
        <v>61</v>
      </c>
      <c r="D27" s="6" t="s">
        <v>125</v>
      </c>
      <c r="E27" s="7">
        <v>45441</v>
      </c>
      <c r="F27" s="6" t="s">
        <v>208</v>
      </c>
      <c r="G27" s="6" t="s">
        <v>209</v>
      </c>
      <c r="H27" s="64">
        <v>2789556</v>
      </c>
      <c r="I27" s="8" t="s">
        <v>28</v>
      </c>
      <c r="J27" s="213" t="b">
        <v>1</v>
      </c>
      <c r="K27" s="8"/>
      <c r="L27" s="8" t="s">
        <v>5310</v>
      </c>
    </row>
    <row r="28" spans="1:12">
      <c r="A28" s="5" t="s">
        <v>166</v>
      </c>
      <c r="B28" s="5" t="s">
        <v>213</v>
      </c>
      <c r="C28" s="6" t="s">
        <v>61</v>
      </c>
      <c r="D28" s="6" t="s">
        <v>125</v>
      </c>
      <c r="E28" s="7">
        <v>45448</v>
      </c>
      <c r="F28" s="6" t="s">
        <v>214</v>
      </c>
      <c r="G28" s="6" t="s">
        <v>215</v>
      </c>
      <c r="H28" s="64">
        <v>2896644</v>
      </c>
      <c r="I28" s="8" t="s">
        <v>28</v>
      </c>
      <c r="J28" s="213" t="b">
        <v>1</v>
      </c>
      <c r="K28" s="8"/>
      <c r="L28" s="8" t="s">
        <v>5310</v>
      </c>
    </row>
    <row r="29" spans="1:12">
      <c r="A29" s="5" t="s">
        <v>166</v>
      </c>
      <c r="B29" s="5" t="s">
        <v>219</v>
      </c>
      <c r="C29" s="6" t="s">
        <v>61</v>
      </c>
      <c r="D29" s="6" t="s">
        <v>125</v>
      </c>
      <c r="E29" s="7">
        <v>45441</v>
      </c>
      <c r="F29" s="6" t="s">
        <v>220</v>
      </c>
      <c r="G29" s="6" t="s">
        <v>5323</v>
      </c>
      <c r="H29" s="64">
        <v>2785599</v>
      </c>
      <c r="I29" s="8" t="s">
        <v>28</v>
      </c>
      <c r="J29" s="213" t="b">
        <v>1</v>
      </c>
      <c r="K29" s="8"/>
      <c r="L29" s="8" t="s">
        <v>5312</v>
      </c>
    </row>
    <row r="30" spans="1:12">
      <c r="A30" s="5" t="s">
        <v>166</v>
      </c>
      <c r="B30" s="5" t="s">
        <v>1016</v>
      </c>
      <c r="C30" s="6" t="s">
        <v>61</v>
      </c>
      <c r="D30" s="6" t="s">
        <v>62</v>
      </c>
      <c r="E30" s="7">
        <v>45457</v>
      </c>
      <c r="F30" s="6" t="s">
        <v>5324</v>
      </c>
      <c r="G30" s="6" t="s">
        <v>1018</v>
      </c>
      <c r="H30" s="8">
        <v>709948</v>
      </c>
      <c r="I30" s="8" t="s">
        <v>1150</v>
      </c>
      <c r="J30" s="213" t="b">
        <v>0</v>
      </c>
      <c r="K30" s="8"/>
      <c r="L30" s="8" t="s">
        <v>1150</v>
      </c>
    </row>
    <row r="31" spans="1:12">
      <c r="A31" s="5" t="s">
        <v>166</v>
      </c>
      <c r="B31" s="5" t="s">
        <v>1019</v>
      </c>
      <c r="C31" s="6" t="s">
        <v>61</v>
      </c>
      <c r="D31" s="6" t="s">
        <v>62</v>
      </c>
      <c r="E31" s="7">
        <v>45441</v>
      </c>
      <c r="F31" s="6" t="s">
        <v>1020</v>
      </c>
      <c r="G31" s="6" t="s">
        <v>1021</v>
      </c>
      <c r="H31" s="8">
        <v>333400</v>
      </c>
      <c r="I31" s="8" t="s">
        <v>1150</v>
      </c>
      <c r="J31" s="213" t="b">
        <v>0</v>
      </c>
      <c r="K31" s="8"/>
      <c r="L31" s="8" t="s">
        <v>1150</v>
      </c>
    </row>
    <row r="32" spans="1:12">
      <c r="A32" s="5" t="s">
        <v>166</v>
      </c>
      <c r="B32" s="5" t="s">
        <v>1022</v>
      </c>
      <c r="C32" s="6" t="s">
        <v>61</v>
      </c>
      <c r="D32" s="6" t="s">
        <v>62</v>
      </c>
      <c r="E32" s="7">
        <v>45533</v>
      </c>
      <c r="F32" s="6" t="s">
        <v>1023</v>
      </c>
      <c r="G32" s="6" t="s">
        <v>1024</v>
      </c>
      <c r="H32" s="8">
        <v>1503651.61</v>
      </c>
      <c r="I32" s="8" t="s">
        <v>1150</v>
      </c>
      <c r="J32" s="213" t="b">
        <v>0</v>
      </c>
      <c r="K32" s="8"/>
      <c r="L32" s="8" t="s">
        <v>1150</v>
      </c>
    </row>
    <row r="33" spans="1:12">
      <c r="A33" s="5" t="s">
        <v>166</v>
      </c>
      <c r="B33" s="5" t="s">
        <v>1025</v>
      </c>
      <c r="C33" s="6" t="s">
        <v>61</v>
      </c>
      <c r="D33" s="6" t="s">
        <v>62</v>
      </c>
      <c r="E33" s="7">
        <v>45448</v>
      </c>
      <c r="F33" s="6" t="s">
        <v>1026</v>
      </c>
      <c r="G33" s="6" t="s">
        <v>1027</v>
      </c>
      <c r="H33" s="8">
        <v>2000000</v>
      </c>
      <c r="I33" s="8" t="s">
        <v>1150</v>
      </c>
      <c r="J33" s="213" t="b">
        <v>0</v>
      </c>
      <c r="K33" s="8"/>
      <c r="L33" s="8" t="s">
        <v>1150</v>
      </c>
    </row>
    <row r="34" spans="1:12">
      <c r="A34" s="5" t="s">
        <v>166</v>
      </c>
      <c r="B34" s="5" t="s">
        <v>1028</v>
      </c>
      <c r="C34" s="6" t="s">
        <v>61</v>
      </c>
      <c r="D34" s="6" t="s">
        <v>62</v>
      </c>
      <c r="E34" s="7">
        <v>45574</v>
      </c>
      <c r="F34" s="6" t="s">
        <v>1029</v>
      </c>
      <c r="G34" s="6" t="s">
        <v>1030</v>
      </c>
      <c r="H34" s="214">
        <v>383657.4</v>
      </c>
      <c r="I34" s="8" t="s">
        <v>1150</v>
      </c>
      <c r="J34" s="213" t="b">
        <v>0</v>
      </c>
      <c r="K34" s="8"/>
      <c r="L34" s="8" t="s">
        <v>1150</v>
      </c>
    </row>
    <row r="35" spans="1:12">
      <c r="A35" s="5" t="s">
        <v>129</v>
      </c>
      <c r="B35" s="5" t="s">
        <v>5325</v>
      </c>
      <c r="C35" s="6" t="s">
        <v>61</v>
      </c>
      <c r="D35" s="6" t="s">
        <v>62</v>
      </c>
      <c r="E35" s="7">
        <v>44965</v>
      </c>
      <c r="F35" s="6" t="s">
        <v>1031</v>
      </c>
      <c r="G35" s="6" t="s">
        <v>1032</v>
      </c>
      <c r="H35" s="214">
        <v>380000</v>
      </c>
      <c r="I35" s="8" t="s">
        <v>1150</v>
      </c>
      <c r="J35" s="213" t="b">
        <v>0</v>
      </c>
      <c r="K35" s="8"/>
      <c r="L35" s="8" t="s">
        <v>1150</v>
      </c>
    </row>
    <row r="36" spans="1:12">
      <c r="A36" s="5" t="s">
        <v>129</v>
      </c>
      <c r="B36" s="5" t="s">
        <v>1033</v>
      </c>
      <c r="C36" s="6" t="s">
        <v>61</v>
      </c>
      <c r="D36" s="6" t="s">
        <v>62</v>
      </c>
      <c r="E36" s="7">
        <v>45056</v>
      </c>
      <c r="F36" s="6" t="s">
        <v>1034</v>
      </c>
      <c r="G36" s="6" t="s">
        <v>5326</v>
      </c>
      <c r="H36" s="214">
        <v>918215.51</v>
      </c>
      <c r="I36" s="8" t="s">
        <v>1150</v>
      </c>
      <c r="J36" s="213" t="b">
        <v>0</v>
      </c>
      <c r="K36" s="8"/>
      <c r="L36" s="8" t="s">
        <v>1150</v>
      </c>
    </row>
    <row r="37" spans="1:12">
      <c r="A37" s="5" t="s">
        <v>129</v>
      </c>
      <c r="B37" s="5" t="s">
        <v>1036</v>
      </c>
      <c r="C37" s="6" t="s">
        <v>61</v>
      </c>
      <c r="D37" s="6" t="s">
        <v>62</v>
      </c>
      <c r="E37" s="7">
        <v>45077</v>
      </c>
      <c r="F37" s="6" t="s">
        <v>1037</v>
      </c>
      <c r="G37" s="6" t="s">
        <v>5327</v>
      </c>
      <c r="H37" s="214">
        <v>496800</v>
      </c>
      <c r="I37" s="8" t="s">
        <v>1150</v>
      </c>
      <c r="J37" s="213" t="b">
        <v>0</v>
      </c>
      <c r="K37" s="8"/>
      <c r="L37" s="8" t="s">
        <v>1150</v>
      </c>
    </row>
    <row r="38" spans="1:12">
      <c r="A38" s="5" t="s">
        <v>129</v>
      </c>
      <c r="B38" s="5" t="s">
        <v>1039</v>
      </c>
      <c r="C38" s="6" t="s">
        <v>61</v>
      </c>
      <c r="D38" s="6" t="s">
        <v>62</v>
      </c>
      <c r="E38" s="7">
        <v>45084</v>
      </c>
      <c r="F38" s="6" t="s">
        <v>1040</v>
      </c>
      <c r="G38" s="6" t="s">
        <v>1041</v>
      </c>
      <c r="H38" s="214">
        <v>556803.44999999995</v>
      </c>
      <c r="I38" s="8" t="s">
        <v>1150</v>
      </c>
      <c r="J38" s="213" t="b">
        <v>0</v>
      </c>
      <c r="K38" s="8"/>
      <c r="L38" s="8" t="s">
        <v>1150</v>
      </c>
    </row>
    <row r="39" spans="1:12">
      <c r="A39" s="5" t="s">
        <v>129</v>
      </c>
      <c r="B39" s="5" t="s">
        <v>1042</v>
      </c>
      <c r="C39" s="6" t="s">
        <v>61</v>
      </c>
      <c r="D39" s="6" t="s">
        <v>62</v>
      </c>
      <c r="E39" s="7">
        <v>45091</v>
      </c>
      <c r="F39" s="6" t="s">
        <v>1043</v>
      </c>
      <c r="G39" s="6" t="s">
        <v>1044</v>
      </c>
      <c r="H39" s="214">
        <v>1996038</v>
      </c>
      <c r="I39" s="8" t="s">
        <v>1150</v>
      </c>
      <c r="J39" s="213" t="b">
        <v>0</v>
      </c>
      <c r="K39" s="8"/>
      <c r="L39" s="8" t="s">
        <v>1150</v>
      </c>
    </row>
    <row r="40" spans="1:12">
      <c r="A40" s="5" t="s">
        <v>129</v>
      </c>
      <c r="B40" s="5" t="s">
        <v>524</v>
      </c>
      <c r="C40" s="6" t="s">
        <v>61</v>
      </c>
      <c r="D40" s="6" t="s">
        <v>125</v>
      </c>
      <c r="E40" s="7">
        <v>45091</v>
      </c>
      <c r="F40" s="6" t="s">
        <v>525</v>
      </c>
      <c r="G40" s="6" t="s">
        <v>526</v>
      </c>
      <c r="H40" s="8">
        <v>2518284</v>
      </c>
      <c r="I40" s="8" t="s">
        <v>5318</v>
      </c>
      <c r="J40" s="213" t="b">
        <v>0</v>
      </c>
      <c r="K40" s="8"/>
      <c r="L40" s="8" t="s">
        <v>5318</v>
      </c>
    </row>
    <row r="41" spans="1:12">
      <c r="A41" s="5" t="s">
        <v>129</v>
      </c>
      <c r="B41" s="5" t="s">
        <v>542</v>
      </c>
      <c r="C41" s="6" t="s">
        <v>61</v>
      </c>
      <c r="D41" s="6" t="s">
        <v>125</v>
      </c>
      <c r="E41" s="7">
        <v>45106</v>
      </c>
      <c r="F41" s="6" t="s">
        <v>543</v>
      </c>
      <c r="G41" s="6" t="s">
        <v>544</v>
      </c>
      <c r="H41" s="8">
        <v>2743807.5</v>
      </c>
      <c r="I41" s="8" t="s">
        <v>5318</v>
      </c>
      <c r="J41" s="213" t="b">
        <v>0</v>
      </c>
      <c r="K41" s="8"/>
      <c r="L41" s="8" t="s">
        <v>5318</v>
      </c>
    </row>
    <row r="42" spans="1:12">
      <c r="A42" s="5" t="s">
        <v>129</v>
      </c>
      <c r="B42" s="5" t="s">
        <v>1045</v>
      </c>
      <c r="C42" s="6" t="s">
        <v>61</v>
      </c>
      <c r="D42" s="6" t="s">
        <v>62</v>
      </c>
      <c r="E42" s="7">
        <v>45119</v>
      </c>
      <c r="F42" s="6" t="s">
        <v>1046</v>
      </c>
      <c r="G42" s="6" t="s">
        <v>1047</v>
      </c>
      <c r="H42" s="214">
        <v>163174.5</v>
      </c>
      <c r="I42" s="8" t="s">
        <v>1150</v>
      </c>
      <c r="J42" s="213" t="b">
        <v>0</v>
      </c>
      <c r="K42" s="8"/>
      <c r="L42" s="8" t="s">
        <v>1150</v>
      </c>
    </row>
    <row r="43" spans="1:12">
      <c r="A43" s="5" t="s">
        <v>129</v>
      </c>
      <c r="B43" s="5" t="s">
        <v>1048</v>
      </c>
      <c r="C43" s="6" t="s">
        <v>61</v>
      </c>
      <c r="D43" s="6" t="s">
        <v>62</v>
      </c>
      <c r="E43" s="7">
        <v>45126</v>
      </c>
      <c r="F43" s="6" t="s">
        <v>1049</v>
      </c>
      <c r="G43" s="6" t="s">
        <v>1050</v>
      </c>
      <c r="H43" s="214">
        <v>500000</v>
      </c>
      <c r="I43" s="8" t="s">
        <v>1150</v>
      </c>
      <c r="J43" s="213" t="b">
        <v>0</v>
      </c>
      <c r="K43" s="8"/>
      <c r="L43" s="8" t="s">
        <v>1150</v>
      </c>
    </row>
    <row r="44" spans="1:12">
      <c r="A44" s="5" t="s">
        <v>129</v>
      </c>
      <c r="B44" s="5" t="s">
        <v>1051</v>
      </c>
      <c r="C44" s="6" t="s">
        <v>61</v>
      </c>
      <c r="D44" s="6" t="s">
        <v>62</v>
      </c>
      <c r="E44" s="7">
        <v>45126</v>
      </c>
      <c r="F44" s="6" t="s">
        <v>1052</v>
      </c>
      <c r="G44" s="6" t="s">
        <v>1053</v>
      </c>
      <c r="H44" s="214">
        <v>1493838</v>
      </c>
      <c r="I44" s="8" t="s">
        <v>1150</v>
      </c>
      <c r="J44" s="213" t="b">
        <v>0</v>
      </c>
      <c r="K44" s="8"/>
      <c r="L44" s="8" t="s">
        <v>1150</v>
      </c>
    </row>
    <row r="45" spans="1:12">
      <c r="A45" s="5" t="s">
        <v>129</v>
      </c>
      <c r="B45" s="5" t="s">
        <v>5328</v>
      </c>
      <c r="C45" s="6" t="s">
        <v>61</v>
      </c>
      <c r="D45" s="6" t="s">
        <v>62</v>
      </c>
      <c r="E45" s="7">
        <v>45126</v>
      </c>
      <c r="F45" s="6" t="s">
        <v>5329</v>
      </c>
      <c r="G45" s="6" t="s">
        <v>5330</v>
      </c>
      <c r="H45" s="214">
        <v>417360</v>
      </c>
      <c r="I45" s="8" t="s">
        <v>1150</v>
      </c>
      <c r="J45" s="213" t="b">
        <v>0</v>
      </c>
      <c r="K45" s="8"/>
      <c r="L45" s="8" t="s">
        <v>1150</v>
      </c>
    </row>
    <row r="46" spans="1:12">
      <c r="A46" s="5" t="s">
        <v>129</v>
      </c>
      <c r="B46" s="5" t="s">
        <v>1054</v>
      </c>
      <c r="C46" s="6" t="s">
        <v>61</v>
      </c>
      <c r="D46" s="6" t="s">
        <v>62</v>
      </c>
      <c r="E46" s="7">
        <v>45126</v>
      </c>
      <c r="F46" s="6" t="s">
        <v>1055</v>
      </c>
      <c r="G46" s="6" t="s">
        <v>1056</v>
      </c>
      <c r="H46" s="214">
        <v>1240000</v>
      </c>
      <c r="I46" s="8" t="s">
        <v>1150</v>
      </c>
      <c r="J46" s="213" t="b">
        <v>0</v>
      </c>
      <c r="K46" s="8"/>
      <c r="L46" s="8" t="s">
        <v>1150</v>
      </c>
    </row>
    <row r="47" spans="1:12">
      <c r="A47" s="5" t="s">
        <v>129</v>
      </c>
      <c r="B47" s="5" t="s">
        <v>1057</v>
      </c>
      <c r="C47" s="6" t="s">
        <v>61</v>
      </c>
      <c r="D47" s="6" t="s">
        <v>62</v>
      </c>
      <c r="E47" s="7">
        <v>45126</v>
      </c>
      <c r="F47" s="6" t="s">
        <v>1058</v>
      </c>
      <c r="G47" s="6" t="s">
        <v>1059</v>
      </c>
      <c r="H47" s="214">
        <v>249255</v>
      </c>
      <c r="I47" s="8" t="s">
        <v>1150</v>
      </c>
      <c r="J47" s="213" t="b">
        <v>0</v>
      </c>
      <c r="K47" s="8"/>
      <c r="L47" s="8" t="s">
        <v>1150</v>
      </c>
    </row>
    <row r="48" spans="1:12">
      <c r="A48" s="5" t="s">
        <v>129</v>
      </c>
      <c r="B48" s="5" t="s">
        <v>1060</v>
      </c>
      <c r="C48" s="6" t="s">
        <v>61</v>
      </c>
      <c r="D48" s="6" t="s">
        <v>62</v>
      </c>
      <c r="E48" s="7">
        <v>45133</v>
      </c>
      <c r="F48" s="6" t="s">
        <v>1061</v>
      </c>
      <c r="G48" s="6" t="s">
        <v>1062</v>
      </c>
      <c r="H48" s="214">
        <v>1652388.53</v>
      </c>
      <c r="I48" s="8" t="s">
        <v>1150</v>
      </c>
      <c r="J48" s="213" t="b">
        <v>0</v>
      </c>
      <c r="K48" s="8"/>
      <c r="L48" s="8" t="s">
        <v>1150</v>
      </c>
    </row>
    <row r="49" spans="1:12">
      <c r="A49" s="5" t="s">
        <v>129</v>
      </c>
      <c r="B49" s="5" t="s">
        <v>1063</v>
      </c>
      <c r="C49" s="6" t="s">
        <v>61</v>
      </c>
      <c r="D49" s="6" t="s">
        <v>62</v>
      </c>
      <c r="E49" s="7">
        <v>45140</v>
      </c>
      <c r="F49" s="6" t="s">
        <v>1064</v>
      </c>
      <c r="G49" s="6" t="s">
        <v>1065</v>
      </c>
      <c r="H49" s="214">
        <v>369166.12</v>
      </c>
      <c r="I49" s="8" t="s">
        <v>1150</v>
      </c>
      <c r="J49" s="213" t="b">
        <v>0</v>
      </c>
      <c r="K49" s="8"/>
      <c r="L49" s="8" t="s">
        <v>1150</v>
      </c>
    </row>
    <row r="50" spans="1:12">
      <c r="A50" s="5" t="s">
        <v>129</v>
      </c>
      <c r="B50" s="5" t="s">
        <v>1066</v>
      </c>
      <c r="C50" s="6" t="s">
        <v>61</v>
      </c>
      <c r="D50" s="6" t="s">
        <v>62</v>
      </c>
      <c r="E50" s="7">
        <v>45147</v>
      </c>
      <c r="F50" s="6" t="s">
        <v>1067</v>
      </c>
      <c r="G50" s="6" t="s">
        <v>1068</v>
      </c>
      <c r="H50" s="214">
        <v>309847.12</v>
      </c>
      <c r="I50" s="8" t="s">
        <v>1150</v>
      </c>
      <c r="J50" s="213" t="b">
        <v>0</v>
      </c>
      <c r="K50" s="8"/>
      <c r="L50" s="8" t="s">
        <v>1150</v>
      </c>
    </row>
    <row r="51" spans="1:12">
      <c r="A51" s="5" t="s">
        <v>129</v>
      </c>
      <c r="B51" s="5" t="s">
        <v>1069</v>
      </c>
      <c r="C51" s="6" t="s">
        <v>61</v>
      </c>
      <c r="D51" s="6" t="s">
        <v>62</v>
      </c>
      <c r="E51" s="7">
        <v>45147</v>
      </c>
      <c r="F51" s="6" t="s">
        <v>1070</v>
      </c>
      <c r="G51" s="6" t="s">
        <v>1071</v>
      </c>
      <c r="H51" s="214">
        <v>1350000</v>
      </c>
      <c r="I51" s="8" t="s">
        <v>1150</v>
      </c>
      <c r="J51" s="213" t="b">
        <v>0</v>
      </c>
      <c r="K51" s="8"/>
      <c r="L51" s="8" t="s">
        <v>1150</v>
      </c>
    </row>
    <row r="52" spans="1:12">
      <c r="A52" s="5" t="s">
        <v>129</v>
      </c>
      <c r="B52" s="5" t="s">
        <v>1072</v>
      </c>
      <c r="C52" s="6" t="s">
        <v>61</v>
      </c>
      <c r="D52" s="6" t="s">
        <v>62</v>
      </c>
      <c r="E52" s="7">
        <v>45147</v>
      </c>
      <c r="F52" s="6" t="s">
        <v>1073</v>
      </c>
      <c r="G52" s="6" t="s">
        <v>5331</v>
      </c>
      <c r="H52" s="214">
        <v>570040.98</v>
      </c>
      <c r="I52" s="8" t="s">
        <v>1150</v>
      </c>
      <c r="J52" s="213" t="b">
        <v>0</v>
      </c>
      <c r="K52" s="8"/>
      <c r="L52" s="8" t="s">
        <v>1150</v>
      </c>
    </row>
    <row r="53" spans="1:12">
      <c r="A53" s="5" t="s">
        <v>129</v>
      </c>
      <c r="B53" s="5" t="s">
        <v>141</v>
      </c>
      <c r="C53" s="6" t="s">
        <v>61</v>
      </c>
      <c r="D53" s="6" t="s">
        <v>125</v>
      </c>
      <c r="E53" s="7">
        <v>45225</v>
      </c>
      <c r="F53" s="6" t="s">
        <v>142</v>
      </c>
      <c r="G53" s="6" t="s">
        <v>5332</v>
      </c>
      <c r="H53" s="8">
        <v>2715682.84</v>
      </c>
      <c r="I53" s="8" t="s">
        <v>28</v>
      </c>
      <c r="J53" s="213" t="b">
        <v>1</v>
      </c>
      <c r="K53" s="8"/>
      <c r="L53" s="8" t="s">
        <v>5310</v>
      </c>
    </row>
    <row r="54" spans="1:12">
      <c r="A54" s="5" t="s">
        <v>129</v>
      </c>
      <c r="B54" s="5" t="s">
        <v>147</v>
      </c>
      <c r="C54" s="6" t="s">
        <v>61</v>
      </c>
      <c r="D54" s="6" t="s">
        <v>125</v>
      </c>
      <c r="E54" s="7">
        <v>45236</v>
      </c>
      <c r="F54" s="8" t="s">
        <v>148</v>
      </c>
      <c r="G54" s="6" t="s">
        <v>149</v>
      </c>
      <c r="H54" s="8">
        <v>2398683</v>
      </c>
      <c r="I54" s="8" t="s">
        <v>28</v>
      </c>
      <c r="J54" s="213" t="b">
        <v>1</v>
      </c>
      <c r="K54" s="8"/>
      <c r="L54" s="8" t="s">
        <v>5310</v>
      </c>
    </row>
    <row r="55" spans="1:12">
      <c r="A55" s="5" t="s">
        <v>129</v>
      </c>
      <c r="B55" s="6" t="s">
        <v>23</v>
      </c>
      <c r="C55" s="6" t="s">
        <v>61</v>
      </c>
      <c r="D55" s="6" t="s">
        <v>125</v>
      </c>
      <c r="E55" s="31">
        <v>45275</v>
      </c>
      <c r="F55" s="6" t="s">
        <v>152</v>
      </c>
      <c r="G55" s="6" t="s">
        <v>5333</v>
      </c>
      <c r="H55" s="8">
        <v>7936800</v>
      </c>
      <c r="I55" s="8" t="s">
        <v>28</v>
      </c>
      <c r="J55" s="213" t="b">
        <v>1</v>
      </c>
      <c r="K55" s="8"/>
      <c r="L55" s="8" t="s">
        <v>5310</v>
      </c>
    </row>
    <row r="56" spans="1:12">
      <c r="A56" s="6">
        <v>2022</v>
      </c>
      <c r="B56" s="6" t="s">
        <v>576</v>
      </c>
      <c r="C56" s="6" t="s">
        <v>61</v>
      </c>
      <c r="D56" s="6" t="s">
        <v>125</v>
      </c>
      <c r="E56" s="7">
        <v>44881</v>
      </c>
      <c r="F56" s="6" t="s">
        <v>577</v>
      </c>
      <c r="G56" s="6" t="s">
        <v>578</v>
      </c>
      <c r="H56" s="214">
        <v>2353196</v>
      </c>
      <c r="I56" s="214" t="s">
        <v>5334</v>
      </c>
      <c r="J56" s="213" t="b">
        <v>0</v>
      </c>
      <c r="K56" s="8"/>
      <c r="L56" s="8" t="s">
        <v>5334</v>
      </c>
    </row>
    <row r="57" spans="1:12">
      <c r="A57" s="6">
        <v>2022</v>
      </c>
      <c r="B57" s="6" t="s">
        <v>589</v>
      </c>
      <c r="C57" s="6" t="s">
        <v>61</v>
      </c>
      <c r="D57" s="6" t="s">
        <v>125</v>
      </c>
      <c r="E57" s="7">
        <v>44909</v>
      </c>
      <c r="F57" s="6" t="s">
        <v>590</v>
      </c>
      <c r="G57" s="6" t="s">
        <v>1888</v>
      </c>
      <c r="H57" s="214">
        <v>2995096</v>
      </c>
      <c r="I57" s="214" t="s">
        <v>5334</v>
      </c>
      <c r="J57" s="213" t="b">
        <v>0</v>
      </c>
      <c r="K57" s="8"/>
      <c r="L57" s="8" t="s">
        <v>5334</v>
      </c>
    </row>
    <row r="58" spans="1:12">
      <c r="A58" s="6">
        <v>2022</v>
      </c>
      <c r="B58" s="6" t="s">
        <v>592</v>
      </c>
      <c r="C58" s="6" t="s">
        <v>61</v>
      </c>
      <c r="D58" s="6" t="s">
        <v>125</v>
      </c>
      <c r="E58" s="7">
        <v>44909</v>
      </c>
      <c r="F58" s="6" t="s">
        <v>1891</v>
      </c>
      <c r="G58" s="6" t="s">
        <v>594</v>
      </c>
      <c r="H58" s="214">
        <v>2692520</v>
      </c>
      <c r="I58" s="8" t="s">
        <v>5335</v>
      </c>
      <c r="J58" s="213" t="b">
        <v>0</v>
      </c>
      <c r="K58" s="8"/>
      <c r="L58" s="8" t="s">
        <v>5335</v>
      </c>
    </row>
    <row r="59" spans="1:12">
      <c r="A59" s="6">
        <v>2022</v>
      </c>
      <c r="B59" s="6" t="s">
        <v>595</v>
      </c>
      <c r="C59" s="6" t="s">
        <v>61</v>
      </c>
      <c r="D59" s="6" t="s">
        <v>125</v>
      </c>
      <c r="E59" s="6" t="s">
        <v>1894</v>
      </c>
      <c r="F59" s="6" t="s">
        <v>596</v>
      </c>
      <c r="G59" s="6" t="s">
        <v>597</v>
      </c>
      <c r="H59" s="214">
        <v>1450894</v>
      </c>
      <c r="I59" s="8" t="s">
        <v>5318</v>
      </c>
      <c r="J59" s="213" t="b">
        <v>0</v>
      </c>
      <c r="K59" s="8"/>
      <c r="L59" s="8" t="s">
        <v>5318</v>
      </c>
    </row>
    <row r="60" spans="1:12">
      <c r="A60" s="6">
        <v>2022</v>
      </c>
      <c r="B60" s="6" t="s">
        <v>598</v>
      </c>
      <c r="C60" s="6" t="s">
        <v>61</v>
      </c>
      <c r="D60" s="6" t="s">
        <v>125</v>
      </c>
      <c r="E60" s="7">
        <v>44909</v>
      </c>
      <c r="F60" s="6" t="s">
        <v>599</v>
      </c>
      <c r="G60" s="6" t="s">
        <v>600</v>
      </c>
      <c r="H60" s="214">
        <v>1780736</v>
      </c>
      <c r="I60" s="8" t="s">
        <v>5318</v>
      </c>
      <c r="J60" s="213" t="b">
        <v>0</v>
      </c>
      <c r="K60" s="8"/>
      <c r="L60" s="8" t="s">
        <v>5318</v>
      </c>
    </row>
    <row r="61" spans="1:12">
      <c r="A61" s="6">
        <v>2022</v>
      </c>
      <c r="B61" s="6" t="s">
        <v>601</v>
      </c>
      <c r="C61" s="6" t="s">
        <v>61</v>
      </c>
      <c r="D61" s="6" t="s">
        <v>125</v>
      </c>
      <c r="E61" s="6" t="s">
        <v>1901</v>
      </c>
      <c r="F61" s="6" t="s">
        <v>602</v>
      </c>
      <c r="G61" s="6" t="s">
        <v>591</v>
      </c>
      <c r="H61" s="214">
        <v>2802604</v>
      </c>
      <c r="I61" s="8" t="s">
        <v>5335</v>
      </c>
      <c r="J61" s="213" t="b">
        <v>0</v>
      </c>
      <c r="K61" s="8"/>
      <c r="L61" s="8" t="s">
        <v>5335</v>
      </c>
    </row>
    <row r="62" spans="1:12">
      <c r="A62" s="6">
        <v>2022</v>
      </c>
      <c r="B62" s="6" t="s">
        <v>75</v>
      </c>
      <c r="C62" s="6" t="s">
        <v>61</v>
      </c>
      <c r="D62" s="6" t="s">
        <v>76</v>
      </c>
      <c r="E62" s="6" t="s">
        <v>77</v>
      </c>
      <c r="F62" s="6" t="s">
        <v>78</v>
      </c>
      <c r="G62" s="6" t="s">
        <v>79</v>
      </c>
      <c r="H62" s="121">
        <v>1083679</v>
      </c>
      <c r="I62" s="8" t="s">
        <v>28</v>
      </c>
      <c r="J62" s="213" t="b">
        <v>1</v>
      </c>
      <c r="K62" s="8"/>
      <c r="L62" s="8" t="s">
        <v>5336</v>
      </c>
    </row>
    <row r="63" spans="1:12">
      <c r="A63" s="6">
        <v>2022</v>
      </c>
      <c r="B63" s="6" t="s">
        <v>1075</v>
      </c>
      <c r="C63" s="6" t="s">
        <v>61</v>
      </c>
      <c r="D63" s="6" t="s">
        <v>62</v>
      </c>
      <c r="E63" s="7">
        <v>44685</v>
      </c>
      <c r="F63" s="6" t="s">
        <v>1076</v>
      </c>
      <c r="G63" s="6" t="s">
        <v>1954</v>
      </c>
      <c r="H63" s="121">
        <v>1000000</v>
      </c>
      <c r="I63" s="8" t="s">
        <v>1150</v>
      </c>
      <c r="J63" s="213" t="b">
        <v>0</v>
      </c>
      <c r="K63" s="8"/>
      <c r="L63" s="8" t="s">
        <v>1150</v>
      </c>
    </row>
    <row r="64" spans="1:12">
      <c r="A64" s="6">
        <v>2022</v>
      </c>
      <c r="B64" s="6" t="s">
        <v>1078</v>
      </c>
      <c r="C64" s="6" t="s">
        <v>61</v>
      </c>
      <c r="D64" s="6" t="s">
        <v>62</v>
      </c>
      <c r="E64" s="7">
        <v>44720</v>
      </c>
      <c r="F64" s="6" t="s">
        <v>1079</v>
      </c>
      <c r="G64" s="6" t="s">
        <v>1080</v>
      </c>
      <c r="H64" s="121">
        <v>702000</v>
      </c>
      <c r="I64" s="8" t="s">
        <v>1150</v>
      </c>
      <c r="J64" s="213" t="b">
        <v>0</v>
      </c>
      <c r="K64" s="8"/>
      <c r="L64" s="8" t="s">
        <v>1150</v>
      </c>
    </row>
    <row r="65" spans="1:12">
      <c r="A65" s="6">
        <v>2022</v>
      </c>
      <c r="B65" s="6" t="s">
        <v>618</v>
      </c>
      <c r="C65" s="6" t="s">
        <v>61</v>
      </c>
      <c r="D65" s="6" t="s">
        <v>197</v>
      </c>
      <c r="E65" s="7">
        <v>44727</v>
      </c>
      <c r="F65" s="6" t="s">
        <v>619</v>
      </c>
      <c r="G65" s="6" t="s">
        <v>620</v>
      </c>
      <c r="H65" s="214">
        <v>2001920</v>
      </c>
      <c r="I65" s="8" t="s">
        <v>5318</v>
      </c>
      <c r="J65" s="213" t="b">
        <v>0</v>
      </c>
      <c r="K65" s="8"/>
      <c r="L65" s="8" t="s">
        <v>5318</v>
      </c>
    </row>
    <row r="66" spans="1:12">
      <c r="A66" s="6">
        <v>2022</v>
      </c>
      <c r="B66" s="6" t="s">
        <v>621</v>
      </c>
      <c r="C66" s="6" t="s">
        <v>61</v>
      </c>
      <c r="D66" s="6" t="s">
        <v>197</v>
      </c>
      <c r="E66" s="7">
        <v>44734</v>
      </c>
      <c r="F66" s="6" t="s">
        <v>622</v>
      </c>
      <c r="G66" s="6" t="s">
        <v>623</v>
      </c>
      <c r="H66" s="214">
        <v>2435960</v>
      </c>
      <c r="I66" s="8" t="s">
        <v>5318</v>
      </c>
      <c r="J66" s="213" t="b">
        <v>0</v>
      </c>
      <c r="K66" s="8"/>
      <c r="L66" s="8" t="s">
        <v>5318</v>
      </c>
    </row>
    <row r="67" spans="1:12">
      <c r="A67" s="6">
        <v>2022</v>
      </c>
      <c r="B67" s="6" t="s">
        <v>1081</v>
      </c>
      <c r="C67" s="6" t="s">
        <v>61</v>
      </c>
      <c r="D67" s="6" t="s">
        <v>76</v>
      </c>
      <c r="E67" s="7">
        <v>44734</v>
      </c>
      <c r="F67" s="6" t="s">
        <v>1082</v>
      </c>
      <c r="G67" s="6" t="s">
        <v>1083</v>
      </c>
      <c r="H67" s="121" t="s">
        <v>22</v>
      </c>
      <c r="I67" s="121" t="s">
        <v>5337</v>
      </c>
      <c r="J67" s="213" t="b">
        <v>0</v>
      </c>
      <c r="K67" s="8"/>
      <c r="L67" s="8" t="s">
        <v>5338</v>
      </c>
    </row>
    <row r="68" spans="1:12">
      <c r="A68" s="6">
        <v>2022</v>
      </c>
      <c r="B68" s="6" t="s">
        <v>1084</v>
      </c>
      <c r="C68" s="6" t="s">
        <v>61</v>
      </c>
      <c r="D68" s="6" t="s">
        <v>62</v>
      </c>
      <c r="E68" s="7">
        <v>44741</v>
      </c>
      <c r="F68" s="6" t="s">
        <v>1085</v>
      </c>
      <c r="G68" s="6" t="s">
        <v>1086</v>
      </c>
      <c r="H68" s="121">
        <v>923252</v>
      </c>
      <c r="I68" s="8" t="s">
        <v>1150</v>
      </c>
      <c r="J68" s="213" t="b">
        <v>0</v>
      </c>
      <c r="K68" s="8"/>
      <c r="L68" s="8" t="s">
        <v>1150</v>
      </c>
    </row>
    <row r="69" spans="1:12">
      <c r="A69" s="6">
        <v>2022</v>
      </c>
      <c r="B69" s="6" t="s">
        <v>1087</v>
      </c>
      <c r="C69" s="6" t="s">
        <v>61</v>
      </c>
      <c r="D69" s="6" t="s">
        <v>62</v>
      </c>
      <c r="E69" s="7">
        <v>44748</v>
      </c>
      <c r="F69" s="6" t="s">
        <v>1088</v>
      </c>
      <c r="G69" s="6" t="s">
        <v>1089</v>
      </c>
      <c r="H69" s="121">
        <v>494868.75</v>
      </c>
      <c r="I69" s="8" t="s">
        <v>1150</v>
      </c>
      <c r="J69" s="213" t="b">
        <v>0</v>
      </c>
      <c r="K69" s="8"/>
      <c r="L69" s="8" t="s">
        <v>1150</v>
      </c>
    </row>
    <row r="70" spans="1:12">
      <c r="A70" s="6">
        <v>2022</v>
      </c>
      <c r="B70" s="6" t="s">
        <v>1090</v>
      </c>
      <c r="C70" s="6" t="s">
        <v>61</v>
      </c>
      <c r="D70" s="6" t="s">
        <v>62</v>
      </c>
      <c r="E70" s="31">
        <v>44783</v>
      </c>
      <c r="F70" s="6" t="s">
        <v>1091</v>
      </c>
      <c r="G70" s="6" t="s">
        <v>1092</v>
      </c>
      <c r="H70" s="121">
        <v>998550</v>
      </c>
      <c r="I70" s="8" t="s">
        <v>1150</v>
      </c>
      <c r="J70" s="213" t="b">
        <v>0</v>
      </c>
      <c r="K70" s="8"/>
      <c r="L70" s="8" t="s">
        <v>1150</v>
      </c>
    </row>
    <row r="71" spans="1:12">
      <c r="A71" s="6">
        <v>2022</v>
      </c>
      <c r="B71" s="6" t="s">
        <v>1093</v>
      </c>
      <c r="C71" s="6" t="s">
        <v>61</v>
      </c>
      <c r="D71" s="6" t="s">
        <v>62</v>
      </c>
      <c r="E71" s="7">
        <v>44811</v>
      </c>
      <c r="F71" s="6" t="s">
        <v>1094</v>
      </c>
      <c r="G71" s="6" t="s">
        <v>1095</v>
      </c>
      <c r="H71" s="121">
        <v>1503212.5</v>
      </c>
      <c r="I71" s="8" t="s">
        <v>1150</v>
      </c>
      <c r="J71" s="213" t="b">
        <v>0</v>
      </c>
      <c r="K71" s="8"/>
      <c r="L71" s="8" t="s">
        <v>1150</v>
      </c>
    </row>
    <row r="72" spans="1:12">
      <c r="A72" s="6">
        <v>2022</v>
      </c>
      <c r="B72" s="6" t="s">
        <v>633</v>
      </c>
      <c r="C72" s="6" t="s">
        <v>61</v>
      </c>
      <c r="D72" s="6" t="s">
        <v>125</v>
      </c>
      <c r="E72" s="7">
        <v>44825</v>
      </c>
      <c r="F72" s="6" t="s">
        <v>634</v>
      </c>
      <c r="G72" s="6" t="s">
        <v>635</v>
      </c>
      <c r="H72" s="214">
        <v>2251504</v>
      </c>
      <c r="I72" s="8" t="s">
        <v>5318</v>
      </c>
      <c r="J72" s="213" t="b">
        <v>0</v>
      </c>
      <c r="K72" s="8"/>
      <c r="L72" s="8" t="s">
        <v>5318</v>
      </c>
    </row>
    <row r="73" spans="1:12">
      <c r="A73" s="6">
        <v>2022</v>
      </c>
      <c r="B73" s="6" t="s">
        <v>1096</v>
      </c>
      <c r="C73" s="6" t="s">
        <v>61</v>
      </c>
      <c r="D73" s="6" t="s">
        <v>62</v>
      </c>
      <c r="E73" s="7">
        <v>44826</v>
      </c>
      <c r="F73" s="6" t="s">
        <v>1097</v>
      </c>
      <c r="G73" s="6" t="s">
        <v>1095</v>
      </c>
      <c r="H73" s="121">
        <v>1000000</v>
      </c>
      <c r="I73" s="8" t="s">
        <v>1150</v>
      </c>
      <c r="J73" s="213" t="b">
        <v>0</v>
      </c>
      <c r="K73" s="8"/>
      <c r="L73" s="8" t="s">
        <v>1150</v>
      </c>
    </row>
    <row r="74" spans="1:12">
      <c r="A74" s="6">
        <v>2022</v>
      </c>
      <c r="B74" s="6" t="s">
        <v>667</v>
      </c>
      <c r="C74" s="6" t="s">
        <v>61</v>
      </c>
      <c r="D74" s="6" t="s">
        <v>125</v>
      </c>
      <c r="E74" s="7">
        <v>44847</v>
      </c>
      <c r="F74" s="6" t="s">
        <v>668</v>
      </c>
      <c r="G74" s="6" t="s">
        <v>669</v>
      </c>
      <c r="H74" s="214">
        <v>2501824</v>
      </c>
      <c r="I74" s="8" t="s">
        <v>5318</v>
      </c>
      <c r="J74" s="213" t="b">
        <v>0</v>
      </c>
      <c r="K74" s="8"/>
      <c r="L74" s="8" t="s">
        <v>5318</v>
      </c>
    </row>
    <row r="75" spans="1:12">
      <c r="A75" s="6">
        <v>2022</v>
      </c>
      <c r="B75" s="6" t="s">
        <v>1108</v>
      </c>
      <c r="C75" s="6" t="s">
        <v>61</v>
      </c>
      <c r="D75" s="6" t="s">
        <v>62</v>
      </c>
      <c r="E75" s="7">
        <v>44881</v>
      </c>
      <c r="F75" s="6" t="s">
        <v>1109</v>
      </c>
      <c r="G75" s="6" t="s">
        <v>1110</v>
      </c>
      <c r="H75" s="121">
        <v>1534670</v>
      </c>
      <c r="I75" s="8" t="s">
        <v>1150</v>
      </c>
      <c r="J75" s="213" t="b">
        <v>0</v>
      </c>
      <c r="K75" s="8"/>
      <c r="L75" s="8" t="s">
        <v>1150</v>
      </c>
    </row>
    <row r="76" spans="1:12">
      <c r="A76" s="6">
        <v>2022</v>
      </c>
      <c r="B76" s="6" t="s">
        <v>23</v>
      </c>
      <c r="C76" s="6" t="s">
        <v>61</v>
      </c>
      <c r="D76" s="6" t="s">
        <v>125</v>
      </c>
      <c r="E76" s="7">
        <v>44733</v>
      </c>
      <c r="F76" s="6" t="s">
        <v>691</v>
      </c>
      <c r="G76" s="6" t="s">
        <v>692</v>
      </c>
      <c r="H76" s="214">
        <v>7155412</v>
      </c>
      <c r="I76" s="8" t="s">
        <v>5335</v>
      </c>
      <c r="J76" s="213" t="b">
        <v>0</v>
      </c>
      <c r="K76" s="8"/>
      <c r="L76" s="8" t="s">
        <v>5335</v>
      </c>
    </row>
    <row r="77" spans="1:12">
      <c r="A77" s="6">
        <v>2022</v>
      </c>
      <c r="B77" s="6" t="s">
        <v>23</v>
      </c>
      <c r="C77" s="6" t="s">
        <v>61</v>
      </c>
      <c r="D77" s="6" t="s">
        <v>125</v>
      </c>
      <c r="E77" s="7">
        <v>44873</v>
      </c>
      <c r="F77" s="6" t="s">
        <v>693</v>
      </c>
      <c r="G77" s="6" t="s">
        <v>694</v>
      </c>
      <c r="H77" s="214">
        <v>3897512</v>
      </c>
      <c r="I77" s="214" t="s">
        <v>5339</v>
      </c>
      <c r="J77" s="213" t="b">
        <v>0</v>
      </c>
      <c r="K77" s="8"/>
      <c r="L77" s="8" t="s">
        <v>5340</v>
      </c>
    </row>
    <row r="78" spans="1:12">
      <c r="A78" s="6">
        <v>2022</v>
      </c>
      <c r="B78" s="6" t="s">
        <v>23</v>
      </c>
      <c r="C78" s="6" t="s">
        <v>61</v>
      </c>
      <c r="D78" s="6" t="s">
        <v>125</v>
      </c>
      <c r="E78" s="7">
        <v>44873</v>
      </c>
      <c r="F78" s="6" t="s">
        <v>695</v>
      </c>
      <c r="G78" s="6" t="s">
        <v>696</v>
      </c>
      <c r="H78" s="214">
        <v>4161535.59</v>
      </c>
      <c r="I78" s="8" t="s">
        <v>5334</v>
      </c>
      <c r="J78" s="213" t="b">
        <v>0</v>
      </c>
      <c r="K78" s="8"/>
      <c r="L78" s="8" t="s">
        <v>5334</v>
      </c>
    </row>
    <row r="79" spans="1:12">
      <c r="A79" s="6">
        <v>2021</v>
      </c>
      <c r="B79" s="61">
        <v>44378</v>
      </c>
      <c r="C79" s="6" t="s">
        <v>61</v>
      </c>
      <c r="D79" s="6" t="s">
        <v>62</v>
      </c>
      <c r="E79" s="6"/>
      <c r="F79" s="6" t="s">
        <v>1112</v>
      </c>
      <c r="G79" s="6" t="s">
        <v>1113</v>
      </c>
      <c r="H79" s="121">
        <v>1578099.2</v>
      </c>
      <c r="I79" s="8" t="s">
        <v>1150</v>
      </c>
      <c r="J79" s="213" t="b">
        <v>0</v>
      </c>
      <c r="K79" s="8"/>
      <c r="L79" s="8" t="s">
        <v>1150</v>
      </c>
    </row>
    <row r="80" spans="1:12">
      <c r="A80" s="5" t="s">
        <v>124</v>
      </c>
      <c r="B80" s="5"/>
      <c r="C80" s="6" t="s">
        <v>23</v>
      </c>
      <c r="D80" s="6" t="s">
        <v>125</v>
      </c>
      <c r="E80" s="7"/>
      <c r="F80" s="6" t="s">
        <v>126</v>
      </c>
      <c r="G80" s="6" t="s">
        <v>5341</v>
      </c>
      <c r="H80" s="8">
        <v>5867730.2000000002</v>
      </c>
      <c r="I80" s="8" t="s">
        <v>28</v>
      </c>
      <c r="J80" s="213" t="b">
        <v>1</v>
      </c>
      <c r="K80" s="8" t="s">
        <v>225</v>
      </c>
      <c r="L80" s="8" t="s">
        <v>5310</v>
      </c>
    </row>
    <row r="81" spans="1:12">
      <c r="A81" s="6">
        <v>2021</v>
      </c>
      <c r="B81" s="6" t="s">
        <v>1114</v>
      </c>
      <c r="C81" s="6" t="s">
        <v>61</v>
      </c>
      <c r="D81" s="6" t="s">
        <v>62</v>
      </c>
      <c r="E81" s="6"/>
      <c r="F81" s="6" t="s">
        <v>1115</v>
      </c>
      <c r="G81" s="6" t="s">
        <v>1116</v>
      </c>
      <c r="H81" s="121">
        <v>1527776</v>
      </c>
      <c r="I81" s="8" t="s">
        <v>1150</v>
      </c>
      <c r="J81" s="213" t="b">
        <v>0</v>
      </c>
      <c r="K81" s="8"/>
      <c r="L81" s="8" t="s">
        <v>1150</v>
      </c>
    </row>
    <row r="82" spans="1:12">
      <c r="A82" s="6">
        <v>2021</v>
      </c>
      <c r="B82" s="6" t="s">
        <v>1117</v>
      </c>
      <c r="C82" s="6" t="s">
        <v>61</v>
      </c>
      <c r="D82" s="6" t="s">
        <v>62</v>
      </c>
      <c r="E82" s="6"/>
      <c r="F82" s="6" t="s">
        <v>1119</v>
      </c>
      <c r="G82" s="6" t="s">
        <v>1120</v>
      </c>
      <c r="H82" s="121">
        <v>2880000</v>
      </c>
      <c r="I82" s="8" t="s">
        <v>1150</v>
      </c>
      <c r="J82" s="213" t="b">
        <v>0</v>
      </c>
      <c r="K82" s="8"/>
      <c r="L82" s="8" t="s">
        <v>1150</v>
      </c>
    </row>
    <row r="83" spans="1:12">
      <c r="A83" s="6">
        <v>2021</v>
      </c>
      <c r="B83" s="6" t="s">
        <v>1121</v>
      </c>
      <c r="C83" s="6" t="s">
        <v>61</v>
      </c>
      <c r="D83" s="6" t="s">
        <v>62</v>
      </c>
      <c r="E83" s="6"/>
      <c r="F83" s="6" t="s">
        <v>1122</v>
      </c>
      <c r="G83" s="6" t="s">
        <v>1123</v>
      </c>
      <c r="H83" s="121">
        <v>2928900.41</v>
      </c>
      <c r="I83" s="8" t="s">
        <v>1150</v>
      </c>
      <c r="J83" s="213" t="b">
        <v>0</v>
      </c>
      <c r="K83" s="8"/>
      <c r="L83" s="8" t="s">
        <v>1150</v>
      </c>
    </row>
    <row r="84" spans="1:12">
      <c r="A84" s="6">
        <v>2021</v>
      </c>
      <c r="B84" s="6" t="s">
        <v>1124</v>
      </c>
      <c r="C84" s="6" t="s">
        <v>61</v>
      </c>
      <c r="D84" s="6" t="s">
        <v>62</v>
      </c>
      <c r="E84" s="6"/>
      <c r="F84" s="6" t="s">
        <v>1125</v>
      </c>
      <c r="G84" s="6" t="s">
        <v>1113</v>
      </c>
      <c r="H84" s="121">
        <v>4512920</v>
      </c>
      <c r="I84" s="8" t="s">
        <v>1150</v>
      </c>
      <c r="J84" s="213" t="b">
        <v>0</v>
      </c>
      <c r="K84" s="8"/>
      <c r="L84" s="8" t="s">
        <v>1150</v>
      </c>
    </row>
    <row r="85" spans="1:12">
      <c r="A85" s="6">
        <v>2021</v>
      </c>
      <c r="B85" s="6" t="s">
        <v>1126</v>
      </c>
      <c r="C85" s="6" t="s">
        <v>61</v>
      </c>
      <c r="D85" s="6" t="s">
        <v>62</v>
      </c>
      <c r="E85" s="6"/>
      <c r="F85" s="6" t="s">
        <v>1128</v>
      </c>
      <c r="G85" s="6" t="s">
        <v>1129</v>
      </c>
      <c r="H85" s="121">
        <v>3300440</v>
      </c>
      <c r="I85" s="8" t="s">
        <v>1150</v>
      </c>
      <c r="J85" s="213" t="b">
        <v>0</v>
      </c>
      <c r="K85" s="8"/>
      <c r="L85" s="8" t="s">
        <v>1150</v>
      </c>
    </row>
    <row r="86" spans="1:12">
      <c r="A86" s="6">
        <v>2021</v>
      </c>
      <c r="B86" s="6" t="s">
        <v>1130</v>
      </c>
      <c r="C86" s="6" t="s">
        <v>61</v>
      </c>
      <c r="D86" s="6" t="s">
        <v>62</v>
      </c>
      <c r="E86" s="6"/>
      <c r="F86" s="6" t="s">
        <v>1132</v>
      </c>
      <c r="G86" s="6" t="s">
        <v>1133</v>
      </c>
      <c r="H86" s="121">
        <v>1000000</v>
      </c>
      <c r="I86" s="8" t="s">
        <v>1150</v>
      </c>
      <c r="J86" s="213" t="b">
        <v>0</v>
      </c>
      <c r="K86" s="8"/>
      <c r="L86" s="8" t="s">
        <v>1150</v>
      </c>
    </row>
    <row r="87" spans="1:12">
      <c r="A87" s="6">
        <v>2021</v>
      </c>
      <c r="B87" s="6" t="s">
        <v>1134</v>
      </c>
      <c r="C87" s="6" t="s">
        <v>61</v>
      </c>
      <c r="D87" s="6" t="s">
        <v>62</v>
      </c>
      <c r="E87" s="6"/>
      <c r="F87" s="6" t="s">
        <v>1135</v>
      </c>
      <c r="G87" s="6" t="s">
        <v>1136</v>
      </c>
      <c r="H87" s="121">
        <v>916956.36</v>
      </c>
      <c r="I87" s="8" t="s">
        <v>1150</v>
      </c>
      <c r="J87" s="213" t="b">
        <v>0</v>
      </c>
      <c r="K87" s="8"/>
      <c r="L87" s="8" t="s">
        <v>1150</v>
      </c>
    </row>
    <row r="88" spans="1:12">
      <c r="A88" s="6">
        <v>2020</v>
      </c>
      <c r="B88" s="61">
        <v>43862</v>
      </c>
      <c r="C88" s="6" t="s">
        <v>61</v>
      </c>
      <c r="D88" s="6" t="s">
        <v>62</v>
      </c>
      <c r="E88" s="6"/>
      <c r="F88" s="6" t="s">
        <v>1148</v>
      </c>
      <c r="G88" s="6" t="s">
        <v>2322</v>
      </c>
      <c r="H88" s="121">
        <v>2957181.66</v>
      </c>
      <c r="I88" s="8" t="s">
        <v>1150</v>
      </c>
      <c r="J88" s="213" t="b">
        <v>0</v>
      </c>
      <c r="K88" s="8"/>
      <c r="L88" s="8" t="s">
        <v>1150</v>
      </c>
    </row>
    <row r="89" spans="1:12">
      <c r="A89" s="6">
        <v>2020</v>
      </c>
      <c r="B89" s="62">
        <v>44075</v>
      </c>
      <c r="C89" s="6" t="s">
        <v>61</v>
      </c>
      <c r="D89" s="6" t="s">
        <v>62</v>
      </c>
      <c r="E89" s="6"/>
      <c r="F89" s="6" t="s">
        <v>1152</v>
      </c>
      <c r="G89" s="6" t="s">
        <v>2334</v>
      </c>
      <c r="H89" s="121">
        <v>1000000</v>
      </c>
      <c r="I89" s="8" t="s">
        <v>1150</v>
      </c>
      <c r="J89" s="213" t="b">
        <v>0</v>
      </c>
      <c r="K89" s="8"/>
      <c r="L89" s="8" t="s">
        <v>1150</v>
      </c>
    </row>
    <row r="90" spans="1:12">
      <c r="A90" s="6">
        <v>2020</v>
      </c>
      <c r="B90" s="61">
        <v>44136</v>
      </c>
      <c r="C90" s="6" t="s">
        <v>61</v>
      </c>
      <c r="D90" s="6" t="s">
        <v>62</v>
      </c>
      <c r="E90" s="6"/>
      <c r="F90" s="6" t="s">
        <v>1154</v>
      </c>
      <c r="G90" s="6" t="s">
        <v>2336</v>
      </c>
      <c r="H90" s="121">
        <v>1000000</v>
      </c>
      <c r="I90" s="8" t="s">
        <v>1150</v>
      </c>
      <c r="J90" s="213" t="b">
        <v>0</v>
      </c>
      <c r="K90" s="8"/>
      <c r="L90" s="8" t="s">
        <v>1150</v>
      </c>
    </row>
    <row r="91" spans="1:12">
      <c r="A91" s="6">
        <v>2020</v>
      </c>
      <c r="B91" s="6" t="s">
        <v>1156</v>
      </c>
      <c r="C91" s="6" t="s">
        <v>61</v>
      </c>
      <c r="D91" s="6" t="s">
        <v>62</v>
      </c>
      <c r="E91" s="6"/>
      <c r="F91" s="6" t="s">
        <v>1157</v>
      </c>
      <c r="G91" s="6" t="s">
        <v>2339</v>
      </c>
      <c r="H91" s="121">
        <v>1000000</v>
      </c>
      <c r="I91" s="8" t="s">
        <v>1150</v>
      </c>
      <c r="J91" s="213" t="b">
        <v>0</v>
      </c>
      <c r="K91" s="8"/>
      <c r="L91" s="8" t="s">
        <v>1150</v>
      </c>
    </row>
    <row r="92" spans="1:12">
      <c r="A92" s="6">
        <v>2020</v>
      </c>
      <c r="B92" s="6" t="s">
        <v>1159</v>
      </c>
      <c r="C92" s="6" t="s">
        <v>61</v>
      </c>
      <c r="D92" s="6" t="s">
        <v>62</v>
      </c>
      <c r="E92" s="6"/>
      <c r="F92" s="6" t="s">
        <v>1160</v>
      </c>
      <c r="G92" s="6" t="s">
        <v>2342</v>
      </c>
      <c r="H92" s="121">
        <v>2284150</v>
      </c>
      <c r="I92" s="8" t="s">
        <v>1150</v>
      </c>
      <c r="J92" s="213" t="b">
        <v>0</v>
      </c>
      <c r="K92" s="8"/>
      <c r="L92" s="8" t="s">
        <v>1150</v>
      </c>
    </row>
    <row r="93" spans="1:12">
      <c r="A93" s="6">
        <v>2020</v>
      </c>
      <c r="B93" s="6" t="s">
        <v>1162</v>
      </c>
      <c r="C93" s="6" t="s">
        <v>61</v>
      </c>
      <c r="D93" s="6" t="s">
        <v>62</v>
      </c>
      <c r="E93" s="6"/>
      <c r="F93" s="6" t="s">
        <v>1163</v>
      </c>
      <c r="G93" s="6" t="s">
        <v>5342</v>
      </c>
      <c r="H93" s="121">
        <v>1621819.5</v>
      </c>
      <c r="I93" s="8" t="s">
        <v>1150</v>
      </c>
      <c r="J93" s="213" t="b">
        <v>0</v>
      </c>
      <c r="K93" s="8"/>
      <c r="L93" s="8" t="s">
        <v>1150</v>
      </c>
    </row>
    <row r="94" spans="1:12">
      <c r="A94" s="6">
        <v>2020</v>
      </c>
      <c r="B94" s="6" t="s">
        <v>1165</v>
      </c>
      <c r="C94" s="6" t="s">
        <v>61</v>
      </c>
      <c r="D94" s="6" t="s">
        <v>62</v>
      </c>
      <c r="E94" s="6"/>
      <c r="F94" s="6" t="s">
        <v>1166</v>
      </c>
      <c r="G94" s="6" t="s">
        <v>2348</v>
      </c>
      <c r="H94" s="121">
        <v>2382264</v>
      </c>
      <c r="I94" s="8" t="s">
        <v>1150</v>
      </c>
      <c r="J94" s="213" t="b">
        <v>0</v>
      </c>
      <c r="K94" s="8"/>
      <c r="L94" s="8" t="s">
        <v>1150</v>
      </c>
    </row>
    <row r="95" spans="1:12">
      <c r="A95" s="6">
        <v>2020</v>
      </c>
      <c r="B95" s="6" t="s">
        <v>1168</v>
      </c>
      <c r="C95" s="6" t="s">
        <v>61</v>
      </c>
      <c r="D95" s="6" t="s">
        <v>62</v>
      </c>
      <c r="E95" s="6"/>
      <c r="F95" s="6" t="s">
        <v>2374</v>
      </c>
      <c r="G95" s="6" t="s">
        <v>1170</v>
      </c>
      <c r="H95" s="121">
        <v>140032</v>
      </c>
      <c r="I95" s="8" t="s">
        <v>1150</v>
      </c>
      <c r="J95" s="213" t="b">
        <v>0</v>
      </c>
      <c r="K95" s="8"/>
      <c r="L95" s="8" t="s">
        <v>1150</v>
      </c>
    </row>
    <row r="96" spans="1:12">
      <c r="A96" s="6">
        <v>2020</v>
      </c>
      <c r="B96" s="6" t="s">
        <v>2386</v>
      </c>
      <c r="C96" s="6" t="s">
        <v>61</v>
      </c>
      <c r="D96" s="6" t="s">
        <v>62</v>
      </c>
      <c r="E96" s="6"/>
      <c r="F96" s="6" t="s">
        <v>2387</v>
      </c>
      <c r="G96" s="6" t="s">
        <v>2388</v>
      </c>
      <c r="H96" s="121">
        <v>500000</v>
      </c>
      <c r="I96" s="8" t="s">
        <v>1150</v>
      </c>
      <c r="J96" s="213" t="b">
        <v>0</v>
      </c>
      <c r="K96" s="8"/>
      <c r="L96" s="8" t="s">
        <v>1150</v>
      </c>
    </row>
    <row r="97" spans="1:12">
      <c r="A97" s="6">
        <v>2020</v>
      </c>
      <c r="B97" s="6" t="s">
        <v>1174</v>
      </c>
      <c r="C97" s="6" t="s">
        <v>61</v>
      </c>
      <c r="D97" s="6" t="s">
        <v>62</v>
      </c>
      <c r="E97" s="6"/>
      <c r="F97" s="6" t="s">
        <v>1175</v>
      </c>
      <c r="G97" s="6" t="s">
        <v>1176</v>
      </c>
      <c r="H97" s="121">
        <v>418714.15</v>
      </c>
      <c r="I97" s="8" t="s">
        <v>1150</v>
      </c>
      <c r="J97" s="213" t="b">
        <v>0</v>
      </c>
      <c r="K97" s="8"/>
      <c r="L97" s="8" t="s">
        <v>1150</v>
      </c>
    </row>
    <row r="98" spans="1:12">
      <c r="A98" s="6">
        <v>2020</v>
      </c>
      <c r="B98" s="6" t="s">
        <v>1186</v>
      </c>
      <c r="C98" s="6" t="s">
        <v>61</v>
      </c>
      <c r="D98" s="6" t="s">
        <v>62</v>
      </c>
      <c r="E98" s="6"/>
      <c r="F98" s="6" t="s">
        <v>1187</v>
      </c>
      <c r="G98" s="6" t="s">
        <v>1188</v>
      </c>
      <c r="H98" s="121">
        <v>453346.5</v>
      </c>
      <c r="I98" s="8" t="s">
        <v>1150</v>
      </c>
      <c r="J98" s="213" t="b">
        <v>0</v>
      </c>
      <c r="K98" s="8"/>
      <c r="L98" s="8" t="s">
        <v>1150</v>
      </c>
    </row>
    <row r="99" spans="1:12">
      <c r="A99" s="6">
        <v>2019</v>
      </c>
      <c r="B99" s="6" t="s">
        <v>1199</v>
      </c>
      <c r="C99" s="6" t="s">
        <v>61</v>
      </c>
      <c r="D99" s="6" t="s">
        <v>62</v>
      </c>
      <c r="E99" s="6"/>
      <c r="F99" s="6" t="s">
        <v>1200</v>
      </c>
      <c r="G99" s="6" t="s">
        <v>2463</v>
      </c>
      <c r="H99" s="121">
        <v>1434349.2</v>
      </c>
      <c r="I99" s="8" t="s">
        <v>1150</v>
      </c>
      <c r="J99" s="213" t="b">
        <v>0</v>
      </c>
      <c r="K99" s="8"/>
      <c r="L99" s="8" t="s">
        <v>1150</v>
      </c>
    </row>
    <row r="100" spans="1:12">
      <c r="A100" s="6">
        <v>2019</v>
      </c>
      <c r="B100" s="6" t="s">
        <v>827</v>
      </c>
      <c r="C100" s="6" t="s">
        <v>61</v>
      </c>
      <c r="D100" s="6" t="s">
        <v>62</v>
      </c>
      <c r="E100" s="6"/>
      <c r="F100" s="6" t="s">
        <v>2477</v>
      </c>
      <c r="G100" s="6" t="s">
        <v>2478</v>
      </c>
      <c r="H100" s="121">
        <v>1319221.3999999999</v>
      </c>
      <c r="I100" s="8" t="s">
        <v>1150</v>
      </c>
      <c r="J100" s="213" t="b">
        <v>0</v>
      </c>
      <c r="K100" s="8"/>
      <c r="L100" s="8" t="s">
        <v>1150</v>
      </c>
    </row>
    <row r="101" spans="1:12">
      <c r="A101" s="6">
        <v>2019</v>
      </c>
      <c r="B101" s="6" t="s">
        <v>60</v>
      </c>
      <c r="C101" s="6" t="s">
        <v>61</v>
      </c>
      <c r="D101" s="6" t="s">
        <v>62</v>
      </c>
      <c r="E101" s="6"/>
      <c r="F101" s="6" t="s">
        <v>63</v>
      </c>
      <c r="G101" s="6" t="s">
        <v>2511</v>
      </c>
      <c r="H101" s="121">
        <v>3792164.92</v>
      </c>
      <c r="I101" s="8" t="s">
        <v>1150</v>
      </c>
      <c r="J101" s="213" t="b">
        <v>0</v>
      </c>
      <c r="K101" s="8"/>
      <c r="L101" s="8" t="s">
        <v>1150</v>
      </c>
    </row>
    <row r="102" spans="1:12">
      <c r="A102" s="6">
        <v>2019</v>
      </c>
      <c r="B102" s="6" t="s">
        <v>1207</v>
      </c>
      <c r="C102" s="6" t="s">
        <v>61</v>
      </c>
      <c r="D102" s="6" t="s">
        <v>62</v>
      </c>
      <c r="E102" s="6"/>
      <c r="F102" s="6" t="s">
        <v>2513</v>
      </c>
      <c r="G102" s="6" t="s">
        <v>2514</v>
      </c>
      <c r="H102" s="121">
        <v>819000</v>
      </c>
      <c r="I102" s="8" t="s">
        <v>1150</v>
      </c>
      <c r="J102" s="213" t="b">
        <v>0</v>
      </c>
      <c r="K102" s="8"/>
      <c r="L102" s="8" t="s">
        <v>1150</v>
      </c>
    </row>
    <row r="103" spans="1:12">
      <c r="A103" s="6">
        <v>2019</v>
      </c>
      <c r="B103" s="6" t="s">
        <v>1210</v>
      </c>
      <c r="C103" s="6" t="s">
        <v>61</v>
      </c>
      <c r="D103" s="6" t="s">
        <v>62</v>
      </c>
      <c r="E103" s="6"/>
      <c r="F103" s="6" t="s">
        <v>1211</v>
      </c>
      <c r="G103" s="6" t="s">
        <v>2516</v>
      </c>
      <c r="H103" s="121">
        <v>950981.8</v>
      </c>
      <c r="I103" s="8" t="s">
        <v>1150</v>
      </c>
      <c r="J103" s="213" t="b">
        <v>0</v>
      </c>
      <c r="K103" s="8"/>
      <c r="L103" s="8" t="s">
        <v>1150</v>
      </c>
    </row>
    <row r="104" spans="1:12">
      <c r="A104" s="6">
        <v>2019</v>
      </c>
      <c r="B104" s="6" t="s">
        <v>5343</v>
      </c>
      <c r="C104" s="6" t="s">
        <v>61</v>
      </c>
      <c r="D104" s="6" t="s">
        <v>62</v>
      </c>
      <c r="E104" s="6"/>
      <c r="F104" s="6" t="s">
        <v>1220</v>
      </c>
      <c r="G104" s="6" t="s">
        <v>1179</v>
      </c>
      <c r="H104" s="121">
        <v>1717600</v>
      </c>
      <c r="I104" s="8" t="s">
        <v>1150</v>
      </c>
      <c r="J104" s="213" t="b">
        <v>0</v>
      </c>
      <c r="K104" s="8"/>
      <c r="L104" s="8" t="s">
        <v>1150</v>
      </c>
    </row>
    <row r="105" spans="1:12">
      <c r="A105" s="6">
        <v>2019</v>
      </c>
      <c r="B105" s="6" t="s">
        <v>5344</v>
      </c>
      <c r="C105" s="6" t="s">
        <v>61</v>
      </c>
      <c r="D105" s="6" t="s">
        <v>62</v>
      </c>
      <c r="E105" s="6"/>
      <c r="F105" s="6" t="s">
        <v>1222</v>
      </c>
      <c r="G105" s="6" t="s">
        <v>1223</v>
      </c>
      <c r="H105" s="121">
        <v>468445.54</v>
      </c>
      <c r="I105" s="8" t="s">
        <v>1150</v>
      </c>
      <c r="J105" s="213" t="b">
        <v>0</v>
      </c>
      <c r="K105" s="8"/>
      <c r="L105" s="8" t="s">
        <v>1150</v>
      </c>
    </row>
    <row r="106" spans="1:12">
      <c r="A106" s="6">
        <v>2019</v>
      </c>
      <c r="B106" s="6" t="s">
        <v>5345</v>
      </c>
      <c r="C106" s="6" t="s">
        <v>61</v>
      </c>
      <c r="D106" s="6" t="s">
        <v>62</v>
      </c>
      <c r="E106" s="6"/>
      <c r="F106" s="6" t="s">
        <v>1225</v>
      </c>
      <c r="G106" s="6" t="s">
        <v>1226</v>
      </c>
      <c r="H106" s="121">
        <v>495000</v>
      </c>
      <c r="I106" s="8" t="s">
        <v>1150</v>
      </c>
      <c r="J106" s="213" t="b">
        <v>0</v>
      </c>
      <c r="K106" s="8"/>
      <c r="L106" s="8" t="s">
        <v>1150</v>
      </c>
    </row>
    <row r="107" spans="1:12">
      <c r="A107" s="6">
        <v>2019</v>
      </c>
      <c r="B107" s="6" t="s">
        <v>5346</v>
      </c>
      <c r="C107" s="6" t="s">
        <v>61</v>
      </c>
      <c r="D107" s="6" t="s">
        <v>62</v>
      </c>
      <c r="E107" s="6"/>
      <c r="F107" s="6" t="s">
        <v>2652</v>
      </c>
      <c r="G107" s="6" t="s">
        <v>1229</v>
      </c>
      <c r="H107" s="121">
        <v>500000</v>
      </c>
      <c r="I107" s="8" t="s">
        <v>1150</v>
      </c>
      <c r="J107" s="213" t="b">
        <v>0</v>
      </c>
      <c r="K107" s="8"/>
      <c r="L107" s="8" t="s">
        <v>1150</v>
      </c>
    </row>
    <row r="108" spans="1:12">
      <c r="A108" s="5">
        <v>2019</v>
      </c>
      <c r="B108" s="6" t="s">
        <v>22</v>
      </c>
      <c r="C108" s="6" t="s">
        <v>23</v>
      </c>
      <c r="D108" s="6" t="s">
        <v>24</v>
      </c>
      <c r="E108" s="7"/>
      <c r="F108" s="6" t="s">
        <v>38</v>
      </c>
      <c r="G108" s="6" t="s">
        <v>39</v>
      </c>
      <c r="H108" s="215">
        <v>1636971</v>
      </c>
      <c r="I108" s="8" t="s">
        <v>28</v>
      </c>
      <c r="J108" s="213" t="b">
        <v>1</v>
      </c>
      <c r="K108" s="8"/>
      <c r="L108" s="8" t="s">
        <v>5310</v>
      </c>
    </row>
    <row r="109" spans="1:12">
      <c r="A109" s="5">
        <v>2019</v>
      </c>
      <c r="B109" s="5" t="s">
        <v>22</v>
      </c>
      <c r="C109" s="6" t="s">
        <v>23</v>
      </c>
      <c r="D109" s="6" t="s">
        <v>24</v>
      </c>
      <c r="E109" s="7"/>
      <c r="F109" s="6" t="s">
        <v>42</v>
      </c>
      <c r="G109" s="6" t="s">
        <v>43</v>
      </c>
      <c r="H109" s="215">
        <v>3258768</v>
      </c>
      <c r="I109" s="8" t="s">
        <v>28</v>
      </c>
      <c r="J109" s="213" t="b">
        <v>1</v>
      </c>
      <c r="K109" s="8"/>
      <c r="L109" s="8" t="s">
        <v>5310</v>
      </c>
    </row>
    <row r="110" spans="1:12">
      <c r="A110" s="5">
        <v>2019</v>
      </c>
      <c r="B110" s="6" t="s">
        <v>22</v>
      </c>
      <c r="C110" s="6" t="s">
        <v>23</v>
      </c>
      <c r="D110" s="6" t="s">
        <v>24</v>
      </c>
      <c r="E110" s="7"/>
      <c r="F110" s="6" t="s">
        <v>46</v>
      </c>
      <c r="G110" s="6" t="s">
        <v>47</v>
      </c>
      <c r="H110" s="215">
        <v>4019382</v>
      </c>
      <c r="I110" s="8" t="s">
        <v>28</v>
      </c>
      <c r="J110" s="213" t="b">
        <v>1</v>
      </c>
      <c r="K110" s="8"/>
      <c r="L110" s="8" t="s">
        <v>5310</v>
      </c>
    </row>
    <row r="111" spans="1:12">
      <c r="A111" s="5">
        <v>2019</v>
      </c>
      <c r="B111" s="5" t="s">
        <v>22</v>
      </c>
      <c r="C111" s="6" t="s">
        <v>23</v>
      </c>
      <c r="D111" s="6" t="s">
        <v>24</v>
      </c>
      <c r="E111" s="7"/>
      <c r="F111" s="6" t="s">
        <v>50</v>
      </c>
      <c r="G111" s="6" t="s">
        <v>362</v>
      </c>
      <c r="H111" s="215">
        <v>3135851.2</v>
      </c>
      <c r="I111" s="8" t="s">
        <v>28</v>
      </c>
      <c r="J111" s="213" t="b">
        <v>1</v>
      </c>
      <c r="K111" s="8"/>
      <c r="L111" s="8"/>
    </row>
    <row r="112" spans="1:12">
      <c r="A112" s="5">
        <v>2019</v>
      </c>
      <c r="B112" s="6" t="s">
        <v>22</v>
      </c>
      <c r="C112" s="6" t="s">
        <v>23</v>
      </c>
      <c r="D112" s="6" t="s">
        <v>24</v>
      </c>
      <c r="E112" s="7"/>
      <c r="F112" s="6" t="s">
        <v>5347</v>
      </c>
      <c r="G112" s="6" t="s">
        <v>5348</v>
      </c>
      <c r="H112" s="215">
        <v>4999038.84</v>
      </c>
      <c r="I112" s="8" t="s">
        <v>5318</v>
      </c>
      <c r="J112" s="213" t="b">
        <v>0</v>
      </c>
      <c r="K112" s="8"/>
      <c r="L112" s="8" t="s">
        <v>5318</v>
      </c>
    </row>
    <row r="113" spans="1:12">
      <c r="A113" s="5">
        <v>2019</v>
      </c>
      <c r="B113" s="5" t="s">
        <v>22</v>
      </c>
      <c r="C113" s="6" t="s">
        <v>23</v>
      </c>
      <c r="D113" s="6" t="s">
        <v>24</v>
      </c>
      <c r="E113" s="7"/>
      <c r="F113" s="6" t="s">
        <v>5349</v>
      </c>
      <c r="G113" s="6" t="s">
        <v>644</v>
      </c>
      <c r="H113" s="215">
        <v>4814788.5999999996</v>
      </c>
      <c r="I113" s="8" t="s">
        <v>5335</v>
      </c>
      <c r="J113" s="213" t="b">
        <v>0</v>
      </c>
      <c r="K113" s="8"/>
      <c r="L113" s="8" t="s">
        <v>5335</v>
      </c>
    </row>
    <row r="114" spans="1:12">
      <c r="A114" s="5">
        <v>2019</v>
      </c>
      <c r="B114" s="6" t="s">
        <v>22</v>
      </c>
      <c r="C114" s="6" t="s">
        <v>23</v>
      </c>
      <c r="D114" s="6" t="s">
        <v>24</v>
      </c>
      <c r="E114" s="7"/>
      <c r="F114" s="6" t="s">
        <v>5350</v>
      </c>
      <c r="G114" s="6" t="s">
        <v>5351</v>
      </c>
      <c r="H114" s="215">
        <v>5194524.74</v>
      </c>
      <c r="I114" s="8" t="s">
        <v>5318</v>
      </c>
      <c r="J114" s="213" t="b">
        <v>0</v>
      </c>
      <c r="K114" s="8"/>
      <c r="L114" s="8" t="s">
        <v>5318</v>
      </c>
    </row>
    <row r="115" spans="1:12">
      <c r="A115" s="5">
        <v>2019</v>
      </c>
      <c r="B115" s="5" t="s">
        <v>22</v>
      </c>
      <c r="C115" s="6" t="s">
        <v>23</v>
      </c>
      <c r="D115" s="6" t="s">
        <v>24</v>
      </c>
      <c r="E115" s="7"/>
      <c r="F115" s="6" t="s">
        <v>53</v>
      </c>
      <c r="G115" s="6" t="s">
        <v>54</v>
      </c>
      <c r="H115" s="215">
        <v>16926594.199999999</v>
      </c>
      <c r="I115" s="8" t="s">
        <v>28</v>
      </c>
      <c r="J115" s="213" t="b">
        <v>1</v>
      </c>
      <c r="K115" s="8"/>
      <c r="L115" s="8"/>
    </row>
    <row r="116" spans="1:12">
      <c r="A116" s="5">
        <v>2019</v>
      </c>
      <c r="B116" s="6" t="s">
        <v>22</v>
      </c>
      <c r="C116" s="6" t="s">
        <v>23</v>
      </c>
      <c r="D116" s="6" t="s">
        <v>24</v>
      </c>
      <c r="E116" s="7"/>
      <c r="F116" s="6" t="s">
        <v>57</v>
      </c>
      <c r="G116" s="6" t="s">
        <v>5352</v>
      </c>
      <c r="H116" s="215">
        <v>4394800</v>
      </c>
      <c r="I116" s="8" t="s">
        <v>28</v>
      </c>
      <c r="J116" s="213" t="b">
        <v>1</v>
      </c>
      <c r="K116" s="8"/>
      <c r="L116" s="8" t="s">
        <v>5310</v>
      </c>
    </row>
    <row r="117" spans="1:12">
      <c r="A117" s="6">
        <v>2018</v>
      </c>
      <c r="B117" s="61">
        <v>43132</v>
      </c>
      <c r="C117" s="6" t="s">
        <v>925</v>
      </c>
      <c r="D117" s="6" t="s">
        <v>62</v>
      </c>
      <c r="E117" s="6"/>
      <c r="F117" s="6" t="s">
        <v>1242</v>
      </c>
      <c r="G117" s="6" t="s">
        <v>2688</v>
      </c>
      <c r="H117" s="121">
        <v>710458.07</v>
      </c>
      <c r="I117" s="8" t="s">
        <v>1150</v>
      </c>
      <c r="J117" s="213" t="b">
        <v>0</v>
      </c>
      <c r="K117" s="8"/>
      <c r="L117" s="8" t="s">
        <v>1150</v>
      </c>
    </row>
    <row r="118" spans="1:12">
      <c r="A118" s="6">
        <v>2018</v>
      </c>
      <c r="B118" s="61">
        <v>43160</v>
      </c>
      <c r="C118" s="6" t="s">
        <v>925</v>
      </c>
      <c r="D118" s="6" t="s">
        <v>62</v>
      </c>
      <c r="E118" s="6"/>
      <c r="F118" s="6" t="s">
        <v>1244</v>
      </c>
      <c r="G118" s="6" t="s">
        <v>2690</v>
      </c>
      <c r="H118" s="121">
        <v>2839000</v>
      </c>
      <c r="I118" s="8" t="s">
        <v>1150</v>
      </c>
      <c r="J118" s="213" t="b">
        <v>0</v>
      </c>
      <c r="K118" s="8"/>
      <c r="L118" s="8" t="s">
        <v>1150</v>
      </c>
    </row>
    <row r="119" spans="1:12">
      <c r="A119" s="6">
        <v>2018</v>
      </c>
      <c r="B119" s="6" t="s">
        <v>1246</v>
      </c>
      <c r="C119" s="6" t="s">
        <v>925</v>
      </c>
      <c r="D119" s="6" t="s">
        <v>62</v>
      </c>
      <c r="E119" s="6"/>
      <c r="F119" s="6" t="s">
        <v>1247</v>
      </c>
      <c r="G119" s="6" t="s">
        <v>2703</v>
      </c>
      <c r="H119" s="121">
        <v>1170000</v>
      </c>
      <c r="I119" s="8" t="s">
        <v>1150</v>
      </c>
      <c r="J119" s="213" t="b">
        <v>0</v>
      </c>
      <c r="K119" s="8"/>
      <c r="L119" s="8" t="s">
        <v>1150</v>
      </c>
    </row>
    <row r="120" spans="1:12">
      <c r="A120" s="6">
        <v>2018</v>
      </c>
      <c r="B120" s="6" t="s">
        <v>1249</v>
      </c>
      <c r="C120" s="6" t="s">
        <v>925</v>
      </c>
      <c r="D120" s="6" t="s">
        <v>62</v>
      </c>
      <c r="E120" s="6"/>
      <c r="F120" s="6" t="s">
        <v>1250</v>
      </c>
      <c r="G120" s="6" t="s">
        <v>2705</v>
      </c>
      <c r="H120" s="121">
        <v>869853.5</v>
      </c>
      <c r="I120" s="8" t="s">
        <v>1150</v>
      </c>
      <c r="J120" s="213" t="b">
        <v>0</v>
      </c>
      <c r="K120" s="8"/>
      <c r="L120" s="8" t="s">
        <v>1150</v>
      </c>
    </row>
    <row r="121" spans="1:12">
      <c r="A121" s="6">
        <v>2018</v>
      </c>
      <c r="B121" s="6" t="s">
        <v>1252</v>
      </c>
      <c r="C121" s="6" t="s">
        <v>925</v>
      </c>
      <c r="D121" s="6" t="s">
        <v>62</v>
      </c>
      <c r="E121" s="6"/>
      <c r="F121" s="6" t="s">
        <v>1253</v>
      </c>
      <c r="G121" s="6" t="s">
        <v>2748</v>
      </c>
      <c r="H121" s="121">
        <v>1405331.54</v>
      </c>
      <c r="I121" s="8" t="s">
        <v>1150</v>
      </c>
      <c r="J121" s="213" t="b">
        <v>0</v>
      </c>
      <c r="K121" s="8"/>
      <c r="L121" s="8" t="s">
        <v>1150</v>
      </c>
    </row>
    <row r="122" spans="1:12">
      <c r="A122" s="6">
        <v>2018</v>
      </c>
      <c r="B122" s="6" t="s">
        <v>1255</v>
      </c>
      <c r="C122" s="6" t="s">
        <v>925</v>
      </c>
      <c r="D122" s="6" t="s">
        <v>62</v>
      </c>
      <c r="E122" s="6"/>
      <c r="F122" s="6" t="s">
        <v>1256</v>
      </c>
      <c r="G122" s="6" t="s">
        <v>2750</v>
      </c>
      <c r="H122" s="121">
        <v>493709</v>
      </c>
      <c r="I122" s="8" t="s">
        <v>1150</v>
      </c>
      <c r="J122" s="213" t="b">
        <v>0</v>
      </c>
      <c r="K122" s="8"/>
      <c r="L122" s="8" t="s">
        <v>1150</v>
      </c>
    </row>
    <row r="123" spans="1:12">
      <c r="A123" s="6">
        <v>2018</v>
      </c>
      <c r="B123" s="6" t="s">
        <v>1258</v>
      </c>
      <c r="C123" s="6" t="s">
        <v>925</v>
      </c>
      <c r="D123" s="6" t="s">
        <v>62</v>
      </c>
      <c r="E123" s="6"/>
      <c r="F123" s="6" t="s">
        <v>1259</v>
      </c>
      <c r="G123" s="6" t="s">
        <v>2754</v>
      </c>
      <c r="H123" s="121">
        <v>594944</v>
      </c>
      <c r="I123" s="8" t="s">
        <v>1150</v>
      </c>
      <c r="J123" s="213" t="b">
        <v>0</v>
      </c>
      <c r="K123" s="8"/>
      <c r="L123" s="8" t="s">
        <v>1150</v>
      </c>
    </row>
    <row r="124" spans="1:12">
      <c r="A124" s="6">
        <v>2018</v>
      </c>
      <c r="B124" s="6" t="s">
        <v>1274</v>
      </c>
      <c r="C124" s="6" t="s">
        <v>925</v>
      </c>
      <c r="D124" s="6" t="s">
        <v>62</v>
      </c>
      <c r="E124" s="6"/>
      <c r="F124" s="6" t="s">
        <v>1275</v>
      </c>
      <c r="G124" s="6" t="s">
        <v>2788</v>
      </c>
      <c r="H124" s="121">
        <v>1717600</v>
      </c>
      <c r="I124" s="8" t="s">
        <v>1150</v>
      </c>
      <c r="J124" s="213" t="b">
        <v>0</v>
      </c>
      <c r="K124" s="8"/>
      <c r="L124" s="8" t="s">
        <v>1150</v>
      </c>
    </row>
    <row r="125" spans="1:12">
      <c r="A125" s="6">
        <v>2018</v>
      </c>
      <c r="B125" s="6" t="s">
        <v>1277</v>
      </c>
      <c r="C125" s="6" t="s">
        <v>925</v>
      </c>
      <c r="D125" s="6" t="s">
        <v>62</v>
      </c>
      <c r="E125" s="6"/>
      <c r="F125" s="6" t="s">
        <v>1278</v>
      </c>
      <c r="G125" s="6" t="s">
        <v>2802</v>
      </c>
      <c r="H125" s="121">
        <v>366000</v>
      </c>
      <c r="I125" s="8" t="s">
        <v>1150</v>
      </c>
      <c r="J125" s="213" t="b">
        <v>0</v>
      </c>
      <c r="K125" s="8"/>
      <c r="L125" s="8" t="s">
        <v>1150</v>
      </c>
    </row>
    <row r="126" spans="1:12">
      <c r="A126" s="6">
        <v>2018</v>
      </c>
      <c r="B126" s="6" t="s">
        <v>1280</v>
      </c>
      <c r="C126" s="6" t="s">
        <v>925</v>
      </c>
      <c r="D126" s="6" t="s">
        <v>62</v>
      </c>
      <c r="E126" s="6"/>
      <c r="F126" s="6" t="s">
        <v>1281</v>
      </c>
      <c r="G126" s="6" t="s">
        <v>2804</v>
      </c>
      <c r="H126" s="121">
        <v>655630</v>
      </c>
      <c r="I126" s="8" t="s">
        <v>1150</v>
      </c>
      <c r="J126" s="213" t="b">
        <v>0</v>
      </c>
      <c r="K126" s="8"/>
      <c r="L126" s="8" t="s">
        <v>1150</v>
      </c>
    </row>
    <row r="127" spans="1:12">
      <c r="A127" s="6">
        <v>2018</v>
      </c>
      <c r="B127" s="6" t="s">
        <v>1283</v>
      </c>
      <c r="C127" s="6" t="s">
        <v>925</v>
      </c>
      <c r="D127" s="6" t="s">
        <v>62</v>
      </c>
      <c r="E127" s="6"/>
      <c r="F127" s="6" t="s">
        <v>1284</v>
      </c>
      <c r="G127" s="6" t="s">
        <v>2806</v>
      </c>
      <c r="H127" s="121">
        <v>1431166.67</v>
      </c>
      <c r="I127" s="8" t="s">
        <v>1150</v>
      </c>
      <c r="J127" s="213" t="b">
        <v>0</v>
      </c>
      <c r="K127" s="8"/>
      <c r="L127" s="8" t="s">
        <v>1150</v>
      </c>
    </row>
    <row r="128" spans="1:12">
      <c r="A128" s="6">
        <v>2018</v>
      </c>
      <c r="B128" s="6" t="s">
        <v>1286</v>
      </c>
      <c r="C128" s="6" t="s">
        <v>925</v>
      </c>
      <c r="D128" s="6" t="s">
        <v>62</v>
      </c>
      <c r="E128" s="6"/>
      <c r="F128" s="6" t="s">
        <v>1287</v>
      </c>
      <c r="G128" s="6" t="s">
        <v>2820</v>
      </c>
      <c r="H128" s="121">
        <v>3765994.41</v>
      </c>
      <c r="I128" s="8" t="s">
        <v>1150</v>
      </c>
      <c r="J128" s="213" t="b">
        <v>0</v>
      </c>
      <c r="K128" s="8"/>
      <c r="L128" s="8" t="s">
        <v>1150</v>
      </c>
    </row>
    <row r="129" spans="1:12">
      <c r="A129" s="6">
        <v>2018</v>
      </c>
      <c r="B129" s="6" t="s">
        <v>1289</v>
      </c>
      <c r="C129" s="6" t="s">
        <v>925</v>
      </c>
      <c r="D129" s="6" t="s">
        <v>62</v>
      </c>
      <c r="E129" s="6"/>
      <c r="F129" s="6" t="s">
        <v>1242</v>
      </c>
      <c r="G129" s="6" t="s">
        <v>2826</v>
      </c>
      <c r="H129" s="121">
        <v>710458.07</v>
      </c>
      <c r="I129" s="8" t="s">
        <v>1150</v>
      </c>
      <c r="J129" s="213" t="b">
        <v>0</v>
      </c>
      <c r="K129" s="8"/>
      <c r="L129" s="8" t="s">
        <v>1150</v>
      </c>
    </row>
    <row r="130" spans="1:12">
      <c r="A130" s="6">
        <v>2018</v>
      </c>
      <c r="B130" s="6" t="s">
        <v>1294</v>
      </c>
      <c r="C130" s="6" t="s">
        <v>925</v>
      </c>
      <c r="D130" s="6" t="s">
        <v>76</v>
      </c>
      <c r="E130" s="6"/>
      <c r="F130" s="6" t="s">
        <v>2934</v>
      </c>
      <c r="G130" s="6" t="s">
        <v>1296</v>
      </c>
      <c r="H130" s="121"/>
      <c r="I130" s="121"/>
      <c r="J130" s="213" t="b">
        <v>0</v>
      </c>
      <c r="K130" s="8"/>
      <c r="L130" s="8" t="s">
        <v>5353</v>
      </c>
    </row>
    <row r="131" spans="1:12">
      <c r="A131" s="5">
        <v>2018</v>
      </c>
      <c r="B131" s="6" t="s">
        <v>22</v>
      </c>
      <c r="C131" s="6" t="s">
        <v>23</v>
      </c>
      <c r="D131" s="6" t="s">
        <v>24</v>
      </c>
      <c r="E131" s="7"/>
      <c r="F131" s="6" t="s">
        <v>5354</v>
      </c>
      <c r="G131" s="6" t="s">
        <v>5355</v>
      </c>
      <c r="H131" s="8">
        <v>3452392</v>
      </c>
      <c r="I131" s="8"/>
      <c r="J131" s="213" t="b">
        <v>0</v>
      </c>
      <c r="K131" s="8"/>
      <c r="L131" s="8" t="s">
        <v>5334</v>
      </c>
    </row>
    <row r="132" spans="1:12">
      <c r="A132" s="5">
        <v>2018</v>
      </c>
      <c r="B132" s="5" t="s">
        <v>22</v>
      </c>
      <c r="C132" s="6" t="s">
        <v>23</v>
      </c>
      <c r="D132" s="6" t="s">
        <v>24</v>
      </c>
      <c r="E132" s="7"/>
      <c r="F132" s="6" t="s">
        <v>5356</v>
      </c>
      <c r="G132" s="6" t="s">
        <v>5357</v>
      </c>
      <c r="H132" s="8">
        <v>3555283.2</v>
      </c>
      <c r="I132" s="8" t="s">
        <v>5318</v>
      </c>
      <c r="J132" s="213" t="b">
        <v>0</v>
      </c>
      <c r="K132" s="8"/>
      <c r="L132" s="8" t="s">
        <v>5318</v>
      </c>
    </row>
    <row r="133" spans="1:12">
      <c r="A133" s="5">
        <v>2018</v>
      </c>
      <c r="B133" s="6" t="s">
        <v>22</v>
      </c>
      <c r="C133" s="6" t="s">
        <v>23</v>
      </c>
      <c r="D133" s="6" t="s">
        <v>24</v>
      </c>
      <c r="E133" s="7"/>
      <c r="F133" s="6" t="s">
        <v>5358</v>
      </c>
      <c r="G133" s="6" t="s">
        <v>5359</v>
      </c>
      <c r="H133" s="8">
        <v>5742973.2000000002</v>
      </c>
      <c r="I133" s="8" t="s">
        <v>5318</v>
      </c>
      <c r="J133" s="213" t="b">
        <v>0</v>
      </c>
      <c r="K133" s="8"/>
      <c r="L133" s="8" t="s">
        <v>5318</v>
      </c>
    </row>
    <row r="134" spans="1:12">
      <c r="A134" s="5">
        <v>2018</v>
      </c>
      <c r="B134" s="5" t="s">
        <v>22</v>
      </c>
      <c r="C134" s="6" t="s">
        <v>23</v>
      </c>
      <c r="D134" s="6" t="s">
        <v>24</v>
      </c>
      <c r="E134" s="7"/>
      <c r="F134" s="6" t="s">
        <v>5360</v>
      </c>
      <c r="G134" s="6" t="s">
        <v>5361</v>
      </c>
      <c r="H134" s="8">
        <v>2164460.7999999998</v>
      </c>
      <c r="I134" s="8" t="s">
        <v>5335</v>
      </c>
      <c r="J134" s="213" t="b">
        <v>0</v>
      </c>
      <c r="K134" s="8"/>
      <c r="L134" s="8" t="s">
        <v>5335</v>
      </c>
    </row>
    <row r="135" spans="1:12">
      <c r="A135" s="5">
        <v>2018</v>
      </c>
      <c r="B135" s="6" t="s">
        <v>22</v>
      </c>
      <c r="C135" s="6" t="s">
        <v>23</v>
      </c>
      <c r="D135" s="6" t="s">
        <v>24</v>
      </c>
      <c r="E135" s="7"/>
      <c r="F135" s="6" t="s">
        <v>5362</v>
      </c>
      <c r="G135" s="6" t="s">
        <v>5363</v>
      </c>
      <c r="H135" s="8">
        <v>2113031</v>
      </c>
      <c r="I135" s="8" t="s">
        <v>5318</v>
      </c>
      <c r="J135" s="213" t="b">
        <v>0</v>
      </c>
      <c r="K135" s="8"/>
      <c r="L135" s="8" t="s">
        <v>5318</v>
      </c>
    </row>
    <row r="136" spans="1:12">
      <c r="A136" s="5">
        <v>2018</v>
      </c>
      <c r="B136" s="5" t="s">
        <v>22</v>
      </c>
      <c r="C136" s="6" t="s">
        <v>23</v>
      </c>
      <c r="D136" s="6" t="s">
        <v>24</v>
      </c>
      <c r="E136" s="7"/>
      <c r="F136" s="6" t="s">
        <v>5364</v>
      </c>
      <c r="G136" s="6" t="s">
        <v>5365</v>
      </c>
      <c r="H136" s="8">
        <v>4406319.6500000004</v>
      </c>
      <c r="I136" s="8" t="s">
        <v>5335</v>
      </c>
      <c r="J136" s="213" t="b">
        <v>0</v>
      </c>
      <c r="K136" s="8"/>
      <c r="L136" s="8" t="s">
        <v>5335</v>
      </c>
    </row>
    <row r="137" spans="1:12">
      <c r="A137" s="5">
        <v>2018</v>
      </c>
      <c r="B137" s="6" t="s">
        <v>22</v>
      </c>
      <c r="C137" s="6" t="s">
        <v>23</v>
      </c>
      <c r="D137" s="6" t="s">
        <v>24</v>
      </c>
      <c r="E137" s="7"/>
      <c r="F137" s="6" t="s">
        <v>25</v>
      </c>
      <c r="G137" s="6" t="s">
        <v>26</v>
      </c>
      <c r="H137" s="8">
        <v>4999045</v>
      </c>
      <c r="I137" s="8" t="s">
        <v>28</v>
      </c>
      <c r="J137" s="213" t="b">
        <v>1</v>
      </c>
      <c r="K137" s="8"/>
      <c r="L137" s="8" t="s">
        <v>5310</v>
      </c>
    </row>
    <row r="138" spans="1:12">
      <c r="A138" s="5">
        <v>2018</v>
      </c>
      <c r="B138" s="5" t="s">
        <v>22</v>
      </c>
      <c r="C138" s="6" t="s">
        <v>23</v>
      </c>
      <c r="D138" s="6" t="s">
        <v>24</v>
      </c>
      <c r="E138" s="7"/>
      <c r="F138" s="6" t="s">
        <v>5366</v>
      </c>
      <c r="G138" s="6" t="s">
        <v>5367</v>
      </c>
      <c r="H138" s="8">
        <v>3635732</v>
      </c>
      <c r="I138" s="8"/>
      <c r="J138" s="213" t="b">
        <v>0</v>
      </c>
      <c r="K138" s="8"/>
      <c r="L138" s="8" t="s">
        <v>5334</v>
      </c>
    </row>
    <row r="139" spans="1:12">
      <c r="A139" s="5">
        <v>2018</v>
      </c>
      <c r="B139" s="6" t="s">
        <v>22</v>
      </c>
      <c r="C139" s="6" t="s">
        <v>23</v>
      </c>
      <c r="D139" s="6" t="s">
        <v>24</v>
      </c>
      <c r="E139" s="7"/>
      <c r="F139" s="6" t="s">
        <v>30</v>
      </c>
      <c r="G139" s="6" t="s">
        <v>5368</v>
      </c>
      <c r="H139" s="8">
        <v>3058155.2</v>
      </c>
      <c r="I139" s="8" t="s">
        <v>28</v>
      </c>
      <c r="J139" s="213" t="b">
        <v>1</v>
      </c>
      <c r="K139" s="8"/>
      <c r="L139" s="8" t="s">
        <v>5310</v>
      </c>
    </row>
    <row r="140" spans="1:12">
      <c r="A140" s="5">
        <v>2018</v>
      </c>
      <c r="B140" s="5" t="s">
        <v>22</v>
      </c>
      <c r="C140" s="6" t="s">
        <v>23</v>
      </c>
      <c r="D140" s="6" t="s">
        <v>24</v>
      </c>
      <c r="E140" s="7"/>
      <c r="F140" s="6" t="s">
        <v>34</v>
      </c>
      <c r="G140" s="6" t="s">
        <v>5369</v>
      </c>
      <c r="H140" s="8">
        <v>3551018</v>
      </c>
      <c r="I140" s="8" t="s">
        <v>28</v>
      </c>
      <c r="J140" s="213" t="b">
        <v>1</v>
      </c>
      <c r="K140" s="8"/>
      <c r="L140" s="8" t="s">
        <v>5310</v>
      </c>
    </row>
    <row r="141" spans="1:12">
      <c r="A141" s="5">
        <v>2018</v>
      </c>
      <c r="B141" s="6" t="s">
        <v>22</v>
      </c>
      <c r="C141" s="6" t="s">
        <v>23</v>
      </c>
      <c r="D141" s="6" t="s">
        <v>24</v>
      </c>
      <c r="E141" s="7"/>
      <c r="F141" s="6" t="s">
        <v>5370</v>
      </c>
      <c r="G141" s="6" t="s">
        <v>5371</v>
      </c>
      <c r="H141" s="8">
        <v>3888581.6</v>
      </c>
      <c r="I141" s="8" t="s">
        <v>5318</v>
      </c>
      <c r="J141" s="213" t="b">
        <v>0</v>
      </c>
      <c r="K141" s="8"/>
      <c r="L141" s="8" t="s">
        <v>5318</v>
      </c>
    </row>
    <row r="142" spans="1:12">
      <c r="A142" s="5">
        <v>2018</v>
      </c>
      <c r="B142" s="5" t="s">
        <v>22</v>
      </c>
      <c r="C142" s="6" t="s">
        <v>23</v>
      </c>
      <c r="D142" s="6" t="s">
        <v>24</v>
      </c>
      <c r="E142" s="7"/>
      <c r="F142" s="6" t="s">
        <v>5372</v>
      </c>
      <c r="G142" s="6" t="s">
        <v>5373</v>
      </c>
      <c r="H142" s="8">
        <v>4030446.84</v>
      </c>
      <c r="I142" s="8" t="s">
        <v>5318</v>
      </c>
      <c r="J142" s="213" t="b">
        <v>0</v>
      </c>
      <c r="K142" s="8"/>
      <c r="L142" s="8" t="s">
        <v>5318</v>
      </c>
    </row>
    <row r="143" spans="1:12">
      <c r="A143" s="6">
        <v>2017</v>
      </c>
      <c r="B143" s="6" t="s">
        <v>3150</v>
      </c>
      <c r="C143" s="6" t="s">
        <v>61</v>
      </c>
      <c r="D143" s="6" t="s">
        <v>62</v>
      </c>
      <c r="E143" s="6"/>
      <c r="F143" s="6" t="s">
        <v>3151</v>
      </c>
      <c r="G143" s="6" t="s">
        <v>3152</v>
      </c>
      <c r="H143" s="121">
        <v>712468.76</v>
      </c>
      <c r="I143" s="8" t="s">
        <v>1150</v>
      </c>
      <c r="J143" s="213" t="b">
        <v>0</v>
      </c>
      <c r="K143" s="8"/>
      <c r="L143" s="8" t="s">
        <v>1150</v>
      </c>
    </row>
    <row r="144" spans="1:12">
      <c r="A144" s="6">
        <v>2017</v>
      </c>
      <c r="B144" s="6" t="s">
        <v>3175</v>
      </c>
      <c r="C144" s="6" t="s">
        <v>61</v>
      </c>
      <c r="D144" s="6" t="s">
        <v>62</v>
      </c>
      <c r="E144" s="6"/>
      <c r="F144" s="6" t="s">
        <v>3176</v>
      </c>
      <c r="G144" s="6" t="s">
        <v>3177</v>
      </c>
      <c r="H144" s="121">
        <v>777970</v>
      </c>
      <c r="I144" s="8" t="s">
        <v>1150</v>
      </c>
      <c r="J144" s="213" t="b">
        <v>0</v>
      </c>
      <c r="K144" s="8"/>
      <c r="L144" s="8" t="s">
        <v>1150</v>
      </c>
    </row>
    <row r="145" spans="1:12">
      <c r="A145" s="6">
        <v>2017</v>
      </c>
      <c r="B145" s="6" t="s">
        <v>3179</v>
      </c>
      <c r="C145" s="6" t="s">
        <v>61</v>
      </c>
      <c r="D145" s="6" t="s">
        <v>62</v>
      </c>
      <c r="E145" s="6"/>
      <c r="F145" s="6" t="s">
        <v>3180</v>
      </c>
      <c r="G145" s="6" t="s">
        <v>3181</v>
      </c>
      <c r="H145" s="121">
        <v>2987995</v>
      </c>
      <c r="I145" s="8" t="s">
        <v>1150</v>
      </c>
      <c r="J145" s="213" t="b">
        <v>0</v>
      </c>
      <c r="K145" s="8"/>
      <c r="L145" s="8" t="s">
        <v>1150</v>
      </c>
    </row>
    <row r="146" spans="1:12">
      <c r="A146" s="6">
        <v>2017</v>
      </c>
      <c r="B146" s="6" t="s">
        <v>3199</v>
      </c>
      <c r="C146" s="6" t="s">
        <v>61</v>
      </c>
      <c r="D146" s="6" t="s">
        <v>62</v>
      </c>
      <c r="E146" s="6"/>
      <c r="F146" s="6" t="s">
        <v>3200</v>
      </c>
      <c r="G146" s="6" t="s">
        <v>3201</v>
      </c>
      <c r="H146" s="121">
        <v>1428000</v>
      </c>
      <c r="I146" s="8" t="s">
        <v>1150</v>
      </c>
      <c r="J146" s="213" t="b">
        <v>0</v>
      </c>
      <c r="K146" s="8"/>
      <c r="L146" s="8" t="s">
        <v>1150</v>
      </c>
    </row>
    <row r="147" spans="1:12">
      <c r="A147" s="6">
        <v>2017</v>
      </c>
      <c r="B147" s="6" t="s">
        <v>3230</v>
      </c>
      <c r="C147" s="6" t="s">
        <v>61</v>
      </c>
      <c r="D147" s="6" t="s">
        <v>125</v>
      </c>
      <c r="E147" s="6"/>
      <c r="F147" s="6" t="s">
        <v>807</v>
      </c>
      <c r="G147" s="6" t="s">
        <v>811</v>
      </c>
      <c r="H147" s="121">
        <v>500000</v>
      </c>
      <c r="I147" s="8" t="s">
        <v>1150</v>
      </c>
      <c r="J147" s="213" t="b">
        <v>0</v>
      </c>
      <c r="K147" s="8"/>
      <c r="L147" s="8" t="s">
        <v>1150</v>
      </c>
    </row>
    <row r="148" spans="1:12">
      <c r="A148" s="6">
        <v>2017</v>
      </c>
      <c r="B148" s="6" t="s">
        <v>3252</v>
      </c>
      <c r="C148" s="6" t="s">
        <v>61</v>
      </c>
      <c r="D148" s="6" t="s">
        <v>62</v>
      </c>
      <c r="E148" s="6"/>
      <c r="F148" s="6" t="s">
        <v>3253</v>
      </c>
      <c r="G148" s="6" t="s">
        <v>3254</v>
      </c>
      <c r="H148" s="121">
        <v>1328975.1200000001</v>
      </c>
      <c r="I148" s="8" t="s">
        <v>1150</v>
      </c>
      <c r="J148" s="213" t="b">
        <v>0</v>
      </c>
      <c r="K148" s="8"/>
      <c r="L148" s="8" t="s">
        <v>1150</v>
      </c>
    </row>
    <row r="149" spans="1:12">
      <c r="A149" s="6">
        <v>2017</v>
      </c>
      <c r="B149" s="6" t="s">
        <v>3432</v>
      </c>
      <c r="C149" s="6" t="s">
        <v>61</v>
      </c>
      <c r="D149" s="6" t="s">
        <v>62</v>
      </c>
      <c r="E149" s="6"/>
      <c r="F149" s="6" t="s">
        <v>3433</v>
      </c>
      <c r="G149" s="6" t="s">
        <v>3434</v>
      </c>
      <c r="H149" s="121">
        <v>793460</v>
      </c>
      <c r="I149" s="8" t="s">
        <v>1150</v>
      </c>
      <c r="J149" s="213" t="b">
        <v>0</v>
      </c>
      <c r="K149" s="8"/>
      <c r="L149" s="8" t="s">
        <v>1150</v>
      </c>
    </row>
    <row r="150" spans="1:12">
      <c r="A150" s="5">
        <v>2017</v>
      </c>
      <c r="B150" s="6" t="s">
        <v>22</v>
      </c>
      <c r="C150" s="6" t="s">
        <v>23</v>
      </c>
      <c r="D150" s="6" t="s">
        <v>24</v>
      </c>
      <c r="E150" s="7"/>
      <c r="F150" s="6" t="s">
        <v>363</v>
      </c>
      <c r="G150" s="6" t="s">
        <v>5374</v>
      </c>
      <c r="H150" s="8">
        <v>4294326.4000000004</v>
      </c>
      <c r="I150" s="8" t="s">
        <v>28</v>
      </c>
      <c r="J150" s="213" t="b">
        <v>1</v>
      </c>
      <c r="K150" s="8"/>
      <c r="L150" s="8"/>
    </row>
    <row r="151" spans="1:12">
      <c r="A151" s="5">
        <v>2017</v>
      </c>
      <c r="B151" s="5" t="s">
        <v>22</v>
      </c>
      <c r="C151" s="6" t="s">
        <v>23</v>
      </c>
      <c r="D151" s="6" t="s">
        <v>24</v>
      </c>
      <c r="E151" s="7"/>
      <c r="F151" s="6" t="s">
        <v>5375</v>
      </c>
      <c r="G151" s="6" t="s">
        <v>5376</v>
      </c>
      <c r="H151" s="8">
        <v>4129210.4</v>
      </c>
      <c r="I151" s="8" t="s">
        <v>5334</v>
      </c>
      <c r="J151" s="213" t="b">
        <v>0</v>
      </c>
      <c r="K151" s="8"/>
      <c r="L151" s="8" t="s">
        <v>5334</v>
      </c>
    </row>
    <row r="152" spans="1:12">
      <c r="A152" s="5">
        <v>2017</v>
      </c>
      <c r="B152" s="6" t="s">
        <v>22</v>
      </c>
      <c r="C152" s="6" t="s">
        <v>23</v>
      </c>
      <c r="D152" s="6" t="s">
        <v>24</v>
      </c>
      <c r="E152" s="7"/>
      <c r="F152" s="6" t="s">
        <v>5377</v>
      </c>
      <c r="G152" s="6" t="s">
        <v>5378</v>
      </c>
      <c r="H152" s="8">
        <v>5626645.2000000002</v>
      </c>
      <c r="I152" s="8" t="s">
        <v>5334</v>
      </c>
      <c r="J152" s="213" t="b">
        <v>0</v>
      </c>
      <c r="K152" s="8"/>
      <c r="L152" s="8" t="s">
        <v>5334</v>
      </c>
    </row>
    <row r="153" spans="1:12">
      <c r="A153" s="5">
        <v>2017</v>
      </c>
      <c r="B153" s="5" t="s">
        <v>22</v>
      </c>
      <c r="C153" s="6" t="s">
        <v>23</v>
      </c>
      <c r="D153" s="6" t="s">
        <v>24</v>
      </c>
      <c r="E153" s="7"/>
      <c r="F153" s="6" t="s">
        <v>5379</v>
      </c>
      <c r="G153" s="6" t="s">
        <v>5380</v>
      </c>
      <c r="H153" s="8">
        <v>11829572</v>
      </c>
      <c r="I153" s="8" t="s">
        <v>5318</v>
      </c>
      <c r="J153" s="213" t="b">
        <v>0</v>
      </c>
      <c r="K153" s="8"/>
      <c r="L153" s="8" t="s">
        <v>5318</v>
      </c>
    </row>
    <row r="154" spans="1:12">
      <c r="A154" s="5">
        <v>2017</v>
      </c>
      <c r="B154" s="6" t="s">
        <v>22</v>
      </c>
      <c r="C154" s="6" t="s">
        <v>23</v>
      </c>
      <c r="D154" s="6" t="s">
        <v>24</v>
      </c>
      <c r="E154" s="7"/>
      <c r="F154" s="6" t="s">
        <v>5381</v>
      </c>
      <c r="G154" s="6" t="s">
        <v>5367</v>
      </c>
      <c r="H154" s="8">
        <v>2592886.4</v>
      </c>
      <c r="I154" s="8"/>
      <c r="J154" s="213" t="b">
        <v>0</v>
      </c>
      <c r="K154" s="8"/>
      <c r="L154" s="8" t="s">
        <v>5334</v>
      </c>
    </row>
    <row r="155" spans="1:12">
      <c r="A155" s="5">
        <v>2017</v>
      </c>
      <c r="B155" s="5" t="s">
        <v>22</v>
      </c>
      <c r="C155" s="6" t="s">
        <v>23</v>
      </c>
      <c r="D155" s="6" t="s">
        <v>24</v>
      </c>
      <c r="E155" s="7"/>
      <c r="F155" s="6" t="s">
        <v>5382</v>
      </c>
      <c r="G155" s="6" t="s">
        <v>5383</v>
      </c>
      <c r="H155" s="8">
        <v>2500000</v>
      </c>
      <c r="I155" s="8" t="s">
        <v>5335</v>
      </c>
      <c r="J155" s="213" t="b">
        <v>0</v>
      </c>
      <c r="K155" s="8"/>
      <c r="L155" s="8" t="s">
        <v>5335</v>
      </c>
    </row>
    <row r="156" spans="1:12">
      <c r="A156" s="5">
        <v>2017</v>
      </c>
      <c r="B156" s="6" t="s">
        <v>22</v>
      </c>
      <c r="C156" s="6" t="s">
        <v>23</v>
      </c>
      <c r="D156" s="6" t="s">
        <v>24</v>
      </c>
      <c r="E156" s="7"/>
      <c r="F156" s="6" t="s">
        <v>5384</v>
      </c>
      <c r="G156" s="6" t="s">
        <v>5385</v>
      </c>
      <c r="H156" s="8">
        <v>2854484.8</v>
      </c>
      <c r="I156" s="8" t="s">
        <v>5318</v>
      </c>
      <c r="J156" s="213" t="b">
        <v>0</v>
      </c>
      <c r="K156" s="8"/>
      <c r="L156" s="8" t="s">
        <v>5318</v>
      </c>
    </row>
    <row r="157" spans="1:12">
      <c r="A157" s="5">
        <v>2017</v>
      </c>
      <c r="B157" s="5" t="s">
        <v>22</v>
      </c>
      <c r="C157" s="6" t="s">
        <v>23</v>
      </c>
      <c r="D157" s="6" t="s">
        <v>24</v>
      </c>
      <c r="E157" s="7"/>
      <c r="F157" s="6" t="s">
        <v>5386</v>
      </c>
      <c r="G157" s="6" t="s">
        <v>5387</v>
      </c>
      <c r="H157" s="8">
        <v>2982445.6</v>
      </c>
      <c r="I157" s="8" t="s">
        <v>5318</v>
      </c>
      <c r="J157" s="213" t="b">
        <v>0</v>
      </c>
      <c r="K157" s="8"/>
      <c r="L157" s="8" t="s">
        <v>5318</v>
      </c>
    </row>
    <row r="158" spans="1:12">
      <c r="A158" s="5">
        <v>2017</v>
      </c>
      <c r="B158" s="6" t="s">
        <v>22</v>
      </c>
      <c r="C158" s="6" t="s">
        <v>23</v>
      </c>
      <c r="D158" s="6" t="s">
        <v>24</v>
      </c>
      <c r="E158" s="7"/>
      <c r="F158" s="6" t="s">
        <v>5388</v>
      </c>
      <c r="G158" s="6" t="s">
        <v>5389</v>
      </c>
      <c r="H158" s="8">
        <v>2430145.6</v>
      </c>
      <c r="I158" s="8" t="s">
        <v>5318</v>
      </c>
      <c r="J158" s="213" t="b">
        <v>0</v>
      </c>
      <c r="K158" s="8"/>
      <c r="L158" s="8" t="s">
        <v>5318</v>
      </c>
    </row>
    <row r="159" spans="1:12">
      <c r="A159" s="5">
        <v>2017</v>
      </c>
      <c r="B159" s="5" t="s">
        <v>22</v>
      </c>
      <c r="C159" s="6" t="s">
        <v>23</v>
      </c>
      <c r="D159" s="6" t="s">
        <v>24</v>
      </c>
      <c r="E159" s="7"/>
      <c r="F159" s="6" t="s">
        <v>366</v>
      </c>
      <c r="G159" s="6" t="s">
        <v>5390</v>
      </c>
      <c r="H159" s="8">
        <v>1892235</v>
      </c>
      <c r="I159" s="8" t="s">
        <v>28</v>
      </c>
      <c r="J159" s="213" t="b">
        <v>1</v>
      </c>
      <c r="K159" s="8"/>
      <c r="L159" s="8" t="s">
        <v>5310</v>
      </c>
    </row>
    <row r="160" spans="1:12">
      <c r="A160" s="5">
        <v>2017</v>
      </c>
      <c r="B160" s="6" t="s">
        <v>22</v>
      </c>
      <c r="C160" s="6" t="s">
        <v>23</v>
      </c>
      <c r="D160" s="6" t="s">
        <v>24</v>
      </c>
      <c r="E160" s="7"/>
      <c r="F160" s="6" t="s">
        <v>5391</v>
      </c>
      <c r="G160" s="6" t="s">
        <v>5392</v>
      </c>
      <c r="H160" s="8">
        <v>3846007.4</v>
      </c>
      <c r="I160" s="8" t="s">
        <v>5335</v>
      </c>
      <c r="J160" s="213" t="b">
        <v>0</v>
      </c>
      <c r="K160" s="8"/>
      <c r="L160" s="8" t="s">
        <v>5335</v>
      </c>
    </row>
    <row r="161" spans="1:12">
      <c r="A161" s="5">
        <v>2017</v>
      </c>
      <c r="B161" s="5" t="s">
        <v>22</v>
      </c>
      <c r="C161" s="6" t="s">
        <v>23</v>
      </c>
      <c r="D161" s="6" t="s">
        <v>24</v>
      </c>
      <c r="E161" s="7"/>
      <c r="F161" s="6" t="s">
        <v>5393</v>
      </c>
      <c r="G161" s="6" t="s">
        <v>5394</v>
      </c>
      <c r="H161" s="8">
        <v>3766768</v>
      </c>
      <c r="I161" s="8" t="s">
        <v>5318</v>
      </c>
      <c r="J161" s="213" t="b">
        <v>0</v>
      </c>
      <c r="K161" s="8"/>
      <c r="L161" s="8" t="s">
        <v>5318</v>
      </c>
    </row>
    <row r="162" spans="1:12">
      <c r="A162" s="6">
        <v>2016</v>
      </c>
      <c r="B162" s="61">
        <v>42401</v>
      </c>
      <c r="C162" s="6" t="s">
        <v>61</v>
      </c>
      <c r="D162" s="6" t="s">
        <v>62</v>
      </c>
      <c r="E162" s="6"/>
      <c r="F162" s="6" t="s">
        <v>3507</v>
      </c>
      <c r="G162" s="6" t="s">
        <v>3508</v>
      </c>
      <c r="H162" s="121">
        <v>2000000</v>
      </c>
      <c r="I162" s="8" t="s">
        <v>1150</v>
      </c>
      <c r="J162" s="213" t="b">
        <v>0</v>
      </c>
      <c r="K162" s="8"/>
      <c r="L162" s="8" t="s">
        <v>1150</v>
      </c>
    </row>
    <row r="163" spans="1:12">
      <c r="A163" s="6">
        <v>2016</v>
      </c>
      <c r="B163" s="6" t="s">
        <v>3545</v>
      </c>
      <c r="C163" s="6" t="s">
        <v>61</v>
      </c>
      <c r="D163" s="6" t="s">
        <v>62</v>
      </c>
      <c r="E163" s="6"/>
      <c r="F163" s="6" t="s">
        <v>3546</v>
      </c>
      <c r="G163" s="6" t="s">
        <v>3547</v>
      </c>
      <c r="H163" s="121">
        <v>715000</v>
      </c>
      <c r="I163" s="8" t="s">
        <v>1150</v>
      </c>
      <c r="J163" s="213" t="b">
        <v>0</v>
      </c>
      <c r="K163" s="8"/>
      <c r="L163" s="8" t="s">
        <v>1150</v>
      </c>
    </row>
    <row r="164" spans="1:12">
      <c r="A164" s="6">
        <v>2016</v>
      </c>
      <c r="B164" s="6" t="s">
        <v>3697</v>
      </c>
      <c r="C164" s="6" t="s">
        <v>61</v>
      </c>
      <c r="D164" s="6" t="s">
        <v>62</v>
      </c>
      <c r="E164" s="6"/>
      <c r="F164" s="6" t="s">
        <v>3698</v>
      </c>
      <c r="G164" s="6" t="s">
        <v>3699</v>
      </c>
      <c r="H164" s="121">
        <v>1065240</v>
      </c>
      <c r="I164" s="8" t="s">
        <v>1150</v>
      </c>
      <c r="J164" s="213" t="b">
        <v>0</v>
      </c>
      <c r="K164" s="8"/>
      <c r="L164" s="8" t="s">
        <v>1150</v>
      </c>
    </row>
    <row r="165" spans="1:12">
      <c r="A165" s="6">
        <v>2016</v>
      </c>
      <c r="B165" s="6" t="s">
        <v>3749</v>
      </c>
      <c r="C165" s="6" t="s">
        <v>61</v>
      </c>
      <c r="D165" s="6" t="s">
        <v>62</v>
      </c>
      <c r="E165" s="6"/>
      <c r="F165" s="6" t="s">
        <v>3750</v>
      </c>
      <c r="G165" s="6" t="s">
        <v>3751</v>
      </c>
      <c r="H165" s="121">
        <v>1986200</v>
      </c>
      <c r="I165" s="8" t="s">
        <v>1150</v>
      </c>
      <c r="J165" s="213" t="b">
        <v>0</v>
      </c>
      <c r="K165" s="8"/>
      <c r="L165" s="8" t="s">
        <v>1150</v>
      </c>
    </row>
    <row r="166" spans="1:12">
      <c r="A166" s="6">
        <v>2016</v>
      </c>
      <c r="B166" s="6" t="s">
        <v>3753</v>
      </c>
      <c r="C166" s="6" t="s">
        <v>61</v>
      </c>
      <c r="D166" s="6" t="s">
        <v>62</v>
      </c>
      <c r="E166" s="6"/>
      <c r="F166" s="6" t="s">
        <v>3754</v>
      </c>
      <c r="G166" s="6" t="s">
        <v>5395</v>
      </c>
      <c r="H166" s="121">
        <v>1923000</v>
      </c>
      <c r="I166" s="8" t="s">
        <v>1150</v>
      </c>
      <c r="J166" s="213" t="b">
        <v>0</v>
      </c>
      <c r="K166" s="8"/>
      <c r="L166" s="8" t="s">
        <v>1150</v>
      </c>
    </row>
    <row r="167" spans="1:12">
      <c r="A167" s="6">
        <v>2016</v>
      </c>
      <c r="B167" s="6" t="s">
        <v>3761</v>
      </c>
      <c r="C167" s="6" t="s">
        <v>61</v>
      </c>
      <c r="D167" s="6" t="s">
        <v>62</v>
      </c>
      <c r="E167" s="6"/>
      <c r="F167" s="6" t="s">
        <v>3433</v>
      </c>
      <c r="G167" s="6" t="s">
        <v>3762</v>
      </c>
      <c r="H167" s="121">
        <v>793460</v>
      </c>
      <c r="I167" s="8" t="s">
        <v>1150</v>
      </c>
      <c r="J167" s="213" t="b">
        <v>0</v>
      </c>
      <c r="K167" s="8"/>
      <c r="L167" s="8" t="s">
        <v>1150</v>
      </c>
    </row>
    <row r="168" spans="1:12">
      <c r="A168" s="6">
        <v>2016</v>
      </c>
      <c r="B168" s="6" t="s">
        <v>3802</v>
      </c>
      <c r="C168" s="6" t="s">
        <v>61</v>
      </c>
      <c r="D168" s="6" t="s">
        <v>62</v>
      </c>
      <c r="E168" s="6"/>
      <c r="F168" s="6" t="s">
        <v>5396</v>
      </c>
      <c r="G168" s="6" t="s">
        <v>3804</v>
      </c>
      <c r="H168" s="121">
        <v>6232775</v>
      </c>
      <c r="I168" s="8" t="s">
        <v>1150</v>
      </c>
      <c r="J168" s="213" t="b">
        <v>0</v>
      </c>
      <c r="K168" s="8"/>
      <c r="L168" s="8" t="s">
        <v>1150</v>
      </c>
    </row>
    <row r="169" spans="1:12">
      <c r="A169" s="6">
        <v>2016</v>
      </c>
      <c r="B169" s="6" t="s">
        <v>3806</v>
      </c>
      <c r="C169" s="6" t="s">
        <v>61</v>
      </c>
      <c r="D169" s="6" t="s">
        <v>62</v>
      </c>
      <c r="E169" s="6"/>
      <c r="F169" s="6" t="s">
        <v>3807</v>
      </c>
      <c r="G169" s="6" t="s">
        <v>3808</v>
      </c>
      <c r="H169" s="121">
        <v>1297977.67</v>
      </c>
      <c r="I169" s="8" t="s">
        <v>1150</v>
      </c>
      <c r="J169" s="213" t="b">
        <v>0</v>
      </c>
      <c r="K169" s="8"/>
      <c r="L169" s="8" t="s">
        <v>1150</v>
      </c>
    </row>
    <row r="170" spans="1:12">
      <c r="A170" s="6">
        <v>2016</v>
      </c>
      <c r="B170" s="6" t="s">
        <v>3809</v>
      </c>
      <c r="C170" s="6" t="s">
        <v>61</v>
      </c>
      <c r="D170" s="6" t="s">
        <v>62</v>
      </c>
      <c r="E170" s="6"/>
      <c r="F170" s="6" t="s">
        <v>3810</v>
      </c>
      <c r="G170" s="6" t="s">
        <v>3811</v>
      </c>
      <c r="H170" s="121">
        <v>1036115.4</v>
      </c>
      <c r="I170" s="8" t="s">
        <v>1150</v>
      </c>
      <c r="J170" s="213" t="b">
        <v>0</v>
      </c>
      <c r="K170" s="8"/>
      <c r="L170" s="8" t="s">
        <v>1150</v>
      </c>
    </row>
    <row r="171" spans="1:12">
      <c r="A171" s="6">
        <v>2016</v>
      </c>
      <c r="B171" s="6" t="s">
        <v>22</v>
      </c>
      <c r="C171" s="6" t="s">
        <v>23</v>
      </c>
      <c r="D171" s="6" t="s">
        <v>24</v>
      </c>
      <c r="E171" s="6"/>
      <c r="F171" s="6" t="s">
        <v>369</v>
      </c>
      <c r="G171" s="6" t="s">
        <v>5397</v>
      </c>
      <c r="H171" s="8">
        <v>4736242.4000000004</v>
      </c>
      <c r="I171" s="8" t="s">
        <v>28</v>
      </c>
      <c r="J171" s="213" t="b">
        <v>1</v>
      </c>
      <c r="K171" s="8"/>
      <c r="L171" s="8" t="s">
        <v>5310</v>
      </c>
    </row>
    <row r="172" spans="1:12">
      <c r="A172" s="5">
        <v>2016</v>
      </c>
      <c r="B172" s="5" t="s">
        <v>22</v>
      </c>
      <c r="C172" s="6" t="s">
        <v>23</v>
      </c>
      <c r="D172" s="6" t="s">
        <v>24</v>
      </c>
      <c r="E172" s="7"/>
      <c r="F172" s="6" t="s">
        <v>5398</v>
      </c>
      <c r="G172" s="6" t="s">
        <v>5399</v>
      </c>
      <c r="H172" s="8">
        <v>4997635.2</v>
      </c>
      <c r="I172" s="8" t="s">
        <v>5318</v>
      </c>
      <c r="J172" s="213" t="b">
        <v>0</v>
      </c>
      <c r="K172" s="8"/>
      <c r="L172" s="8" t="s">
        <v>5318</v>
      </c>
    </row>
    <row r="173" spans="1:12">
      <c r="A173" s="5">
        <v>2016</v>
      </c>
      <c r="B173" s="6" t="s">
        <v>22</v>
      </c>
      <c r="C173" s="6" t="s">
        <v>23</v>
      </c>
      <c r="D173" s="6" t="s">
        <v>24</v>
      </c>
      <c r="E173" s="7"/>
      <c r="F173" s="6" t="s">
        <v>5400</v>
      </c>
      <c r="G173" s="6" t="s">
        <v>5401</v>
      </c>
      <c r="H173" s="8">
        <v>883795</v>
      </c>
      <c r="I173" s="8" t="s">
        <v>5318</v>
      </c>
      <c r="J173" s="213" t="b">
        <v>0</v>
      </c>
      <c r="K173" s="8"/>
      <c r="L173" s="8" t="s">
        <v>5318</v>
      </c>
    </row>
    <row r="174" spans="1:12">
      <c r="A174" s="5">
        <v>2016</v>
      </c>
      <c r="B174" s="5" t="s">
        <v>22</v>
      </c>
      <c r="C174" s="6" t="s">
        <v>23</v>
      </c>
      <c r="D174" s="6" t="s">
        <v>24</v>
      </c>
      <c r="E174" s="7"/>
      <c r="F174" s="6" t="s">
        <v>5402</v>
      </c>
      <c r="G174" s="6" t="s">
        <v>5403</v>
      </c>
      <c r="H174" s="8">
        <v>7150358</v>
      </c>
      <c r="I174" s="8" t="s">
        <v>5318</v>
      </c>
      <c r="J174" s="213" t="b">
        <v>0</v>
      </c>
      <c r="K174" s="8"/>
      <c r="L174" s="8" t="s">
        <v>5318</v>
      </c>
    </row>
    <row r="175" spans="1:12">
      <c r="A175" s="5">
        <v>2016</v>
      </c>
      <c r="B175" s="6" t="s">
        <v>22</v>
      </c>
      <c r="C175" s="6" t="s">
        <v>23</v>
      </c>
      <c r="D175" s="6" t="s">
        <v>24</v>
      </c>
      <c r="E175" s="7"/>
      <c r="F175" s="6" t="s">
        <v>5404</v>
      </c>
      <c r="G175" s="6" t="s">
        <v>5405</v>
      </c>
      <c r="H175" s="8">
        <v>5227604.8</v>
      </c>
      <c r="I175" s="8" t="s">
        <v>5334</v>
      </c>
      <c r="J175" s="213" t="b">
        <v>0</v>
      </c>
      <c r="K175" s="8"/>
      <c r="L175" s="8" t="s">
        <v>5334</v>
      </c>
    </row>
    <row r="176" spans="1:12">
      <c r="A176" s="5">
        <v>2016</v>
      </c>
      <c r="B176" s="5" t="s">
        <v>22</v>
      </c>
      <c r="C176" s="6" t="s">
        <v>23</v>
      </c>
      <c r="D176" s="6" t="s">
        <v>24</v>
      </c>
      <c r="E176" s="7"/>
      <c r="F176" s="6" t="s">
        <v>5406</v>
      </c>
      <c r="G176" s="6" t="s">
        <v>5407</v>
      </c>
      <c r="H176" s="8">
        <v>1590275.2</v>
      </c>
      <c r="I176" s="8" t="s">
        <v>5334</v>
      </c>
      <c r="J176" s="213" t="b">
        <v>0</v>
      </c>
      <c r="K176" s="8"/>
      <c r="L176" s="8" t="s">
        <v>5334</v>
      </c>
    </row>
    <row r="177" spans="1:12">
      <c r="A177" s="6">
        <v>2015</v>
      </c>
      <c r="B177" s="62">
        <v>42309</v>
      </c>
      <c r="C177" s="6" t="s">
        <v>61</v>
      </c>
      <c r="D177" s="6" t="s">
        <v>62</v>
      </c>
      <c r="E177" s="6"/>
      <c r="F177" s="6" t="s">
        <v>4115</v>
      </c>
      <c r="G177" s="6" t="s">
        <v>4116</v>
      </c>
      <c r="H177" s="8">
        <v>672777.28</v>
      </c>
      <c r="I177" s="8" t="s">
        <v>1150</v>
      </c>
      <c r="J177" s="213" t="b">
        <v>0</v>
      </c>
      <c r="K177" s="8"/>
      <c r="L177" s="8" t="s">
        <v>1150</v>
      </c>
    </row>
    <row r="178" spans="1:12">
      <c r="A178" s="6">
        <v>2015</v>
      </c>
      <c r="B178" s="6" t="s">
        <v>4142</v>
      </c>
      <c r="C178" s="6" t="s">
        <v>61</v>
      </c>
      <c r="D178" s="6" t="s">
        <v>62</v>
      </c>
      <c r="E178" s="6"/>
      <c r="F178" s="6" t="s">
        <v>4143</v>
      </c>
      <c r="G178" s="6" t="s">
        <v>4144</v>
      </c>
      <c r="H178" s="8">
        <v>1800000</v>
      </c>
      <c r="I178" s="8" t="s">
        <v>1150</v>
      </c>
      <c r="J178" s="213" t="b">
        <v>0</v>
      </c>
      <c r="K178" s="8"/>
      <c r="L178" s="8" t="s">
        <v>1150</v>
      </c>
    </row>
    <row r="179" spans="1:12">
      <c r="A179" s="6">
        <v>2015</v>
      </c>
      <c r="B179" s="6" t="s">
        <v>4150</v>
      </c>
      <c r="C179" s="6" t="s">
        <v>61</v>
      </c>
      <c r="D179" s="6" t="s">
        <v>4151</v>
      </c>
      <c r="E179" s="6"/>
      <c r="F179" s="6" t="s">
        <v>4152</v>
      </c>
      <c r="G179" s="6" t="s">
        <v>811</v>
      </c>
      <c r="H179" s="8">
        <v>220000</v>
      </c>
      <c r="I179" s="8"/>
      <c r="J179" s="213" t="b">
        <v>0</v>
      </c>
      <c r="K179" s="8"/>
      <c r="L179" s="8"/>
    </row>
    <row r="180" spans="1:12">
      <c r="A180" s="6">
        <v>2015</v>
      </c>
      <c r="B180" s="6" t="s">
        <v>4186</v>
      </c>
      <c r="C180" s="6" t="s">
        <v>61</v>
      </c>
      <c r="D180" s="6" t="s">
        <v>62</v>
      </c>
      <c r="E180" s="6"/>
      <c r="F180" s="6" t="s">
        <v>4187</v>
      </c>
      <c r="G180" s="6" t="s">
        <v>4188</v>
      </c>
      <c r="H180" s="8">
        <v>2000000</v>
      </c>
      <c r="I180" s="8" t="s">
        <v>1150</v>
      </c>
      <c r="J180" s="213" t="b">
        <v>0</v>
      </c>
      <c r="K180" s="8"/>
      <c r="L180" s="8" t="s">
        <v>1150</v>
      </c>
    </row>
    <row r="181" spans="1:12">
      <c r="A181" s="6">
        <v>2015</v>
      </c>
      <c r="B181" s="6" t="s">
        <v>4221</v>
      </c>
      <c r="C181" s="6" t="s">
        <v>61</v>
      </c>
      <c r="D181" s="6" t="s">
        <v>62</v>
      </c>
      <c r="E181" s="6"/>
      <c r="F181" s="6" t="s">
        <v>4222</v>
      </c>
      <c r="G181" s="6" t="s">
        <v>4223</v>
      </c>
      <c r="H181" s="8">
        <v>195000</v>
      </c>
      <c r="I181" s="8" t="s">
        <v>1150</v>
      </c>
      <c r="J181" s="213" t="b">
        <v>0</v>
      </c>
      <c r="K181" s="8"/>
      <c r="L181" s="8" t="s">
        <v>1150</v>
      </c>
    </row>
    <row r="182" spans="1:12">
      <c r="A182" s="6">
        <v>2015</v>
      </c>
      <c r="B182" s="6" t="s">
        <v>4225</v>
      </c>
      <c r="C182" s="6" t="s">
        <v>61</v>
      </c>
      <c r="D182" s="6" t="s">
        <v>62</v>
      </c>
      <c r="E182" s="6"/>
      <c r="F182" s="6" t="s">
        <v>4226</v>
      </c>
      <c r="G182" s="6" t="s">
        <v>4227</v>
      </c>
      <c r="H182" s="8">
        <v>1930000</v>
      </c>
      <c r="I182" s="8" t="s">
        <v>1150</v>
      </c>
      <c r="J182" s="213" t="b">
        <v>0</v>
      </c>
      <c r="K182" s="8"/>
      <c r="L182" s="8" t="s">
        <v>1150</v>
      </c>
    </row>
    <row r="183" spans="1:12">
      <c r="A183" s="6">
        <v>2015</v>
      </c>
      <c r="B183" s="6" t="s">
        <v>4258</v>
      </c>
      <c r="C183" s="6" t="s">
        <v>61</v>
      </c>
      <c r="D183" s="6" t="s">
        <v>62</v>
      </c>
      <c r="E183" s="6"/>
      <c r="F183" s="6" t="s">
        <v>4259</v>
      </c>
      <c r="G183" s="6" t="s">
        <v>4260</v>
      </c>
      <c r="H183" s="8">
        <v>958369.8</v>
      </c>
      <c r="I183" s="8" t="s">
        <v>1150</v>
      </c>
      <c r="J183" s="213" t="b">
        <v>0</v>
      </c>
      <c r="K183" s="8"/>
      <c r="L183" s="8" t="s">
        <v>1150</v>
      </c>
    </row>
    <row r="184" spans="1:12">
      <c r="A184" s="6">
        <v>2015</v>
      </c>
      <c r="B184" s="6" t="s">
        <v>4262</v>
      </c>
      <c r="C184" s="6" t="s">
        <v>61</v>
      </c>
      <c r="D184" s="6" t="s">
        <v>62</v>
      </c>
      <c r="E184" s="6"/>
      <c r="F184" s="6" t="s">
        <v>4263</v>
      </c>
      <c r="G184" s="6" t="s">
        <v>4264</v>
      </c>
      <c r="H184" s="8">
        <v>410000</v>
      </c>
      <c r="I184" s="8" t="s">
        <v>1150</v>
      </c>
      <c r="J184" s="213" t="b">
        <v>0</v>
      </c>
      <c r="K184" s="8"/>
      <c r="L184" s="8" t="s">
        <v>1150</v>
      </c>
    </row>
    <row r="185" spans="1:12">
      <c r="A185" s="6">
        <v>2015</v>
      </c>
      <c r="B185" s="6" t="s">
        <v>4266</v>
      </c>
      <c r="C185" s="6" t="s">
        <v>61</v>
      </c>
      <c r="D185" s="6" t="s">
        <v>62</v>
      </c>
      <c r="E185" s="6"/>
      <c r="F185" s="6" t="s">
        <v>4267</v>
      </c>
      <c r="G185" s="6" t="s">
        <v>4268</v>
      </c>
      <c r="H185" s="8">
        <v>1956500</v>
      </c>
      <c r="I185" s="8" t="s">
        <v>1150</v>
      </c>
      <c r="J185" s="213" t="b">
        <v>0</v>
      </c>
      <c r="K185" s="8"/>
      <c r="L185" s="8" t="s">
        <v>1150</v>
      </c>
    </row>
    <row r="186" spans="1:12">
      <c r="A186" s="6">
        <v>2015</v>
      </c>
      <c r="B186" s="6" t="s">
        <v>4270</v>
      </c>
      <c r="C186" s="6" t="s">
        <v>61</v>
      </c>
      <c r="D186" s="6" t="s">
        <v>62</v>
      </c>
      <c r="E186" s="6"/>
      <c r="F186" s="6" t="s">
        <v>4271</v>
      </c>
      <c r="G186" s="6" t="s">
        <v>4272</v>
      </c>
      <c r="H186" s="8">
        <v>1900000</v>
      </c>
      <c r="I186" s="8" t="s">
        <v>1150</v>
      </c>
      <c r="J186" s="213" t="b">
        <v>0</v>
      </c>
      <c r="K186" s="8"/>
      <c r="L186" s="8" t="s">
        <v>1150</v>
      </c>
    </row>
    <row r="187" spans="1:12">
      <c r="A187" s="6">
        <v>2015</v>
      </c>
      <c r="B187" s="6" t="s">
        <v>4274</v>
      </c>
      <c r="C187" s="6" t="s">
        <v>61</v>
      </c>
      <c r="D187" s="6" t="s">
        <v>62</v>
      </c>
      <c r="E187" s="6"/>
      <c r="F187" s="6" t="s">
        <v>4275</v>
      </c>
      <c r="G187" s="6" t="s">
        <v>4276</v>
      </c>
      <c r="H187" s="8">
        <v>598728</v>
      </c>
      <c r="I187" s="8" t="s">
        <v>1150</v>
      </c>
      <c r="J187" s="213" t="b">
        <v>0</v>
      </c>
      <c r="K187" s="8"/>
      <c r="L187" s="8" t="s">
        <v>1150</v>
      </c>
    </row>
    <row r="188" spans="1:12">
      <c r="A188" s="6">
        <v>2015</v>
      </c>
      <c r="B188" s="6" t="s">
        <v>4278</v>
      </c>
      <c r="C188" s="6" t="s">
        <v>61</v>
      </c>
      <c r="D188" s="6" t="s">
        <v>62</v>
      </c>
      <c r="E188" s="6"/>
      <c r="F188" s="6" t="s">
        <v>807</v>
      </c>
      <c r="G188" s="6" t="s">
        <v>811</v>
      </c>
      <c r="H188" s="8">
        <v>420000</v>
      </c>
      <c r="I188" s="8" t="s">
        <v>1150</v>
      </c>
      <c r="J188" s="213" t="b">
        <v>0</v>
      </c>
      <c r="K188" s="8"/>
      <c r="L188" s="8" t="s">
        <v>1150</v>
      </c>
    </row>
    <row r="189" spans="1:12">
      <c r="A189" s="6">
        <v>2014</v>
      </c>
      <c r="B189" s="61">
        <v>41699</v>
      </c>
      <c r="C189" s="6" t="s">
        <v>61</v>
      </c>
      <c r="D189" s="6" t="s">
        <v>62</v>
      </c>
      <c r="E189" s="6"/>
      <c r="F189" s="6" t="s">
        <v>4488</v>
      </c>
      <c r="G189" s="6" t="s">
        <v>4489</v>
      </c>
      <c r="H189" s="8">
        <v>491892</v>
      </c>
      <c r="I189" s="8" t="s">
        <v>1150</v>
      </c>
      <c r="J189" s="213" t="b">
        <v>0</v>
      </c>
      <c r="K189" s="8"/>
      <c r="L189" s="8" t="s">
        <v>1150</v>
      </c>
    </row>
    <row r="190" spans="1:12">
      <c r="A190" s="6">
        <v>2014</v>
      </c>
      <c r="B190" s="61">
        <v>41730</v>
      </c>
      <c r="C190" s="6" t="s">
        <v>61</v>
      </c>
      <c r="D190" s="6" t="s">
        <v>4151</v>
      </c>
      <c r="E190" s="6"/>
      <c r="F190" s="6" t="s">
        <v>4491</v>
      </c>
      <c r="G190" s="6" t="s">
        <v>2331</v>
      </c>
      <c r="H190" s="8">
        <v>178000</v>
      </c>
      <c r="I190" s="8" t="s">
        <v>1150</v>
      </c>
      <c r="J190" s="213" t="b">
        <v>0</v>
      </c>
      <c r="K190" s="8"/>
      <c r="L190" s="8" t="s">
        <v>1150</v>
      </c>
    </row>
    <row r="191" spans="1:12">
      <c r="A191" s="6">
        <v>2014</v>
      </c>
      <c r="B191" s="6" t="s">
        <v>4516</v>
      </c>
      <c r="C191" s="6" t="s">
        <v>61</v>
      </c>
      <c r="D191" s="6" t="s">
        <v>62</v>
      </c>
      <c r="E191" s="6"/>
      <c r="F191" s="6" t="s">
        <v>4517</v>
      </c>
      <c r="G191" s="6" t="s">
        <v>4518</v>
      </c>
      <c r="H191" s="8">
        <v>494491</v>
      </c>
      <c r="I191" s="8" t="s">
        <v>1150</v>
      </c>
      <c r="J191" s="213" t="b">
        <v>0</v>
      </c>
      <c r="K191" s="8"/>
      <c r="L191" s="8" t="s">
        <v>1150</v>
      </c>
    </row>
    <row r="192" spans="1:12">
      <c r="A192" s="6">
        <v>2014</v>
      </c>
      <c r="B192" s="6" t="s">
        <v>4547</v>
      </c>
      <c r="C192" s="6" t="s">
        <v>61</v>
      </c>
      <c r="D192" s="6" t="s">
        <v>62</v>
      </c>
      <c r="E192" s="6"/>
      <c r="F192" s="6" t="s">
        <v>4548</v>
      </c>
      <c r="G192" s="6" t="s">
        <v>4549</v>
      </c>
      <c r="H192" s="8">
        <v>1121750</v>
      </c>
      <c r="I192" s="8" t="s">
        <v>1150</v>
      </c>
      <c r="J192" s="213" t="b">
        <v>0</v>
      </c>
      <c r="K192" s="8"/>
      <c r="L192" s="8" t="s">
        <v>1150</v>
      </c>
    </row>
    <row r="193" spans="1:12">
      <c r="A193" s="6">
        <v>2014</v>
      </c>
      <c r="B193" s="6" t="s">
        <v>4551</v>
      </c>
      <c r="C193" s="6" t="s">
        <v>61</v>
      </c>
      <c r="D193" s="6" t="s">
        <v>62</v>
      </c>
      <c r="E193" s="6"/>
      <c r="F193" s="6" t="s">
        <v>4552</v>
      </c>
      <c r="G193" s="6" t="s">
        <v>4553</v>
      </c>
      <c r="H193" s="8">
        <v>1000000</v>
      </c>
      <c r="I193" s="8" t="s">
        <v>1150</v>
      </c>
      <c r="J193" s="213" t="b">
        <v>0</v>
      </c>
      <c r="K193" s="8"/>
      <c r="L193" s="8" t="s">
        <v>1150</v>
      </c>
    </row>
    <row r="194" spans="1:12">
      <c r="A194" s="6">
        <v>2014</v>
      </c>
      <c r="B194" s="6" t="s">
        <v>4574</v>
      </c>
      <c r="C194" s="6" t="s">
        <v>61</v>
      </c>
      <c r="D194" s="6" t="s">
        <v>62</v>
      </c>
      <c r="E194" s="6"/>
      <c r="F194" s="6" t="s">
        <v>4575</v>
      </c>
      <c r="G194" s="6" t="s">
        <v>4576</v>
      </c>
      <c r="H194" s="8">
        <v>1793500</v>
      </c>
      <c r="I194" s="8" t="s">
        <v>1150</v>
      </c>
      <c r="J194" s="213" t="b">
        <v>0</v>
      </c>
      <c r="K194" s="8"/>
      <c r="L194" s="8" t="s">
        <v>1150</v>
      </c>
    </row>
    <row r="195" spans="1:12">
      <c r="A195" s="6">
        <v>2014</v>
      </c>
      <c r="B195" s="6" t="s">
        <v>4582</v>
      </c>
      <c r="C195" s="6" t="s">
        <v>61</v>
      </c>
      <c r="D195" s="6" t="s">
        <v>62</v>
      </c>
      <c r="E195" s="6"/>
      <c r="F195" s="6" t="s">
        <v>4583</v>
      </c>
      <c r="G195" s="6" t="s">
        <v>4584</v>
      </c>
      <c r="H195" s="8">
        <v>1000000</v>
      </c>
      <c r="I195" s="8" t="s">
        <v>1150</v>
      </c>
      <c r="J195" s="213" t="b">
        <v>0</v>
      </c>
      <c r="K195" s="8"/>
      <c r="L195" s="8" t="s">
        <v>1150</v>
      </c>
    </row>
    <row r="196" spans="1:12">
      <c r="A196" s="6">
        <v>2014</v>
      </c>
      <c r="B196" s="6" t="s">
        <v>4586</v>
      </c>
      <c r="C196" s="6" t="s">
        <v>61</v>
      </c>
      <c r="D196" s="6" t="s">
        <v>62</v>
      </c>
      <c r="E196" s="6"/>
      <c r="F196" s="6" t="s">
        <v>4587</v>
      </c>
      <c r="G196" s="6" t="s">
        <v>4588</v>
      </c>
      <c r="H196" s="8">
        <v>2500000</v>
      </c>
      <c r="I196" s="8" t="s">
        <v>1150</v>
      </c>
      <c r="J196" s="213" t="b">
        <v>0</v>
      </c>
      <c r="K196" s="8"/>
      <c r="L196" s="8" t="s">
        <v>1150</v>
      </c>
    </row>
    <row r="197" spans="1:12">
      <c r="A197" s="6">
        <v>2014</v>
      </c>
      <c r="B197" s="6" t="s">
        <v>4590</v>
      </c>
      <c r="C197" s="6" t="s">
        <v>61</v>
      </c>
      <c r="D197" s="6" t="s">
        <v>62</v>
      </c>
      <c r="E197" s="6"/>
      <c r="F197" s="6" t="s">
        <v>4591</v>
      </c>
      <c r="G197" s="6" t="s">
        <v>4592</v>
      </c>
      <c r="H197" s="8">
        <v>1850000</v>
      </c>
      <c r="I197" s="8" t="s">
        <v>1150</v>
      </c>
      <c r="J197" s="213" t="b">
        <v>0</v>
      </c>
      <c r="K197" s="8"/>
      <c r="L197" s="8" t="s">
        <v>1150</v>
      </c>
    </row>
    <row r="198" spans="1:12">
      <c r="A198" s="6">
        <v>2014</v>
      </c>
      <c r="B198" s="6" t="s">
        <v>4600</v>
      </c>
      <c r="C198" s="6" t="s">
        <v>61</v>
      </c>
      <c r="D198" s="6" t="s">
        <v>62</v>
      </c>
      <c r="E198" s="6"/>
      <c r="F198" s="6" t="s">
        <v>4601</v>
      </c>
      <c r="G198" s="6" t="s">
        <v>4602</v>
      </c>
      <c r="H198" s="8">
        <v>618554</v>
      </c>
      <c r="I198" s="8" t="s">
        <v>1150</v>
      </c>
      <c r="J198" s="213" t="b">
        <v>0</v>
      </c>
      <c r="K198" s="8"/>
      <c r="L198" s="8" t="s">
        <v>1150</v>
      </c>
    </row>
    <row r="199" spans="1:12">
      <c r="A199" s="6">
        <v>2013</v>
      </c>
      <c r="B199" s="61">
        <v>41579</v>
      </c>
      <c r="C199" s="6" t="s">
        <v>61</v>
      </c>
      <c r="D199" s="6" t="s">
        <v>62</v>
      </c>
      <c r="E199" s="6"/>
      <c r="F199" s="6" t="s">
        <v>4740</v>
      </c>
      <c r="G199" s="6" t="s">
        <v>4741</v>
      </c>
      <c r="H199" s="8">
        <v>910963.19999999995</v>
      </c>
      <c r="I199" s="8" t="s">
        <v>1150</v>
      </c>
      <c r="J199" s="213" t="b">
        <v>0</v>
      </c>
      <c r="K199" s="8"/>
      <c r="L199" s="8" t="s">
        <v>1150</v>
      </c>
    </row>
    <row r="200" spans="1:12">
      <c r="A200" s="6">
        <v>2013</v>
      </c>
      <c r="B200" s="6" t="s">
        <v>4744</v>
      </c>
      <c r="C200" s="6" t="s">
        <v>61</v>
      </c>
      <c r="D200" s="6" t="s">
        <v>62</v>
      </c>
      <c r="E200" s="6"/>
      <c r="F200" s="6" t="s">
        <v>4745</v>
      </c>
      <c r="G200" s="6" t="s">
        <v>4746</v>
      </c>
      <c r="H200" s="8">
        <v>1187443.3600000001</v>
      </c>
      <c r="I200" s="8" t="s">
        <v>1150</v>
      </c>
      <c r="J200" s="213" t="b">
        <v>0</v>
      </c>
      <c r="K200" s="8"/>
      <c r="L200" s="8" t="s">
        <v>1150</v>
      </c>
    </row>
    <row r="201" spans="1:12">
      <c r="A201" s="6">
        <v>2013</v>
      </c>
      <c r="B201" s="6" t="s">
        <v>4754</v>
      </c>
      <c r="C201" s="6" t="s">
        <v>61</v>
      </c>
      <c r="D201" s="6" t="s">
        <v>62</v>
      </c>
      <c r="E201" s="6"/>
      <c r="F201" s="6" t="s">
        <v>4755</v>
      </c>
      <c r="G201" s="6" t="s">
        <v>4756</v>
      </c>
      <c r="H201" s="8">
        <v>486612.2</v>
      </c>
      <c r="I201" s="8" t="s">
        <v>1150</v>
      </c>
      <c r="J201" s="213" t="b">
        <v>0</v>
      </c>
      <c r="K201" s="8"/>
      <c r="L201" s="8" t="s">
        <v>1150</v>
      </c>
    </row>
    <row r="202" spans="1:12">
      <c r="A202" s="6">
        <v>2013</v>
      </c>
      <c r="B202" s="6" t="s">
        <v>4758</v>
      </c>
      <c r="C202" s="6" t="s">
        <v>61</v>
      </c>
      <c r="D202" s="6" t="s">
        <v>62</v>
      </c>
      <c r="E202" s="6"/>
      <c r="F202" s="6" t="s">
        <v>4759</v>
      </c>
      <c r="G202" s="6" t="s">
        <v>4760</v>
      </c>
      <c r="H202" s="8">
        <v>424015.98</v>
      </c>
      <c r="I202" s="8" t="s">
        <v>1150</v>
      </c>
      <c r="J202" s="213" t="b">
        <v>0</v>
      </c>
      <c r="K202" s="8"/>
      <c r="L202" s="8" t="s">
        <v>1150</v>
      </c>
    </row>
    <row r="203" spans="1:12">
      <c r="A203" s="6">
        <v>2013</v>
      </c>
      <c r="B203" s="6" t="s">
        <v>4762</v>
      </c>
      <c r="C203" s="6" t="s">
        <v>61</v>
      </c>
      <c r="D203" s="6" t="s">
        <v>62</v>
      </c>
      <c r="E203" s="6"/>
      <c r="F203" s="6" t="s">
        <v>4763</v>
      </c>
      <c r="G203" s="6" t="s">
        <v>4764</v>
      </c>
      <c r="H203" s="8">
        <v>374000</v>
      </c>
      <c r="I203" s="8" t="s">
        <v>1150</v>
      </c>
      <c r="J203" s="213" t="b">
        <v>0</v>
      </c>
      <c r="K203" s="8"/>
      <c r="L203" s="8" t="s">
        <v>1150</v>
      </c>
    </row>
    <row r="204" spans="1:12">
      <c r="A204" s="6">
        <v>2013</v>
      </c>
      <c r="B204" s="6" t="s">
        <v>4766</v>
      </c>
      <c r="C204" s="6" t="s">
        <v>61</v>
      </c>
      <c r="D204" s="6" t="s">
        <v>62</v>
      </c>
      <c r="E204" s="6"/>
      <c r="F204" s="6" t="s">
        <v>4767</v>
      </c>
      <c r="G204" s="6" t="s">
        <v>4768</v>
      </c>
      <c r="H204" s="8">
        <v>1071763</v>
      </c>
      <c r="I204" s="8" t="s">
        <v>1150</v>
      </c>
      <c r="J204" s="213" t="b">
        <v>0</v>
      </c>
      <c r="K204" s="8"/>
      <c r="L204" s="8" t="s">
        <v>1150</v>
      </c>
    </row>
    <row r="205" spans="1:12">
      <c r="A205" s="6">
        <v>2013</v>
      </c>
      <c r="B205" s="6" t="s">
        <v>4780</v>
      </c>
      <c r="C205" s="6" t="s">
        <v>61</v>
      </c>
      <c r="D205" s="6" t="s">
        <v>62</v>
      </c>
      <c r="E205" s="6"/>
      <c r="F205" s="6" t="s">
        <v>4781</v>
      </c>
      <c r="G205" s="6" t="s">
        <v>4782</v>
      </c>
      <c r="H205" s="8">
        <v>297060</v>
      </c>
      <c r="I205" s="8" t="s">
        <v>1150</v>
      </c>
      <c r="J205" s="213" t="b">
        <v>0</v>
      </c>
      <c r="K205" s="8"/>
      <c r="L205" s="8" t="s">
        <v>1150</v>
      </c>
    </row>
    <row r="206" spans="1:12">
      <c r="A206" s="6">
        <v>2013</v>
      </c>
      <c r="B206" s="6" t="s">
        <v>4798</v>
      </c>
      <c r="C206" s="6" t="s">
        <v>61</v>
      </c>
      <c r="D206" s="6" t="s">
        <v>62</v>
      </c>
      <c r="E206" s="6"/>
      <c r="F206" s="6" t="s">
        <v>4799</v>
      </c>
      <c r="G206" s="6" t="s">
        <v>4800</v>
      </c>
      <c r="H206" s="8">
        <v>659400</v>
      </c>
      <c r="I206" s="8" t="s">
        <v>1150</v>
      </c>
      <c r="J206" s="213" t="b">
        <v>0</v>
      </c>
      <c r="K206" s="8"/>
      <c r="L206" s="8" t="s">
        <v>1150</v>
      </c>
    </row>
    <row r="207" spans="1:12">
      <c r="A207" s="6">
        <v>2013</v>
      </c>
      <c r="B207" s="6" t="s">
        <v>4766</v>
      </c>
      <c r="C207" s="6" t="s">
        <v>61</v>
      </c>
      <c r="D207" s="6" t="s">
        <v>62</v>
      </c>
      <c r="E207" s="6"/>
      <c r="F207" s="6" t="s">
        <v>4767</v>
      </c>
      <c r="G207" s="6" t="s">
        <v>4768</v>
      </c>
      <c r="H207" s="8">
        <v>1071763</v>
      </c>
      <c r="I207" s="8" t="s">
        <v>1150</v>
      </c>
      <c r="J207" s="213" t="b">
        <v>0</v>
      </c>
      <c r="K207" s="8"/>
      <c r="L207" s="8" t="s">
        <v>1150</v>
      </c>
    </row>
    <row r="208" spans="1:12">
      <c r="A208" s="6">
        <v>2013</v>
      </c>
      <c r="B208" s="6" t="s">
        <v>4963</v>
      </c>
      <c r="C208" s="6" t="s">
        <v>61</v>
      </c>
      <c r="D208" s="6" t="s">
        <v>62</v>
      </c>
      <c r="E208" s="6"/>
      <c r="F208" s="6" t="s">
        <v>4964</v>
      </c>
      <c r="G208" s="6" t="s">
        <v>4965</v>
      </c>
      <c r="H208" s="8">
        <v>1000000</v>
      </c>
      <c r="I208" s="8" t="s">
        <v>1150</v>
      </c>
      <c r="J208" s="213" t="b">
        <v>0</v>
      </c>
      <c r="K208" s="8"/>
      <c r="L208" s="8" t="s">
        <v>1150</v>
      </c>
    </row>
    <row r="209" spans="1:12">
      <c r="A209" s="6">
        <v>2013</v>
      </c>
      <c r="B209" s="6" t="s">
        <v>4967</v>
      </c>
      <c r="C209" s="6" t="s">
        <v>61</v>
      </c>
      <c r="D209" s="6" t="s">
        <v>62</v>
      </c>
      <c r="E209" s="6"/>
      <c r="F209" s="6" t="s">
        <v>4968</v>
      </c>
      <c r="G209" s="6" t="s">
        <v>4969</v>
      </c>
      <c r="H209" s="8">
        <v>450155</v>
      </c>
      <c r="I209" s="8" t="s">
        <v>1150</v>
      </c>
      <c r="J209" s="213" t="b">
        <v>0</v>
      </c>
      <c r="K209" s="8"/>
      <c r="L209" s="8" t="s">
        <v>1150</v>
      </c>
    </row>
    <row r="210" spans="1:12">
      <c r="A210" s="6">
        <v>2012</v>
      </c>
      <c r="B210" s="61">
        <v>41153</v>
      </c>
      <c r="C210" s="6" t="s">
        <v>61</v>
      </c>
      <c r="D210" s="6" t="s">
        <v>62</v>
      </c>
      <c r="E210" s="6"/>
      <c r="F210" s="6" t="s">
        <v>5001</v>
      </c>
      <c r="G210" s="6" t="s">
        <v>5002</v>
      </c>
      <c r="H210" s="8">
        <v>500000</v>
      </c>
      <c r="I210" s="8" t="s">
        <v>1150</v>
      </c>
      <c r="J210" s="213" t="b">
        <v>0</v>
      </c>
      <c r="K210" s="8"/>
      <c r="L210" s="8" t="s">
        <v>1150</v>
      </c>
    </row>
    <row r="211" spans="1:12">
      <c r="A211" s="6">
        <v>2012</v>
      </c>
      <c r="B211" s="61">
        <v>41183</v>
      </c>
      <c r="C211" s="6" t="s">
        <v>61</v>
      </c>
      <c r="D211" s="6" t="s">
        <v>62</v>
      </c>
      <c r="E211" s="6"/>
      <c r="F211" s="6" t="s">
        <v>5004</v>
      </c>
      <c r="G211" s="6" t="s">
        <v>5005</v>
      </c>
      <c r="H211" s="8">
        <v>240018.59</v>
      </c>
      <c r="I211" s="8" t="s">
        <v>1150</v>
      </c>
      <c r="J211" s="213" t="b">
        <v>0</v>
      </c>
      <c r="K211" s="8"/>
      <c r="L211" s="8" t="s">
        <v>1150</v>
      </c>
    </row>
    <row r="212" spans="1:12">
      <c r="A212" s="6">
        <v>2012</v>
      </c>
      <c r="B212" s="6" t="s">
        <v>5016</v>
      </c>
      <c r="C212" s="6" t="s">
        <v>61</v>
      </c>
      <c r="D212" s="6" t="s">
        <v>62</v>
      </c>
      <c r="E212" s="6"/>
      <c r="F212" s="6" t="s">
        <v>5017</v>
      </c>
      <c r="G212" s="6" t="s">
        <v>4518</v>
      </c>
      <c r="H212" s="8">
        <v>270028.34999999998</v>
      </c>
      <c r="I212" s="8" t="s">
        <v>1150</v>
      </c>
      <c r="J212" s="213" t="b">
        <v>0</v>
      </c>
      <c r="K212" s="8"/>
      <c r="L212" s="8" t="s">
        <v>1150</v>
      </c>
    </row>
    <row r="213" spans="1:12">
      <c r="A213" s="6">
        <v>2012</v>
      </c>
      <c r="B213" s="6" t="s">
        <v>5025</v>
      </c>
      <c r="C213" s="6" t="s">
        <v>61</v>
      </c>
      <c r="D213" s="6" t="s">
        <v>62</v>
      </c>
      <c r="E213" s="6"/>
      <c r="F213" s="6" t="s">
        <v>4115</v>
      </c>
      <c r="G213" s="6" t="s">
        <v>5026</v>
      </c>
      <c r="H213" s="8">
        <v>212321.03</v>
      </c>
      <c r="I213" s="8" t="s">
        <v>1150</v>
      </c>
      <c r="J213" s="213" t="b">
        <v>0</v>
      </c>
      <c r="K213" s="8"/>
      <c r="L213" s="8" t="s">
        <v>1150</v>
      </c>
    </row>
    <row r="214" spans="1:12">
      <c r="A214" s="6">
        <v>2012</v>
      </c>
      <c r="B214" s="6" t="s">
        <v>5067</v>
      </c>
      <c r="C214" s="6" t="s">
        <v>61</v>
      </c>
      <c r="D214" s="6" t="s">
        <v>62</v>
      </c>
      <c r="E214" s="6"/>
      <c r="F214" s="6" t="s">
        <v>2487</v>
      </c>
      <c r="G214" s="6" t="s">
        <v>5068</v>
      </c>
      <c r="H214" s="8">
        <v>460600</v>
      </c>
      <c r="I214" s="8" t="s">
        <v>1150</v>
      </c>
      <c r="J214" s="213" t="b">
        <v>0</v>
      </c>
      <c r="K214" s="8"/>
      <c r="L214" s="8" t="s">
        <v>1150</v>
      </c>
    </row>
    <row r="215" spans="1:12">
      <c r="A215" s="6">
        <v>2012</v>
      </c>
      <c r="B215" s="6" t="s">
        <v>5075</v>
      </c>
      <c r="C215" s="6" t="s">
        <v>61</v>
      </c>
      <c r="D215" s="6" t="s">
        <v>62</v>
      </c>
      <c r="E215" s="6"/>
      <c r="F215" s="6" t="s">
        <v>5076</v>
      </c>
      <c r="G215" s="6" t="s">
        <v>5077</v>
      </c>
      <c r="H215" s="8">
        <v>1220000</v>
      </c>
      <c r="I215" s="8" t="s">
        <v>1150</v>
      </c>
      <c r="J215" s="213" t="b">
        <v>0</v>
      </c>
      <c r="K215" s="8"/>
      <c r="L215" s="8" t="s">
        <v>1150</v>
      </c>
    </row>
    <row r="216" spans="1:12">
      <c r="A216" s="6">
        <v>2012</v>
      </c>
      <c r="B216" s="6" t="s">
        <v>5086</v>
      </c>
      <c r="C216" s="6" t="s">
        <v>61</v>
      </c>
      <c r="D216" s="6" t="s">
        <v>62</v>
      </c>
      <c r="E216" s="6"/>
      <c r="F216" s="6" t="s">
        <v>5087</v>
      </c>
      <c r="G216" s="6" t="s">
        <v>4602</v>
      </c>
      <c r="H216" s="8">
        <v>804167.07</v>
      </c>
      <c r="I216" s="8" t="s">
        <v>1150</v>
      </c>
      <c r="J216" s="213" t="b">
        <v>0</v>
      </c>
      <c r="K216" s="8"/>
      <c r="L216" s="8" t="s">
        <v>1150</v>
      </c>
    </row>
    <row r="217" spans="1:12">
      <c r="A217" s="6">
        <v>2012</v>
      </c>
      <c r="B217" s="6" t="s">
        <v>5266</v>
      </c>
      <c r="C217" s="6" t="s">
        <v>61</v>
      </c>
      <c r="D217" s="6" t="s">
        <v>62</v>
      </c>
      <c r="E217" s="6"/>
      <c r="F217" s="6" t="s">
        <v>5267</v>
      </c>
      <c r="G217" s="6" t="s">
        <v>5268</v>
      </c>
      <c r="H217" s="8">
        <v>612375.27</v>
      </c>
      <c r="I217" s="8" t="s">
        <v>1150</v>
      </c>
      <c r="J217" s="213" t="b">
        <v>0</v>
      </c>
      <c r="K217" s="8"/>
      <c r="L217" s="8" t="s">
        <v>1150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outlinePr summaryBelow="0" summaryRight="0"/>
    <pageSetUpPr fitToPage="1"/>
  </sheetPr>
  <dimension ref="A1:K148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cols>
    <col min="1" max="1" width="10.28515625" customWidth="1"/>
    <col min="2" max="2" width="15.42578125" customWidth="1"/>
    <col min="3" max="3" width="17.42578125" customWidth="1"/>
    <col min="4" max="4" width="24" customWidth="1"/>
    <col min="5" max="5" width="14.7109375" hidden="1" customWidth="1"/>
    <col min="6" max="6" width="31.7109375" customWidth="1"/>
    <col min="7" max="7" width="31.140625" customWidth="1"/>
    <col min="8" max="8" width="25.85546875" customWidth="1"/>
    <col min="9" max="9" width="17.42578125" customWidth="1"/>
    <col min="10" max="11" width="22.42578125" customWidth="1"/>
  </cols>
  <sheetData>
    <row r="1" spans="1:11" ht="25.5">
      <c r="A1" s="216" t="s">
        <v>1</v>
      </c>
      <c r="B1" s="216" t="s">
        <v>2</v>
      </c>
      <c r="C1" s="216" t="s">
        <v>3</v>
      </c>
      <c r="D1" s="216" t="s">
        <v>4</v>
      </c>
      <c r="E1" s="216" t="s">
        <v>5</v>
      </c>
      <c r="F1" s="217" t="s">
        <v>6</v>
      </c>
      <c r="G1" s="216" t="s">
        <v>7</v>
      </c>
      <c r="H1" s="218" t="s">
        <v>10</v>
      </c>
      <c r="I1" s="218" t="s">
        <v>28</v>
      </c>
      <c r="J1" s="218" t="s">
        <v>358</v>
      </c>
      <c r="K1" s="218" t="s">
        <v>5305</v>
      </c>
    </row>
    <row r="2" spans="1:11" ht="114.75">
      <c r="A2" s="219" t="s">
        <v>314</v>
      </c>
      <c r="B2" s="219" t="s">
        <v>343</v>
      </c>
      <c r="C2" s="220" t="s">
        <v>61</v>
      </c>
      <c r="D2" s="220" t="s">
        <v>225</v>
      </c>
      <c r="E2" s="221">
        <v>45832</v>
      </c>
      <c r="F2" s="148" t="s">
        <v>344</v>
      </c>
      <c r="G2" s="222" t="s">
        <v>5307</v>
      </c>
      <c r="H2" s="213" t="s">
        <v>5308</v>
      </c>
      <c r="I2" s="213" t="b">
        <v>0</v>
      </c>
      <c r="J2" s="213"/>
      <c r="K2" s="213"/>
    </row>
    <row r="3" spans="1:11" ht="51">
      <c r="A3" s="219" t="s">
        <v>314</v>
      </c>
      <c r="B3" s="219" t="s">
        <v>22</v>
      </c>
      <c r="C3" s="220" t="s">
        <v>23</v>
      </c>
      <c r="D3" s="220" t="s">
        <v>125</v>
      </c>
      <c r="E3" s="221"/>
      <c r="F3" s="148" t="s">
        <v>320</v>
      </c>
      <c r="G3" s="222" t="s">
        <v>5309</v>
      </c>
      <c r="H3" s="213">
        <v>7175464</v>
      </c>
      <c r="I3" s="213" t="b">
        <v>0</v>
      </c>
      <c r="J3" s="213"/>
      <c r="K3" s="213"/>
    </row>
    <row r="4" spans="1:11" ht="38.25">
      <c r="A4" s="219" t="s">
        <v>314</v>
      </c>
      <c r="B4" s="219" t="s">
        <v>22</v>
      </c>
      <c r="C4" s="220" t="s">
        <v>23</v>
      </c>
      <c r="D4" s="220" t="s">
        <v>125</v>
      </c>
      <c r="E4" s="221"/>
      <c r="F4" s="148" t="s">
        <v>325</v>
      </c>
      <c r="G4" s="222" t="s">
        <v>5311</v>
      </c>
      <c r="H4" s="213">
        <v>4998689</v>
      </c>
      <c r="I4" s="213" t="b">
        <v>0</v>
      </c>
      <c r="J4" s="213"/>
      <c r="K4" s="213"/>
    </row>
    <row r="5" spans="1:11" ht="63.75">
      <c r="A5" s="219" t="s">
        <v>314</v>
      </c>
      <c r="B5" s="219" t="s">
        <v>22</v>
      </c>
      <c r="C5" s="220" t="s">
        <v>23</v>
      </c>
      <c r="D5" s="220" t="s">
        <v>125</v>
      </c>
      <c r="E5" s="221"/>
      <c r="F5" s="148" t="s">
        <v>328</v>
      </c>
      <c r="G5" s="222" t="s">
        <v>5313</v>
      </c>
      <c r="H5" s="213">
        <v>4999988</v>
      </c>
      <c r="I5" s="213" t="b">
        <v>0</v>
      </c>
      <c r="J5" s="213"/>
      <c r="K5" s="213"/>
    </row>
    <row r="6" spans="1:11" ht="38.25">
      <c r="A6" s="219" t="s">
        <v>314</v>
      </c>
      <c r="B6" s="219" t="s">
        <v>22</v>
      </c>
      <c r="C6" s="220" t="s">
        <v>23</v>
      </c>
      <c r="D6" s="220" t="s">
        <v>125</v>
      </c>
      <c r="E6" s="221"/>
      <c r="F6" s="148" t="s">
        <v>331</v>
      </c>
      <c r="G6" s="222" t="s">
        <v>5315</v>
      </c>
      <c r="H6" s="213">
        <v>5000000</v>
      </c>
      <c r="I6" s="213" t="b">
        <v>0</v>
      </c>
      <c r="J6" s="213"/>
      <c r="K6" s="213"/>
    </row>
    <row r="7" spans="1:11" ht="25.5">
      <c r="A7" s="219" t="s">
        <v>314</v>
      </c>
      <c r="B7" s="219" t="s">
        <v>22</v>
      </c>
      <c r="C7" s="220" t="s">
        <v>23</v>
      </c>
      <c r="D7" s="220" t="s">
        <v>125</v>
      </c>
      <c r="E7" s="7"/>
      <c r="F7" s="148" t="s">
        <v>5316</v>
      </c>
      <c r="G7" s="222" t="s">
        <v>5317</v>
      </c>
      <c r="H7" s="213">
        <v>3778174</v>
      </c>
      <c r="I7" s="213" t="b">
        <v>0</v>
      </c>
      <c r="J7" s="213"/>
      <c r="K7" s="213"/>
    </row>
    <row r="8" spans="1:11" ht="51">
      <c r="A8" s="219" t="s">
        <v>314</v>
      </c>
      <c r="B8" s="219" t="s">
        <v>22</v>
      </c>
      <c r="C8" s="220" t="s">
        <v>23</v>
      </c>
      <c r="D8" s="220" t="s">
        <v>125</v>
      </c>
      <c r="E8" s="7"/>
      <c r="F8" s="148" t="s">
        <v>335</v>
      </c>
      <c r="G8" s="222" t="s">
        <v>5319</v>
      </c>
      <c r="H8" s="213">
        <v>4884739</v>
      </c>
      <c r="I8" s="213" t="b">
        <v>0</v>
      </c>
      <c r="J8" s="213"/>
      <c r="K8" s="213"/>
    </row>
    <row r="9" spans="1:11" ht="51">
      <c r="A9" s="219" t="s">
        <v>314</v>
      </c>
      <c r="B9" s="219" t="s">
        <v>22</v>
      </c>
      <c r="C9" s="220" t="s">
        <v>23</v>
      </c>
      <c r="D9" s="220" t="s">
        <v>125</v>
      </c>
      <c r="E9" s="7"/>
      <c r="F9" s="148" t="s">
        <v>339</v>
      </c>
      <c r="G9" s="222" t="s">
        <v>5320</v>
      </c>
      <c r="H9" s="213">
        <v>4993468</v>
      </c>
      <c r="I9" s="213" t="b">
        <v>0</v>
      </c>
      <c r="J9" s="213"/>
      <c r="K9" s="213"/>
    </row>
    <row r="10" spans="1:11" ht="12.75" hidden="1">
      <c r="A10" s="28">
        <v>2025</v>
      </c>
      <c r="B10" s="223">
        <v>45658</v>
      </c>
      <c r="C10" s="29" t="s">
        <v>5408</v>
      </c>
      <c r="D10" s="29" t="s">
        <v>1862</v>
      </c>
      <c r="E10" s="224"/>
      <c r="F10" s="29" t="s">
        <v>5409</v>
      </c>
      <c r="G10" s="29" t="s">
        <v>5410</v>
      </c>
      <c r="H10" s="225"/>
      <c r="I10" s="213" t="b">
        <v>0</v>
      </c>
      <c r="J10" s="213" t="b">
        <v>0</v>
      </c>
      <c r="K10" s="213" t="b">
        <v>0</v>
      </c>
    </row>
    <row r="11" spans="1:11" ht="12.75" hidden="1">
      <c r="A11" s="28">
        <v>2025</v>
      </c>
      <c r="B11" s="223">
        <v>45689</v>
      </c>
      <c r="C11" s="29" t="s">
        <v>5408</v>
      </c>
      <c r="D11" s="29" t="s">
        <v>1862</v>
      </c>
      <c r="E11" s="224"/>
      <c r="F11" s="29" t="s">
        <v>5411</v>
      </c>
      <c r="G11" s="29" t="s">
        <v>5410</v>
      </c>
      <c r="H11" s="225"/>
      <c r="I11" s="213" t="b">
        <v>0</v>
      </c>
      <c r="J11" s="213" t="b">
        <v>0</v>
      </c>
      <c r="K11" s="213" t="b">
        <v>0</v>
      </c>
    </row>
    <row r="12" spans="1:11" ht="38.25" hidden="1">
      <c r="A12" s="28">
        <v>2025</v>
      </c>
      <c r="B12" s="223">
        <v>45717</v>
      </c>
      <c r="C12" s="29" t="s">
        <v>1867</v>
      </c>
      <c r="D12" s="29" t="s">
        <v>62</v>
      </c>
      <c r="E12" s="221">
        <v>45694</v>
      </c>
      <c r="F12" s="29" t="s">
        <v>1079</v>
      </c>
      <c r="G12" s="29" t="s">
        <v>5412</v>
      </c>
      <c r="H12" s="225"/>
      <c r="I12" s="213" t="b">
        <v>0</v>
      </c>
      <c r="J12" s="213" t="b">
        <v>0</v>
      </c>
      <c r="K12" s="213" t="b">
        <v>0</v>
      </c>
    </row>
    <row r="13" spans="1:11" ht="51" hidden="1">
      <c r="A13" s="28">
        <v>2025</v>
      </c>
      <c r="B13" s="223">
        <v>45748</v>
      </c>
      <c r="C13" s="29" t="s">
        <v>5408</v>
      </c>
      <c r="D13" s="29" t="s">
        <v>1838</v>
      </c>
      <c r="E13" s="221">
        <v>45694</v>
      </c>
      <c r="F13" s="29" t="s">
        <v>5413</v>
      </c>
      <c r="G13" s="29" t="s">
        <v>1349</v>
      </c>
      <c r="H13" s="226">
        <v>47400</v>
      </c>
      <c r="I13" s="213" t="b">
        <v>0</v>
      </c>
      <c r="J13" s="213" t="b">
        <v>0</v>
      </c>
      <c r="K13" s="213" t="b">
        <v>0</v>
      </c>
    </row>
    <row r="14" spans="1:11" ht="51" hidden="1">
      <c r="A14" s="28">
        <v>2025</v>
      </c>
      <c r="B14" s="223">
        <v>45778</v>
      </c>
      <c r="C14" s="227"/>
      <c r="D14" s="29" t="s">
        <v>1340</v>
      </c>
      <c r="E14" s="221">
        <v>45694</v>
      </c>
      <c r="F14" s="29" t="s">
        <v>1341</v>
      </c>
      <c r="G14" s="29" t="s">
        <v>1342</v>
      </c>
      <c r="H14" s="226">
        <v>2535792</v>
      </c>
      <c r="I14" s="213" t="b">
        <v>0</v>
      </c>
      <c r="J14" s="213" t="b">
        <v>0</v>
      </c>
      <c r="K14" s="213" t="b">
        <v>0</v>
      </c>
    </row>
    <row r="15" spans="1:11" ht="25.5" hidden="1">
      <c r="A15" s="228"/>
      <c r="B15" s="28" t="s">
        <v>5414</v>
      </c>
      <c r="C15" s="29" t="s">
        <v>5415</v>
      </c>
      <c r="D15" s="29" t="s">
        <v>1340</v>
      </c>
      <c r="E15" s="221">
        <v>45694</v>
      </c>
      <c r="F15" s="29" t="s">
        <v>5416</v>
      </c>
      <c r="G15" s="29" t="s">
        <v>5417</v>
      </c>
      <c r="H15" s="226">
        <v>1885973.42</v>
      </c>
      <c r="I15" s="213" t="b">
        <v>0</v>
      </c>
      <c r="J15" s="213" t="b">
        <v>0</v>
      </c>
      <c r="K15" s="213" t="b">
        <v>0</v>
      </c>
    </row>
    <row r="16" spans="1:11" ht="51" hidden="1">
      <c r="A16" s="28">
        <v>2025</v>
      </c>
      <c r="B16" s="223">
        <v>45901</v>
      </c>
      <c r="C16" s="29" t="s">
        <v>5415</v>
      </c>
      <c r="D16" s="29" t="s">
        <v>85</v>
      </c>
      <c r="E16" s="221">
        <v>45708</v>
      </c>
      <c r="F16" s="29" t="s">
        <v>392</v>
      </c>
      <c r="G16" s="29" t="s">
        <v>393</v>
      </c>
      <c r="H16" s="226">
        <v>81439.679999999993</v>
      </c>
      <c r="I16" s="213" t="b">
        <v>0</v>
      </c>
      <c r="J16" s="213" t="b">
        <v>0</v>
      </c>
      <c r="K16" s="213" t="b">
        <v>0</v>
      </c>
    </row>
    <row r="17" spans="1:11" ht="51" hidden="1">
      <c r="A17" s="28">
        <v>2025</v>
      </c>
      <c r="B17" s="229">
        <v>45931</v>
      </c>
      <c r="C17" s="29" t="s">
        <v>5415</v>
      </c>
      <c r="D17" s="29" t="s">
        <v>394</v>
      </c>
      <c r="E17" s="221">
        <v>45708</v>
      </c>
      <c r="F17" s="29" t="s">
        <v>395</v>
      </c>
      <c r="G17" s="29" t="s">
        <v>396</v>
      </c>
      <c r="H17" s="226">
        <v>110000</v>
      </c>
      <c r="I17" s="213" t="b">
        <v>0</v>
      </c>
      <c r="J17" s="213" t="b">
        <v>0</v>
      </c>
      <c r="K17" s="213" t="b">
        <v>0</v>
      </c>
    </row>
    <row r="18" spans="1:11" ht="51" hidden="1">
      <c r="A18" s="28">
        <v>2025</v>
      </c>
      <c r="B18" s="229">
        <v>45962</v>
      </c>
      <c r="C18" s="29" t="s">
        <v>5415</v>
      </c>
      <c r="D18" s="29" t="s">
        <v>394</v>
      </c>
      <c r="E18" s="221">
        <v>45708</v>
      </c>
      <c r="F18" s="29" t="s">
        <v>397</v>
      </c>
      <c r="G18" s="29" t="s">
        <v>398</v>
      </c>
      <c r="H18" s="226">
        <v>21000</v>
      </c>
      <c r="I18" s="213" t="b">
        <v>0</v>
      </c>
      <c r="J18" s="213" t="b">
        <v>0</v>
      </c>
      <c r="K18" s="213" t="b">
        <v>0</v>
      </c>
    </row>
    <row r="19" spans="1:11" ht="25.5" hidden="1">
      <c r="A19" s="28">
        <v>2025</v>
      </c>
      <c r="B19" s="229">
        <v>45992</v>
      </c>
      <c r="C19" s="29" t="s">
        <v>1867</v>
      </c>
      <c r="D19" s="29" t="s">
        <v>1262</v>
      </c>
      <c r="E19" s="221">
        <v>45708</v>
      </c>
      <c r="F19" s="29" t="s">
        <v>5418</v>
      </c>
      <c r="G19" s="29" t="s">
        <v>5419</v>
      </c>
      <c r="H19" s="225"/>
      <c r="I19" s="213" t="b">
        <v>0</v>
      </c>
      <c r="J19" s="213" t="b">
        <v>0</v>
      </c>
      <c r="K19" s="213" t="b">
        <v>0</v>
      </c>
    </row>
    <row r="20" spans="1:11" ht="51" hidden="1">
      <c r="A20" s="28">
        <v>2025</v>
      </c>
      <c r="B20" s="28" t="s">
        <v>993</v>
      </c>
      <c r="C20" s="227"/>
      <c r="D20" s="29" t="s">
        <v>994</v>
      </c>
      <c r="E20" s="230">
        <v>45743</v>
      </c>
      <c r="F20" s="29" t="s">
        <v>995</v>
      </c>
      <c r="G20" s="29" t="s">
        <v>5420</v>
      </c>
      <c r="H20" s="226">
        <v>4100000</v>
      </c>
      <c r="I20" s="213" t="b">
        <v>0</v>
      </c>
      <c r="J20" s="213" t="b">
        <v>0</v>
      </c>
      <c r="K20" s="213" t="b">
        <v>0</v>
      </c>
    </row>
    <row r="21" spans="1:11" ht="51" hidden="1">
      <c r="A21" s="28">
        <v>2025</v>
      </c>
      <c r="B21" s="28" t="s">
        <v>5421</v>
      </c>
      <c r="C21" s="29" t="s">
        <v>1867</v>
      </c>
      <c r="D21" s="29" t="s">
        <v>62</v>
      </c>
      <c r="E21" s="230">
        <v>45743</v>
      </c>
      <c r="F21" s="29" t="s">
        <v>3176</v>
      </c>
      <c r="G21" s="29" t="s">
        <v>5422</v>
      </c>
      <c r="H21" s="225"/>
      <c r="I21" s="213" t="b">
        <v>0</v>
      </c>
      <c r="J21" s="213" t="b">
        <v>0</v>
      </c>
      <c r="K21" s="213" t="b">
        <v>0</v>
      </c>
    </row>
    <row r="22" spans="1:11" ht="25.5" hidden="1">
      <c r="A22" s="28">
        <v>2025</v>
      </c>
      <c r="B22" s="28" t="s">
        <v>5423</v>
      </c>
      <c r="C22" s="29" t="s">
        <v>1867</v>
      </c>
      <c r="D22" s="29" t="s">
        <v>62</v>
      </c>
      <c r="E22" s="230">
        <v>45743</v>
      </c>
      <c r="F22" s="29" t="s">
        <v>5424</v>
      </c>
      <c r="G22" s="29" t="s">
        <v>5425</v>
      </c>
      <c r="H22" s="225"/>
      <c r="I22" s="213" t="b">
        <v>0</v>
      </c>
      <c r="J22" s="213" t="b">
        <v>0</v>
      </c>
      <c r="K22" s="213" t="b">
        <v>0</v>
      </c>
    </row>
    <row r="23" spans="1:11" ht="25.5" hidden="1">
      <c r="A23" s="28">
        <v>2025</v>
      </c>
      <c r="B23" s="231" t="s">
        <v>5426</v>
      </c>
      <c r="C23" s="220" t="s">
        <v>1867</v>
      </c>
      <c r="D23" s="220" t="s">
        <v>5427</v>
      </c>
      <c r="E23" s="230">
        <v>45743</v>
      </c>
      <c r="F23" s="29" t="s">
        <v>5428</v>
      </c>
      <c r="G23" s="29" t="s">
        <v>5429</v>
      </c>
      <c r="H23" s="225"/>
      <c r="I23" s="213" t="b">
        <v>0</v>
      </c>
      <c r="J23" s="213" t="b">
        <v>0</v>
      </c>
      <c r="K23" s="213" t="b">
        <v>0</v>
      </c>
    </row>
    <row r="24" spans="1:11" ht="89.25" hidden="1">
      <c r="A24" s="28">
        <v>2025</v>
      </c>
      <c r="B24" s="231" t="s">
        <v>98</v>
      </c>
      <c r="C24" s="220" t="s">
        <v>5415</v>
      </c>
      <c r="D24" s="29" t="s">
        <v>85</v>
      </c>
      <c r="E24" s="221">
        <v>45777</v>
      </c>
      <c r="F24" s="29" t="s">
        <v>5430</v>
      </c>
      <c r="G24" s="29" t="s">
        <v>5431</v>
      </c>
      <c r="H24" s="226">
        <v>358538</v>
      </c>
      <c r="I24" s="213" t="b">
        <v>0</v>
      </c>
      <c r="J24" s="213" t="b">
        <v>0</v>
      </c>
      <c r="K24" s="213" t="b">
        <v>0</v>
      </c>
    </row>
    <row r="25" spans="1:11" ht="89.25" hidden="1">
      <c r="A25" s="28">
        <v>2025</v>
      </c>
      <c r="B25" s="231" t="s">
        <v>1804</v>
      </c>
      <c r="C25" s="220" t="s">
        <v>5415</v>
      </c>
      <c r="D25" s="220" t="s">
        <v>85</v>
      </c>
      <c r="E25" s="230">
        <v>45777</v>
      </c>
      <c r="F25" s="29" t="s">
        <v>316</v>
      </c>
      <c r="G25" s="29" t="s">
        <v>5432</v>
      </c>
      <c r="H25" s="226">
        <v>229654</v>
      </c>
      <c r="I25" s="213" t="b">
        <v>0</v>
      </c>
      <c r="J25" s="213" t="b">
        <v>0</v>
      </c>
      <c r="K25" s="213" t="b">
        <v>0</v>
      </c>
    </row>
    <row r="26" spans="1:11" ht="51" hidden="1">
      <c r="A26" s="28">
        <v>2025</v>
      </c>
      <c r="B26" s="231" t="s">
        <v>401</v>
      </c>
      <c r="C26" s="220" t="s">
        <v>5415</v>
      </c>
      <c r="D26" s="220" t="s">
        <v>394</v>
      </c>
      <c r="E26" s="230">
        <v>45777</v>
      </c>
      <c r="F26" s="29" t="s">
        <v>5433</v>
      </c>
      <c r="G26" s="29" t="s">
        <v>403</v>
      </c>
      <c r="H26" s="225">
        <v>75000</v>
      </c>
      <c r="I26" s="213" t="b">
        <v>0</v>
      </c>
      <c r="J26" s="213" t="b">
        <v>0</v>
      </c>
      <c r="K26" s="213" t="b">
        <v>0</v>
      </c>
    </row>
    <row r="27" spans="1:11" ht="38.25" hidden="1">
      <c r="A27" s="28">
        <v>2025</v>
      </c>
      <c r="B27" s="231" t="s">
        <v>404</v>
      </c>
      <c r="C27" s="220" t="s">
        <v>5415</v>
      </c>
      <c r="D27" s="220" t="s">
        <v>394</v>
      </c>
      <c r="E27" s="230">
        <v>45777</v>
      </c>
      <c r="F27" s="29" t="s">
        <v>405</v>
      </c>
      <c r="G27" s="29" t="s">
        <v>406</v>
      </c>
      <c r="H27" s="225">
        <v>65000</v>
      </c>
      <c r="I27" s="213" t="b">
        <v>0</v>
      </c>
      <c r="J27" s="213" t="b">
        <v>0</v>
      </c>
      <c r="K27" s="213" t="b">
        <v>0</v>
      </c>
    </row>
    <row r="28" spans="1:11" ht="38.25" hidden="1">
      <c r="A28" s="28">
        <v>2025</v>
      </c>
      <c r="B28" s="231" t="s">
        <v>407</v>
      </c>
      <c r="C28" s="220" t="s">
        <v>5415</v>
      </c>
      <c r="D28" s="220" t="s">
        <v>394</v>
      </c>
      <c r="E28" s="230">
        <v>45777</v>
      </c>
      <c r="F28" s="29" t="s">
        <v>1001</v>
      </c>
      <c r="G28" s="29" t="s">
        <v>409</v>
      </c>
      <c r="H28" s="225">
        <v>75000</v>
      </c>
      <c r="I28" s="213" t="b">
        <v>0</v>
      </c>
      <c r="J28" s="213" t="b">
        <v>0</v>
      </c>
      <c r="K28" s="213" t="b">
        <v>0</v>
      </c>
    </row>
    <row r="29" spans="1:11" ht="38.25" hidden="1">
      <c r="A29" s="28">
        <v>2025</v>
      </c>
      <c r="B29" s="231" t="s">
        <v>998</v>
      </c>
      <c r="C29" s="220" t="s">
        <v>5415</v>
      </c>
      <c r="D29" s="220" t="s">
        <v>999</v>
      </c>
      <c r="E29" s="230">
        <v>45777</v>
      </c>
      <c r="F29" s="29" t="s">
        <v>1000</v>
      </c>
      <c r="G29" s="29" t="s">
        <v>1001</v>
      </c>
      <c r="H29" s="225">
        <v>2500000</v>
      </c>
      <c r="I29" s="213" t="b">
        <v>0</v>
      </c>
      <c r="J29" s="213" t="b">
        <v>0</v>
      </c>
      <c r="K29" s="213" t="b">
        <v>0</v>
      </c>
    </row>
    <row r="30" spans="1:11" ht="38.25" hidden="1">
      <c r="A30" s="28">
        <v>2025</v>
      </c>
      <c r="B30" s="231" t="s">
        <v>1343</v>
      </c>
      <c r="C30" s="220" t="s">
        <v>5415</v>
      </c>
      <c r="D30" s="227"/>
      <c r="E30" s="230">
        <v>45803</v>
      </c>
      <c r="F30" s="29" t="s">
        <v>1345</v>
      </c>
      <c r="G30" s="29" t="s">
        <v>1346</v>
      </c>
      <c r="H30" s="225">
        <v>200000</v>
      </c>
      <c r="I30" s="213" t="b">
        <v>0</v>
      </c>
      <c r="J30" s="213" t="b">
        <v>0</v>
      </c>
      <c r="K30" s="213" t="b">
        <v>0</v>
      </c>
    </row>
    <row r="31" spans="1:11" ht="12.75" hidden="1">
      <c r="A31" s="28">
        <v>2025</v>
      </c>
      <c r="B31" s="231" t="s">
        <v>5434</v>
      </c>
      <c r="C31" s="227"/>
      <c r="D31" s="227"/>
      <c r="E31" s="224"/>
      <c r="F31" s="29"/>
      <c r="G31" s="232"/>
      <c r="H31" s="225"/>
      <c r="I31" s="213" t="b">
        <v>0</v>
      </c>
      <c r="J31" s="213" t="b">
        <v>0</v>
      </c>
      <c r="K31" s="213" t="b">
        <v>0</v>
      </c>
    </row>
    <row r="32" spans="1:11" ht="12.75" hidden="1">
      <c r="A32" s="28">
        <v>2025</v>
      </c>
      <c r="B32" s="231" t="s">
        <v>1347</v>
      </c>
      <c r="C32" s="227"/>
      <c r="D32" s="227"/>
      <c r="E32" s="224"/>
      <c r="F32" s="29"/>
      <c r="G32" s="232"/>
      <c r="H32" s="225"/>
      <c r="I32" s="213" t="b">
        <v>0</v>
      </c>
      <c r="J32" s="213" t="b">
        <v>0</v>
      </c>
      <c r="K32" s="213" t="b">
        <v>0</v>
      </c>
    </row>
    <row r="33" spans="1:11" ht="51" hidden="1">
      <c r="A33" s="28">
        <v>2025</v>
      </c>
      <c r="B33" s="231" t="s">
        <v>410</v>
      </c>
      <c r="C33" s="220" t="s">
        <v>5415</v>
      </c>
      <c r="D33" s="220" t="s">
        <v>85</v>
      </c>
      <c r="E33" s="230">
        <v>45777</v>
      </c>
      <c r="F33" s="29" t="s">
        <v>411</v>
      </c>
      <c r="G33" s="29" t="s">
        <v>412</v>
      </c>
      <c r="H33" s="225">
        <v>263282.5</v>
      </c>
      <c r="I33" s="213" t="b">
        <v>0</v>
      </c>
      <c r="J33" s="213" t="b">
        <v>0</v>
      </c>
      <c r="K33" s="213" t="b">
        <v>0</v>
      </c>
    </row>
    <row r="34" spans="1:11" ht="38.25" hidden="1">
      <c r="A34" s="233" t="s">
        <v>166</v>
      </c>
      <c r="B34" s="234" t="s">
        <v>5435</v>
      </c>
      <c r="C34" s="29" t="s">
        <v>61</v>
      </c>
      <c r="D34" s="29" t="s">
        <v>1862</v>
      </c>
      <c r="E34" s="221">
        <v>45294</v>
      </c>
      <c r="F34" s="29" t="s">
        <v>5436</v>
      </c>
      <c r="G34" s="29" t="s">
        <v>5437</v>
      </c>
      <c r="H34" s="225">
        <v>1150309</v>
      </c>
      <c r="I34" s="213" t="b">
        <v>0</v>
      </c>
      <c r="J34" s="213" t="b">
        <v>0</v>
      </c>
      <c r="K34" s="213" t="b">
        <v>0</v>
      </c>
    </row>
    <row r="35" spans="1:11" ht="38.25" hidden="1">
      <c r="A35" s="234" t="s">
        <v>166</v>
      </c>
      <c r="B35" s="234" t="s">
        <v>5438</v>
      </c>
      <c r="C35" s="29" t="s">
        <v>2406</v>
      </c>
      <c r="D35" s="220" t="s">
        <v>62</v>
      </c>
      <c r="E35" s="221">
        <v>45294</v>
      </c>
      <c r="F35" s="29" t="s">
        <v>5439</v>
      </c>
      <c r="G35" s="29" t="s">
        <v>1056</v>
      </c>
      <c r="H35" s="225" t="s">
        <v>1808</v>
      </c>
      <c r="I35" s="213" t="b">
        <v>0</v>
      </c>
      <c r="J35" s="213" t="b">
        <v>0</v>
      </c>
      <c r="K35" s="213" t="b">
        <v>0</v>
      </c>
    </row>
    <row r="36" spans="1:11" ht="25.5" hidden="1">
      <c r="A36" s="233" t="s">
        <v>166</v>
      </c>
      <c r="B36" s="234" t="s">
        <v>5440</v>
      </c>
      <c r="C36" s="29" t="s">
        <v>5441</v>
      </c>
      <c r="D36" s="29" t="s">
        <v>85</v>
      </c>
      <c r="E36" s="221">
        <v>45294</v>
      </c>
      <c r="F36" s="29" t="s">
        <v>5442</v>
      </c>
      <c r="G36" s="29" t="s">
        <v>5443</v>
      </c>
      <c r="H36" s="226" t="s">
        <v>1808</v>
      </c>
      <c r="I36" s="213" t="b">
        <v>0</v>
      </c>
      <c r="J36" s="213" t="b">
        <v>0</v>
      </c>
      <c r="K36" s="213" t="b">
        <v>0</v>
      </c>
    </row>
    <row r="37" spans="1:11" ht="38.25" hidden="1">
      <c r="A37" s="234" t="s">
        <v>166</v>
      </c>
      <c r="B37" s="234" t="s">
        <v>5444</v>
      </c>
      <c r="C37" s="220" t="s">
        <v>5441</v>
      </c>
      <c r="D37" s="29" t="s">
        <v>85</v>
      </c>
      <c r="E37" s="221">
        <v>45301</v>
      </c>
      <c r="F37" s="29" t="s">
        <v>5445</v>
      </c>
      <c r="G37" s="29" t="s">
        <v>5446</v>
      </c>
      <c r="H37" s="226" t="s">
        <v>1808</v>
      </c>
      <c r="I37" s="213" t="b">
        <v>0</v>
      </c>
      <c r="J37" s="213" t="b">
        <v>0</v>
      </c>
      <c r="K37" s="213" t="b">
        <v>0</v>
      </c>
    </row>
    <row r="38" spans="1:11" ht="12.75" hidden="1">
      <c r="A38" s="234" t="s">
        <v>166</v>
      </c>
      <c r="B38" s="234" t="s">
        <v>5447</v>
      </c>
      <c r="C38" s="220" t="s">
        <v>5441</v>
      </c>
      <c r="D38" s="220" t="s">
        <v>85</v>
      </c>
      <c r="E38" s="221">
        <v>45294</v>
      </c>
      <c r="F38" s="29" t="s">
        <v>5448</v>
      </c>
      <c r="G38" s="29" t="s">
        <v>5449</v>
      </c>
      <c r="H38" s="226" t="s">
        <v>1808</v>
      </c>
      <c r="I38" s="213" t="b">
        <v>0</v>
      </c>
      <c r="J38" s="213" t="b">
        <v>0</v>
      </c>
      <c r="K38" s="213" t="b">
        <v>0</v>
      </c>
    </row>
    <row r="39" spans="1:11" ht="76.5" hidden="1">
      <c r="A39" s="234" t="s">
        <v>166</v>
      </c>
      <c r="B39" s="234" t="s">
        <v>5450</v>
      </c>
      <c r="C39" s="29" t="s">
        <v>61</v>
      </c>
      <c r="D39" s="220" t="s">
        <v>394</v>
      </c>
      <c r="E39" s="221">
        <v>45310</v>
      </c>
      <c r="F39" s="29" t="s">
        <v>420</v>
      </c>
      <c r="G39" s="29" t="s">
        <v>421</v>
      </c>
      <c r="H39" s="225">
        <v>18900</v>
      </c>
      <c r="I39" s="213" t="b">
        <v>0</v>
      </c>
      <c r="J39" s="213" t="b">
        <v>0</v>
      </c>
      <c r="K39" s="213" t="b">
        <v>0</v>
      </c>
    </row>
    <row r="40" spans="1:11" ht="51" hidden="1">
      <c r="A40" s="234" t="s">
        <v>166</v>
      </c>
      <c r="B40" s="234" t="s">
        <v>5451</v>
      </c>
      <c r="C40" s="29" t="s">
        <v>5452</v>
      </c>
      <c r="D40" s="220" t="s">
        <v>1379</v>
      </c>
      <c r="E40" s="221">
        <v>45317</v>
      </c>
      <c r="F40" s="29" t="s">
        <v>5453</v>
      </c>
      <c r="G40" s="29" t="s">
        <v>5454</v>
      </c>
      <c r="H40" s="225">
        <v>3669000</v>
      </c>
      <c r="I40" s="213" t="b">
        <v>0</v>
      </c>
      <c r="J40" s="213" t="b">
        <v>0</v>
      </c>
      <c r="K40" s="213" t="b">
        <v>0</v>
      </c>
    </row>
    <row r="41" spans="1:11" ht="63.75" hidden="1">
      <c r="A41" s="234" t="s">
        <v>166</v>
      </c>
      <c r="B41" s="234" t="s">
        <v>5455</v>
      </c>
      <c r="C41" s="29" t="s">
        <v>61</v>
      </c>
      <c r="D41" s="220" t="s">
        <v>394</v>
      </c>
      <c r="E41" s="221">
        <v>45337</v>
      </c>
      <c r="F41" s="29" t="s">
        <v>422</v>
      </c>
      <c r="G41" s="29" t="s">
        <v>423</v>
      </c>
      <c r="H41" s="225">
        <v>122000</v>
      </c>
      <c r="I41" s="213" t="b">
        <v>0</v>
      </c>
      <c r="J41" s="213" t="b">
        <v>0</v>
      </c>
      <c r="K41" s="213" t="b">
        <v>0</v>
      </c>
    </row>
    <row r="42" spans="1:11" ht="76.5" hidden="1">
      <c r="A42" s="234" t="s">
        <v>166</v>
      </c>
      <c r="B42" s="234" t="s">
        <v>5456</v>
      </c>
      <c r="C42" s="29" t="s">
        <v>61</v>
      </c>
      <c r="D42" s="29" t="s">
        <v>394</v>
      </c>
      <c r="E42" s="221">
        <v>45337</v>
      </c>
      <c r="F42" s="29" t="s">
        <v>424</v>
      </c>
      <c r="G42" s="29" t="s">
        <v>425</v>
      </c>
      <c r="H42" s="226">
        <v>8000</v>
      </c>
      <c r="I42" s="213" t="b">
        <v>0</v>
      </c>
      <c r="J42" s="213" t="b">
        <v>0</v>
      </c>
      <c r="K42" s="213" t="b">
        <v>0</v>
      </c>
    </row>
    <row r="43" spans="1:11" ht="38.25" hidden="1">
      <c r="A43" s="234" t="s">
        <v>166</v>
      </c>
      <c r="B43" s="234" t="s">
        <v>5457</v>
      </c>
      <c r="C43" s="29" t="s">
        <v>61</v>
      </c>
      <c r="D43" s="29" t="s">
        <v>85</v>
      </c>
      <c r="E43" s="221">
        <v>45337</v>
      </c>
      <c r="F43" s="29" t="s">
        <v>426</v>
      </c>
      <c r="G43" s="29" t="s">
        <v>427</v>
      </c>
      <c r="H43" s="226">
        <v>227925</v>
      </c>
      <c r="I43" s="213" t="b">
        <v>0</v>
      </c>
      <c r="J43" s="213" t="b">
        <v>0</v>
      </c>
      <c r="K43" s="213" t="b">
        <v>0</v>
      </c>
    </row>
    <row r="44" spans="1:11" ht="25.5" hidden="1">
      <c r="A44" s="234" t="s">
        <v>166</v>
      </c>
      <c r="B44" s="234" t="s">
        <v>5458</v>
      </c>
      <c r="C44" s="29" t="s">
        <v>1867</v>
      </c>
      <c r="D44" s="29" t="s">
        <v>62</v>
      </c>
      <c r="E44" s="221">
        <v>45337</v>
      </c>
      <c r="F44" s="29" t="s">
        <v>5459</v>
      </c>
      <c r="G44" s="29" t="s">
        <v>5460</v>
      </c>
      <c r="H44" s="226">
        <v>1493838</v>
      </c>
      <c r="I44" s="213" t="b">
        <v>0</v>
      </c>
      <c r="J44" s="213" t="b">
        <v>0</v>
      </c>
      <c r="K44" s="213" t="b">
        <v>0</v>
      </c>
    </row>
    <row r="45" spans="1:11" ht="51" hidden="1">
      <c r="A45" s="234" t="s">
        <v>166</v>
      </c>
      <c r="B45" s="234" t="s">
        <v>5461</v>
      </c>
      <c r="C45" s="29" t="s">
        <v>61</v>
      </c>
      <c r="D45" s="29" t="s">
        <v>394</v>
      </c>
      <c r="E45" s="221">
        <v>45350</v>
      </c>
      <c r="F45" s="29" t="s">
        <v>428</v>
      </c>
      <c r="G45" s="29" t="s">
        <v>429</v>
      </c>
      <c r="H45" s="226">
        <v>77500</v>
      </c>
      <c r="I45" s="213" t="b">
        <v>0</v>
      </c>
      <c r="J45" s="213" t="b">
        <v>0</v>
      </c>
      <c r="K45" s="213" t="b">
        <v>0</v>
      </c>
    </row>
    <row r="46" spans="1:11" ht="51" hidden="1">
      <c r="A46" s="233" t="s">
        <v>166</v>
      </c>
      <c r="B46" s="233" t="s">
        <v>5462</v>
      </c>
      <c r="C46" s="29" t="s">
        <v>61</v>
      </c>
      <c r="D46" s="29" t="s">
        <v>394</v>
      </c>
      <c r="E46" s="221">
        <v>45350</v>
      </c>
      <c r="F46" s="29" t="s">
        <v>430</v>
      </c>
      <c r="G46" s="29" t="s">
        <v>431</v>
      </c>
      <c r="H46" s="226">
        <v>51300</v>
      </c>
      <c r="I46" s="213" t="b">
        <v>0</v>
      </c>
      <c r="J46" s="213" t="b">
        <v>0</v>
      </c>
      <c r="K46" s="213" t="b">
        <v>0</v>
      </c>
    </row>
    <row r="47" spans="1:11" ht="38.25" hidden="1">
      <c r="A47" s="234" t="s">
        <v>166</v>
      </c>
      <c r="B47" s="234" t="s">
        <v>1371</v>
      </c>
      <c r="C47" s="29" t="s">
        <v>61</v>
      </c>
      <c r="D47" s="29" t="s">
        <v>1372</v>
      </c>
      <c r="E47" s="221">
        <v>45358</v>
      </c>
      <c r="F47" s="29" t="s">
        <v>1373</v>
      </c>
      <c r="G47" s="29" t="s">
        <v>1374</v>
      </c>
      <c r="H47" s="226">
        <v>2865280</v>
      </c>
      <c r="I47" s="213" t="b">
        <v>0</v>
      </c>
      <c r="J47" s="213" t="b">
        <v>0</v>
      </c>
      <c r="K47" s="213" t="b">
        <v>0</v>
      </c>
    </row>
    <row r="48" spans="1:11" ht="76.5" hidden="1">
      <c r="A48" s="233" t="s">
        <v>166</v>
      </c>
      <c r="B48" s="233" t="s">
        <v>432</v>
      </c>
      <c r="C48" s="29" t="s">
        <v>61</v>
      </c>
      <c r="D48" s="29" t="s">
        <v>85</v>
      </c>
      <c r="E48" s="221">
        <v>45372</v>
      </c>
      <c r="F48" s="29" t="s">
        <v>433</v>
      </c>
      <c r="G48" s="29" t="s">
        <v>434</v>
      </c>
      <c r="H48" s="226">
        <v>32252</v>
      </c>
      <c r="I48" s="213" t="b">
        <v>0</v>
      </c>
      <c r="J48" s="213" t="b">
        <v>0</v>
      </c>
      <c r="K48" s="213" t="b">
        <v>0</v>
      </c>
    </row>
    <row r="49" spans="1:11" ht="51" hidden="1">
      <c r="A49" s="234" t="s">
        <v>166</v>
      </c>
      <c r="B49" s="234" t="s">
        <v>5463</v>
      </c>
      <c r="C49" s="29" t="s">
        <v>5464</v>
      </c>
      <c r="D49" s="29" t="s">
        <v>1372</v>
      </c>
      <c r="E49" s="221">
        <v>45372</v>
      </c>
      <c r="F49" s="29" t="s">
        <v>5465</v>
      </c>
      <c r="G49" s="29" t="s">
        <v>5466</v>
      </c>
      <c r="H49" s="226">
        <v>2865280</v>
      </c>
      <c r="I49" s="213" t="b">
        <v>0</v>
      </c>
      <c r="J49" s="213" t="b">
        <v>0</v>
      </c>
      <c r="K49" s="213" t="b">
        <v>0</v>
      </c>
    </row>
    <row r="50" spans="1:11" ht="38.25" hidden="1">
      <c r="A50" s="233" t="s">
        <v>166</v>
      </c>
      <c r="B50" s="233" t="s">
        <v>435</v>
      </c>
      <c r="C50" s="29" t="s">
        <v>61</v>
      </c>
      <c r="D50" s="29" t="s">
        <v>394</v>
      </c>
      <c r="E50" s="221">
        <v>45394</v>
      </c>
      <c r="F50" s="29" t="s">
        <v>436</v>
      </c>
      <c r="G50" s="29" t="s">
        <v>437</v>
      </c>
      <c r="H50" s="226">
        <v>60000</v>
      </c>
      <c r="I50" s="213" t="b">
        <v>0</v>
      </c>
      <c r="J50" s="213" t="b">
        <v>0</v>
      </c>
      <c r="K50" s="213" t="b">
        <v>0</v>
      </c>
    </row>
    <row r="51" spans="1:11" ht="89.25" hidden="1">
      <c r="A51" s="234" t="s">
        <v>166</v>
      </c>
      <c r="B51" s="234" t="s">
        <v>438</v>
      </c>
      <c r="C51" s="29" t="s">
        <v>61</v>
      </c>
      <c r="D51" s="29" t="s">
        <v>85</v>
      </c>
      <c r="E51" s="221">
        <v>45394</v>
      </c>
      <c r="F51" s="29" t="s">
        <v>439</v>
      </c>
      <c r="G51" s="29" t="s">
        <v>5467</v>
      </c>
      <c r="H51" s="226">
        <v>71385</v>
      </c>
      <c r="I51" s="213" t="b">
        <v>0</v>
      </c>
      <c r="J51" s="213" t="b">
        <v>0</v>
      </c>
      <c r="K51" s="213" t="b">
        <v>0</v>
      </c>
    </row>
    <row r="52" spans="1:11" ht="38.25" hidden="1">
      <c r="A52" s="233" t="s">
        <v>166</v>
      </c>
      <c r="B52" s="233" t="s">
        <v>1375</v>
      </c>
      <c r="C52" s="29" t="s">
        <v>61</v>
      </c>
      <c r="D52" s="29" t="s">
        <v>1372</v>
      </c>
      <c r="E52" s="221">
        <v>45394</v>
      </c>
      <c r="F52" s="29" t="s">
        <v>1376</v>
      </c>
      <c r="G52" s="29" t="s">
        <v>1377</v>
      </c>
      <c r="H52" s="226">
        <v>1580912.96</v>
      </c>
      <c r="I52" s="213" t="b">
        <v>0</v>
      </c>
      <c r="J52" s="213" t="b">
        <v>0</v>
      </c>
      <c r="K52" s="213" t="b">
        <v>0</v>
      </c>
    </row>
    <row r="53" spans="1:11" ht="25.5" hidden="1">
      <c r="A53" s="234" t="s">
        <v>166</v>
      </c>
      <c r="B53" s="234" t="s">
        <v>1378</v>
      </c>
      <c r="C53" s="29" t="s">
        <v>61</v>
      </c>
      <c r="D53" s="220" t="s">
        <v>1379</v>
      </c>
      <c r="E53" s="221">
        <v>45403</v>
      </c>
      <c r="F53" s="29" t="s">
        <v>1380</v>
      </c>
      <c r="G53" s="235" t="s">
        <v>5468</v>
      </c>
      <c r="H53" s="226">
        <v>1307000</v>
      </c>
      <c r="I53" s="213" t="b">
        <v>0</v>
      </c>
      <c r="J53" s="213" t="b">
        <v>0</v>
      </c>
      <c r="K53" s="213" t="b">
        <v>0</v>
      </c>
    </row>
    <row r="54" spans="1:11" ht="25.5" hidden="1">
      <c r="A54" s="234" t="s">
        <v>166</v>
      </c>
      <c r="B54" s="234" t="s">
        <v>1382</v>
      </c>
      <c r="C54" s="29" t="s">
        <v>61</v>
      </c>
      <c r="D54" s="29" t="s">
        <v>1383</v>
      </c>
      <c r="E54" s="221">
        <v>45399</v>
      </c>
      <c r="F54" s="29" t="s">
        <v>1384</v>
      </c>
      <c r="G54" s="29" t="s">
        <v>1346</v>
      </c>
      <c r="H54" s="236">
        <v>200000</v>
      </c>
      <c r="I54" s="213" t="b">
        <v>0</v>
      </c>
      <c r="J54" s="213" t="b">
        <v>0</v>
      </c>
      <c r="K54" s="213" t="b">
        <v>0</v>
      </c>
    </row>
    <row r="55" spans="1:11" ht="12.75" hidden="1">
      <c r="A55" s="234" t="s">
        <v>166</v>
      </c>
      <c r="B55" s="234" t="s">
        <v>441</v>
      </c>
      <c r="C55" s="29" t="s">
        <v>61</v>
      </c>
      <c r="D55" s="29" t="s">
        <v>394</v>
      </c>
      <c r="E55" s="221">
        <v>45407</v>
      </c>
      <c r="F55" s="29" t="s">
        <v>442</v>
      </c>
      <c r="G55" s="29" t="s">
        <v>443</v>
      </c>
      <c r="H55" s="226">
        <v>76000</v>
      </c>
      <c r="I55" s="213" t="b">
        <v>0</v>
      </c>
      <c r="J55" s="213" t="b">
        <v>0</v>
      </c>
      <c r="K55" s="213" t="b">
        <v>0</v>
      </c>
    </row>
    <row r="56" spans="1:11" ht="51" hidden="1">
      <c r="A56" s="234" t="s">
        <v>166</v>
      </c>
      <c r="B56" s="234" t="s">
        <v>444</v>
      </c>
      <c r="C56" s="29" t="s">
        <v>61</v>
      </c>
      <c r="D56" s="29" t="s">
        <v>394</v>
      </c>
      <c r="E56" s="221">
        <v>45415</v>
      </c>
      <c r="F56" s="29" t="s">
        <v>445</v>
      </c>
      <c r="G56" s="29" t="s">
        <v>446</v>
      </c>
      <c r="H56" s="226">
        <v>111000</v>
      </c>
      <c r="I56" s="213" t="b">
        <v>0</v>
      </c>
      <c r="J56" s="213" t="b">
        <v>0</v>
      </c>
      <c r="K56" s="213" t="b">
        <v>0</v>
      </c>
    </row>
    <row r="57" spans="1:11" ht="51" hidden="1">
      <c r="A57" s="234" t="s">
        <v>166</v>
      </c>
      <c r="B57" s="234" t="s">
        <v>5469</v>
      </c>
      <c r="C57" s="220" t="s">
        <v>61</v>
      </c>
      <c r="D57" s="29" t="s">
        <v>5470</v>
      </c>
      <c r="E57" s="230">
        <v>45441</v>
      </c>
      <c r="F57" s="29" t="s">
        <v>5471</v>
      </c>
      <c r="G57" s="235" t="s">
        <v>1968</v>
      </c>
      <c r="H57" s="226">
        <v>35075</v>
      </c>
      <c r="I57" s="213" t="b">
        <v>0</v>
      </c>
      <c r="J57" s="213" t="b">
        <v>0</v>
      </c>
      <c r="K57" s="213" t="b">
        <v>0</v>
      </c>
    </row>
    <row r="58" spans="1:11" ht="38.25" hidden="1">
      <c r="A58" s="234" t="s">
        <v>166</v>
      </c>
      <c r="B58" s="234" t="s">
        <v>5472</v>
      </c>
      <c r="C58" s="29" t="s">
        <v>61</v>
      </c>
      <c r="D58" s="29" t="s">
        <v>5473</v>
      </c>
      <c r="E58" s="230">
        <v>45441</v>
      </c>
      <c r="F58" s="29" t="s">
        <v>5474</v>
      </c>
      <c r="G58" s="29" t="s">
        <v>575</v>
      </c>
      <c r="H58" s="226">
        <v>96950</v>
      </c>
      <c r="I58" s="213" t="b">
        <v>0</v>
      </c>
      <c r="J58" s="213" t="b">
        <v>0</v>
      </c>
      <c r="K58" s="213" t="b">
        <v>0</v>
      </c>
    </row>
    <row r="59" spans="1:11" ht="38.25">
      <c r="A59" s="234" t="s">
        <v>295</v>
      </c>
      <c r="B59" s="234" t="s">
        <v>296</v>
      </c>
      <c r="C59" s="29" t="s">
        <v>61</v>
      </c>
      <c r="D59" s="29" t="s">
        <v>225</v>
      </c>
      <c r="E59" s="221">
        <v>45586</v>
      </c>
      <c r="F59" s="29" t="s">
        <v>297</v>
      </c>
      <c r="G59" s="29" t="s">
        <v>298</v>
      </c>
      <c r="H59" s="226">
        <v>4551960</v>
      </c>
      <c r="I59" s="213" t="b">
        <v>0</v>
      </c>
      <c r="J59" s="213"/>
      <c r="K59" s="213"/>
    </row>
    <row r="60" spans="1:11" ht="51">
      <c r="A60" s="234" t="s">
        <v>166</v>
      </c>
      <c r="B60" s="234" t="s">
        <v>224</v>
      </c>
      <c r="C60" s="29" t="s">
        <v>61</v>
      </c>
      <c r="D60" s="29" t="s">
        <v>225</v>
      </c>
      <c r="E60" s="237">
        <v>45544</v>
      </c>
      <c r="F60" s="29" t="s">
        <v>226</v>
      </c>
      <c r="G60" s="29" t="s">
        <v>5475</v>
      </c>
      <c r="H60" s="226">
        <v>3412000</v>
      </c>
      <c r="I60" s="213" t="b">
        <v>0</v>
      </c>
      <c r="J60" s="213"/>
      <c r="K60" s="213"/>
    </row>
    <row r="61" spans="1:11" ht="51">
      <c r="A61" s="234" t="s">
        <v>166</v>
      </c>
      <c r="B61" s="234" t="s">
        <v>230</v>
      </c>
      <c r="C61" s="29" t="s">
        <v>61</v>
      </c>
      <c r="D61" s="29" t="s">
        <v>225</v>
      </c>
      <c r="E61" s="221">
        <v>45565</v>
      </c>
      <c r="F61" s="29" t="s">
        <v>231</v>
      </c>
      <c r="G61" s="29" t="s">
        <v>232</v>
      </c>
      <c r="H61" s="238">
        <v>2332760.88</v>
      </c>
      <c r="I61" s="213" t="b">
        <v>0</v>
      </c>
      <c r="J61" s="213"/>
      <c r="K61" s="213"/>
    </row>
    <row r="62" spans="1:11" ht="63.75">
      <c r="A62" s="234" t="s">
        <v>166</v>
      </c>
      <c r="B62" s="234" t="s">
        <v>234</v>
      </c>
      <c r="C62" s="29" t="s">
        <v>61</v>
      </c>
      <c r="D62" s="29" t="s">
        <v>225</v>
      </c>
      <c r="E62" s="221">
        <v>45547</v>
      </c>
      <c r="F62" s="29" t="s">
        <v>235</v>
      </c>
      <c r="G62" s="235" t="s">
        <v>5476</v>
      </c>
      <c r="H62" s="239">
        <v>4000000</v>
      </c>
      <c r="I62" s="213" t="b">
        <v>0</v>
      </c>
      <c r="J62" s="213"/>
      <c r="K62" s="213"/>
    </row>
    <row r="63" spans="1:11" ht="38.25" hidden="1">
      <c r="A63" s="234" t="s">
        <v>166</v>
      </c>
      <c r="B63" s="234" t="s">
        <v>1385</v>
      </c>
      <c r="C63" s="29" t="s">
        <v>61</v>
      </c>
      <c r="D63" s="29" t="s">
        <v>1383</v>
      </c>
      <c r="E63" s="221">
        <v>45448</v>
      </c>
      <c r="F63" s="29" t="s">
        <v>1386</v>
      </c>
      <c r="G63" s="29" t="s">
        <v>650</v>
      </c>
      <c r="H63" s="239">
        <v>300000</v>
      </c>
      <c r="I63" s="213" t="b">
        <v>0</v>
      </c>
      <c r="J63" s="213" t="b">
        <v>0</v>
      </c>
      <c r="K63" s="213" t="b">
        <v>0</v>
      </c>
    </row>
    <row r="64" spans="1:11" ht="38.25">
      <c r="A64" s="234" t="s">
        <v>295</v>
      </c>
      <c r="B64" s="234" t="s">
        <v>302</v>
      </c>
      <c r="C64" s="29" t="s">
        <v>61</v>
      </c>
      <c r="D64" s="29" t="s">
        <v>225</v>
      </c>
      <c r="E64" s="221">
        <v>45558</v>
      </c>
      <c r="F64" s="29" t="s">
        <v>303</v>
      </c>
      <c r="G64" s="235" t="s">
        <v>304</v>
      </c>
      <c r="H64" s="239">
        <v>4143400.5</v>
      </c>
      <c r="I64" s="213" t="b">
        <v>0</v>
      </c>
      <c r="J64" s="213"/>
      <c r="K64" s="213"/>
    </row>
    <row r="65" spans="1:11" ht="38.25">
      <c r="A65" s="234" t="s">
        <v>166</v>
      </c>
      <c r="B65" s="234" t="s">
        <v>240</v>
      </c>
      <c r="C65" s="29" t="s">
        <v>61</v>
      </c>
      <c r="D65" s="29" t="s">
        <v>225</v>
      </c>
      <c r="E65" s="221">
        <v>45609</v>
      </c>
      <c r="F65" s="29" t="s">
        <v>241</v>
      </c>
      <c r="G65" s="29" t="s">
        <v>242</v>
      </c>
      <c r="H65" s="226">
        <v>4771250</v>
      </c>
      <c r="I65" s="213" t="b">
        <v>0</v>
      </c>
      <c r="J65" s="213"/>
      <c r="K65" s="213"/>
    </row>
    <row r="66" spans="1:11" ht="25.5" hidden="1">
      <c r="A66" s="234" t="s">
        <v>166</v>
      </c>
      <c r="B66" s="234" t="s">
        <v>1387</v>
      </c>
      <c r="C66" s="220" t="s">
        <v>61</v>
      </c>
      <c r="D66" s="29" t="s">
        <v>1383</v>
      </c>
      <c r="E66" s="221">
        <v>45448</v>
      </c>
      <c r="F66" s="29" t="s">
        <v>1388</v>
      </c>
      <c r="G66" s="29" t="s">
        <v>1389</v>
      </c>
      <c r="H66" s="226">
        <v>200000</v>
      </c>
      <c r="I66" s="213" t="b">
        <v>0</v>
      </c>
      <c r="J66" s="213" t="b">
        <v>0</v>
      </c>
      <c r="K66" s="213" t="b">
        <v>0</v>
      </c>
    </row>
    <row r="67" spans="1:11" ht="51">
      <c r="A67" s="234" t="s">
        <v>166</v>
      </c>
      <c r="B67" s="234" t="s">
        <v>246</v>
      </c>
      <c r="C67" s="29" t="s">
        <v>61</v>
      </c>
      <c r="D67" s="29" t="s">
        <v>225</v>
      </c>
      <c r="E67" s="221">
        <v>45601</v>
      </c>
      <c r="F67" s="29" t="s">
        <v>247</v>
      </c>
      <c r="G67" s="29" t="s">
        <v>248</v>
      </c>
      <c r="H67" s="226" t="s">
        <v>251</v>
      </c>
      <c r="I67" s="213" t="b">
        <v>0</v>
      </c>
      <c r="J67" s="213"/>
      <c r="K67" s="213"/>
    </row>
    <row r="68" spans="1:11" ht="38.25" hidden="1">
      <c r="A68" s="234" t="s">
        <v>166</v>
      </c>
      <c r="B68" s="234" t="s">
        <v>1781</v>
      </c>
      <c r="C68" s="220" t="s">
        <v>61</v>
      </c>
      <c r="D68" s="29" t="s">
        <v>1782</v>
      </c>
      <c r="E68" s="221">
        <v>45457</v>
      </c>
      <c r="F68" s="29" t="s">
        <v>1783</v>
      </c>
      <c r="G68" s="29" t="s">
        <v>1784</v>
      </c>
      <c r="H68" s="238">
        <v>100000</v>
      </c>
      <c r="I68" s="213" t="b">
        <v>0</v>
      </c>
      <c r="J68" s="213" t="b">
        <v>0</v>
      </c>
      <c r="K68" s="213" t="b">
        <v>0</v>
      </c>
    </row>
    <row r="69" spans="1:11" ht="63.75" hidden="1">
      <c r="A69" s="234" t="s">
        <v>166</v>
      </c>
      <c r="B69" s="234" t="s">
        <v>1005</v>
      </c>
      <c r="C69" s="220" t="s">
        <v>61</v>
      </c>
      <c r="D69" s="29" t="s">
        <v>1006</v>
      </c>
      <c r="E69" s="221">
        <v>45457</v>
      </c>
      <c r="F69" s="29" t="s">
        <v>1007</v>
      </c>
      <c r="G69" s="29" t="s">
        <v>1008</v>
      </c>
      <c r="H69" s="226">
        <v>705000</v>
      </c>
      <c r="I69" s="213" t="b">
        <v>0</v>
      </c>
      <c r="J69" s="213" t="b">
        <v>0</v>
      </c>
      <c r="K69" s="213" t="b">
        <v>0</v>
      </c>
    </row>
    <row r="70" spans="1:11" ht="63.75" hidden="1">
      <c r="A70" s="234" t="s">
        <v>166</v>
      </c>
      <c r="B70" s="234" t="s">
        <v>172</v>
      </c>
      <c r="C70" s="220" t="s">
        <v>61</v>
      </c>
      <c r="D70" s="29" t="s">
        <v>85</v>
      </c>
      <c r="E70" s="221">
        <v>45469</v>
      </c>
      <c r="F70" s="29" t="s">
        <v>173</v>
      </c>
      <c r="G70" s="235" t="s">
        <v>5477</v>
      </c>
      <c r="H70" s="238">
        <v>43250</v>
      </c>
      <c r="I70" s="213" t="b">
        <v>0</v>
      </c>
      <c r="J70" s="213" t="b">
        <v>0</v>
      </c>
      <c r="K70" s="213" t="b">
        <v>0</v>
      </c>
    </row>
    <row r="71" spans="1:11" ht="25.5" hidden="1">
      <c r="A71" s="234" t="s">
        <v>166</v>
      </c>
      <c r="B71" s="234" t="s">
        <v>5478</v>
      </c>
      <c r="C71" s="220" t="s">
        <v>61</v>
      </c>
      <c r="D71" s="29" t="s">
        <v>85</v>
      </c>
      <c r="E71" s="224"/>
      <c r="F71" s="29" t="s">
        <v>5479</v>
      </c>
      <c r="G71" s="232"/>
      <c r="H71" s="225"/>
      <c r="I71" s="213" t="b">
        <v>0</v>
      </c>
      <c r="J71" s="213" t="b">
        <v>0</v>
      </c>
      <c r="K71" s="213" t="b">
        <v>0</v>
      </c>
    </row>
    <row r="72" spans="1:11" ht="25.5" hidden="1">
      <c r="A72" s="234" t="s">
        <v>166</v>
      </c>
      <c r="B72" s="234" t="s">
        <v>5480</v>
      </c>
      <c r="C72" s="227"/>
      <c r="D72" s="29" t="s">
        <v>225</v>
      </c>
      <c r="E72" s="221">
        <v>45448</v>
      </c>
      <c r="F72" s="29" t="s">
        <v>5481</v>
      </c>
      <c r="G72" s="232"/>
      <c r="H72" s="225"/>
      <c r="I72" s="213" t="b">
        <v>0</v>
      </c>
      <c r="J72" s="213" t="b">
        <v>0</v>
      </c>
      <c r="K72" s="213" t="b">
        <v>0</v>
      </c>
    </row>
    <row r="73" spans="1:11" ht="38.25">
      <c r="A73" s="234" t="s">
        <v>166</v>
      </c>
      <c r="B73" s="234" t="s">
        <v>253</v>
      </c>
      <c r="C73" s="29" t="s">
        <v>61</v>
      </c>
      <c r="D73" s="29" t="s">
        <v>225</v>
      </c>
      <c r="E73" s="221">
        <v>45637</v>
      </c>
      <c r="F73" s="29" t="s">
        <v>254</v>
      </c>
      <c r="G73" s="29" t="s">
        <v>255</v>
      </c>
      <c r="H73" s="226">
        <v>4000000</v>
      </c>
      <c r="I73" s="213" t="b">
        <v>0</v>
      </c>
      <c r="J73" s="213"/>
      <c r="K73" s="213"/>
    </row>
    <row r="74" spans="1:11" ht="38.25" hidden="1">
      <c r="A74" s="234" t="s">
        <v>166</v>
      </c>
      <c r="B74" s="234" t="s">
        <v>5482</v>
      </c>
      <c r="C74" s="28" t="s">
        <v>61</v>
      </c>
      <c r="D74" s="220" t="s">
        <v>1862</v>
      </c>
      <c r="E74" s="221">
        <v>45483</v>
      </c>
      <c r="F74" s="29" t="s">
        <v>5483</v>
      </c>
      <c r="G74" s="29" t="s">
        <v>5484</v>
      </c>
      <c r="H74" s="236">
        <v>427500</v>
      </c>
      <c r="I74" s="213" t="b">
        <v>0</v>
      </c>
      <c r="J74" s="213" t="b">
        <v>0</v>
      </c>
      <c r="K74" s="213" t="b">
        <v>0</v>
      </c>
    </row>
    <row r="75" spans="1:11" ht="12.75" hidden="1">
      <c r="A75" s="234" t="s">
        <v>166</v>
      </c>
      <c r="B75" s="234" t="s">
        <v>1390</v>
      </c>
      <c r="C75" s="220" t="s">
        <v>61</v>
      </c>
      <c r="D75" s="29" t="s">
        <v>1379</v>
      </c>
      <c r="E75" s="221">
        <v>45503</v>
      </c>
      <c r="F75" s="29" t="s">
        <v>1391</v>
      </c>
      <c r="G75" s="235" t="s">
        <v>840</v>
      </c>
      <c r="H75" s="239">
        <v>631500</v>
      </c>
      <c r="I75" s="213" t="b">
        <v>0</v>
      </c>
      <c r="J75" s="213" t="b">
        <v>0</v>
      </c>
      <c r="K75" s="213" t="b">
        <v>0</v>
      </c>
    </row>
    <row r="76" spans="1:11" ht="51" hidden="1">
      <c r="A76" s="234" t="s">
        <v>166</v>
      </c>
      <c r="B76" s="234" t="s">
        <v>1392</v>
      </c>
      <c r="C76" s="29" t="s">
        <v>61</v>
      </c>
      <c r="D76" s="29" t="s">
        <v>1383</v>
      </c>
      <c r="E76" s="221">
        <v>45504</v>
      </c>
      <c r="F76" s="29" t="s">
        <v>1393</v>
      </c>
      <c r="G76" s="29" t="s">
        <v>704</v>
      </c>
      <c r="H76" s="226">
        <v>300000</v>
      </c>
      <c r="I76" s="213" t="b">
        <v>0</v>
      </c>
      <c r="J76" s="213" t="b">
        <v>0</v>
      </c>
      <c r="K76" s="213" t="b">
        <v>0</v>
      </c>
    </row>
    <row r="77" spans="1:11" ht="51" hidden="1">
      <c r="A77" s="234" t="s">
        <v>166</v>
      </c>
      <c r="B77" s="234" t="s">
        <v>448</v>
      </c>
      <c r="C77" s="29" t="s">
        <v>61</v>
      </c>
      <c r="D77" s="29" t="s">
        <v>394</v>
      </c>
      <c r="E77" s="221">
        <v>45505</v>
      </c>
      <c r="F77" s="29" t="s">
        <v>449</v>
      </c>
      <c r="G77" s="29" t="s">
        <v>450</v>
      </c>
      <c r="H77" s="226">
        <v>112800</v>
      </c>
      <c r="I77" s="213" t="b">
        <v>0</v>
      </c>
      <c r="J77" s="213" t="b">
        <v>0</v>
      </c>
      <c r="K77" s="213" t="b">
        <v>0</v>
      </c>
    </row>
    <row r="78" spans="1:11" ht="25.5" hidden="1">
      <c r="A78" s="234" t="s">
        <v>166</v>
      </c>
      <c r="B78" s="234" t="s">
        <v>1394</v>
      </c>
      <c r="C78" s="29" t="s">
        <v>61</v>
      </c>
      <c r="D78" s="29" t="s">
        <v>1372</v>
      </c>
      <c r="E78" s="221">
        <v>45505</v>
      </c>
      <c r="F78" s="29" t="s">
        <v>5485</v>
      </c>
      <c r="G78" s="29" t="s">
        <v>1396</v>
      </c>
      <c r="H78" s="226">
        <v>266000</v>
      </c>
      <c r="I78" s="213" t="b">
        <v>0</v>
      </c>
      <c r="J78" s="213" t="b">
        <v>0</v>
      </c>
      <c r="K78" s="213" t="b">
        <v>0</v>
      </c>
    </row>
    <row r="79" spans="1:11" ht="25.5" hidden="1">
      <c r="A79" s="234" t="s">
        <v>166</v>
      </c>
      <c r="B79" s="234" t="s">
        <v>1397</v>
      </c>
      <c r="C79" s="29" t="s">
        <v>61</v>
      </c>
      <c r="D79" s="29" t="s">
        <v>1383</v>
      </c>
      <c r="E79" s="221">
        <v>45512</v>
      </c>
      <c r="F79" s="29" t="s">
        <v>1398</v>
      </c>
      <c r="G79" s="29" t="s">
        <v>1399</v>
      </c>
      <c r="H79" s="226">
        <v>300000</v>
      </c>
      <c r="I79" s="213" t="b">
        <v>0</v>
      </c>
      <c r="J79" s="213" t="b">
        <v>0</v>
      </c>
      <c r="K79" s="213" t="b">
        <v>0</v>
      </c>
    </row>
    <row r="80" spans="1:11" ht="51" hidden="1">
      <c r="A80" s="234" t="s">
        <v>166</v>
      </c>
      <c r="B80" s="234" t="s">
        <v>1010</v>
      </c>
      <c r="C80" s="29" t="s">
        <v>61</v>
      </c>
      <c r="D80" s="29" t="s">
        <v>1006</v>
      </c>
      <c r="E80" s="221">
        <v>45512</v>
      </c>
      <c r="F80" s="29" t="s">
        <v>1011</v>
      </c>
      <c r="G80" s="29" t="s">
        <v>1012</v>
      </c>
      <c r="H80" s="226">
        <v>2470750</v>
      </c>
      <c r="I80" s="213" t="b">
        <v>0</v>
      </c>
      <c r="J80" s="213" t="b">
        <v>0</v>
      </c>
      <c r="K80" s="213" t="b">
        <v>0</v>
      </c>
    </row>
    <row r="81" spans="1:11" ht="38.25" hidden="1">
      <c r="A81" s="234" t="s">
        <v>166</v>
      </c>
      <c r="B81" s="234" t="s">
        <v>5486</v>
      </c>
      <c r="C81" s="29" t="s">
        <v>61</v>
      </c>
      <c r="D81" s="29" t="s">
        <v>1838</v>
      </c>
      <c r="E81" s="221">
        <v>45512</v>
      </c>
      <c r="F81" s="29" t="s">
        <v>5487</v>
      </c>
      <c r="G81" s="29" t="s">
        <v>1349</v>
      </c>
      <c r="H81" s="226">
        <v>150000</v>
      </c>
      <c r="I81" s="213" t="b">
        <v>0</v>
      </c>
      <c r="J81" s="213" t="b">
        <v>0</v>
      </c>
      <c r="K81" s="213" t="b">
        <v>0</v>
      </c>
    </row>
    <row r="82" spans="1:11" ht="76.5" hidden="1">
      <c r="A82" s="234" t="s">
        <v>166</v>
      </c>
      <c r="B82" s="234" t="s">
        <v>1400</v>
      </c>
      <c r="C82" s="29" t="s">
        <v>61</v>
      </c>
      <c r="D82" s="29" t="s">
        <v>1383</v>
      </c>
      <c r="E82" s="221">
        <v>45520</v>
      </c>
      <c r="F82" s="29" t="s">
        <v>1401</v>
      </c>
      <c r="G82" s="29" t="s">
        <v>1402</v>
      </c>
      <c r="H82" s="226">
        <v>1652500</v>
      </c>
      <c r="I82" s="213" t="b">
        <v>0</v>
      </c>
      <c r="J82" s="213" t="b">
        <v>0</v>
      </c>
      <c r="K82" s="213" t="b">
        <v>0</v>
      </c>
    </row>
    <row r="83" spans="1:11" ht="38.25" hidden="1">
      <c r="A83" s="234" t="s">
        <v>166</v>
      </c>
      <c r="B83" s="234" t="s">
        <v>1785</v>
      </c>
      <c r="C83" s="29" t="s">
        <v>61</v>
      </c>
      <c r="D83" s="29" t="s">
        <v>1782</v>
      </c>
      <c r="E83" s="221">
        <v>45520</v>
      </c>
      <c r="F83" s="29" t="s">
        <v>1786</v>
      </c>
      <c r="G83" s="29" t="s">
        <v>1787</v>
      </c>
      <c r="H83" s="226">
        <v>320000</v>
      </c>
      <c r="I83" s="213" t="b">
        <v>0</v>
      </c>
      <c r="J83" s="213" t="b">
        <v>0</v>
      </c>
      <c r="K83" s="213" t="b">
        <v>0</v>
      </c>
    </row>
    <row r="84" spans="1:11" ht="25.5" hidden="1">
      <c r="A84" s="234" t="s">
        <v>166</v>
      </c>
      <c r="B84" s="234" t="s">
        <v>5488</v>
      </c>
      <c r="C84" s="29" t="s">
        <v>1867</v>
      </c>
      <c r="D84" s="29" t="s">
        <v>62</v>
      </c>
      <c r="E84" s="221">
        <v>45520</v>
      </c>
      <c r="F84" s="29" t="s">
        <v>5489</v>
      </c>
      <c r="G84" s="29" t="s">
        <v>5490</v>
      </c>
      <c r="H84" s="226">
        <v>1170000</v>
      </c>
      <c r="I84" s="213" t="b">
        <v>0</v>
      </c>
      <c r="J84" s="213" t="b">
        <v>0</v>
      </c>
      <c r="K84" s="213" t="b">
        <v>0</v>
      </c>
    </row>
    <row r="85" spans="1:11" ht="51">
      <c r="A85" s="234" t="s">
        <v>166</v>
      </c>
      <c r="B85" s="234" t="s">
        <v>259</v>
      </c>
      <c r="C85" s="29" t="s">
        <v>61</v>
      </c>
      <c r="D85" s="29" t="s">
        <v>225</v>
      </c>
      <c r="E85" s="221">
        <v>45595</v>
      </c>
      <c r="F85" s="29" t="s">
        <v>260</v>
      </c>
      <c r="G85" s="29" t="s">
        <v>261</v>
      </c>
      <c r="H85" s="226">
        <v>5000000</v>
      </c>
      <c r="I85" s="213" t="b">
        <v>0</v>
      </c>
      <c r="J85" s="213"/>
      <c r="K85" s="213"/>
    </row>
    <row r="86" spans="1:11" ht="51">
      <c r="A86" s="234" t="s">
        <v>166</v>
      </c>
      <c r="B86" s="234" t="s">
        <v>265</v>
      </c>
      <c r="C86" s="29" t="s">
        <v>61</v>
      </c>
      <c r="D86" s="29" t="s">
        <v>225</v>
      </c>
      <c r="E86" s="221">
        <v>45547</v>
      </c>
      <c r="F86" s="29" t="s">
        <v>266</v>
      </c>
      <c r="G86" s="235" t="s">
        <v>5491</v>
      </c>
      <c r="H86" s="240">
        <v>4668619.32</v>
      </c>
      <c r="I86" s="213" t="b">
        <v>0</v>
      </c>
      <c r="J86" s="213"/>
      <c r="K86" s="213"/>
    </row>
    <row r="87" spans="1:11" ht="38.25" hidden="1">
      <c r="A87" s="234" t="s">
        <v>166</v>
      </c>
      <c r="B87" s="234" t="s">
        <v>1403</v>
      </c>
      <c r="C87" s="29" t="s">
        <v>61</v>
      </c>
      <c r="D87" s="29" t="s">
        <v>1383</v>
      </c>
      <c r="E87" s="221">
        <v>45544</v>
      </c>
      <c r="F87" s="29" t="s">
        <v>1404</v>
      </c>
      <c r="G87" s="235" t="s">
        <v>840</v>
      </c>
      <c r="H87" s="226">
        <v>300000</v>
      </c>
      <c r="I87" s="213" t="b">
        <v>0</v>
      </c>
      <c r="J87" s="213" t="b">
        <v>0</v>
      </c>
      <c r="K87" s="213" t="b">
        <v>0</v>
      </c>
    </row>
    <row r="88" spans="1:11" ht="63.75" hidden="1">
      <c r="A88" s="234" t="s">
        <v>166</v>
      </c>
      <c r="B88" s="234" t="s">
        <v>451</v>
      </c>
      <c r="C88" s="29" t="s">
        <v>61</v>
      </c>
      <c r="D88" s="29" t="s">
        <v>85</v>
      </c>
      <c r="E88" s="221">
        <v>45544</v>
      </c>
      <c r="F88" s="29" t="s">
        <v>452</v>
      </c>
      <c r="G88" s="235" t="s">
        <v>5492</v>
      </c>
      <c r="H88" s="226">
        <v>57667.56</v>
      </c>
      <c r="I88" s="213" t="b">
        <v>0</v>
      </c>
      <c r="J88" s="213" t="b">
        <v>0</v>
      </c>
      <c r="K88" s="213" t="b">
        <v>0</v>
      </c>
    </row>
    <row r="89" spans="1:11" ht="76.5" hidden="1">
      <c r="A89" s="234" t="s">
        <v>166</v>
      </c>
      <c r="B89" s="234" t="s">
        <v>177</v>
      </c>
      <c r="C89" s="29" t="s">
        <v>61</v>
      </c>
      <c r="D89" s="29" t="s">
        <v>85</v>
      </c>
      <c r="E89" s="221">
        <v>45544</v>
      </c>
      <c r="F89" s="29" t="s">
        <v>178</v>
      </c>
      <c r="G89" s="235" t="s">
        <v>5493</v>
      </c>
      <c r="H89" s="226">
        <v>236341.77</v>
      </c>
      <c r="I89" s="213" t="b">
        <v>0</v>
      </c>
      <c r="J89" s="213" t="b">
        <v>0</v>
      </c>
      <c r="K89" s="213" t="b">
        <v>0</v>
      </c>
    </row>
    <row r="90" spans="1:11" ht="51" hidden="1">
      <c r="A90" s="234" t="s">
        <v>166</v>
      </c>
      <c r="B90" s="234" t="s">
        <v>455</v>
      </c>
      <c r="C90" s="29" t="s">
        <v>61</v>
      </c>
      <c r="D90" s="29" t="s">
        <v>5494</v>
      </c>
      <c r="E90" s="221">
        <v>45544</v>
      </c>
      <c r="F90" s="29" t="s">
        <v>457</v>
      </c>
      <c r="G90" s="29" t="s">
        <v>458</v>
      </c>
      <c r="H90" s="226">
        <v>186495.06</v>
      </c>
      <c r="I90" s="213" t="b">
        <v>0</v>
      </c>
      <c r="J90" s="213" t="b">
        <v>0</v>
      </c>
      <c r="K90" s="213" t="b">
        <v>0</v>
      </c>
    </row>
    <row r="91" spans="1:11" ht="51" hidden="1">
      <c r="A91" s="234" t="s">
        <v>166</v>
      </c>
      <c r="B91" s="234" t="s">
        <v>459</v>
      </c>
      <c r="C91" s="29" t="s">
        <v>61</v>
      </c>
      <c r="D91" s="29" t="s">
        <v>5494</v>
      </c>
      <c r="E91" s="221">
        <v>45544</v>
      </c>
      <c r="F91" s="29" t="s">
        <v>460</v>
      </c>
      <c r="G91" s="235" t="s">
        <v>5495</v>
      </c>
      <c r="H91" s="238">
        <v>197182.36</v>
      </c>
      <c r="I91" s="213" t="b">
        <v>0</v>
      </c>
      <c r="J91" s="213" t="b">
        <v>0</v>
      </c>
      <c r="K91" s="213" t="b">
        <v>0</v>
      </c>
    </row>
    <row r="92" spans="1:11" ht="38.25">
      <c r="A92" s="234" t="s">
        <v>166</v>
      </c>
      <c r="B92" s="234" t="s">
        <v>462</v>
      </c>
      <c r="C92" s="220" t="s">
        <v>61</v>
      </c>
      <c r="D92" s="29" t="s">
        <v>125</v>
      </c>
      <c r="E92" s="221">
        <v>45448</v>
      </c>
      <c r="F92" s="29" t="s">
        <v>5321</v>
      </c>
      <c r="G92" s="29" t="s">
        <v>464</v>
      </c>
      <c r="H92" s="236">
        <v>2344480</v>
      </c>
      <c r="I92" s="213" t="b">
        <v>0</v>
      </c>
      <c r="J92" s="213"/>
      <c r="K92" s="213"/>
    </row>
    <row r="93" spans="1:11" ht="38.25">
      <c r="A93" s="234" t="s">
        <v>166</v>
      </c>
      <c r="B93" s="234" t="s">
        <v>182</v>
      </c>
      <c r="C93" s="29" t="s">
        <v>61</v>
      </c>
      <c r="D93" s="29" t="s">
        <v>125</v>
      </c>
      <c r="E93" s="221">
        <v>45574</v>
      </c>
      <c r="F93" s="29" t="s">
        <v>183</v>
      </c>
      <c r="G93" s="235" t="s">
        <v>184</v>
      </c>
      <c r="H93" s="241">
        <v>2998072</v>
      </c>
      <c r="I93" s="213" t="b">
        <v>0</v>
      </c>
      <c r="J93" s="213"/>
      <c r="K93" s="213"/>
    </row>
    <row r="94" spans="1:11" ht="25.5" hidden="1">
      <c r="A94" s="234" t="s">
        <v>166</v>
      </c>
      <c r="B94" s="234" t="s">
        <v>1013</v>
      </c>
      <c r="C94" s="29" t="s">
        <v>61</v>
      </c>
      <c r="D94" s="29" t="s">
        <v>1006</v>
      </c>
      <c r="E94" s="221">
        <v>45558</v>
      </c>
      <c r="F94" s="29" t="s">
        <v>1014</v>
      </c>
      <c r="G94" s="235" t="s">
        <v>1015</v>
      </c>
      <c r="H94" s="239">
        <v>5000000</v>
      </c>
      <c r="I94" s="213" t="b">
        <v>0</v>
      </c>
      <c r="J94" s="213" t="b">
        <v>0</v>
      </c>
      <c r="K94" s="213" t="b">
        <v>0</v>
      </c>
    </row>
    <row r="95" spans="1:11" ht="51">
      <c r="A95" s="234" t="s">
        <v>166</v>
      </c>
      <c r="B95" s="234" t="s">
        <v>187</v>
      </c>
      <c r="C95" s="29" t="s">
        <v>61</v>
      </c>
      <c r="D95" s="29" t="s">
        <v>125</v>
      </c>
      <c r="E95" s="221">
        <v>45581</v>
      </c>
      <c r="F95" s="29" t="s">
        <v>188</v>
      </c>
      <c r="G95" s="29" t="s">
        <v>189</v>
      </c>
      <c r="H95" s="236">
        <v>2911170</v>
      </c>
      <c r="I95" s="213" t="b">
        <v>0</v>
      </c>
      <c r="J95" s="213"/>
      <c r="K95" s="213"/>
    </row>
    <row r="96" spans="1:11" ht="25.5" hidden="1">
      <c r="A96" s="234" t="s">
        <v>166</v>
      </c>
      <c r="B96" s="234" t="s">
        <v>1405</v>
      </c>
      <c r="C96" s="29" t="s">
        <v>61</v>
      </c>
      <c r="D96" s="29" t="s">
        <v>1372</v>
      </c>
      <c r="E96" s="221">
        <v>45558</v>
      </c>
      <c r="F96" s="29" t="s">
        <v>1406</v>
      </c>
      <c r="G96" s="235" t="s">
        <v>1407</v>
      </c>
      <c r="H96" s="239">
        <v>5483984.2000000002</v>
      </c>
      <c r="I96" s="213" t="b">
        <v>0</v>
      </c>
      <c r="J96" s="213" t="b">
        <v>0</v>
      </c>
      <c r="K96" s="213" t="b">
        <v>0</v>
      </c>
    </row>
    <row r="97" spans="1:11" ht="51" hidden="1">
      <c r="A97" s="234" t="s">
        <v>166</v>
      </c>
      <c r="B97" s="234" t="s">
        <v>1408</v>
      </c>
      <c r="C97" s="29" t="s">
        <v>61</v>
      </c>
      <c r="D97" s="29" t="s">
        <v>1383</v>
      </c>
      <c r="E97" s="221">
        <v>45558</v>
      </c>
      <c r="F97" s="29" t="s">
        <v>1409</v>
      </c>
      <c r="G97" s="235" t="s">
        <v>1410</v>
      </c>
      <c r="H97" s="239">
        <v>500000</v>
      </c>
      <c r="I97" s="213" t="b">
        <v>0</v>
      </c>
      <c r="J97" s="213" t="b">
        <v>0</v>
      </c>
      <c r="K97" s="213" t="b">
        <v>0</v>
      </c>
    </row>
    <row r="98" spans="1:11" ht="51" hidden="1">
      <c r="A98" s="234" t="s">
        <v>166</v>
      </c>
      <c r="B98" s="234" t="s">
        <v>465</v>
      </c>
      <c r="C98" s="29" t="s">
        <v>61</v>
      </c>
      <c r="D98" s="29" t="s">
        <v>394</v>
      </c>
      <c r="E98" s="221">
        <v>45558</v>
      </c>
      <c r="F98" s="29" t="s">
        <v>466</v>
      </c>
      <c r="G98" s="29" t="s">
        <v>467</v>
      </c>
      <c r="H98" s="238">
        <v>119250</v>
      </c>
      <c r="I98" s="213" t="b">
        <v>0</v>
      </c>
      <c r="J98" s="213" t="b">
        <v>0</v>
      </c>
      <c r="K98" s="213" t="b">
        <v>0</v>
      </c>
    </row>
    <row r="99" spans="1:11" ht="25.5" hidden="1">
      <c r="A99" s="234" t="s">
        <v>166</v>
      </c>
      <c r="B99" s="234" t="s">
        <v>468</v>
      </c>
      <c r="C99" s="29" t="s">
        <v>61</v>
      </c>
      <c r="D99" s="29" t="s">
        <v>85</v>
      </c>
      <c r="E99" s="221">
        <v>45558</v>
      </c>
      <c r="F99" s="29" t="s">
        <v>469</v>
      </c>
      <c r="G99" s="29" t="s">
        <v>470</v>
      </c>
      <c r="H99" s="226">
        <v>105791</v>
      </c>
      <c r="I99" s="213" t="b">
        <v>0</v>
      </c>
      <c r="J99" s="213" t="b">
        <v>0</v>
      </c>
      <c r="K99" s="213" t="b">
        <v>0</v>
      </c>
    </row>
    <row r="100" spans="1:11" ht="25.5" hidden="1">
      <c r="A100" s="234" t="s">
        <v>166</v>
      </c>
      <c r="B100" s="234" t="s">
        <v>1411</v>
      </c>
      <c r="C100" s="29" t="s">
        <v>61</v>
      </c>
      <c r="D100" s="29" t="s">
        <v>1383</v>
      </c>
      <c r="E100" s="221">
        <v>45558</v>
      </c>
      <c r="F100" s="29" t="s">
        <v>1412</v>
      </c>
      <c r="G100" s="29" t="s">
        <v>1413</v>
      </c>
      <c r="H100" s="238">
        <v>1500000</v>
      </c>
      <c r="I100" s="213" t="b">
        <v>0</v>
      </c>
      <c r="J100" s="213" t="b">
        <v>0</v>
      </c>
      <c r="K100" s="213" t="b">
        <v>0</v>
      </c>
    </row>
    <row r="101" spans="1:11" ht="25.5" hidden="1">
      <c r="A101" s="234" t="s">
        <v>166</v>
      </c>
      <c r="B101" s="234" t="s">
        <v>5496</v>
      </c>
      <c r="C101" s="29" t="s">
        <v>61</v>
      </c>
      <c r="D101" s="29" t="s">
        <v>1862</v>
      </c>
      <c r="E101" s="221">
        <v>45558</v>
      </c>
      <c r="F101" s="29" t="s">
        <v>5497</v>
      </c>
      <c r="G101" s="29" t="s">
        <v>1849</v>
      </c>
      <c r="H101" s="238">
        <v>700000</v>
      </c>
      <c r="I101" s="213" t="b">
        <v>0</v>
      </c>
      <c r="J101" s="213" t="b">
        <v>0</v>
      </c>
      <c r="K101" s="213" t="b">
        <v>0</v>
      </c>
    </row>
    <row r="102" spans="1:11" ht="38.25" hidden="1">
      <c r="A102" s="234" t="s">
        <v>166</v>
      </c>
      <c r="B102" s="234" t="s">
        <v>1414</v>
      </c>
      <c r="C102" s="29" t="s">
        <v>61</v>
      </c>
      <c r="D102" s="29" t="s">
        <v>1383</v>
      </c>
      <c r="E102" s="221">
        <v>45561</v>
      </c>
      <c r="F102" s="29" t="s">
        <v>1415</v>
      </c>
      <c r="G102" s="29" t="s">
        <v>1416</v>
      </c>
      <c r="H102" s="238">
        <v>4050000</v>
      </c>
      <c r="I102" s="213" t="b">
        <v>0</v>
      </c>
      <c r="J102" s="213" t="b">
        <v>0</v>
      </c>
      <c r="K102" s="213" t="b">
        <v>0</v>
      </c>
    </row>
    <row r="103" spans="1:11" ht="51">
      <c r="A103" s="234" t="s">
        <v>166</v>
      </c>
      <c r="B103" s="234" t="s">
        <v>192</v>
      </c>
      <c r="C103" s="29" t="s">
        <v>61</v>
      </c>
      <c r="D103" s="29" t="s">
        <v>125</v>
      </c>
      <c r="E103" s="221">
        <v>45601</v>
      </c>
      <c r="F103" s="29" t="s">
        <v>193</v>
      </c>
      <c r="G103" s="29" t="s">
        <v>194</v>
      </c>
      <c r="H103" s="241">
        <v>2384720</v>
      </c>
      <c r="I103" s="213" t="b">
        <v>0</v>
      </c>
      <c r="J103" s="213"/>
      <c r="K103" s="213"/>
    </row>
    <row r="104" spans="1:11" ht="38.25" hidden="1">
      <c r="A104" s="234" t="s">
        <v>166</v>
      </c>
      <c r="B104" s="234" t="s">
        <v>5498</v>
      </c>
      <c r="C104" s="29" t="s">
        <v>61</v>
      </c>
      <c r="D104" s="29" t="s">
        <v>1838</v>
      </c>
      <c r="E104" s="221">
        <v>45565</v>
      </c>
      <c r="F104" s="29" t="s">
        <v>5499</v>
      </c>
      <c r="G104" s="29" t="s">
        <v>5437</v>
      </c>
      <c r="H104" s="242">
        <v>97039.7</v>
      </c>
      <c r="I104" s="213" t="b">
        <v>0</v>
      </c>
      <c r="J104" s="213" t="b">
        <v>0</v>
      </c>
      <c r="K104" s="213" t="b">
        <v>0</v>
      </c>
    </row>
    <row r="105" spans="1:11" ht="51">
      <c r="A105" s="234" t="s">
        <v>166</v>
      </c>
      <c r="B105" s="234" t="s">
        <v>471</v>
      </c>
      <c r="C105" s="29" t="s">
        <v>61</v>
      </c>
      <c r="D105" s="29" t="s">
        <v>125</v>
      </c>
      <c r="E105" s="221">
        <v>45478</v>
      </c>
      <c r="F105" s="29" t="s">
        <v>5322</v>
      </c>
      <c r="G105" s="29" t="s">
        <v>5500</v>
      </c>
      <c r="H105" s="236">
        <v>2715984</v>
      </c>
      <c r="I105" s="213" t="b">
        <v>0</v>
      </c>
      <c r="J105" s="213"/>
      <c r="K105" s="213"/>
    </row>
    <row r="106" spans="1:11" ht="25.5">
      <c r="A106" s="234" t="s">
        <v>166</v>
      </c>
      <c r="B106" s="234" t="s">
        <v>196</v>
      </c>
      <c r="C106" s="29" t="s">
        <v>61</v>
      </c>
      <c r="D106" s="29" t="s">
        <v>197</v>
      </c>
      <c r="E106" s="221">
        <v>45609</v>
      </c>
      <c r="F106" s="29" t="s">
        <v>198</v>
      </c>
      <c r="G106" s="29" t="s">
        <v>199</v>
      </c>
      <c r="H106" s="236">
        <v>2975715</v>
      </c>
      <c r="I106" s="213" t="b">
        <v>0</v>
      </c>
      <c r="J106" s="213"/>
      <c r="K106" s="213"/>
    </row>
    <row r="107" spans="1:11" ht="38.25" hidden="1">
      <c r="A107" s="234" t="s">
        <v>166</v>
      </c>
      <c r="B107" s="234" t="s">
        <v>474</v>
      </c>
      <c r="C107" s="29" t="s">
        <v>61</v>
      </c>
      <c r="D107" s="29" t="s">
        <v>85</v>
      </c>
      <c r="E107" s="221">
        <v>45574</v>
      </c>
      <c r="F107" s="29" t="s">
        <v>475</v>
      </c>
      <c r="G107" s="235" t="s">
        <v>476</v>
      </c>
      <c r="H107" s="239" t="s">
        <v>5501</v>
      </c>
      <c r="I107" s="213" t="b">
        <v>0</v>
      </c>
      <c r="J107" s="213" t="b">
        <v>0</v>
      </c>
      <c r="K107" s="213" t="b">
        <v>0</v>
      </c>
    </row>
    <row r="108" spans="1:11" ht="38.25" hidden="1">
      <c r="A108" s="234" t="s">
        <v>166</v>
      </c>
      <c r="B108" s="234" t="s">
        <v>5502</v>
      </c>
      <c r="C108" s="29" t="s">
        <v>61</v>
      </c>
      <c r="D108" s="29" t="s">
        <v>1838</v>
      </c>
      <c r="E108" s="221">
        <v>45574</v>
      </c>
      <c r="F108" s="29" t="s">
        <v>5503</v>
      </c>
      <c r="G108" s="235" t="s">
        <v>5504</v>
      </c>
      <c r="H108" s="239">
        <v>230975</v>
      </c>
      <c r="I108" s="213" t="b">
        <v>0</v>
      </c>
      <c r="J108" s="213" t="b">
        <v>0</v>
      </c>
      <c r="K108" s="213" t="b">
        <v>0</v>
      </c>
    </row>
    <row r="109" spans="1:11" ht="51">
      <c r="A109" s="234" t="s">
        <v>166</v>
      </c>
      <c r="B109" s="234" t="s">
        <v>202</v>
      </c>
      <c r="C109" s="29" t="s">
        <v>61</v>
      </c>
      <c r="D109" s="29" t="s">
        <v>125</v>
      </c>
      <c r="E109" s="221">
        <v>45574</v>
      </c>
      <c r="F109" s="29" t="s">
        <v>203</v>
      </c>
      <c r="G109" s="29" t="s">
        <v>204</v>
      </c>
      <c r="H109" s="236">
        <v>2999945.74</v>
      </c>
      <c r="I109" s="213" t="b">
        <v>0</v>
      </c>
      <c r="J109" s="213"/>
      <c r="K109" s="213"/>
    </row>
    <row r="110" spans="1:11" ht="51" hidden="1">
      <c r="A110" s="234" t="s">
        <v>166</v>
      </c>
      <c r="B110" s="234" t="s">
        <v>477</v>
      </c>
      <c r="C110" s="29" t="s">
        <v>61</v>
      </c>
      <c r="D110" s="29" t="s">
        <v>103</v>
      </c>
      <c r="E110" s="221">
        <v>45581</v>
      </c>
      <c r="F110" s="29" t="s">
        <v>478</v>
      </c>
      <c r="G110" s="29" t="s">
        <v>479</v>
      </c>
      <c r="H110" s="226">
        <v>4180264</v>
      </c>
      <c r="I110" s="213" t="b">
        <v>0</v>
      </c>
      <c r="J110" s="213" t="b">
        <v>0</v>
      </c>
      <c r="K110" s="213" t="b">
        <v>0</v>
      </c>
    </row>
    <row r="111" spans="1:11" ht="38.25" hidden="1">
      <c r="A111" s="234">
        <v>2024</v>
      </c>
      <c r="B111" s="234" t="s">
        <v>480</v>
      </c>
      <c r="C111" s="29" t="s">
        <v>61</v>
      </c>
      <c r="D111" s="29" t="s">
        <v>394</v>
      </c>
      <c r="E111" s="221">
        <v>45581</v>
      </c>
      <c r="F111" s="29" t="s">
        <v>481</v>
      </c>
      <c r="G111" s="29" t="s">
        <v>482</v>
      </c>
      <c r="H111" s="238">
        <v>231162.5</v>
      </c>
      <c r="I111" s="213" t="b">
        <v>0</v>
      </c>
      <c r="J111" s="213" t="b">
        <v>0</v>
      </c>
      <c r="K111" s="213" t="b">
        <v>0</v>
      </c>
    </row>
    <row r="112" spans="1:11" ht="51" hidden="1">
      <c r="A112" s="234" t="s">
        <v>166</v>
      </c>
      <c r="B112" s="234" t="s">
        <v>483</v>
      </c>
      <c r="C112" s="29" t="s">
        <v>61</v>
      </c>
      <c r="D112" s="29" t="s">
        <v>394</v>
      </c>
      <c r="E112" s="221">
        <v>45581</v>
      </c>
      <c r="F112" s="29" t="s">
        <v>484</v>
      </c>
      <c r="G112" s="29" t="s">
        <v>485</v>
      </c>
      <c r="H112" s="226">
        <v>36000</v>
      </c>
      <c r="I112" s="213" t="b">
        <v>0</v>
      </c>
      <c r="J112" s="213" t="b">
        <v>0</v>
      </c>
      <c r="K112" s="213" t="b">
        <v>0</v>
      </c>
    </row>
    <row r="113" spans="1:11" ht="76.5">
      <c r="A113" s="234" t="s">
        <v>166</v>
      </c>
      <c r="B113" s="234" t="s">
        <v>207</v>
      </c>
      <c r="C113" s="220" t="s">
        <v>61</v>
      </c>
      <c r="D113" s="29" t="s">
        <v>125</v>
      </c>
      <c r="E113" s="221">
        <v>45441</v>
      </c>
      <c r="F113" s="29" t="s">
        <v>208</v>
      </c>
      <c r="G113" s="29" t="s">
        <v>209</v>
      </c>
      <c r="H113" s="236">
        <v>2789556</v>
      </c>
      <c r="I113" s="213" t="b">
        <v>0</v>
      </c>
      <c r="J113" s="213"/>
      <c r="K113" s="213"/>
    </row>
    <row r="114" spans="1:11" ht="38.25">
      <c r="A114" s="234" t="s">
        <v>166</v>
      </c>
      <c r="B114" s="234" t="s">
        <v>213</v>
      </c>
      <c r="C114" s="29" t="s">
        <v>61</v>
      </c>
      <c r="D114" s="29" t="s">
        <v>125</v>
      </c>
      <c r="E114" s="221">
        <v>45448</v>
      </c>
      <c r="F114" s="29" t="s">
        <v>214</v>
      </c>
      <c r="G114" s="29" t="s">
        <v>215</v>
      </c>
      <c r="H114" s="236">
        <v>2896644</v>
      </c>
      <c r="I114" s="213" t="b">
        <v>0</v>
      </c>
      <c r="J114" s="213"/>
      <c r="K114" s="213"/>
    </row>
    <row r="115" spans="1:11" ht="51">
      <c r="A115" s="234" t="s">
        <v>166</v>
      </c>
      <c r="B115" s="234" t="s">
        <v>219</v>
      </c>
      <c r="C115" s="29" t="s">
        <v>61</v>
      </c>
      <c r="D115" s="29" t="s">
        <v>125</v>
      </c>
      <c r="E115" s="221">
        <v>45441</v>
      </c>
      <c r="F115" s="29" t="s">
        <v>220</v>
      </c>
      <c r="G115" s="29" t="s">
        <v>5323</v>
      </c>
      <c r="H115" s="236">
        <v>2785599</v>
      </c>
      <c r="I115" s="213" t="b">
        <v>0</v>
      </c>
      <c r="J115" s="213"/>
      <c r="K115" s="213"/>
    </row>
    <row r="116" spans="1:11" ht="25.5" hidden="1">
      <c r="A116" s="234" t="s">
        <v>166</v>
      </c>
      <c r="B116" s="234" t="s">
        <v>5505</v>
      </c>
      <c r="C116" s="29" t="s">
        <v>61</v>
      </c>
      <c r="D116" s="29" t="s">
        <v>1862</v>
      </c>
      <c r="E116" s="221">
        <v>45595</v>
      </c>
      <c r="F116" s="29" t="s">
        <v>5506</v>
      </c>
      <c r="G116" s="226" t="s">
        <v>1846</v>
      </c>
      <c r="H116" s="236">
        <v>37000</v>
      </c>
      <c r="I116" s="213" t="b">
        <v>0</v>
      </c>
      <c r="J116" s="213" t="b">
        <v>0</v>
      </c>
      <c r="K116" s="213" t="b">
        <v>0</v>
      </c>
    </row>
    <row r="117" spans="1:11" ht="51">
      <c r="A117" s="234" t="s">
        <v>166</v>
      </c>
      <c r="B117" s="234" t="s">
        <v>1016</v>
      </c>
      <c r="C117" s="29" t="s">
        <v>61</v>
      </c>
      <c r="D117" s="29" t="s">
        <v>62</v>
      </c>
      <c r="E117" s="221">
        <v>45457</v>
      </c>
      <c r="F117" s="29" t="s">
        <v>5324</v>
      </c>
      <c r="G117" s="29" t="s">
        <v>1018</v>
      </c>
      <c r="H117" s="226">
        <v>709948</v>
      </c>
      <c r="I117" s="213" t="b">
        <v>0</v>
      </c>
      <c r="J117" s="213"/>
      <c r="K117" s="213"/>
    </row>
    <row r="118" spans="1:11" ht="51" hidden="1">
      <c r="A118" s="234" t="s">
        <v>166</v>
      </c>
      <c r="B118" s="234" t="s">
        <v>488</v>
      </c>
      <c r="C118" s="29" t="s">
        <v>61</v>
      </c>
      <c r="D118" s="29" t="s">
        <v>394</v>
      </c>
      <c r="E118" s="221">
        <v>45601</v>
      </c>
      <c r="F118" s="29" t="s">
        <v>489</v>
      </c>
      <c r="G118" s="29" t="s">
        <v>490</v>
      </c>
      <c r="H118" s="226">
        <v>115435</v>
      </c>
      <c r="I118" s="213" t="b">
        <v>0</v>
      </c>
      <c r="J118" s="213" t="b">
        <v>0</v>
      </c>
      <c r="K118" s="213" t="b">
        <v>0</v>
      </c>
    </row>
    <row r="119" spans="1:11" ht="51">
      <c r="A119" s="234" t="s">
        <v>166</v>
      </c>
      <c r="B119" s="234" t="s">
        <v>1019</v>
      </c>
      <c r="C119" s="29" t="s">
        <v>61</v>
      </c>
      <c r="D119" s="29" t="s">
        <v>62</v>
      </c>
      <c r="E119" s="221">
        <v>45441</v>
      </c>
      <c r="F119" s="29" t="s">
        <v>1020</v>
      </c>
      <c r="G119" s="29" t="s">
        <v>1021</v>
      </c>
      <c r="H119" s="226">
        <v>333400</v>
      </c>
      <c r="I119" s="213" t="b">
        <v>0</v>
      </c>
      <c r="J119" s="213"/>
      <c r="K119" s="213"/>
    </row>
    <row r="120" spans="1:11" ht="38.25" hidden="1">
      <c r="A120" s="234" t="s">
        <v>166</v>
      </c>
      <c r="B120" s="234" t="s">
        <v>1788</v>
      </c>
      <c r="C120" s="29" t="s">
        <v>61</v>
      </c>
      <c r="D120" s="29" t="s">
        <v>1782</v>
      </c>
      <c r="E120" s="221">
        <v>45604</v>
      </c>
      <c r="F120" s="29" t="s">
        <v>1789</v>
      </c>
      <c r="G120" s="29" t="s">
        <v>1790</v>
      </c>
      <c r="H120" s="226">
        <v>100000</v>
      </c>
      <c r="I120" s="213" t="b">
        <v>0</v>
      </c>
      <c r="J120" s="213" t="b">
        <v>0</v>
      </c>
      <c r="K120" s="213" t="b">
        <v>0</v>
      </c>
    </row>
    <row r="121" spans="1:11" ht="89.25" hidden="1">
      <c r="A121" s="234" t="s">
        <v>166</v>
      </c>
      <c r="B121" s="234" t="s">
        <v>1791</v>
      </c>
      <c r="C121" s="29" t="s">
        <v>61</v>
      </c>
      <c r="D121" s="29" t="s">
        <v>1782</v>
      </c>
      <c r="E121" s="221">
        <v>45604</v>
      </c>
      <c r="F121" s="29" t="s">
        <v>1792</v>
      </c>
      <c r="G121" s="29" t="s">
        <v>1793</v>
      </c>
      <c r="H121" s="226">
        <v>100000</v>
      </c>
      <c r="I121" s="213" t="b">
        <v>0</v>
      </c>
      <c r="J121" s="213" t="b">
        <v>0</v>
      </c>
      <c r="K121" s="213" t="b">
        <v>0</v>
      </c>
    </row>
    <row r="122" spans="1:11" ht="38.25">
      <c r="A122" s="234" t="s">
        <v>166</v>
      </c>
      <c r="B122" s="234" t="s">
        <v>1022</v>
      </c>
      <c r="C122" s="29" t="s">
        <v>61</v>
      </c>
      <c r="D122" s="29" t="s">
        <v>62</v>
      </c>
      <c r="E122" s="221">
        <v>45533</v>
      </c>
      <c r="F122" s="29" t="s">
        <v>1023</v>
      </c>
      <c r="G122" s="29" t="s">
        <v>5507</v>
      </c>
      <c r="H122" s="226">
        <v>1503651.61</v>
      </c>
      <c r="I122" s="213" t="b">
        <v>0</v>
      </c>
      <c r="J122" s="213"/>
      <c r="K122" s="213"/>
    </row>
    <row r="123" spans="1:11" ht="51">
      <c r="A123" s="234" t="s">
        <v>166</v>
      </c>
      <c r="B123" s="234" t="s">
        <v>1025</v>
      </c>
      <c r="C123" s="29" t="s">
        <v>61</v>
      </c>
      <c r="D123" s="29" t="s">
        <v>62</v>
      </c>
      <c r="E123" s="221">
        <v>45448</v>
      </c>
      <c r="F123" s="29" t="s">
        <v>1026</v>
      </c>
      <c r="G123" s="29" t="s">
        <v>1027</v>
      </c>
      <c r="H123" s="226">
        <v>2000000</v>
      </c>
      <c r="I123" s="213" t="b">
        <v>0</v>
      </c>
      <c r="J123" s="213"/>
      <c r="K123" s="213"/>
    </row>
    <row r="124" spans="1:11" ht="25.5" hidden="1">
      <c r="A124" s="234" t="s">
        <v>166</v>
      </c>
      <c r="B124" s="234" t="s">
        <v>167</v>
      </c>
      <c r="C124" s="29" t="s">
        <v>61</v>
      </c>
      <c r="D124" s="29" t="s">
        <v>85</v>
      </c>
      <c r="E124" s="221">
        <v>45625</v>
      </c>
      <c r="F124" s="29" t="s">
        <v>168</v>
      </c>
      <c r="G124" s="29" t="s">
        <v>491</v>
      </c>
      <c r="H124" s="226">
        <v>395212</v>
      </c>
      <c r="I124" s="213" t="b">
        <v>0</v>
      </c>
      <c r="J124" s="213" t="b">
        <v>0</v>
      </c>
      <c r="K124" s="213" t="b">
        <v>0</v>
      </c>
    </row>
    <row r="125" spans="1:11" ht="76.5">
      <c r="A125" s="234" t="s">
        <v>166</v>
      </c>
      <c r="B125" s="234" t="s">
        <v>1028</v>
      </c>
      <c r="C125" s="29" t="s">
        <v>61</v>
      </c>
      <c r="D125" s="29" t="s">
        <v>62</v>
      </c>
      <c r="E125" s="221">
        <v>45574</v>
      </c>
      <c r="F125" s="29" t="s">
        <v>1029</v>
      </c>
      <c r="G125" s="29" t="s">
        <v>1030</v>
      </c>
      <c r="H125" s="238">
        <v>383657.4</v>
      </c>
      <c r="I125" s="213" t="b">
        <v>0</v>
      </c>
      <c r="J125" s="213"/>
      <c r="K125" s="213"/>
    </row>
    <row r="126" spans="1:11" ht="38.25" hidden="1">
      <c r="A126" s="219" t="s">
        <v>129</v>
      </c>
      <c r="B126" s="219" t="s">
        <v>5508</v>
      </c>
      <c r="C126" s="6" t="s">
        <v>5509</v>
      </c>
      <c r="D126" s="6" t="s">
        <v>1383</v>
      </c>
      <c r="E126" s="7">
        <v>45007</v>
      </c>
      <c r="F126" s="6" t="s">
        <v>5510</v>
      </c>
      <c r="G126" s="6" t="s">
        <v>1425</v>
      </c>
      <c r="H126" s="8">
        <v>6276000</v>
      </c>
      <c r="I126" s="213" t="b">
        <v>0</v>
      </c>
      <c r="J126" s="213" t="b">
        <v>0</v>
      </c>
      <c r="K126" s="213" t="b">
        <v>0</v>
      </c>
    </row>
    <row r="127" spans="1:11" ht="38.25" hidden="1">
      <c r="A127" s="219" t="s">
        <v>129</v>
      </c>
      <c r="B127" s="219" t="s">
        <v>5511</v>
      </c>
      <c r="C127" s="220" t="s">
        <v>61</v>
      </c>
      <c r="D127" s="220" t="s">
        <v>1383</v>
      </c>
      <c r="E127" s="221">
        <v>44972</v>
      </c>
      <c r="F127" s="29" t="s">
        <v>1422</v>
      </c>
      <c r="G127" s="29" t="s">
        <v>1423</v>
      </c>
      <c r="H127" s="225">
        <v>85000</v>
      </c>
      <c r="I127" s="213" t="b">
        <v>0</v>
      </c>
      <c r="J127" s="213" t="b">
        <v>0</v>
      </c>
      <c r="K127" s="213" t="b">
        <v>0</v>
      </c>
    </row>
    <row r="128" spans="1:11" ht="12.75" hidden="1">
      <c r="A128" s="219" t="s">
        <v>129</v>
      </c>
      <c r="B128" s="219" t="s">
        <v>1426</v>
      </c>
      <c r="C128" s="6" t="s">
        <v>61</v>
      </c>
      <c r="D128" s="6" t="s">
        <v>1383</v>
      </c>
      <c r="E128" s="7">
        <v>45035</v>
      </c>
      <c r="F128" s="6" t="s">
        <v>1427</v>
      </c>
      <c r="G128" s="6" t="s">
        <v>494</v>
      </c>
      <c r="H128" s="8">
        <v>200000</v>
      </c>
      <c r="I128" s="213" t="b">
        <v>0</v>
      </c>
      <c r="J128" s="213" t="b">
        <v>0</v>
      </c>
      <c r="K128" s="213" t="b">
        <v>0</v>
      </c>
    </row>
    <row r="129" spans="1:11" ht="12.75" hidden="1">
      <c r="A129" s="219" t="s">
        <v>129</v>
      </c>
      <c r="B129" s="5" t="s">
        <v>1428</v>
      </c>
      <c r="C129" s="6" t="s">
        <v>61</v>
      </c>
      <c r="D129" s="6" t="s">
        <v>1383</v>
      </c>
      <c r="E129" s="7">
        <v>45070</v>
      </c>
      <c r="F129" s="6" t="s">
        <v>1429</v>
      </c>
      <c r="G129" s="6" t="s">
        <v>1430</v>
      </c>
      <c r="H129" s="8">
        <v>50050</v>
      </c>
      <c r="I129" s="213" t="b">
        <v>0</v>
      </c>
      <c r="J129" s="213" t="b">
        <v>0</v>
      </c>
      <c r="K129" s="213" t="b">
        <v>0</v>
      </c>
    </row>
    <row r="130" spans="1:11" ht="186" hidden="1" customHeight="1">
      <c r="A130" s="5" t="s">
        <v>129</v>
      </c>
      <c r="B130" s="5" t="s">
        <v>1431</v>
      </c>
      <c r="C130" s="6" t="s">
        <v>61</v>
      </c>
      <c r="D130" s="6" t="s">
        <v>1383</v>
      </c>
      <c r="E130" s="7">
        <v>45098</v>
      </c>
      <c r="F130" s="6" t="s">
        <v>1432</v>
      </c>
      <c r="G130" s="6" t="s">
        <v>1433</v>
      </c>
      <c r="H130" s="8">
        <v>200000</v>
      </c>
      <c r="I130" s="213" t="b">
        <v>0</v>
      </c>
      <c r="J130" s="213" t="b">
        <v>0</v>
      </c>
      <c r="K130" s="213" t="b">
        <v>0</v>
      </c>
    </row>
    <row r="131" spans="1:11" ht="63.75" hidden="1">
      <c r="A131" s="5" t="s">
        <v>129</v>
      </c>
      <c r="B131" s="5" t="s">
        <v>1434</v>
      </c>
      <c r="C131" s="6" t="s">
        <v>61</v>
      </c>
      <c r="D131" s="6" t="s">
        <v>1383</v>
      </c>
      <c r="E131" s="7">
        <v>45161</v>
      </c>
      <c r="F131" s="6" t="s">
        <v>5512</v>
      </c>
      <c r="G131" s="6" t="s">
        <v>1436</v>
      </c>
      <c r="H131" s="8">
        <v>200000</v>
      </c>
      <c r="I131" s="213" t="b">
        <v>0</v>
      </c>
      <c r="J131" s="213" t="b">
        <v>0</v>
      </c>
      <c r="K131" s="213" t="b">
        <v>0</v>
      </c>
    </row>
    <row r="132" spans="1:11" ht="63.75" hidden="1">
      <c r="A132" s="5" t="s">
        <v>129</v>
      </c>
      <c r="B132" s="5" t="s">
        <v>1437</v>
      </c>
      <c r="C132" s="6" t="s">
        <v>61</v>
      </c>
      <c r="D132" s="6" t="s">
        <v>1383</v>
      </c>
      <c r="E132" s="7">
        <v>45161</v>
      </c>
      <c r="F132" s="6" t="s">
        <v>5513</v>
      </c>
      <c r="G132" s="6" t="s">
        <v>1439</v>
      </c>
      <c r="H132" s="8">
        <v>355200</v>
      </c>
      <c r="I132" s="213" t="b">
        <v>0</v>
      </c>
      <c r="J132" s="213" t="b">
        <v>0</v>
      </c>
      <c r="K132" s="213" t="b">
        <v>0</v>
      </c>
    </row>
    <row r="133" spans="1:11" ht="38.25" hidden="1">
      <c r="A133" s="5" t="s">
        <v>129</v>
      </c>
      <c r="B133" s="5" t="s">
        <v>1440</v>
      </c>
      <c r="C133" s="6" t="s">
        <v>61</v>
      </c>
      <c r="D133" s="6" t="s">
        <v>1383</v>
      </c>
      <c r="E133" s="7">
        <v>45191</v>
      </c>
      <c r="F133" s="6" t="s">
        <v>1441</v>
      </c>
      <c r="G133" s="210" t="s">
        <v>1442</v>
      </c>
      <c r="H133" s="30">
        <v>225200</v>
      </c>
      <c r="I133" s="213" t="b">
        <v>0</v>
      </c>
      <c r="J133" s="213" t="b">
        <v>0</v>
      </c>
      <c r="K133" s="213" t="b">
        <v>0</v>
      </c>
    </row>
    <row r="134" spans="1:11" ht="38.25" hidden="1">
      <c r="A134" s="5" t="s">
        <v>129</v>
      </c>
      <c r="B134" s="5" t="s">
        <v>1443</v>
      </c>
      <c r="C134" s="6" t="s">
        <v>61</v>
      </c>
      <c r="D134" s="6" t="s">
        <v>1383</v>
      </c>
      <c r="E134" s="7">
        <v>45191</v>
      </c>
      <c r="F134" s="6" t="s">
        <v>1444</v>
      </c>
      <c r="G134" s="210" t="s">
        <v>500</v>
      </c>
      <c r="H134" s="30">
        <v>200000</v>
      </c>
      <c r="I134" s="213" t="b">
        <v>0</v>
      </c>
      <c r="J134" s="213" t="b">
        <v>0</v>
      </c>
      <c r="K134" s="213" t="b">
        <v>0</v>
      </c>
    </row>
    <row r="135" spans="1:11" ht="38.25" hidden="1">
      <c r="A135" s="5" t="s">
        <v>129</v>
      </c>
      <c r="B135" s="5" t="s">
        <v>1445</v>
      </c>
      <c r="C135" s="6" t="s">
        <v>61</v>
      </c>
      <c r="D135" s="6" t="s">
        <v>1383</v>
      </c>
      <c r="E135" s="7">
        <v>45191</v>
      </c>
      <c r="F135" s="6" t="s">
        <v>1446</v>
      </c>
      <c r="G135" s="210" t="s">
        <v>1442</v>
      </c>
      <c r="H135" s="30">
        <v>200000</v>
      </c>
      <c r="I135" s="213" t="b">
        <v>0</v>
      </c>
      <c r="J135" s="213" t="b">
        <v>0</v>
      </c>
      <c r="K135" s="213" t="b">
        <v>0</v>
      </c>
    </row>
    <row r="136" spans="1:11" ht="25.5" hidden="1">
      <c r="A136" s="5" t="s">
        <v>129</v>
      </c>
      <c r="B136" s="5" t="s">
        <v>1447</v>
      </c>
      <c r="C136" s="6" t="s">
        <v>61</v>
      </c>
      <c r="D136" s="6" t="s">
        <v>1372</v>
      </c>
      <c r="E136" s="7">
        <v>45191</v>
      </c>
      <c r="F136" s="6" t="s">
        <v>1448</v>
      </c>
      <c r="G136" s="210" t="s">
        <v>575</v>
      </c>
      <c r="H136" s="30">
        <v>699920.26</v>
      </c>
      <c r="I136" s="213" t="b">
        <v>0</v>
      </c>
      <c r="J136" s="213" t="b">
        <v>0</v>
      </c>
      <c r="K136" s="213" t="b">
        <v>0</v>
      </c>
    </row>
    <row r="137" spans="1:11" ht="12.75" hidden="1">
      <c r="A137" s="5" t="s">
        <v>129</v>
      </c>
      <c r="B137" s="5" t="s">
        <v>1449</v>
      </c>
      <c r="C137" s="6" t="s">
        <v>61</v>
      </c>
      <c r="D137" s="6" t="s">
        <v>1383</v>
      </c>
      <c r="E137" s="7">
        <v>45206</v>
      </c>
      <c r="F137" s="6" t="s">
        <v>1450</v>
      </c>
      <c r="G137" s="210" t="s">
        <v>1451</v>
      </c>
      <c r="H137" s="30">
        <v>200000</v>
      </c>
      <c r="I137" s="213" t="b">
        <v>0</v>
      </c>
      <c r="J137" s="213" t="b">
        <v>0</v>
      </c>
      <c r="K137" s="213" t="b">
        <v>0</v>
      </c>
    </row>
    <row r="138" spans="1:11" ht="12.75" hidden="1">
      <c r="A138" s="5" t="s">
        <v>129</v>
      </c>
      <c r="B138" s="5" t="s">
        <v>1455</v>
      </c>
      <c r="C138" s="6" t="s">
        <v>61</v>
      </c>
      <c r="D138" s="6" t="s">
        <v>1383</v>
      </c>
      <c r="E138" s="7">
        <v>45225</v>
      </c>
      <c r="F138" s="6" t="s">
        <v>1456</v>
      </c>
      <c r="G138" s="210" t="s">
        <v>1457</v>
      </c>
      <c r="H138" s="30">
        <v>772080</v>
      </c>
      <c r="I138" s="213" t="b">
        <v>0</v>
      </c>
      <c r="J138" s="213" t="b">
        <v>0</v>
      </c>
      <c r="K138" s="213" t="b">
        <v>0</v>
      </c>
    </row>
    <row r="139" spans="1:11" ht="12.75" hidden="1">
      <c r="A139" s="243" t="s">
        <v>129</v>
      </c>
      <c r="B139" s="243" t="s">
        <v>5514</v>
      </c>
      <c r="C139" s="6" t="s">
        <v>5509</v>
      </c>
      <c r="D139" s="6" t="s">
        <v>1862</v>
      </c>
      <c r="E139" s="7">
        <v>44937</v>
      </c>
      <c r="F139" s="6" t="s">
        <v>5515</v>
      </c>
      <c r="G139" s="6" t="s">
        <v>1419</v>
      </c>
      <c r="H139" s="8">
        <v>995600</v>
      </c>
      <c r="I139" s="213" t="b">
        <v>0</v>
      </c>
      <c r="J139" s="213" t="b">
        <v>0</v>
      </c>
      <c r="K139" s="213" t="b">
        <v>0</v>
      </c>
    </row>
    <row r="140" spans="1:11" ht="12.75" hidden="1">
      <c r="A140" s="243" t="s">
        <v>129</v>
      </c>
      <c r="B140" s="243" t="s">
        <v>5516</v>
      </c>
      <c r="C140" s="6" t="s">
        <v>5509</v>
      </c>
      <c r="D140" s="6" t="s">
        <v>1549</v>
      </c>
      <c r="E140" s="7">
        <v>44951</v>
      </c>
      <c r="F140" s="6" t="s">
        <v>1418</v>
      </c>
      <c r="G140" s="6" t="s">
        <v>1419</v>
      </c>
      <c r="H140" s="8">
        <v>1835300</v>
      </c>
      <c r="I140" s="213" t="b">
        <v>0</v>
      </c>
      <c r="J140" s="213" t="b">
        <v>0</v>
      </c>
      <c r="K140" s="213" t="b">
        <v>0</v>
      </c>
    </row>
    <row r="141" spans="1:11" ht="38.25" hidden="1">
      <c r="A141" s="243" t="s">
        <v>129</v>
      </c>
      <c r="B141" s="243" t="s">
        <v>5517</v>
      </c>
      <c r="C141" s="6" t="s">
        <v>2406</v>
      </c>
      <c r="D141" s="6" t="s">
        <v>62</v>
      </c>
      <c r="E141" s="7">
        <v>44951</v>
      </c>
      <c r="F141" s="6" t="s">
        <v>5518</v>
      </c>
      <c r="G141" s="6" t="s">
        <v>5519</v>
      </c>
      <c r="H141" s="225" t="s">
        <v>1808</v>
      </c>
      <c r="I141" s="213" t="b">
        <v>0</v>
      </c>
      <c r="J141" s="213" t="b">
        <v>0</v>
      </c>
      <c r="K141" s="213" t="b">
        <v>0</v>
      </c>
    </row>
    <row r="142" spans="1:11" ht="51">
      <c r="A142" s="243" t="s">
        <v>129</v>
      </c>
      <c r="B142" s="243" t="s">
        <v>5325</v>
      </c>
      <c r="C142" s="6" t="s">
        <v>61</v>
      </c>
      <c r="D142" s="6" t="s">
        <v>62</v>
      </c>
      <c r="E142" s="7">
        <v>44965</v>
      </c>
      <c r="F142" s="6" t="s">
        <v>1031</v>
      </c>
      <c r="G142" s="210" t="s">
        <v>1032</v>
      </c>
      <c r="H142" s="211">
        <v>380000</v>
      </c>
      <c r="I142" s="213" t="b">
        <v>0</v>
      </c>
      <c r="J142" s="213"/>
      <c r="K142" s="213"/>
    </row>
    <row r="143" spans="1:11" ht="12.75" hidden="1">
      <c r="A143" s="243" t="s">
        <v>129</v>
      </c>
      <c r="B143" s="244" t="s">
        <v>5520</v>
      </c>
      <c r="C143" s="156"/>
      <c r="D143" s="156"/>
      <c r="E143" s="245"/>
      <c r="F143" s="156" t="s">
        <v>2232</v>
      </c>
      <c r="G143" s="156" t="s">
        <v>5521</v>
      </c>
      <c r="H143" s="246"/>
      <c r="I143" s="213" t="b">
        <v>0</v>
      </c>
      <c r="J143" s="213" t="b">
        <v>0</v>
      </c>
      <c r="K143" s="213" t="b">
        <v>0</v>
      </c>
    </row>
    <row r="144" spans="1:11" ht="38.25" hidden="1">
      <c r="A144" s="243" t="s">
        <v>129</v>
      </c>
      <c r="B144" s="243" t="s">
        <v>5522</v>
      </c>
      <c r="C144" s="220" t="s">
        <v>61</v>
      </c>
      <c r="D144" s="6" t="s">
        <v>5523</v>
      </c>
      <c r="E144" s="7">
        <v>44965</v>
      </c>
      <c r="F144" s="29" t="s">
        <v>1421</v>
      </c>
      <c r="G144" s="29" t="s">
        <v>1419</v>
      </c>
      <c r="H144" s="225">
        <v>1500000</v>
      </c>
      <c r="I144" s="213" t="b">
        <v>0</v>
      </c>
      <c r="J144" s="213" t="b">
        <v>0</v>
      </c>
      <c r="K144" s="213" t="b">
        <v>0</v>
      </c>
    </row>
    <row r="145" spans="1:11" ht="63.75" hidden="1">
      <c r="A145" s="243" t="s">
        <v>129</v>
      </c>
      <c r="B145" s="243" t="s">
        <v>5524</v>
      </c>
      <c r="C145" s="220" t="s">
        <v>1867</v>
      </c>
      <c r="D145" s="220" t="s">
        <v>62</v>
      </c>
      <c r="E145" s="221"/>
      <c r="F145" s="29" t="s">
        <v>5525</v>
      </c>
      <c r="G145" s="29" t="s">
        <v>5526</v>
      </c>
      <c r="H145" s="225" t="s">
        <v>1808</v>
      </c>
      <c r="I145" s="213" t="b">
        <v>0</v>
      </c>
      <c r="J145" s="213" t="b">
        <v>0</v>
      </c>
      <c r="K145" s="213" t="b">
        <v>0</v>
      </c>
    </row>
    <row r="146" spans="1:11" ht="51" hidden="1">
      <c r="A146" s="243" t="s">
        <v>129</v>
      </c>
      <c r="B146" s="243" t="s">
        <v>5527</v>
      </c>
      <c r="C146" s="220" t="s">
        <v>1867</v>
      </c>
      <c r="D146" s="220" t="s">
        <v>62</v>
      </c>
      <c r="E146" s="221">
        <v>44972</v>
      </c>
      <c r="F146" s="29" t="s">
        <v>5528</v>
      </c>
      <c r="G146" s="29" t="s">
        <v>5529</v>
      </c>
      <c r="H146" s="225" t="s">
        <v>1808</v>
      </c>
      <c r="I146" s="213" t="b">
        <v>0</v>
      </c>
      <c r="J146" s="213" t="b">
        <v>0</v>
      </c>
      <c r="K146" s="213" t="b">
        <v>0</v>
      </c>
    </row>
    <row r="147" spans="1:11" ht="25.5" hidden="1">
      <c r="A147" s="243" t="s">
        <v>129</v>
      </c>
      <c r="B147" s="243" t="s">
        <v>5530</v>
      </c>
      <c r="C147" s="220" t="s">
        <v>1867</v>
      </c>
      <c r="D147" s="220" t="s">
        <v>62</v>
      </c>
      <c r="E147" s="221">
        <v>45141</v>
      </c>
      <c r="F147" s="29" t="s">
        <v>5531</v>
      </c>
      <c r="G147" s="29" t="s">
        <v>5532</v>
      </c>
      <c r="H147" s="225" t="s">
        <v>1808</v>
      </c>
      <c r="I147" s="213" t="b">
        <v>0</v>
      </c>
      <c r="J147" s="213" t="b">
        <v>0</v>
      </c>
      <c r="K147" s="213" t="b">
        <v>0</v>
      </c>
    </row>
    <row r="148" spans="1:11" ht="12.75" hidden="1">
      <c r="A148" s="243" t="s">
        <v>129</v>
      </c>
      <c r="B148" s="243" t="s">
        <v>5533</v>
      </c>
      <c r="C148" s="6" t="s">
        <v>5509</v>
      </c>
      <c r="D148" s="6" t="s">
        <v>1549</v>
      </c>
      <c r="E148" s="7">
        <v>45007</v>
      </c>
      <c r="F148" s="6" t="s">
        <v>1424</v>
      </c>
      <c r="G148" s="6" t="s">
        <v>5534</v>
      </c>
      <c r="H148" s="8">
        <v>2087500</v>
      </c>
      <c r="I148" s="213" t="b">
        <v>0</v>
      </c>
      <c r="J148" s="213" t="b">
        <v>0</v>
      </c>
      <c r="K148" s="213" t="b">
        <v>0</v>
      </c>
    </row>
    <row r="149" spans="1:11" ht="12.75" hidden="1">
      <c r="A149" s="243" t="s">
        <v>129</v>
      </c>
      <c r="B149" s="243" t="s">
        <v>5535</v>
      </c>
      <c r="C149" s="6" t="s">
        <v>1867</v>
      </c>
      <c r="D149" s="6" t="s">
        <v>3371</v>
      </c>
      <c r="E149" s="7">
        <v>45021</v>
      </c>
      <c r="F149" s="6" t="s">
        <v>5536</v>
      </c>
      <c r="G149" s="6"/>
      <c r="H149" s="8"/>
      <c r="I149" s="213" t="b">
        <v>0</v>
      </c>
      <c r="J149" s="213" t="b">
        <v>0</v>
      </c>
      <c r="K149" s="213" t="b">
        <v>0</v>
      </c>
    </row>
    <row r="150" spans="1:11" ht="51" hidden="1">
      <c r="A150" s="243" t="s">
        <v>129</v>
      </c>
      <c r="B150" s="243" t="s">
        <v>1794</v>
      </c>
      <c r="C150" s="6" t="s">
        <v>61</v>
      </c>
      <c r="D150" s="6" t="s">
        <v>1782</v>
      </c>
      <c r="E150" s="7">
        <v>45022</v>
      </c>
      <c r="F150" s="6" t="s">
        <v>1795</v>
      </c>
      <c r="G150" s="6" t="s">
        <v>2104</v>
      </c>
      <c r="H150" s="8">
        <v>100000</v>
      </c>
      <c r="I150" s="213" t="b">
        <v>0</v>
      </c>
      <c r="J150" s="213" t="b">
        <v>0</v>
      </c>
      <c r="K150" s="213" t="b">
        <v>0</v>
      </c>
    </row>
    <row r="151" spans="1:11" ht="38.25" hidden="1">
      <c r="A151" s="243" t="s">
        <v>129</v>
      </c>
      <c r="B151" s="243" t="s">
        <v>1796</v>
      </c>
      <c r="C151" s="6" t="s">
        <v>61</v>
      </c>
      <c r="D151" s="6" t="s">
        <v>1782</v>
      </c>
      <c r="E151" s="7">
        <v>45035</v>
      </c>
      <c r="F151" s="6" t="s">
        <v>1797</v>
      </c>
      <c r="G151" s="6" t="s">
        <v>1798</v>
      </c>
      <c r="H151" s="8">
        <v>100000</v>
      </c>
      <c r="I151" s="213" t="b">
        <v>0</v>
      </c>
      <c r="J151" s="213" t="b">
        <v>0</v>
      </c>
      <c r="K151" s="213" t="b">
        <v>0</v>
      </c>
    </row>
    <row r="152" spans="1:11" ht="25.5" hidden="1">
      <c r="A152" s="243" t="s">
        <v>129</v>
      </c>
      <c r="B152" s="243" t="s">
        <v>492</v>
      </c>
      <c r="C152" s="6" t="s">
        <v>61</v>
      </c>
      <c r="D152" s="6" t="s">
        <v>394</v>
      </c>
      <c r="E152" s="7">
        <v>45035</v>
      </c>
      <c r="F152" s="6" t="s">
        <v>493</v>
      </c>
      <c r="G152" s="6" t="s">
        <v>494</v>
      </c>
      <c r="H152" s="8">
        <v>101820</v>
      </c>
      <c r="I152" s="213" t="b">
        <v>0</v>
      </c>
      <c r="J152" s="213" t="b">
        <v>0</v>
      </c>
      <c r="K152" s="213" t="b">
        <v>0</v>
      </c>
    </row>
    <row r="153" spans="1:11" ht="38.25" hidden="1">
      <c r="A153" s="243" t="s">
        <v>129</v>
      </c>
      <c r="B153" s="243" t="s">
        <v>495</v>
      </c>
      <c r="C153" s="6" t="s">
        <v>61</v>
      </c>
      <c r="D153" s="6" t="s">
        <v>394</v>
      </c>
      <c r="E153" s="7">
        <v>45042</v>
      </c>
      <c r="F153" s="6" t="s">
        <v>496</v>
      </c>
      <c r="G153" s="6" t="s">
        <v>497</v>
      </c>
      <c r="H153" s="8">
        <v>134575</v>
      </c>
      <c r="I153" s="213" t="b">
        <v>0</v>
      </c>
      <c r="J153" s="213" t="b">
        <v>0</v>
      </c>
      <c r="K153" s="213" t="b">
        <v>0</v>
      </c>
    </row>
    <row r="154" spans="1:11" ht="51" hidden="1">
      <c r="A154" s="243" t="s">
        <v>129</v>
      </c>
      <c r="B154" s="243" t="s">
        <v>498</v>
      </c>
      <c r="C154" s="6" t="s">
        <v>61</v>
      </c>
      <c r="D154" s="6" t="s">
        <v>394</v>
      </c>
      <c r="E154" s="7">
        <v>45049</v>
      </c>
      <c r="F154" s="6" t="s">
        <v>499</v>
      </c>
      <c r="G154" s="6" t="s">
        <v>500</v>
      </c>
      <c r="H154" s="8" t="s">
        <v>5537</v>
      </c>
      <c r="I154" s="213" t="b">
        <v>0</v>
      </c>
      <c r="J154" s="213" t="b">
        <v>0</v>
      </c>
      <c r="K154" s="213" t="b">
        <v>0</v>
      </c>
    </row>
    <row r="155" spans="1:11" ht="51">
      <c r="A155" s="243" t="s">
        <v>129</v>
      </c>
      <c r="B155" s="243" t="s">
        <v>1033</v>
      </c>
      <c r="C155" s="6" t="s">
        <v>61</v>
      </c>
      <c r="D155" s="6" t="s">
        <v>62</v>
      </c>
      <c r="E155" s="7">
        <v>45056</v>
      </c>
      <c r="F155" s="6" t="s">
        <v>1034</v>
      </c>
      <c r="G155" s="210" t="s">
        <v>5326</v>
      </c>
      <c r="H155" s="211">
        <v>918215.51</v>
      </c>
      <c r="I155" s="213" t="b">
        <v>0</v>
      </c>
      <c r="J155" s="213"/>
      <c r="K155" s="213"/>
    </row>
    <row r="156" spans="1:11" ht="51" hidden="1">
      <c r="A156" s="243" t="s">
        <v>129</v>
      </c>
      <c r="B156" s="27" t="s">
        <v>501</v>
      </c>
      <c r="C156" s="6" t="s">
        <v>61</v>
      </c>
      <c r="D156" s="6" t="s">
        <v>394</v>
      </c>
      <c r="E156" s="7">
        <v>45056</v>
      </c>
      <c r="F156" s="6" t="s">
        <v>502</v>
      </c>
      <c r="G156" s="6" t="s">
        <v>497</v>
      </c>
      <c r="H156" s="8">
        <v>26000</v>
      </c>
      <c r="I156" s="213" t="b">
        <v>0</v>
      </c>
      <c r="J156" s="213" t="b">
        <v>0</v>
      </c>
      <c r="K156" s="213" t="b">
        <v>0</v>
      </c>
    </row>
    <row r="157" spans="1:11" ht="38.25" hidden="1">
      <c r="A157" s="243" t="s">
        <v>129</v>
      </c>
      <c r="B157" s="27" t="s">
        <v>1799</v>
      </c>
      <c r="C157" s="6" t="s">
        <v>61</v>
      </c>
      <c r="D157" s="6" t="s">
        <v>1782</v>
      </c>
      <c r="E157" s="7">
        <v>45063</v>
      </c>
      <c r="F157" s="6" t="s">
        <v>1800</v>
      </c>
      <c r="G157" s="6" t="s">
        <v>1482</v>
      </c>
      <c r="H157" s="8">
        <v>100000</v>
      </c>
      <c r="I157" s="213" t="b">
        <v>0</v>
      </c>
      <c r="J157" s="213" t="b">
        <v>0</v>
      </c>
      <c r="K157" s="213" t="b">
        <v>0</v>
      </c>
    </row>
    <row r="158" spans="1:11" ht="25.5" hidden="1">
      <c r="A158" s="243" t="s">
        <v>129</v>
      </c>
      <c r="B158" s="27" t="s">
        <v>5538</v>
      </c>
      <c r="C158" s="6" t="s">
        <v>1867</v>
      </c>
      <c r="D158" s="6" t="s">
        <v>1262</v>
      </c>
      <c r="E158" s="7">
        <v>45063</v>
      </c>
      <c r="F158" s="6" t="s">
        <v>5539</v>
      </c>
      <c r="G158" s="6" t="s">
        <v>5540</v>
      </c>
      <c r="H158" s="8">
        <v>1094940</v>
      </c>
      <c r="I158" s="213" t="b">
        <v>0</v>
      </c>
      <c r="J158" s="213" t="b">
        <v>0</v>
      </c>
      <c r="K158" s="213" t="b">
        <v>0</v>
      </c>
    </row>
    <row r="159" spans="1:11" ht="107.25" customHeight="1">
      <c r="A159" s="243" t="s">
        <v>129</v>
      </c>
      <c r="B159" s="27" t="s">
        <v>1036</v>
      </c>
      <c r="C159" s="6" t="s">
        <v>61</v>
      </c>
      <c r="D159" s="6" t="s">
        <v>62</v>
      </c>
      <c r="E159" s="7">
        <v>45077</v>
      </c>
      <c r="F159" s="6" t="s">
        <v>1037</v>
      </c>
      <c r="G159" s="210" t="s">
        <v>5327</v>
      </c>
      <c r="H159" s="211">
        <v>496800</v>
      </c>
      <c r="I159" s="213" t="b">
        <v>0</v>
      </c>
      <c r="J159" s="213"/>
      <c r="K159" s="213"/>
    </row>
    <row r="160" spans="1:11" ht="91.5" hidden="1" customHeight="1">
      <c r="A160" s="243" t="s">
        <v>129</v>
      </c>
      <c r="B160" s="27" t="s">
        <v>5541</v>
      </c>
      <c r="C160" s="6" t="s">
        <v>5542</v>
      </c>
      <c r="D160" s="6" t="s">
        <v>62</v>
      </c>
      <c r="E160" s="7">
        <v>45084</v>
      </c>
      <c r="F160" s="6" t="s">
        <v>5543</v>
      </c>
      <c r="G160" s="210" t="s">
        <v>5544</v>
      </c>
      <c r="H160" s="30">
        <v>302825.5</v>
      </c>
      <c r="I160" s="213" t="b">
        <v>0</v>
      </c>
      <c r="J160" s="213" t="b">
        <v>0</v>
      </c>
      <c r="K160" s="213" t="b">
        <v>0</v>
      </c>
    </row>
    <row r="161" spans="1:11" ht="38.25">
      <c r="A161" s="243" t="s">
        <v>129</v>
      </c>
      <c r="B161" s="27" t="s">
        <v>1039</v>
      </c>
      <c r="C161" s="6" t="s">
        <v>61</v>
      </c>
      <c r="D161" s="6" t="s">
        <v>62</v>
      </c>
      <c r="E161" s="7">
        <v>45084</v>
      </c>
      <c r="F161" s="6" t="s">
        <v>1040</v>
      </c>
      <c r="G161" s="210" t="s">
        <v>1041</v>
      </c>
      <c r="H161" s="211">
        <v>556803.44999999995</v>
      </c>
      <c r="I161" s="213" t="b">
        <v>0</v>
      </c>
      <c r="J161" s="213"/>
      <c r="K161" s="213"/>
    </row>
    <row r="162" spans="1:11" ht="25.5" hidden="1">
      <c r="A162" s="243" t="s">
        <v>129</v>
      </c>
      <c r="B162" s="27" t="s">
        <v>503</v>
      </c>
      <c r="C162" s="6" t="s">
        <v>61</v>
      </c>
      <c r="D162" s="6" t="s">
        <v>85</v>
      </c>
      <c r="E162" s="7">
        <v>45084</v>
      </c>
      <c r="F162" s="6" t="s">
        <v>504</v>
      </c>
      <c r="G162" s="6" t="s">
        <v>505</v>
      </c>
      <c r="H162" s="8">
        <v>185078</v>
      </c>
      <c r="I162" s="213" t="b">
        <v>0</v>
      </c>
      <c r="J162" s="213" t="b">
        <v>0</v>
      </c>
      <c r="K162" s="213" t="b">
        <v>0</v>
      </c>
    </row>
    <row r="163" spans="1:11" ht="51" hidden="1">
      <c r="A163" s="243" t="s">
        <v>129</v>
      </c>
      <c r="B163" s="27" t="s">
        <v>506</v>
      </c>
      <c r="C163" s="6" t="s">
        <v>61</v>
      </c>
      <c r="D163" s="6" t="s">
        <v>85</v>
      </c>
      <c r="E163" s="7">
        <v>45084</v>
      </c>
      <c r="F163" s="6" t="s">
        <v>507</v>
      </c>
      <c r="G163" s="6" t="s">
        <v>508</v>
      </c>
      <c r="H163" s="8">
        <v>51292</v>
      </c>
      <c r="I163" s="213" t="b">
        <v>0</v>
      </c>
      <c r="J163" s="213" t="b">
        <v>0</v>
      </c>
      <c r="K163" s="213" t="b">
        <v>0</v>
      </c>
    </row>
    <row r="164" spans="1:11" ht="12.75" hidden="1">
      <c r="A164" s="243" t="s">
        <v>129</v>
      </c>
      <c r="B164" s="27" t="s">
        <v>138</v>
      </c>
      <c r="C164" s="6" t="s">
        <v>61</v>
      </c>
      <c r="D164" s="6" t="s">
        <v>85</v>
      </c>
      <c r="E164" s="7">
        <v>45086</v>
      </c>
      <c r="F164" s="6" t="s">
        <v>86</v>
      </c>
      <c r="G164" s="6" t="s">
        <v>87</v>
      </c>
      <c r="H164" s="8">
        <v>349799.56</v>
      </c>
      <c r="I164" s="213" t="b">
        <v>0</v>
      </c>
      <c r="J164" s="213" t="b">
        <v>0</v>
      </c>
      <c r="K164" s="213" t="b">
        <v>0</v>
      </c>
    </row>
    <row r="165" spans="1:11" ht="25.5">
      <c r="A165" s="27" t="s">
        <v>129</v>
      </c>
      <c r="B165" s="27" t="s">
        <v>1042</v>
      </c>
      <c r="C165" s="6" t="s">
        <v>61</v>
      </c>
      <c r="D165" s="6" t="s">
        <v>62</v>
      </c>
      <c r="E165" s="7">
        <v>45091</v>
      </c>
      <c r="F165" s="6" t="s">
        <v>1043</v>
      </c>
      <c r="G165" s="210" t="s">
        <v>1044</v>
      </c>
      <c r="H165" s="211">
        <v>1996038</v>
      </c>
      <c r="I165" s="213" t="b">
        <v>0</v>
      </c>
      <c r="J165" s="213"/>
      <c r="K165" s="213"/>
    </row>
    <row r="166" spans="1:11" ht="12.75" hidden="1">
      <c r="A166" s="27" t="s">
        <v>129</v>
      </c>
      <c r="B166" s="27" t="s">
        <v>509</v>
      </c>
      <c r="C166" s="6" t="s">
        <v>61</v>
      </c>
      <c r="D166" s="6" t="s">
        <v>85</v>
      </c>
      <c r="E166" s="7">
        <v>45091</v>
      </c>
      <c r="F166" s="6" t="s">
        <v>510</v>
      </c>
      <c r="G166" s="6" t="s">
        <v>511</v>
      </c>
      <c r="H166" s="8">
        <v>218000</v>
      </c>
      <c r="I166" s="213" t="b">
        <v>0</v>
      </c>
      <c r="J166" s="213" t="b">
        <v>0</v>
      </c>
      <c r="K166" s="213" t="b">
        <v>0</v>
      </c>
    </row>
    <row r="167" spans="1:11" ht="25.5" hidden="1">
      <c r="A167" s="27" t="s">
        <v>129</v>
      </c>
      <c r="B167" s="27" t="s">
        <v>512</v>
      </c>
      <c r="C167" s="6" t="s">
        <v>61</v>
      </c>
      <c r="D167" s="6" t="s">
        <v>85</v>
      </c>
      <c r="E167" s="7">
        <v>45091</v>
      </c>
      <c r="F167" s="6" t="s">
        <v>5545</v>
      </c>
      <c r="G167" s="6" t="s">
        <v>514</v>
      </c>
      <c r="H167" s="8">
        <v>35620</v>
      </c>
      <c r="I167" s="213" t="b">
        <v>0</v>
      </c>
      <c r="J167" s="213" t="b">
        <v>0</v>
      </c>
      <c r="K167" s="213" t="b">
        <v>0</v>
      </c>
    </row>
    <row r="168" spans="1:11" ht="25.5" hidden="1">
      <c r="A168" s="27" t="s">
        <v>129</v>
      </c>
      <c r="B168" s="27" t="s">
        <v>515</v>
      </c>
      <c r="C168" s="6" t="s">
        <v>61</v>
      </c>
      <c r="D168" s="6" t="s">
        <v>85</v>
      </c>
      <c r="E168" s="7">
        <v>45091</v>
      </c>
      <c r="F168" s="6" t="s">
        <v>516</v>
      </c>
      <c r="G168" s="6" t="s">
        <v>517</v>
      </c>
      <c r="H168" s="8">
        <v>55730</v>
      </c>
      <c r="I168" s="213" t="b">
        <v>0</v>
      </c>
      <c r="J168" s="213" t="b">
        <v>0</v>
      </c>
      <c r="K168" s="213" t="b">
        <v>0</v>
      </c>
    </row>
    <row r="169" spans="1:11" ht="12.75" hidden="1">
      <c r="A169" s="27" t="s">
        <v>129</v>
      </c>
      <c r="B169" s="27" t="s">
        <v>518</v>
      </c>
      <c r="C169" s="6" t="s">
        <v>61</v>
      </c>
      <c r="D169" s="6" t="s">
        <v>85</v>
      </c>
      <c r="E169" s="7">
        <v>45091</v>
      </c>
      <c r="F169" s="6" t="s">
        <v>519</v>
      </c>
      <c r="G169" s="6" t="s">
        <v>520</v>
      </c>
      <c r="H169" s="8">
        <v>99750</v>
      </c>
      <c r="I169" s="213" t="b">
        <v>0</v>
      </c>
      <c r="J169" s="213" t="b">
        <v>0</v>
      </c>
      <c r="K169" s="213" t="b">
        <v>0</v>
      </c>
    </row>
    <row r="170" spans="1:11" ht="25.5" hidden="1">
      <c r="A170" s="27" t="s">
        <v>129</v>
      </c>
      <c r="B170" s="27" t="s">
        <v>521</v>
      </c>
      <c r="C170" s="6" t="s">
        <v>61</v>
      </c>
      <c r="D170" s="6" t="s">
        <v>85</v>
      </c>
      <c r="E170" s="7">
        <v>45091</v>
      </c>
      <c r="F170" s="6" t="s">
        <v>522</v>
      </c>
      <c r="G170" s="6" t="s">
        <v>523</v>
      </c>
      <c r="H170" s="8">
        <v>94750</v>
      </c>
      <c r="I170" s="213" t="b">
        <v>0</v>
      </c>
      <c r="J170" s="213" t="b">
        <v>0</v>
      </c>
      <c r="K170" s="213" t="b">
        <v>0</v>
      </c>
    </row>
    <row r="171" spans="1:11" ht="51">
      <c r="A171" s="27" t="s">
        <v>129</v>
      </c>
      <c r="B171" s="27" t="s">
        <v>524</v>
      </c>
      <c r="C171" s="6" t="s">
        <v>61</v>
      </c>
      <c r="D171" s="6" t="s">
        <v>125</v>
      </c>
      <c r="E171" s="7">
        <v>45091</v>
      </c>
      <c r="F171" s="6" t="s">
        <v>525</v>
      </c>
      <c r="G171" s="6" t="s">
        <v>526</v>
      </c>
      <c r="H171" s="8">
        <v>2518284</v>
      </c>
      <c r="I171" s="213" t="b">
        <v>0</v>
      </c>
      <c r="J171" s="213"/>
      <c r="K171" s="213"/>
    </row>
    <row r="172" spans="1:11" ht="89.25" hidden="1">
      <c r="A172" s="27" t="s">
        <v>129</v>
      </c>
      <c r="B172" s="27" t="s">
        <v>5546</v>
      </c>
      <c r="C172" s="6" t="s">
        <v>5542</v>
      </c>
      <c r="D172" s="6" t="s">
        <v>125</v>
      </c>
      <c r="E172" s="7">
        <v>45091</v>
      </c>
      <c r="F172" s="6" t="s">
        <v>5547</v>
      </c>
      <c r="G172" s="6" t="s">
        <v>5548</v>
      </c>
      <c r="H172" s="8">
        <v>2663400</v>
      </c>
      <c r="I172" s="213" t="b">
        <v>0</v>
      </c>
      <c r="J172" s="213" t="b">
        <v>0</v>
      </c>
      <c r="K172" s="213" t="b">
        <v>0</v>
      </c>
    </row>
    <row r="173" spans="1:11" ht="12.75" hidden="1">
      <c r="A173" s="27" t="s">
        <v>129</v>
      </c>
      <c r="B173" s="27" t="s">
        <v>527</v>
      </c>
      <c r="C173" s="6" t="s">
        <v>61</v>
      </c>
      <c r="D173" s="6" t="s">
        <v>456</v>
      </c>
      <c r="E173" s="7">
        <v>45098</v>
      </c>
      <c r="F173" s="6" t="s">
        <v>528</v>
      </c>
      <c r="G173" s="6" t="s">
        <v>5549</v>
      </c>
      <c r="H173" s="8">
        <v>66200</v>
      </c>
      <c r="I173" s="213" t="b">
        <v>0</v>
      </c>
      <c r="J173" s="213" t="b">
        <v>0</v>
      </c>
      <c r="K173" s="213" t="b">
        <v>0</v>
      </c>
    </row>
    <row r="174" spans="1:11" ht="38.25" hidden="1">
      <c r="A174" s="27" t="s">
        <v>129</v>
      </c>
      <c r="B174" s="27" t="s">
        <v>530</v>
      </c>
      <c r="C174" s="6" t="s">
        <v>61</v>
      </c>
      <c r="D174" s="6" t="s">
        <v>85</v>
      </c>
      <c r="E174" s="7">
        <v>45098</v>
      </c>
      <c r="F174" s="6" t="s">
        <v>5550</v>
      </c>
      <c r="G174" s="6" t="s">
        <v>532</v>
      </c>
      <c r="H174" s="8">
        <v>142051</v>
      </c>
      <c r="I174" s="213" t="b">
        <v>0</v>
      </c>
      <c r="J174" s="213" t="b">
        <v>0</v>
      </c>
      <c r="K174" s="213" t="b">
        <v>0</v>
      </c>
    </row>
    <row r="175" spans="1:11" ht="25.5" hidden="1">
      <c r="A175" s="27" t="s">
        <v>129</v>
      </c>
      <c r="B175" s="27" t="s">
        <v>533</v>
      </c>
      <c r="C175" s="6" t="s">
        <v>61</v>
      </c>
      <c r="D175" s="6" t="s">
        <v>85</v>
      </c>
      <c r="E175" s="7">
        <v>45098</v>
      </c>
      <c r="F175" s="6" t="s">
        <v>534</v>
      </c>
      <c r="G175" s="6" t="s">
        <v>535</v>
      </c>
      <c r="H175" s="8">
        <v>79200</v>
      </c>
      <c r="I175" s="213" t="b">
        <v>0</v>
      </c>
      <c r="J175" s="213" t="b">
        <v>0</v>
      </c>
      <c r="K175" s="213" t="b">
        <v>0</v>
      </c>
    </row>
    <row r="176" spans="1:11" ht="25.5" hidden="1">
      <c r="A176" s="27" t="s">
        <v>129</v>
      </c>
      <c r="B176" s="27" t="s">
        <v>536</v>
      </c>
      <c r="C176" s="6" t="s">
        <v>61</v>
      </c>
      <c r="D176" s="6" t="s">
        <v>85</v>
      </c>
      <c r="E176" s="7">
        <v>45104</v>
      </c>
      <c r="F176" s="6" t="s">
        <v>537</v>
      </c>
      <c r="G176" s="210" t="s">
        <v>5551</v>
      </c>
      <c r="H176" s="30">
        <v>170921.5</v>
      </c>
      <c r="I176" s="213" t="b">
        <v>0</v>
      </c>
      <c r="J176" s="213" t="b">
        <v>0</v>
      </c>
      <c r="K176" s="213" t="b">
        <v>0</v>
      </c>
    </row>
    <row r="177" spans="1:11" ht="25.5" hidden="1">
      <c r="A177" s="27" t="s">
        <v>129</v>
      </c>
      <c r="B177" s="27" t="s">
        <v>539</v>
      </c>
      <c r="C177" s="6" t="s">
        <v>61</v>
      </c>
      <c r="D177" s="6" t="s">
        <v>85</v>
      </c>
      <c r="E177" s="7">
        <v>45104</v>
      </c>
      <c r="F177" s="6" t="s">
        <v>540</v>
      </c>
      <c r="G177" s="210" t="s">
        <v>541</v>
      </c>
      <c r="H177" s="30">
        <v>96088.5</v>
      </c>
      <c r="I177" s="213" t="b">
        <v>0</v>
      </c>
      <c r="J177" s="213" t="b">
        <v>0</v>
      </c>
      <c r="K177" s="213" t="b">
        <v>0</v>
      </c>
    </row>
    <row r="178" spans="1:11" ht="12.75" hidden="1">
      <c r="A178" s="27" t="s">
        <v>129</v>
      </c>
      <c r="B178" s="27" t="s">
        <v>5552</v>
      </c>
      <c r="C178" s="6" t="s">
        <v>1867</v>
      </c>
      <c r="D178" s="6" t="s">
        <v>62</v>
      </c>
      <c r="E178" s="7">
        <v>45104</v>
      </c>
      <c r="F178" s="6" t="s">
        <v>5553</v>
      </c>
      <c r="G178" s="210" t="s">
        <v>5554</v>
      </c>
      <c r="H178" s="30"/>
      <c r="I178" s="213" t="b">
        <v>0</v>
      </c>
      <c r="J178" s="213" t="b">
        <v>0</v>
      </c>
      <c r="K178" s="213" t="b">
        <v>0</v>
      </c>
    </row>
    <row r="179" spans="1:11" ht="38.25">
      <c r="A179" s="27" t="s">
        <v>129</v>
      </c>
      <c r="B179" s="27" t="s">
        <v>542</v>
      </c>
      <c r="C179" s="6" t="s">
        <v>61</v>
      </c>
      <c r="D179" s="6" t="s">
        <v>125</v>
      </c>
      <c r="E179" s="7">
        <v>45106</v>
      </c>
      <c r="F179" s="6" t="s">
        <v>543</v>
      </c>
      <c r="G179" s="6" t="s">
        <v>544</v>
      </c>
      <c r="H179" s="30">
        <v>2743807.5</v>
      </c>
      <c r="I179" s="213" t="b">
        <v>0</v>
      </c>
      <c r="J179" s="213"/>
      <c r="K179" s="213"/>
    </row>
    <row r="180" spans="1:11" ht="89.25">
      <c r="A180" s="27" t="s">
        <v>129</v>
      </c>
      <c r="B180" s="27" t="s">
        <v>1045</v>
      </c>
      <c r="C180" s="6" t="s">
        <v>61</v>
      </c>
      <c r="D180" s="6" t="s">
        <v>62</v>
      </c>
      <c r="E180" s="7">
        <v>45119</v>
      </c>
      <c r="F180" s="6" t="s">
        <v>1046</v>
      </c>
      <c r="G180" s="210" t="s">
        <v>1047</v>
      </c>
      <c r="H180" s="211">
        <v>163174.5</v>
      </c>
      <c r="I180" s="213" t="b">
        <v>0</v>
      </c>
      <c r="J180" s="213"/>
      <c r="K180" s="213"/>
    </row>
    <row r="181" spans="1:11" ht="38.25" hidden="1">
      <c r="A181" s="27" t="s">
        <v>129</v>
      </c>
      <c r="B181" s="27" t="s">
        <v>545</v>
      </c>
      <c r="C181" s="6" t="s">
        <v>61</v>
      </c>
      <c r="D181" s="6" t="s">
        <v>85</v>
      </c>
      <c r="E181" s="7">
        <v>45119</v>
      </c>
      <c r="F181" s="6" t="s">
        <v>546</v>
      </c>
      <c r="G181" s="210" t="s">
        <v>547</v>
      </c>
      <c r="H181" s="30">
        <v>66103</v>
      </c>
      <c r="I181" s="213" t="b">
        <v>0</v>
      </c>
      <c r="J181" s="213" t="b">
        <v>0</v>
      </c>
      <c r="K181" s="213" t="b">
        <v>0</v>
      </c>
    </row>
    <row r="182" spans="1:11" ht="38.25">
      <c r="A182" s="27" t="s">
        <v>129</v>
      </c>
      <c r="B182" s="27" t="s">
        <v>1048</v>
      </c>
      <c r="C182" s="6" t="s">
        <v>61</v>
      </c>
      <c r="D182" s="6" t="s">
        <v>62</v>
      </c>
      <c r="E182" s="7">
        <v>45126</v>
      </c>
      <c r="F182" s="6" t="s">
        <v>1049</v>
      </c>
      <c r="G182" s="210" t="s">
        <v>1050</v>
      </c>
      <c r="H182" s="211">
        <v>500000</v>
      </c>
      <c r="I182" s="213" t="b">
        <v>0</v>
      </c>
      <c r="J182" s="213"/>
      <c r="K182" s="213"/>
    </row>
    <row r="183" spans="1:11" ht="25.5">
      <c r="A183" s="27" t="s">
        <v>129</v>
      </c>
      <c r="B183" s="27" t="s">
        <v>1051</v>
      </c>
      <c r="C183" s="6" t="s">
        <v>61</v>
      </c>
      <c r="D183" s="6" t="s">
        <v>62</v>
      </c>
      <c r="E183" s="7">
        <v>45126</v>
      </c>
      <c r="F183" s="6" t="s">
        <v>1052</v>
      </c>
      <c r="G183" s="210" t="s">
        <v>1053</v>
      </c>
      <c r="H183" s="211">
        <v>1493838</v>
      </c>
      <c r="I183" s="213" t="b">
        <v>0</v>
      </c>
      <c r="J183" s="213"/>
      <c r="K183" s="213"/>
    </row>
    <row r="184" spans="1:11" ht="51">
      <c r="A184" s="27" t="s">
        <v>129</v>
      </c>
      <c r="B184" s="27" t="s">
        <v>5328</v>
      </c>
      <c r="C184" s="6" t="s">
        <v>61</v>
      </c>
      <c r="D184" s="6" t="s">
        <v>62</v>
      </c>
      <c r="E184" s="7">
        <v>45126</v>
      </c>
      <c r="F184" s="6" t="s">
        <v>5329</v>
      </c>
      <c r="G184" s="210" t="s">
        <v>5330</v>
      </c>
      <c r="H184" s="211">
        <v>417360</v>
      </c>
      <c r="I184" s="213" t="b">
        <v>0</v>
      </c>
      <c r="J184" s="213"/>
      <c r="K184" s="213"/>
    </row>
    <row r="185" spans="1:11" ht="38.25">
      <c r="A185" s="27" t="s">
        <v>129</v>
      </c>
      <c r="B185" s="27" t="s">
        <v>1054</v>
      </c>
      <c r="C185" s="6" t="s">
        <v>61</v>
      </c>
      <c r="D185" s="6" t="s">
        <v>62</v>
      </c>
      <c r="E185" s="7">
        <v>45126</v>
      </c>
      <c r="F185" s="6" t="s">
        <v>1055</v>
      </c>
      <c r="G185" s="210" t="s">
        <v>1056</v>
      </c>
      <c r="H185" s="211">
        <v>1240000</v>
      </c>
      <c r="I185" s="213" t="b">
        <v>0</v>
      </c>
      <c r="J185" s="213"/>
      <c r="K185" s="213"/>
    </row>
    <row r="186" spans="1:11" ht="38.25">
      <c r="A186" s="27" t="s">
        <v>129</v>
      </c>
      <c r="B186" s="27" t="s">
        <v>1057</v>
      </c>
      <c r="C186" s="6" t="s">
        <v>61</v>
      </c>
      <c r="D186" s="6" t="s">
        <v>62</v>
      </c>
      <c r="E186" s="7">
        <v>45126</v>
      </c>
      <c r="F186" s="6" t="s">
        <v>1058</v>
      </c>
      <c r="G186" s="210" t="s">
        <v>1059</v>
      </c>
      <c r="H186" s="211">
        <v>249255</v>
      </c>
      <c r="I186" s="213" t="b">
        <v>0</v>
      </c>
      <c r="J186" s="213"/>
      <c r="K186" s="213"/>
    </row>
    <row r="187" spans="1:11" ht="12.75" hidden="1">
      <c r="A187" s="27" t="s">
        <v>129</v>
      </c>
      <c r="B187" s="27" t="s">
        <v>5555</v>
      </c>
      <c r="C187" s="6" t="s">
        <v>1867</v>
      </c>
      <c r="D187" s="6" t="s">
        <v>1877</v>
      </c>
      <c r="E187" s="7">
        <v>45126</v>
      </c>
      <c r="F187" s="6" t="s">
        <v>5556</v>
      </c>
      <c r="G187" s="6" t="s">
        <v>657</v>
      </c>
      <c r="H187" s="30"/>
      <c r="I187" s="213" t="b">
        <v>0</v>
      </c>
      <c r="J187" s="213" t="b">
        <v>0</v>
      </c>
      <c r="K187" s="213" t="b">
        <v>0</v>
      </c>
    </row>
    <row r="188" spans="1:11" ht="25.5">
      <c r="A188" s="27" t="s">
        <v>129</v>
      </c>
      <c r="B188" s="27" t="s">
        <v>1060</v>
      </c>
      <c r="C188" s="6" t="s">
        <v>61</v>
      </c>
      <c r="D188" s="6" t="s">
        <v>62</v>
      </c>
      <c r="E188" s="7">
        <v>45133</v>
      </c>
      <c r="F188" s="6" t="s">
        <v>1061</v>
      </c>
      <c r="G188" s="210" t="s">
        <v>1062</v>
      </c>
      <c r="H188" s="211">
        <v>1652388.53</v>
      </c>
      <c r="I188" s="213" t="b">
        <v>0</v>
      </c>
      <c r="J188" s="213"/>
      <c r="K188" s="213"/>
    </row>
    <row r="189" spans="1:11" ht="25.5" hidden="1">
      <c r="A189" s="27" t="s">
        <v>129</v>
      </c>
      <c r="B189" s="27" t="s">
        <v>5557</v>
      </c>
      <c r="C189" s="6" t="s">
        <v>5542</v>
      </c>
      <c r="D189" s="6" t="s">
        <v>62</v>
      </c>
      <c r="E189" s="7">
        <v>45133</v>
      </c>
      <c r="F189" s="6" t="s">
        <v>5558</v>
      </c>
      <c r="G189" s="210" t="s">
        <v>5559</v>
      </c>
      <c r="H189" s="30">
        <v>1107106.72</v>
      </c>
      <c r="I189" s="213" t="b">
        <v>0</v>
      </c>
      <c r="J189" s="213" t="b">
        <v>0</v>
      </c>
      <c r="K189" s="213" t="b">
        <v>0</v>
      </c>
    </row>
    <row r="190" spans="1:11" ht="25.5" hidden="1">
      <c r="A190" s="27" t="s">
        <v>129</v>
      </c>
      <c r="B190" s="27" t="s">
        <v>5560</v>
      </c>
      <c r="C190" s="6" t="s">
        <v>5542</v>
      </c>
      <c r="D190" s="6" t="s">
        <v>62</v>
      </c>
      <c r="E190" s="7">
        <v>45140</v>
      </c>
      <c r="F190" s="6" t="s">
        <v>5561</v>
      </c>
      <c r="G190" s="6" t="s">
        <v>5562</v>
      </c>
      <c r="H190" s="8">
        <v>870750</v>
      </c>
      <c r="I190" s="213" t="b">
        <v>0</v>
      </c>
      <c r="J190" s="213" t="b">
        <v>0</v>
      </c>
      <c r="K190" s="213" t="b">
        <v>0</v>
      </c>
    </row>
    <row r="191" spans="1:11" ht="12.75" hidden="1">
      <c r="A191" s="27" t="s">
        <v>129</v>
      </c>
      <c r="B191" s="27" t="s">
        <v>548</v>
      </c>
      <c r="C191" s="6" t="s">
        <v>61</v>
      </c>
      <c r="D191" s="6" t="s">
        <v>85</v>
      </c>
      <c r="E191" s="7">
        <v>45140</v>
      </c>
      <c r="F191" s="6" t="s">
        <v>549</v>
      </c>
      <c r="G191" s="6" t="s">
        <v>1336</v>
      </c>
      <c r="H191" s="8">
        <v>185800</v>
      </c>
      <c r="I191" s="213" t="b">
        <v>0</v>
      </c>
      <c r="J191" s="213" t="b">
        <v>0</v>
      </c>
      <c r="K191" s="213" t="b">
        <v>0</v>
      </c>
    </row>
    <row r="192" spans="1:11" ht="63.75" hidden="1">
      <c r="A192" s="27" t="s">
        <v>129</v>
      </c>
      <c r="B192" s="27" t="s">
        <v>5563</v>
      </c>
      <c r="C192" s="6" t="s">
        <v>61</v>
      </c>
      <c r="D192" s="6" t="s">
        <v>5470</v>
      </c>
      <c r="E192" s="7">
        <v>45140</v>
      </c>
      <c r="F192" s="6" t="s">
        <v>5564</v>
      </c>
      <c r="G192" s="6" t="s">
        <v>575</v>
      </c>
      <c r="H192" s="8">
        <v>803800</v>
      </c>
      <c r="I192" s="213" t="b">
        <v>0</v>
      </c>
      <c r="J192" s="213" t="b">
        <v>0</v>
      </c>
      <c r="K192" s="213" t="b">
        <v>0</v>
      </c>
    </row>
    <row r="193" spans="1:11" ht="63.75">
      <c r="A193" s="27" t="s">
        <v>129</v>
      </c>
      <c r="B193" s="27" t="s">
        <v>1063</v>
      </c>
      <c r="C193" s="6" t="s">
        <v>61</v>
      </c>
      <c r="D193" s="6" t="s">
        <v>62</v>
      </c>
      <c r="E193" s="7">
        <v>45140</v>
      </c>
      <c r="F193" s="6" t="s">
        <v>1064</v>
      </c>
      <c r="G193" s="6" t="s">
        <v>1065</v>
      </c>
      <c r="H193" s="214">
        <v>369166.12</v>
      </c>
      <c r="I193" s="213" t="b">
        <v>0</v>
      </c>
      <c r="J193" s="213"/>
      <c r="K193" s="213"/>
    </row>
    <row r="194" spans="1:11" ht="38.25">
      <c r="A194" s="27" t="s">
        <v>129</v>
      </c>
      <c r="B194" s="27" t="s">
        <v>1066</v>
      </c>
      <c r="C194" s="6" t="s">
        <v>61</v>
      </c>
      <c r="D194" s="6" t="s">
        <v>62</v>
      </c>
      <c r="E194" s="7">
        <v>45147</v>
      </c>
      <c r="F194" s="6" t="s">
        <v>1067</v>
      </c>
      <c r="G194" s="210" t="s">
        <v>1068</v>
      </c>
      <c r="H194" s="211">
        <v>309847.12</v>
      </c>
      <c r="I194" s="213" t="b">
        <v>0</v>
      </c>
      <c r="J194" s="213"/>
      <c r="K194" s="213"/>
    </row>
    <row r="195" spans="1:11" ht="25.5">
      <c r="A195" s="27" t="s">
        <v>129</v>
      </c>
      <c r="B195" s="27" t="s">
        <v>1069</v>
      </c>
      <c r="C195" s="6" t="s">
        <v>61</v>
      </c>
      <c r="D195" s="6" t="s">
        <v>62</v>
      </c>
      <c r="E195" s="7">
        <v>45147</v>
      </c>
      <c r="F195" s="6" t="s">
        <v>1070</v>
      </c>
      <c r="G195" s="210" t="s">
        <v>1071</v>
      </c>
      <c r="H195" s="211">
        <v>1350000</v>
      </c>
      <c r="I195" s="213" t="b">
        <v>0</v>
      </c>
      <c r="J195" s="213"/>
      <c r="K195" s="213"/>
    </row>
    <row r="196" spans="1:11" ht="51">
      <c r="A196" s="27" t="s">
        <v>129</v>
      </c>
      <c r="B196" s="27" t="s">
        <v>1072</v>
      </c>
      <c r="C196" s="6" t="s">
        <v>61</v>
      </c>
      <c r="D196" s="6" t="s">
        <v>62</v>
      </c>
      <c r="E196" s="7">
        <v>45147</v>
      </c>
      <c r="F196" s="6" t="s">
        <v>1073</v>
      </c>
      <c r="G196" s="210" t="s">
        <v>5331</v>
      </c>
      <c r="H196" s="211">
        <v>570040.98</v>
      </c>
      <c r="I196" s="213" t="b">
        <v>0</v>
      </c>
      <c r="J196" s="213"/>
      <c r="K196" s="213"/>
    </row>
    <row r="197" spans="1:11" ht="12.75" hidden="1">
      <c r="A197" s="27" t="s">
        <v>129</v>
      </c>
      <c r="B197" s="27" t="s">
        <v>551</v>
      </c>
      <c r="C197" s="6" t="s">
        <v>61</v>
      </c>
      <c r="D197" s="6" t="s">
        <v>85</v>
      </c>
      <c r="E197" s="7">
        <v>45147</v>
      </c>
      <c r="F197" s="6" t="s">
        <v>552</v>
      </c>
      <c r="G197" s="210" t="s">
        <v>553</v>
      </c>
      <c r="H197" s="30">
        <v>93350</v>
      </c>
      <c r="I197" s="213" t="b">
        <v>0</v>
      </c>
      <c r="J197" s="213" t="b">
        <v>0</v>
      </c>
      <c r="K197" s="213" t="b">
        <v>0</v>
      </c>
    </row>
    <row r="198" spans="1:11" ht="38.25" hidden="1">
      <c r="A198" s="27" t="s">
        <v>129</v>
      </c>
      <c r="B198" s="27" t="s">
        <v>5565</v>
      </c>
      <c r="C198" s="6" t="s">
        <v>5566</v>
      </c>
      <c r="D198" s="6" t="s">
        <v>1462</v>
      </c>
      <c r="E198" s="7">
        <v>45147</v>
      </c>
      <c r="F198" s="6" t="s">
        <v>5567</v>
      </c>
      <c r="G198" s="210" t="s">
        <v>5568</v>
      </c>
      <c r="H198" s="30"/>
      <c r="I198" s="213" t="b">
        <v>0</v>
      </c>
      <c r="J198" s="213" t="b">
        <v>0</v>
      </c>
      <c r="K198" s="213" t="b">
        <v>0</v>
      </c>
    </row>
    <row r="199" spans="1:11" ht="25.5" hidden="1">
      <c r="A199" s="27" t="s">
        <v>129</v>
      </c>
      <c r="B199" s="27" t="s">
        <v>134</v>
      </c>
      <c r="C199" s="6" t="s">
        <v>61</v>
      </c>
      <c r="D199" s="6" t="s">
        <v>85</v>
      </c>
      <c r="E199" s="7">
        <v>45154</v>
      </c>
      <c r="F199" s="6" t="s">
        <v>95</v>
      </c>
      <c r="G199" s="210" t="s">
        <v>96</v>
      </c>
      <c r="H199" s="30">
        <v>191500</v>
      </c>
      <c r="I199" s="213" t="b">
        <v>0</v>
      </c>
      <c r="J199" s="213" t="b">
        <v>0</v>
      </c>
      <c r="K199" s="213" t="b">
        <v>0</v>
      </c>
    </row>
    <row r="200" spans="1:11" ht="25.5" hidden="1">
      <c r="A200" s="27" t="s">
        <v>129</v>
      </c>
      <c r="B200" s="27" t="s">
        <v>554</v>
      </c>
      <c r="C200" s="6" t="s">
        <v>61</v>
      </c>
      <c r="D200" s="6" t="s">
        <v>85</v>
      </c>
      <c r="E200" s="7">
        <v>45154</v>
      </c>
      <c r="F200" s="6" t="s">
        <v>555</v>
      </c>
      <c r="G200" s="6" t="s">
        <v>556</v>
      </c>
      <c r="H200" s="8">
        <v>24450</v>
      </c>
      <c r="I200" s="213" t="b">
        <v>0</v>
      </c>
      <c r="J200" s="213" t="b">
        <v>0</v>
      </c>
      <c r="K200" s="213" t="b">
        <v>0</v>
      </c>
    </row>
    <row r="201" spans="1:11" ht="12.75" hidden="1">
      <c r="A201" s="27" t="s">
        <v>129</v>
      </c>
      <c r="B201" s="27" t="s">
        <v>557</v>
      </c>
      <c r="C201" s="6" t="s">
        <v>61</v>
      </c>
      <c r="D201" s="6" t="s">
        <v>85</v>
      </c>
      <c r="E201" s="7">
        <v>45161</v>
      </c>
      <c r="F201" s="6" t="s">
        <v>558</v>
      </c>
      <c r="G201" s="6" t="s">
        <v>559</v>
      </c>
      <c r="H201" s="8">
        <v>104239</v>
      </c>
      <c r="I201" s="213" t="b">
        <v>0</v>
      </c>
      <c r="J201" s="213" t="b">
        <v>0</v>
      </c>
      <c r="K201" s="213" t="b">
        <v>0</v>
      </c>
    </row>
    <row r="202" spans="1:11" ht="51" hidden="1">
      <c r="A202" s="27" t="s">
        <v>129</v>
      </c>
      <c r="B202" s="27" t="s">
        <v>560</v>
      </c>
      <c r="C202" s="6" t="s">
        <v>61</v>
      </c>
      <c r="D202" s="6" t="s">
        <v>456</v>
      </c>
      <c r="E202" s="7">
        <v>45161</v>
      </c>
      <c r="F202" s="6" t="s">
        <v>561</v>
      </c>
      <c r="G202" s="6" t="s">
        <v>562</v>
      </c>
      <c r="H202" s="8">
        <v>162240</v>
      </c>
      <c r="I202" s="213" t="b">
        <v>0</v>
      </c>
      <c r="J202" s="213" t="b">
        <v>0</v>
      </c>
      <c r="K202" s="213" t="b">
        <v>0</v>
      </c>
    </row>
    <row r="203" spans="1:11" ht="12.75" hidden="1">
      <c r="A203" s="27" t="s">
        <v>129</v>
      </c>
      <c r="B203" s="27" t="s">
        <v>560</v>
      </c>
      <c r="C203" s="6"/>
      <c r="D203" s="6"/>
      <c r="E203" s="7"/>
      <c r="F203" s="6"/>
      <c r="G203" s="6"/>
      <c r="H203" s="8"/>
      <c r="I203" s="213" t="b">
        <v>0</v>
      </c>
      <c r="J203" s="213" t="b">
        <v>0</v>
      </c>
      <c r="K203" s="213" t="b">
        <v>0</v>
      </c>
    </row>
    <row r="204" spans="1:11" ht="51" hidden="1">
      <c r="A204" s="27" t="s">
        <v>129</v>
      </c>
      <c r="B204" s="27" t="s">
        <v>563</v>
      </c>
      <c r="C204" s="6" t="s">
        <v>61</v>
      </c>
      <c r="D204" s="6" t="s">
        <v>394</v>
      </c>
      <c r="E204" s="7">
        <v>45175</v>
      </c>
      <c r="F204" s="6" t="s">
        <v>564</v>
      </c>
      <c r="G204" s="6" t="s">
        <v>565</v>
      </c>
      <c r="H204" s="8">
        <v>68450</v>
      </c>
      <c r="I204" s="213" t="b">
        <v>0</v>
      </c>
      <c r="J204" s="213" t="b">
        <v>0</v>
      </c>
      <c r="K204" s="213" t="b">
        <v>0</v>
      </c>
    </row>
    <row r="205" spans="1:11" ht="25.5" hidden="1">
      <c r="A205" s="27" t="s">
        <v>129</v>
      </c>
      <c r="B205" s="27" t="s">
        <v>1452</v>
      </c>
      <c r="C205" s="6" t="s">
        <v>61</v>
      </c>
      <c r="D205" s="6" t="s">
        <v>1453</v>
      </c>
      <c r="E205" s="7">
        <v>45206</v>
      </c>
      <c r="F205" s="6" t="s">
        <v>5569</v>
      </c>
      <c r="G205" s="210" t="s">
        <v>575</v>
      </c>
      <c r="H205" s="30">
        <v>36750</v>
      </c>
      <c r="I205" s="213" t="b">
        <v>0</v>
      </c>
      <c r="J205" s="213" t="b">
        <v>0</v>
      </c>
      <c r="K205" s="213" t="b">
        <v>0</v>
      </c>
    </row>
    <row r="206" spans="1:11" ht="25.5" hidden="1">
      <c r="A206" s="27" t="s">
        <v>129</v>
      </c>
      <c r="B206" s="27" t="s">
        <v>130</v>
      </c>
      <c r="C206" s="6" t="s">
        <v>61</v>
      </c>
      <c r="D206" s="6" t="s">
        <v>85</v>
      </c>
      <c r="E206" s="7">
        <v>45225</v>
      </c>
      <c r="F206" s="6" t="s">
        <v>91</v>
      </c>
      <c r="G206" s="210" t="s">
        <v>566</v>
      </c>
      <c r="H206" s="30">
        <v>96107</v>
      </c>
      <c r="I206" s="213" t="b">
        <v>0</v>
      </c>
      <c r="J206" s="213" t="b">
        <v>0</v>
      </c>
      <c r="K206" s="213" t="b">
        <v>0</v>
      </c>
    </row>
    <row r="207" spans="1:11" ht="76.5">
      <c r="A207" s="27" t="s">
        <v>129</v>
      </c>
      <c r="B207" s="27" t="s">
        <v>141</v>
      </c>
      <c r="C207" s="6" t="s">
        <v>61</v>
      </c>
      <c r="D207" s="6" t="s">
        <v>125</v>
      </c>
      <c r="E207" s="7">
        <v>45225</v>
      </c>
      <c r="F207" s="6" t="s">
        <v>142</v>
      </c>
      <c r="G207" s="210" t="s">
        <v>5570</v>
      </c>
      <c r="H207" s="30">
        <v>2715682.84</v>
      </c>
      <c r="I207" s="213" t="b">
        <v>0</v>
      </c>
      <c r="J207" s="213"/>
      <c r="K207" s="213"/>
    </row>
    <row r="208" spans="1:11" ht="51" hidden="1">
      <c r="A208" s="27" t="s">
        <v>129</v>
      </c>
      <c r="B208" s="27" t="s">
        <v>5571</v>
      </c>
      <c r="C208" s="6" t="s">
        <v>61</v>
      </c>
      <c r="D208" s="6" t="s">
        <v>1006</v>
      </c>
      <c r="E208" s="7">
        <v>45225</v>
      </c>
      <c r="F208" s="6" t="s">
        <v>5572</v>
      </c>
      <c r="G208" s="210" t="s">
        <v>5573</v>
      </c>
      <c r="H208" s="30">
        <v>3094430</v>
      </c>
      <c r="I208" s="213" t="b">
        <v>0</v>
      </c>
      <c r="J208" s="213" t="b">
        <v>0</v>
      </c>
      <c r="K208" s="213" t="b">
        <v>0</v>
      </c>
    </row>
    <row r="209" spans="1:11" ht="51">
      <c r="A209" s="27" t="s">
        <v>129</v>
      </c>
      <c r="B209" s="27" t="s">
        <v>147</v>
      </c>
      <c r="C209" s="6" t="s">
        <v>61</v>
      </c>
      <c r="D209" s="6" t="s">
        <v>125</v>
      </c>
      <c r="E209" s="7">
        <v>45236</v>
      </c>
      <c r="F209" s="8" t="s">
        <v>148</v>
      </c>
      <c r="G209" s="6" t="s">
        <v>149</v>
      </c>
      <c r="H209" s="247">
        <v>2398683</v>
      </c>
      <c r="I209" s="213" t="b">
        <v>0</v>
      </c>
      <c r="J209" s="213"/>
      <c r="K209" s="213"/>
    </row>
    <row r="210" spans="1:11" ht="38.25" hidden="1">
      <c r="A210" s="27" t="s">
        <v>129</v>
      </c>
      <c r="B210" s="27" t="s">
        <v>1801</v>
      </c>
      <c r="C210" s="6" t="s">
        <v>61</v>
      </c>
      <c r="D210" s="6" t="s">
        <v>1782</v>
      </c>
      <c r="E210" s="7">
        <v>45252</v>
      </c>
      <c r="F210" s="8" t="s">
        <v>1802</v>
      </c>
      <c r="G210" s="6" t="s">
        <v>1803</v>
      </c>
      <c r="H210" s="247">
        <v>970480</v>
      </c>
      <c r="I210" s="213" t="b">
        <v>0</v>
      </c>
      <c r="J210" s="213" t="b">
        <v>0</v>
      </c>
      <c r="K210" s="213" t="b">
        <v>0</v>
      </c>
    </row>
    <row r="211" spans="1:11" ht="51" hidden="1">
      <c r="A211" s="27" t="s">
        <v>129</v>
      </c>
      <c r="B211" s="27" t="s">
        <v>5574</v>
      </c>
      <c r="C211" s="6" t="s">
        <v>2328</v>
      </c>
      <c r="D211" s="6" t="s">
        <v>62</v>
      </c>
      <c r="E211" s="7">
        <v>45252</v>
      </c>
      <c r="F211" s="8" t="s">
        <v>1043</v>
      </c>
      <c r="G211" s="6" t="s">
        <v>5575</v>
      </c>
      <c r="H211" s="30" t="s">
        <v>5576</v>
      </c>
      <c r="I211" s="213" t="b">
        <v>0</v>
      </c>
      <c r="J211" s="213" t="b">
        <v>0</v>
      </c>
      <c r="K211" s="213" t="b">
        <v>0</v>
      </c>
    </row>
    <row r="212" spans="1:11" ht="51" hidden="1">
      <c r="A212" s="27" t="s">
        <v>129</v>
      </c>
      <c r="B212" s="27" t="s">
        <v>5577</v>
      </c>
      <c r="C212" s="6" t="s">
        <v>5578</v>
      </c>
      <c r="D212" s="6" t="s">
        <v>62</v>
      </c>
      <c r="E212" s="7">
        <v>45252</v>
      </c>
      <c r="F212" s="8" t="s">
        <v>5579</v>
      </c>
      <c r="G212" s="6" t="s">
        <v>1056</v>
      </c>
      <c r="H212" s="30" t="s">
        <v>5580</v>
      </c>
      <c r="I212" s="213" t="b">
        <v>0</v>
      </c>
      <c r="J212" s="213" t="b">
        <v>0</v>
      </c>
      <c r="K212" s="213" t="b">
        <v>0</v>
      </c>
    </row>
    <row r="213" spans="1:11" ht="51">
      <c r="A213" s="27" t="s">
        <v>129</v>
      </c>
      <c r="B213" s="10" t="s">
        <v>23</v>
      </c>
      <c r="C213" s="9" t="s">
        <v>61</v>
      </c>
      <c r="D213" s="9" t="s">
        <v>125</v>
      </c>
      <c r="E213" s="138">
        <v>45275</v>
      </c>
      <c r="F213" s="6" t="s">
        <v>152</v>
      </c>
      <c r="G213" s="210" t="s">
        <v>5581</v>
      </c>
      <c r="H213" s="30">
        <v>7936800</v>
      </c>
      <c r="I213" s="213" t="b">
        <v>0</v>
      </c>
      <c r="J213" s="213"/>
      <c r="K213" s="213"/>
    </row>
    <row r="214" spans="1:11" ht="38.25" hidden="1">
      <c r="A214" s="6">
        <v>2022</v>
      </c>
      <c r="B214" s="61">
        <v>44682</v>
      </c>
      <c r="C214" s="6" t="s">
        <v>1823</v>
      </c>
      <c r="D214" s="6" t="s">
        <v>1782</v>
      </c>
      <c r="E214" s="111">
        <v>44588</v>
      </c>
      <c r="F214" s="6" t="s">
        <v>1825</v>
      </c>
      <c r="G214" s="6" t="s">
        <v>1826</v>
      </c>
      <c r="H214" s="110">
        <v>680240</v>
      </c>
      <c r="I214" s="213" t="b">
        <v>0</v>
      </c>
      <c r="J214" s="213" t="b">
        <v>0</v>
      </c>
      <c r="K214" s="213" t="b">
        <v>0</v>
      </c>
    </row>
    <row r="215" spans="1:11" ht="63.75" hidden="1">
      <c r="A215" s="6">
        <v>2022</v>
      </c>
      <c r="B215" s="61">
        <v>44713</v>
      </c>
      <c r="C215" s="112" t="s">
        <v>61</v>
      </c>
      <c r="D215" s="9" t="s">
        <v>1831</v>
      </c>
      <c r="E215" s="113">
        <v>44614</v>
      </c>
      <c r="F215" s="6" t="s">
        <v>1832</v>
      </c>
      <c r="G215" s="6" t="s">
        <v>1826</v>
      </c>
      <c r="H215" s="110">
        <v>210000</v>
      </c>
      <c r="I215" s="213" t="b">
        <v>0</v>
      </c>
      <c r="J215" s="213" t="b">
        <v>0</v>
      </c>
      <c r="K215" s="213" t="b">
        <v>0</v>
      </c>
    </row>
    <row r="216" spans="1:11" ht="25.5" hidden="1">
      <c r="A216" s="6">
        <v>2022</v>
      </c>
      <c r="B216" s="61">
        <v>44743</v>
      </c>
      <c r="C216" s="112" t="s">
        <v>61</v>
      </c>
      <c r="D216" s="9" t="s">
        <v>575</v>
      </c>
      <c r="E216" s="113">
        <v>44594</v>
      </c>
      <c r="F216" s="6" t="s">
        <v>1466</v>
      </c>
      <c r="G216" s="6" t="s">
        <v>1835</v>
      </c>
      <c r="H216" s="110">
        <v>310057.2</v>
      </c>
      <c r="I216" s="213" t="b">
        <v>0</v>
      </c>
      <c r="J216" s="213" t="b">
        <v>0</v>
      </c>
      <c r="K216" s="213" t="b">
        <v>0</v>
      </c>
    </row>
    <row r="217" spans="1:11" ht="25.5" hidden="1">
      <c r="A217" s="6">
        <v>2022</v>
      </c>
      <c r="B217" s="61">
        <v>44774</v>
      </c>
      <c r="C217" s="112" t="s">
        <v>61</v>
      </c>
      <c r="D217" s="9" t="s">
        <v>1838</v>
      </c>
      <c r="E217" s="113">
        <v>44614</v>
      </c>
      <c r="F217" s="6" t="s">
        <v>1839</v>
      </c>
      <c r="G217" s="6" t="s">
        <v>1840</v>
      </c>
      <c r="H217" s="110">
        <v>25200</v>
      </c>
      <c r="I217" s="213" t="b">
        <v>0</v>
      </c>
      <c r="J217" s="213" t="b">
        <v>0</v>
      </c>
      <c r="K217" s="213" t="b">
        <v>0</v>
      </c>
    </row>
    <row r="218" spans="1:11" ht="25.5" hidden="1">
      <c r="A218" s="6">
        <v>2022</v>
      </c>
      <c r="B218" s="61">
        <v>44805</v>
      </c>
      <c r="C218" s="112" t="s">
        <v>1842</v>
      </c>
      <c r="D218" s="9" t="s">
        <v>575</v>
      </c>
      <c r="E218" s="113">
        <v>44602</v>
      </c>
      <c r="F218" s="6" t="s">
        <v>1844</v>
      </c>
      <c r="G218" s="6" t="s">
        <v>1845</v>
      </c>
      <c r="H218" s="110">
        <v>5300</v>
      </c>
      <c r="I218" s="213" t="b">
        <v>0</v>
      </c>
      <c r="J218" s="213" t="b">
        <v>0</v>
      </c>
      <c r="K218" s="213" t="b">
        <v>0</v>
      </c>
    </row>
    <row r="219" spans="1:11" ht="38.25" hidden="1">
      <c r="A219" s="6">
        <v>2022</v>
      </c>
      <c r="B219" s="62">
        <v>44835</v>
      </c>
      <c r="C219" s="112" t="s">
        <v>61</v>
      </c>
      <c r="D219" s="9" t="s">
        <v>1849</v>
      </c>
      <c r="E219" s="113">
        <v>44608</v>
      </c>
      <c r="F219" s="6" t="s">
        <v>1850</v>
      </c>
      <c r="G219" s="6" t="s">
        <v>1851</v>
      </c>
      <c r="H219" s="110">
        <v>1831800</v>
      </c>
      <c r="I219" s="213" t="b">
        <v>0</v>
      </c>
      <c r="J219" s="213" t="b">
        <v>0</v>
      </c>
      <c r="K219" s="213" t="b">
        <v>0</v>
      </c>
    </row>
    <row r="220" spans="1:11" ht="127.5" hidden="1">
      <c r="A220" s="6">
        <v>2022</v>
      </c>
      <c r="B220" s="114">
        <v>44866</v>
      </c>
      <c r="C220" s="112" t="s">
        <v>61</v>
      </c>
      <c r="D220" s="115" t="s">
        <v>394</v>
      </c>
      <c r="E220" s="117">
        <v>44608</v>
      </c>
      <c r="F220" s="112" t="s">
        <v>571</v>
      </c>
      <c r="G220" s="112" t="s">
        <v>572</v>
      </c>
      <c r="H220" s="116">
        <v>19000</v>
      </c>
      <c r="I220" s="213" t="b">
        <v>0</v>
      </c>
      <c r="J220" s="213" t="b">
        <v>0</v>
      </c>
      <c r="K220" s="213" t="b">
        <v>0</v>
      </c>
    </row>
    <row r="221" spans="1:11" ht="25.5" hidden="1">
      <c r="A221" s="6">
        <v>2022</v>
      </c>
      <c r="B221" s="62">
        <v>44896</v>
      </c>
      <c r="C221" s="112" t="s">
        <v>61</v>
      </c>
      <c r="D221" s="9" t="s">
        <v>573</v>
      </c>
      <c r="E221" s="113">
        <v>44622</v>
      </c>
      <c r="F221" s="6" t="s">
        <v>574</v>
      </c>
      <c r="G221" s="6" t="s">
        <v>575</v>
      </c>
      <c r="H221" s="110">
        <v>345000</v>
      </c>
      <c r="I221" s="213" t="b">
        <v>0</v>
      </c>
      <c r="J221" s="213" t="b">
        <v>0</v>
      </c>
      <c r="K221" s="213" t="b">
        <v>0</v>
      </c>
    </row>
    <row r="222" spans="1:11" ht="25.5" hidden="1">
      <c r="A222" s="6">
        <v>2022</v>
      </c>
      <c r="B222" s="119" t="s">
        <v>1861</v>
      </c>
      <c r="C222" s="112" t="s">
        <v>61</v>
      </c>
      <c r="D222" s="115" t="s">
        <v>1862</v>
      </c>
      <c r="E222" s="117">
        <v>44573</v>
      </c>
      <c r="F222" s="112" t="s">
        <v>1863</v>
      </c>
      <c r="G222" s="112" t="s">
        <v>1864</v>
      </c>
      <c r="H222" s="120">
        <v>190300</v>
      </c>
      <c r="I222" s="213" t="b">
        <v>0</v>
      </c>
      <c r="J222" s="213" t="b">
        <v>0</v>
      </c>
      <c r="K222" s="213" t="b">
        <v>0</v>
      </c>
    </row>
    <row r="223" spans="1:11" ht="38.25" hidden="1">
      <c r="A223" s="6">
        <v>2022</v>
      </c>
      <c r="B223" s="119" t="s">
        <v>1866</v>
      </c>
      <c r="C223" s="112" t="s">
        <v>1867</v>
      </c>
      <c r="D223" s="115" t="s">
        <v>1862</v>
      </c>
      <c r="E223" s="117">
        <v>44588</v>
      </c>
      <c r="F223" s="112" t="s">
        <v>1868</v>
      </c>
      <c r="G223" s="112" t="s">
        <v>575</v>
      </c>
      <c r="H223" s="120"/>
      <c r="I223" s="213" t="b">
        <v>0</v>
      </c>
      <c r="J223" s="213" t="b">
        <v>0</v>
      </c>
      <c r="K223" s="213" t="b">
        <v>0</v>
      </c>
    </row>
    <row r="224" spans="1:11" ht="38.25" hidden="1">
      <c r="A224" s="6">
        <v>2022</v>
      </c>
      <c r="B224" s="119" t="s">
        <v>1870</v>
      </c>
      <c r="C224" s="112" t="s">
        <v>61</v>
      </c>
      <c r="D224" s="115" t="s">
        <v>1862</v>
      </c>
      <c r="E224" s="117">
        <v>44588</v>
      </c>
      <c r="F224" s="112" t="s">
        <v>1871</v>
      </c>
      <c r="G224" s="112" t="s">
        <v>1872</v>
      </c>
      <c r="H224" s="120">
        <v>544434</v>
      </c>
      <c r="I224" s="213" t="b">
        <v>0</v>
      </c>
      <c r="J224" s="213" t="b">
        <v>0</v>
      </c>
      <c r="K224" s="213" t="b">
        <v>0</v>
      </c>
    </row>
    <row r="225" spans="1:11" ht="38.25">
      <c r="A225" s="6">
        <v>2022</v>
      </c>
      <c r="B225" s="6" t="s">
        <v>576</v>
      </c>
      <c r="C225" s="112" t="s">
        <v>61</v>
      </c>
      <c r="D225" s="6" t="s">
        <v>125</v>
      </c>
      <c r="E225" s="7">
        <v>44881</v>
      </c>
      <c r="F225" s="6" t="s">
        <v>577</v>
      </c>
      <c r="G225" s="6" t="s">
        <v>578</v>
      </c>
      <c r="H225" s="214">
        <v>2353196</v>
      </c>
      <c r="I225" s="213" t="b">
        <v>0</v>
      </c>
      <c r="J225" s="213"/>
      <c r="K225" s="213"/>
    </row>
    <row r="226" spans="1:11" ht="25.5" hidden="1">
      <c r="A226" s="6">
        <v>2022</v>
      </c>
      <c r="B226" s="20" t="s">
        <v>685</v>
      </c>
      <c r="C226" s="112" t="s">
        <v>61</v>
      </c>
      <c r="D226" s="17" t="s">
        <v>1877</v>
      </c>
      <c r="E226" s="123">
        <v>44896</v>
      </c>
      <c r="F226" s="16" t="s">
        <v>686</v>
      </c>
      <c r="G226" s="112" t="s">
        <v>520</v>
      </c>
      <c r="H226" s="122">
        <v>199890</v>
      </c>
      <c r="I226" s="213" t="b">
        <v>0</v>
      </c>
      <c r="J226" s="213" t="b">
        <v>0</v>
      </c>
      <c r="K226" s="213" t="b">
        <v>0</v>
      </c>
    </row>
    <row r="227" spans="1:11" ht="14.25" hidden="1">
      <c r="A227" s="6">
        <v>2022</v>
      </c>
      <c r="B227" s="6" t="s">
        <v>687</v>
      </c>
      <c r="C227" s="112" t="s">
        <v>61</v>
      </c>
      <c r="D227" s="6" t="s">
        <v>652</v>
      </c>
      <c r="E227" s="125">
        <v>44896</v>
      </c>
      <c r="F227" s="248" t="s">
        <v>688</v>
      </c>
      <c r="G227" s="6" t="s">
        <v>689</v>
      </c>
      <c r="H227" s="64">
        <v>18425</v>
      </c>
      <c r="I227" s="213" t="b">
        <v>0</v>
      </c>
      <c r="J227" s="213" t="b">
        <v>0</v>
      </c>
      <c r="K227" s="213" t="b">
        <v>0</v>
      </c>
    </row>
    <row r="228" spans="1:11" ht="51" hidden="1">
      <c r="A228" s="6">
        <v>2022</v>
      </c>
      <c r="B228" s="127" t="s">
        <v>585</v>
      </c>
      <c r="C228" s="112" t="s">
        <v>1883</v>
      </c>
      <c r="D228" s="6" t="s">
        <v>586</v>
      </c>
      <c r="E228" s="7">
        <v>44907</v>
      </c>
      <c r="F228" s="6" t="s">
        <v>1884</v>
      </c>
      <c r="G228" s="6"/>
      <c r="H228" s="121"/>
      <c r="I228" s="213" t="b">
        <v>0</v>
      </c>
      <c r="J228" s="213" t="b">
        <v>0</v>
      </c>
      <c r="K228" s="213" t="b">
        <v>0</v>
      </c>
    </row>
    <row r="229" spans="1:11" ht="25.5" hidden="1">
      <c r="A229" s="6">
        <v>2022</v>
      </c>
      <c r="B229" s="112" t="s">
        <v>585</v>
      </c>
      <c r="C229" s="112" t="s">
        <v>61</v>
      </c>
      <c r="D229" s="6" t="s">
        <v>586</v>
      </c>
      <c r="E229" s="7">
        <v>44886</v>
      </c>
      <c r="F229" s="6" t="s">
        <v>587</v>
      </c>
      <c r="G229" s="6" t="s">
        <v>588</v>
      </c>
      <c r="H229" s="121">
        <v>17575</v>
      </c>
      <c r="I229" s="213" t="b">
        <v>0</v>
      </c>
      <c r="J229" s="213" t="b">
        <v>0</v>
      </c>
      <c r="K229" s="213" t="b">
        <v>0</v>
      </c>
    </row>
    <row r="230" spans="1:11" ht="51">
      <c r="A230" s="6">
        <v>2022</v>
      </c>
      <c r="B230" s="6" t="s">
        <v>589</v>
      </c>
      <c r="C230" s="112" t="s">
        <v>61</v>
      </c>
      <c r="D230" s="6" t="s">
        <v>125</v>
      </c>
      <c r="E230" s="7">
        <v>44909</v>
      </c>
      <c r="F230" s="6" t="s">
        <v>590</v>
      </c>
      <c r="G230" s="6" t="s">
        <v>1888</v>
      </c>
      <c r="H230" s="214">
        <v>2995096</v>
      </c>
      <c r="I230" s="213" t="b">
        <v>0</v>
      </c>
      <c r="J230" s="213"/>
      <c r="K230" s="213"/>
    </row>
    <row r="231" spans="1:11" ht="25.5">
      <c r="A231" s="6">
        <v>2022</v>
      </c>
      <c r="B231" s="112" t="s">
        <v>592</v>
      </c>
      <c r="C231" s="112" t="s">
        <v>61</v>
      </c>
      <c r="D231" s="6" t="s">
        <v>125</v>
      </c>
      <c r="E231" s="7">
        <v>44909</v>
      </c>
      <c r="F231" s="6" t="s">
        <v>1891</v>
      </c>
      <c r="G231" s="6" t="s">
        <v>594</v>
      </c>
      <c r="H231" s="214">
        <v>2692520</v>
      </c>
      <c r="I231" s="213" t="b">
        <v>0</v>
      </c>
      <c r="J231" s="213"/>
      <c r="K231" s="213"/>
    </row>
    <row r="232" spans="1:11" ht="38.25">
      <c r="A232" s="6">
        <v>2022</v>
      </c>
      <c r="B232" s="127" t="s">
        <v>595</v>
      </c>
      <c r="C232" s="112" t="s">
        <v>61</v>
      </c>
      <c r="D232" s="6" t="s">
        <v>125</v>
      </c>
      <c r="E232" s="6" t="s">
        <v>1894</v>
      </c>
      <c r="F232" s="6" t="s">
        <v>596</v>
      </c>
      <c r="G232" s="6" t="s">
        <v>597</v>
      </c>
      <c r="H232" s="214">
        <v>1450894</v>
      </c>
      <c r="I232" s="213" t="b">
        <v>0</v>
      </c>
      <c r="J232" s="213"/>
      <c r="K232" s="213"/>
    </row>
    <row r="233" spans="1:11" ht="51">
      <c r="A233" s="6">
        <v>2022</v>
      </c>
      <c r="B233" s="127" t="s">
        <v>598</v>
      </c>
      <c r="C233" s="112" t="s">
        <v>61</v>
      </c>
      <c r="D233" s="6" t="s">
        <v>125</v>
      </c>
      <c r="E233" s="7">
        <v>44909</v>
      </c>
      <c r="F233" s="6" t="s">
        <v>599</v>
      </c>
      <c r="G233" s="6" t="s">
        <v>600</v>
      </c>
      <c r="H233" s="214">
        <v>1780736</v>
      </c>
      <c r="I233" s="213" t="b">
        <v>0</v>
      </c>
      <c r="J233" s="213"/>
      <c r="K233" s="213"/>
    </row>
    <row r="234" spans="1:11" ht="38.25">
      <c r="A234" s="6">
        <v>2022</v>
      </c>
      <c r="B234" s="6" t="s">
        <v>601</v>
      </c>
      <c r="C234" s="112" t="s">
        <v>61</v>
      </c>
      <c r="D234" s="6" t="s">
        <v>125</v>
      </c>
      <c r="E234" s="6" t="s">
        <v>1901</v>
      </c>
      <c r="F234" s="6" t="s">
        <v>602</v>
      </c>
      <c r="G234" s="6" t="s">
        <v>591</v>
      </c>
      <c r="H234" s="214">
        <v>2802604</v>
      </c>
      <c r="I234" s="213" t="b">
        <v>0</v>
      </c>
      <c r="J234" s="213"/>
      <c r="K234" s="213"/>
    </row>
    <row r="235" spans="1:11" ht="12.75">
      <c r="A235" s="6">
        <v>2022</v>
      </c>
      <c r="B235" s="6" t="s">
        <v>75</v>
      </c>
      <c r="C235" s="112" t="s">
        <v>61</v>
      </c>
      <c r="D235" s="6" t="s">
        <v>76</v>
      </c>
      <c r="E235" s="6" t="s">
        <v>77</v>
      </c>
      <c r="F235" s="6" t="s">
        <v>78</v>
      </c>
      <c r="G235" s="6" t="s">
        <v>79</v>
      </c>
      <c r="H235" s="121">
        <v>1083679</v>
      </c>
      <c r="I235" s="213" t="b">
        <v>0</v>
      </c>
      <c r="J235" s="213"/>
      <c r="K235" s="213"/>
    </row>
    <row r="236" spans="1:11" ht="12.75" hidden="1">
      <c r="A236" s="6">
        <v>2022</v>
      </c>
      <c r="B236" s="112" t="s">
        <v>75</v>
      </c>
      <c r="C236" s="6"/>
      <c r="D236" s="6"/>
      <c r="E236" s="7">
        <v>44924</v>
      </c>
      <c r="F236" s="6"/>
      <c r="G236" s="6"/>
      <c r="H236" s="121"/>
      <c r="I236" s="213" t="b">
        <v>0</v>
      </c>
      <c r="J236" s="213" t="b">
        <v>0</v>
      </c>
      <c r="K236" s="213" t="b">
        <v>0</v>
      </c>
    </row>
    <row r="237" spans="1:11" ht="25.5" hidden="1">
      <c r="A237" s="6">
        <v>2022</v>
      </c>
      <c r="B237" s="6" t="s">
        <v>604</v>
      </c>
      <c r="C237" s="112" t="s">
        <v>61</v>
      </c>
      <c r="D237" s="9" t="s">
        <v>573</v>
      </c>
      <c r="E237" s="113">
        <v>44622</v>
      </c>
      <c r="F237" s="6" t="s">
        <v>1907</v>
      </c>
      <c r="G237" s="6" t="s">
        <v>575</v>
      </c>
      <c r="H237" s="110">
        <v>1201148.8799999999</v>
      </c>
      <c r="I237" s="213" t="b">
        <v>0</v>
      </c>
      <c r="J237" s="213" t="b">
        <v>0</v>
      </c>
      <c r="K237" s="213" t="b">
        <v>0</v>
      </c>
    </row>
    <row r="238" spans="1:11" ht="38.25" hidden="1">
      <c r="A238" s="6">
        <v>2022</v>
      </c>
      <c r="B238" s="6" t="s">
        <v>1909</v>
      </c>
      <c r="C238" s="112" t="s">
        <v>61</v>
      </c>
      <c r="D238" s="9" t="s">
        <v>575</v>
      </c>
      <c r="E238" s="113">
        <v>44622</v>
      </c>
      <c r="F238" s="6" t="s">
        <v>5582</v>
      </c>
      <c r="G238" s="6" t="s">
        <v>575</v>
      </c>
      <c r="H238" s="110">
        <v>389200</v>
      </c>
      <c r="I238" s="213" t="b">
        <v>0</v>
      </c>
      <c r="J238" s="213" t="b">
        <v>0</v>
      </c>
      <c r="K238" s="213" t="b">
        <v>0</v>
      </c>
    </row>
    <row r="239" spans="1:11" ht="25.5" hidden="1">
      <c r="A239" s="6">
        <v>2022</v>
      </c>
      <c r="B239" s="6" t="s">
        <v>1912</v>
      </c>
      <c r="C239" s="112" t="s">
        <v>61</v>
      </c>
      <c r="D239" s="9" t="s">
        <v>575</v>
      </c>
      <c r="E239" s="113">
        <v>44622</v>
      </c>
      <c r="F239" s="6" t="s">
        <v>1913</v>
      </c>
      <c r="G239" s="6" t="s">
        <v>575</v>
      </c>
      <c r="H239" s="110">
        <v>1381550</v>
      </c>
      <c r="I239" s="213" t="b">
        <v>0</v>
      </c>
      <c r="J239" s="213" t="b">
        <v>0</v>
      </c>
      <c r="K239" s="213" t="b">
        <v>0</v>
      </c>
    </row>
    <row r="240" spans="1:11" ht="51" hidden="1">
      <c r="A240" s="6">
        <v>2022</v>
      </c>
      <c r="B240" s="112" t="s">
        <v>579</v>
      </c>
      <c r="C240" s="112" t="s">
        <v>61</v>
      </c>
      <c r="D240" s="128" t="s">
        <v>394</v>
      </c>
      <c r="E240" s="117">
        <v>44629</v>
      </c>
      <c r="F240" s="112" t="s">
        <v>580</v>
      </c>
      <c r="G240" s="112" t="s">
        <v>581</v>
      </c>
      <c r="H240" s="129">
        <v>20000</v>
      </c>
      <c r="I240" s="213" t="b">
        <v>0</v>
      </c>
      <c r="J240" s="213" t="b">
        <v>0</v>
      </c>
      <c r="K240" s="213" t="b">
        <v>0</v>
      </c>
    </row>
    <row r="241" spans="1:11" ht="38.25" hidden="1">
      <c r="A241" s="6">
        <v>2022</v>
      </c>
      <c r="B241" s="112" t="s">
        <v>582</v>
      </c>
      <c r="C241" s="112" t="s">
        <v>61</v>
      </c>
      <c r="D241" s="115" t="s">
        <v>68</v>
      </c>
      <c r="E241" s="117">
        <v>44629</v>
      </c>
      <c r="F241" s="112" t="s">
        <v>583</v>
      </c>
      <c r="G241" s="112" t="s">
        <v>584</v>
      </c>
      <c r="H241" s="130">
        <v>300700</v>
      </c>
      <c r="I241" s="213" t="b">
        <v>0</v>
      </c>
      <c r="J241" s="213" t="b">
        <v>0</v>
      </c>
      <c r="K241" s="213" t="b">
        <v>0</v>
      </c>
    </row>
    <row r="242" spans="1:11" ht="25.5" hidden="1">
      <c r="A242" s="6">
        <v>2022</v>
      </c>
      <c r="B242" s="6" t="s">
        <v>1921</v>
      </c>
      <c r="C242" s="112" t="s">
        <v>61</v>
      </c>
      <c r="D242" s="9" t="s">
        <v>1838</v>
      </c>
      <c r="E242" s="7">
        <v>44636</v>
      </c>
      <c r="F242" s="6" t="s">
        <v>1922</v>
      </c>
      <c r="G242" s="6" t="s">
        <v>1840</v>
      </c>
      <c r="H242" s="110">
        <v>121200</v>
      </c>
      <c r="I242" s="213" t="b">
        <v>0</v>
      </c>
      <c r="J242" s="213" t="b">
        <v>0</v>
      </c>
      <c r="K242" s="213" t="b">
        <v>0</v>
      </c>
    </row>
    <row r="243" spans="1:11" ht="51" hidden="1">
      <c r="A243" s="6">
        <v>2022</v>
      </c>
      <c r="B243" s="6" t="s">
        <v>1925</v>
      </c>
      <c r="C243" s="6"/>
      <c r="D243" s="9" t="s">
        <v>1417</v>
      </c>
      <c r="E243" s="113">
        <v>44643</v>
      </c>
      <c r="F243" s="6" t="s">
        <v>1927</v>
      </c>
      <c r="G243" s="6" t="s">
        <v>1928</v>
      </c>
      <c r="H243" s="110"/>
      <c r="I243" s="213" t="b">
        <v>0</v>
      </c>
      <c r="J243" s="213" t="b">
        <v>0</v>
      </c>
      <c r="K243" s="213" t="b">
        <v>0</v>
      </c>
    </row>
    <row r="244" spans="1:11" ht="51" hidden="1">
      <c r="A244" s="6">
        <v>2022</v>
      </c>
      <c r="B244" s="6" t="s">
        <v>1461</v>
      </c>
      <c r="C244" s="112" t="s">
        <v>61</v>
      </c>
      <c r="D244" s="9" t="s">
        <v>1462</v>
      </c>
      <c r="E244" s="113">
        <v>44664</v>
      </c>
      <c r="F244" s="6" t="s">
        <v>1463</v>
      </c>
      <c r="G244" s="6" t="s">
        <v>1851</v>
      </c>
      <c r="H244" s="110">
        <v>1203000</v>
      </c>
      <c r="I244" s="213" t="b">
        <v>0</v>
      </c>
      <c r="J244" s="213" t="b">
        <v>0</v>
      </c>
      <c r="K244" s="213" t="b">
        <v>0</v>
      </c>
    </row>
    <row r="245" spans="1:11" ht="51" hidden="1">
      <c r="A245" s="6">
        <v>2022</v>
      </c>
      <c r="B245" s="112" t="s">
        <v>606</v>
      </c>
      <c r="C245" s="112" t="s">
        <v>61</v>
      </c>
      <c r="D245" s="115" t="s">
        <v>394</v>
      </c>
      <c r="E245" s="117">
        <v>44633</v>
      </c>
      <c r="F245" s="112" t="s">
        <v>1943</v>
      </c>
      <c r="G245" s="112" t="s">
        <v>608</v>
      </c>
      <c r="H245" s="129">
        <v>38400</v>
      </c>
      <c r="I245" s="213" t="b">
        <v>0</v>
      </c>
      <c r="J245" s="213" t="b">
        <v>0</v>
      </c>
      <c r="K245" s="213" t="b">
        <v>0</v>
      </c>
    </row>
    <row r="246" spans="1:11" ht="51" hidden="1">
      <c r="A246" s="6">
        <v>2022</v>
      </c>
      <c r="B246" s="6" t="s">
        <v>1951</v>
      </c>
      <c r="C246" s="112" t="s">
        <v>61</v>
      </c>
      <c r="D246" s="9" t="s">
        <v>575</v>
      </c>
      <c r="E246" s="113">
        <v>44678</v>
      </c>
      <c r="F246" s="6" t="s">
        <v>1952</v>
      </c>
      <c r="G246" s="6" t="s">
        <v>575</v>
      </c>
      <c r="H246" s="110">
        <v>69200</v>
      </c>
      <c r="I246" s="213" t="b">
        <v>0</v>
      </c>
      <c r="J246" s="213" t="b">
        <v>0</v>
      </c>
      <c r="K246" s="213" t="b">
        <v>0</v>
      </c>
    </row>
    <row r="247" spans="1:11" ht="38.25">
      <c r="A247" s="6">
        <v>2022</v>
      </c>
      <c r="B247" s="6" t="s">
        <v>1075</v>
      </c>
      <c r="C247" s="112" t="s">
        <v>61</v>
      </c>
      <c r="D247" s="9" t="s">
        <v>62</v>
      </c>
      <c r="E247" s="113">
        <v>44685</v>
      </c>
      <c r="F247" s="6" t="s">
        <v>1076</v>
      </c>
      <c r="G247" s="6" t="s">
        <v>1954</v>
      </c>
      <c r="H247" s="110">
        <v>1000000</v>
      </c>
      <c r="I247" s="213" t="b">
        <v>0</v>
      </c>
      <c r="J247" s="213"/>
      <c r="K247" s="213"/>
    </row>
    <row r="248" spans="1:11" ht="25.5" hidden="1">
      <c r="A248" s="6">
        <v>2022</v>
      </c>
      <c r="B248" s="6" t="s">
        <v>1957</v>
      </c>
      <c r="C248" s="6" t="s">
        <v>1823</v>
      </c>
      <c r="D248" s="9" t="s">
        <v>62</v>
      </c>
      <c r="E248" s="113">
        <v>44706</v>
      </c>
      <c r="F248" s="6" t="s">
        <v>1958</v>
      </c>
      <c r="G248" s="6" t="s">
        <v>1959</v>
      </c>
      <c r="H248" s="110">
        <v>1504308</v>
      </c>
      <c r="I248" s="213" t="b">
        <v>0</v>
      </c>
      <c r="J248" s="213" t="b">
        <v>0</v>
      </c>
      <c r="K248" s="213" t="b">
        <v>0</v>
      </c>
    </row>
    <row r="249" spans="1:11" ht="12.75" hidden="1">
      <c r="A249" s="6">
        <v>2022</v>
      </c>
      <c r="B249" s="6" t="s">
        <v>1962</v>
      </c>
      <c r="C249" s="6"/>
      <c r="D249" s="9" t="s">
        <v>575</v>
      </c>
      <c r="E249" s="113">
        <v>44706</v>
      </c>
      <c r="F249" s="6" t="s">
        <v>1963</v>
      </c>
      <c r="G249" s="6"/>
      <c r="H249" s="110"/>
      <c r="I249" s="213" t="b">
        <v>0</v>
      </c>
      <c r="J249" s="213" t="b">
        <v>0</v>
      </c>
      <c r="K249" s="213" t="b">
        <v>0</v>
      </c>
    </row>
    <row r="250" spans="1:11" ht="38.25" hidden="1">
      <c r="A250" s="6">
        <v>2022</v>
      </c>
      <c r="B250" s="6" t="s">
        <v>1965</v>
      </c>
      <c r="C250" s="112" t="s">
        <v>61</v>
      </c>
      <c r="D250" s="9" t="s">
        <v>575</v>
      </c>
      <c r="E250" s="113">
        <v>44713</v>
      </c>
      <c r="F250" s="6" t="s">
        <v>1966</v>
      </c>
      <c r="G250" s="6" t="s">
        <v>1967</v>
      </c>
      <c r="H250" s="110">
        <v>53175</v>
      </c>
      <c r="I250" s="213" t="b">
        <v>0</v>
      </c>
      <c r="J250" s="213" t="b">
        <v>0</v>
      </c>
      <c r="K250" s="213" t="b">
        <v>0</v>
      </c>
    </row>
    <row r="251" spans="1:11" ht="25.5" hidden="1">
      <c r="A251" s="6">
        <v>2022</v>
      </c>
      <c r="B251" s="6" t="s">
        <v>1970</v>
      </c>
      <c r="C251" s="112" t="s">
        <v>61</v>
      </c>
      <c r="D251" s="9" t="s">
        <v>575</v>
      </c>
      <c r="E251" s="113">
        <v>44713</v>
      </c>
      <c r="F251" s="6" t="s">
        <v>1971</v>
      </c>
      <c r="G251" s="6" t="s">
        <v>1967</v>
      </c>
      <c r="H251" s="110">
        <v>400300</v>
      </c>
      <c r="I251" s="213" t="b">
        <v>0</v>
      </c>
      <c r="J251" s="213" t="b">
        <v>0</v>
      </c>
      <c r="K251" s="213" t="b">
        <v>0</v>
      </c>
    </row>
    <row r="252" spans="1:11" ht="51" hidden="1">
      <c r="A252" s="6">
        <v>2022</v>
      </c>
      <c r="B252" s="6" t="s">
        <v>609</v>
      </c>
      <c r="C252" s="112" t="s">
        <v>61</v>
      </c>
      <c r="D252" s="9" t="s">
        <v>394</v>
      </c>
      <c r="E252" s="113">
        <v>44713</v>
      </c>
      <c r="F252" s="6" t="s">
        <v>610</v>
      </c>
      <c r="G252" s="6" t="s">
        <v>611</v>
      </c>
      <c r="H252" s="131">
        <v>419537.6</v>
      </c>
      <c r="I252" s="213" t="b">
        <v>0</v>
      </c>
      <c r="J252" s="213" t="b">
        <v>0</v>
      </c>
      <c r="K252" s="213" t="b">
        <v>0</v>
      </c>
    </row>
    <row r="253" spans="1:11" ht="25.5" hidden="1">
      <c r="A253" s="6">
        <v>2022</v>
      </c>
      <c r="B253" s="6" t="s">
        <v>1974</v>
      </c>
      <c r="C253" s="112" t="s">
        <v>1946</v>
      </c>
      <c r="D253" s="132" t="s">
        <v>1453</v>
      </c>
      <c r="E253" s="113">
        <v>44720</v>
      </c>
      <c r="F253" s="6" t="s">
        <v>1975</v>
      </c>
      <c r="G253" s="6" t="s">
        <v>1453</v>
      </c>
      <c r="H253" s="110">
        <v>316600</v>
      </c>
      <c r="I253" s="213" t="b">
        <v>0</v>
      </c>
      <c r="J253" s="213" t="b">
        <v>0</v>
      </c>
      <c r="K253" s="213" t="b">
        <v>0</v>
      </c>
    </row>
    <row r="254" spans="1:11" ht="25.5">
      <c r="A254" s="6">
        <v>2022</v>
      </c>
      <c r="B254" s="6" t="s">
        <v>1078</v>
      </c>
      <c r="C254" s="112" t="s">
        <v>61</v>
      </c>
      <c r="D254" s="9" t="s">
        <v>62</v>
      </c>
      <c r="E254" s="113">
        <v>44720</v>
      </c>
      <c r="F254" s="6" t="s">
        <v>1079</v>
      </c>
      <c r="G254" s="6" t="s">
        <v>1080</v>
      </c>
      <c r="H254" s="110">
        <v>702000</v>
      </c>
      <c r="I254" s="213" t="b">
        <v>0</v>
      </c>
      <c r="J254" s="213"/>
      <c r="K254" s="213"/>
    </row>
    <row r="255" spans="1:11" ht="51">
      <c r="A255" s="6">
        <v>2022</v>
      </c>
      <c r="B255" s="6" t="s">
        <v>618</v>
      </c>
      <c r="C255" s="112" t="s">
        <v>61</v>
      </c>
      <c r="D255" s="6" t="s">
        <v>197</v>
      </c>
      <c r="E255" s="113">
        <v>44727</v>
      </c>
      <c r="F255" s="6" t="s">
        <v>619</v>
      </c>
      <c r="G255" s="6" t="s">
        <v>620</v>
      </c>
      <c r="H255" s="214">
        <v>2001920</v>
      </c>
      <c r="I255" s="213" t="b">
        <v>0</v>
      </c>
      <c r="J255" s="213"/>
      <c r="K255" s="213"/>
    </row>
    <row r="256" spans="1:11" ht="51">
      <c r="A256" s="6">
        <v>2022</v>
      </c>
      <c r="B256" s="6" t="s">
        <v>621</v>
      </c>
      <c r="C256" s="112" t="s">
        <v>61</v>
      </c>
      <c r="D256" s="6" t="s">
        <v>197</v>
      </c>
      <c r="E256" s="113">
        <v>44734</v>
      </c>
      <c r="F256" s="6" t="s">
        <v>622</v>
      </c>
      <c r="G256" s="6" t="s">
        <v>623</v>
      </c>
      <c r="H256" s="214">
        <v>2435960</v>
      </c>
      <c r="I256" s="213" t="b">
        <v>0</v>
      </c>
      <c r="J256" s="213"/>
      <c r="K256" s="213"/>
    </row>
    <row r="257" spans="1:11" ht="63.75">
      <c r="A257" s="6">
        <v>2022</v>
      </c>
      <c r="B257" s="112" t="s">
        <v>1081</v>
      </c>
      <c r="C257" s="112" t="s">
        <v>61</v>
      </c>
      <c r="D257" s="112" t="s">
        <v>76</v>
      </c>
      <c r="E257" s="134">
        <v>44734</v>
      </c>
      <c r="F257" s="112" t="s">
        <v>1082</v>
      </c>
      <c r="G257" s="112" t="s">
        <v>1083</v>
      </c>
      <c r="H257" s="120" t="s">
        <v>22</v>
      </c>
      <c r="I257" s="213" t="b">
        <v>0</v>
      </c>
      <c r="J257" s="213"/>
      <c r="K257" s="213"/>
    </row>
    <row r="258" spans="1:11" ht="12.75" hidden="1">
      <c r="A258" s="6">
        <v>2022</v>
      </c>
      <c r="B258" s="6" t="s">
        <v>1465</v>
      </c>
      <c r="C258" s="112" t="s">
        <v>61</v>
      </c>
      <c r="D258" s="6" t="s">
        <v>1420</v>
      </c>
      <c r="E258" s="7">
        <v>44734</v>
      </c>
      <c r="F258" s="6" t="s">
        <v>1466</v>
      </c>
      <c r="G258" s="6" t="s">
        <v>575</v>
      </c>
      <c r="H258" s="121">
        <v>75130</v>
      </c>
      <c r="I258" s="213" t="b">
        <v>0</v>
      </c>
      <c r="J258" s="213" t="b">
        <v>0</v>
      </c>
      <c r="K258" s="213" t="b">
        <v>0</v>
      </c>
    </row>
    <row r="259" spans="1:11" ht="25.5" hidden="1">
      <c r="A259" s="6">
        <v>2022</v>
      </c>
      <c r="B259" s="6" t="s">
        <v>1991</v>
      </c>
      <c r="C259" s="6" t="s">
        <v>1992</v>
      </c>
      <c r="D259" s="6" t="s">
        <v>1099</v>
      </c>
      <c r="E259" s="7">
        <v>44734</v>
      </c>
      <c r="F259" s="6" t="s">
        <v>1993</v>
      </c>
      <c r="G259" s="6" t="s">
        <v>575</v>
      </c>
      <c r="H259" s="121"/>
      <c r="I259" s="213" t="b">
        <v>0</v>
      </c>
      <c r="J259" s="213" t="b">
        <v>0</v>
      </c>
      <c r="K259" s="213" t="b">
        <v>0</v>
      </c>
    </row>
    <row r="260" spans="1:11" ht="38.25" hidden="1">
      <c r="A260" s="6">
        <v>2022</v>
      </c>
      <c r="B260" s="6" t="s">
        <v>1995</v>
      </c>
      <c r="C260" s="6" t="s">
        <v>1996</v>
      </c>
      <c r="D260" s="9" t="s">
        <v>62</v>
      </c>
      <c r="E260" s="7">
        <v>44734</v>
      </c>
      <c r="F260" s="6" t="s">
        <v>1997</v>
      </c>
      <c r="G260" s="6" t="s">
        <v>575</v>
      </c>
      <c r="H260" s="121"/>
      <c r="I260" s="213" t="b">
        <v>0</v>
      </c>
      <c r="J260" s="213" t="b">
        <v>0</v>
      </c>
      <c r="K260" s="213" t="b">
        <v>0</v>
      </c>
    </row>
    <row r="261" spans="1:11" ht="38.25" hidden="1">
      <c r="A261" s="6">
        <v>2022</v>
      </c>
      <c r="B261" s="6" t="s">
        <v>1999</v>
      </c>
      <c r="C261" s="6" t="s">
        <v>1842</v>
      </c>
      <c r="D261" s="6" t="s">
        <v>22</v>
      </c>
      <c r="E261" s="7">
        <v>44734</v>
      </c>
      <c r="F261" s="6" t="s">
        <v>2000</v>
      </c>
      <c r="G261" s="6" t="s">
        <v>575</v>
      </c>
      <c r="H261" s="121"/>
      <c r="I261" s="213" t="b">
        <v>0</v>
      </c>
      <c r="J261" s="213" t="b">
        <v>0</v>
      </c>
      <c r="K261" s="213" t="b">
        <v>0</v>
      </c>
    </row>
    <row r="262" spans="1:11" ht="38.25" hidden="1">
      <c r="A262" s="6">
        <v>2022</v>
      </c>
      <c r="B262" s="6" t="s">
        <v>2002</v>
      </c>
      <c r="C262" s="6" t="s">
        <v>1883</v>
      </c>
      <c r="D262" s="6" t="s">
        <v>22</v>
      </c>
      <c r="E262" s="7">
        <v>44736</v>
      </c>
      <c r="F262" s="6" t="s">
        <v>2003</v>
      </c>
      <c r="G262" s="6" t="s">
        <v>575</v>
      </c>
      <c r="H262" s="121"/>
      <c r="I262" s="213" t="b">
        <v>0</v>
      </c>
      <c r="J262" s="213" t="b">
        <v>0</v>
      </c>
      <c r="K262" s="213" t="b">
        <v>0</v>
      </c>
    </row>
    <row r="263" spans="1:11" ht="38.25" hidden="1">
      <c r="A263" s="6">
        <v>2022</v>
      </c>
      <c r="B263" s="6" t="s">
        <v>2005</v>
      </c>
      <c r="C263" s="6" t="s">
        <v>2006</v>
      </c>
      <c r="D263" s="6" t="s">
        <v>22</v>
      </c>
      <c r="E263" s="7">
        <v>44736</v>
      </c>
      <c r="F263" s="6" t="s">
        <v>2007</v>
      </c>
      <c r="G263" s="6" t="s">
        <v>575</v>
      </c>
      <c r="H263" s="121"/>
      <c r="I263" s="213" t="b">
        <v>0</v>
      </c>
      <c r="J263" s="213" t="b">
        <v>0</v>
      </c>
      <c r="K263" s="213" t="b">
        <v>0</v>
      </c>
    </row>
    <row r="264" spans="1:11" ht="25.5">
      <c r="A264" s="6">
        <v>2022</v>
      </c>
      <c r="B264" s="6" t="s">
        <v>1084</v>
      </c>
      <c r="C264" s="112" t="s">
        <v>61</v>
      </c>
      <c r="D264" s="9" t="s">
        <v>62</v>
      </c>
      <c r="E264" s="7">
        <v>44741</v>
      </c>
      <c r="F264" s="6" t="s">
        <v>1085</v>
      </c>
      <c r="G264" s="6" t="s">
        <v>1086</v>
      </c>
      <c r="H264" s="121">
        <v>923252</v>
      </c>
      <c r="I264" s="213" t="b">
        <v>0</v>
      </c>
      <c r="J264" s="213"/>
      <c r="K264" s="213"/>
    </row>
    <row r="265" spans="1:11" ht="25.5">
      <c r="A265" s="6">
        <v>2022</v>
      </c>
      <c r="B265" s="6" t="s">
        <v>1087</v>
      </c>
      <c r="C265" s="112" t="s">
        <v>61</v>
      </c>
      <c r="D265" s="9" t="s">
        <v>62</v>
      </c>
      <c r="E265" s="7">
        <v>44748</v>
      </c>
      <c r="F265" s="6" t="s">
        <v>1088</v>
      </c>
      <c r="G265" s="6" t="s">
        <v>1089</v>
      </c>
      <c r="H265" s="121">
        <v>494868.75</v>
      </c>
      <c r="I265" s="213" t="b">
        <v>0</v>
      </c>
      <c r="J265" s="213"/>
      <c r="K265" s="213"/>
    </row>
    <row r="266" spans="1:11" ht="38.25" hidden="1">
      <c r="A266" s="6">
        <v>2022</v>
      </c>
      <c r="B266" s="6" t="s">
        <v>2013</v>
      </c>
      <c r="C266" s="6" t="s">
        <v>2014</v>
      </c>
      <c r="D266" s="6" t="s">
        <v>1420</v>
      </c>
      <c r="E266" s="7">
        <v>44748</v>
      </c>
      <c r="F266" s="6" t="s">
        <v>2015</v>
      </c>
      <c r="G266" s="6" t="s">
        <v>575</v>
      </c>
      <c r="H266" s="121"/>
      <c r="I266" s="213" t="b">
        <v>0</v>
      </c>
      <c r="J266" s="213" t="b">
        <v>0</v>
      </c>
      <c r="K266" s="213" t="b">
        <v>0</v>
      </c>
    </row>
    <row r="267" spans="1:11" ht="25.5" hidden="1">
      <c r="A267" s="6">
        <v>2022</v>
      </c>
      <c r="B267" s="6" t="s">
        <v>2017</v>
      </c>
      <c r="C267" s="6" t="s">
        <v>2014</v>
      </c>
      <c r="D267" s="9" t="s">
        <v>62</v>
      </c>
      <c r="E267" s="7">
        <v>44755</v>
      </c>
      <c r="F267" s="6" t="s">
        <v>2019</v>
      </c>
      <c r="G267" s="6" t="s">
        <v>1089</v>
      </c>
      <c r="H267" s="121">
        <v>494868.75</v>
      </c>
      <c r="I267" s="213" t="b">
        <v>0</v>
      </c>
      <c r="J267" s="213" t="b">
        <v>0</v>
      </c>
      <c r="K267" s="213" t="b">
        <v>0</v>
      </c>
    </row>
    <row r="268" spans="1:11" ht="25.5" hidden="1">
      <c r="A268" s="6">
        <v>2022</v>
      </c>
      <c r="B268" s="6" t="s">
        <v>2020</v>
      </c>
      <c r="C268" s="112" t="s">
        <v>61</v>
      </c>
      <c r="D268" s="6"/>
      <c r="E268" s="7">
        <v>44776</v>
      </c>
      <c r="F268" s="6" t="s">
        <v>1088</v>
      </c>
      <c r="G268" s="6" t="s">
        <v>1089</v>
      </c>
      <c r="H268" s="121">
        <v>494868.75</v>
      </c>
      <c r="I268" s="213" t="b">
        <v>0</v>
      </c>
      <c r="J268" s="213" t="b">
        <v>0</v>
      </c>
      <c r="K268" s="213" t="b">
        <v>0</v>
      </c>
    </row>
    <row r="269" spans="1:11" ht="25.5" hidden="1">
      <c r="A269" s="6">
        <v>2022</v>
      </c>
      <c r="B269" s="6" t="s">
        <v>2020</v>
      </c>
      <c r="C269" s="6"/>
      <c r="D269" s="9" t="s">
        <v>62</v>
      </c>
      <c r="E269" s="7">
        <v>44755</v>
      </c>
      <c r="F269" s="6" t="s">
        <v>2021</v>
      </c>
      <c r="G269" s="6" t="s">
        <v>1089</v>
      </c>
      <c r="H269" s="121">
        <v>494868.75</v>
      </c>
      <c r="I269" s="213" t="b">
        <v>0</v>
      </c>
      <c r="J269" s="213" t="b">
        <v>0</v>
      </c>
      <c r="K269" s="213" t="b">
        <v>0</v>
      </c>
    </row>
    <row r="270" spans="1:11" ht="51" hidden="1">
      <c r="A270" s="6">
        <v>2022</v>
      </c>
      <c r="B270" s="112" t="s">
        <v>2022</v>
      </c>
      <c r="C270" s="112" t="s">
        <v>61</v>
      </c>
      <c r="D270" s="112" t="s">
        <v>394</v>
      </c>
      <c r="E270" s="134">
        <v>44776</v>
      </c>
      <c r="F270" s="112" t="s">
        <v>610</v>
      </c>
      <c r="G270" s="112" t="s">
        <v>575</v>
      </c>
      <c r="H270" s="116">
        <v>0</v>
      </c>
      <c r="I270" s="213" t="b">
        <v>0</v>
      </c>
      <c r="J270" s="213" t="b">
        <v>0</v>
      </c>
      <c r="K270" s="213" t="b">
        <v>0</v>
      </c>
    </row>
    <row r="271" spans="1:11" ht="60" hidden="1">
      <c r="A271" s="6">
        <v>2022</v>
      </c>
      <c r="B271" s="6" t="s">
        <v>2024</v>
      </c>
      <c r="C271" s="6" t="s">
        <v>1867</v>
      </c>
      <c r="D271" s="6" t="s">
        <v>1262</v>
      </c>
      <c r="E271" s="7">
        <v>44776</v>
      </c>
      <c r="F271" s="249" t="s">
        <v>2025</v>
      </c>
      <c r="G271" s="6" t="s">
        <v>2026</v>
      </c>
      <c r="H271" s="121"/>
      <c r="I271" s="213" t="b">
        <v>0</v>
      </c>
      <c r="J271" s="213" t="b">
        <v>0</v>
      </c>
      <c r="K271" s="213" t="b">
        <v>0</v>
      </c>
    </row>
    <row r="272" spans="1:11" ht="15" hidden="1">
      <c r="A272" s="6">
        <v>2022</v>
      </c>
      <c r="B272" s="6" t="s">
        <v>2033</v>
      </c>
      <c r="C272" s="6" t="s">
        <v>2034</v>
      </c>
      <c r="D272" s="6" t="s">
        <v>22</v>
      </c>
      <c r="E272" s="7">
        <v>44776</v>
      </c>
      <c r="F272" s="249" t="s">
        <v>2035</v>
      </c>
      <c r="G272" s="6" t="s">
        <v>575</v>
      </c>
      <c r="H272" s="121"/>
      <c r="I272" s="213" t="b">
        <v>0</v>
      </c>
      <c r="J272" s="213" t="b">
        <v>0</v>
      </c>
      <c r="K272" s="213" t="b">
        <v>0</v>
      </c>
    </row>
    <row r="273" spans="1:11" ht="75">
      <c r="A273" s="6">
        <v>2022</v>
      </c>
      <c r="B273" s="6" t="s">
        <v>1090</v>
      </c>
      <c r="C273" s="112" t="s">
        <v>61</v>
      </c>
      <c r="D273" s="9" t="s">
        <v>62</v>
      </c>
      <c r="E273" s="31">
        <v>44783</v>
      </c>
      <c r="F273" s="249" t="s">
        <v>1091</v>
      </c>
      <c r="G273" s="6" t="s">
        <v>1092</v>
      </c>
      <c r="H273" s="121">
        <v>998550</v>
      </c>
      <c r="I273" s="213" t="b">
        <v>0</v>
      </c>
      <c r="J273" s="213"/>
      <c r="K273" s="213"/>
    </row>
    <row r="274" spans="1:11" ht="63.75" hidden="1">
      <c r="A274" s="6">
        <v>2022</v>
      </c>
      <c r="B274" s="112" t="s">
        <v>612</v>
      </c>
      <c r="C274" s="112" t="s">
        <v>61</v>
      </c>
      <c r="D274" s="17" t="s">
        <v>1877</v>
      </c>
      <c r="E274" s="134">
        <v>44783</v>
      </c>
      <c r="F274" s="112" t="s">
        <v>613</v>
      </c>
      <c r="G274" s="112" t="s">
        <v>614</v>
      </c>
      <c r="H274" s="120">
        <v>174759.01</v>
      </c>
      <c r="I274" s="213" t="b">
        <v>0</v>
      </c>
      <c r="J274" s="213" t="b">
        <v>0</v>
      </c>
      <c r="K274" s="213" t="b">
        <v>0</v>
      </c>
    </row>
    <row r="275" spans="1:11" ht="15" hidden="1">
      <c r="A275" s="6">
        <v>2022</v>
      </c>
      <c r="B275" s="112" t="s">
        <v>615</v>
      </c>
      <c r="C275" s="112" t="s">
        <v>61</v>
      </c>
      <c r="D275" s="17" t="s">
        <v>1877</v>
      </c>
      <c r="E275" s="134">
        <v>44783</v>
      </c>
      <c r="F275" s="249" t="s">
        <v>616</v>
      </c>
      <c r="G275" s="112" t="s">
        <v>617</v>
      </c>
      <c r="H275" s="120">
        <v>60837.599999999999</v>
      </c>
      <c r="I275" s="213" t="b">
        <v>0</v>
      </c>
      <c r="J275" s="213" t="b">
        <v>0</v>
      </c>
      <c r="K275" s="213" t="b">
        <v>0</v>
      </c>
    </row>
    <row r="276" spans="1:11" ht="25.5" hidden="1">
      <c r="A276" s="6">
        <v>2022</v>
      </c>
      <c r="B276" s="112" t="s">
        <v>624</v>
      </c>
      <c r="C276" s="112" t="s">
        <v>61</v>
      </c>
      <c r="D276" s="17" t="s">
        <v>1877</v>
      </c>
      <c r="E276" s="134">
        <v>44799</v>
      </c>
      <c r="F276" s="112" t="s">
        <v>625</v>
      </c>
      <c r="G276" s="112" t="s">
        <v>626</v>
      </c>
      <c r="H276" s="120">
        <v>31804.6</v>
      </c>
      <c r="I276" s="213" t="b">
        <v>0</v>
      </c>
      <c r="J276" s="213" t="b">
        <v>0</v>
      </c>
      <c r="K276" s="213" t="b">
        <v>0</v>
      </c>
    </row>
    <row r="277" spans="1:11" ht="51" hidden="1">
      <c r="A277" s="6">
        <v>2022</v>
      </c>
      <c r="B277" s="6" t="s">
        <v>1474</v>
      </c>
      <c r="C277" s="112" t="s">
        <v>61</v>
      </c>
      <c r="D277" s="6" t="s">
        <v>1420</v>
      </c>
      <c r="E277" s="7">
        <v>44782</v>
      </c>
      <c r="F277" s="6" t="s">
        <v>1475</v>
      </c>
      <c r="G277" s="6" t="s">
        <v>575</v>
      </c>
      <c r="H277" s="121"/>
      <c r="I277" s="213" t="b">
        <v>0</v>
      </c>
      <c r="J277" s="213" t="b">
        <v>0</v>
      </c>
      <c r="K277" s="213" t="b">
        <v>0</v>
      </c>
    </row>
    <row r="278" spans="1:11" ht="63.75">
      <c r="A278" s="6">
        <v>2022</v>
      </c>
      <c r="B278" s="6" t="s">
        <v>1093</v>
      </c>
      <c r="C278" s="112" t="s">
        <v>61</v>
      </c>
      <c r="D278" s="9" t="s">
        <v>62</v>
      </c>
      <c r="E278" s="7">
        <v>44811</v>
      </c>
      <c r="F278" s="6" t="s">
        <v>1094</v>
      </c>
      <c r="G278" s="6" t="s">
        <v>1095</v>
      </c>
      <c r="H278" s="121">
        <v>1503212.5</v>
      </c>
      <c r="I278" s="213" t="b">
        <v>0</v>
      </c>
      <c r="J278" s="213"/>
      <c r="K278" s="213"/>
    </row>
    <row r="279" spans="1:11" ht="38.25" hidden="1">
      <c r="A279" s="6">
        <v>2022</v>
      </c>
      <c r="B279" s="6" t="s">
        <v>2053</v>
      </c>
      <c r="C279" s="6" t="s">
        <v>1867</v>
      </c>
      <c r="D279" s="9" t="s">
        <v>62</v>
      </c>
      <c r="E279" s="7">
        <v>44818</v>
      </c>
      <c r="F279" s="6" t="s">
        <v>2054</v>
      </c>
      <c r="G279" s="6" t="s">
        <v>2055</v>
      </c>
      <c r="H279" s="121"/>
      <c r="I279" s="213" t="b">
        <v>0</v>
      </c>
      <c r="J279" s="213" t="b">
        <v>0</v>
      </c>
      <c r="K279" s="213" t="b">
        <v>0</v>
      </c>
    </row>
    <row r="280" spans="1:11" ht="63.75" hidden="1">
      <c r="A280" s="6">
        <v>2022</v>
      </c>
      <c r="B280" s="6" t="s">
        <v>1483</v>
      </c>
      <c r="C280" s="112" t="s">
        <v>61</v>
      </c>
      <c r="D280" s="6" t="s">
        <v>1420</v>
      </c>
      <c r="E280" s="7">
        <v>44818</v>
      </c>
      <c r="F280" s="6" t="s">
        <v>5583</v>
      </c>
      <c r="G280" s="6" t="s">
        <v>575</v>
      </c>
      <c r="H280" s="121" t="s">
        <v>22</v>
      </c>
      <c r="I280" s="213" t="b">
        <v>0</v>
      </c>
      <c r="J280" s="213" t="b">
        <v>0</v>
      </c>
      <c r="K280" s="213" t="b">
        <v>0</v>
      </c>
    </row>
    <row r="281" spans="1:11" ht="38.25">
      <c r="A281" s="6">
        <v>2022</v>
      </c>
      <c r="B281" s="6" t="s">
        <v>633</v>
      </c>
      <c r="C281" s="112" t="s">
        <v>61</v>
      </c>
      <c r="D281" s="6" t="s">
        <v>125</v>
      </c>
      <c r="E281" s="7">
        <v>44825</v>
      </c>
      <c r="F281" s="6" t="s">
        <v>634</v>
      </c>
      <c r="G281" s="6" t="s">
        <v>635</v>
      </c>
      <c r="H281" s="214">
        <v>2251504</v>
      </c>
      <c r="I281" s="213" t="b">
        <v>0</v>
      </c>
      <c r="J281" s="213"/>
      <c r="K281" s="213"/>
    </row>
    <row r="282" spans="1:11" ht="25.5" hidden="1">
      <c r="A282" s="6">
        <v>2022</v>
      </c>
      <c r="B282" s="112" t="s">
        <v>627</v>
      </c>
      <c r="C282" s="112" t="s">
        <v>61</v>
      </c>
      <c r="D282" s="17" t="s">
        <v>1877</v>
      </c>
      <c r="E282" s="134">
        <v>44825</v>
      </c>
      <c r="F282" s="112" t="s">
        <v>628</v>
      </c>
      <c r="G282" s="112" t="s">
        <v>629</v>
      </c>
      <c r="H282" s="120">
        <v>10160</v>
      </c>
      <c r="I282" s="213" t="b">
        <v>0</v>
      </c>
      <c r="J282" s="213" t="b">
        <v>0</v>
      </c>
      <c r="K282" s="213" t="b">
        <v>0</v>
      </c>
    </row>
    <row r="283" spans="1:11" ht="12.75" hidden="1">
      <c r="A283" s="6">
        <v>2022</v>
      </c>
      <c r="B283" s="6" t="s">
        <v>639</v>
      </c>
      <c r="C283" s="112"/>
      <c r="D283" s="6" t="s">
        <v>586</v>
      </c>
      <c r="E283" s="7">
        <v>44825</v>
      </c>
      <c r="F283" s="6" t="s">
        <v>640</v>
      </c>
      <c r="G283" s="6" t="s">
        <v>641</v>
      </c>
      <c r="H283" s="121">
        <v>17575</v>
      </c>
      <c r="I283" s="213" t="b">
        <v>0</v>
      </c>
      <c r="J283" s="213" t="b">
        <v>0</v>
      </c>
      <c r="K283" s="213" t="b">
        <v>0</v>
      </c>
    </row>
    <row r="284" spans="1:11" ht="38.25">
      <c r="A284" s="6">
        <v>2022</v>
      </c>
      <c r="B284" s="6" t="s">
        <v>1096</v>
      </c>
      <c r="C284" s="112" t="s">
        <v>61</v>
      </c>
      <c r="D284" s="9" t="s">
        <v>62</v>
      </c>
      <c r="E284" s="7">
        <v>44826</v>
      </c>
      <c r="F284" s="6" t="s">
        <v>1097</v>
      </c>
      <c r="G284" s="6" t="s">
        <v>1095</v>
      </c>
      <c r="H284" s="121">
        <v>1000000</v>
      </c>
      <c r="I284" s="213" t="b">
        <v>0</v>
      </c>
      <c r="J284" s="213"/>
      <c r="K284" s="213"/>
    </row>
    <row r="285" spans="1:11" ht="25.5" hidden="1">
      <c r="A285" s="6">
        <v>2022</v>
      </c>
      <c r="B285" s="112" t="s">
        <v>630</v>
      </c>
      <c r="C285" s="112" t="s">
        <v>61</v>
      </c>
      <c r="D285" s="17" t="s">
        <v>1877</v>
      </c>
      <c r="E285" s="134">
        <v>44832</v>
      </c>
      <c r="F285" s="112" t="s">
        <v>631</v>
      </c>
      <c r="G285" s="112" t="s">
        <v>632</v>
      </c>
      <c r="H285" s="120">
        <v>199727</v>
      </c>
      <c r="I285" s="213" t="b">
        <v>0</v>
      </c>
      <c r="J285" s="213" t="b">
        <v>0</v>
      </c>
      <c r="K285" s="213" t="b">
        <v>0</v>
      </c>
    </row>
    <row r="286" spans="1:11" ht="25.5" hidden="1">
      <c r="A286" s="6">
        <v>2022</v>
      </c>
      <c r="B286" s="112" t="s">
        <v>636</v>
      </c>
      <c r="C286" s="112" t="s">
        <v>61</v>
      </c>
      <c r="D286" s="17" t="s">
        <v>1877</v>
      </c>
      <c r="E286" s="134">
        <v>44832</v>
      </c>
      <c r="F286" s="112" t="s">
        <v>637</v>
      </c>
      <c r="G286" s="112" t="s">
        <v>638</v>
      </c>
      <c r="H286" s="120">
        <v>199950</v>
      </c>
      <c r="I286" s="213" t="b">
        <v>0</v>
      </c>
      <c r="J286" s="213" t="b">
        <v>0</v>
      </c>
      <c r="K286" s="213" t="b">
        <v>0</v>
      </c>
    </row>
    <row r="287" spans="1:11" ht="25.5" hidden="1">
      <c r="A287" s="6">
        <v>2022</v>
      </c>
      <c r="B287" s="112" t="s">
        <v>642</v>
      </c>
      <c r="C287" s="112" t="s">
        <v>61</v>
      </c>
      <c r="D287" s="17" t="s">
        <v>1877</v>
      </c>
      <c r="E287" s="134">
        <v>44832</v>
      </c>
      <c r="F287" s="112" t="s">
        <v>643</v>
      </c>
      <c r="G287" s="112" t="s">
        <v>644</v>
      </c>
      <c r="H287" s="120">
        <v>48250</v>
      </c>
      <c r="I287" s="213" t="b">
        <v>0</v>
      </c>
      <c r="J287" s="213" t="b">
        <v>0</v>
      </c>
      <c r="K287" s="213" t="b">
        <v>0</v>
      </c>
    </row>
    <row r="288" spans="1:11" ht="25.5" hidden="1">
      <c r="A288" s="6">
        <v>2022</v>
      </c>
      <c r="B288" s="112" t="s">
        <v>645</v>
      </c>
      <c r="C288" s="112" t="s">
        <v>61</v>
      </c>
      <c r="D288" s="17" t="s">
        <v>1877</v>
      </c>
      <c r="E288" s="134">
        <v>44832</v>
      </c>
      <c r="F288" s="112" t="s">
        <v>646</v>
      </c>
      <c r="G288" s="112" t="s">
        <v>647</v>
      </c>
      <c r="H288" s="120">
        <v>27532</v>
      </c>
      <c r="I288" s="213" t="b">
        <v>0</v>
      </c>
      <c r="J288" s="213" t="b">
        <v>0</v>
      </c>
      <c r="K288" s="213" t="b">
        <v>0</v>
      </c>
    </row>
    <row r="289" spans="1:11" ht="25.5" hidden="1">
      <c r="A289" s="6">
        <v>2022</v>
      </c>
      <c r="B289" s="6" t="s">
        <v>2077</v>
      </c>
      <c r="C289" s="112" t="s">
        <v>61</v>
      </c>
      <c r="D289" s="6" t="s">
        <v>2078</v>
      </c>
      <c r="E289" s="138">
        <v>44832</v>
      </c>
      <c r="F289" s="6" t="s">
        <v>2079</v>
      </c>
      <c r="G289" s="6" t="s">
        <v>575</v>
      </c>
      <c r="H289" s="121"/>
      <c r="I289" s="213" t="b">
        <v>0</v>
      </c>
      <c r="J289" s="213" t="b">
        <v>0</v>
      </c>
      <c r="K289" s="213" t="b">
        <v>0</v>
      </c>
    </row>
    <row r="290" spans="1:11" ht="25.5" hidden="1">
      <c r="A290" s="6">
        <v>2022</v>
      </c>
      <c r="B290" s="6" t="s">
        <v>1098</v>
      </c>
      <c r="C290" s="112" t="s">
        <v>61</v>
      </c>
      <c r="D290" s="6" t="s">
        <v>1099</v>
      </c>
      <c r="E290" s="7">
        <v>44832</v>
      </c>
      <c r="F290" s="6" t="s">
        <v>1100</v>
      </c>
      <c r="G290" s="6" t="s">
        <v>1101</v>
      </c>
      <c r="H290" s="121">
        <v>225000</v>
      </c>
      <c r="I290" s="213" t="b">
        <v>0</v>
      </c>
      <c r="J290" s="213" t="b">
        <v>0</v>
      </c>
      <c r="K290" s="213" t="b">
        <v>0</v>
      </c>
    </row>
    <row r="291" spans="1:11" ht="51" hidden="1">
      <c r="A291" s="6">
        <v>2022</v>
      </c>
      <c r="B291" s="112" t="s">
        <v>648</v>
      </c>
      <c r="C291" s="112" t="s">
        <v>61</v>
      </c>
      <c r="D291" s="112" t="s">
        <v>394</v>
      </c>
      <c r="E291" s="134">
        <v>44839</v>
      </c>
      <c r="F291" s="112" t="s">
        <v>649</v>
      </c>
      <c r="G291" s="112" t="s">
        <v>650</v>
      </c>
      <c r="H291" s="116">
        <v>37075</v>
      </c>
      <c r="I291" s="213" t="b">
        <v>0</v>
      </c>
      <c r="J291" s="213" t="b">
        <v>0</v>
      </c>
      <c r="K291" s="213" t="b">
        <v>0</v>
      </c>
    </row>
    <row r="292" spans="1:11" ht="25.5" hidden="1">
      <c r="A292" s="6">
        <v>2022</v>
      </c>
      <c r="B292" s="6" t="s">
        <v>1102</v>
      </c>
      <c r="C292" s="112" t="s">
        <v>61</v>
      </c>
      <c r="D292" s="9" t="s">
        <v>1099</v>
      </c>
      <c r="E292" s="111">
        <v>44846</v>
      </c>
      <c r="F292" s="6" t="s">
        <v>1103</v>
      </c>
      <c r="G292" s="6" t="s">
        <v>1104</v>
      </c>
      <c r="H292" s="110">
        <v>186356</v>
      </c>
      <c r="I292" s="213" t="b">
        <v>0</v>
      </c>
      <c r="J292" s="213" t="b">
        <v>0</v>
      </c>
      <c r="K292" s="213" t="b">
        <v>0</v>
      </c>
    </row>
    <row r="293" spans="1:11" ht="38.25" hidden="1">
      <c r="A293" s="6">
        <v>2022</v>
      </c>
      <c r="B293" s="112" t="s">
        <v>651</v>
      </c>
      <c r="C293" s="112" t="s">
        <v>61</v>
      </c>
      <c r="D293" s="6" t="s">
        <v>652</v>
      </c>
      <c r="E293" s="134">
        <v>44846</v>
      </c>
      <c r="F293" s="112" t="s">
        <v>653</v>
      </c>
      <c r="G293" s="112" t="s">
        <v>654</v>
      </c>
      <c r="H293" s="141">
        <v>14793</v>
      </c>
      <c r="I293" s="213" t="b">
        <v>0</v>
      </c>
      <c r="J293" s="213" t="b">
        <v>0</v>
      </c>
      <c r="K293" s="213" t="b">
        <v>0</v>
      </c>
    </row>
    <row r="294" spans="1:11" ht="25.5" hidden="1">
      <c r="A294" s="6">
        <v>2022</v>
      </c>
      <c r="B294" s="112" t="s">
        <v>655</v>
      </c>
      <c r="C294" s="112" t="s">
        <v>61</v>
      </c>
      <c r="D294" s="17" t="s">
        <v>1877</v>
      </c>
      <c r="E294" s="134">
        <v>44846</v>
      </c>
      <c r="F294" s="112" t="s">
        <v>656</v>
      </c>
      <c r="G294" s="112" t="s">
        <v>657</v>
      </c>
      <c r="H294" s="120">
        <v>19555</v>
      </c>
      <c r="I294" s="213" t="b">
        <v>0</v>
      </c>
      <c r="J294" s="213" t="b">
        <v>0</v>
      </c>
      <c r="K294" s="213" t="b">
        <v>0</v>
      </c>
    </row>
    <row r="295" spans="1:11" ht="25.5" hidden="1">
      <c r="A295" s="6">
        <v>2022</v>
      </c>
      <c r="B295" s="112" t="s">
        <v>658</v>
      </c>
      <c r="C295" s="112" t="s">
        <v>61</v>
      </c>
      <c r="D295" s="17" t="s">
        <v>1877</v>
      </c>
      <c r="E295" s="134">
        <v>44846</v>
      </c>
      <c r="F295" s="112" t="s">
        <v>659</v>
      </c>
      <c r="G295" s="112" t="s">
        <v>660</v>
      </c>
      <c r="H295" s="120">
        <v>194052.75</v>
      </c>
      <c r="I295" s="213" t="b">
        <v>0</v>
      </c>
      <c r="J295" s="213" t="b">
        <v>0</v>
      </c>
      <c r="K295" s="213" t="b">
        <v>0</v>
      </c>
    </row>
    <row r="296" spans="1:11" ht="63.75">
      <c r="A296" s="6">
        <v>2022</v>
      </c>
      <c r="B296" s="6" t="s">
        <v>667</v>
      </c>
      <c r="C296" s="112" t="s">
        <v>61</v>
      </c>
      <c r="D296" s="6" t="s">
        <v>125</v>
      </c>
      <c r="E296" s="7">
        <v>44847</v>
      </c>
      <c r="F296" s="6" t="s">
        <v>668</v>
      </c>
      <c r="G296" s="6" t="s">
        <v>669</v>
      </c>
      <c r="H296" s="214">
        <v>2501824</v>
      </c>
      <c r="I296" s="213" t="b">
        <v>0</v>
      </c>
      <c r="J296" s="213"/>
      <c r="K296" s="213"/>
    </row>
    <row r="297" spans="1:11" ht="12.75" hidden="1">
      <c r="A297" s="6">
        <v>2022</v>
      </c>
      <c r="B297" s="6" t="s">
        <v>2102</v>
      </c>
      <c r="C297" s="6"/>
      <c r="D297" s="6"/>
      <c r="E297" s="7"/>
      <c r="F297" s="6"/>
      <c r="G297" s="6"/>
      <c r="H297" s="121"/>
      <c r="I297" s="213" t="b">
        <v>0</v>
      </c>
      <c r="J297" s="213" t="b">
        <v>0</v>
      </c>
      <c r="K297" s="213" t="b">
        <v>0</v>
      </c>
    </row>
    <row r="298" spans="1:11" ht="63.75" hidden="1">
      <c r="A298" s="6">
        <v>2022</v>
      </c>
      <c r="B298" s="112" t="s">
        <v>661</v>
      </c>
      <c r="C298" s="112" t="s">
        <v>61</v>
      </c>
      <c r="D298" s="17" t="s">
        <v>1877</v>
      </c>
      <c r="E298" s="134">
        <v>44853</v>
      </c>
      <c r="F298" s="112" t="s">
        <v>662</v>
      </c>
      <c r="G298" s="112" t="s">
        <v>663</v>
      </c>
      <c r="H298" s="120">
        <v>24430</v>
      </c>
      <c r="I298" s="213" t="b">
        <v>0</v>
      </c>
      <c r="J298" s="213" t="b">
        <v>0</v>
      </c>
      <c r="K298" s="213" t="b">
        <v>0</v>
      </c>
    </row>
    <row r="299" spans="1:11" ht="12.75" hidden="1">
      <c r="A299" s="6">
        <v>2022</v>
      </c>
      <c r="B299" s="112" t="s">
        <v>664</v>
      </c>
      <c r="C299" s="112" t="s">
        <v>61</v>
      </c>
      <c r="D299" s="17" t="s">
        <v>1877</v>
      </c>
      <c r="E299" s="134">
        <v>44853</v>
      </c>
      <c r="F299" s="112" t="s">
        <v>665</v>
      </c>
      <c r="G299" s="112" t="s">
        <v>666</v>
      </c>
      <c r="H299" s="120">
        <v>8500</v>
      </c>
      <c r="I299" s="213" t="b">
        <v>0</v>
      </c>
      <c r="J299" s="213" t="b">
        <v>0</v>
      </c>
      <c r="K299" s="213" t="b">
        <v>0</v>
      </c>
    </row>
    <row r="300" spans="1:11" ht="25.5" hidden="1">
      <c r="A300" s="6">
        <v>2022</v>
      </c>
      <c r="B300" s="112" t="s">
        <v>670</v>
      </c>
      <c r="C300" s="112" t="s">
        <v>61</v>
      </c>
      <c r="D300" s="17" t="s">
        <v>1877</v>
      </c>
      <c r="E300" s="134">
        <v>44853</v>
      </c>
      <c r="F300" s="112" t="s">
        <v>671</v>
      </c>
      <c r="G300" s="112" t="s">
        <v>672</v>
      </c>
      <c r="H300" s="120">
        <v>151700</v>
      </c>
      <c r="I300" s="213" t="b">
        <v>0</v>
      </c>
      <c r="J300" s="213" t="b">
        <v>0</v>
      </c>
      <c r="K300" s="213" t="b">
        <v>0</v>
      </c>
    </row>
    <row r="301" spans="1:11" ht="25.5" hidden="1">
      <c r="A301" s="6">
        <v>2022</v>
      </c>
      <c r="B301" s="6" t="s">
        <v>2111</v>
      </c>
      <c r="C301" s="112" t="s">
        <v>1883</v>
      </c>
      <c r="D301" s="6" t="s">
        <v>586</v>
      </c>
      <c r="E301" s="7">
        <v>44860</v>
      </c>
      <c r="F301" s="6" t="s">
        <v>587</v>
      </c>
      <c r="G301" s="6" t="s">
        <v>641</v>
      </c>
      <c r="H301" s="121">
        <v>5000</v>
      </c>
      <c r="I301" s="213" t="b">
        <v>0</v>
      </c>
      <c r="J301" s="213" t="b">
        <v>0</v>
      </c>
      <c r="K301" s="213" t="b">
        <v>0</v>
      </c>
    </row>
    <row r="302" spans="1:11" ht="25.5" hidden="1">
      <c r="A302" s="6">
        <v>2022</v>
      </c>
      <c r="B302" s="112" t="s">
        <v>2111</v>
      </c>
      <c r="C302" s="112" t="s">
        <v>2113</v>
      </c>
      <c r="D302" s="6" t="s">
        <v>586</v>
      </c>
      <c r="E302" s="7">
        <v>44860</v>
      </c>
      <c r="F302" s="6" t="s">
        <v>2114</v>
      </c>
      <c r="G302" s="6" t="s">
        <v>588</v>
      </c>
      <c r="H302" s="121">
        <v>5000</v>
      </c>
      <c r="I302" s="213" t="b">
        <v>0</v>
      </c>
      <c r="J302" s="213" t="b">
        <v>0</v>
      </c>
      <c r="K302" s="213" t="b">
        <v>0</v>
      </c>
    </row>
    <row r="303" spans="1:11" ht="12.75" hidden="1">
      <c r="A303" s="6">
        <v>2022</v>
      </c>
      <c r="B303" s="112" t="s">
        <v>673</v>
      </c>
      <c r="C303" s="112" t="s">
        <v>61</v>
      </c>
      <c r="D303" s="17" t="s">
        <v>1877</v>
      </c>
      <c r="E303" s="134">
        <v>44860</v>
      </c>
      <c r="F303" s="112" t="s">
        <v>674</v>
      </c>
      <c r="G303" s="112" t="s">
        <v>675</v>
      </c>
      <c r="H303" s="120">
        <v>39600</v>
      </c>
      <c r="I303" s="213" t="b">
        <v>0</v>
      </c>
      <c r="J303" s="213" t="b">
        <v>0</v>
      </c>
      <c r="K303" s="213" t="b">
        <v>0</v>
      </c>
    </row>
    <row r="304" spans="1:11" ht="12.75" hidden="1">
      <c r="A304" s="6">
        <v>2022</v>
      </c>
      <c r="B304" s="112" t="s">
        <v>676</v>
      </c>
      <c r="C304" s="112" t="s">
        <v>61</v>
      </c>
      <c r="D304" s="17" t="s">
        <v>1877</v>
      </c>
      <c r="E304" s="134">
        <v>44860</v>
      </c>
      <c r="F304" s="112" t="s">
        <v>677</v>
      </c>
      <c r="G304" s="112" t="s">
        <v>678</v>
      </c>
      <c r="H304" s="120">
        <v>94130</v>
      </c>
      <c r="I304" s="213" t="b">
        <v>0</v>
      </c>
      <c r="J304" s="213" t="b">
        <v>0</v>
      </c>
      <c r="K304" s="213" t="b">
        <v>0</v>
      </c>
    </row>
    <row r="305" spans="1:11" ht="38.25" hidden="1">
      <c r="A305" s="6">
        <v>2022</v>
      </c>
      <c r="B305" s="112" t="s">
        <v>679</v>
      </c>
      <c r="C305" s="112" t="s">
        <v>61</v>
      </c>
      <c r="D305" s="17" t="s">
        <v>1877</v>
      </c>
      <c r="E305" s="134">
        <v>44860</v>
      </c>
      <c r="F305" s="112" t="s">
        <v>680</v>
      </c>
      <c r="G305" s="112" t="s">
        <v>681</v>
      </c>
      <c r="H305" s="120">
        <v>151870</v>
      </c>
      <c r="I305" s="213" t="b">
        <v>0</v>
      </c>
      <c r="J305" s="213" t="b">
        <v>0</v>
      </c>
      <c r="K305" s="213" t="b">
        <v>0</v>
      </c>
    </row>
    <row r="306" spans="1:11" ht="12.75" hidden="1">
      <c r="A306" s="6">
        <v>2022</v>
      </c>
      <c r="B306" s="6" t="s">
        <v>1105</v>
      </c>
      <c r="C306" s="112" t="s">
        <v>61</v>
      </c>
      <c r="D306" s="6" t="s">
        <v>1099</v>
      </c>
      <c r="E306" s="7">
        <v>44875</v>
      </c>
      <c r="F306" s="6" t="s">
        <v>1106</v>
      </c>
      <c r="G306" s="6" t="s">
        <v>1107</v>
      </c>
      <c r="H306" s="121">
        <v>50876.800000000003</v>
      </c>
      <c r="I306" s="213" t="b">
        <v>0</v>
      </c>
      <c r="J306" s="213" t="b">
        <v>0</v>
      </c>
      <c r="K306" s="213" t="b">
        <v>0</v>
      </c>
    </row>
    <row r="307" spans="1:11" ht="76.5" hidden="1">
      <c r="A307" s="6">
        <v>2022</v>
      </c>
      <c r="B307" s="6" t="s">
        <v>2123</v>
      </c>
      <c r="C307" s="6" t="s">
        <v>1883</v>
      </c>
      <c r="D307" s="17" t="s">
        <v>1877</v>
      </c>
      <c r="E307" s="7">
        <v>44875</v>
      </c>
      <c r="F307" s="6" t="s">
        <v>2124</v>
      </c>
      <c r="G307" s="6" t="s">
        <v>2125</v>
      </c>
      <c r="H307" s="121"/>
      <c r="I307" s="213" t="b">
        <v>0</v>
      </c>
      <c r="J307" s="213" t="b">
        <v>0</v>
      </c>
      <c r="K307" s="213" t="b">
        <v>0</v>
      </c>
    </row>
    <row r="308" spans="1:11" ht="25.5" hidden="1">
      <c r="A308" s="6">
        <v>2022</v>
      </c>
      <c r="B308" s="112" t="s">
        <v>682</v>
      </c>
      <c r="C308" s="112" t="s">
        <v>61</v>
      </c>
      <c r="D308" s="112" t="s">
        <v>68</v>
      </c>
      <c r="E308" s="134">
        <v>44875</v>
      </c>
      <c r="F308" s="112" t="s">
        <v>683</v>
      </c>
      <c r="G308" s="112" t="s">
        <v>684</v>
      </c>
      <c r="H308" s="120">
        <v>73200</v>
      </c>
      <c r="I308" s="213" t="b">
        <v>0</v>
      </c>
      <c r="J308" s="213" t="b">
        <v>0</v>
      </c>
      <c r="K308" s="213" t="b">
        <v>0</v>
      </c>
    </row>
    <row r="309" spans="1:11" ht="12.75" hidden="1">
      <c r="A309" s="6">
        <v>2022</v>
      </c>
      <c r="B309" s="112"/>
      <c r="C309" s="112"/>
      <c r="D309" s="112"/>
      <c r="E309" s="134"/>
      <c r="F309" s="112"/>
      <c r="G309" s="112"/>
      <c r="H309" s="120">
        <f>SUM(H308,H305,H304,H303,H300,H299,H298,H293,H292,H291,H283,H282)</f>
        <v>809389</v>
      </c>
      <c r="I309" s="213" t="b">
        <v>0</v>
      </c>
      <c r="J309" s="213" t="b">
        <v>0</v>
      </c>
      <c r="K309" s="213" t="b">
        <v>0</v>
      </c>
    </row>
    <row r="310" spans="1:11" ht="25.5">
      <c r="A310" s="6">
        <v>2022</v>
      </c>
      <c r="B310" s="6" t="s">
        <v>1108</v>
      </c>
      <c r="C310" s="112" t="s">
        <v>61</v>
      </c>
      <c r="D310" s="9" t="s">
        <v>62</v>
      </c>
      <c r="E310" s="7">
        <v>44881</v>
      </c>
      <c r="F310" s="6" t="s">
        <v>1109</v>
      </c>
      <c r="G310" s="6" t="s">
        <v>1110</v>
      </c>
      <c r="H310" s="121">
        <v>1534670</v>
      </c>
      <c r="I310" s="213" t="b">
        <v>0</v>
      </c>
      <c r="J310" s="213"/>
      <c r="K310" s="213"/>
    </row>
    <row r="311" spans="1:11" ht="12.75" hidden="1">
      <c r="A311" s="6">
        <v>2022</v>
      </c>
      <c r="B311" s="6"/>
      <c r="C311" s="112"/>
      <c r="D311" s="6"/>
      <c r="E311" s="7"/>
      <c r="F311" s="6"/>
      <c r="G311" s="6"/>
      <c r="H311" s="121">
        <f>H310+H279+H271+H265</f>
        <v>2029538.75</v>
      </c>
      <c r="I311" s="213" t="b">
        <v>0</v>
      </c>
      <c r="J311" s="213" t="b">
        <v>0</v>
      </c>
      <c r="K311" s="213" t="b">
        <v>0</v>
      </c>
    </row>
    <row r="312" spans="1:11" ht="25.5" hidden="1">
      <c r="A312" s="6">
        <v>2022</v>
      </c>
      <c r="B312" s="6" t="s">
        <v>1945</v>
      </c>
      <c r="C312" s="112" t="s">
        <v>1946</v>
      </c>
      <c r="D312" s="115" t="s">
        <v>1383</v>
      </c>
      <c r="E312" s="113">
        <v>44671</v>
      </c>
      <c r="F312" s="6" t="s">
        <v>1947</v>
      </c>
      <c r="G312" s="6" t="s">
        <v>575</v>
      </c>
      <c r="H312" s="110">
        <v>2400000</v>
      </c>
      <c r="I312" s="213" t="b">
        <v>0</v>
      </c>
      <c r="J312" s="213" t="b">
        <v>0</v>
      </c>
      <c r="K312" s="213" t="b">
        <v>0</v>
      </c>
    </row>
    <row r="313" spans="1:11" ht="51" hidden="1">
      <c r="A313" s="6">
        <v>2022</v>
      </c>
      <c r="B313" s="6" t="s">
        <v>1945</v>
      </c>
      <c r="C313" s="112" t="s">
        <v>1946</v>
      </c>
      <c r="D313" s="115" t="s">
        <v>1383</v>
      </c>
      <c r="E313" s="113">
        <v>44671</v>
      </c>
      <c r="F313" s="6" t="s">
        <v>1949</v>
      </c>
      <c r="G313" s="6" t="s">
        <v>575</v>
      </c>
      <c r="H313" s="110">
        <v>24000</v>
      </c>
      <c r="I313" s="213" t="b">
        <v>0</v>
      </c>
      <c r="J313" s="213" t="b">
        <v>0</v>
      </c>
      <c r="K313" s="213" t="b">
        <v>0</v>
      </c>
    </row>
    <row r="314" spans="1:11" ht="12.75" hidden="1">
      <c r="A314" s="6">
        <v>2022</v>
      </c>
      <c r="B314" s="6" t="s">
        <v>1977</v>
      </c>
      <c r="C314" s="6" t="s">
        <v>1978</v>
      </c>
      <c r="D314" s="115" t="s">
        <v>1383</v>
      </c>
      <c r="E314" s="113">
        <v>44720</v>
      </c>
      <c r="F314" s="6" t="s">
        <v>1979</v>
      </c>
      <c r="G314" s="6" t="s">
        <v>575</v>
      </c>
      <c r="H314" s="110">
        <v>400300</v>
      </c>
      <c r="I314" s="213" t="b">
        <v>0</v>
      </c>
      <c r="J314" s="213" t="b">
        <v>0</v>
      </c>
      <c r="K314" s="213" t="b">
        <v>0</v>
      </c>
    </row>
    <row r="315" spans="1:11" ht="25.5">
      <c r="A315" s="6">
        <v>2022</v>
      </c>
      <c r="B315" s="42" t="s">
        <v>23</v>
      </c>
      <c r="C315" s="112" t="s">
        <v>61</v>
      </c>
      <c r="D315" s="6" t="s">
        <v>125</v>
      </c>
      <c r="E315" s="7">
        <v>44733</v>
      </c>
      <c r="F315" s="42" t="s">
        <v>691</v>
      </c>
      <c r="G315" s="42" t="s">
        <v>692</v>
      </c>
      <c r="H315" s="214">
        <v>7155412</v>
      </c>
      <c r="I315" s="213" t="b">
        <v>0</v>
      </c>
      <c r="J315" s="213"/>
      <c r="K315" s="213"/>
    </row>
    <row r="316" spans="1:11" ht="12.75" hidden="1">
      <c r="A316" s="6">
        <v>2022</v>
      </c>
      <c r="B316" s="42"/>
      <c r="C316" s="112"/>
      <c r="D316" s="6"/>
      <c r="E316" s="7"/>
      <c r="F316" s="42"/>
      <c r="G316" s="42"/>
      <c r="H316" s="121">
        <f>H315+H246+H245</f>
        <v>7263012</v>
      </c>
      <c r="I316" s="213" t="b">
        <v>0</v>
      </c>
      <c r="J316" s="213" t="b">
        <v>0</v>
      </c>
      <c r="K316" s="213" t="b">
        <v>0</v>
      </c>
    </row>
    <row r="317" spans="1:11" ht="63.75">
      <c r="A317" s="6">
        <v>2022</v>
      </c>
      <c r="B317" s="42" t="s">
        <v>23</v>
      </c>
      <c r="C317" s="112" t="s">
        <v>61</v>
      </c>
      <c r="D317" s="6" t="s">
        <v>125</v>
      </c>
      <c r="E317" s="7">
        <v>44873</v>
      </c>
      <c r="F317" s="42" t="s">
        <v>693</v>
      </c>
      <c r="G317" s="42" t="s">
        <v>694</v>
      </c>
      <c r="H317" s="250">
        <v>3897512</v>
      </c>
      <c r="I317" s="213" t="b">
        <v>0</v>
      </c>
      <c r="J317" s="213"/>
      <c r="K317" s="213"/>
    </row>
    <row r="318" spans="1:11" ht="12.75">
      <c r="A318" s="6">
        <v>2022</v>
      </c>
      <c r="B318" s="42" t="s">
        <v>23</v>
      </c>
      <c r="C318" s="112" t="s">
        <v>61</v>
      </c>
      <c r="D318" s="6" t="s">
        <v>125</v>
      </c>
      <c r="E318" s="7">
        <v>44873</v>
      </c>
      <c r="F318" s="42" t="s">
        <v>695</v>
      </c>
      <c r="G318" s="42" t="s">
        <v>696</v>
      </c>
      <c r="H318" s="250">
        <v>4161535.59</v>
      </c>
      <c r="I318" s="213" t="b">
        <v>0</v>
      </c>
      <c r="J318" s="213"/>
      <c r="K318" s="213"/>
    </row>
    <row r="319" spans="1:11" ht="76.5" hidden="1">
      <c r="A319" s="6">
        <v>2022</v>
      </c>
      <c r="B319" s="6" t="s">
        <v>1988</v>
      </c>
      <c r="C319" s="112" t="s">
        <v>1883</v>
      </c>
      <c r="D319" s="115" t="s">
        <v>1383</v>
      </c>
      <c r="E319" s="7">
        <v>44734</v>
      </c>
      <c r="F319" s="6" t="s">
        <v>1989</v>
      </c>
      <c r="G319" s="6" t="s">
        <v>575</v>
      </c>
      <c r="H319" s="121">
        <v>1186064</v>
      </c>
      <c r="I319" s="213" t="b">
        <v>0</v>
      </c>
      <c r="J319" s="213" t="b">
        <v>0</v>
      </c>
      <c r="K319" s="213" t="b">
        <v>0</v>
      </c>
    </row>
    <row r="320" spans="1:11" ht="25.5" hidden="1">
      <c r="A320" s="6">
        <v>2022</v>
      </c>
      <c r="B320" s="6" t="s">
        <v>2132</v>
      </c>
      <c r="C320" s="6" t="s">
        <v>1883</v>
      </c>
      <c r="D320" s="115" t="s">
        <v>1383</v>
      </c>
      <c r="E320" s="7">
        <v>44881</v>
      </c>
      <c r="F320" s="6" t="s">
        <v>2133</v>
      </c>
      <c r="G320" s="6" t="s">
        <v>2104</v>
      </c>
      <c r="H320" s="121"/>
      <c r="I320" s="213" t="b">
        <v>0</v>
      </c>
      <c r="J320" s="213" t="b">
        <v>0</v>
      </c>
      <c r="K320" s="213" t="b">
        <v>0</v>
      </c>
    </row>
    <row r="321" spans="1:11" ht="25.5" hidden="1">
      <c r="A321" s="6">
        <v>2022</v>
      </c>
      <c r="B321" s="6" t="s">
        <v>2134</v>
      </c>
      <c r="C321" s="6" t="s">
        <v>1883</v>
      </c>
      <c r="D321" s="115" t="s">
        <v>1383</v>
      </c>
      <c r="E321" s="7">
        <v>44886</v>
      </c>
      <c r="F321" s="6" t="s">
        <v>2135</v>
      </c>
      <c r="G321" s="6" t="s">
        <v>2104</v>
      </c>
      <c r="H321" s="121"/>
      <c r="I321" s="213" t="b">
        <v>0</v>
      </c>
      <c r="J321" s="213" t="b">
        <v>0</v>
      </c>
      <c r="K321" s="213" t="b">
        <v>0</v>
      </c>
    </row>
    <row r="322" spans="1:11" ht="38.25" hidden="1">
      <c r="A322" s="6">
        <v>2022</v>
      </c>
      <c r="B322" s="119" t="s">
        <v>1858</v>
      </c>
      <c r="C322" s="112" t="s">
        <v>61</v>
      </c>
      <c r="D322" s="115" t="s">
        <v>1383</v>
      </c>
      <c r="E322" s="117">
        <v>44573</v>
      </c>
      <c r="F322" s="112" t="s">
        <v>1459</v>
      </c>
      <c r="G322" s="112" t="s">
        <v>1460</v>
      </c>
      <c r="H322" s="120">
        <v>393300</v>
      </c>
      <c r="I322" s="213" t="b">
        <v>0</v>
      </c>
      <c r="J322" s="213" t="b">
        <v>0</v>
      </c>
      <c r="K322" s="213" t="b">
        <v>0</v>
      </c>
    </row>
    <row r="323" spans="1:11" ht="51" hidden="1">
      <c r="A323" s="6">
        <v>2022</v>
      </c>
      <c r="B323" s="6" t="s">
        <v>1930</v>
      </c>
      <c r="C323" s="112" t="s">
        <v>61</v>
      </c>
      <c r="D323" s="115" t="s">
        <v>1383</v>
      </c>
      <c r="E323" s="113">
        <v>44650</v>
      </c>
      <c r="F323" s="6" t="s">
        <v>1931</v>
      </c>
      <c r="G323" s="6" t="s">
        <v>575</v>
      </c>
      <c r="H323" s="110">
        <v>749991.24</v>
      </c>
      <c r="I323" s="213" t="b">
        <v>0</v>
      </c>
      <c r="J323" s="213" t="b">
        <v>0</v>
      </c>
      <c r="K323" s="213" t="b">
        <v>0</v>
      </c>
    </row>
    <row r="324" spans="1:11" ht="25.5" hidden="1">
      <c r="A324" s="6">
        <v>2022</v>
      </c>
      <c r="B324" s="6" t="s">
        <v>1935</v>
      </c>
      <c r="C324" s="112" t="s">
        <v>61</v>
      </c>
      <c r="D324" s="115" t="s">
        <v>1383</v>
      </c>
      <c r="E324" s="113">
        <v>44657</v>
      </c>
      <c r="F324" s="6" t="s">
        <v>1936</v>
      </c>
      <c r="G324" s="6" t="s">
        <v>1937</v>
      </c>
      <c r="H324" s="110">
        <v>1302000</v>
      </c>
      <c r="I324" s="213" t="b">
        <v>0</v>
      </c>
      <c r="J324" s="213" t="b">
        <v>0</v>
      </c>
      <c r="K324" s="213" t="b">
        <v>0</v>
      </c>
    </row>
    <row r="325" spans="1:11" ht="45" hidden="1">
      <c r="A325" s="6">
        <v>2022</v>
      </c>
      <c r="B325" s="6" t="s">
        <v>1467</v>
      </c>
      <c r="C325" s="112" t="s">
        <v>61</v>
      </c>
      <c r="D325" s="115" t="s">
        <v>1383</v>
      </c>
      <c r="E325" s="7">
        <v>44776</v>
      </c>
      <c r="F325" s="249" t="s">
        <v>1469</v>
      </c>
      <c r="G325" s="6" t="s">
        <v>1451</v>
      </c>
      <c r="H325" s="121">
        <v>200000</v>
      </c>
      <c r="I325" s="213" t="b">
        <v>0</v>
      </c>
      <c r="J325" s="213" t="b">
        <v>0</v>
      </c>
      <c r="K325" s="213" t="b">
        <v>0</v>
      </c>
    </row>
    <row r="326" spans="1:11" ht="25.5" hidden="1">
      <c r="A326" s="6">
        <v>2022</v>
      </c>
      <c r="B326" s="6" t="s">
        <v>1470</v>
      </c>
      <c r="C326" s="112" t="s">
        <v>61</v>
      </c>
      <c r="D326" s="115" t="s">
        <v>1383</v>
      </c>
      <c r="E326" s="7">
        <v>44790</v>
      </c>
      <c r="F326" s="6" t="s">
        <v>1472</v>
      </c>
      <c r="G326" s="6" t="s">
        <v>1473</v>
      </c>
      <c r="H326" s="121">
        <v>300000</v>
      </c>
      <c r="I326" s="213" t="b">
        <v>0</v>
      </c>
      <c r="J326" s="213" t="b">
        <v>0</v>
      </c>
      <c r="K326" s="213" t="b">
        <v>0</v>
      </c>
    </row>
    <row r="327" spans="1:11" ht="12.75" hidden="1">
      <c r="A327" s="6">
        <v>2022</v>
      </c>
      <c r="B327" s="6" t="s">
        <v>1476</v>
      </c>
      <c r="C327" s="112" t="s">
        <v>61</v>
      </c>
      <c r="D327" s="115" t="s">
        <v>1383</v>
      </c>
      <c r="E327" s="7">
        <v>44818</v>
      </c>
      <c r="F327" s="6" t="s">
        <v>1477</v>
      </c>
      <c r="G327" s="6" t="s">
        <v>1478</v>
      </c>
      <c r="H327" s="121">
        <v>200000</v>
      </c>
      <c r="I327" s="213" t="b">
        <v>0</v>
      </c>
      <c r="J327" s="213" t="b">
        <v>0</v>
      </c>
      <c r="K327" s="213" t="b">
        <v>0</v>
      </c>
    </row>
    <row r="328" spans="1:11" ht="25.5" hidden="1">
      <c r="A328" s="6">
        <v>2022</v>
      </c>
      <c r="B328" s="6" t="s">
        <v>1479</v>
      </c>
      <c r="C328" s="112" t="s">
        <v>61</v>
      </c>
      <c r="D328" s="115" t="s">
        <v>1383</v>
      </c>
      <c r="E328" s="7">
        <v>44818</v>
      </c>
      <c r="F328" s="6" t="s">
        <v>1481</v>
      </c>
      <c r="G328" s="6" t="s">
        <v>2059</v>
      </c>
      <c r="H328" s="121">
        <v>350500</v>
      </c>
      <c r="I328" s="213" t="b">
        <v>0</v>
      </c>
      <c r="J328" s="213" t="b">
        <v>0</v>
      </c>
      <c r="K328" s="213" t="b">
        <v>0</v>
      </c>
    </row>
    <row r="329" spans="1:11" ht="25.5" hidden="1">
      <c r="A329" s="6">
        <v>2022</v>
      </c>
      <c r="B329" s="6" t="s">
        <v>1485</v>
      </c>
      <c r="C329" s="112" t="s">
        <v>61</v>
      </c>
      <c r="D329" s="115" t="s">
        <v>1383</v>
      </c>
      <c r="E329" s="7">
        <v>44839</v>
      </c>
      <c r="F329" s="6" t="s">
        <v>1486</v>
      </c>
      <c r="G329" s="6" t="s">
        <v>650</v>
      </c>
      <c r="H329" s="121">
        <v>300000</v>
      </c>
      <c r="I329" s="213" t="b">
        <v>0</v>
      </c>
      <c r="J329" s="213" t="b">
        <v>0</v>
      </c>
      <c r="K329" s="213" t="b">
        <v>0</v>
      </c>
    </row>
    <row r="330" spans="1:11" ht="38.25" hidden="1">
      <c r="A330" s="6">
        <v>2022</v>
      </c>
      <c r="B330" s="6" t="s">
        <v>1487</v>
      </c>
      <c r="C330" s="112" t="s">
        <v>61</v>
      </c>
      <c r="D330" s="115" t="s">
        <v>1383</v>
      </c>
      <c r="E330" s="7">
        <v>44839</v>
      </c>
      <c r="F330" s="6" t="s">
        <v>1488</v>
      </c>
      <c r="G330" s="6" t="s">
        <v>650</v>
      </c>
      <c r="H330" s="121">
        <v>200000</v>
      </c>
      <c r="I330" s="213" t="b">
        <v>0</v>
      </c>
      <c r="J330" s="213" t="b">
        <v>0</v>
      </c>
      <c r="K330" s="213" t="b">
        <v>0</v>
      </c>
    </row>
    <row r="331" spans="1:11" ht="63.75" hidden="1">
      <c r="A331" s="6">
        <v>2022</v>
      </c>
      <c r="B331" s="112" t="s">
        <v>2089</v>
      </c>
      <c r="C331" s="112" t="s">
        <v>61</v>
      </c>
      <c r="D331" s="115" t="s">
        <v>1383</v>
      </c>
      <c r="E331" s="7">
        <v>44844</v>
      </c>
      <c r="F331" s="6" t="s">
        <v>2090</v>
      </c>
      <c r="G331" s="6" t="s">
        <v>1502</v>
      </c>
      <c r="H331" s="121">
        <v>200000</v>
      </c>
      <c r="I331" s="213" t="b">
        <v>0</v>
      </c>
      <c r="J331" s="213" t="b">
        <v>0</v>
      </c>
      <c r="K331" s="213" t="b">
        <v>0</v>
      </c>
    </row>
    <row r="332" spans="1:11" ht="38.25" hidden="1">
      <c r="A332" s="6">
        <v>2022</v>
      </c>
      <c r="B332" s="6" t="s">
        <v>1489</v>
      </c>
      <c r="C332" s="112" t="s">
        <v>61</v>
      </c>
      <c r="D332" s="115" t="s">
        <v>1383</v>
      </c>
      <c r="E332" s="7">
        <v>44853</v>
      </c>
      <c r="F332" s="6" t="s">
        <v>1490</v>
      </c>
      <c r="G332" s="6" t="s">
        <v>1491</v>
      </c>
      <c r="H332" s="121">
        <v>200000</v>
      </c>
      <c r="I332" s="213" t="b">
        <v>0</v>
      </c>
      <c r="J332" s="213" t="b">
        <v>0</v>
      </c>
      <c r="K332" s="213" t="b">
        <v>0</v>
      </c>
    </row>
    <row r="333" spans="1:11" ht="12.75" hidden="1">
      <c r="A333" s="6">
        <v>2022</v>
      </c>
      <c r="B333" s="6" t="s">
        <v>1492</v>
      </c>
      <c r="C333" s="112" t="s">
        <v>61</v>
      </c>
      <c r="D333" s="115" t="s">
        <v>1383</v>
      </c>
      <c r="E333" s="7">
        <v>44853</v>
      </c>
      <c r="F333" s="6" t="s">
        <v>1493</v>
      </c>
      <c r="G333" s="6" t="s">
        <v>2104</v>
      </c>
      <c r="H333" s="121">
        <v>1720880</v>
      </c>
      <c r="I333" s="213" t="b">
        <v>0</v>
      </c>
      <c r="J333" s="213" t="b">
        <v>0</v>
      </c>
      <c r="K333" s="213" t="b">
        <v>0</v>
      </c>
    </row>
    <row r="334" spans="1:11" ht="25.5" hidden="1">
      <c r="A334" s="6">
        <v>2022</v>
      </c>
      <c r="B334" s="6" t="s">
        <v>1494</v>
      </c>
      <c r="C334" s="112" t="s">
        <v>61</v>
      </c>
      <c r="D334" s="115" t="s">
        <v>1383</v>
      </c>
      <c r="E334" s="7">
        <v>44881</v>
      </c>
      <c r="F334" s="6" t="s">
        <v>1495</v>
      </c>
      <c r="G334" s="6" t="s">
        <v>1496</v>
      </c>
      <c r="H334" s="121">
        <v>300000</v>
      </c>
      <c r="I334" s="213" t="b">
        <v>0</v>
      </c>
      <c r="J334" s="213" t="b">
        <v>0</v>
      </c>
      <c r="K334" s="213" t="b">
        <v>0</v>
      </c>
    </row>
    <row r="335" spans="1:11" ht="38.25" hidden="1">
      <c r="A335" s="9">
        <v>2021</v>
      </c>
      <c r="B335" s="144">
        <v>44197</v>
      </c>
      <c r="C335" s="9" t="s">
        <v>61</v>
      </c>
      <c r="D335" s="9" t="s">
        <v>697</v>
      </c>
      <c r="E335" s="6"/>
      <c r="F335" s="6" t="s">
        <v>698</v>
      </c>
      <c r="G335" s="6" t="s">
        <v>699</v>
      </c>
      <c r="H335" s="121">
        <v>414900</v>
      </c>
      <c r="I335" s="213" t="b">
        <v>0</v>
      </c>
      <c r="J335" s="213" t="b">
        <v>0</v>
      </c>
      <c r="K335" s="213" t="b">
        <v>0</v>
      </c>
    </row>
    <row r="336" spans="1:11" ht="25.5" hidden="1">
      <c r="A336" s="9">
        <v>2021</v>
      </c>
      <c r="B336" s="144">
        <v>44228</v>
      </c>
      <c r="C336" s="9" t="s">
        <v>1867</v>
      </c>
      <c r="D336" s="9"/>
      <c r="E336" s="6"/>
      <c r="F336" s="6" t="s">
        <v>2140</v>
      </c>
      <c r="G336" s="6" t="s">
        <v>2141</v>
      </c>
      <c r="H336" s="121"/>
      <c r="I336" s="213" t="b">
        <v>0</v>
      </c>
      <c r="J336" s="213" t="b">
        <v>0</v>
      </c>
      <c r="K336" s="213" t="b">
        <v>0</v>
      </c>
    </row>
    <row r="337" spans="1:11" ht="25.5" hidden="1">
      <c r="A337" s="9">
        <v>2021</v>
      </c>
      <c r="B337" s="144">
        <v>44348</v>
      </c>
      <c r="C337" s="9" t="s">
        <v>1867</v>
      </c>
      <c r="D337" s="9"/>
      <c r="E337" s="6"/>
      <c r="F337" s="6" t="s">
        <v>2145</v>
      </c>
      <c r="G337" s="6" t="s">
        <v>2146</v>
      </c>
      <c r="H337" s="121"/>
      <c r="I337" s="213" t="b">
        <v>0</v>
      </c>
      <c r="J337" s="213" t="b">
        <v>0</v>
      </c>
      <c r="K337" s="213" t="b">
        <v>0</v>
      </c>
    </row>
    <row r="338" spans="1:11" ht="51">
      <c r="A338" s="9">
        <v>2021</v>
      </c>
      <c r="B338" s="144">
        <v>44378</v>
      </c>
      <c r="C338" s="9" t="s">
        <v>61</v>
      </c>
      <c r="D338" s="9" t="s">
        <v>62</v>
      </c>
      <c r="E338" s="6"/>
      <c r="F338" s="6" t="s">
        <v>1112</v>
      </c>
      <c r="G338" s="6" t="s">
        <v>1113</v>
      </c>
      <c r="H338" s="121">
        <v>1578099.2</v>
      </c>
      <c r="I338" s="213" t="b">
        <v>0</v>
      </c>
      <c r="J338" s="213"/>
      <c r="K338" s="213"/>
    </row>
    <row r="339" spans="1:11" ht="38.25" hidden="1">
      <c r="A339" s="9">
        <v>2021</v>
      </c>
      <c r="B339" s="144">
        <v>44409</v>
      </c>
      <c r="C339" s="9" t="s">
        <v>1867</v>
      </c>
      <c r="D339" s="9" t="s">
        <v>62</v>
      </c>
      <c r="E339" s="6"/>
      <c r="F339" s="6" t="s">
        <v>5584</v>
      </c>
      <c r="G339" s="6" t="s">
        <v>2151</v>
      </c>
      <c r="H339" s="121"/>
      <c r="I339" s="213" t="b">
        <v>0</v>
      </c>
      <c r="J339" s="213" t="b">
        <v>0</v>
      </c>
      <c r="K339" s="213" t="b">
        <v>0</v>
      </c>
    </row>
    <row r="340" spans="1:11" ht="25.5" hidden="1">
      <c r="A340" s="9">
        <v>2021</v>
      </c>
      <c r="B340" s="144">
        <v>44440</v>
      </c>
      <c r="C340" s="9" t="s">
        <v>1867</v>
      </c>
      <c r="D340" s="9"/>
      <c r="E340" s="6"/>
      <c r="F340" s="6" t="s">
        <v>2153</v>
      </c>
      <c r="G340" s="6" t="s">
        <v>2154</v>
      </c>
      <c r="H340" s="121"/>
      <c r="I340" s="213" t="b">
        <v>0</v>
      </c>
      <c r="J340" s="213" t="b">
        <v>0</v>
      </c>
      <c r="K340" s="213" t="b">
        <v>0</v>
      </c>
    </row>
    <row r="341" spans="1:11" ht="38.25" hidden="1">
      <c r="A341" s="9">
        <v>2021</v>
      </c>
      <c r="B341" s="145">
        <v>44531</v>
      </c>
      <c r="C341" s="9" t="s">
        <v>61</v>
      </c>
      <c r="D341" s="17" t="s">
        <v>1877</v>
      </c>
      <c r="E341" s="6"/>
      <c r="F341" s="6" t="s">
        <v>700</v>
      </c>
      <c r="G341" s="6" t="s">
        <v>2156</v>
      </c>
      <c r="H341" s="121">
        <v>50735</v>
      </c>
      <c r="I341" s="213" t="b">
        <v>0</v>
      </c>
      <c r="J341" s="213" t="b">
        <v>0</v>
      </c>
      <c r="K341" s="213" t="b">
        <v>0</v>
      </c>
    </row>
    <row r="342" spans="1:11" ht="38.25" hidden="1">
      <c r="A342" s="9">
        <v>2021</v>
      </c>
      <c r="B342" s="9" t="s">
        <v>2159</v>
      </c>
      <c r="C342" s="9"/>
      <c r="D342" s="17" t="s">
        <v>1877</v>
      </c>
      <c r="E342" s="6"/>
      <c r="F342" s="132" t="s">
        <v>700</v>
      </c>
      <c r="G342" s="132" t="s">
        <v>2160</v>
      </c>
      <c r="H342" s="146">
        <v>50735</v>
      </c>
      <c r="I342" s="213" t="b">
        <v>0</v>
      </c>
      <c r="J342" s="213" t="b">
        <v>0</v>
      </c>
      <c r="K342" s="213" t="b">
        <v>0</v>
      </c>
    </row>
    <row r="343" spans="1:11" ht="25.5">
      <c r="A343" s="9">
        <v>2021</v>
      </c>
      <c r="B343" s="9" t="s">
        <v>1114</v>
      </c>
      <c r="C343" s="9" t="s">
        <v>61</v>
      </c>
      <c r="D343" s="9" t="s">
        <v>62</v>
      </c>
      <c r="E343" s="148"/>
      <c r="F343" s="6" t="s">
        <v>1115</v>
      </c>
      <c r="G343" s="6" t="s">
        <v>1116</v>
      </c>
      <c r="H343" s="121">
        <v>1527776</v>
      </c>
      <c r="I343" s="213" t="b">
        <v>0</v>
      </c>
      <c r="J343" s="213"/>
      <c r="K343" s="213"/>
    </row>
    <row r="344" spans="1:11" ht="38.25" hidden="1">
      <c r="A344" s="9">
        <v>2021</v>
      </c>
      <c r="B344" s="9" t="s">
        <v>1497</v>
      </c>
      <c r="C344" s="9" t="s">
        <v>61</v>
      </c>
      <c r="D344" s="9" t="s">
        <v>1417</v>
      </c>
      <c r="E344" s="6"/>
      <c r="F344" s="6" t="s">
        <v>1498</v>
      </c>
      <c r="G344" s="6" t="s">
        <v>808</v>
      </c>
      <c r="H344" s="121">
        <v>1232386.08</v>
      </c>
      <c r="I344" s="213" t="b">
        <v>0</v>
      </c>
      <c r="J344" s="213" t="b">
        <v>0</v>
      </c>
      <c r="K344" s="213" t="b">
        <v>0</v>
      </c>
    </row>
    <row r="345" spans="1:11" ht="25.5" hidden="1">
      <c r="A345" s="9">
        <v>2021</v>
      </c>
      <c r="B345" s="9" t="s">
        <v>2165</v>
      </c>
      <c r="C345" s="9" t="s">
        <v>1867</v>
      </c>
      <c r="D345" s="9"/>
      <c r="E345" s="6"/>
      <c r="F345" s="6" t="s">
        <v>2166</v>
      </c>
      <c r="G345" s="6" t="s">
        <v>2167</v>
      </c>
      <c r="H345" s="121"/>
      <c r="I345" s="213" t="b">
        <v>0</v>
      </c>
      <c r="J345" s="213" t="b">
        <v>0</v>
      </c>
      <c r="K345" s="213" t="b">
        <v>0</v>
      </c>
    </row>
    <row r="346" spans="1:11" ht="51" hidden="1">
      <c r="A346" s="9">
        <v>2021</v>
      </c>
      <c r="B346" s="9" t="s">
        <v>702</v>
      </c>
      <c r="C346" s="9" t="s">
        <v>61</v>
      </c>
      <c r="D346" s="9" t="s">
        <v>394</v>
      </c>
      <c r="E346" s="6"/>
      <c r="F346" s="6" t="s">
        <v>703</v>
      </c>
      <c r="G346" s="6" t="s">
        <v>704</v>
      </c>
      <c r="H346" s="64">
        <v>9000</v>
      </c>
      <c r="I346" s="213" t="b">
        <v>0</v>
      </c>
      <c r="J346" s="213" t="b">
        <v>0</v>
      </c>
      <c r="K346" s="213" t="b">
        <v>0</v>
      </c>
    </row>
    <row r="347" spans="1:11" ht="51" hidden="1">
      <c r="A347" s="9">
        <v>2021</v>
      </c>
      <c r="B347" s="9" t="s">
        <v>705</v>
      </c>
      <c r="C347" s="9" t="s">
        <v>61</v>
      </c>
      <c r="D347" s="9" t="s">
        <v>394</v>
      </c>
      <c r="E347" s="6"/>
      <c r="F347" s="132" t="s">
        <v>706</v>
      </c>
      <c r="G347" s="6" t="s">
        <v>707</v>
      </c>
      <c r="H347" s="64">
        <v>20000</v>
      </c>
      <c r="I347" s="213" t="b">
        <v>0</v>
      </c>
      <c r="J347" s="213" t="b">
        <v>0</v>
      </c>
      <c r="K347" s="213" t="b">
        <v>0</v>
      </c>
    </row>
    <row r="348" spans="1:11" ht="25.5" hidden="1">
      <c r="A348" s="9">
        <v>2021</v>
      </c>
      <c r="B348" s="9" t="s">
        <v>708</v>
      </c>
      <c r="C348" s="9" t="s">
        <v>61</v>
      </c>
      <c r="D348" s="6" t="s">
        <v>586</v>
      </c>
      <c r="E348" s="148"/>
      <c r="F348" s="6" t="s">
        <v>709</v>
      </c>
      <c r="G348" s="6" t="s">
        <v>2184</v>
      </c>
      <c r="H348" s="121">
        <v>28450</v>
      </c>
      <c r="I348" s="213" t="b">
        <v>0</v>
      </c>
      <c r="J348" s="213" t="b">
        <v>0</v>
      </c>
      <c r="K348" s="213" t="b">
        <v>0</v>
      </c>
    </row>
    <row r="349" spans="1:11" ht="38.25" hidden="1">
      <c r="A349" s="9">
        <v>2021</v>
      </c>
      <c r="B349" s="9" t="s">
        <v>711</v>
      </c>
      <c r="C349" s="9" t="s">
        <v>61</v>
      </c>
      <c r="D349" s="112" t="s">
        <v>68</v>
      </c>
      <c r="E349" s="148"/>
      <c r="F349" s="6" t="s">
        <v>713</v>
      </c>
      <c r="G349" s="6" t="s">
        <v>2187</v>
      </c>
      <c r="H349" s="121">
        <v>222750</v>
      </c>
      <c r="I349" s="213" t="b">
        <v>0</v>
      </c>
      <c r="J349" s="213" t="b">
        <v>0</v>
      </c>
      <c r="K349" s="213" t="b">
        <v>0</v>
      </c>
    </row>
    <row r="350" spans="1:11" ht="38.25" hidden="1">
      <c r="A350" s="9">
        <v>2021</v>
      </c>
      <c r="B350" s="9" t="s">
        <v>715</v>
      </c>
      <c r="C350" s="9" t="s">
        <v>61</v>
      </c>
      <c r="D350" s="9" t="s">
        <v>394</v>
      </c>
      <c r="E350" s="6"/>
      <c r="F350" s="6" t="s">
        <v>716</v>
      </c>
      <c r="G350" s="6" t="s">
        <v>572</v>
      </c>
      <c r="H350" s="64">
        <v>8000</v>
      </c>
      <c r="I350" s="213" t="b">
        <v>0</v>
      </c>
      <c r="J350" s="213" t="b">
        <v>0</v>
      </c>
      <c r="K350" s="213" t="b">
        <v>0</v>
      </c>
    </row>
    <row r="351" spans="1:11" ht="30" hidden="1">
      <c r="A351" s="9">
        <v>2021</v>
      </c>
      <c r="B351" s="9" t="s">
        <v>717</v>
      </c>
      <c r="C351" s="9" t="s">
        <v>61</v>
      </c>
      <c r="D351" s="6" t="s">
        <v>586</v>
      </c>
      <c r="E351" s="148"/>
      <c r="F351" s="249" t="s">
        <v>718</v>
      </c>
      <c r="G351" s="6" t="s">
        <v>2198</v>
      </c>
      <c r="H351" s="121">
        <v>8500</v>
      </c>
      <c r="I351" s="213" t="b">
        <v>0</v>
      </c>
      <c r="J351" s="213" t="b">
        <v>0</v>
      </c>
      <c r="K351" s="213" t="b">
        <v>0</v>
      </c>
    </row>
    <row r="352" spans="1:11" ht="38.25" hidden="1">
      <c r="A352" s="9">
        <v>2021</v>
      </c>
      <c r="B352" s="9" t="s">
        <v>1509</v>
      </c>
      <c r="C352" s="9" t="s">
        <v>61</v>
      </c>
      <c r="D352" s="9" t="s">
        <v>1417</v>
      </c>
      <c r="E352" s="6"/>
      <c r="F352" s="6" t="s">
        <v>1510</v>
      </c>
      <c r="G352" s="6" t="s">
        <v>1511</v>
      </c>
      <c r="H352" s="121">
        <v>314417.48</v>
      </c>
      <c r="I352" s="213" t="b">
        <v>0</v>
      </c>
      <c r="J352" s="213" t="b">
        <v>0</v>
      </c>
      <c r="K352" s="213" t="b">
        <v>0</v>
      </c>
    </row>
    <row r="353" spans="1:11" ht="25.5" hidden="1">
      <c r="A353" s="9">
        <v>2021</v>
      </c>
      <c r="B353" s="9" t="s">
        <v>1512</v>
      </c>
      <c r="C353" s="9" t="s">
        <v>61</v>
      </c>
      <c r="D353" s="9" t="s">
        <v>1417</v>
      </c>
      <c r="E353" s="6"/>
      <c r="F353" s="6" t="s">
        <v>2202</v>
      </c>
      <c r="G353" s="6" t="s">
        <v>1511</v>
      </c>
      <c r="H353" s="121">
        <v>509255</v>
      </c>
      <c r="I353" s="213" t="b">
        <v>0</v>
      </c>
      <c r="J353" s="213" t="b">
        <v>0</v>
      </c>
      <c r="K353" s="213" t="b">
        <v>0</v>
      </c>
    </row>
    <row r="354" spans="1:11" ht="63.75">
      <c r="A354" s="9">
        <v>2021</v>
      </c>
      <c r="B354" s="9" t="s">
        <v>1117</v>
      </c>
      <c r="C354" s="9" t="s">
        <v>61</v>
      </c>
      <c r="D354" s="9" t="s">
        <v>62</v>
      </c>
      <c r="E354" s="6"/>
      <c r="F354" s="6" t="s">
        <v>1119</v>
      </c>
      <c r="G354" s="6" t="s">
        <v>1120</v>
      </c>
      <c r="H354" s="121">
        <v>2880000</v>
      </c>
      <c r="I354" s="213" t="b">
        <v>0</v>
      </c>
      <c r="J354" s="213"/>
      <c r="K354" s="213"/>
    </row>
    <row r="355" spans="1:11" ht="38.25" hidden="1">
      <c r="A355" s="9">
        <v>2021</v>
      </c>
      <c r="B355" s="9" t="s">
        <v>720</v>
      </c>
      <c r="C355" s="9" t="s">
        <v>61</v>
      </c>
      <c r="D355" s="9" t="s">
        <v>394</v>
      </c>
      <c r="E355" s="6"/>
      <c r="F355" s="6" t="s">
        <v>721</v>
      </c>
      <c r="G355" s="6" t="s">
        <v>722</v>
      </c>
      <c r="H355" s="64">
        <v>10000</v>
      </c>
      <c r="I355" s="213" t="b">
        <v>0</v>
      </c>
      <c r="J355" s="213" t="b">
        <v>0</v>
      </c>
      <c r="K355" s="213" t="b">
        <v>0</v>
      </c>
    </row>
    <row r="356" spans="1:11" ht="25.5" hidden="1">
      <c r="A356" s="9">
        <v>2021</v>
      </c>
      <c r="B356" s="9" t="s">
        <v>2208</v>
      </c>
      <c r="C356" s="9"/>
      <c r="D356" s="9" t="s">
        <v>1420</v>
      </c>
      <c r="E356" s="6"/>
      <c r="F356" s="6" t="s">
        <v>2209</v>
      </c>
      <c r="G356" s="6" t="s">
        <v>2210</v>
      </c>
      <c r="H356" s="121">
        <v>250000</v>
      </c>
      <c r="I356" s="213" t="b">
        <v>0</v>
      </c>
      <c r="J356" s="213" t="b">
        <v>0</v>
      </c>
      <c r="K356" s="213" t="b">
        <v>0</v>
      </c>
    </row>
    <row r="357" spans="1:11" ht="12.75" hidden="1">
      <c r="A357" s="9">
        <v>2021</v>
      </c>
      <c r="B357" s="9" t="s">
        <v>2223</v>
      </c>
      <c r="C357" s="9" t="s">
        <v>61</v>
      </c>
      <c r="D357" s="9" t="s">
        <v>1838</v>
      </c>
      <c r="E357" s="6"/>
      <c r="F357" s="6" t="s">
        <v>2224</v>
      </c>
      <c r="G357" s="6" t="s">
        <v>2225</v>
      </c>
      <c r="H357" s="121">
        <v>110000</v>
      </c>
      <c r="I357" s="213" t="b">
        <v>0</v>
      </c>
      <c r="J357" s="213" t="b">
        <v>0</v>
      </c>
      <c r="K357" s="213" t="b">
        <v>0</v>
      </c>
    </row>
    <row r="358" spans="1:11" ht="51" hidden="1">
      <c r="A358" s="9">
        <v>2021</v>
      </c>
      <c r="B358" s="9" t="s">
        <v>72</v>
      </c>
      <c r="C358" s="9" t="s">
        <v>61</v>
      </c>
      <c r="D358" s="112" t="s">
        <v>68</v>
      </c>
      <c r="E358" s="148"/>
      <c r="F358" s="6" t="s">
        <v>73</v>
      </c>
      <c r="G358" s="6" t="s">
        <v>2227</v>
      </c>
      <c r="H358" s="121">
        <v>349800</v>
      </c>
      <c r="I358" s="213" t="b">
        <v>0</v>
      </c>
      <c r="J358" s="213" t="b">
        <v>0</v>
      </c>
      <c r="K358" s="213" t="b">
        <v>0</v>
      </c>
    </row>
    <row r="359" spans="1:11" ht="51" hidden="1">
      <c r="A359" s="9">
        <v>2021</v>
      </c>
      <c r="B359" s="9" t="s">
        <v>724</v>
      </c>
      <c r="C359" s="9" t="s">
        <v>61</v>
      </c>
      <c r="D359" s="9" t="s">
        <v>394</v>
      </c>
      <c r="E359" s="6"/>
      <c r="F359" s="6" t="s">
        <v>725</v>
      </c>
      <c r="G359" s="6" t="s">
        <v>572</v>
      </c>
      <c r="H359" s="64">
        <v>8000</v>
      </c>
      <c r="I359" s="213" t="b">
        <v>0</v>
      </c>
      <c r="J359" s="213" t="b">
        <v>0</v>
      </c>
      <c r="K359" s="213" t="b">
        <v>0</v>
      </c>
    </row>
    <row r="360" spans="1:11" ht="38.25">
      <c r="A360" s="9">
        <v>2021</v>
      </c>
      <c r="B360" s="9" t="s">
        <v>1121</v>
      </c>
      <c r="C360" s="9" t="s">
        <v>61</v>
      </c>
      <c r="D360" s="9" t="s">
        <v>62</v>
      </c>
      <c r="E360" s="6"/>
      <c r="F360" s="249" t="s">
        <v>1122</v>
      </c>
      <c r="G360" s="6" t="s">
        <v>1123</v>
      </c>
      <c r="H360" s="121">
        <v>2928900.41</v>
      </c>
      <c r="I360" s="213" t="b">
        <v>0</v>
      </c>
      <c r="J360" s="213"/>
      <c r="K360" s="213"/>
    </row>
    <row r="361" spans="1:11" ht="25.5" hidden="1">
      <c r="A361" s="9">
        <v>2021</v>
      </c>
      <c r="B361" s="9" t="s">
        <v>2173</v>
      </c>
      <c r="C361" s="9"/>
      <c r="D361" s="115" t="s">
        <v>1383</v>
      </c>
      <c r="E361" s="6"/>
      <c r="F361" s="6" t="s">
        <v>2174</v>
      </c>
      <c r="G361" s="132" t="s">
        <v>808</v>
      </c>
      <c r="H361" s="121">
        <v>5600000</v>
      </c>
      <c r="I361" s="213" t="b">
        <v>0</v>
      </c>
      <c r="J361" s="213" t="b">
        <v>0</v>
      </c>
      <c r="K361" s="213" t="b">
        <v>0</v>
      </c>
    </row>
    <row r="362" spans="1:11" ht="51">
      <c r="A362" s="9">
        <v>2021</v>
      </c>
      <c r="B362" s="9" t="s">
        <v>1124</v>
      </c>
      <c r="C362" s="9" t="s">
        <v>61</v>
      </c>
      <c r="D362" s="9" t="s">
        <v>62</v>
      </c>
      <c r="E362" s="6"/>
      <c r="F362" s="6" t="s">
        <v>1125</v>
      </c>
      <c r="G362" s="6" t="s">
        <v>1113</v>
      </c>
      <c r="H362" s="121">
        <v>4512920</v>
      </c>
      <c r="I362" s="213" t="b">
        <v>0</v>
      </c>
      <c r="J362" s="213"/>
      <c r="K362" s="213"/>
    </row>
    <row r="363" spans="1:11" ht="38.25" hidden="1">
      <c r="A363" s="9">
        <v>2021</v>
      </c>
      <c r="B363" s="9" t="s">
        <v>726</v>
      </c>
      <c r="C363" s="9" t="s">
        <v>61</v>
      </c>
      <c r="D363" s="112" t="s">
        <v>68</v>
      </c>
      <c r="E363" s="148"/>
      <c r="F363" s="6" t="s">
        <v>727</v>
      </c>
      <c r="G363" s="6" t="s">
        <v>2238</v>
      </c>
      <c r="H363" s="121">
        <v>108540</v>
      </c>
      <c r="I363" s="213" t="b">
        <v>0</v>
      </c>
      <c r="J363" s="213" t="b">
        <v>0</v>
      </c>
      <c r="K363" s="213" t="b">
        <v>0</v>
      </c>
    </row>
    <row r="364" spans="1:11" ht="38.25" hidden="1">
      <c r="A364" s="9">
        <v>2021</v>
      </c>
      <c r="B364" s="9" t="s">
        <v>729</v>
      </c>
      <c r="C364" s="9" t="s">
        <v>61</v>
      </c>
      <c r="D364" s="112" t="s">
        <v>68</v>
      </c>
      <c r="E364" s="148"/>
      <c r="F364" s="6" t="s">
        <v>730</v>
      </c>
      <c r="G364" s="6" t="s">
        <v>2241</v>
      </c>
      <c r="H364" s="121">
        <v>108500</v>
      </c>
      <c r="I364" s="213" t="b">
        <v>0</v>
      </c>
      <c r="J364" s="213" t="b">
        <v>0</v>
      </c>
      <c r="K364" s="213" t="b">
        <v>0</v>
      </c>
    </row>
    <row r="365" spans="1:11" ht="89.25">
      <c r="A365" s="9">
        <v>2021</v>
      </c>
      <c r="B365" s="9" t="s">
        <v>1126</v>
      </c>
      <c r="C365" s="9" t="s">
        <v>61</v>
      </c>
      <c r="D365" s="9" t="s">
        <v>62</v>
      </c>
      <c r="E365" s="6"/>
      <c r="F365" s="6" t="s">
        <v>1128</v>
      </c>
      <c r="G365" s="6" t="s">
        <v>1129</v>
      </c>
      <c r="H365" s="121">
        <v>3300440</v>
      </c>
      <c r="I365" s="213" t="b">
        <v>0</v>
      </c>
      <c r="J365" s="213"/>
      <c r="K365" s="213"/>
    </row>
    <row r="366" spans="1:11" ht="38.25" hidden="1">
      <c r="A366" s="9">
        <v>2021</v>
      </c>
      <c r="B366" s="9" t="s">
        <v>732</v>
      </c>
      <c r="C366" s="9" t="s">
        <v>61</v>
      </c>
      <c r="D366" s="9" t="s">
        <v>394</v>
      </c>
      <c r="E366" s="6"/>
      <c r="F366" s="6" t="s">
        <v>733</v>
      </c>
      <c r="G366" s="6" t="s">
        <v>734</v>
      </c>
      <c r="H366" s="64">
        <v>8000</v>
      </c>
      <c r="I366" s="213" t="b">
        <v>0</v>
      </c>
      <c r="J366" s="213" t="b">
        <v>0</v>
      </c>
      <c r="K366" s="213" t="b">
        <v>0</v>
      </c>
    </row>
    <row r="367" spans="1:11" ht="38.25">
      <c r="A367" s="9">
        <v>2021</v>
      </c>
      <c r="B367" s="9" t="s">
        <v>1130</v>
      </c>
      <c r="C367" s="9" t="s">
        <v>61</v>
      </c>
      <c r="D367" s="9" t="s">
        <v>62</v>
      </c>
      <c r="E367" s="6"/>
      <c r="F367" s="6" t="s">
        <v>1132</v>
      </c>
      <c r="G367" s="6" t="s">
        <v>1133</v>
      </c>
      <c r="H367" s="121">
        <v>1000000</v>
      </c>
      <c r="I367" s="213" t="b">
        <v>0</v>
      </c>
      <c r="J367" s="213"/>
      <c r="K367" s="213"/>
    </row>
    <row r="368" spans="1:11" ht="51" hidden="1">
      <c r="A368" s="9">
        <v>2021</v>
      </c>
      <c r="B368" s="9" t="s">
        <v>735</v>
      </c>
      <c r="C368" s="9" t="s">
        <v>61</v>
      </c>
      <c r="D368" s="9" t="s">
        <v>394</v>
      </c>
      <c r="E368" s="148"/>
      <c r="F368" s="6" t="s">
        <v>736</v>
      </c>
      <c r="G368" s="6" t="s">
        <v>737</v>
      </c>
      <c r="H368" s="64">
        <v>10000</v>
      </c>
      <c r="I368" s="213" t="b">
        <v>0</v>
      </c>
      <c r="J368" s="213" t="b">
        <v>0</v>
      </c>
      <c r="K368" s="213" t="b">
        <v>0</v>
      </c>
    </row>
    <row r="369" spans="1:11" ht="38.25" hidden="1">
      <c r="A369" s="9">
        <v>2021</v>
      </c>
      <c r="B369" s="9" t="s">
        <v>738</v>
      </c>
      <c r="C369" s="9" t="s">
        <v>61</v>
      </c>
      <c r="D369" s="9" t="s">
        <v>652</v>
      </c>
      <c r="E369" s="148"/>
      <c r="F369" s="6" t="s">
        <v>739</v>
      </c>
      <c r="G369" s="6" t="s">
        <v>2256</v>
      </c>
      <c r="H369" s="64">
        <v>157139</v>
      </c>
      <c r="I369" s="213" t="b">
        <v>0</v>
      </c>
      <c r="J369" s="213" t="b">
        <v>0</v>
      </c>
      <c r="K369" s="213" t="b">
        <v>0</v>
      </c>
    </row>
    <row r="370" spans="1:11" ht="38.25" hidden="1">
      <c r="A370" s="9">
        <v>2021</v>
      </c>
      <c r="B370" s="9" t="s">
        <v>741</v>
      </c>
      <c r="C370" s="9" t="s">
        <v>61</v>
      </c>
      <c r="D370" s="9" t="s">
        <v>652</v>
      </c>
      <c r="E370" s="6"/>
      <c r="F370" s="6" t="s">
        <v>742</v>
      </c>
      <c r="G370" s="6" t="s">
        <v>2259</v>
      </c>
      <c r="H370" s="64">
        <v>28150</v>
      </c>
      <c r="I370" s="213" t="b">
        <v>0</v>
      </c>
      <c r="J370" s="213" t="b">
        <v>0</v>
      </c>
      <c r="K370" s="213" t="b">
        <v>0</v>
      </c>
    </row>
    <row r="371" spans="1:11" ht="51" hidden="1">
      <c r="A371" s="9">
        <v>2021</v>
      </c>
      <c r="B371" s="9" t="s">
        <v>744</v>
      </c>
      <c r="C371" s="9" t="s">
        <v>61</v>
      </c>
      <c r="D371" s="9" t="s">
        <v>652</v>
      </c>
      <c r="E371" s="148"/>
      <c r="F371" s="6" t="s">
        <v>745</v>
      </c>
      <c r="G371" s="6" t="s">
        <v>2262</v>
      </c>
      <c r="H371" s="64">
        <v>179435</v>
      </c>
      <c r="I371" s="213" t="b">
        <v>0</v>
      </c>
      <c r="J371" s="213" t="b">
        <v>0</v>
      </c>
      <c r="K371" s="213" t="b">
        <v>0</v>
      </c>
    </row>
    <row r="372" spans="1:11" ht="38.25">
      <c r="A372" s="9">
        <v>2021</v>
      </c>
      <c r="B372" s="9" t="s">
        <v>1134</v>
      </c>
      <c r="C372" s="9" t="s">
        <v>61</v>
      </c>
      <c r="D372" s="9" t="s">
        <v>62</v>
      </c>
      <c r="E372" s="6"/>
      <c r="F372" s="6" t="s">
        <v>1135</v>
      </c>
      <c r="G372" s="6" t="s">
        <v>1136</v>
      </c>
      <c r="H372" s="121">
        <v>916956.36</v>
      </c>
      <c r="I372" s="213" t="b">
        <v>0</v>
      </c>
      <c r="J372" s="213"/>
      <c r="K372" s="213"/>
    </row>
    <row r="373" spans="1:11" ht="25.5" hidden="1">
      <c r="A373" s="9">
        <v>2021</v>
      </c>
      <c r="B373" s="9" t="s">
        <v>747</v>
      </c>
      <c r="C373" s="9" t="s">
        <v>61</v>
      </c>
      <c r="D373" s="9" t="s">
        <v>652</v>
      </c>
      <c r="E373" s="148"/>
      <c r="F373" s="6" t="s">
        <v>748</v>
      </c>
      <c r="G373" s="6" t="s">
        <v>2266</v>
      </c>
      <c r="H373" s="64">
        <v>30842</v>
      </c>
      <c r="I373" s="213" t="b">
        <v>0</v>
      </c>
      <c r="J373" s="213" t="b">
        <v>0</v>
      </c>
      <c r="K373" s="213" t="b">
        <v>0</v>
      </c>
    </row>
    <row r="374" spans="1:11" ht="38.25" hidden="1">
      <c r="A374" s="9">
        <v>2021</v>
      </c>
      <c r="B374" s="9" t="s">
        <v>750</v>
      </c>
      <c r="C374" s="9" t="s">
        <v>61</v>
      </c>
      <c r="D374" s="9" t="s">
        <v>652</v>
      </c>
      <c r="E374" s="148"/>
      <c r="F374" s="6" t="s">
        <v>751</v>
      </c>
      <c r="G374" s="6" t="s">
        <v>2269</v>
      </c>
      <c r="H374" s="151">
        <v>378009.46</v>
      </c>
      <c r="I374" s="213" t="b">
        <v>0</v>
      </c>
      <c r="J374" s="213" t="b">
        <v>0</v>
      </c>
      <c r="K374" s="213" t="b">
        <v>0</v>
      </c>
    </row>
    <row r="375" spans="1:11" ht="25.5" hidden="1">
      <c r="A375" s="9">
        <v>2021</v>
      </c>
      <c r="B375" s="9" t="s">
        <v>2274</v>
      </c>
      <c r="C375" s="9" t="s">
        <v>61</v>
      </c>
      <c r="D375" s="9" t="s">
        <v>1838</v>
      </c>
      <c r="E375" s="6"/>
      <c r="F375" s="6" t="s">
        <v>2276</v>
      </c>
      <c r="G375" s="6" t="s">
        <v>2277</v>
      </c>
      <c r="H375" s="121">
        <v>55000</v>
      </c>
      <c r="I375" s="213" t="b">
        <v>0</v>
      </c>
      <c r="J375" s="213" t="b">
        <v>0</v>
      </c>
      <c r="K375" s="213" t="b">
        <v>0</v>
      </c>
    </row>
    <row r="376" spans="1:11" ht="38.25" hidden="1">
      <c r="A376" s="9">
        <v>2021</v>
      </c>
      <c r="B376" s="9" t="s">
        <v>1137</v>
      </c>
      <c r="C376" s="9" t="s">
        <v>61</v>
      </c>
      <c r="D376" s="9" t="s">
        <v>1099</v>
      </c>
      <c r="E376" s="152"/>
      <c r="F376" s="6" t="s">
        <v>1138</v>
      </c>
      <c r="G376" s="6" t="s">
        <v>2279</v>
      </c>
      <c r="H376" s="150">
        <v>246099.46</v>
      </c>
      <c r="I376" s="213" t="b">
        <v>0</v>
      </c>
      <c r="J376" s="213" t="b">
        <v>0</v>
      </c>
      <c r="K376" s="213" t="b">
        <v>0</v>
      </c>
    </row>
    <row r="377" spans="1:11" ht="127.5" hidden="1">
      <c r="A377" s="9">
        <v>2021</v>
      </c>
      <c r="B377" s="9" t="s">
        <v>753</v>
      </c>
      <c r="C377" s="9" t="s">
        <v>61</v>
      </c>
      <c r="D377" s="9" t="s">
        <v>652</v>
      </c>
      <c r="E377" s="6"/>
      <c r="F377" s="6" t="s">
        <v>754</v>
      </c>
      <c r="G377" s="6" t="s">
        <v>755</v>
      </c>
      <c r="H377" s="151">
        <v>29572.21</v>
      </c>
      <c r="I377" s="213" t="b">
        <v>0</v>
      </c>
      <c r="J377" s="213" t="b">
        <v>0</v>
      </c>
      <c r="K377" s="213" t="b">
        <v>0</v>
      </c>
    </row>
    <row r="378" spans="1:11" ht="38.25" hidden="1">
      <c r="A378" s="9">
        <v>2021</v>
      </c>
      <c r="B378" s="9" t="s">
        <v>1548</v>
      </c>
      <c r="C378" s="9" t="s">
        <v>61</v>
      </c>
      <c r="D378" s="9" t="s">
        <v>1549</v>
      </c>
      <c r="E378" s="6"/>
      <c r="F378" s="6" t="s">
        <v>1550</v>
      </c>
      <c r="G378" s="6" t="s">
        <v>808</v>
      </c>
      <c r="H378" s="121">
        <v>803882</v>
      </c>
      <c r="I378" s="213" t="b">
        <v>0</v>
      </c>
      <c r="J378" s="213" t="b">
        <v>0</v>
      </c>
      <c r="K378" s="213" t="b">
        <v>0</v>
      </c>
    </row>
    <row r="379" spans="1:11" ht="25.5" hidden="1">
      <c r="A379" s="9">
        <v>2021</v>
      </c>
      <c r="B379" s="9" t="s">
        <v>1551</v>
      </c>
      <c r="C379" s="9" t="s">
        <v>61</v>
      </c>
      <c r="D379" s="9" t="s">
        <v>1549</v>
      </c>
      <c r="E379" s="6"/>
      <c r="F379" s="6" t="s">
        <v>1552</v>
      </c>
      <c r="G379" s="6" t="s">
        <v>1511</v>
      </c>
      <c r="H379" s="121">
        <v>2789448.89</v>
      </c>
      <c r="I379" s="213" t="b">
        <v>0</v>
      </c>
      <c r="J379" s="213" t="b">
        <v>0</v>
      </c>
      <c r="K379" s="213" t="b">
        <v>0</v>
      </c>
    </row>
    <row r="380" spans="1:11" ht="38.25" hidden="1">
      <c r="A380" s="9">
        <v>2021</v>
      </c>
      <c r="B380" s="9" t="s">
        <v>756</v>
      </c>
      <c r="C380" s="9" t="s">
        <v>61</v>
      </c>
      <c r="D380" s="6" t="s">
        <v>586</v>
      </c>
      <c r="E380" s="148"/>
      <c r="F380" s="6" t="s">
        <v>757</v>
      </c>
      <c r="G380" s="6" t="s">
        <v>2227</v>
      </c>
      <c r="H380" s="121">
        <v>20000</v>
      </c>
      <c r="I380" s="213" t="b">
        <v>0</v>
      </c>
      <c r="J380" s="213" t="b">
        <v>0</v>
      </c>
      <c r="K380" s="213" t="b">
        <v>0</v>
      </c>
    </row>
    <row r="381" spans="1:11" ht="25.5" hidden="1">
      <c r="A381" s="9">
        <v>2021</v>
      </c>
      <c r="B381" s="9" t="s">
        <v>758</v>
      </c>
      <c r="C381" s="9" t="s">
        <v>61</v>
      </c>
      <c r="D381" s="17" t="s">
        <v>1877</v>
      </c>
      <c r="E381" s="148"/>
      <c r="F381" s="6" t="s">
        <v>759</v>
      </c>
      <c r="G381" s="6" t="s">
        <v>2287</v>
      </c>
      <c r="H381" s="121">
        <v>46650</v>
      </c>
      <c r="I381" s="213" t="b">
        <v>0</v>
      </c>
      <c r="J381" s="213" t="b">
        <v>0</v>
      </c>
      <c r="K381" s="213" t="b">
        <v>0</v>
      </c>
    </row>
    <row r="382" spans="1:11" ht="25.5" hidden="1">
      <c r="A382" s="9">
        <v>2021</v>
      </c>
      <c r="B382" s="9" t="s">
        <v>2290</v>
      </c>
      <c r="C382" s="9" t="s">
        <v>1867</v>
      </c>
      <c r="D382" s="9"/>
      <c r="E382" s="148"/>
      <c r="F382" s="6" t="s">
        <v>2291</v>
      </c>
      <c r="G382" s="6" t="s">
        <v>2292</v>
      </c>
      <c r="H382" s="121"/>
      <c r="I382" s="213" t="b">
        <v>0</v>
      </c>
      <c r="J382" s="213" t="b">
        <v>0</v>
      </c>
      <c r="K382" s="213" t="b">
        <v>0</v>
      </c>
    </row>
    <row r="383" spans="1:11" ht="38.25" hidden="1">
      <c r="A383" s="9">
        <v>2021</v>
      </c>
      <c r="B383" s="9" t="s">
        <v>2294</v>
      </c>
      <c r="C383" s="9" t="s">
        <v>1867</v>
      </c>
      <c r="D383" s="9"/>
      <c r="E383" s="6"/>
      <c r="F383" s="6" t="s">
        <v>2295</v>
      </c>
      <c r="G383" s="6" t="s">
        <v>2296</v>
      </c>
      <c r="H383" s="121"/>
      <c r="I383" s="213" t="b">
        <v>0</v>
      </c>
      <c r="J383" s="213" t="b">
        <v>0</v>
      </c>
      <c r="K383" s="213" t="b">
        <v>0</v>
      </c>
    </row>
    <row r="384" spans="1:11" ht="12.75" hidden="1">
      <c r="A384" s="9">
        <v>2021</v>
      </c>
      <c r="B384" s="9" t="s">
        <v>1553</v>
      </c>
      <c r="C384" s="9" t="s">
        <v>61</v>
      </c>
      <c r="D384" s="9" t="s">
        <v>1549</v>
      </c>
      <c r="E384" s="6"/>
      <c r="F384" s="6" t="s">
        <v>1554</v>
      </c>
      <c r="G384" s="6" t="s">
        <v>575</v>
      </c>
      <c r="H384" s="110"/>
      <c r="I384" s="213" t="b">
        <v>0</v>
      </c>
      <c r="J384" s="213" t="b">
        <v>0</v>
      </c>
      <c r="K384" s="213" t="b">
        <v>0</v>
      </c>
    </row>
    <row r="385" spans="1:11" ht="25.5" hidden="1">
      <c r="A385" s="9">
        <v>2021</v>
      </c>
      <c r="B385" s="9" t="s">
        <v>761</v>
      </c>
      <c r="C385" s="9" t="s">
        <v>61</v>
      </c>
      <c r="D385" s="112" t="s">
        <v>68</v>
      </c>
      <c r="E385" s="6"/>
      <c r="F385" s="6" t="s">
        <v>762</v>
      </c>
      <c r="G385" s="6" t="s">
        <v>763</v>
      </c>
      <c r="H385" s="110">
        <v>350000</v>
      </c>
      <c r="I385" s="213" t="b">
        <v>0</v>
      </c>
      <c r="J385" s="213" t="b">
        <v>0</v>
      </c>
      <c r="K385" s="213" t="b">
        <v>0</v>
      </c>
    </row>
    <row r="386" spans="1:11" ht="63.75" hidden="1">
      <c r="A386" s="9">
        <v>2021</v>
      </c>
      <c r="B386" s="9" t="s">
        <v>1140</v>
      </c>
      <c r="C386" s="9" t="s">
        <v>61</v>
      </c>
      <c r="D386" s="9" t="s">
        <v>1141</v>
      </c>
      <c r="E386" s="6"/>
      <c r="F386" s="6" t="s">
        <v>1142</v>
      </c>
      <c r="G386" s="6" t="s">
        <v>1143</v>
      </c>
      <c r="H386" s="110">
        <v>114237.84</v>
      </c>
      <c r="I386" s="213" t="b">
        <v>0</v>
      </c>
      <c r="J386" s="213" t="b">
        <v>0</v>
      </c>
      <c r="K386" s="213" t="b">
        <v>0</v>
      </c>
    </row>
    <row r="387" spans="1:11" ht="38.25" hidden="1">
      <c r="A387" s="9">
        <v>2021</v>
      </c>
      <c r="B387" s="9" t="s">
        <v>1144</v>
      </c>
      <c r="C387" s="9" t="s">
        <v>61</v>
      </c>
      <c r="D387" s="9" t="s">
        <v>1141</v>
      </c>
      <c r="E387" s="6"/>
      <c r="F387" s="6" t="s">
        <v>1145</v>
      </c>
      <c r="G387" s="6" t="s">
        <v>2313</v>
      </c>
      <c r="H387" s="110">
        <v>246150</v>
      </c>
      <c r="I387" s="213" t="b">
        <v>0</v>
      </c>
      <c r="J387" s="213" t="b">
        <v>0</v>
      </c>
      <c r="K387" s="213" t="b">
        <v>0</v>
      </c>
    </row>
    <row r="388" spans="1:11" ht="51" hidden="1">
      <c r="A388" s="9">
        <v>2021</v>
      </c>
      <c r="B388" s="9" t="s">
        <v>764</v>
      </c>
      <c r="C388" s="9" t="s">
        <v>61</v>
      </c>
      <c r="D388" s="9" t="s">
        <v>652</v>
      </c>
      <c r="E388" s="6"/>
      <c r="F388" s="6" t="s">
        <v>765</v>
      </c>
      <c r="G388" s="6" t="s">
        <v>766</v>
      </c>
      <c r="H388" s="154">
        <v>201000</v>
      </c>
      <c r="I388" s="213" t="b">
        <v>0</v>
      </c>
      <c r="J388" s="213" t="b">
        <v>0</v>
      </c>
      <c r="K388" s="213" t="b">
        <v>0</v>
      </c>
    </row>
    <row r="389" spans="1:11" ht="38.25" hidden="1">
      <c r="A389" s="9">
        <v>2021</v>
      </c>
      <c r="B389" s="9" t="s">
        <v>2169</v>
      </c>
      <c r="C389" s="9" t="s">
        <v>61</v>
      </c>
      <c r="D389" s="115" t="s">
        <v>1383</v>
      </c>
      <c r="E389" s="6"/>
      <c r="F389" s="6" t="s">
        <v>2170</v>
      </c>
      <c r="G389" s="6" t="s">
        <v>2171</v>
      </c>
      <c r="H389" s="121">
        <v>200000</v>
      </c>
      <c r="I389" s="213" t="b">
        <v>0</v>
      </c>
      <c r="J389" s="213" t="b">
        <v>0</v>
      </c>
      <c r="K389" s="213" t="b">
        <v>0</v>
      </c>
    </row>
    <row r="390" spans="1:11" ht="38.25" hidden="1">
      <c r="A390" s="9">
        <v>2021</v>
      </c>
      <c r="B390" s="9" t="s">
        <v>2178</v>
      </c>
      <c r="C390" s="9" t="s">
        <v>61</v>
      </c>
      <c r="D390" s="115" t="s">
        <v>1383</v>
      </c>
      <c r="E390" s="6"/>
      <c r="F390" s="6" t="s">
        <v>2180</v>
      </c>
      <c r="G390" s="6" t="s">
        <v>575</v>
      </c>
      <c r="H390" s="121" t="s">
        <v>2179</v>
      </c>
      <c r="I390" s="213" t="b">
        <v>0</v>
      </c>
      <c r="J390" s="213" t="b">
        <v>0</v>
      </c>
      <c r="K390" s="213" t="b">
        <v>0</v>
      </c>
    </row>
    <row r="391" spans="1:11" ht="63.75" hidden="1">
      <c r="A391" s="9">
        <v>2021</v>
      </c>
      <c r="B391" s="9" t="s">
        <v>1499</v>
      </c>
      <c r="C391" s="9" t="s">
        <v>61</v>
      </c>
      <c r="D391" s="115" t="s">
        <v>1383</v>
      </c>
      <c r="E391" s="6"/>
      <c r="F391" s="6" t="s">
        <v>1501</v>
      </c>
      <c r="G391" s="6" t="s">
        <v>1502</v>
      </c>
      <c r="H391" s="121">
        <v>200000</v>
      </c>
      <c r="I391" s="213" t="b">
        <v>0</v>
      </c>
      <c r="J391" s="213" t="b">
        <v>0</v>
      </c>
      <c r="K391" s="213" t="b">
        <v>0</v>
      </c>
    </row>
    <row r="392" spans="1:11" ht="25.5" hidden="1">
      <c r="A392" s="9">
        <v>2021</v>
      </c>
      <c r="B392" s="9" t="s">
        <v>1503</v>
      </c>
      <c r="C392" s="9" t="s">
        <v>61</v>
      </c>
      <c r="D392" s="115" t="s">
        <v>1383</v>
      </c>
      <c r="E392" s="6"/>
      <c r="F392" s="6" t="s">
        <v>1504</v>
      </c>
      <c r="G392" s="6" t="s">
        <v>1505</v>
      </c>
      <c r="H392" s="121">
        <v>394700</v>
      </c>
      <c r="I392" s="213" t="b">
        <v>0</v>
      </c>
      <c r="J392" s="213" t="b">
        <v>0</v>
      </c>
      <c r="K392" s="213" t="b">
        <v>0</v>
      </c>
    </row>
    <row r="393" spans="1:11" ht="25.5" hidden="1">
      <c r="A393" s="9">
        <v>2021</v>
      </c>
      <c r="B393" s="9" t="s">
        <v>2192</v>
      </c>
      <c r="C393" s="9" t="s">
        <v>61</v>
      </c>
      <c r="D393" s="115" t="s">
        <v>1383</v>
      </c>
      <c r="E393" s="6"/>
      <c r="F393" s="6" t="s">
        <v>2193</v>
      </c>
      <c r="G393" s="6" t="s">
        <v>575</v>
      </c>
      <c r="H393" s="121">
        <v>76800</v>
      </c>
      <c r="I393" s="213" t="b">
        <v>0</v>
      </c>
      <c r="J393" s="213" t="b">
        <v>0</v>
      </c>
      <c r="K393" s="213" t="b">
        <v>0</v>
      </c>
    </row>
    <row r="394" spans="1:11" ht="25.5" hidden="1">
      <c r="A394" s="9">
        <v>2021</v>
      </c>
      <c r="B394" s="9" t="s">
        <v>1506</v>
      </c>
      <c r="C394" s="9" t="s">
        <v>61</v>
      </c>
      <c r="D394" s="115" t="s">
        <v>1383</v>
      </c>
      <c r="E394" s="6"/>
      <c r="F394" s="6" t="s">
        <v>2195</v>
      </c>
      <c r="G394" s="6" t="s">
        <v>1508</v>
      </c>
      <c r="H394" s="121">
        <v>200000</v>
      </c>
      <c r="I394" s="213" t="b">
        <v>0</v>
      </c>
      <c r="J394" s="213" t="b">
        <v>0</v>
      </c>
      <c r="K394" s="213" t="b">
        <v>0</v>
      </c>
    </row>
    <row r="395" spans="1:11" ht="38.25" hidden="1">
      <c r="A395" s="9">
        <v>2021</v>
      </c>
      <c r="B395" s="9" t="s">
        <v>1514</v>
      </c>
      <c r="C395" s="9" t="s">
        <v>61</v>
      </c>
      <c r="D395" s="115" t="s">
        <v>1383</v>
      </c>
      <c r="E395" s="6"/>
      <c r="F395" s="6" t="s">
        <v>1515</v>
      </c>
      <c r="G395" s="6" t="s">
        <v>707</v>
      </c>
      <c r="H395" s="121">
        <v>200000</v>
      </c>
      <c r="I395" s="213" t="b">
        <v>0</v>
      </c>
      <c r="J395" s="213" t="b">
        <v>0</v>
      </c>
      <c r="K395" s="213" t="b">
        <v>0</v>
      </c>
    </row>
    <row r="396" spans="1:11" ht="25.5" hidden="1">
      <c r="A396" s="9">
        <v>2021</v>
      </c>
      <c r="B396" s="9" t="s">
        <v>2212</v>
      </c>
      <c r="C396" s="9" t="s">
        <v>61</v>
      </c>
      <c r="D396" s="115" t="s">
        <v>1383</v>
      </c>
      <c r="E396" s="6"/>
      <c r="F396" s="6" t="s">
        <v>2213</v>
      </c>
      <c r="G396" s="6" t="s">
        <v>2214</v>
      </c>
      <c r="H396" s="121">
        <v>200000</v>
      </c>
      <c r="I396" s="213" t="b">
        <v>0</v>
      </c>
      <c r="J396" s="213" t="b">
        <v>0</v>
      </c>
      <c r="K396" s="213" t="b">
        <v>0</v>
      </c>
    </row>
    <row r="397" spans="1:11" ht="38.25" hidden="1">
      <c r="A397" s="9">
        <v>2021</v>
      </c>
      <c r="B397" s="9" t="s">
        <v>1516</v>
      </c>
      <c r="C397" s="9" t="s">
        <v>61</v>
      </c>
      <c r="D397" s="115" t="s">
        <v>1383</v>
      </c>
      <c r="E397" s="6"/>
      <c r="F397" s="6" t="s">
        <v>1517</v>
      </c>
      <c r="G397" s="6" t="s">
        <v>2216</v>
      </c>
      <c r="H397" s="121">
        <v>2325008</v>
      </c>
      <c r="I397" s="213" t="b">
        <v>0</v>
      </c>
      <c r="J397" s="213" t="b">
        <v>0</v>
      </c>
      <c r="K397" s="213" t="b">
        <v>0</v>
      </c>
    </row>
    <row r="398" spans="1:11" ht="38.25" hidden="1">
      <c r="A398" s="9">
        <v>2021</v>
      </c>
      <c r="B398" s="9" t="s">
        <v>1519</v>
      </c>
      <c r="C398" s="9" t="s">
        <v>61</v>
      </c>
      <c r="D398" s="115" t="s">
        <v>1383</v>
      </c>
      <c r="E398" s="6"/>
      <c r="F398" s="6" t="s">
        <v>2218</v>
      </c>
      <c r="G398" s="6" t="s">
        <v>1389</v>
      </c>
      <c r="H398" s="121">
        <v>200000</v>
      </c>
      <c r="I398" s="213" t="b">
        <v>0</v>
      </c>
      <c r="J398" s="213" t="b">
        <v>0</v>
      </c>
      <c r="K398" s="213" t="b">
        <v>0</v>
      </c>
    </row>
    <row r="399" spans="1:11" ht="25.5" hidden="1">
      <c r="A399" s="9">
        <v>2021</v>
      </c>
      <c r="B399" s="9" t="s">
        <v>1522</v>
      </c>
      <c r="C399" s="9" t="s">
        <v>61</v>
      </c>
      <c r="D399" s="115" t="s">
        <v>1383</v>
      </c>
      <c r="E399" s="6"/>
      <c r="F399" s="6" t="s">
        <v>1523</v>
      </c>
      <c r="G399" s="6" t="s">
        <v>1491</v>
      </c>
      <c r="H399" s="121">
        <v>170750</v>
      </c>
      <c r="I399" s="213" t="b">
        <v>0</v>
      </c>
      <c r="J399" s="213" t="b">
        <v>0</v>
      </c>
      <c r="K399" s="213" t="b">
        <v>0</v>
      </c>
    </row>
    <row r="400" spans="1:11" ht="25.5" hidden="1">
      <c r="A400" s="9">
        <v>2021</v>
      </c>
      <c r="B400" s="9" t="s">
        <v>1524</v>
      </c>
      <c r="C400" s="9" t="s">
        <v>61</v>
      </c>
      <c r="D400" s="115" t="s">
        <v>1383</v>
      </c>
      <c r="E400" s="6"/>
      <c r="F400" s="6" t="s">
        <v>1525</v>
      </c>
      <c r="G400" s="6" t="s">
        <v>575</v>
      </c>
      <c r="H400" s="121">
        <v>38350</v>
      </c>
      <c r="I400" s="213" t="b">
        <v>0</v>
      </c>
      <c r="J400" s="213" t="b">
        <v>0</v>
      </c>
      <c r="K400" s="213" t="b">
        <v>0</v>
      </c>
    </row>
    <row r="401" spans="1:11" ht="25.5" hidden="1">
      <c r="A401" s="9">
        <v>2021</v>
      </c>
      <c r="B401" s="9" t="s">
        <v>1526</v>
      </c>
      <c r="C401" s="9" t="s">
        <v>61</v>
      </c>
      <c r="D401" s="115" t="s">
        <v>1383</v>
      </c>
      <c r="E401" s="6"/>
      <c r="F401" s="6" t="s">
        <v>1527</v>
      </c>
      <c r="G401" s="6" t="s">
        <v>1528</v>
      </c>
      <c r="H401" s="121">
        <v>32350</v>
      </c>
      <c r="I401" s="213" t="b">
        <v>0</v>
      </c>
      <c r="J401" s="213" t="b">
        <v>0</v>
      </c>
      <c r="K401" s="213" t="b">
        <v>0</v>
      </c>
    </row>
    <row r="402" spans="1:11" ht="25.5" hidden="1">
      <c r="A402" s="9">
        <v>2021</v>
      </c>
      <c r="B402" s="9" t="s">
        <v>1529</v>
      </c>
      <c r="C402" s="9" t="s">
        <v>61</v>
      </c>
      <c r="D402" s="115" t="s">
        <v>1383</v>
      </c>
      <c r="E402" s="6"/>
      <c r="F402" s="6" t="s">
        <v>1530</v>
      </c>
      <c r="G402" s="6" t="s">
        <v>1531</v>
      </c>
      <c r="H402" s="121">
        <v>90500</v>
      </c>
      <c r="I402" s="213" t="b">
        <v>0</v>
      </c>
      <c r="J402" s="213" t="b">
        <v>0</v>
      </c>
      <c r="K402" s="213" t="b">
        <v>0</v>
      </c>
    </row>
    <row r="403" spans="1:11" ht="51" hidden="1">
      <c r="A403" s="9">
        <v>2021</v>
      </c>
      <c r="B403" s="9" t="s">
        <v>1532</v>
      </c>
      <c r="C403" s="9" t="s">
        <v>61</v>
      </c>
      <c r="D403" s="115" t="s">
        <v>1383</v>
      </c>
      <c r="E403" s="6"/>
      <c r="F403" s="6" t="s">
        <v>1533</v>
      </c>
      <c r="G403" s="6" t="s">
        <v>1410</v>
      </c>
      <c r="H403" s="121">
        <v>200000</v>
      </c>
      <c r="I403" s="213" t="b">
        <v>0</v>
      </c>
      <c r="J403" s="213" t="b">
        <v>0</v>
      </c>
      <c r="K403" s="213" t="b">
        <v>0</v>
      </c>
    </row>
    <row r="404" spans="1:11" ht="25.5" hidden="1">
      <c r="A404" s="9">
        <v>2021</v>
      </c>
      <c r="B404" s="9" t="s">
        <v>1534</v>
      </c>
      <c r="C404" s="9" t="s">
        <v>61</v>
      </c>
      <c r="D404" s="115" t="s">
        <v>1383</v>
      </c>
      <c r="E404" s="6"/>
      <c r="F404" s="6" t="s">
        <v>1535</v>
      </c>
      <c r="G404" s="6" t="s">
        <v>704</v>
      </c>
      <c r="H404" s="121">
        <v>155400</v>
      </c>
      <c r="I404" s="213" t="b">
        <v>0</v>
      </c>
      <c r="J404" s="213" t="b">
        <v>0</v>
      </c>
      <c r="K404" s="213" t="b">
        <v>0</v>
      </c>
    </row>
    <row r="405" spans="1:11" ht="38.25" hidden="1">
      <c r="A405" s="9">
        <v>2021</v>
      </c>
      <c r="B405" s="9" t="s">
        <v>1536</v>
      </c>
      <c r="C405" s="9" t="s">
        <v>61</v>
      </c>
      <c r="D405" s="115" t="s">
        <v>1383</v>
      </c>
      <c r="E405" s="6"/>
      <c r="F405" s="6" t="s">
        <v>1537</v>
      </c>
      <c r="G405" s="6" t="s">
        <v>575</v>
      </c>
      <c r="H405" s="150">
        <v>196050</v>
      </c>
      <c r="I405" s="213" t="b">
        <v>0</v>
      </c>
      <c r="J405" s="213" t="b">
        <v>0</v>
      </c>
      <c r="K405" s="213" t="b">
        <v>0</v>
      </c>
    </row>
    <row r="406" spans="1:11" ht="25.5" hidden="1">
      <c r="A406" s="9">
        <v>2021</v>
      </c>
      <c r="B406" s="9" t="s">
        <v>1538</v>
      </c>
      <c r="C406" s="9" t="s">
        <v>61</v>
      </c>
      <c r="D406" s="115" t="s">
        <v>1383</v>
      </c>
      <c r="E406" s="148"/>
      <c r="F406" s="6" t="s">
        <v>1539</v>
      </c>
      <c r="G406" s="6" t="s">
        <v>2249</v>
      </c>
      <c r="H406" s="121">
        <v>105600</v>
      </c>
      <c r="I406" s="213" t="b">
        <v>0</v>
      </c>
      <c r="J406" s="213" t="b">
        <v>0</v>
      </c>
      <c r="K406" s="213" t="b">
        <v>0</v>
      </c>
    </row>
    <row r="407" spans="1:11" ht="12.75" hidden="1">
      <c r="A407" s="9">
        <v>2021</v>
      </c>
      <c r="B407" s="9" t="s">
        <v>2272</v>
      </c>
      <c r="C407" s="9" t="s">
        <v>61</v>
      </c>
      <c r="D407" s="115" t="s">
        <v>1383</v>
      </c>
      <c r="E407" s="6"/>
      <c r="F407" s="6" t="s">
        <v>2273</v>
      </c>
      <c r="G407" s="6" t="s">
        <v>1547</v>
      </c>
      <c r="H407" s="121">
        <v>169850</v>
      </c>
      <c r="I407" s="213" t="b">
        <v>0</v>
      </c>
      <c r="J407" s="213" t="b">
        <v>0</v>
      </c>
      <c r="K407" s="213" t="b">
        <v>0</v>
      </c>
    </row>
    <row r="408" spans="1:11" ht="38.25" hidden="1">
      <c r="A408" s="9">
        <v>2021</v>
      </c>
      <c r="B408" s="9" t="s">
        <v>1541</v>
      </c>
      <c r="C408" s="9" t="s">
        <v>61</v>
      </c>
      <c r="D408" s="115" t="s">
        <v>1383</v>
      </c>
      <c r="E408" s="6"/>
      <c r="F408" s="6" t="s">
        <v>1542</v>
      </c>
      <c r="G408" s="6" t="s">
        <v>1543</v>
      </c>
      <c r="H408" s="121">
        <v>46400</v>
      </c>
      <c r="I408" s="213" t="b">
        <v>0</v>
      </c>
      <c r="J408" s="213" t="b">
        <v>0</v>
      </c>
      <c r="K408" s="213" t="b">
        <v>0</v>
      </c>
    </row>
    <row r="409" spans="1:11" ht="51" hidden="1">
      <c r="A409" s="9">
        <v>2021</v>
      </c>
      <c r="B409" s="9" t="s">
        <v>1544</v>
      </c>
      <c r="C409" s="9" t="s">
        <v>61</v>
      </c>
      <c r="D409" s="115" t="s">
        <v>1383</v>
      </c>
      <c r="E409" s="6"/>
      <c r="F409" s="6" t="s">
        <v>1546</v>
      </c>
      <c r="G409" s="6" t="s">
        <v>2282</v>
      </c>
      <c r="H409" s="121">
        <v>110000</v>
      </c>
      <c r="I409" s="213" t="b">
        <v>0</v>
      </c>
      <c r="J409" s="213" t="b">
        <v>0</v>
      </c>
      <c r="K409" s="213" t="b">
        <v>0</v>
      </c>
    </row>
    <row r="410" spans="1:11" ht="38.25" hidden="1">
      <c r="A410" s="9">
        <v>2021</v>
      </c>
      <c r="B410" s="9" t="s">
        <v>2302</v>
      </c>
      <c r="C410" s="9" t="s">
        <v>61</v>
      </c>
      <c r="D410" s="115" t="s">
        <v>1383</v>
      </c>
      <c r="E410" s="153"/>
      <c r="F410" s="6" t="s">
        <v>2303</v>
      </c>
      <c r="G410" s="6" t="s">
        <v>2304</v>
      </c>
      <c r="H410" s="110">
        <v>200000</v>
      </c>
      <c r="I410" s="213" t="b">
        <v>0</v>
      </c>
      <c r="J410" s="213" t="b">
        <v>0</v>
      </c>
      <c r="K410" s="213" t="b">
        <v>0</v>
      </c>
    </row>
    <row r="411" spans="1:11" ht="38.25" hidden="1">
      <c r="A411" s="9">
        <v>2021</v>
      </c>
      <c r="B411" s="9" t="s">
        <v>2307</v>
      </c>
      <c r="C411" s="9" t="s">
        <v>61</v>
      </c>
      <c r="D411" s="115" t="s">
        <v>1383</v>
      </c>
      <c r="E411" s="6"/>
      <c r="F411" s="6" t="s">
        <v>2308</v>
      </c>
      <c r="G411" s="6" t="s">
        <v>2309</v>
      </c>
      <c r="H411" s="110">
        <v>190000</v>
      </c>
      <c r="I411" s="213" t="b">
        <v>0</v>
      </c>
      <c r="J411" s="213" t="b">
        <v>0</v>
      </c>
      <c r="K411" s="213" t="b">
        <v>0</v>
      </c>
    </row>
    <row r="412" spans="1:11" ht="51">
      <c r="A412" s="9">
        <v>2020</v>
      </c>
      <c r="B412" s="61">
        <v>43862</v>
      </c>
      <c r="C412" s="6" t="s">
        <v>61</v>
      </c>
      <c r="D412" s="9" t="s">
        <v>62</v>
      </c>
      <c r="E412" s="132"/>
      <c r="F412" s="6" t="s">
        <v>1148</v>
      </c>
      <c r="G412" s="6" t="s">
        <v>2322</v>
      </c>
      <c r="H412" s="121">
        <v>2957181.66</v>
      </c>
      <c r="I412" s="213" t="b">
        <v>0</v>
      </c>
      <c r="J412" s="213"/>
      <c r="K412" s="213"/>
    </row>
    <row r="413" spans="1:11" ht="38.25" hidden="1">
      <c r="A413" s="9">
        <v>2020</v>
      </c>
      <c r="B413" s="61">
        <v>43922</v>
      </c>
      <c r="C413" s="6"/>
      <c r="D413" s="251" t="s">
        <v>697</v>
      </c>
      <c r="E413" s="132"/>
      <c r="F413" s="6" t="s">
        <v>2325</v>
      </c>
      <c r="G413" s="6" t="s">
        <v>699</v>
      </c>
      <c r="H413" s="162">
        <v>546900</v>
      </c>
      <c r="I413" s="213" t="b">
        <v>0</v>
      </c>
      <c r="J413" s="213" t="b">
        <v>0</v>
      </c>
      <c r="K413" s="213" t="b">
        <v>0</v>
      </c>
    </row>
    <row r="414" spans="1:11" ht="25.5" hidden="1">
      <c r="A414" s="9">
        <v>2020</v>
      </c>
      <c r="B414" s="61">
        <v>43952</v>
      </c>
      <c r="C414" s="6" t="s">
        <v>2328</v>
      </c>
      <c r="D414" s="6"/>
      <c r="E414" s="6"/>
      <c r="F414" s="6" t="s">
        <v>2329</v>
      </c>
      <c r="G414" s="6" t="s">
        <v>2330</v>
      </c>
      <c r="H414" s="121"/>
      <c r="I414" s="213" t="b">
        <v>0</v>
      </c>
      <c r="J414" s="213" t="b">
        <v>0</v>
      </c>
      <c r="K414" s="213" t="b">
        <v>0</v>
      </c>
    </row>
    <row r="415" spans="1:11" ht="38.25">
      <c r="A415" s="9">
        <v>2020</v>
      </c>
      <c r="B415" s="62">
        <v>44075</v>
      </c>
      <c r="C415" s="6" t="s">
        <v>61</v>
      </c>
      <c r="D415" s="9" t="s">
        <v>62</v>
      </c>
      <c r="E415" s="132"/>
      <c r="F415" s="6" t="s">
        <v>1152</v>
      </c>
      <c r="G415" s="6" t="s">
        <v>2334</v>
      </c>
      <c r="H415" s="121">
        <v>1000000</v>
      </c>
      <c r="I415" s="213" t="b">
        <v>0</v>
      </c>
      <c r="J415" s="213"/>
      <c r="K415" s="213"/>
    </row>
    <row r="416" spans="1:11" ht="38.25">
      <c r="A416" s="9">
        <v>2020</v>
      </c>
      <c r="B416" s="61">
        <v>44136</v>
      </c>
      <c r="C416" s="6" t="s">
        <v>61</v>
      </c>
      <c r="D416" s="9" t="s">
        <v>62</v>
      </c>
      <c r="E416" s="132"/>
      <c r="F416" s="132" t="s">
        <v>1154</v>
      </c>
      <c r="G416" s="132" t="s">
        <v>2336</v>
      </c>
      <c r="H416" s="146">
        <v>1000000</v>
      </c>
      <c r="I416" s="213" t="b">
        <v>0</v>
      </c>
      <c r="J416" s="213"/>
      <c r="K416" s="213"/>
    </row>
    <row r="417" spans="1:11" ht="38.25">
      <c r="A417" s="9">
        <v>2020</v>
      </c>
      <c r="B417" s="6" t="s">
        <v>1156</v>
      </c>
      <c r="C417" s="6" t="s">
        <v>61</v>
      </c>
      <c r="D417" s="9" t="s">
        <v>62</v>
      </c>
      <c r="E417" s="132"/>
      <c r="F417" s="6" t="s">
        <v>1157</v>
      </c>
      <c r="G417" s="6" t="s">
        <v>2339</v>
      </c>
      <c r="H417" s="121">
        <v>1000000</v>
      </c>
      <c r="I417" s="213" t="b">
        <v>0</v>
      </c>
      <c r="J417" s="213"/>
      <c r="K417" s="213"/>
    </row>
    <row r="418" spans="1:11" ht="38.25">
      <c r="A418" s="9">
        <v>2020</v>
      </c>
      <c r="B418" s="6" t="s">
        <v>1159</v>
      </c>
      <c r="C418" s="6" t="s">
        <v>61</v>
      </c>
      <c r="D418" s="9" t="s">
        <v>62</v>
      </c>
      <c r="E418" s="132"/>
      <c r="F418" s="6" t="s">
        <v>1160</v>
      </c>
      <c r="G418" s="6" t="s">
        <v>2342</v>
      </c>
      <c r="H418" s="121">
        <v>2284150</v>
      </c>
      <c r="I418" s="213" t="b">
        <v>0</v>
      </c>
      <c r="J418" s="213"/>
      <c r="K418" s="213"/>
    </row>
    <row r="419" spans="1:11" ht="38.25">
      <c r="A419" s="9">
        <v>2020</v>
      </c>
      <c r="B419" s="6" t="s">
        <v>1162</v>
      </c>
      <c r="C419" s="6" t="s">
        <v>61</v>
      </c>
      <c r="D419" s="9" t="s">
        <v>62</v>
      </c>
      <c r="E419" s="132"/>
      <c r="F419" s="6" t="s">
        <v>1163</v>
      </c>
      <c r="G419" s="6" t="s">
        <v>5585</v>
      </c>
      <c r="H419" s="121">
        <v>1621819.5</v>
      </c>
      <c r="I419" s="213" t="b">
        <v>0</v>
      </c>
      <c r="J419" s="213"/>
      <c r="K419" s="213"/>
    </row>
    <row r="420" spans="1:11" ht="51">
      <c r="A420" s="9">
        <v>2020</v>
      </c>
      <c r="B420" s="6" t="s">
        <v>1165</v>
      </c>
      <c r="C420" s="6" t="s">
        <v>61</v>
      </c>
      <c r="D420" s="9" t="s">
        <v>62</v>
      </c>
      <c r="E420" s="132"/>
      <c r="F420" s="6" t="s">
        <v>1166</v>
      </c>
      <c r="G420" s="6" t="s">
        <v>2348</v>
      </c>
      <c r="H420" s="121">
        <v>2382264</v>
      </c>
      <c r="I420" s="213" t="b">
        <v>0</v>
      </c>
      <c r="J420" s="213"/>
      <c r="K420" s="213"/>
    </row>
    <row r="421" spans="1:11" ht="51" hidden="1">
      <c r="A421" s="9">
        <v>2020</v>
      </c>
      <c r="B421" s="6" t="s">
        <v>1558</v>
      </c>
      <c r="C421" s="6" t="s">
        <v>61</v>
      </c>
      <c r="D421" s="6" t="s">
        <v>1549</v>
      </c>
      <c r="E421" s="132"/>
      <c r="F421" s="6" t="s">
        <v>1559</v>
      </c>
      <c r="G421" s="132" t="s">
        <v>1560</v>
      </c>
      <c r="H421" s="162">
        <v>1000000</v>
      </c>
      <c r="I421" s="213" t="b">
        <v>0</v>
      </c>
      <c r="J421" s="213" t="b">
        <v>0</v>
      </c>
      <c r="K421" s="213" t="b">
        <v>0</v>
      </c>
    </row>
    <row r="422" spans="1:11" ht="12.75" hidden="1">
      <c r="A422" s="9">
        <v>2020</v>
      </c>
      <c r="B422" s="6" t="s">
        <v>2353</v>
      </c>
      <c r="C422" s="6" t="s">
        <v>2328</v>
      </c>
      <c r="D422" s="6" t="s">
        <v>1141</v>
      </c>
      <c r="E422" s="132"/>
      <c r="F422" s="6" t="s">
        <v>2354</v>
      </c>
      <c r="G422" s="6" t="s">
        <v>2355</v>
      </c>
      <c r="H422" s="121"/>
      <c r="I422" s="213" t="b">
        <v>0</v>
      </c>
      <c r="J422" s="213" t="b">
        <v>0</v>
      </c>
      <c r="K422" s="213" t="b">
        <v>0</v>
      </c>
    </row>
    <row r="423" spans="1:11" ht="25.5" hidden="1">
      <c r="A423" s="9">
        <v>2020</v>
      </c>
      <c r="B423" s="6" t="s">
        <v>767</v>
      </c>
      <c r="C423" s="6" t="s">
        <v>61</v>
      </c>
      <c r="D423" s="112" t="s">
        <v>68</v>
      </c>
      <c r="E423" s="132"/>
      <c r="F423" s="132" t="s">
        <v>768</v>
      </c>
      <c r="G423" s="6" t="s">
        <v>769</v>
      </c>
      <c r="H423" s="121">
        <v>169000</v>
      </c>
      <c r="I423" s="213" t="b">
        <v>0</v>
      </c>
      <c r="J423" s="213" t="b">
        <v>0</v>
      </c>
      <c r="K423" s="213" t="b">
        <v>0</v>
      </c>
    </row>
    <row r="424" spans="1:11" ht="38.25" hidden="1">
      <c r="A424" s="9">
        <v>2020</v>
      </c>
      <c r="B424" s="6" t="s">
        <v>2358</v>
      </c>
      <c r="C424" s="6" t="s">
        <v>61</v>
      </c>
      <c r="D424" s="6" t="s">
        <v>1838</v>
      </c>
      <c r="E424" s="132"/>
      <c r="F424" s="6" t="s">
        <v>2359</v>
      </c>
      <c r="G424" s="6" t="s">
        <v>575</v>
      </c>
      <c r="H424" s="121">
        <v>102405</v>
      </c>
      <c r="I424" s="213" t="b">
        <v>0</v>
      </c>
      <c r="J424" s="213" t="b">
        <v>0</v>
      </c>
      <c r="K424" s="213" t="b">
        <v>0</v>
      </c>
    </row>
    <row r="425" spans="1:11" ht="12.75" hidden="1">
      <c r="A425" s="9">
        <v>2020</v>
      </c>
      <c r="B425" s="6" t="s">
        <v>770</v>
      </c>
      <c r="C425" s="6" t="s">
        <v>61</v>
      </c>
      <c r="D425" s="6" t="s">
        <v>652</v>
      </c>
      <c r="E425" s="132"/>
      <c r="F425" s="6" t="s">
        <v>771</v>
      </c>
      <c r="G425" s="6" t="s">
        <v>772</v>
      </c>
      <c r="H425" s="121">
        <v>29878</v>
      </c>
      <c r="I425" s="213" t="b">
        <v>0</v>
      </c>
      <c r="J425" s="213" t="b">
        <v>0</v>
      </c>
      <c r="K425" s="213" t="b">
        <v>0</v>
      </c>
    </row>
    <row r="426" spans="1:11" ht="25.5" hidden="1">
      <c r="A426" s="9">
        <v>2020</v>
      </c>
      <c r="B426" s="6" t="s">
        <v>773</v>
      </c>
      <c r="C426" s="6" t="s">
        <v>61</v>
      </c>
      <c r="D426" s="6" t="s">
        <v>652</v>
      </c>
      <c r="E426" s="132"/>
      <c r="F426" s="6" t="s">
        <v>774</v>
      </c>
      <c r="G426" s="6" t="s">
        <v>775</v>
      </c>
      <c r="H426" s="121" t="s">
        <v>2362</v>
      </c>
      <c r="I426" s="213" t="b">
        <v>0</v>
      </c>
      <c r="J426" s="213" t="b">
        <v>0</v>
      </c>
      <c r="K426" s="213" t="b">
        <v>0</v>
      </c>
    </row>
    <row r="427" spans="1:11" ht="38.25" hidden="1">
      <c r="A427" s="9">
        <v>2020</v>
      </c>
      <c r="B427" s="6" t="s">
        <v>1561</v>
      </c>
      <c r="C427" s="6" t="s">
        <v>61</v>
      </c>
      <c r="D427" s="6" t="s">
        <v>1462</v>
      </c>
      <c r="E427" s="132"/>
      <c r="F427" s="6" t="s">
        <v>1562</v>
      </c>
      <c r="G427" s="6" t="s">
        <v>2365</v>
      </c>
      <c r="H427" s="162">
        <v>200000</v>
      </c>
      <c r="I427" s="213" t="b">
        <v>0</v>
      </c>
      <c r="J427" s="213" t="b">
        <v>0</v>
      </c>
      <c r="K427" s="213" t="b">
        <v>0</v>
      </c>
    </row>
    <row r="428" spans="1:11" ht="51" hidden="1">
      <c r="A428" s="9">
        <v>2020</v>
      </c>
      <c r="B428" s="6" t="s">
        <v>776</v>
      </c>
      <c r="C428" s="6" t="s">
        <v>61</v>
      </c>
      <c r="D428" s="6" t="s">
        <v>652</v>
      </c>
      <c r="E428" s="132"/>
      <c r="F428" s="6" t="s">
        <v>2367</v>
      </c>
      <c r="G428" s="6" t="s">
        <v>778</v>
      </c>
      <c r="H428" s="121">
        <v>350000</v>
      </c>
      <c r="I428" s="213" t="b">
        <v>0</v>
      </c>
      <c r="J428" s="213" t="b">
        <v>0</v>
      </c>
      <c r="K428" s="213" t="b">
        <v>0</v>
      </c>
    </row>
    <row r="429" spans="1:11" ht="38.25" hidden="1">
      <c r="A429" s="9">
        <v>2020</v>
      </c>
      <c r="B429" s="6" t="s">
        <v>67</v>
      </c>
      <c r="C429" s="6" t="s">
        <v>61</v>
      </c>
      <c r="D429" s="112" t="s">
        <v>68</v>
      </c>
      <c r="E429" s="132"/>
      <c r="F429" s="6" t="s">
        <v>69</v>
      </c>
      <c r="G429" s="6" t="s">
        <v>70</v>
      </c>
      <c r="H429" s="121">
        <v>409314</v>
      </c>
      <c r="I429" s="213" t="b">
        <v>0</v>
      </c>
      <c r="J429" s="213" t="b">
        <v>0</v>
      </c>
      <c r="K429" s="213" t="b">
        <v>0</v>
      </c>
    </row>
    <row r="430" spans="1:11" ht="12.75" hidden="1">
      <c r="A430" s="9">
        <v>2020</v>
      </c>
      <c r="B430" s="6" t="s">
        <v>779</v>
      </c>
      <c r="C430" s="6" t="s">
        <v>61</v>
      </c>
      <c r="D430" s="112" t="s">
        <v>68</v>
      </c>
      <c r="E430" s="132"/>
      <c r="F430" s="6" t="s">
        <v>780</v>
      </c>
      <c r="G430" s="6" t="s">
        <v>781</v>
      </c>
      <c r="H430" s="121">
        <v>156902.65</v>
      </c>
      <c r="I430" s="213" t="b">
        <v>0</v>
      </c>
      <c r="J430" s="213" t="b">
        <v>0</v>
      </c>
      <c r="K430" s="213" t="b">
        <v>0</v>
      </c>
    </row>
    <row r="431" spans="1:11" ht="25.5">
      <c r="A431" s="9">
        <v>2020</v>
      </c>
      <c r="B431" s="6" t="s">
        <v>1168</v>
      </c>
      <c r="C431" s="6" t="s">
        <v>61</v>
      </c>
      <c r="D431" s="9" t="s">
        <v>62</v>
      </c>
      <c r="E431" s="132"/>
      <c r="F431" s="6" t="s">
        <v>2374</v>
      </c>
      <c r="G431" s="6" t="s">
        <v>1170</v>
      </c>
      <c r="H431" s="121">
        <v>140032</v>
      </c>
      <c r="I431" s="213" t="b">
        <v>0</v>
      </c>
      <c r="J431" s="213"/>
      <c r="K431" s="213"/>
    </row>
    <row r="432" spans="1:11" ht="25.5" hidden="1">
      <c r="A432" s="9">
        <v>2020</v>
      </c>
      <c r="B432" s="6" t="s">
        <v>782</v>
      </c>
      <c r="C432" s="6" t="s">
        <v>61</v>
      </c>
      <c r="D432" s="112" t="s">
        <v>68</v>
      </c>
      <c r="E432" s="132"/>
      <c r="F432" s="6" t="s">
        <v>2377</v>
      </c>
      <c r="G432" s="6" t="s">
        <v>784</v>
      </c>
      <c r="H432" s="121">
        <v>308708.2</v>
      </c>
      <c r="I432" s="213" t="b">
        <v>0</v>
      </c>
      <c r="J432" s="213" t="b">
        <v>0</v>
      </c>
      <c r="K432" s="213" t="b">
        <v>0</v>
      </c>
    </row>
    <row r="433" spans="1:11" ht="25.5" hidden="1">
      <c r="A433" s="9">
        <v>2020</v>
      </c>
      <c r="B433" s="6" t="s">
        <v>785</v>
      </c>
      <c r="C433" s="6" t="s">
        <v>3096</v>
      </c>
      <c r="D433" s="6" t="s">
        <v>125</v>
      </c>
      <c r="E433" s="132"/>
      <c r="F433" s="132" t="s">
        <v>786</v>
      </c>
      <c r="G433" s="6" t="s">
        <v>787</v>
      </c>
      <c r="H433" s="121">
        <v>500000</v>
      </c>
      <c r="I433" s="213" t="b">
        <v>0</v>
      </c>
      <c r="J433" s="213" t="b">
        <v>0</v>
      </c>
      <c r="K433" s="213" t="b">
        <v>0</v>
      </c>
    </row>
    <row r="434" spans="1:11" ht="51" hidden="1">
      <c r="A434" s="9">
        <v>2020</v>
      </c>
      <c r="B434" s="6" t="s">
        <v>1171</v>
      </c>
      <c r="C434" s="6" t="s">
        <v>2381</v>
      </c>
      <c r="D434" s="9" t="s">
        <v>62</v>
      </c>
      <c r="E434" s="132"/>
      <c r="F434" s="6" t="s">
        <v>2382</v>
      </c>
      <c r="G434" s="6" t="s">
        <v>1173</v>
      </c>
      <c r="H434" s="121">
        <v>453820</v>
      </c>
      <c r="I434" s="213" t="b">
        <v>0</v>
      </c>
      <c r="J434" s="213" t="b">
        <v>0</v>
      </c>
      <c r="K434" s="213" t="b">
        <v>0</v>
      </c>
    </row>
    <row r="435" spans="1:11" ht="25.5" hidden="1">
      <c r="A435" s="9">
        <v>2020</v>
      </c>
      <c r="B435" s="6" t="s">
        <v>1564</v>
      </c>
      <c r="C435" s="6" t="s">
        <v>61</v>
      </c>
      <c r="D435" s="6" t="s">
        <v>1549</v>
      </c>
      <c r="E435" s="132"/>
      <c r="F435" s="6" t="s">
        <v>1565</v>
      </c>
      <c r="G435" s="6" t="s">
        <v>1566</v>
      </c>
      <c r="H435" s="162">
        <v>1000000</v>
      </c>
      <c r="I435" s="213" t="b">
        <v>0</v>
      </c>
      <c r="J435" s="213" t="b">
        <v>0</v>
      </c>
      <c r="K435" s="213" t="b">
        <v>0</v>
      </c>
    </row>
    <row r="436" spans="1:11" ht="38.25">
      <c r="A436" s="9">
        <v>2020</v>
      </c>
      <c r="B436" s="6" t="s">
        <v>2386</v>
      </c>
      <c r="C436" s="6" t="s">
        <v>61</v>
      </c>
      <c r="D436" s="9" t="s">
        <v>62</v>
      </c>
      <c r="E436" s="132"/>
      <c r="F436" s="6" t="s">
        <v>2387</v>
      </c>
      <c r="G436" s="6" t="s">
        <v>2388</v>
      </c>
      <c r="H436" s="121">
        <v>500000</v>
      </c>
      <c r="I436" s="213" t="b">
        <v>0</v>
      </c>
      <c r="J436" s="213"/>
      <c r="K436" s="213"/>
    </row>
    <row r="437" spans="1:11" ht="12.75" hidden="1">
      <c r="A437" s="9">
        <v>2020</v>
      </c>
      <c r="B437" s="6" t="s">
        <v>788</v>
      </c>
      <c r="C437" s="6" t="s">
        <v>61</v>
      </c>
      <c r="D437" s="6" t="s">
        <v>68</v>
      </c>
      <c r="E437" s="132"/>
      <c r="F437" s="6" t="s">
        <v>790</v>
      </c>
      <c r="G437" s="6" t="s">
        <v>791</v>
      </c>
      <c r="H437" s="162">
        <v>324750</v>
      </c>
      <c r="I437" s="213" t="b">
        <v>0</v>
      </c>
      <c r="J437" s="213" t="b">
        <v>0</v>
      </c>
      <c r="K437" s="213" t="b">
        <v>0</v>
      </c>
    </row>
    <row r="438" spans="1:11" ht="38.25" hidden="1">
      <c r="A438" s="9">
        <v>2020</v>
      </c>
      <c r="B438" s="6" t="s">
        <v>792</v>
      </c>
      <c r="C438" s="6" t="s">
        <v>61</v>
      </c>
      <c r="D438" s="6" t="s">
        <v>652</v>
      </c>
      <c r="E438" s="132"/>
      <c r="F438" s="6" t="s">
        <v>793</v>
      </c>
      <c r="G438" s="6" t="s">
        <v>794</v>
      </c>
      <c r="H438" s="121">
        <v>284446.84000000003</v>
      </c>
      <c r="I438" s="213" t="b">
        <v>0</v>
      </c>
      <c r="J438" s="213" t="b">
        <v>0</v>
      </c>
      <c r="K438" s="213" t="b">
        <v>0</v>
      </c>
    </row>
    <row r="439" spans="1:11" ht="25.5">
      <c r="A439" s="9">
        <v>2020</v>
      </c>
      <c r="B439" s="6" t="s">
        <v>1174</v>
      </c>
      <c r="C439" s="6" t="s">
        <v>61</v>
      </c>
      <c r="D439" s="9" t="s">
        <v>62</v>
      </c>
      <c r="E439" s="132"/>
      <c r="F439" s="6" t="s">
        <v>1175</v>
      </c>
      <c r="G439" s="6" t="s">
        <v>1176</v>
      </c>
      <c r="H439" s="121">
        <v>418714.15</v>
      </c>
      <c r="I439" s="213" t="b">
        <v>0</v>
      </c>
      <c r="J439" s="213"/>
      <c r="K439" s="213"/>
    </row>
    <row r="440" spans="1:11" ht="38.25" hidden="1">
      <c r="A440" s="9">
        <v>2020</v>
      </c>
      <c r="B440" s="6" t="s">
        <v>2398</v>
      </c>
      <c r="C440" s="6" t="s">
        <v>1823</v>
      </c>
      <c r="D440" s="6" t="s">
        <v>113</v>
      </c>
      <c r="E440" s="132"/>
      <c r="F440" s="6" t="s">
        <v>2400</v>
      </c>
      <c r="G440" s="6" t="s">
        <v>611</v>
      </c>
      <c r="H440" s="121" t="s">
        <v>2399</v>
      </c>
      <c r="I440" s="213" t="b">
        <v>0</v>
      </c>
      <c r="J440" s="213" t="b">
        <v>0</v>
      </c>
      <c r="K440" s="213" t="b">
        <v>0</v>
      </c>
    </row>
    <row r="441" spans="1:11" ht="38.25" hidden="1">
      <c r="A441" s="9">
        <v>2020</v>
      </c>
      <c r="B441" s="6" t="s">
        <v>2402</v>
      </c>
      <c r="C441" s="6" t="s">
        <v>1823</v>
      </c>
      <c r="D441" s="6" t="s">
        <v>611</v>
      </c>
      <c r="E441" s="132"/>
      <c r="F441" s="6" t="s">
        <v>2404</v>
      </c>
      <c r="G441" s="6" t="s">
        <v>611</v>
      </c>
      <c r="H441" s="121" t="s">
        <v>2403</v>
      </c>
      <c r="I441" s="213" t="b">
        <v>0</v>
      </c>
      <c r="J441" s="213" t="b">
        <v>0</v>
      </c>
      <c r="K441" s="213" t="b">
        <v>0</v>
      </c>
    </row>
    <row r="442" spans="1:11" ht="25.5" hidden="1">
      <c r="A442" s="9">
        <v>2020</v>
      </c>
      <c r="B442" s="6" t="s">
        <v>1177</v>
      </c>
      <c r="C442" s="6" t="s">
        <v>2406</v>
      </c>
      <c r="D442" s="9" t="s">
        <v>62</v>
      </c>
      <c r="E442" s="132"/>
      <c r="F442" s="6" t="s">
        <v>2407</v>
      </c>
      <c r="G442" s="6" t="s">
        <v>1179</v>
      </c>
      <c r="H442" s="121">
        <v>1240490</v>
      </c>
      <c r="I442" s="213" t="b">
        <v>0</v>
      </c>
      <c r="J442" s="213" t="b">
        <v>0</v>
      </c>
      <c r="K442" s="213" t="b">
        <v>0</v>
      </c>
    </row>
    <row r="443" spans="1:11" ht="25.5" hidden="1">
      <c r="A443" s="9">
        <v>2020</v>
      </c>
      <c r="B443" s="6" t="s">
        <v>1180</v>
      </c>
      <c r="C443" s="6" t="s">
        <v>2406</v>
      </c>
      <c r="D443" s="9" t="s">
        <v>62</v>
      </c>
      <c r="E443" s="132"/>
      <c r="F443" s="6" t="s">
        <v>1181</v>
      </c>
      <c r="G443" s="6" t="s">
        <v>1182</v>
      </c>
      <c r="H443" s="121">
        <v>495000</v>
      </c>
      <c r="I443" s="213" t="b">
        <v>0</v>
      </c>
      <c r="J443" s="213" t="b">
        <v>0</v>
      </c>
      <c r="K443" s="213" t="b">
        <v>0</v>
      </c>
    </row>
    <row r="444" spans="1:11" ht="25.5" hidden="1">
      <c r="A444" s="9">
        <v>2020</v>
      </c>
      <c r="B444" s="6" t="s">
        <v>2416</v>
      </c>
      <c r="C444" s="6" t="s">
        <v>1823</v>
      </c>
      <c r="D444" s="9" t="s">
        <v>62</v>
      </c>
      <c r="E444" s="132"/>
      <c r="F444" s="6" t="s">
        <v>2417</v>
      </c>
      <c r="G444" s="6" t="s">
        <v>1231</v>
      </c>
      <c r="H444" s="121"/>
      <c r="I444" s="213" t="b">
        <v>0</v>
      </c>
      <c r="J444" s="213" t="b">
        <v>0</v>
      </c>
      <c r="K444" s="213" t="b">
        <v>0</v>
      </c>
    </row>
    <row r="445" spans="1:11" ht="38.25" hidden="1">
      <c r="A445" s="9">
        <v>2020</v>
      </c>
      <c r="B445" s="6" t="s">
        <v>1183</v>
      </c>
      <c r="C445" s="6" t="s">
        <v>2406</v>
      </c>
      <c r="D445" s="9" t="s">
        <v>62</v>
      </c>
      <c r="E445" s="132"/>
      <c r="F445" s="6" t="s">
        <v>1184</v>
      </c>
      <c r="G445" s="6" t="s">
        <v>1185</v>
      </c>
      <c r="H445" s="121">
        <v>819000</v>
      </c>
      <c r="I445" s="213" t="b">
        <v>0</v>
      </c>
      <c r="J445" s="213" t="b">
        <v>0</v>
      </c>
      <c r="K445" s="213" t="b">
        <v>0</v>
      </c>
    </row>
    <row r="446" spans="1:11" ht="25.5" hidden="1">
      <c r="A446" s="9">
        <v>2020</v>
      </c>
      <c r="B446" s="6" t="s">
        <v>2422</v>
      </c>
      <c r="C446" s="6" t="s">
        <v>1823</v>
      </c>
      <c r="D446" s="6" t="s">
        <v>611</v>
      </c>
      <c r="E446" s="132"/>
      <c r="F446" s="6" t="s">
        <v>2423</v>
      </c>
      <c r="G446" s="6" t="s">
        <v>611</v>
      </c>
      <c r="H446" s="121"/>
      <c r="I446" s="213" t="b">
        <v>0</v>
      </c>
      <c r="J446" s="213" t="b">
        <v>0</v>
      </c>
      <c r="K446" s="213" t="b">
        <v>0</v>
      </c>
    </row>
    <row r="447" spans="1:11" ht="25.5" hidden="1">
      <c r="A447" s="9">
        <v>2020</v>
      </c>
      <c r="B447" s="6" t="s">
        <v>2425</v>
      </c>
      <c r="C447" s="6" t="s">
        <v>1823</v>
      </c>
      <c r="D447" s="6" t="s">
        <v>2412</v>
      </c>
      <c r="E447" s="132"/>
      <c r="F447" s="6" t="s">
        <v>2426</v>
      </c>
      <c r="G447" s="6" t="s">
        <v>2412</v>
      </c>
      <c r="H447" s="121"/>
      <c r="I447" s="213" t="b">
        <v>0</v>
      </c>
      <c r="J447" s="213" t="b">
        <v>0</v>
      </c>
      <c r="K447" s="213" t="b">
        <v>0</v>
      </c>
    </row>
    <row r="448" spans="1:11" ht="38.25">
      <c r="A448" s="9">
        <v>2020</v>
      </c>
      <c r="B448" s="6" t="s">
        <v>1186</v>
      </c>
      <c r="C448" s="6" t="s">
        <v>61</v>
      </c>
      <c r="D448" s="9" t="s">
        <v>62</v>
      </c>
      <c r="E448" s="132"/>
      <c r="F448" s="6" t="s">
        <v>1187</v>
      </c>
      <c r="G448" s="6" t="s">
        <v>1188</v>
      </c>
      <c r="H448" s="121">
        <v>453346.5</v>
      </c>
      <c r="I448" s="213" t="b">
        <v>0</v>
      </c>
      <c r="J448" s="213"/>
      <c r="K448" s="213"/>
    </row>
    <row r="449" spans="1:11" ht="38.25" hidden="1">
      <c r="A449" s="9">
        <v>2020</v>
      </c>
      <c r="B449" s="6" t="s">
        <v>795</v>
      </c>
      <c r="C449" s="6" t="s">
        <v>61</v>
      </c>
      <c r="D449" s="6" t="s">
        <v>652</v>
      </c>
      <c r="E449" s="132"/>
      <c r="F449" s="6" t="s">
        <v>796</v>
      </c>
      <c r="G449" s="6" t="s">
        <v>520</v>
      </c>
      <c r="H449" s="121">
        <v>349930</v>
      </c>
      <c r="I449" s="213" t="b">
        <v>0</v>
      </c>
      <c r="J449" s="213" t="b">
        <v>0</v>
      </c>
      <c r="K449" s="213" t="b">
        <v>0</v>
      </c>
    </row>
    <row r="450" spans="1:11" ht="38.25" hidden="1">
      <c r="A450" s="9">
        <v>2020</v>
      </c>
      <c r="B450" s="6" t="s">
        <v>797</v>
      </c>
      <c r="C450" s="6" t="s">
        <v>61</v>
      </c>
      <c r="D450" s="6" t="s">
        <v>652</v>
      </c>
      <c r="E450" s="132"/>
      <c r="F450" s="6" t="s">
        <v>798</v>
      </c>
      <c r="G450" s="6" t="s">
        <v>799</v>
      </c>
      <c r="H450" s="121">
        <v>350000</v>
      </c>
      <c r="I450" s="213" t="b">
        <v>0</v>
      </c>
      <c r="J450" s="213" t="b">
        <v>0</v>
      </c>
      <c r="K450" s="213" t="b">
        <v>0</v>
      </c>
    </row>
    <row r="451" spans="1:11" ht="51" hidden="1">
      <c r="A451" s="9">
        <v>2020</v>
      </c>
      <c r="B451" s="6" t="s">
        <v>1189</v>
      </c>
      <c r="C451" s="9" t="s">
        <v>61</v>
      </c>
      <c r="D451" s="6" t="s">
        <v>1141</v>
      </c>
      <c r="E451" s="132"/>
      <c r="F451" s="6" t="s">
        <v>1192</v>
      </c>
      <c r="G451" s="6" t="s">
        <v>1139</v>
      </c>
      <c r="H451" s="121">
        <v>87475</v>
      </c>
      <c r="I451" s="213" t="b">
        <v>0</v>
      </c>
      <c r="J451" s="213" t="b">
        <v>0</v>
      </c>
      <c r="K451" s="213" t="b">
        <v>0</v>
      </c>
    </row>
    <row r="452" spans="1:11" ht="12.75" hidden="1">
      <c r="A452" s="9">
        <v>2020</v>
      </c>
      <c r="B452" s="6" t="s">
        <v>1191</v>
      </c>
      <c r="C452" s="9" t="s">
        <v>61</v>
      </c>
      <c r="D452" s="6" t="s">
        <v>1141</v>
      </c>
      <c r="E452" s="132"/>
      <c r="F452" s="6"/>
      <c r="G452" s="6" t="s">
        <v>1139</v>
      </c>
      <c r="H452" s="121">
        <v>122475</v>
      </c>
      <c r="I452" s="213" t="b">
        <v>0</v>
      </c>
      <c r="J452" s="213" t="b">
        <v>0</v>
      </c>
      <c r="K452" s="213" t="b">
        <v>0</v>
      </c>
    </row>
    <row r="453" spans="1:11" ht="12.75" hidden="1">
      <c r="A453" s="9">
        <v>2020</v>
      </c>
      <c r="B453" s="6" t="s">
        <v>1193</v>
      </c>
      <c r="C453" s="9" t="s">
        <v>61</v>
      </c>
      <c r="D453" s="6" t="s">
        <v>1141</v>
      </c>
      <c r="E453" s="132"/>
      <c r="F453" s="6" t="s">
        <v>1194</v>
      </c>
      <c r="G453" s="6" t="s">
        <v>1139</v>
      </c>
      <c r="H453" s="121">
        <v>156860</v>
      </c>
      <c r="I453" s="213" t="b">
        <v>0</v>
      </c>
      <c r="J453" s="213" t="b">
        <v>0</v>
      </c>
      <c r="K453" s="213" t="b">
        <v>0</v>
      </c>
    </row>
    <row r="454" spans="1:11" ht="76.5" hidden="1">
      <c r="A454" s="9">
        <v>2020</v>
      </c>
      <c r="B454" s="6" t="s">
        <v>1195</v>
      </c>
      <c r="C454" s="9" t="s">
        <v>61</v>
      </c>
      <c r="D454" s="6" t="s">
        <v>1141</v>
      </c>
      <c r="E454" s="132"/>
      <c r="F454" s="6" t="s">
        <v>1196</v>
      </c>
      <c r="G454" s="6" t="s">
        <v>1139</v>
      </c>
      <c r="H454" s="121">
        <v>119440</v>
      </c>
      <c r="I454" s="213" t="b">
        <v>0</v>
      </c>
      <c r="J454" s="213" t="b">
        <v>0</v>
      </c>
      <c r="K454" s="213" t="b">
        <v>0</v>
      </c>
    </row>
    <row r="455" spans="1:11" ht="25.5" hidden="1">
      <c r="A455" s="9">
        <v>2020</v>
      </c>
      <c r="B455" s="6" t="s">
        <v>1197</v>
      </c>
      <c r="C455" s="9" t="s">
        <v>61</v>
      </c>
      <c r="D455" s="6" t="s">
        <v>1141</v>
      </c>
      <c r="E455" s="132"/>
      <c r="F455" s="6" t="s">
        <v>1198</v>
      </c>
      <c r="G455" s="6" t="s">
        <v>1139</v>
      </c>
      <c r="H455" s="121">
        <v>153850</v>
      </c>
      <c r="I455" s="213" t="b">
        <v>0</v>
      </c>
      <c r="J455" s="213" t="b">
        <v>0</v>
      </c>
      <c r="K455" s="213" t="b">
        <v>0</v>
      </c>
    </row>
    <row r="456" spans="1:11" ht="38.25" hidden="1">
      <c r="A456" s="9">
        <v>2020</v>
      </c>
      <c r="B456" s="6" t="s">
        <v>2410</v>
      </c>
      <c r="C456" s="6" t="s">
        <v>1823</v>
      </c>
      <c r="D456" s="115" t="s">
        <v>1383</v>
      </c>
      <c r="E456" s="132"/>
      <c r="F456" s="6" t="s">
        <v>2411</v>
      </c>
      <c r="G456" s="6" t="s">
        <v>2412</v>
      </c>
      <c r="H456" s="121"/>
      <c r="I456" s="213" t="b">
        <v>0</v>
      </c>
      <c r="J456" s="213" t="b">
        <v>0</v>
      </c>
      <c r="K456" s="213" t="b">
        <v>0</v>
      </c>
    </row>
    <row r="457" spans="1:11" ht="25.5" hidden="1">
      <c r="A457" s="9">
        <v>2020</v>
      </c>
      <c r="B457" s="155">
        <v>43831</v>
      </c>
      <c r="C457" s="156" t="s">
        <v>61</v>
      </c>
      <c r="D457" s="115" t="s">
        <v>1383</v>
      </c>
      <c r="E457" s="132"/>
      <c r="F457" s="156" t="s">
        <v>2318</v>
      </c>
      <c r="G457" s="156" t="s">
        <v>2319</v>
      </c>
      <c r="H457" s="157">
        <v>5969000</v>
      </c>
      <c r="I457" s="213" t="b">
        <v>0</v>
      </c>
      <c r="J457" s="213" t="b">
        <v>0</v>
      </c>
      <c r="K457" s="213" t="b">
        <v>0</v>
      </c>
    </row>
    <row r="458" spans="1:11" ht="25.5" hidden="1">
      <c r="A458" s="9">
        <v>2020</v>
      </c>
      <c r="B458" s="61">
        <v>43983</v>
      </c>
      <c r="C458" s="6" t="s">
        <v>61</v>
      </c>
      <c r="D458" s="115" t="s">
        <v>1383</v>
      </c>
      <c r="E458" s="132"/>
      <c r="F458" s="6" t="s">
        <v>1555</v>
      </c>
      <c r="G458" s="6" t="s">
        <v>2331</v>
      </c>
      <c r="H458" s="121">
        <v>1000000</v>
      </c>
      <c r="I458" s="213" t="b">
        <v>0</v>
      </c>
      <c r="J458" s="213" t="b">
        <v>0</v>
      </c>
      <c r="K458" s="213" t="b">
        <v>0</v>
      </c>
    </row>
    <row r="459" spans="1:11" ht="25.5" hidden="1">
      <c r="A459" s="9">
        <v>2020</v>
      </c>
      <c r="B459" s="61">
        <v>44013</v>
      </c>
      <c r="C459" s="6" t="s">
        <v>61</v>
      </c>
      <c r="D459" s="115" t="s">
        <v>1383</v>
      </c>
      <c r="E459" s="132"/>
      <c r="F459" s="6" t="s">
        <v>1557</v>
      </c>
      <c r="G459" s="6" t="s">
        <v>1556</v>
      </c>
      <c r="H459" s="121">
        <v>2590000</v>
      </c>
      <c r="I459" s="213" t="b">
        <v>0</v>
      </c>
      <c r="J459" s="213" t="b">
        <v>0</v>
      </c>
      <c r="K459" s="213" t="b">
        <v>0</v>
      </c>
    </row>
    <row r="460" spans="1:11" ht="25.5" hidden="1">
      <c r="A460" s="9">
        <v>2019</v>
      </c>
      <c r="B460" s="61">
        <v>43556</v>
      </c>
      <c r="C460" s="9" t="s">
        <v>61</v>
      </c>
      <c r="D460" s="6" t="s">
        <v>652</v>
      </c>
      <c r="E460" s="6"/>
      <c r="F460" s="6" t="s">
        <v>800</v>
      </c>
      <c r="G460" s="6" t="s">
        <v>2442</v>
      </c>
      <c r="H460" s="121">
        <v>99860</v>
      </c>
      <c r="I460" s="213" t="b">
        <v>0</v>
      </c>
      <c r="J460" s="213" t="b">
        <v>0</v>
      </c>
      <c r="K460" s="213" t="b">
        <v>0</v>
      </c>
    </row>
    <row r="461" spans="1:11" ht="76.5" hidden="1">
      <c r="A461" s="9">
        <v>2019</v>
      </c>
      <c r="B461" s="61">
        <v>43586</v>
      </c>
      <c r="C461" s="9" t="s">
        <v>61</v>
      </c>
      <c r="D461" s="6" t="s">
        <v>652</v>
      </c>
      <c r="E461" s="6"/>
      <c r="F461" s="6" t="s">
        <v>802</v>
      </c>
      <c r="G461" s="6" t="s">
        <v>2444</v>
      </c>
      <c r="H461" s="121">
        <v>149860</v>
      </c>
      <c r="I461" s="213" t="b">
        <v>0</v>
      </c>
      <c r="J461" s="213" t="b">
        <v>0</v>
      </c>
      <c r="K461" s="213" t="b">
        <v>0</v>
      </c>
    </row>
    <row r="462" spans="1:11" ht="25.5" hidden="1">
      <c r="A462" s="9">
        <v>2019</v>
      </c>
      <c r="B462" s="61">
        <v>43617</v>
      </c>
      <c r="C462" s="9" t="s">
        <v>61</v>
      </c>
      <c r="D462" s="6" t="s">
        <v>1838</v>
      </c>
      <c r="E462" s="6"/>
      <c r="F462" s="6" t="s">
        <v>2446</v>
      </c>
      <c r="G462" s="6" t="s">
        <v>811</v>
      </c>
      <c r="H462" s="121">
        <v>119500</v>
      </c>
      <c r="I462" s="213" t="b">
        <v>0</v>
      </c>
      <c r="J462" s="213" t="b">
        <v>0</v>
      </c>
      <c r="K462" s="213" t="b">
        <v>0</v>
      </c>
    </row>
    <row r="463" spans="1:11" ht="38.25" hidden="1">
      <c r="A463" s="9">
        <v>2019</v>
      </c>
      <c r="B463" s="6" t="s">
        <v>804</v>
      </c>
      <c r="C463" s="9" t="s">
        <v>61</v>
      </c>
      <c r="D463" s="6" t="s">
        <v>113</v>
      </c>
      <c r="E463" s="6"/>
      <c r="F463" s="6" t="s">
        <v>805</v>
      </c>
      <c r="G463" s="6" t="s">
        <v>699</v>
      </c>
      <c r="H463" s="121">
        <v>711200</v>
      </c>
      <c r="I463" s="213" t="b">
        <v>0</v>
      </c>
      <c r="J463" s="213" t="b">
        <v>0</v>
      </c>
      <c r="K463" s="213" t="b">
        <v>0</v>
      </c>
    </row>
    <row r="464" spans="1:11" ht="38.25" hidden="1">
      <c r="A464" s="9">
        <v>2019</v>
      </c>
      <c r="B464" s="6" t="s">
        <v>2452</v>
      </c>
      <c r="C464" s="9" t="s">
        <v>2328</v>
      </c>
      <c r="D464" s="112" t="s">
        <v>68</v>
      </c>
      <c r="E464" s="6"/>
      <c r="F464" s="6" t="s">
        <v>2454</v>
      </c>
      <c r="G464" s="6" t="s">
        <v>2455</v>
      </c>
      <c r="H464" s="121" t="s">
        <v>2453</v>
      </c>
      <c r="I464" s="213" t="b">
        <v>0</v>
      </c>
      <c r="J464" s="213" t="b">
        <v>0</v>
      </c>
      <c r="K464" s="213" t="b">
        <v>0</v>
      </c>
    </row>
    <row r="465" spans="1:11" ht="38.25" hidden="1">
      <c r="A465" s="9">
        <v>2019</v>
      </c>
      <c r="B465" s="6" t="s">
        <v>2456</v>
      </c>
      <c r="C465" s="9" t="s">
        <v>61</v>
      </c>
      <c r="D465" s="6" t="s">
        <v>2457</v>
      </c>
      <c r="E465" s="6"/>
      <c r="F465" s="6" t="s">
        <v>2458</v>
      </c>
      <c r="G465" s="132" t="s">
        <v>2459</v>
      </c>
      <c r="H465" s="121">
        <v>200000</v>
      </c>
      <c r="I465" s="213" t="b">
        <v>0</v>
      </c>
      <c r="J465" s="213" t="b">
        <v>0</v>
      </c>
      <c r="K465" s="213" t="b">
        <v>0</v>
      </c>
    </row>
    <row r="466" spans="1:11" ht="25.5" hidden="1">
      <c r="A466" s="9">
        <v>2019</v>
      </c>
      <c r="B466" s="6" t="s">
        <v>2461</v>
      </c>
      <c r="C466" s="9" t="s">
        <v>61</v>
      </c>
      <c r="D466" s="6" t="s">
        <v>1838</v>
      </c>
      <c r="E466" s="132"/>
      <c r="F466" s="132" t="s">
        <v>2462</v>
      </c>
      <c r="G466" s="6" t="s">
        <v>811</v>
      </c>
      <c r="H466" s="121">
        <v>792000</v>
      </c>
      <c r="I466" s="213" t="b">
        <v>0</v>
      </c>
      <c r="J466" s="213" t="b">
        <v>0</v>
      </c>
      <c r="K466" s="213" t="b">
        <v>0</v>
      </c>
    </row>
    <row r="467" spans="1:11" ht="25.5" hidden="1">
      <c r="A467" s="9">
        <v>2019</v>
      </c>
      <c r="B467" s="6" t="s">
        <v>806</v>
      </c>
      <c r="C467" s="9" t="s">
        <v>3096</v>
      </c>
      <c r="D467" s="6" t="s">
        <v>125</v>
      </c>
      <c r="E467" s="6"/>
      <c r="F467" s="6" t="s">
        <v>807</v>
      </c>
      <c r="G467" s="6" t="s">
        <v>808</v>
      </c>
      <c r="H467" s="121">
        <v>500000</v>
      </c>
      <c r="I467" s="213" t="b">
        <v>0</v>
      </c>
      <c r="J467" s="213" t="b">
        <v>0</v>
      </c>
      <c r="K467" s="213" t="b">
        <v>0</v>
      </c>
    </row>
    <row r="468" spans="1:11" ht="38.25">
      <c r="A468" s="9">
        <v>2019</v>
      </c>
      <c r="B468" s="6" t="s">
        <v>1199</v>
      </c>
      <c r="C468" s="9" t="s">
        <v>61</v>
      </c>
      <c r="D468" s="9" t="s">
        <v>62</v>
      </c>
      <c r="E468" s="6"/>
      <c r="F468" s="6" t="s">
        <v>1200</v>
      </c>
      <c r="G468" s="6" t="s">
        <v>2463</v>
      </c>
      <c r="H468" s="121">
        <v>1434349.2</v>
      </c>
      <c r="I468" s="213" t="b">
        <v>0</v>
      </c>
      <c r="J468" s="213"/>
      <c r="K468" s="213"/>
    </row>
    <row r="469" spans="1:11" ht="51">
      <c r="A469" s="9">
        <v>2019</v>
      </c>
      <c r="B469" s="6" t="s">
        <v>827</v>
      </c>
      <c r="C469" s="9" t="s">
        <v>61</v>
      </c>
      <c r="D469" s="9" t="s">
        <v>62</v>
      </c>
      <c r="E469" s="6"/>
      <c r="F469" s="6" t="s">
        <v>2477</v>
      </c>
      <c r="G469" s="6" t="s">
        <v>2478</v>
      </c>
      <c r="H469" s="121">
        <v>1319221.3999999999</v>
      </c>
      <c r="I469" s="213" t="b">
        <v>0</v>
      </c>
      <c r="J469" s="213"/>
      <c r="K469" s="213"/>
    </row>
    <row r="470" spans="1:11" ht="38.25" hidden="1">
      <c r="A470" s="9">
        <v>2019</v>
      </c>
      <c r="B470" s="6" t="s">
        <v>1626</v>
      </c>
      <c r="C470" s="9" t="s">
        <v>2328</v>
      </c>
      <c r="D470" s="9" t="s">
        <v>62</v>
      </c>
      <c r="E470" s="6"/>
      <c r="F470" s="6" t="s">
        <v>2480</v>
      </c>
      <c r="G470" s="6" t="s">
        <v>2481</v>
      </c>
      <c r="H470" s="121"/>
      <c r="I470" s="213" t="b">
        <v>0</v>
      </c>
      <c r="J470" s="213" t="b">
        <v>0</v>
      </c>
      <c r="K470" s="213" t="b">
        <v>0</v>
      </c>
    </row>
    <row r="471" spans="1:11" ht="12.75" hidden="1">
      <c r="A471" s="9">
        <v>2019</v>
      </c>
      <c r="B471" s="6" t="s">
        <v>1628</v>
      </c>
      <c r="C471" s="9" t="s">
        <v>2328</v>
      </c>
      <c r="D471" s="6"/>
      <c r="E471" s="6"/>
      <c r="F471" s="6" t="s">
        <v>2482</v>
      </c>
      <c r="G471" s="6" t="s">
        <v>2483</v>
      </c>
      <c r="H471" s="121"/>
      <c r="I471" s="213" t="b">
        <v>0</v>
      </c>
      <c r="J471" s="213" t="b">
        <v>0</v>
      </c>
      <c r="K471" s="213" t="b">
        <v>0</v>
      </c>
    </row>
    <row r="472" spans="1:11" ht="12.75" hidden="1">
      <c r="A472" s="9">
        <v>2019</v>
      </c>
      <c r="B472" s="6" t="s">
        <v>1630</v>
      </c>
      <c r="C472" s="9" t="s">
        <v>2328</v>
      </c>
      <c r="D472" s="9" t="s">
        <v>62</v>
      </c>
      <c r="E472" s="6"/>
      <c r="F472" s="6" t="s">
        <v>2484</v>
      </c>
      <c r="G472" s="6" t="s">
        <v>2483</v>
      </c>
      <c r="H472" s="121"/>
      <c r="I472" s="213" t="b">
        <v>0</v>
      </c>
      <c r="J472" s="213" t="b">
        <v>0</v>
      </c>
      <c r="K472" s="213" t="b">
        <v>0</v>
      </c>
    </row>
    <row r="473" spans="1:11" ht="63.75" hidden="1">
      <c r="A473" s="9">
        <v>2019</v>
      </c>
      <c r="B473" s="6" t="s">
        <v>1633</v>
      </c>
      <c r="C473" s="9" t="s">
        <v>2328</v>
      </c>
      <c r="D473" s="6"/>
      <c r="E473" s="6"/>
      <c r="F473" s="6" t="s">
        <v>2485</v>
      </c>
      <c r="G473" s="6" t="s">
        <v>2486</v>
      </c>
      <c r="H473" s="121"/>
      <c r="I473" s="213" t="b">
        <v>0</v>
      </c>
      <c r="J473" s="213" t="b">
        <v>0</v>
      </c>
      <c r="K473" s="213" t="b">
        <v>0</v>
      </c>
    </row>
    <row r="474" spans="1:11" ht="38.25" hidden="1">
      <c r="A474" s="9">
        <v>2019</v>
      </c>
      <c r="B474" s="6" t="s">
        <v>830</v>
      </c>
      <c r="C474" s="9" t="s">
        <v>2328</v>
      </c>
      <c r="D474" s="9" t="s">
        <v>62</v>
      </c>
      <c r="E474" s="6"/>
      <c r="F474" s="6" t="s">
        <v>2487</v>
      </c>
      <c r="G474" s="6" t="s">
        <v>2488</v>
      </c>
      <c r="H474" s="121"/>
      <c r="I474" s="213" t="b">
        <v>0</v>
      </c>
      <c r="J474" s="213" t="b">
        <v>0</v>
      </c>
      <c r="K474" s="213" t="b">
        <v>0</v>
      </c>
    </row>
    <row r="475" spans="1:11" ht="25.5" hidden="1">
      <c r="A475" s="9">
        <v>2019</v>
      </c>
      <c r="B475" s="6" t="s">
        <v>1635</v>
      </c>
      <c r="C475" s="9" t="s">
        <v>2328</v>
      </c>
      <c r="D475" s="6"/>
      <c r="E475" s="6"/>
      <c r="F475" s="6" t="s">
        <v>2489</v>
      </c>
      <c r="G475" s="6" t="s">
        <v>2490</v>
      </c>
      <c r="H475" s="121"/>
      <c r="I475" s="213" t="b">
        <v>0</v>
      </c>
      <c r="J475" s="213" t="b">
        <v>0</v>
      </c>
      <c r="K475" s="213" t="b">
        <v>0</v>
      </c>
    </row>
    <row r="476" spans="1:11" ht="25.5" hidden="1">
      <c r="A476" s="9">
        <v>2019</v>
      </c>
      <c r="B476" s="6" t="s">
        <v>1637</v>
      </c>
      <c r="C476" s="9" t="s">
        <v>2328</v>
      </c>
      <c r="D476" s="6"/>
      <c r="E476" s="6"/>
      <c r="F476" s="6" t="s">
        <v>2491</v>
      </c>
      <c r="G476" s="6" t="s">
        <v>2492</v>
      </c>
      <c r="H476" s="121"/>
      <c r="I476" s="213" t="b">
        <v>0</v>
      </c>
      <c r="J476" s="213" t="b">
        <v>0</v>
      </c>
      <c r="K476" s="213" t="b">
        <v>0</v>
      </c>
    </row>
    <row r="477" spans="1:11" ht="25.5" hidden="1">
      <c r="A477" s="9">
        <v>2019</v>
      </c>
      <c r="B477" s="6" t="s">
        <v>1639</v>
      </c>
      <c r="C477" s="9" t="s">
        <v>2328</v>
      </c>
      <c r="D477" s="6"/>
      <c r="E477" s="6"/>
      <c r="F477" s="6" t="s">
        <v>2493</v>
      </c>
      <c r="G477" s="6" t="s">
        <v>2494</v>
      </c>
      <c r="H477" s="121"/>
      <c r="I477" s="213" t="b">
        <v>0</v>
      </c>
      <c r="J477" s="213" t="b">
        <v>0</v>
      </c>
      <c r="K477" s="213" t="b">
        <v>0</v>
      </c>
    </row>
    <row r="478" spans="1:11" ht="38.25" hidden="1">
      <c r="A478" s="9">
        <v>2019</v>
      </c>
      <c r="B478" s="6" t="s">
        <v>1642</v>
      </c>
      <c r="C478" s="9" t="s">
        <v>2328</v>
      </c>
      <c r="D478" s="6" t="s">
        <v>652</v>
      </c>
      <c r="E478" s="6"/>
      <c r="F478" s="6" t="s">
        <v>2495</v>
      </c>
      <c r="G478" s="6" t="s">
        <v>2496</v>
      </c>
      <c r="H478" s="121"/>
      <c r="I478" s="213" t="b">
        <v>0</v>
      </c>
      <c r="J478" s="213" t="b">
        <v>0</v>
      </c>
      <c r="K478" s="213" t="b">
        <v>0</v>
      </c>
    </row>
    <row r="479" spans="1:11" ht="25.5" hidden="1">
      <c r="A479" s="9">
        <v>2019</v>
      </c>
      <c r="B479" s="6" t="s">
        <v>1643</v>
      </c>
      <c r="C479" s="9" t="s">
        <v>2328</v>
      </c>
      <c r="D479" s="6"/>
      <c r="E479" s="6"/>
      <c r="F479" s="6" t="s">
        <v>2497</v>
      </c>
      <c r="G479" s="6" t="s">
        <v>2498</v>
      </c>
      <c r="H479" s="121"/>
      <c r="I479" s="213" t="b">
        <v>0</v>
      </c>
      <c r="J479" s="213" t="b">
        <v>0</v>
      </c>
      <c r="K479" s="213" t="b">
        <v>0</v>
      </c>
    </row>
    <row r="480" spans="1:11" ht="63.75" hidden="1">
      <c r="A480" s="9">
        <v>2019</v>
      </c>
      <c r="B480" s="6" t="s">
        <v>809</v>
      </c>
      <c r="C480" s="9" t="s">
        <v>61</v>
      </c>
      <c r="D480" s="6" t="s">
        <v>113</v>
      </c>
      <c r="E480" s="6"/>
      <c r="F480" s="6" t="s">
        <v>2499</v>
      </c>
      <c r="G480" s="6" t="s">
        <v>811</v>
      </c>
      <c r="H480" s="121">
        <v>182200</v>
      </c>
      <c r="I480" s="213" t="b">
        <v>0</v>
      </c>
      <c r="J480" s="213" t="b">
        <v>0</v>
      </c>
      <c r="K480" s="213" t="b">
        <v>0</v>
      </c>
    </row>
    <row r="481" spans="1:11" ht="25.5" hidden="1">
      <c r="A481" s="9">
        <v>2019</v>
      </c>
      <c r="B481" s="6" t="s">
        <v>1204</v>
      </c>
      <c r="C481" s="9" t="s">
        <v>61</v>
      </c>
      <c r="D481" s="6" t="s">
        <v>1141</v>
      </c>
      <c r="E481" s="6"/>
      <c r="F481" s="6" t="s">
        <v>1205</v>
      </c>
      <c r="G481" s="6" t="s">
        <v>1206</v>
      </c>
      <c r="H481" s="150">
        <v>126407.57</v>
      </c>
      <c r="I481" s="213" t="b">
        <v>0</v>
      </c>
      <c r="J481" s="213" t="b">
        <v>0</v>
      </c>
      <c r="K481" s="213" t="b">
        <v>0</v>
      </c>
    </row>
    <row r="482" spans="1:11" ht="38.25" hidden="1">
      <c r="A482" s="9">
        <v>2019</v>
      </c>
      <c r="B482" s="6" t="s">
        <v>812</v>
      </c>
      <c r="C482" s="9" t="s">
        <v>61</v>
      </c>
      <c r="D482" s="112" t="s">
        <v>68</v>
      </c>
      <c r="E482" s="6"/>
      <c r="F482" s="6" t="s">
        <v>813</v>
      </c>
      <c r="G482" s="6" t="s">
        <v>2501</v>
      </c>
      <c r="H482" s="121">
        <v>199388</v>
      </c>
      <c r="I482" s="213" t="b">
        <v>0</v>
      </c>
      <c r="J482" s="213" t="b">
        <v>0</v>
      </c>
      <c r="K482" s="213" t="b">
        <v>0</v>
      </c>
    </row>
    <row r="483" spans="1:11" ht="38.25" hidden="1">
      <c r="A483" s="9">
        <v>2019</v>
      </c>
      <c r="B483" s="6" t="s">
        <v>815</v>
      </c>
      <c r="C483" s="9" t="s">
        <v>61</v>
      </c>
      <c r="D483" s="6" t="s">
        <v>652</v>
      </c>
      <c r="E483" s="6"/>
      <c r="F483" s="6" t="s">
        <v>816</v>
      </c>
      <c r="G483" s="6" t="s">
        <v>2503</v>
      </c>
      <c r="H483" s="121">
        <v>146362</v>
      </c>
      <c r="I483" s="213" t="b">
        <v>0</v>
      </c>
      <c r="J483" s="213" t="b">
        <v>0</v>
      </c>
      <c r="K483" s="213" t="b">
        <v>0</v>
      </c>
    </row>
    <row r="484" spans="1:11" ht="25.5" hidden="1">
      <c r="A484" s="9">
        <v>2019</v>
      </c>
      <c r="B484" s="6" t="s">
        <v>847</v>
      </c>
      <c r="C484" s="9" t="s">
        <v>2328</v>
      </c>
      <c r="D484" s="6"/>
      <c r="E484" s="6"/>
      <c r="F484" s="6" t="s">
        <v>2505</v>
      </c>
      <c r="G484" s="6" t="s">
        <v>2506</v>
      </c>
      <c r="H484" s="121"/>
      <c r="I484" s="213" t="b">
        <v>0</v>
      </c>
      <c r="J484" s="213" t="b">
        <v>0</v>
      </c>
      <c r="K484" s="213" t="b">
        <v>0</v>
      </c>
    </row>
    <row r="485" spans="1:11" ht="51" hidden="1">
      <c r="A485" s="9">
        <v>2019</v>
      </c>
      <c r="B485" s="61">
        <v>43525</v>
      </c>
      <c r="C485" s="9" t="s">
        <v>2439</v>
      </c>
      <c r="D485" s="115" t="s">
        <v>1383</v>
      </c>
      <c r="E485" s="6"/>
      <c r="F485" s="6" t="s">
        <v>2440</v>
      </c>
      <c r="G485" s="6" t="s">
        <v>2441</v>
      </c>
      <c r="H485" s="121">
        <v>9000000</v>
      </c>
      <c r="I485" s="213" t="b">
        <v>0</v>
      </c>
      <c r="J485" s="213" t="b">
        <v>0</v>
      </c>
      <c r="K485" s="213" t="b">
        <v>0</v>
      </c>
    </row>
    <row r="486" spans="1:11" ht="25.5" hidden="1">
      <c r="A486" s="9">
        <v>2019</v>
      </c>
      <c r="B486" s="6" t="s">
        <v>1648</v>
      </c>
      <c r="C486" s="9" t="s">
        <v>2328</v>
      </c>
      <c r="D486" s="6"/>
      <c r="E486" s="6"/>
      <c r="F486" s="6" t="s">
        <v>2509</v>
      </c>
      <c r="G486" s="6" t="s">
        <v>2510</v>
      </c>
      <c r="H486" s="121"/>
      <c r="I486" s="213" t="b">
        <v>0</v>
      </c>
      <c r="J486" s="213" t="b">
        <v>0</v>
      </c>
      <c r="K486" s="213" t="b">
        <v>0</v>
      </c>
    </row>
    <row r="487" spans="1:11" ht="63.75">
      <c r="A487" s="9">
        <v>2019</v>
      </c>
      <c r="B487" s="6" t="s">
        <v>60</v>
      </c>
      <c r="C487" s="9" t="s">
        <v>61</v>
      </c>
      <c r="D487" s="9" t="s">
        <v>62</v>
      </c>
      <c r="E487" s="6"/>
      <c r="F487" s="6" t="s">
        <v>63</v>
      </c>
      <c r="G487" s="6" t="s">
        <v>2511</v>
      </c>
      <c r="H487" s="121">
        <v>3792164.92</v>
      </c>
      <c r="I487" s="213" t="b">
        <v>0</v>
      </c>
      <c r="J487" s="213"/>
      <c r="K487" s="213"/>
    </row>
    <row r="488" spans="1:11" ht="51">
      <c r="A488" s="9">
        <v>2019</v>
      </c>
      <c r="B488" s="6" t="s">
        <v>1207</v>
      </c>
      <c r="C488" s="9" t="s">
        <v>61</v>
      </c>
      <c r="D488" s="9" t="s">
        <v>62</v>
      </c>
      <c r="E488" s="6"/>
      <c r="F488" s="6" t="s">
        <v>2513</v>
      </c>
      <c r="G488" s="6" t="s">
        <v>2514</v>
      </c>
      <c r="H488" s="121">
        <v>819000</v>
      </c>
      <c r="I488" s="213" t="b">
        <v>0</v>
      </c>
      <c r="J488" s="213"/>
      <c r="K488" s="213"/>
    </row>
    <row r="489" spans="1:11" ht="38.25">
      <c r="A489" s="9">
        <v>2019</v>
      </c>
      <c r="B489" s="6" t="s">
        <v>1210</v>
      </c>
      <c r="C489" s="9" t="s">
        <v>61</v>
      </c>
      <c r="D489" s="9" t="s">
        <v>62</v>
      </c>
      <c r="E489" s="6"/>
      <c r="F489" s="6" t="s">
        <v>1211</v>
      </c>
      <c r="G489" s="6" t="s">
        <v>2516</v>
      </c>
      <c r="H489" s="121">
        <v>950981.8</v>
      </c>
      <c r="I489" s="213" t="b">
        <v>0</v>
      </c>
      <c r="J489" s="213"/>
      <c r="K489" s="213"/>
    </row>
    <row r="490" spans="1:11" ht="25.5" hidden="1">
      <c r="A490" s="9">
        <v>2019</v>
      </c>
      <c r="B490" s="6" t="s">
        <v>818</v>
      </c>
      <c r="C490" s="9" t="s">
        <v>61</v>
      </c>
      <c r="D490" s="6" t="s">
        <v>394</v>
      </c>
      <c r="E490" s="6"/>
      <c r="F490" s="6" t="s">
        <v>5586</v>
      </c>
      <c r="G490" s="6" t="s">
        <v>5587</v>
      </c>
      <c r="H490" s="64"/>
      <c r="I490" s="213" t="b">
        <v>0</v>
      </c>
      <c r="J490" s="213" t="b">
        <v>0</v>
      </c>
      <c r="K490" s="213" t="b">
        <v>0</v>
      </c>
    </row>
    <row r="491" spans="1:11" ht="38.25" hidden="1">
      <c r="A491" s="9">
        <v>2019</v>
      </c>
      <c r="B491" s="167" t="s">
        <v>2519</v>
      </c>
      <c r="C491" s="9" t="s">
        <v>1823</v>
      </c>
      <c r="D491" s="6" t="s">
        <v>2520</v>
      </c>
      <c r="E491" s="6"/>
      <c r="F491" s="6" t="s">
        <v>2521</v>
      </c>
      <c r="G491" s="6" t="s">
        <v>2412</v>
      </c>
      <c r="H491" s="121"/>
      <c r="I491" s="213" t="b">
        <v>0</v>
      </c>
      <c r="J491" s="213" t="b">
        <v>0</v>
      </c>
      <c r="K491" s="213" t="b">
        <v>0</v>
      </c>
    </row>
    <row r="492" spans="1:11" ht="25.5" hidden="1">
      <c r="A492" s="9">
        <v>2019</v>
      </c>
      <c r="B492" s="6" t="s">
        <v>2523</v>
      </c>
      <c r="C492" s="9" t="s">
        <v>1823</v>
      </c>
      <c r="D492" s="6" t="s">
        <v>2524</v>
      </c>
      <c r="E492" s="6"/>
      <c r="F492" s="6" t="s">
        <v>2525</v>
      </c>
      <c r="G492" s="6" t="s">
        <v>1231</v>
      </c>
      <c r="H492" s="121"/>
      <c r="I492" s="213" t="b">
        <v>0</v>
      </c>
      <c r="J492" s="213" t="b">
        <v>0</v>
      </c>
      <c r="K492" s="213" t="b">
        <v>0</v>
      </c>
    </row>
    <row r="493" spans="1:11" ht="63.75" hidden="1">
      <c r="A493" s="9">
        <v>2019</v>
      </c>
      <c r="B493" s="6" t="s">
        <v>2527</v>
      </c>
      <c r="C493" s="9" t="s">
        <v>1823</v>
      </c>
      <c r="D493" s="6" t="s">
        <v>2524</v>
      </c>
      <c r="E493" s="6"/>
      <c r="F493" s="6" t="s">
        <v>2528</v>
      </c>
      <c r="G493" s="6" t="s">
        <v>2412</v>
      </c>
      <c r="H493" s="121"/>
      <c r="I493" s="213" t="b">
        <v>0</v>
      </c>
      <c r="J493" s="213" t="b">
        <v>0</v>
      </c>
      <c r="K493" s="213" t="b">
        <v>0</v>
      </c>
    </row>
    <row r="494" spans="1:11" ht="25.5" hidden="1">
      <c r="A494" s="9">
        <v>2019</v>
      </c>
      <c r="B494" s="6" t="s">
        <v>2530</v>
      </c>
      <c r="C494" s="9" t="s">
        <v>1823</v>
      </c>
      <c r="D494" s="6" t="s">
        <v>2524</v>
      </c>
      <c r="E494" s="6"/>
      <c r="F494" s="6" t="s">
        <v>2531</v>
      </c>
      <c r="G494" s="6" t="s">
        <v>2412</v>
      </c>
      <c r="H494" s="121"/>
      <c r="I494" s="213" t="b">
        <v>0</v>
      </c>
      <c r="J494" s="213" t="b">
        <v>0</v>
      </c>
      <c r="K494" s="213" t="b">
        <v>0</v>
      </c>
    </row>
    <row r="495" spans="1:11" ht="25.5" hidden="1">
      <c r="A495" s="9">
        <v>2019</v>
      </c>
      <c r="B495" s="6" t="s">
        <v>2533</v>
      </c>
      <c r="C495" s="9" t="s">
        <v>1823</v>
      </c>
      <c r="D495" s="6" t="s">
        <v>2524</v>
      </c>
      <c r="E495" s="6"/>
      <c r="F495" s="6" t="s">
        <v>2534</v>
      </c>
      <c r="G495" s="6" t="s">
        <v>1231</v>
      </c>
      <c r="H495" s="121"/>
      <c r="I495" s="213" t="b">
        <v>0</v>
      </c>
      <c r="J495" s="213" t="b">
        <v>0</v>
      </c>
      <c r="K495" s="213" t="b">
        <v>0</v>
      </c>
    </row>
    <row r="496" spans="1:11" ht="38.25" hidden="1">
      <c r="A496" s="9">
        <v>2019</v>
      </c>
      <c r="B496" s="6" t="s">
        <v>2536</v>
      </c>
      <c r="C496" s="9" t="s">
        <v>1823</v>
      </c>
      <c r="D496" s="6" t="s">
        <v>2524</v>
      </c>
      <c r="E496" s="6"/>
      <c r="F496" s="6" t="s">
        <v>2537</v>
      </c>
      <c r="G496" s="6" t="s">
        <v>611</v>
      </c>
      <c r="H496" s="121"/>
      <c r="I496" s="213" t="b">
        <v>0</v>
      </c>
      <c r="J496" s="213" t="b">
        <v>0</v>
      </c>
      <c r="K496" s="213" t="b">
        <v>0</v>
      </c>
    </row>
    <row r="497" spans="1:11" ht="38.25" hidden="1">
      <c r="A497" s="9">
        <v>2019</v>
      </c>
      <c r="B497" s="6" t="s">
        <v>2539</v>
      </c>
      <c r="C497" s="9" t="s">
        <v>1823</v>
      </c>
      <c r="D497" s="6" t="s">
        <v>2524</v>
      </c>
      <c r="E497" s="6"/>
      <c r="F497" s="6" t="s">
        <v>2540</v>
      </c>
      <c r="G497" s="6" t="s">
        <v>611</v>
      </c>
      <c r="H497" s="121"/>
      <c r="I497" s="213" t="b">
        <v>0</v>
      </c>
      <c r="J497" s="213" t="b">
        <v>0</v>
      </c>
      <c r="K497" s="213" t="b">
        <v>0</v>
      </c>
    </row>
    <row r="498" spans="1:11" ht="38.25" hidden="1">
      <c r="A498" s="9">
        <v>2019</v>
      </c>
      <c r="B498" s="6" t="s">
        <v>1213</v>
      </c>
      <c r="C498" s="9" t="s">
        <v>61</v>
      </c>
      <c r="D498" s="6" t="s">
        <v>1141</v>
      </c>
      <c r="E498" s="6"/>
      <c r="F498" s="6" t="s">
        <v>1214</v>
      </c>
      <c r="G498" s="6" t="s">
        <v>1215</v>
      </c>
      <c r="H498" s="121">
        <v>96071.35</v>
      </c>
      <c r="I498" s="213" t="b">
        <v>0</v>
      </c>
      <c r="J498" s="213" t="b">
        <v>0</v>
      </c>
      <c r="K498" s="213" t="b">
        <v>0</v>
      </c>
    </row>
    <row r="499" spans="1:11" ht="38.25" hidden="1">
      <c r="A499" s="9">
        <v>2019</v>
      </c>
      <c r="B499" s="6" t="s">
        <v>821</v>
      </c>
      <c r="C499" s="9" t="s">
        <v>61</v>
      </c>
      <c r="D499" s="6" t="s">
        <v>394</v>
      </c>
      <c r="E499" s="6"/>
      <c r="F499" s="6" t="s">
        <v>822</v>
      </c>
      <c r="G499" s="6" t="s">
        <v>704</v>
      </c>
      <c r="H499" s="64">
        <v>60000</v>
      </c>
      <c r="I499" s="213" t="b">
        <v>0</v>
      </c>
      <c r="J499" s="213" t="b">
        <v>0</v>
      </c>
      <c r="K499" s="213" t="b">
        <v>0</v>
      </c>
    </row>
    <row r="500" spans="1:11" ht="25.5" hidden="1">
      <c r="A500" s="9">
        <v>2019</v>
      </c>
      <c r="B500" s="6" t="s">
        <v>823</v>
      </c>
      <c r="C500" s="9" t="s">
        <v>61</v>
      </c>
      <c r="D500" s="6" t="s">
        <v>586</v>
      </c>
      <c r="E500" s="6"/>
      <c r="F500" s="6" t="s">
        <v>2475</v>
      </c>
      <c r="G500" s="6" t="s">
        <v>956</v>
      </c>
      <c r="H500" s="121">
        <v>172000</v>
      </c>
      <c r="I500" s="213" t="b">
        <v>0</v>
      </c>
      <c r="J500" s="213" t="b">
        <v>0</v>
      </c>
      <c r="K500" s="213" t="b">
        <v>0</v>
      </c>
    </row>
    <row r="501" spans="1:11" ht="25.5" hidden="1">
      <c r="A501" s="9">
        <v>2019</v>
      </c>
      <c r="B501" s="6" t="s">
        <v>827</v>
      </c>
      <c r="C501" s="9" t="s">
        <v>61</v>
      </c>
      <c r="D501" s="6" t="s">
        <v>586</v>
      </c>
      <c r="E501" s="6"/>
      <c r="F501" s="6" t="s">
        <v>828</v>
      </c>
      <c r="G501" s="6" t="s">
        <v>829</v>
      </c>
      <c r="H501" s="121">
        <v>16346.44</v>
      </c>
      <c r="I501" s="213" t="b">
        <v>0</v>
      </c>
      <c r="J501" s="213" t="b">
        <v>0</v>
      </c>
      <c r="K501" s="213" t="b">
        <v>0</v>
      </c>
    </row>
    <row r="502" spans="1:11" ht="12.75" hidden="1">
      <c r="A502" s="9">
        <v>2019</v>
      </c>
      <c r="B502" s="6" t="s">
        <v>1628</v>
      </c>
      <c r="C502" s="9" t="s">
        <v>61</v>
      </c>
      <c r="D502" s="115" t="s">
        <v>586</v>
      </c>
      <c r="E502" s="6"/>
      <c r="F502" s="6" t="s">
        <v>2482</v>
      </c>
      <c r="G502" s="6" t="s">
        <v>5588</v>
      </c>
      <c r="H502" s="121">
        <v>1313432.7</v>
      </c>
      <c r="I502" s="213" t="b">
        <v>0</v>
      </c>
      <c r="J502" s="213" t="b">
        <v>0</v>
      </c>
      <c r="K502" s="213" t="b">
        <v>0</v>
      </c>
    </row>
    <row r="503" spans="1:11" ht="38.25" hidden="1">
      <c r="A503" s="9">
        <v>2019</v>
      </c>
      <c r="B503" s="6" t="s">
        <v>830</v>
      </c>
      <c r="C503" s="9" t="s">
        <v>61</v>
      </c>
      <c r="D503" s="6" t="s">
        <v>394</v>
      </c>
      <c r="E503" s="6"/>
      <c r="F503" s="6" t="s">
        <v>2487</v>
      </c>
      <c r="G503" s="6" t="s">
        <v>2488</v>
      </c>
      <c r="H503" s="64">
        <v>331376</v>
      </c>
      <c r="I503" s="213" t="b">
        <v>0</v>
      </c>
      <c r="J503" s="213" t="b">
        <v>0</v>
      </c>
      <c r="K503" s="213" t="b">
        <v>0</v>
      </c>
    </row>
    <row r="504" spans="1:11" ht="12.75" hidden="1">
      <c r="A504" s="9">
        <v>2019</v>
      </c>
      <c r="B504" s="6" t="s">
        <v>833</v>
      </c>
      <c r="C504" s="9" t="s">
        <v>61</v>
      </c>
      <c r="D504" s="6" t="s">
        <v>394</v>
      </c>
      <c r="E504" s="6"/>
      <c r="F504" s="6" t="s">
        <v>834</v>
      </c>
      <c r="G504" s="6" t="s">
        <v>835</v>
      </c>
      <c r="H504" s="64">
        <v>82500</v>
      </c>
      <c r="I504" s="213" t="b">
        <v>0</v>
      </c>
      <c r="J504" s="213" t="b">
        <v>0</v>
      </c>
      <c r="K504" s="213" t="b">
        <v>0</v>
      </c>
    </row>
    <row r="505" spans="1:11" ht="12.75" hidden="1">
      <c r="A505" s="9">
        <v>2019</v>
      </c>
      <c r="B505" s="6" t="s">
        <v>836</v>
      </c>
      <c r="C505" s="9" t="s">
        <v>61</v>
      </c>
      <c r="D505" s="6" t="s">
        <v>394</v>
      </c>
      <c r="E505" s="6"/>
      <c r="F505" s="6" t="s">
        <v>837</v>
      </c>
      <c r="G505" s="6" t="s">
        <v>838</v>
      </c>
      <c r="H505" s="64">
        <v>88500</v>
      </c>
      <c r="I505" s="213" t="b">
        <v>0</v>
      </c>
      <c r="J505" s="213" t="b">
        <v>0</v>
      </c>
      <c r="K505" s="213" t="b">
        <v>0</v>
      </c>
    </row>
    <row r="506" spans="1:11" ht="25.5" hidden="1">
      <c r="A506" s="9">
        <v>2019</v>
      </c>
      <c r="B506" s="6" t="s">
        <v>809</v>
      </c>
      <c r="C506" s="9" t="s">
        <v>61</v>
      </c>
      <c r="D506" s="6" t="s">
        <v>394</v>
      </c>
      <c r="E506" s="6"/>
      <c r="F506" s="6" t="s">
        <v>839</v>
      </c>
      <c r="G506" s="6" t="s">
        <v>840</v>
      </c>
      <c r="H506" s="64">
        <v>87000</v>
      </c>
      <c r="I506" s="213" t="b">
        <v>0</v>
      </c>
      <c r="J506" s="213" t="b">
        <v>0</v>
      </c>
      <c r="K506" s="213" t="b">
        <v>0</v>
      </c>
    </row>
    <row r="507" spans="1:11" ht="25.5" hidden="1">
      <c r="A507" s="9">
        <v>2019</v>
      </c>
      <c r="B507" s="6" t="s">
        <v>812</v>
      </c>
      <c r="C507" s="9" t="s">
        <v>61</v>
      </c>
      <c r="D507" s="6" t="s">
        <v>394</v>
      </c>
      <c r="E507" s="6"/>
      <c r="F507" s="6" t="s">
        <v>841</v>
      </c>
      <c r="G507" s="6" t="s">
        <v>842</v>
      </c>
      <c r="H507" s="64">
        <v>91000</v>
      </c>
      <c r="I507" s="213" t="b">
        <v>0</v>
      </c>
      <c r="J507" s="213" t="b">
        <v>0</v>
      </c>
      <c r="K507" s="213" t="b">
        <v>0</v>
      </c>
    </row>
    <row r="508" spans="1:11" ht="12.75" hidden="1">
      <c r="A508" s="9">
        <v>2019</v>
      </c>
      <c r="B508" s="6" t="s">
        <v>815</v>
      </c>
      <c r="C508" s="9" t="s">
        <v>61</v>
      </c>
      <c r="D508" s="6" t="s">
        <v>394</v>
      </c>
      <c r="E508" s="6"/>
      <c r="F508" s="6" t="s">
        <v>843</v>
      </c>
      <c r="G508" s="6" t="s">
        <v>844</v>
      </c>
      <c r="H508" s="64">
        <v>37000</v>
      </c>
      <c r="I508" s="213" t="b">
        <v>0</v>
      </c>
      <c r="J508" s="213" t="b">
        <v>0</v>
      </c>
      <c r="K508" s="213" t="b">
        <v>0</v>
      </c>
    </row>
    <row r="509" spans="1:11" ht="12.75" hidden="1">
      <c r="A509" s="9">
        <v>2019</v>
      </c>
      <c r="B509" s="6" t="s">
        <v>845</v>
      </c>
      <c r="C509" s="9" t="s">
        <v>61</v>
      </c>
      <c r="D509" s="6" t="s">
        <v>394</v>
      </c>
      <c r="E509" s="6"/>
      <c r="F509" s="6" t="s">
        <v>846</v>
      </c>
      <c r="G509" s="6" t="s">
        <v>844</v>
      </c>
      <c r="H509" s="64">
        <v>79000</v>
      </c>
      <c r="I509" s="213" t="b">
        <v>0</v>
      </c>
      <c r="J509" s="213" t="b">
        <v>0</v>
      </c>
      <c r="K509" s="213" t="b">
        <v>0</v>
      </c>
    </row>
    <row r="510" spans="1:11" ht="12.75" hidden="1">
      <c r="A510" s="9">
        <v>2019</v>
      </c>
      <c r="B510" s="6" t="s">
        <v>847</v>
      </c>
      <c r="C510" s="9" t="s">
        <v>61</v>
      </c>
      <c r="D510" s="6" t="s">
        <v>394</v>
      </c>
      <c r="E510" s="6"/>
      <c r="F510" s="6" t="s">
        <v>848</v>
      </c>
      <c r="G510" s="6" t="s">
        <v>849</v>
      </c>
      <c r="H510" s="64">
        <v>38250</v>
      </c>
      <c r="I510" s="213" t="b">
        <v>0</v>
      </c>
      <c r="J510" s="213" t="b">
        <v>0</v>
      </c>
      <c r="K510" s="213" t="b">
        <v>0</v>
      </c>
    </row>
    <row r="511" spans="1:11" ht="38.25" hidden="1">
      <c r="A511" s="9">
        <v>2019</v>
      </c>
      <c r="B511" s="6" t="s">
        <v>850</v>
      </c>
      <c r="C511" s="9" t="s">
        <v>61</v>
      </c>
      <c r="D511" s="6" t="s">
        <v>586</v>
      </c>
      <c r="E511" s="6"/>
      <c r="F511" s="6" t="s">
        <v>851</v>
      </c>
      <c r="G511" s="6" t="s">
        <v>852</v>
      </c>
      <c r="H511" s="121">
        <v>7560</v>
      </c>
      <c r="I511" s="213" t="b">
        <v>0</v>
      </c>
      <c r="J511" s="213" t="b">
        <v>0</v>
      </c>
      <c r="K511" s="213" t="b">
        <v>0</v>
      </c>
    </row>
    <row r="512" spans="1:11" ht="25.5" hidden="1">
      <c r="A512" s="9">
        <v>2019</v>
      </c>
      <c r="B512" s="6" t="s">
        <v>1210</v>
      </c>
      <c r="C512" s="9" t="s">
        <v>61</v>
      </c>
      <c r="D512" s="115" t="s">
        <v>394</v>
      </c>
      <c r="E512" s="6"/>
      <c r="F512" s="6" t="s">
        <v>1653</v>
      </c>
      <c r="G512" s="6" t="s">
        <v>842</v>
      </c>
      <c r="H512" s="121">
        <v>91800</v>
      </c>
      <c r="I512" s="213" t="b">
        <v>0</v>
      </c>
      <c r="J512" s="213" t="b">
        <v>0</v>
      </c>
      <c r="K512" s="213" t="b">
        <v>0</v>
      </c>
    </row>
    <row r="513" spans="1:11" ht="12.75" hidden="1">
      <c r="A513" s="9">
        <v>2019</v>
      </c>
      <c r="B513" s="6" t="s">
        <v>818</v>
      </c>
      <c r="C513" s="9" t="s">
        <v>61</v>
      </c>
      <c r="D513" s="6" t="s">
        <v>394</v>
      </c>
      <c r="E513" s="6"/>
      <c r="F513" s="6" t="s">
        <v>853</v>
      </c>
      <c r="G513" s="6" t="s">
        <v>854</v>
      </c>
      <c r="H513" s="64">
        <v>37500</v>
      </c>
      <c r="I513" s="213" t="b">
        <v>0</v>
      </c>
      <c r="J513" s="213" t="b">
        <v>0</v>
      </c>
      <c r="K513" s="213" t="b">
        <v>0</v>
      </c>
    </row>
    <row r="514" spans="1:11" ht="12.75" hidden="1">
      <c r="A514" s="9">
        <v>2019</v>
      </c>
      <c r="B514" s="6" t="s">
        <v>5589</v>
      </c>
      <c r="C514" s="9" t="s">
        <v>61</v>
      </c>
      <c r="D514" s="6" t="s">
        <v>586</v>
      </c>
      <c r="E514" s="9"/>
      <c r="F514" s="6" t="s">
        <v>825</v>
      </c>
      <c r="G514" s="6" t="s">
        <v>826</v>
      </c>
      <c r="H514" s="121">
        <v>4536</v>
      </c>
      <c r="I514" s="213" t="b">
        <v>0</v>
      </c>
      <c r="J514" s="213" t="b">
        <v>0</v>
      </c>
      <c r="K514" s="213" t="b">
        <v>0</v>
      </c>
    </row>
    <row r="515" spans="1:11" ht="12.75" hidden="1">
      <c r="A515" s="9">
        <v>2019</v>
      </c>
      <c r="B515" s="6" t="s">
        <v>5590</v>
      </c>
      <c r="C515" s="9" t="s">
        <v>61</v>
      </c>
      <c r="D515" s="6" t="s">
        <v>586</v>
      </c>
      <c r="E515" s="6"/>
      <c r="F515" s="6" t="s">
        <v>857</v>
      </c>
      <c r="G515" s="6" t="s">
        <v>2625</v>
      </c>
      <c r="H515" s="121">
        <v>55000</v>
      </c>
      <c r="I515" s="213" t="b">
        <v>0</v>
      </c>
      <c r="J515" s="213" t="b">
        <v>0</v>
      </c>
      <c r="K515" s="213" t="b">
        <v>0</v>
      </c>
    </row>
    <row r="516" spans="1:11" ht="12.75" hidden="1">
      <c r="A516" s="9">
        <v>2019</v>
      </c>
      <c r="B516" s="6" t="s">
        <v>5591</v>
      </c>
      <c r="C516" s="9" t="s">
        <v>61</v>
      </c>
      <c r="D516" s="6" t="s">
        <v>394</v>
      </c>
      <c r="E516" s="6"/>
      <c r="F516" s="6" t="s">
        <v>860</v>
      </c>
      <c r="G516" s="6" t="s">
        <v>854</v>
      </c>
      <c r="H516" s="64">
        <v>79000</v>
      </c>
      <c r="I516" s="213" t="b">
        <v>0</v>
      </c>
      <c r="J516" s="213" t="b">
        <v>0</v>
      </c>
      <c r="K516" s="213" t="b">
        <v>0</v>
      </c>
    </row>
    <row r="517" spans="1:11" ht="25.5" hidden="1">
      <c r="A517" s="9">
        <v>2019</v>
      </c>
      <c r="B517" s="6" t="s">
        <v>5592</v>
      </c>
      <c r="C517" s="9" t="s">
        <v>61</v>
      </c>
      <c r="D517" s="6" t="s">
        <v>586</v>
      </c>
      <c r="E517" s="6"/>
      <c r="F517" s="6" t="s">
        <v>862</v>
      </c>
      <c r="G517" s="6" t="s">
        <v>863</v>
      </c>
      <c r="H517" s="121">
        <v>1400</v>
      </c>
      <c r="I517" s="213" t="b">
        <v>0</v>
      </c>
      <c r="J517" s="213" t="b">
        <v>0</v>
      </c>
      <c r="K517" s="213" t="b">
        <v>0</v>
      </c>
    </row>
    <row r="518" spans="1:11" ht="25.5" hidden="1">
      <c r="A518" s="9">
        <v>2019</v>
      </c>
      <c r="B518" s="6" t="s">
        <v>5593</v>
      </c>
      <c r="C518" s="9" t="s">
        <v>61</v>
      </c>
      <c r="D518" s="6" t="s">
        <v>394</v>
      </c>
      <c r="E518" s="6"/>
      <c r="F518" s="6" t="s">
        <v>865</v>
      </c>
      <c r="G518" s="6" t="s">
        <v>866</v>
      </c>
      <c r="H518" s="64">
        <v>82800</v>
      </c>
      <c r="I518" s="213" t="b">
        <v>0</v>
      </c>
      <c r="J518" s="213" t="b">
        <v>0</v>
      </c>
      <c r="K518" s="213" t="b">
        <v>0</v>
      </c>
    </row>
    <row r="519" spans="1:11" ht="12.75" hidden="1">
      <c r="A519" s="9">
        <v>2019</v>
      </c>
      <c r="B519" s="6" t="s">
        <v>5594</v>
      </c>
      <c r="C519" s="9" t="s">
        <v>61</v>
      </c>
      <c r="D519" s="6" t="s">
        <v>394</v>
      </c>
      <c r="E519" s="6"/>
      <c r="F519" s="6" t="s">
        <v>868</v>
      </c>
      <c r="G519" s="6" t="s">
        <v>849</v>
      </c>
      <c r="H519" s="64">
        <v>79000</v>
      </c>
      <c r="I519" s="213" t="b">
        <v>0</v>
      </c>
      <c r="J519" s="213" t="b">
        <v>0</v>
      </c>
      <c r="K519" s="213" t="b">
        <v>0</v>
      </c>
    </row>
    <row r="520" spans="1:11" ht="38.25" hidden="1">
      <c r="A520" s="9">
        <v>2019</v>
      </c>
      <c r="B520" s="6" t="s">
        <v>5595</v>
      </c>
      <c r="C520" s="9" t="s">
        <v>61</v>
      </c>
      <c r="D520" s="6" t="s">
        <v>1838</v>
      </c>
      <c r="E520" s="6"/>
      <c r="F520" s="6" t="s">
        <v>2634</v>
      </c>
      <c r="G520" s="6" t="s">
        <v>575</v>
      </c>
      <c r="H520" s="121">
        <v>43140</v>
      </c>
      <c r="I520" s="213" t="b">
        <v>0</v>
      </c>
      <c r="J520" s="213" t="b">
        <v>0</v>
      </c>
      <c r="K520" s="213" t="b">
        <v>0</v>
      </c>
    </row>
    <row r="521" spans="1:11" ht="12.75" hidden="1">
      <c r="A521" s="9">
        <v>2019</v>
      </c>
      <c r="B521" s="6" t="s">
        <v>5596</v>
      </c>
      <c r="C521" s="9" t="s">
        <v>61</v>
      </c>
      <c r="D521" s="6" t="s">
        <v>394</v>
      </c>
      <c r="E521" s="6"/>
      <c r="F521" s="6" t="s">
        <v>870</v>
      </c>
      <c r="G521" s="6" t="s">
        <v>722</v>
      </c>
      <c r="H521" s="64">
        <v>90000</v>
      </c>
      <c r="I521" s="213" t="b">
        <v>0</v>
      </c>
      <c r="J521" s="213" t="b">
        <v>0</v>
      </c>
      <c r="K521" s="213" t="b">
        <v>0</v>
      </c>
    </row>
    <row r="522" spans="1:11" ht="25.5" hidden="1">
      <c r="A522" s="9">
        <v>2019</v>
      </c>
      <c r="B522" s="6" t="s">
        <v>5597</v>
      </c>
      <c r="C522" s="9" t="s">
        <v>61</v>
      </c>
      <c r="D522" s="6" t="s">
        <v>1141</v>
      </c>
      <c r="E522" s="6"/>
      <c r="F522" s="6" t="s">
        <v>1217</v>
      </c>
      <c r="G522" s="6" t="s">
        <v>1218</v>
      </c>
      <c r="H522" s="121">
        <v>92275.68</v>
      </c>
      <c r="I522" s="213" t="b">
        <v>0</v>
      </c>
      <c r="J522" s="213" t="b">
        <v>0</v>
      </c>
      <c r="K522" s="213" t="b">
        <v>0</v>
      </c>
    </row>
    <row r="523" spans="1:11" ht="25.5">
      <c r="A523" s="9">
        <v>2019</v>
      </c>
      <c r="B523" s="6" t="s">
        <v>5343</v>
      </c>
      <c r="C523" s="9" t="s">
        <v>61</v>
      </c>
      <c r="D523" s="9" t="s">
        <v>62</v>
      </c>
      <c r="E523" s="6"/>
      <c r="F523" s="6" t="s">
        <v>1220</v>
      </c>
      <c r="G523" s="6" t="s">
        <v>1179</v>
      </c>
      <c r="H523" s="121">
        <v>1717600</v>
      </c>
      <c r="I523" s="213" t="b">
        <v>0</v>
      </c>
      <c r="J523" s="213"/>
      <c r="K523" s="213"/>
    </row>
    <row r="524" spans="1:11" ht="25.5" hidden="1">
      <c r="A524" s="9">
        <v>2019</v>
      </c>
      <c r="B524" s="6" t="s">
        <v>2643</v>
      </c>
      <c r="C524" s="9" t="s">
        <v>1823</v>
      </c>
      <c r="D524" s="9" t="s">
        <v>62</v>
      </c>
      <c r="E524" s="6"/>
      <c r="F524" s="6" t="s">
        <v>2644</v>
      </c>
      <c r="G524" s="6" t="s">
        <v>1231</v>
      </c>
      <c r="H524" s="121"/>
      <c r="I524" s="213" t="b">
        <v>0</v>
      </c>
      <c r="J524" s="213" t="b">
        <v>0</v>
      </c>
      <c r="K524" s="213" t="b">
        <v>0</v>
      </c>
    </row>
    <row r="525" spans="1:11" ht="25.5">
      <c r="A525" s="9">
        <v>2019</v>
      </c>
      <c r="B525" s="6" t="s">
        <v>5344</v>
      </c>
      <c r="C525" s="9" t="s">
        <v>61</v>
      </c>
      <c r="D525" s="9" t="s">
        <v>62</v>
      </c>
      <c r="E525" s="6"/>
      <c r="F525" s="6" t="s">
        <v>1222</v>
      </c>
      <c r="G525" s="6" t="s">
        <v>1223</v>
      </c>
      <c r="H525" s="121">
        <v>468445.54</v>
      </c>
      <c r="I525" s="213" t="b">
        <v>0</v>
      </c>
      <c r="J525" s="213"/>
      <c r="K525" s="213"/>
    </row>
    <row r="526" spans="1:11" ht="25.5">
      <c r="A526" s="9">
        <v>2019</v>
      </c>
      <c r="B526" s="6" t="s">
        <v>5345</v>
      </c>
      <c r="C526" s="9" t="s">
        <v>61</v>
      </c>
      <c r="D526" s="9" t="s">
        <v>62</v>
      </c>
      <c r="E526" s="6"/>
      <c r="F526" s="6" t="s">
        <v>1225</v>
      </c>
      <c r="G526" s="6" t="s">
        <v>1226</v>
      </c>
      <c r="H526" s="121">
        <v>495000</v>
      </c>
      <c r="I526" s="213" t="b">
        <v>0</v>
      </c>
      <c r="J526" s="213"/>
      <c r="K526" s="213"/>
    </row>
    <row r="527" spans="1:11" ht="25.5">
      <c r="A527" s="9">
        <v>2019</v>
      </c>
      <c r="B527" s="6" t="s">
        <v>5346</v>
      </c>
      <c r="C527" s="9" t="s">
        <v>61</v>
      </c>
      <c r="D527" s="9" t="s">
        <v>62</v>
      </c>
      <c r="E527" s="6"/>
      <c r="F527" s="6" t="s">
        <v>2652</v>
      </c>
      <c r="G527" s="6" t="s">
        <v>1229</v>
      </c>
      <c r="H527" s="121">
        <v>500000</v>
      </c>
      <c r="I527" s="213" t="b">
        <v>0</v>
      </c>
      <c r="J527" s="213"/>
      <c r="K527" s="213"/>
    </row>
    <row r="528" spans="1:11" ht="38.25" hidden="1">
      <c r="A528" s="9">
        <v>2019</v>
      </c>
      <c r="B528" s="6" t="s">
        <v>871</v>
      </c>
      <c r="C528" s="9" t="s">
        <v>61</v>
      </c>
      <c r="D528" s="6" t="s">
        <v>394</v>
      </c>
      <c r="E528" s="6"/>
      <c r="F528" s="6" t="s">
        <v>872</v>
      </c>
      <c r="G528" s="6" t="s">
        <v>820</v>
      </c>
      <c r="H528" s="64">
        <v>79000</v>
      </c>
      <c r="I528" s="213" t="b">
        <v>0</v>
      </c>
      <c r="J528" s="213" t="b">
        <v>0</v>
      </c>
      <c r="K528" s="213" t="b">
        <v>0</v>
      </c>
    </row>
    <row r="529" spans="1:11" ht="25.5" hidden="1">
      <c r="A529" s="9">
        <v>2019</v>
      </c>
      <c r="B529" s="6" t="s">
        <v>873</v>
      </c>
      <c r="C529" s="9" t="s">
        <v>61</v>
      </c>
      <c r="D529" s="6" t="s">
        <v>394</v>
      </c>
      <c r="E529" s="6"/>
      <c r="F529" s="6" t="s">
        <v>874</v>
      </c>
      <c r="G529" s="6" t="s">
        <v>820</v>
      </c>
      <c r="H529" s="64">
        <v>34500</v>
      </c>
      <c r="I529" s="213" t="b">
        <v>0</v>
      </c>
      <c r="J529" s="213" t="b">
        <v>0</v>
      </c>
      <c r="K529" s="213" t="b">
        <v>0</v>
      </c>
    </row>
    <row r="530" spans="1:11" ht="63.75" hidden="1">
      <c r="A530" s="9">
        <v>2019</v>
      </c>
      <c r="B530" s="6" t="s">
        <v>875</v>
      </c>
      <c r="C530" s="9" t="s">
        <v>61</v>
      </c>
      <c r="D530" s="6" t="s">
        <v>113</v>
      </c>
      <c r="E530" s="6"/>
      <c r="F530" s="6" t="s">
        <v>876</v>
      </c>
      <c r="G530" s="6" t="s">
        <v>575</v>
      </c>
      <c r="H530" s="121"/>
      <c r="I530" s="213" t="b">
        <v>0</v>
      </c>
      <c r="J530" s="213" t="b">
        <v>0</v>
      </c>
      <c r="K530" s="213" t="b">
        <v>0</v>
      </c>
    </row>
    <row r="531" spans="1:11" ht="25.5" hidden="1">
      <c r="A531" s="9">
        <v>2019</v>
      </c>
      <c r="B531" s="6" t="s">
        <v>877</v>
      </c>
      <c r="C531" s="9" t="s">
        <v>61</v>
      </c>
      <c r="D531" s="112" t="s">
        <v>68</v>
      </c>
      <c r="E531" s="9"/>
      <c r="F531" s="6" t="s">
        <v>878</v>
      </c>
      <c r="G531" s="6" t="s">
        <v>879</v>
      </c>
      <c r="H531" s="121">
        <v>186604.41</v>
      </c>
      <c r="I531" s="213" t="b">
        <v>0</v>
      </c>
      <c r="J531" s="213" t="b">
        <v>0</v>
      </c>
      <c r="K531" s="213" t="b">
        <v>0</v>
      </c>
    </row>
    <row r="532" spans="1:11" ht="38.25" hidden="1">
      <c r="A532" s="9">
        <v>2019</v>
      </c>
      <c r="B532" s="6" t="s">
        <v>1230</v>
      </c>
      <c r="C532" s="9" t="s">
        <v>61</v>
      </c>
      <c r="D532" s="6" t="s">
        <v>1231</v>
      </c>
      <c r="E532" s="6"/>
      <c r="F532" s="6" t="s">
        <v>1232</v>
      </c>
      <c r="G532" s="6" t="s">
        <v>575</v>
      </c>
      <c r="H532" s="121"/>
      <c r="I532" s="213" t="b">
        <v>0</v>
      </c>
      <c r="J532" s="213" t="b">
        <v>0</v>
      </c>
      <c r="K532" s="213" t="b">
        <v>0</v>
      </c>
    </row>
    <row r="533" spans="1:11" ht="51" hidden="1">
      <c r="A533" s="9">
        <v>2019</v>
      </c>
      <c r="B533" s="6" t="s">
        <v>2661</v>
      </c>
      <c r="C533" s="9" t="s">
        <v>61</v>
      </c>
      <c r="D533" s="6" t="s">
        <v>1838</v>
      </c>
      <c r="E533" s="6"/>
      <c r="F533" s="6" t="s">
        <v>2662</v>
      </c>
      <c r="G533" s="6" t="s">
        <v>575</v>
      </c>
      <c r="H533" s="121">
        <v>50000</v>
      </c>
      <c r="I533" s="213" t="b">
        <v>0</v>
      </c>
      <c r="J533" s="213" t="b">
        <v>0</v>
      </c>
      <c r="K533" s="213" t="b">
        <v>0</v>
      </c>
    </row>
    <row r="534" spans="1:11" ht="63.75" hidden="1">
      <c r="A534" s="9">
        <v>2019</v>
      </c>
      <c r="B534" s="6" t="s">
        <v>880</v>
      </c>
      <c r="C534" s="9" t="s">
        <v>61</v>
      </c>
      <c r="D534" s="6" t="s">
        <v>394</v>
      </c>
      <c r="E534" s="6"/>
      <c r="F534" s="6" t="s">
        <v>881</v>
      </c>
      <c r="G534" s="6" t="s">
        <v>882</v>
      </c>
      <c r="H534" s="64">
        <v>74000</v>
      </c>
      <c r="I534" s="213" t="b">
        <v>0</v>
      </c>
      <c r="J534" s="213" t="b">
        <v>0</v>
      </c>
      <c r="K534" s="213" t="b">
        <v>0</v>
      </c>
    </row>
    <row r="535" spans="1:11" ht="51" hidden="1">
      <c r="A535" s="9">
        <v>2019</v>
      </c>
      <c r="B535" s="6" t="s">
        <v>2663</v>
      </c>
      <c r="C535" s="9" t="s">
        <v>61</v>
      </c>
      <c r="D535" s="6" t="s">
        <v>1838</v>
      </c>
      <c r="E535" s="6"/>
      <c r="F535" s="6" t="s">
        <v>2664</v>
      </c>
      <c r="G535" s="6"/>
      <c r="H535" s="121">
        <v>65300</v>
      </c>
      <c r="I535" s="213" t="b">
        <v>0</v>
      </c>
      <c r="J535" s="213" t="b">
        <v>0</v>
      </c>
      <c r="K535" s="213" t="b">
        <v>0</v>
      </c>
    </row>
    <row r="536" spans="1:11" ht="51" hidden="1">
      <c r="A536" s="9">
        <v>2019</v>
      </c>
      <c r="B536" s="6" t="s">
        <v>883</v>
      </c>
      <c r="C536" s="9" t="s">
        <v>61</v>
      </c>
      <c r="D536" s="112" t="s">
        <v>68</v>
      </c>
      <c r="E536" s="6"/>
      <c r="F536" s="6" t="s">
        <v>884</v>
      </c>
      <c r="G536" s="6" t="s">
        <v>885</v>
      </c>
      <c r="H536" s="121">
        <v>199300</v>
      </c>
      <c r="I536" s="213" t="b">
        <v>0</v>
      </c>
      <c r="J536" s="213" t="b">
        <v>0</v>
      </c>
      <c r="K536" s="213" t="b">
        <v>0</v>
      </c>
    </row>
    <row r="537" spans="1:11" ht="38.25" hidden="1">
      <c r="A537" s="9">
        <v>2019</v>
      </c>
      <c r="B537" s="6" t="s">
        <v>886</v>
      </c>
      <c r="C537" s="9" t="s">
        <v>61</v>
      </c>
      <c r="D537" s="6" t="s">
        <v>652</v>
      </c>
      <c r="E537" s="9"/>
      <c r="F537" s="6" t="s">
        <v>2666</v>
      </c>
      <c r="G537" s="6" t="s">
        <v>888</v>
      </c>
      <c r="H537" s="121">
        <v>182454</v>
      </c>
      <c r="I537" s="213" t="b">
        <v>0</v>
      </c>
      <c r="J537" s="213" t="b">
        <v>0</v>
      </c>
      <c r="K537" s="213" t="b">
        <v>0</v>
      </c>
    </row>
    <row r="538" spans="1:11" ht="12.75" hidden="1">
      <c r="A538" s="9">
        <v>2019</v>
      </c>
      <c r="B538" s="6" t="s">
        <v>889</v>
      </c>
      <c r="C538" s="9" t="s">
        <v>61</v>
      </c>
      <c r="D538" s="6" t="s">
        <v>586</v>
      </c>
      <c r="E538" s="6"/>
      <c r="F538" s="6" t="s">
        <v>2668</v>
      </c>
      <c r="G538" s="6" t="s">
        <v>2669</v>
      </c>
      <c r="H538" s="121">
        <v>2350</v>
      </c>
      <c r="I538" s="213" t="b">
        <v>0</v>
      </c>
      <c r="J538" s="213" t="b">
        <v>0</v>
      </c>
      <c r="K538" s="213" t="b">
        <v>0</v>
      </c>
    </row>
    <row r="539" spans="1:11" ht="25.5" hidden="1">
      <c r="A539" s="9">
        <v>2019</v>
      </c>
      <c r="B539" s="6" t="s">
        <v>2671</v>
      </c>
      <c r="C539" s="9" t="s">
        <v>61</v>
      </c>
      <c r="D539" s="6" t="s">
        <v>1838</v>
      </c>
      <c r="E539" s="6"/>
      <c r="F539" s="6" t="s">
        <v>2672</v>
      </c>
      <c r="G539" s="6" t="s">
        <v>575</v>
      </c>
      <c r="H539" s="121">
        <v>200000</v>
      </c>
      <c r="I539" s="213" t="b">
        <v>0</v>
      </c>
      <c r="J539" s="213" t="b">
        <v>0</v>
      </c>
      <c r="K539" s="213" t="b">
        <v>0</v>
      </c>
    </row>
    <row r="540" spans="1:11" ht="25.5" hidden="1">
      <c r="A540" s="9">
        <v>2019</v>
      </c>
      <c r="B540" s="6" t="s">
        <v>1233</v>
      </c>
      <c r="C540" s="9" t="s">
        <v>61</v>
      </c>
      <c r="D540" s="6" t="s">
        <v>1141</v>
      </c>
      <c r="E540" s="6"/>
      <c r="F540" s="6" t="s">
        <v>1234</v>
      </c>
      <c r="G540" s="64" t="s">
        <v>1215</v>
      </c>
      <c r="H540" s="121">
        <v>16685</v>
      </c>
      <c r="I540" s="213" t="b">
        <v>0</v>
      </c>
      <c r="J540" s="213" t="b">
        <v>0</v>
      </c>
      <c r="K540" s="213" t="b">
        <v>0</v>
      </c>
    </row>
    <row r="541" spans="1:11" ht="25.5" hidden="1">
      <c r="A541" s="9">
        <v>2019</v>
      </c>
      <c r="B541" s="6" t="s">
        <v>1235</v>
      </c>
      <c r="C541" s="9" t="s">
        <v>61</v>
      </c>
      <c r="D541" s="6" t="s">
        <v>1141</v>
      </c>
      <c r="E541" s="6"/>
      <c r="F541" s="6" t="s">
        <v>1236</v>
      </c>
      <c r="G541" s="64" t="s">
        <v>1215</v>
      </c>
      <c r="H541" s="121">
        <v>77500</v>
      </c>
      <c r="I541" s="213" t="b">
        <v>0</v>
      </c>
      <c r="J541" s="213" t="b">
        <v>0</v>
      </c>
      <c r="K541" s="213" t="b">
        <v>0</v>
      </c>
    </row>
    <row r="542" spans="1:11" ht="25.5" hidden="1">
      <c r="A542" s="9">
        <v>2019</v>
      </c>
      <c r="B542" s="6" t="s">
        <v>1237</v>
      </c>
      <c r="C542" s="9" t="s">
        <v>61</v>
      </c>
      <c r="D542" s="6" t="s">
        <v>1141</v>
      </c>
      <c r="E542" s="6"/>
      <c r="F542" s="6" t="s">
        <v>1238</v>
      </c>
      <c r="G542" s="64" t="s">
        <v>1215</v>
      </c>
      <c r="H542" s="121">
        <v>110050</v>
      </c>
      <c r="I542" s="213" t="b">
        <v>0</v>
      </c>
      <c r="J542" s="213" t="b">
        <v>0</v>
      </c>
      <c r="K542" s="213" t="b">
        <v>0</v>
      </c>
    </row>
    <row r="543" spans="1:11" ht="25.5" hidden="1">
      <c r="A543" s="9">
        <v>2019</v>
      </c>
      <c r="B543" s="6" t="s">
        <v>892</v>
      </c>
      <c r="C543" s="9" t="s">
        <v>61</v>
      </c>
      <c r="D543" s="6" t="s">
        <v>586</v>
      </c>
      <c r="E543" s="6"/>
      <c r="F543" s="6" t="s">
        <v>893</v>
      </c>
      <c r="G543" s="6" t="s">
        <v>894</v>
      </c>
      <c r="H543" s="121">
        <v>18800</v>
      </c>
      <c r="I543" s="213" t="b">
        <v>0</v>
      </c>
      <c r="J543" s="213" t="b">
        <v>0</v>
      </c>
      <c r="K543" s="213" t="b">
        <v>0</v>
      </c>
    </row>
    <row r="544" spans="1:11" ht="25.5" hidden="1">
      <c r="A544" s="9">
        <v>2019</v>
      </c>
      <c r="B544" s="6" t="s">
        <v>895</v>
      </c>
      <c r="C544" s="9" t="s">
        <v>61</v>
      </c>
      <c r="D544" s="6" t="s">
        <v>394</v>
      </c>
      <c r="E544" s="6"/>
      <c r="F544" s="6" t="s">
        <v>896</v>
      </c>
      <c r="G544" s="6" t="s">
        <v>897</v>
      </c>
      <c r="H544" s="64">
        <v>120000</v>
      </c>
      <c r="I544" s="213" t="b">
        <v>0</v>
      </c>
      <c r="J544" s="213" t="b">
        <v>0</v>
      </c>
      <c r="K544" s="213" t="b">
        <v>0</v>
      </c>
    </row>
    <row r="545" spans="1:11" ht="25.5" hidden="1">
      <c r="A545" s="9">
        <v>2019</v>
      </c>
      <c r="B545" s="6" t="s">
        <v>898</v>
      </c>
      <c r="C545" s="9" t="s">
        <v>61</v>
      </c>
      <c r="D545" s="6" t="s">
        <v>586</v>
      </c>
      <c r="E545" s="9"/>
      <c r="F545" s="6" t="s">
        <v>899</v>
      </c>
      <c r="G545" s="6" t="s">
        <v>900</v>
      </c>
      <c r="H545" s="121">
        <v>8440</v>
      </c>
      <c r="I545" s="213" t="b">
        <v>0</v>
      </c>
      <c r="J545" s="213" t="b">
        <v>0</v>
      </c>
      <c r="K545" s="213" t="b">
        <v>0</v>
      </c>
    </row>
    <row r="546" spans="1:11" ht="25.5" hidden="1">
      <c r="A546" s="9">
        <v>2019</v>
      </c>
      <c r="B546" s="6" t="s">
        <v>901</v>
      </c>
      <c r="C546" s="9" t="s">
        <v>61</v>
      </c>
      <c r="D546" s="6" t="s">
        <v>586</v>
      </c>
      <c r="E546" s="6"/>
      <c r="F546" s="6" t="s">
        <v>902</v>
      </c>
      <c r="G546" s="6" t="s">
        <v>903</v>
      </c>
      <c r="H546" s="121">
        <v>14400</v>
      </c>
      <c r="I546" s="213" t="b">
        <v>0</v>
      </c>
      <c r="J546" s="213" t="b">
        <v>0</v>
      </c>
      <c r="K546" s="213" t="b">
        <v>0</v>
      </c>
    </row>
    <row r="547" spans="1:11" ht="38.25" hidden="1">
      <c r="A547" s="9">
        <v>2019</v>
      </c>
      <c r="B547" s="6" t="s">
        <v>904</v>
      </c>
      <c r="C547" s="9" t="s">
        <v>61</v>
      </c>
      <c r="D547" s="6" t="s">
        <v>586</v>
      </c>
      <c r="E547" s="6"/>
      <c r="F547" s="6" t="s">
        <v>905</v>
      </c>
      <c r="G547" s="6" t="s">
        <v>906</v>
      </c>
      <c r="H547" s="121">
        <v>10360</v>
      </c>
      <c r="I547" s="213" t="b">
        <v>0</v>
      </c>
      <c r="J547" s="213" t="b">
        <v>0</v>
      </c>
      <c r="K547" s="213" t="b">
        <v>0</v>
      </c>
    </row>
    <row r="548" spans="1:11" ht="38.25" hidden="1">
      <c r="A548" s="9">
        <v>2019</v>
      </c>
      <c r="B548" s="6" t="s">
        <v>907</v>
      </c>
      <c r="C548" s="9" t="s">
        <v>61</v>
      </c>
      <c r="D548" s="112" t="s">
        <v>68</v>
      </c>
      <c r="E548" s="6"/>
      <c r="F548" s="6" t="s">
        <v>2679</v>
      </c>
      <c r="G548" s="6" t="s">
        <v>909</v>
      </c>
      <c r="H548" s="121">
        <v>200000</v>
      </c>
      <c r="I548" s="213" t="b">
        <v>0</v>
      </c>
      <c r="J548" s="213" t="b">
        <v>0</v>
      </c>
      <c r="K548" s="213" t="b">
        <v>0</v>
      </c>
    </row>
    <row r="549" spans="1:11" ht="25.5" hidden="1">
      <c r="A549" s="9">
        <v>2019</v>
      </c>
      <c r="B549" s="6" t="s">
        <v>910</v>
      </c>
      <c r="C549" s="9" t="s">
        <v>61</v>
      </c>
      <c r="D549" s="112" t="s">
        <v>68</v>
      </c>
      <c r="E549" s="6"/>
      <c r="F549" s="6" t="s">
        <v>911</v>
      </c>
      <c r="G549" s="6" t="s">
        <v>912</v>
      </c>
      <c r="H549" s="121">
        <v>200018.5</v>
      </c>
      <c r="I549" s="213" t="b">
        <v>0</v>
      </c>
      <c r="J549" s="213" t="b">
        <v>0</v>
      </c>
      <c r="K549" s="213" t="b">
        <v>0</v>
      </c>
    </row>
    <row r="550" spans="1:11" ht="25.5" hidden="1">
      <c r="A550" s="9">
        <v>2019</v>
      </c>
      <c r="B550" s="6" t="s">
        <v>913</v>
      </c>
      <c r="C550" s="9" t="s">
        <v>61</v>
      </c>
      <c r="D550" s="6" t="s">
        <v>652</v>
      </c>
      <c r="E550" s="6"/>
      <c r="F550" s="6" t="s">
        <v>914</v>
      </c>
      <c r="G550" s="6" t="s">
        <v>915</v>
      </c>
      <c r="H550" s="121">
        <v>73365</v>
      </c>
      <c r="I550" s="213" t="b">
        <v>0</v>
      </c>
      <c r="J550" s="213" t="b">
        <v>0</v>
      </c>
      <c r="K550" s="213" t="b">
        <v>0</v>
      </c>
    </row>
    <row r="551" spans="1:11" ht="51" hidden="1">
      <c r="A551" s="9">
        <v>2019</v>
      </c>
      <c r="B551" s="6" t="s">
        <v>916</v>
      </c>
      <c r="C551" s="9" t="s">
        <v>61</v>
      </c>
      <c r="D551" s="112" t="s">
        <v>68</v>
      </c>
      <c r="E551" s="6"/>
      <c r="F551" s="6" t="s">
        <v>917</v>
      </c>
      <c r="G551" s="6" t="s">
        <v>918</v>
      </c>
      <c r="H551" s="121">
        <v>199926</v>
      </c>
      <c r="I551" s="213" t="b">
        <v>0</v>
      </c>
      <c r="J551" s="213" t="b">
        <v>0</v>
      </c>
      <c r="K551" s="213" t="b">
        <v>0</v>
      </c>
    </row>
    <row r="552" spans="1:11" ht="25.5" hidden="1">
      <c r="A552" s="9">
        <v>2019</v>
      </c>
      <c r="B552" s="6" t="s">
        <v>919</v>
      </c>
      <c r="C552" s="9" t="s">
        <v>61</v>
      </c>
      <c r="D552" s="112" t="s">
        <v>68</v>
      </c>
      <c r="E552" s="6"/>
      <c r="F552" s="6" t="s">
        <v>920</v>
      </c>
      <c r="G552" s="6" t="s">
        <v>921</v>
      </c>
      <c r="H552" s="121">
        <v>167255.802</v>
      </c>
      <c r="I552" s="213" t="b">
        <v>0</v>
      </c>
      <c r="J552" s="213" t="b">
        <v>0</v>
      </c>
      <c r="K552" s="213" t="b">
        <v>0</v>
      </c>
    </row>
    <row r="553" spans="1:11" ht="25.5" hidden="1">
      <c r="A553" s="9">
        <v>2019</v>
      </c>
      <c r="B553" s="6" t="s">
        <v>1239</v>
      </c>
      <c r="C553" s="9" t="s">
        <v>61</v>
      </c>
      <c r="D553" s="6" t="s">
        <v>1141</v>
      </c>
      <c r="E553" s="6"/>
      <c r="F553" s="6" t="s">
        <v>1240</v>
      </c>
      <c r="G553" s="6" t="s">
        <v>1241</v>
      </c>
      <c r="H553" s="121">
        <v>57545.95</v>
      </c>
      <c r="I553" s="213" t="b">
        <v>0</v>
      </c>
      <c r="J553" s="213" t="b">
        <v>0</v>
      </c>
      <c r="K553" s="213" t="b">
        <v>0</v>
      </c>
    </row>
    <row r="554" spans="1:11" ht="25.5" hidden="1">
      <c r="A554" s="9">
        <v>2019</v>
      </c>
      <c r="B554" s="6" t="s">
        <v>922</v>
      </c>
      <c r="C554" s="9" t="s">
        <v>61</v>
      </c>
      <c r="D554" s="17" t="s">
        <v>1877</v>
      </c>
      <c r="E554" s="6"/>
      <c r="F554" s="6" t="s">
        <v>923</v>
      </c>
      <c r="G554" s="6" t="s">
        <v>924</v>
      </c>
      <c r="H554" s="121">
        <v>48100</v>
      </c>
      <c r="I554" s="213" t="b">
        <v>0</v>
      </c>
      <c r="J554" s="213" t="b">
        <v>0</v>
      </c>
      <c r="K554" s="213" t="b">
        <v>0</v>
      </c>
    </row>
    <row r="555" spans="1:11" ht="25.5" hidden="1">
      <c r="A555" s="9">
        <v>2019</v>
      </c>
      <c r="B555" s="61">
        <v>43647</v>
      </c>
      <c r="C555" s="9" t="s">
        <v>61</v>
      </c>
      <c r="D555" s="115" t="s">
        <v>1383</v>
      </c>
      <c r="E555" s="6"/>
      <c r="F555" s="6" t="s">
        <v>1567</v>
      </c>
      <c r="G555" s="6" t="s">
        <v>2447</v>
      </c>
      <c r="H555" s="121">
        <v>200000</v>
      </c>
      <c r="I555" s="213" t="b">
        <v>0</v>
      </c>
      <c r="J555" s="213" t="b">
        <v>0</v>
      </c>
      <c r="K555" s="213" t="b">
        <v>0</v>
      </c>
    </row>
    <row r="556" spans="1:11" ht="25.5" hidden="1">
      <c r="A556" s="9">
        <v>2019</v>
      </c>
      <c r="B556" s="6" t="s">
        <v>1207</v>
      </c>
      <c r="C556" s="9" t="s">
        <v>1926</v>
      </c>
      <c r="D556" s="115" t="s">
        <v>1383</v>
      </c>
      <c r="E556" s="6"/>
      <c r="F556" s="6" t="s">
        <v>2616</v>
      </c>
      <c r="G556" s="6" t="s">
        <v>2617</v>
      </c>
      <c r="H556" s="168" t="s">
        <v>2615</v>
      </c>
      <c r="I556" s="213" t="b">
        <v>0</v>
      </c>
      <c r="J556" s="213" t="b">
        <v>0</v>
      </c>
      <c r="K556" s="213" t="b">
        <v>0</v>
      </c>
    </row>
    <row r="557" spans="1:11" ht="51" hidden="1">
      <c r="A557" s="9">
        <v>2019</v>
      </c>
      <c r="B557" s="61">
        <v>43678</v>
      </c>
      <c r="C557" s="9" t="s">
        <v>61</v>
      </c>
      <c r="D557" s="115" t="s">
        <v>1383</v>
      </c>
      <c r="E557" s="6"/>
      <c r="F557" s="6" t="s">
        <v>1568</v>
      </c>
      <c r="G557" s="6" t="s">
        <v>1569</v>
      </c>
      <c r="H557" s="121">
        <v>200000</v>
      </c>
      <c r="I557" s="213" t="b">
        <v>0</v>
      </c>
      <c r="J557" s="213" t="b">
        <v>0</v>
      </c>
      <c r="K557" s="213" t="b">
        <v>0</v>
      </c>
    </row>
    <row r="558" spans="1:11" ht="76.5" hidden="1">
      <c r="A558" s="9">
        <v>2019</v>
      </c>
      <c r="B558" s="62">
        <v>43709</v>
      </c>
      <c r="C558" s="9" t="s">
        <v>61</v>
      </c>
      <c r="D558" s="115" t="s">
        <v>1383</v>
      </c>
      <c r="E558" s="6"/>
      <c r="F558" s="6" t="s">
        <v>1570</v>
      </c>
      <c r="G558" s="6" t="s">
        <v>1502</v>
      </c>
      <c r="H558" s="121">
        <v>200000</v>
      </c>
      <c r="I558" s="213" t="b">
        <v>0</v>
      </c>
      <c r="J558" s="213" t="b">
        <v>0</v>
      </c>
      <c r="K558" s="213" t="b">
        <v>0</v>
      </c>
    </row>
    <row r="559" spans="1:11" ht="51" hidden="1">
      <c r="A559" s="9">
        <v>2019</v>
      </c>
      <c r="B559" s="61">
        <v>43739</v>
      </c>
      <c r="C559" s="9" t="s">
        <v>61</v>
      </c>
      <c r="D559" s="115" t="s">
        <v>1383</v>
      </c>
      <c r="E559" s="132"/>
      <c r="F559" s="132" t="s">
        <v>2450</v>
      </c>
      <c r="G559" s="132" t="s">
        <v>1572</v>
      </c>
      <c r="H559" s="146">
        <v>200000</v>
      </c>
      <c r="I559" s="213" t="b">
        <v>0</v>
      </c>
      <c r="J559" s="213" t="b">
        <v>0</v>
      </c>
      <c r="K559" s="213" t="b">
        <v>0</v>
      </c>
    </row>
    <row r="560" spans="1:11" ht="38.25" hidden="1">
      <c r="A560" s="9">
        <v>2019</v>
      </c>
      <c r="B560" s="62">
        <v>43770</v>
      </c>
      <c r="C560" s="9" t="s">
        <v>61</v>
      </c>
      <c r="D560" s="115" t="s">
        <v>1383</v>
      </c>
      <c r="E560" s="6"/>
      <c r="F560" s="6" t="s">
        <v>1573</v>
      </c>
      <c r="G560" s="6" t="s">
        <v>1574</v>
      </c>
      <c r="H560" s="121">
        <v>200000</v>
      </c>
      <c r="I560" s="213" t="b">
        <v>0</v>
      </c>
      <c r="J560" s="213" t="b">
        <v>0</v>
      </c>
      <c r="K560" s="213" t="b">
        <v>0</v>
      </c>
    </row>
    <row r="561" spans="1:11" ht="38.25" hidden="1">
      <c r="A561" s="9">
        <v>2019</v>
      </c>
      <c r="B561" s="62">
        <v>43800</v>
      </c>
      <c r="C561" s="9" t="s">
        <v>61</v>
      </c>
      <c r="D561" s="115" t="s">
        <v>1383</v>
      </c>
      <c r="E561" s="6"/>
      <c r="F561" s="6" t="s">
        <v>1575</v>
      </c>
      <c r="G561" s="6" t="s">
        <v>1576</v>
      </c>
      <c r="H561" s="121">
        <v>500000</v>
      </c>
      <c r="I561" s="213" t="b">
        <v>0</v>
      </c>
      <c r="J561" s="213" t="b">
        <v>0</v>
      </c>
      <c r="K561" s="213" t="b">
        <v>0</v>
      </c>
    </row>
    <row r="562" spans="1:11" ht="63.75" hidden="1">
      <c r="A562" s="9">
        <v>2019</v>
      </c>
      <c r="B562" s="6" t="s">
        <v>1577</v>
      </c>
      <c r="C562" s="9" t="s">
        <v>61</v>
      </c>
      <c r="D562" s="115" t="s">
        <v>1383</v>
      </c>
      <c r="E562" s="6"/>
      <c r="F562" s="6" t="s">
        <v>1578</v>
      </c>
      <c r="G562" s="6" t="s">
        <v>575</v>
      </c>
      <c r="H562" s="121">
        <v>130600</v>
      </c>
      <c r="I562" s="213" t="b">
        <v>0</v>
      </c>
      <c r="J562" s="213" t="b">
        <v>0</v>
      </c>
      <c r="K562" s="213" t="b">
        <v>0</v>
      </c>
    </row>
    <row r="563" spans="1:11" ht="25.5" hidden="1">
      <c r="A563" s="9">
        <v>2019</v>
      </c>
      <c r="B563" s="6" t="s">
        <v>2465</v>
      </c>
      <c r="C563" s="9" t="s">
        <v>61</v>
      </c>
      <c r="D563" s="115" t="s">
        <v>1383</v>
      </c>
      <c r="E563" s="6"/>
      <c r="F563" s="6" t="s">
        <v>2466</v>
      </c>
      <c r="G563" s="6" t="s">
        <v>722</v>
      </c>
      <c r="H563" s="121">
        <v>172000</v>
      </c>
      <c r="I563" s="213" t="b">
        <v>0</v>
      </c>
      <c r="J563" s="213" t="b">
        <v>0</v>
      </c>
      <c r="K563" s="213" t="b">
        <v>0</v>
      </c>
    </row>
    <row r="564" spans="1:11" ht="38.25" hidden="1">
      <c r="A564" s="9">
        <v>2019</v>
      </c>
      <c r="B564" s="6" t="s">
        <v>2468</v>
      </c>
      <c r="C564" s="9" t="s">
        <v>61</v>
      </c>
      <c r="D564" s="115" t="s">
        <v>1383</v>
      </c>
      <c r="E564" s="6"/>
      <c r="F564" s="6" t="s">
        <v>2469</v>
      </c>
      <c r="G564" s="6" t="s">
        <v>1478</v>
      </c>
      <c r="H564" s="121">
        <v>172000</v>
      </c>
      <c r="I564" s="213" t="b">
        <v>0</v>
      </c>
      <c r="J564" s="213" t="b">
        <v>0</v>
      </c>
      <c r="K564" s="213" t="b">
        <v>0</v>
      </c>
    </row>
    <row r="565" spans="1:11" ht="25.5" hidden="1">
      <c r="A565" s="9">
        <v>2019</v>
      </c>
      <c r="B565" s="6" t="s">
        <v>1618</v>
      </c>
      <c r="C565" s="9" t="s">
        <v>61</v>
      </c>
      <c r="D565" s="115" t="s">
        <v>1383</v>
      </c>
      <c r="E565" s="6"/>
      <c r="F565" s="6" t="s">
        <v>2470</v>
      </c>
      <c r="G565" s="6" t="s">
        <v>2471</v>
      </c>
      <c r="H565" s="121">
        <v>172000</v>
      </c>
      <c r="I565" s="213" t="b">
        <v>0</v>
      </c>
      <c r="J565" s="213" t="b">
        <v>0</v>
      </c>
      <c r="K565" s="213" t="b">
        <v>0</v>
      </c>
    </row>
    <row r="566" spans="1:11" ht="25.5" hidden="1">
      <c r="A566" s="9">
        <v>2019</v>
      </c>
      <c r="B566" s="6" t="s">
        <v>1620</v>
      </c>
      <c r="C566" s="9" t="s">
        <v>61</v>
      </c>
      <c r="D566" s="115" t="s">
        <v>1383</v>
      </c>
      <c r="E566" s="6"/>
      <c r="F566" s="6" t="s">
        <v>2473</v>
      </c>
      <c r="G566" s="6" t="s">
        <v>581</v>
      </c>
      <c r="H566" s="121">
        <v>172000</v>
      </c>
      <c r="I566" s="213" t="b">
        <v>0</v>
      </c>
      <c r="J566" s="213" t="b">
        <v>0</v>
      </c>
      <c r="K566" s="213" t="b">
        <v>0</v>
      </c>
    </row>
    <row r="567" spans="1:11" ht="25.5" hidden="1">
      <c r="A567" s="9">
        <v>2019</v>
      </c>
      <c r="B567" s="6" t="s">
        <v>823</v>
      </c>
      <c r="C567" s="9" t="s">
        <v>61</v>
      </c>
      <c r="D567" s="115" t="s">
        <v>1383</v>
      </c>
      <c r="E567" s="6"/>
      <c r="F567" s="6" t="s">
        <v>2475</v>
      </c>
      <c r="G567" s="6" t="s">
        <v>956</v>
      </c>
      <c r="H567" s="121">
        <v>172000</v>
      </c>
      <c r="I567" s="213" t="b">
        <v>0</v>
      </c>
      <c r="J567" s="213" t="b">
        <v>0</v>
      </c>
      <c r="K567" s="213" t="b">
        <v>0</v>
      </c>
    </row>
    <row r="568" spans="1:11" ht="38.25" hidden="1">
      <c r="A568" s="9">
        <v>2019</v>
      </c>
      <c r="B568" s="6" t="s">
        <v>850</v>
      </c>
      <c r="C568" s="9" t="s">
        <v>61</v>
      </c>
      <c r="D568" s="115" t="s">
        <v>1383</v>
      </c>
      <c r="E568" s="6"/>
      <c r="F568" s="6" t="s">
        <v>1579</v>
      </c>
      <c r="G568" s="6" t="s">
        <v>1580</v>
      </c>
      <c r="H568" s="121">
        <v>500000</v>
      </c>
      <c r="I568" s="213" t="b">
        <v>0</v>
      </c>
      <c r="J568" s="213" t="b">
        <v>0</v>
      </c>
      <c r="K568" s="213" t="b">
        <v>0</v>
      </c>
    </row>
    <row r="569" spans="1:11" ht="38.25" hidden="1">
      <c r="A569" s="9">
        <v>2019</v>
      </c>
      <c r="B569" s="6" t="s">
        <v>1581</v>
      </c>
      <c r="C569" s="9" t="s">
        <v>61</v>
      </c>
      <c r="D569" s="115" t="s">
        <v>1383</v>
      </c>
      <c r="E569" s="6"/>
      <c r="F569" s="6" t="s">
        <v>1582</v>
      </c>
      <c r="G569" s="6" t="s">
        <v>1505</v>
      </c>
      <c r="H569" s="121">
        <v>500000</v>
      </c>
      <c r="I569" s="213" t="b">
        <v>0</v>
      </c>
      <c r="J569" s="213" t="b">
        <v>0</v>
      </c>
      <c r="K569" s="213" t="b">
        <v>0</v>
      </c>
    </row>
    <row r="570" spans="1:11" ht="38.25" hidden="1">
      <c r="A570" s="9">
        <v>2019</v>
      </c>
      <c r="B570" s="6" t="s">
        <v>1583</v>
      </c>
      <c r="C570" s="9" t="s">
        <v>61</v>
      </c>
      <c r="D570" s="115" t="s">
        <v>1383</v>
      </c>
      <c r="E570" s="6"/>
      <c r="F570" s="6" t="s">
        <v>1584</v>
      </c>
      <c r="G570" s="6" t="s">
        <v>1585</v>
      </c>
      <c r="H570" s="121">
        <v>100000</v>
      </c>
      <c r="I570" s="213" t="b">
        <v>0</v>
      </c>
      <c r="J570" s="213" t="b">
        <v>0</v>
      </c>
      <c r="K570" s="213" t="b">
        <v>0</v>
      </c>
    </row>
    <row r="571" spans="1:11" ht="25.5" hidden="1">
      <c r="A571" s="9">
        <v>2019</v>
      </c>
      <c r="B571" s="6" t="s">
        <v>1586</v>
      </c>
      <c r="C571" s="9" t="s">
        <v>61</v>
      </c>
      <c r="D571" s="115" t="s">
        <v>1383</v>
      </c>
      <c r="E571" s="6"/>
      <c r="F571" s="6" t="s">
        <v>1587</v>
      </c>
      <c r="G571" s="6" t="s">
        <v>1588</v>
      </c>
      <c r="H571" s="121">
        <v>58000</v>
      </c>
      <c r="I571" s="213" t="b">
        <v>0</v>
      </c>
      <c r="J571" s="213" t="b">
        <v>0</v>
      </c>
      <c r="K571" s="213" t="b">
        <v>0</v>
      </c>
    </row>
    <row r="572" spans="1:11" ht="38.25" hidden="1">
      <c r="A572" s="9">
        <v>2019</v>
      </c>
      <c r="B572" s="6" t="s">
        <v>1589</v>
      </c>
      <c r="C572" s="9" t="s">
        <v>61</v>
      </c>
      <c r="D572" s="115" t="s">
        <v>1383</v>
      </c>
      <c r="E572" s="6"/>
      <c r="F572" s="6" t="s">
        <v>1590</v>
      </c>
      <c r="G572" s="6" t="s">
        <v>849</v>
      </c>
      <c r="H572" s="121">
        <v>200000</v>
      </c>
      <c r="I572" s="213" t="b">
        <v>0</v>
      </c>
      <c r="J572" s="213" t="b">
        <v>0</v>
      </c>
      <c r="K572" s="213" t="b">
        <v>0</v>
      </c>
    </row>
    <row r="573" spans="1:11" ht="25.5" hidden="1">
      <c r="A573" s="9">
        <v>2019</v>
      </c>
      <c r="B573" s="6" t="s">
        <v>1591</v>
      </c>
      <c r="C573" s="9" t="s">
        <v>61</v>
      </c>
      <c r="D573" s="115" t="s">
        <v>1383</v>
      </c>
      <c r="E573" s="6"/>
      <c r="F573" s="6" t="s">
        <v>1592</v>
      </c>
      <c r="G573" s="6" t="s">
        <v>1593</v>
      </c>
      <c r="H573" s="121">
        <v>200000</v>
      </c>
      <c r="I573" s="213" t="b">
        <v>0</v>
      </c>
      <c r="J573" s="213" t="b">
        <v>0</v>
      </c>
      <c r="K573" s="213" t="b">
        <v>0</v>
      </c>
    </row>
    <row r="574" spans="1:11" ht="25.5" hidden="1">
      <c r="A574" s="9">
        <v>2019</v>
      </c>
      <c r="B574" s="6" t="s">
        <v>1594</v>
      </c>
      <c r="C574" s="9" t="s">
        <v>61</v>
      </c>
      <c r="D574" s="115" t="s">
        <v>1383</v>
      </c>
      <c r="E574" s="6"/>
      <c r="F574" s="6" t="s">
        <v>1595</v>
      </c>
      <c r="G574" s="6" t="s">
        <v>844</v>
      </c>
      <c r="H574" s="121">
        <v>200000</v>
      </c>
      <c r="I574" s="213" t="b">
        <v>0</v>
      </c>
      <c r="J574" s="213" t="b">
        <v>0</v>
      </c>
      <c r="K574" s="213" t="b">
        <v>0</v>
      </c>
    </row>
    <row r="575" spans="1:11" ht="12.75" hidden="1">
      <c r="A575" s="9">
        <v>2019</v>
      </c>
      <c r="B575" s="6" t="s">
        <v>1596</v>
      </c>
      <c r="C575" s="9" t="s">
        <v>61</v>
      </c>
      <c r="D575" s="115" t="s">
        <v>1383</v>
      </c>
      <c r="E575" s="6"/>
      <c r="F575" s="6" t="s">
        <v>1597</v>
      </c>
      <c r="G575" s="6" t="s">
        <v>1598</v>
      </c>
      <c r="H575" s="121">
        <v>200000</v>
      </c>
      <c r="I575" s="213" t="b">
        <v>0</v>
      </c>
      <c r="J575" s="213" t="b">
        <v>0</v>
      </c>
      <c r="K575" s="213" t="b">
        <v>0</v>
      </c>
    </row>
    <row r="576" spans="1:11" ht="12.75" hidden="1">
      <c r="A576" s="9">
        <v>2019</v>
      </c>
      <c r="B576" s="6" t="s">
        <v>1599</v>
      </c>
      <c r="C576" s="9" t="s">
        <v>61</v>
      </c>
      <c r="D576" s="115" t="s">
        <v>1383</v>
      </c>
      <c r="E576" s="6"/>
      <c r="F576" s="6" t="s">
        <v>1600</v>
      </c>
      <c r="G576" s="6" t="s">
        <v>854</v>
      </c>
      <c r="H576" s="121">
        <v>200000</v>
      </c>
      <c r="I576" s="213" t="b">
        <v>0</v>
      </c>
      <c r="J576" s="213" t="b">
        <v>0</v>
      </c>
      <c r="K576" s="213" t="b">
        <v>0</v>
      </c>
    </row>
    <row r="577" spans="1:11" ht="12.75" hidden="1">
      <c r="A577" s="9">
        <v>2019</v>
      </c>
      <c r="B577" s="6" t="s">
        <v>1601</v>
      </c>
      <c r="C577" s="9" t="s">
        <v>61</v>
      </c>
      <c r="D577" s="115" t="s">
        <v>1383</v>
      </c>
      <c r="E577" s="6"/>
      <c r="F577" s="6" t="s">
        <v>1602</v>
      </c>
      <c r="G577" s="6" t="s">
        <v>1346</v>
      </c>
      <c r="H577" s="121">
        <v>200000</v>
      </c>
      <c r="I577" s="213" t="b">
        <v>0</v>
      </c>
      <c r="J577" s="213" t="b">
        <v>0</v>
      </c>
      <c r="K577" s="213" t="b">
        <v>0</v>
      </c>
    </row>
    <row r="578" spans="1:11" ht="12.75" hidden="1">
      <c r="A578" s="9">
        <v>2019</v>
      </c>
      <c r="B578" s="6" t="s">
        <v>1603</v>
      </c>
      <c r="C578" s="9" t="s">
        <v>61</v>
      </c>
      <c r="D578" s="115" t="s">
        <v>1383</v>
      </c>
      <c r="E578" s="6"/>
      <c r="F578" s="6" t="s">
        <v>1604</v>
      </c>
      <c r="G578" s="6" t="s">
        <v>1605</v>
      </c>
      <c r="H578" s="121">
        <v>200000</v>
      </c>
      <c r="I578" s="213" t="b">
        <v>0</v>
      </c>
      <c r="J578" s="213" t="b">
        <v>0</v>
      </c>
      <c r="K578" s="213" t="b">
        <v>0</v>
      </c>
    </row>
    <row r="579" spans="1:11" ht="38.25" hidden="1">
      <c r="A579" s="9">
        <v>2019</v>
      </c>
      <c r="B579" s="6" t="s">
        <v>1606</v>
      </c>
      <c r="C579" s="9" t="s">
        <v>61</v>
      </c>
      <c r="D579" s="115" t="s">
        <v>1383</v>
      </c>
      <c r="E579" s="6"/>
      <c r="F579" s="6" t="s">
        <v>2559</v>
      </c>
      <c r="G579" s="6" t="s">
        <v>1608</v>
      </c>
      <c r="H579" s="121">
        <v>200000</v>
      </c>
      <c r="I579" s="213" t="b">
        <v>0</v>
      </c>
      <c r="J579" s="213" t="b">
        <v>0</v>
      </c>
      <c r="K579" s="213" t="b">
        <v>0</v>
      </c>
    </row>
    <row r="580" spans="1:11" ht="38.25" hidden="1">
      <c r="A580" s="9">
        <v>2019</v>
      </c>
      <c r="B580" s="6" t="s">
        <v>1609</v>
      </c>
      <c r="C580" s="9" t="s">
        <v>61</v>
      </c>
      <c r="D580" s="115" t="s">
        <v>1383</v>
      </c>
      <c r="E580" s="6"/>
      <c r="F580" s="6" t="s">
        <v>1610</v>
      </c>
      <c r="G580" s="6" t="s">
        <v>1611</v>
      </c>
      <c r="H580" s="121">
        <v>500000</v>
      </c>
      <c r="I580" s="213" t="b">
        <v>0</v>
      </c>
      <c r="J580" s="213" t="b">
        <v>0</v>
      </c>
      <c r="K580" s="213" t="b">
        <v>0</v>
      </c>
    </row>
    <row r="581" spans="1:11" ht="25.5" hidden="1">
      <c r="A581" s="9">
        <v>2019</v>
      </c>
      <c r="B581" s="6" t="s">
        <v>1612</v>
      </c>
      <c r="C581" s="9" t="s">
        <v>61</v>
      </c>
      <c r="D581" s="115" t="s">
        <v>1383</v>
      </c>
      <c r="E581" s="6"/>
      <c r="F581" s="6" t="s">
        <v>1613</v>
      </c>
      <c r="G581" s="6" t="s">
        <v>1614</v>
      </c>
      <c r="H581" s="121">
        <v>500000</v>
      </c>
      <c r="I581" s="213" t="b">
        <v>0</v>
      </c>
      <c r="J581" s="213" t="b">
        <v>0</v>
      </c>
      <c r="K581" s="213" t="b">
        <v>0</v>
      </c>
    </row>
    <row r="582" spans="1:11" ht="25.5" hidden="1">
      <c r="A582" s="9">
        <v>2019</v>
      </c>
      <c r="B582" s="6" t="s">
        <v>1615</v>
      </c>
      <c r="C582" s="9" t="s">
        <v>61</v>
      </c>
      <c r="D582" s="115" t="s">
        <v>1383</v>
      </c>
      <c r="E582" s="6"/>
      <c r="F582" s="6" t="s">
        <v>1616</v>
      </c>
      <c r="G582" s="6" t="s">
        <v>1617</v>
      </c>
      <c r="H582" s="121">
        <v>500000</v>
      </c>
      <c r="I582" s="213" t="b">
        <v>0</v>
      </c>
      <c r="J582" s="213" t="b">
        <v>0</v>
      </c>
      <c r="K582" s="213" t="b">
        <v>0</v>
      </c>
    </row>
    <row r="583" spans="1:11" ht="38.25" hidden="1">
      <c r="A583" s="9">
        <v>2019</v>
      </c>
      <c r="B583" s="6" t="s">
        <v>1618</v>
      </c>
      <c r="C583" s="9" t="s">
        <v>61</v>
      </c>
      <c r="D583" s="115" t="s">
        <v>1383</v>
      </c>
      <c r="E583" s="6"/>
      <c r="F583" s="6" t="s">
        <v>1619</v>
      </c>
      <c r="G583" s="6" t="s">
        <v>840</v>
      </c>
      <c r="H583" s="121">
        <v>500000</v>
      </c>
      <c r="I583" s="213" t="b">
        <v>0</v>
      </c>
      <c r="J583" s="213" t="b">
        <v>0</v>
      </c>
      <c r="K583" s="213" t="b">
        <v>0</v>
      </c>
    </row>
    <row r="584" spans="1:11" ht="12.75" hidden="1">
      <c r="A584" s="9">
        <v>2019</v>
      </c>
      <c r="B584" s="6" t="s">
        <v>1620</v>
      </c>
      <c r="C584" s="9" t="s">
        <v>61</v>
      </c>
      <c r="D584" s="115" t="s">
        <v>1383</v>
      </c>
      <c r="E584" s="6"/>
      <c r="F584" s="6" t="s">
        <v>1621</v>
      </c>
      <c r="G584" s="6" t="s">
        <v>1622</v>
      </c>
      <c r="H584" s="121">
        <v>500000</v>
      </c>
      <c r="I584" s="213" t="b">
        <v>0</v>
      </c>
      <c r="J584" s="213" t="b">
        <v>0</v>
      </c>
      <c r="K584" s="213" t="b">
        <v>0</v>
      </c>
    </row>
    <row r="585" spans="1:11" ht="51" hidden="1">
      <c r="A585" s="9">
        <v>2019</v>
      </c>
      <c r="B585" s="6" t="s">
        <v>1623</v>
      </c>
      <c r="C585" s="9" t="s">
        <v>61</v>
      </c>
      <c r="D585" s="115" t="s">
        <v>1383</v>
      </c>
      <c r="E585" s="6"/>
      <c r="F585" s="6" t="s">
        <v>1624</v>
      </c>
      <c r="G585" s="6" t="s">
        <v>1625</v>
      </c>
      <c r="H585" s="121">
        <v>500000</v>
      </c>
      <c r="I585" s="213" t="b">
        <v>0</v>
      </c>
      <c r="J585" s="213" t="b">
        <v>0</v>
      </c>
      <c r="K585" s="213" t="b">
        <v>0</v>
      </c>
    </row>
    <row r="586" spans="1:11" ht="12.75" hidden="1">
      <c r="A586" s="9">
        <v>2019</v>
      </c>
      <c r="B586" s="6" t="s">
        <v>1626</v>
      </c>
      <c r="C586" s="9" t="s">
        <v>61</v>
      </c>
      <c r="D586" s="115" t="s">
        <v>1383</v>
      </c>
      <c r="E586" s="6"/>
      <c r="F586" s="6" t="s">
        <v>1627</v>
      </c>
      <c r="G586" s="6" t="s">
        <v>842</v>
      </c>
      <c r="H586" s="121">
        <v>200000</v>
      </c>
      <c r="I586" s="213" t="b">
        <v>0</v>
      </c>
      <c r="J586" s="213" t="b">
        <v>0</v>
      </c>
      <c r="K586" s="213" t="b">
        <v>0</v>
      </c>
    </row>
    <row r="587" spans="1:11" ht="25.5" hidden="1">
      <c r="A587" s="9">
        <v>2019</v>
      </c>
      <c r="B587" s="6" t="s">
        <v>1630</v>
      </c>
      <c r="C587" s="9" t="s">
        <v>61</v>
      </c>
      <c r="D587" s="115" t="s">
        <v>1383</v>
      </c>
      <c r="E587" s="6"/>
      <c r="F587" s="6" t="s">
        <v>1631</v>
      </c>
      <c r="G587" s="6" t="s">
        <v>1632</v>
      </c>
      <c r="H587" s="121">
        <v>500000</v>
      </c>
      <c r="I587" s="213" t="b">
        <v>0</v>
      </c>
      <c r="J587" s="213" t="b">
        <v>0</v>
      </c>
      <c r="K587" s="213" t="b">
        <v>0</v>
      </c>
    </row>
    <row r="588" spans="1:11" ht="12.75" hidden="1">
      <c r="A588" s="9">
        <v>2019</v>
      </c>
      <c r="B588" s="6" t="s">
        <v>1633</v>
      </c>
      <c r="C588" s="9" t="s">
        <v>61</v>
      </c>
      <c r="D588" s="115" t="s">
        <v>1383</v>
      </c>
      <c r="E588" s="6"/>
      <c r="F588" s="6" t="s">
        <v>1634</v>
      </c>
      <c r="G588" s="6" t="s">
        <v>832</v>
      </c>
      <c r="H588" s="121">
        <v>200000</v>
      </c>
      <c r="I588" s="213" t="b">
        <v>0</v>
      </c>
      <c r="J588" s="213" t="b">
        <v>0</v>
      </c>
      <c r="K588" s="213" t="b">
        <v>0</v>
      </c>
    </row>
    <row r="589" spans="1:11" ht="63.75" hidden="1">
      <c r="A589" s="9">
        <v>2019</v>
      </c>
      <c r="B589" s="6" t="s">
        <v>1635</v>
      </c>
      <c r="C589" s="9" t="s">
        <v>61</v>
      </c>
      <c r="D589" s="115" t="s">
        <v>1383</v>
      </c>
      <c r="E589" s="6"/>
      <c r="F589" s="6" t="s">
        <v>1636</v>
      </c>
      <c r="G589" s="6" t="s">
        <v>1585</v>
      </c>
      <c r="H589" s="121">
        <v>500000</v>
      </c>
      <c r="I589" s="213" t="b">
        <v>0</v>
      </c>
      <c r="J589" s="213" t="b">
        <v>0</v>
      </c>
      <c r="K589" s="213" t="b">
        <v>0</v>
      </c>
    </row>
    <row r="590" spans="1:11" ht="51" hidden="1">
      <c r="A590" s="9">
        <v>2019</v>
      </c>
      <c r="B590" s="6" t="s">
        <v>1637</v>
      </c>
      <c r="C590" s="9" t="s">
        <v>61</v>
      </c>
      <c r="D590" s="115" t="s">
        <v>1383</v>
      </c>
      <c r="E590" s="6"/>
      <c r="F590" s="6" t="s">
        <v>1638</v>
      </c>
      <c r="G590" s="6" t="s">
        <v>840</v>
      </c>
      <c r="H590" s="121">
        <v>172000</v>
      </c>
      <c r="I590" s="213" t="b">
        <v>0</v>
      </c>
      <c r="J590" s="213" t="b">
        <v>0</v>
      </c>
      <c r="K590" s="213" t="b">
        <v>0</v>
      </c>
    </row>
    <row r="591" spans="1:11" ht="12.75" hidden="1">
      <c r="A591" s="9">
        <v>2019</v>
      </c>
      <c r="B591" s="6" t="s">
        <v>1639</v>
      </c>
      <c r="C591" s="9" t="s">
        <v>61</v>
      </c>
      <c r="D591" s="115" t="s">
        <v>1383</v>
      </c>
      <c r="E591" s="6"/>
      <c r="F591" s="6" t="s">
        <v>1640</v>
      </c>
      <c r="G591" s="6" t="s">
        <v>1641</v>
      </c>
      <c r="H591" s="121">
        <v>172000</v>
      </c>
      <c r="I591" s="213" t="b">
        <v>0</v>
      </c>
      <c r="J591" s="213" t="b">
        <v>0</v>
      </c>
      <c r="K591" s="213" t="b">
        <v>0</v>
      </c>
    </row>
    <row r="592" spans="1:11" ht="12.75" hidden="1">
      <c r="A592" s="9">
        <v>2019</v>
      </c>
      <c r="B592" s="6" t="s">
        <v>1642</v>
      </c>
      <c r="C592" s="9" t="s">
        <v>61</v>
      </c>
      <c r="D592" s="115" t="s">
        <v>1383</v>
      </c>
      <c r="E592" s="6"/>
      <c r="F592" s="6" t="s">
        <v>1627</v>
      </c>
      <c r="G592" s="6" t="s">
        <v>842</v>
      </c>
      <c r="H592" s="121">
        <v>172000</v>
      </c>
      <c r="I592" s="213" t="b">
        <v>0</v>
      </c>
      <c r="J592" s="213" t="b">
        <v>0</v>
      </c>
      <c r="K592" s="213" t="b">
        <v>0</v>
      </c>
    </row>
    <row r="593" spans="1:11" ht="12.75" hidden="1">
      <c r="A593" s="9">
        <v>2019</v>
      </c>
      <c r="B593" s="6" t="s">
        <v>1643</v>
      </c>
      <c r="C593" s="9" t="s">
        <v>61</v>
      </c>
      <c r="D593" s="115" t="s">
        <v>1383</v>
      </c>
      <c r="E593" s="6"/>
      <c r="F593" s="6" t="s">
        <v>1644</v>
      </c>
      <c r="G593" s="6" t="s">
        <v>1346</v>
      </c>
      <c r="H593" s="121">
        <v>172000</v>
      </c>
      <c r="I593" s="213" t="b">
        <v>0</v>
      </c>
      <c r="J593" s="213" t="b">
        <v>0</v>
      </c>
      <c r="K593" s="213" t="b">
        <v>0</v>
      </c>
    </row>
    <row r="594" spans="1:11" ht="12.75" hidden="1">
      <c r="A594" s="9">
        <v>2019</v>
      </c>
      <c r="B594" s="6" t="s">
        <v>1645</v>
      </c>
      <c r="C594" s="9" t="s">
        <v>61</v>
      </c>
      <c r="D594" s="115" t="s">
        <v>1383</v>
      </c>
      <c r="E594" s="6"/>
      <c r="F594" s="6" t="s">
        <v>1646</v>
      </c>
      <c r="G594" s="6" t="s">
        <v>849</v>
      </c>
      <c r="H594" s="121">
        <v>172000</v>
      </c>
      <c r="I594" s="213" t="b">
        <v>0</v>
      </c>
      <c r="J594" s="213" t="b">
        <v>0</v>
      </c>
      <c r="K594" s="213" t="b">
        <v>0</v>
      </c>
    </row>
    <row r="595" spans="1:11" ht="12.75" hidden="1">
      <c r="A595" s="9">
        <v>2019</v>
      </c>
      <c r="B595" s="6" t="s">
        <v>1581</v>
      </c>
      <c r="C595" s="9" t="s">
        <v>61</v>
      </c>
      <c r="D595" s="115" t="s">
        <v>1383</v>
      </c>
      <c r="E595" s="6"/>
      <c r="F595" s="6" t="s">
        <v>1647</v>
      </c>
      <c r="G595" s="6" t="s">
        <v>1641</v>
      </c>
      <c r="H595" s="121">
        <v>172000</v>
      </c>
      <c r="I595" s="213" t="b">
        <v>0</v>
      </c>
      <c r="J595" s="213" t="b">
        <v>0</v>
      </c>
      <c r="K595" s="213" t="b">
        <v>0</v>
      </c>
    </row>
    <row r="596" spans="1:11" ht="12.75" hidden="1">
      <c r="A596" s="9">
        <v>2019</v>
      </c>
      <c r="B596" s="6" t="s">
        <v>1648</v>
      </c>
      <c r="C596" s="9" t="s">
        <v>61</v>
      </c>
      <c r="D596" s="115" t="s">
        <v>1383</v>
      </c>
      <c r="E596" s="6"/>
      <c r="F596" s="6" t="s">
        <v>1649</v>
      </c>
      <c r="G596" s="6" t="s">
        <v>844</v>
      </c>
      <c r="H596" s="121">
        <v>172000</v>
      </c>
      <c r="I596" s="213" t="b">
        <v>0</v>
      </c>
      <c r="J596" s="213" t="b">
        <v>0</v>
      </c>
      <c r="K596" s="213" t="b">
        <v>0</v>
      </c>
    </row>
    <row r="597" spans="1:11" ht="12.75" hidden="1">
      <c r="A597" s="9">
        <v>2019</v>
      </c>
      <c r="B597" s="6" t="s">
        <v>1650</v>
      </c>
      <c r="C597" s="9" t="s">
        <v>61</v>
      </c>
      <c r="D597" s="115" t="s">
        <v>1383</v>
      </c>
      <c r="E597" s="6"/>
      <c r="F597" s="6" t="s">
        <v>1651</v>
      </c>
      <c r="G597" s="6" t="s">
        <v>1598</v>
      </c>
      <c r="H597" s="121">
        <v>172000</v>
      </c>
      <c r="I597" s="213" t="b">
        <v>0</v>
      </c>
      <c r="J597" s="213" t="b">
        <v>0</v>
      </c>
      <c r="K597" s="213" t="b">
        <v>0</v>
      </c>
    </row>
    <row r="598" spans="1:11" ht="12.75" hidden="1">
      <c r="A598" s="9">
        <v>2019</v>
      </c>
      <c r="B598" s="6" t="s">
        <v>60</v>
      </c>
      <c r="C598" s="9" t="s">
        <v>61</v>
      </c>
      <c r="D598" s="115" t="s">
        <v>1383</v>
      </c>
      <c r="E598" s="6"/>
      <c r="F598" s="6" t="s">
        <v>1652</v>
      </c>
      <c r="G598" s="6" t="s">
        <v>1605</v>
      </c>
      <c r="H598" s="121">
        <v>172000</v>
      </c>
      <c r="I598" s="213" t="b">
        <v>0</v>
      </c>
      <c r="J598" s="213" t="b">
        <v>0</v>
      </c>
      <c r="K598" s="213" t="b">
        <v>0</v>
      </c>
    </row>
    <row r="599" spans="1:11" ht="38.25" hidden="1">
      <c r="A599" s="9">
        <v>2019</v>
      </c>
      <c r="B599" s="6" t="s">
        <v>1654</v>
      </c>
      <c r="C599" s="9" t="s">
        <v>61</v>
      </c>
      <c r="D599" s="115" t="s">
        <v>1383</v>
      </c>
      <c r="E599" s="6"/>
      <c r="F599" s="6" t="s">
        <v>1655</v>
      </c>
      <c r="G599" s="6" t="s">
        <v>1656</v>
      </c>
      <c r="H599" s="121">
        <v>50000</v>
      </c>
      <c r="I599" s="213" t="b">
        <v>0</v>
      </c>
      <c r="J599" s="213" t="b">
        <v>0</v>
      </c>
      <c r="K599" s="213" t="b">
        <v>0</v>
      </c>
    </row>
    <row r="600" spans="1:11" ht="25.5" hidden="1">
      <c r="A600" s="9">
        <v>2019</v>
      </c>
      <c r="B600" s="6" t="s">
        <v>1657</v>
      </c>
      <c r="C600" s="9" t="s">
        <v>61</v>
      </c>
      <c r="D600" s="115" t="s">
        <v>1383</v>
      </c>
      <c r="E600" s="6"/>
      <c r="F600" s="6" t="s">
        <v>1658</v>
      </c>
      <c r="G600" s="6" t="s">
        <v>572</v>
      </c>
      <c r="H600" s="121">
        <v>172000</v>
      </c>
      <c r="I600" s="213" t="b">
        <v>0</v>
      </c>
      <c r="J600" s="213" t="b">
        <v>0</v>
      </c>
      <c r="K600" s="213" t="b">
        <v>0</v>
      </c>
    </row>
    <row r="601" spans="1:11" ht="25.5" hidden="1">
      <c r="A601" s="9">
        <v>2019</v>
      </c>
      <c r="B601" s="6" t="s">
        <v>1659</v>
      </c>
      <c r="C601" s="9" t="s">
        <v>61</v>
      </c>
      <c r="D601" s="115" t="s">
        <v>1383</v>
      </c>
      <c r="E601" s="6"/>
      <c r="F601" s="6" t="s">
        <v>1660</v>
      </c>
      <c r="G601" s="6" t="s">
        <v>1482</v>
      </c>
      <c r="H601" s="121">
        <v>287052</v>
      </c>
      <c r="I601" s="213" t="b">
        <v>0</v>
      </c>
      <c r="J601" s="213" t="b">
        <v>0</v>
      </c>
      <c r="K601" s="213" t="b">
        <v>0</v>
      </c>
    </row>
    <row r="602" spans="1:11" ht="38.25" hidden="1">
      <c r="A602" s="9">
        <v>2019</v>
      </c>
      <c r="B602" s="6" t="s">
        <v>2657</v>
      </c>
      <c r="C602" s="9" t="s">
        <v>61</v>
      </c>
      <c r="D602" s="115" t="s">
        <v>1383</v>
      </c>
      <c r="E602" s="6"/>
      <c r="F602" s="6" t="s">
        <v>2658</v>
      </c>
      <c r="G602" s="6" t="s">
        <v>1622</v>
      </c>
      <c r="H602" s="121">
        <v>172000</v>
      </c>
      <c r="I602" s="213" t="b">
        <v>0</v>
      </c>
      <c r="J602" s="213" t="b">
        <v>0</v>
      </c>
      <c r="K602" s="213" t="b">
        <v>0</v>
      </c>
    </row>
    <row r="603" spans="1:11" ht="38.25">
      <c r="A603" s="9">
        <v>2018</v>
      </c>
      <c r="B603" s="61">
        <v>43132</v>
      </c>
      <c r="C603" s="6" t="s">
        <v>925</v>
      </c>
      <c r="D603" s="9" t="s">
        <v>62</v>
      </c>
      <c r="E603" s="6"/>
      <c r="F603" s="6" t="s">
        <v>1242</v>
      </c>
      <c r="G603" s="6" t="s">
        <v>2688</v>
      </c>
      <c r="H603" s="121">
        <v>710458.07</v>
      </c>
      <c r="I603" s="213" t="b">
        <v>0</v>
      </c>
      <c r="J603" s="213"/>
      <c r="K603" s="213"/>
    </row>
    <row r="604" spans="1:11" ht="38.25">
      <c r="A604" s="9">
        <v>2018</v>
      </c>
      <c r="B604" s="61">
        <v>43160</v>
      </c>
      <c r="C604" s="6" t="s">
        <v>925</v>
      </c>
      <c r="D604" s="9" t="s">
        <v>62</v>
      </c>
      <c r="E604" s="6"/>
      <c r="F604" s="6" t="s">
        <v>1244</v>
      </c>
      <c r="G604" s="6" t="s">
        <v>2690</v>
      </c>
      <c r="H604" s="121">
        <v>2839000</v>
      </c>
      <c r="I604" s="213" t="b">
        <v>0</v>
      </c>
      <c r="J604" s="213"/>
      <c r="K604" s="213"/>
    </row>
    <row r="605" spans="1:11" ht="51" hidden="1">
      <c r="A605" s="9">
        <v>2018</v>
      </c>
      <c r="B605" s="61">
        <v>43191</v>
      </c>
      <c r="C605" s="6" t="s">
        <v>61</v>
      </c>
      <c r="D605" s="112" t="s">
        <v>68</v>
      </c>
      <c r="E605" s="6"/>
      <c r="F605" s="6" t="s">
        <v>926</v>
      </c>
      <c r="G605" s="6" t="s">
        <v>2692</v>
      </c>
      <c r="H605" s="121">
        <v>900000</v>
      </c>
      <c r="I605" s="213" t="b">
        <v>0</v>
      </c>
      <c r="J605" s="213" t="b">
        <v>0</v>
      </c>
      <c r="K605" s="213" t="b">
        <v>0</v>
      </c>
    </row>
    <row r="606" spans="1:11" ht="51" hidden="1">
      <c r="A606" s="9">
        <v>2018</v>
      </c>
      <c r="B606" s="61">
        <v>43282</v>
      </c>
      <c r="C606" s="6" t="s">
        <v>2328</v>
      </c>
      <c r="D606" s="6"/>
      <c r="E606" s="6"/>
      <c r="F606" s="6" t="s">
        <v>2694</v>
      </c>
      <c r="G606" s="6" t="s">
        <v>2695</v>
      </c>
      <c r="H606" s="121">
        <v>221630</v>
      </c>
      <c r="I606" s="213" t="b">
        <v>0</v>
      </c>
      <c r="J606" s="213" t="b">
        <v>0</v>
      </c>
      <c r="K606" s="213" t="b">
        <v>0</v>
      </c>
    </row>
    <row r="607" spans="1:11" ht="25.5" hidden="1">
      <c r="A607" s="9">
        <v>2018</v>
      </c>
      <c r="B607" s="61">
        <v>43313</v>
      </c>
      <c r="C607" s="6" t="s">
        <v>2328</v>
      </c>
      <c r="D607" s="6"/>
      <c r="E607" s="6"/>
      <c r="F607" s="6" t="s">
        <v>2697</v>
      </c>
      <c r="G607" s="6" t="s">
        <v>2698</v>
      </c>
      <c r="H607" s="121">
        <v>196749</v>
      </c>
      <c r="I607" s="213" t="b">
        <v>0</v>
      </c>
      <c r="J607" s="213" t="b">
        <v>0</v>
      </c>
      <c r="K607" s="213" t="b">
        <v>0</v>
      </c>
    </row>
    <row r="608" spans="1:11" ht="51" hidden="1">
      <c r="A608" s="9">
        <v>2018</v>
      </c>
      <c r="B608" s="62">
        <v>43344</v>
      </c>
      <c r="C608" s="6" t="s">
        <v>2328</v>
      </c>
      <c r="D608" s="6"/>
      <c r="E608" s="6"/>
      <c r="F608" s="6" t="s">
        <v>2700</v>
      </c>
      <c r="G608" s="6" t="s">
        <v>2701</v>
      </c>
      <c r="H608" s="121">
        <v>100600</v>
      </c>
      <c r="I608" s="213" t="b">
        <v>0</v>
      </c>
      <c r="J608" s="213" t="b">
        <v>0</v>
      </c>
      <c r="K608" s="213" t="b">
        <v>0</v>
      </c>
    </row>
    <row r="609" spans="1:11" ht="38.25" hidden="1">
      <c r="A609" s="9">
        <v>2018</v>
      </c>
      <c r="B609" s="61">
        <v>43374</v>
      </c>
      <c r="C609" s="6" t="s">
        <v>925</v>
      </c>
      <c r="D609" s="6" t="s">
        <v>928</v>
      </c>
      <c r="E609" s="113">
        <v>43145</v>
      </c>
      <c r="F609" s="132" t="s">
        <v>929</v>
      </c>
      <c r="G609" s="132" t="s">
        <v>699</v>
      </c>
      <c r="H609" s="146">
        <v>709420</v>
      </c>
      <c r="I609" s="213" t="b">
        <v>0</v>
      </c>
      <c r="J609" s="213" t="b">
        <v>0</v>
      </c>
      <c r="K609" s="213" t="b">
        <v>0</v>
      </c>
    </row>
    <row r="610" spans="1:11" ht="38.25">
      <c r="A610" s="9">
        <v>2018</v>
      </c>
      <c r="B610" s="6" t="s">
        <v>1246</v>
      </c>
      <c r="C610" s="6" t="s">
        <v>925</v>
      </c>
      <c r="D610" s="9" t="s">
        <v>62</v>
      </c>
      <c r="E610" s="6"/>
      <c r="F610" s="6" t="s">
        <v>1247</v>
      </c>
      <c r="G610" s="6" t="s">
        <v>2703</v>
      </c>
      <c r="H610" s="121">
        <v>1170000</v>
      </c>
      <c r="I610" s="213" t="b">
        <v>0</v>
      </c>
      <c r="J610" s="213"/>
      <c r="K610" s="213"/>
    </row>
    <row r="611" spans="1:11" ht="38.25">
      <c r="A611" s="9">
        <v>2018</v>
      </c>
      <c r="B611" s="6" t="s">
        <v>1249</v>
      </c>
      <c r="C611" s="6" t="s">
        <v>925</v>
      </c>
      <c r="D611" s="9" t="s">
        <v>62</v>
      </c>
      <c r="E611" s="6"/>
      <c r="F611" s="6" t="s">
        <v>1250</v>
      </c>
      <c r="G611" s="6" t="s">
        <v>2705</v>
      </c>
      <c r="H611" s="121">
        <v>869853.5</v>
      </c>
      <c r="I611" s="213" t="b">
        <v>0</v>
      </c>
      <c r="J611" s="213"/>
      <c r="K611" s="213"/>
    </row>
    <row r="612" spans="1:11" ht="25.5" hidden="1">
      <c r="A612" s="9">
        <v>2018</v>
      </c>
      <c r="B612" s="6" t="s">
        <v>2723</v>
      </c>
      <c r="C612" s="6" t="s">
        <v>2328</v>
      </c>
      <c r="D612" s="6" t="s">
        <v>2724</v>
      </c>
      <c r="E612" s="6"/>
      <c r="F612" s="6" t="s">
        <v>2725</v>
      </c>
      <c r="G612" s="6" t="s">
        <v>2726</v>
      </c>
      <c r="H612" s="121">
        <v>235483</v>
      </c>
      <c r="I612" s="213" t="b">
        <v>0</v>
      </c>
      <c r="J612" s="213" t="b">
        <v>0</v>
      </c>
      <c r="K612" s="213" t="b">
        <v>0</v>
      </c>
    </row>
    <row r="613" spans="1:11" ht="38.25" hidden="1">
      <c r="A613" s="9">
        <v>2018</v>
      </c>
      <c r="B613" s="6" t="s">
        <v>2729</v>
      </c>
      <c r="C613" s="6" t="s">
        <v>2328</v>
      </c>
      <c r="D613" s="6" t="s">
        <v>2724</v>
      </c>
      <c r="E613" s="6"/>
      <c r="F613" s="6" t="s">
        <v>2730</v>
      </c>
      <c r="G613" s="6" t="s">
        <v>2731</v>
      </c>
      <c r="H613" s="121"/>
      <c r="I613" s="213" t="b">
        <v>0</v>
      </c>
      <c r="J613" s="213" t="b">
        <v>0</v>
      </c>
      <c r="K613" s="213" t="b">
        <v>0</v>
      </c>
    </row>
    <row r="614" spans="1:11" ht="25.5" hidden="1">
      <c r="A614" s="9">
        <v>2018</v>
      </c>
      <c r="B614" s="6" t="s">
        <v>2733</v>
      </c>
      <c r="C614" s="6" t="s">
        <v>2328</v>
      </c>
      <c r="D614" s="6"/>
      <c r="E614" s="6"/>
      <c r="F614" s="6" t="s">
        <v>2734</v>
      </c>
      <c r="G614" s="6" t="s">
        <v>2735</v>
      </c>
      <c r="H614" s="121">
        <v>625786.34</v>
      </c>
      <c r="I614" s="213" t="b">
        <v>0</v>
      </c>
      <c r="J614" s="213" t="b">
        <v>0</v>
      </c>
      <c r="K614" s="213" t="b">
        <v>0</v>
      </c>
    </row>
    <row r="615" spans="1:11" ht="38.25" hidden="1">
      <c r="A615" s="9">
        <v>2018</v>
      </c>
      <c r="B615" s="6" t="s">
        <v>2737</v>
      </c>
      <c r="C615" s="6" t="s">
        <v>2328</v>
      </c>
      <c r="D615" s="6"/>
      <c r="E615" s="6"/>
      <c r="F615" s="6" t="s">
        <v>2738</v>
      </c>
      <c r="G615" s="6" t="s">
        <v>2739</v>
      </c>
      <c r="H615" s="121">
        <v>442823</v>
      </c>
      <c r="I615" s="213" t="b">
        <v>0</v>
      </c>
      <c r="J615" s="213" t="b">
        <v>0</v>
      </c>
      <c r="K615" s="213" t="b">
        <v>0</v>
      </c>
    </row>
    <row r="616" spans="1:11" ht="51" hidden="1">
      <c r="A616" s="9">
        <v>2018</v>
      </c>
      <c r="B616" s="6" t="s">
        <v>2741</v>
      </c>
      <c r="C616" s="6" t="s">
        <v>2328</v>
      </c>
      <c r="D616" s="6"/>
      <c r="E616" s="6"/>
      <c r="F616" s="6" t="s">
        <v>2742</v>
      </c>
      <c r="G616" s="6" t="s">
        <v>2743</v>
      </c>
      <c r="H616" s="121">
        <v>726800</v>
      </c>
      <c r="I616" s="213" t="b">
        <v>0</v>
      </c>
      <c r="J616" s="213" t="b">
        <v>0</v>
      </c>
      <c r="K616" s="213" t="b">
        <v>0</v>
      </c>
    </row>
    <row r="617" spans="1:11" ht="51" hidden="1">
      <c r="A617" s="9">
        <v>2018</v>
      </c>
      <c r="B617" s="6" t="s">
        <v>930</v>
      </c>
      <c r="C617" s="6" t="s">
        <v>61</v>
      </c>
      <c r="D617" s="112" t="s">
        <v>68</v>
      </c>
      <c r="E617" s="6"/>
      <c r="F617" s="6" t="s">
        <v>2745</v>
      </c>
      <c r="G617" s="6" t="s">
        <v>2746</v>
      </c>
      <c r="H617" s="121">
        <v>988050</v>
      </c>
      <c r="I617" s="213" t="b">
        <v>0</v>
      </c>
      <c r="J617" s="213" t="b">
        <v>0</v>
      </c>
      <c r="K617" s="213" t="b">
        <v>0</v>
      </c>
    </row>
    <row r="618" spans="1:11" ht="38.25">
      <c r="A618" s="9">
        <v>2018</v>
      </c>
      <c r="B618" s="6" t="s">
        <v>1252</v>
      </c>
      <c r="C618" s="6" t="s">
        <v>925</v>
      </c>
      <c r="D618" s="9" t="s">
        <v>62</v>
      </c>
      <c r="E618" s="6"/>
      <c r="F618" s="6" t="s">
        <v>1253</v>
      </c>
      <c r="G618" s="6" t="s">
        <v>2748</v>
      </c>
      <c r="H618" s="121">
        <v>1405331.54</v>
      </c>
      <c r="I618" s="213" t="b">
        <v>0</v>
      </c>
      <c r="J618" s="213"/>
      <c r="K618" s="213"/>
    </row>
    <row r="619" spans="1:11" ht="51">
      <c r="A619" s="9">
        <v>2018</v>
      </c>
      <c r="B619" s="6" t="s">
        <v>1255</v>
      </c>
      <c r="C619" s="6" t="s">
        <v>925</v>
      </c>
      <c r="D619" s="9" t="s">
        <v>62</v>
      </c>
      <c r="E619" s="6"/>
      <c r="F619" s="6" t="s">
        <v>1256</v>
      </c>
      <c r="G619" s="6" t="s">
        <v>2750</v>
      </c>
      <c r="H619" s="121">
        <v>493709</v>
      </c>
      <c r="I619" s="213" t="b">
        <v>0</v>
      </c>
      <c r="J619" s="213"/>
      <c r="K619" s="213"/>
    </row>
    <row r="620" spans="1:11" ht="38.25">
      <c r="A620" s="9">
        <v>2018</v>
      </c>
      <c r="B620" s="6" t="s">
        <v>1258</v>
      </c>
      <c r="C620" s="6" t="s">
        <v>925</v>
      </c>
      <c r="D620" s="9" t="s">
        <v>62</v>
      </c>
      <c r="E620" s="6"/>
      <c r="F620" s="6" t="s">
        <v>1259</v>
      </c>
      <c r="G620" s="6" t="s">
        <v>2754</v>
      </c>
      <c r="H620" s="121">
        <v>594944</v>
      </c>
      <c r="I620" s="213" t="b">
        <v>0</v>
      </c>
      <c r="J620" s="213"/>
      <c r="K620" s="213"/>
    </row>
    <row r="621" spans="1:11" ht="38.25" hidden="1">
      <c r="A621" s="9">
        <v>2018</v>
      </c>
      <c r="B621" s="6" t="s">
        <v>2756</v>
      </c>
      <c r="C621" s="6" t="s">
        <v>2328</v>
      </c>
      <c r="D621" s="9" t="s">
        <v>62</v>
      </c>
      <c r="E621" s="6"/>
      <c r="F621" s="6" t="s">
        <v>2757</v>
      </c>
      <c r="G621" s="6" t="s">
        <v>2758</v>
      </c>
      <c r="H621" s="150">
        <v>63937.5</v>
      </c>
      <c r="I621" s="213" t="b">
        <v>0</v>
      </c>
      <c r="J621" s="213" t="b">
        <v>0</v>
      </c>
      <c r="K621" s="213" t="b">
        <v>0</v>
      </c>
    </row>
    <row r="622" spans="1:11" ht="63.75" hidden="1">
      <c r="A622" s="9">
        <v>2018</v>
      </c>
      <c r="B622" s="6" t="s">
        <v>2760</v>
      </c>
      <c r="C622" s="6" t="s">
        <v>2328</v>
      </c>
      <c r="D622" s="9" t="s">
        <v>62</v>
      </c>
      <c r="E622" s="6"/>
      <c r="F622" s="6" t="s">
        <v>2761</v>
      </c>
      <c r="G622" s="6" t="s">
        <v>2762</v>
      </c>
      <c r="H622" s="121">
        <v>69178</v>
      </c>
      <c r="I622" s="213" t="b">
        <v>0</v>
      </c>
      <c r="J622" s="213" t="b">
        <v>0</v>
      </c>
      <c r="K622" s="213" t="b">
        <v>0</v>
      </c>
    </row>
    <row r="623" spans="1:11" ht="38.25" hidden="1">
      <c r="A623" s="9">
        <v>2018</v>
      </c>
      <c r="B623" s="6" t="s">
        <v>2764</v>
      </c>
      <c r="C623" s="6" t="s">
        <v>2328</v>
      </c>
      <c r="D623" s="9" t="s">
        <v>62</v>
      </c>
      <c r="E623" s="6"/>
      <c r="F623" s="6" t="s">
        <v>2765</v>
      </c>
      <c r="G623" s="6" t="s">
        <v>2766</v>
      </c>
      <c r="H623" s="121">
        <v>71729.22</v>
      </c>
      <c r="I623" s="213" t="b">
        <v>0</v>
      </c>
      <c r="J623" s="213" t="b">
        <v>0</v>
      </c>
      <c r="K623" s="213" t="b">
        <v>0</v>
      </c>
    </row>
    <row r="624" spans="1:11" ht="12.75" hidden="1">
      <c r="A624" s="9">
        <v>2018</v>
      </c>
      <c r="B624" s="6" t="s">
        <v>2768</v>
      </c>
      <c r="C624" s="6" t="s">
        <v>2328</v>
      </c>
      <c r="D624" s="9" t="s">
        <v>62</v>
      </c>
      <c r="E624" s="6"/>
      <c r="F624" s="6" t="s">
        <v>2769</v>
      </c>
      <c r="G624" s="6" t="s">
        <v>2770</v>
      </c>
      <c r="H624" s="121">
        <v>609984</v>
      </c>
      <c r="I624" s="213" t="b">
        <v>0</v>
      </c>
      <c r="J624" s="213" t="b">
        <v>0</v>
      </c>
      <c r="K624" s="213" t="b">
        <v>0</v>
      </c>
    </row>
    <row r="625" spans="1:11" ht="25.5" hidden="1">
      <c r="A625" s="9">
        <v>2018</v>
      </c>
      <c r="B625" s="6" t="s">
        <v>2772</v>
      </c>
      <c r="C625" s="6" t="s">
        <v>2328</v>
      </c>
      <c r="D625" s="6" t="s">
        <v>652</v>
      </c>
      <c r="E625" s="6"/>
      <c r="F625" s="6" t="s">
        <v>2773</v>
      </c>
      <c r="G625" s="6" t="s">
        <v>2774</v>
      </c>
      <c r="H625" s="121">
        <v>99860</v>
      </c>
      <c r="I625" s="213" t="b">
        <v>0</v>
      </c>
      <c r="J625" s="213" t="b">
        <v>0</v>
      </c>
      <c r="K625" s="213" t="b">
        <v>0</v>
      </c>
    </row>
    <row r="626" spans="1:11" ht="38.25" hidden="1">
      <c r="A626" s="9">
        <v>2018</v>
      </c>
      <c r="B626" s="6" t="s">
        <v>2776</v>
      </c>
      <c r="C626" s="6" t="s">
        <v>2328</v>
      </c>
      <c r="D626" s="6"/>
      <c r="E626" s="6"/>
      <c r="F626" s="6" t="s">
        <v>2777</v>
      </c>
      <c r="G626" s="6" t="s">
        <v>2778</v>
      </c>
      <c r="H626" s="121">
        <v>40520</v>
      </c>
      <c r="I626" s="213" t="b">
        <v>0</v>
      </c>
      <c r="J626" s="213" t="b">
        <v>0</v>
      </c>
      <c r="K626" s="213" t="b">
        <v>0</v>
      </c>
    </row>
    <row r="627" spans="1:11" ht="38.25" hidden="1">
      <c r="A627" s="9">
        <v>2018</v>
      </c>
      <c r="B627" s="6" t="s">
        <v>1261</v>
      </c>
      <c r="C627" s="6" t="s">
        <v>61</v>
      </c>
      <c r="D627" s="6" t="s">
        <v>1262</v>
      </c>
      <c r="E627" s="6"/>
      <c r="F627" s="6" t="s">
        <v>1263</v>
      </c>
      <c r="G627" s="6" t="s">
        <v>2780</v>
      </c>
      <c r="H627" s="121">
        <v>1094960</v>
      </c>
      <c r="I627" s="213" t="b">
        <v>0</v>
      </c>
      <c r="J627" s="213" t="b">
        <v>0</v>
      </c>
      <c r="K627" s="213" t="b">
        <v>0</v>
      </c>
    </row>
    <row r="628" spans="1:11" ht="38.25" hidden="1">
      <c r="A628" s="9">
        <v>2018</v>
      </c>
      <c r="B628" s="6" t="s">
        <v>1265</v>
      </c>
      <c r="C628" s="6" t="s">
        <v>61</v>
      </c>
      <c r="D628" s="6" t="s">
        <v>1262</v>
      </c>
      <c r="E628" s="6"/>
      <c r="F628" s="6" t="s">
        <v>1266</v>
      </c>
      <c r="G628" s="6" t="s">
        <v>2782</v>
      </c>
      <c r="H628" s="121">
        <v>672600</v>
      </c>
      <c r="I628" s="213" t="b">
        <v>0</v>
      </c>
      <c r="J628" s="213" t="b">
        <v>0</v>
      </c>
      <c r="K628" s="213" t="b">
        <v>0</v>
      </c>
    </row>
    <row r="629" spans="1:11" ht="38.25" hidden="1">
      <c r="A629" s="9">
        <v>2018</v>
      </c>
      <c r="B629" s="6" t="s">
        <v>1268</v>
      </c>
      <c r="C629" s="6" t="s">
        <v>61</v>
      </c>
      <c r="D629" s="6" t="s">
        <v>1262</v>
      </c>
      <c r="E629" s="6"/>
      <c r="F629" s="6" t="s">
        <v>1269</v>
      </c>
      <c r="G629" s="6" t="s">
        <v>2784</v>
      </c>
      <c r="H629" s="121">
        <v>831690</v>
      </c>
      <c r="I629" s="213" t="b">
        <v>0</v>
      </c>
      <c r="J629" s="213" t="b">
        <v>0</v>
      </c>
      <c r="K629" s="213" t="b">
        <v>0</v>
      </c>
    </row>
    <row r="630" spans="1:11" ht="51" hidden="1">
      <c r="A630" s="9">
        <v>2018</v>
      </c>
      <c r="B630" s="6" t="s">
        <v>1271</v>
      </c>
      <c r="C630" s="6" t="s">
        <v>61</v>
      </c>
      <c r="D630" s="6" t="s">
        <v>1262</v>
      </c>
      <c r="E630" s="6"/>
      <c r="F630" s="6" t="s">
        <v>1272</v>
      </c>
      <c r="G630" s="6" t="s">
        <v>2786</v>
      </c>
      <c r="H630" s="121">
        <v>967500</v>
      </c>
      <c r="I630" s="213" t="b">
        <v>0</v>
      </c>
      <c r="J630" s="213" t="b">
        <v>0</v>
      </c>
      <c r="K630" s="213" t="b">
        <v>0</v>
      </c>
    </row>
    <row r="631" spans="1:11" ht="38.25">
      <c r="A631" s="9">
        <v>2018</v>
      </c>
      <c r="B631" s="6" t="s">
        <v>1274</v>
      </c>
      <c r="C631" s="6" t="s">
        <v>925</v>
      </c>
      <c r="D631" s="9" t="s">
        <v>62</v>
      </c>
      <c r="E631" s="6"/>
      <c r="F631" s="6" t="s">
        <v>1275</v>
      </c>
      <c r="G631" s="6" t="s">
        <v>2788</v>
      </c>
      <c r="H631" s="121">
        <v>1717600</v>
      </c>
      <c r="I631" s="213" t="b">
        <v>0</v>
      </c>
      <c r="J631" s="213"/>
      <c r="K631" s="213"/>
    </row>
    <row r="632" spans="1:11" ht="51" hidden="1">
      <c r="A632" s="9">
        <v>2018</v>
      </c>
      <c r="B632" s="6" t="s">
        <v>2798</v>
      </c>
      <c r="C632" s="6" t="s">
        <v>2328</v>
      </c>
      <c r="D632" s="9" t="s">
        <v>62</v>
      </c>
      <c r="E632" s="6"/>
      <c r="F632" s="6" t="s">
        <v>2799</v>
      </c>
      <c r="G632" s="6" t="s">
        <v>2800</v>
      </c>
      <c r="H632" s="121">
        <v>570315.19999999995</v>
      </c>
      <c r="I632" s="213" t="b">
        <v>0</v>
      </c>
      <c r="J632" s="213" t="b">
        <v>0</v>
      </c>
      <c r="K632" s="213" t="b">
        <v>0</v>
      </c>
    </row>
    <row r="633" spans="1:11" ht="38.25">
      <c r="A633" s="9">
        <v>2018</v>
      </c>
      <c r="B633" s="6" t="s">
        <v>1277</v>
      </c>
      <c r="C633" s="6" t="s">
        <v>925</v>
      </c>
      <c r="D633" s="9" t="s">
        <v>62</v>
      </c>
      <c r="E633" s="6"/>
      <c r="F633" s="6" t="s">
        <v>1278</v>
      </c>
      <c r="G633" s="6" t="s">
        <v>2802</v>
      </c>
      <c r="H633" s="121">
        <v>366000</v>
      </c>
      <c r="I633" s="213" t="b">
        <v>0</v>
      </c>
      <c r="J633" s="213"/>
      <c r="K633" s="213"/>
    </row>
    <row r="634" spans="1:11" ht="38.25">
      <c r="A634" s="9">
        <v>2018</v>
      </c>
      <c r="B634" s="6" t="s">
        <v>1280</v>
      </c>
      <c r="C634" s="6" t="s">
        <v>925</v>
      </c>
      <c r="D634" s="9" t="s">
        <v>62</v>
      </c>
      <c r="E634" s="6"/>
      <c r="F634" s="6" t="s">
        <v>1281</v>
      </c>
      <c r="G634" s="6" t="s">
        <v>2804</v>
      </c>
      <c r="H634" s="121">
        <v>655630</v>
      </c>
      <c r="I634" s="213" t="b">
        <v>0</v>
      </c>
      <c r="J634" s="213"/>
      <c r="K634" s="213"/>
    </row>
    <row r="635" spans="1:11" ht="38.25">
      <c r="A635" s="9">
        <v>2018</v>
      </c>
      <c r="B635" s="6" t="s">
        <v>1283</v>
      </c>
      <c r="C635" s="6" t="s">
        <v>925</v>
      </c>
      <c r="D635" s="9" t="s">
        <v>62</v>
      </c>
      <c r="E635" s="6"/>
      <c r="F635" s="6" t="s">
        <v>1284</v>
      </c>
      <c r="G635" s="6" t="s">
        <v>2806</v>
      </c>
      <c r="H635" s="121">
        <v>1431166.67</v>
      </c>
      <c r="I635" s="213" t="b">
        <v>0</v>
      </c>
      <c r="J635" s="213"/>
      <c r="K635" s="213"/>
    </row>
    <row r="636" spans="1:11" ht="38.25" hidden="1">
      <c r="A636" s="9">
        <v>2018</v>
      </c>
      <c r="B636" s="6" t="s">
        <v>2808</v>
      </c>
      <c r="C636" s="6" t="s">
        <v>2328</v>
      </c>
      <c r="D636" s="6"/>
      <c r="E636" s="6"/>
      <c r="F636" s="6" t="s">
        <v>2809</v>
      </c>
      <c r="G636" s="6" t="s">
        <v>2810</v>
      </c>
      <c r="H636" s="121">
        <v>223751</v>
      </c>
      <c r="I636" s="213" t="b">
        <v>0</v>
      </c>
      <c r="J636" s="213" t="b">
        <v>0</v>
      </c>
      <c r="K636" s="213" t="b">
        <v>0</v>
      </c>
    </row>
    <row r="637" spans="1:11" ht="12.75" hidden="1">
      <c r="A637" s="9">
        <v>2018</v>
      </c>
      <c r="B637" s="6" t="s">
        <v>2812</v>
      </c>
      <c r="C637" s="6" t="s">
        <v>2328</v>
      </c>
      <c r="D637" s="9" t="s">
        <v>62</v>
      </c>
      <c r="E637" s="6"/>
      <c r="F637" s="6" t="s">
        <v>2813</v>
      </c>
      <c r="G637" s="6" t="s">
        <v>2814</v>
      </c>
      <c r="H637" s="150">
        <v>3387663.22</v>
      </c>
      <c r="I637" s="213" t="b">
        <v>0</v>
      </c>
      <c r="J637" s="213" t="b">
        <v>0</v>
      </c>
      <c r="K637" s="213" t="b">
        <v>0</v>
      </c>
    </row>
    <row r="638" spans="1:11" ht="63.75" hidden="1">
      <c r="A638" s="9">
        <v>2018</v>
      </c>
      <c r="B638" s="6" t="s">
        <v>2816</v>
      </c>
      <c r="C638" s="6" t="s">
        <v>2328</v>
      </c>
      <c r="D638" s="9" t="s">
        <v>62</v>
      </c>
      <c r="E638" s="6"/>
      <c r="F638" s="6" t="s">
        <v>2817</v>
      </c>
      <c r="G638" s="6" t="s">
        <v>2818</v>
      </c>
      <c r="H638" s="150">
        <v>1061270.19</v>
      </c>
      <c r="I638" s="213" t="b">
        <v>0</v>
      </c>
      <c r="J638" s="213" t="b">
        <v>0</v>
      </c>
      <c r="K638" s="213" t="b">
        <v>0</v>
      </c>
    </row>
    <row r="639" spans="1:11" ht="89.25">
      <c r="A639" s="9">
        <v>2018</v>
      </c>
      <c r="B639" s="6" t="s">
        <v>1286</v>
      </c>
      <c r="C639" s="6" t="s">
        <v>925</v>
      </c>
      <c r="D639" s="9" t="s">
        <v>62</v>
      </c>
      <c r="E639" s="6"/>
      <c r="F639" s="6" t="s">
        <v>1287</v>
      </c>
      <c r="G639" s="6" t="s">
        <v>2820</v>
      </c>
      <c r="H639" s="121">
        <v>3765994.41</v>
      </c>
      <c r="I639" s="213" t="b">
        <v>0</v>
      </c>
      <c r="J639" s="213"/>
      <c r="K639" s="213"/>
    </row>
    <row r="640" spans="1:11" ht="51" hidden="1">
      <c r="A640" s="9">
        <v>2018</v>
      </c>
      <c r="B640" s="6" t="s">
        <v>2822</v>
      </c>
      <c r="C640" s="6" t="s">
        <v>2328</v>
      </c>
      <c r="D640" s="9" t="s">
        <v>62</v>
      </c>
      <c r="E640" s="6"/>
      <c r="F640" s="6" t="s">
        <v>2823</v>
      </c>
      <c r="G640" s="6" t="s">
        <v>2824</v>
      </c>
      <c r="H640" s="150">
        <v>560000</v>
      </c>
      <c r="I640" s="213" t="b">
        <v>0</v>
      </c>
      <c r="J640" s="213" t="b">
        <v>0</v>
      </c>
      <c r="K640" s="213" t="b">
        <v>0</v>
      </c>
    </row>
    <row r="641" spans="1:11" ht="38.25">
      <c r="A641" s="9">
        <v>2018</v>
      </c>
      <c r="B641" s="6" t="s">
        <v>1289</v>
      </c>
      <c r="C641" s="6" t="s">
        <v>925</v>
      </c>
      <c r="D641" s="9" t="s">
        <v>62</v>
      </c>
      <c r="E641" s="6"/>
      <c r="F641" s="6" t="s">
        <v>1242</v>
      </c>
      <c r="G641" s="6" t="s">
        <v>2826</v>
      </c>
      <c r="H641" s="121">
        <v>710458.07</v>
      </c>
      <c r="I641" s="213" t="b">
        <v>0</v>
      </c>
      <c r="J641" s="213"/>
      <c r="K641" s="213"/>
    </row>
    <row r="642" spans="1:11" ht="38.25" hidden="1">
      <c r="A642" s="9">
        <v>2018</v>
      </c>
      <c r="B642" s="6" t="s">
        <v>2828</v>
      </c>
      <c r="C642" s="6" t="s">
        <v>61</v>
      </c>
      <c r="D642" s="6" t="s">
        <v>394</v>
      </c>
      <c r="E642" s="6"/>
      <c r="F642" s="6" t="s">
        <v>2829</v>
      </c>
      <c r="G642" s="6" t="s">
        <v>2830</v>
      </c>
      <c r="H642" s="64">
        <v>76000</v>
      </c>
      <c r="I642" s="213" t="b">
        <v>0</v>
      </c>
      <c r="J642" s="213" t="b">
        <v>0</v>
      </c>
      <c r="K642" s="213" t="b">
        <v>0</v>
      </c>
    </row>
    <row r="643" spans="1:11" ht="76.5" hidden="1">
      <c r="A643" s="9">
        <v>2018</v>
      </c>
      <c r="B643" s="6" t="s">
        <v>2833</v>
      </c>
      <c r="C643" s="6" t="s">
        <v>61</v>
      </c>
      <c r="D643" s="6" t="s">
        <v>2834</v>
      </c>
      <c r="E643" s="6"/>
      <c r="F643" s="6" t="s">
        <v>2835</v>
      </c>
      <c r="G643" s="6" t="s">
        <v>2836</v>
      </c>
      <c r="H643" s="121">
        <v>99990</v>
      </c>
      <c r="I643" s="213" t="b">
        <v>0</v>
      </c>
      <c r="J643" s="213" t="b">
        <v>0</v>
      </c>
      <c r="K643" s="213" t="b">
        <v>0</v>
      </c>
    </row>
    <row r="644" spans="1:11" ht="63.75" hidden="1">
      <c r="A644" s="9">
        <v>2018</v>
      </c>
      <c r="B644" s="6" t="s">
        <v>1729</v>
      </c>
      <c r="C644" s="6" t="s">
        <v>61</v>
      </c>
      <c r="D644" s="6" t="s">
        <v>2834</v>
      </c>
      <c r="E644" s="6"/>
      <c r="F644" s="6" t="s">
        <v>1731</v>
      </c>
      <c r="G644" s="6" t="s">
        <v>1732</v>
      </c>
      <c r="H644" s="121" t="s">
        <v>2839</v>
      </c>
      <c r="I644" s="213" t="b">
        <v>0</v>
      </c>
      <c r="J644" s="213" t="b">
        <v>0</v>
      </c>
      <c r="K644" s="213" t="b">
        <v>0</v>
      </c>
    </row>
    <row r="645" spans="1:11" ht="51" hidden="1">
      <c r="A645" s="9">
        <v>2018</v>
      </c>
      <c r="B645" s="6" t="s">
        <v>1733</v>
      </c>
      <c r="C645" s="6" t="s">
        <v>61</v>
      </c>
      <c r="D645" s="6" t="s">
        <v>2834</v>
      </c>
      <c r="E645" s="6"/>
      <c r="F645" s="6" t="s">
        <v>1734</v>
      </c>
      <c r="G645" s="6" t="s">
        <v>494</v>
      </c>
      <c r="H645" s="121">
        <v>99436</v>
      </c>
      <c r="I645" s="213" t="b">
        <v>0</v>
      </c>
      <c r="J645" s="213" t="b">
        <v>0</v>
      </c>
      <c r="K645" s="213" t="b">
        <v>0</v>
      </c>
    </row>
    <row r="646" spans="1:11" ht="25.5" hidden="1">
      <c r="A646" s="9">
        <v>2018</v>
      </c>
      <c r="B646" s="6" t="s">
        <v>2843</v>
      </c>
      <c r="C646" s="6" t="s">
        <v>61</v>
      </c>
      <c r="D646" s="6" t="s">
        <v>394</v>
      </c>
      <c r="E646" s="6"/>
      <c r="F646" s="6" t="s">
        <v>2844</v>
      </c>
      <c r="G646" s="6" t="s">
        <v>2845</v>
      </c>
      <c r="H646" s="64">
        <v>78000</v>
      </c>
      <c r="I646" s="213" t="b">
        <v>0</v>
      </c>
      <c r="J646" s="213" t="b">
        <v>0</v>
      </c>
      <c r="K646" s="213" t="b">
        <v>0</v>
      </c>
    </row>
    <row r="647" spans="1:11" ht="25.5" hidden="1">
      <c r="A647" s="9">
        <v>2018</v>
      </c>
      <c r="B647" s="6" t="s">
        <v>933</v>
      </c>
      <c r="C647" s="6" t="s">
        <v>61</v>
      </c>
      <c r="D647" s="6" t="s">
        <v>394</v>
      </c>
      <c r="E647" s="6"/>
      <c r="F647" s="6" t="s">
        <v>934</v>
      </c>
      <c r="G647" s="6" t="s">
        <v>935</v>
      </c>
      <c r="H647" s="64">
        <v>96186.96</v>
      </c>
      <c r="I647" s="213" t="b">
        <v>0</v>
      </c>
      <c r="J647" s="213" t="b">
        <v>0</v>
      </c>
      <c r="K647" s="213" t="b">
        <v>0</v>
      </c>
    </row>
    <row r="648" spans="1:11" ht="25.5" hidden="1">
      <c r="A648" s="9">
        <v>2018</v>
      </c>
      <c r="B648" s="6" t="s">
        <v>936</v>
      </c>
      <c r="C648" s="6" t="s">
        <v>61</v>
      </c>
      <c r="D648" s="6" t="s">
        <v>394</v>
      </c>
      <c r="E648" s="6"/>
      <c r="F648" s="6" t="s">
        <v>937</v>
      </c>
      <c r="G648" s="6" t="s">
        <v>2854</v>
      </c>
      <c r="H648" s="64">
        <v>80000</v>
      </c>
      <c r="I648" s="213" t="b">
        <v>0</v>
      </c>
      <c r="J648" s="213" t="b">
        <v>0</v>
      </c>
      <c r="K648" s="213" t="b">
        <v>0</v>
      </c>
    </row>
    <row r="649" spans="1:11" ht="25.5" hidden="1">
      <c r="A649" s="9">
        <v>2018</v>
      </c>
      <c r="B649" s="6" t="s">
        <v>2857</v>
      </c>
      <c r="C649" s="6" t="s">
        <v>925</v>
      </c>
      <c r="D649" s="6"/>
      <c r="E649" s="6"/>
      <c r="F649" s="6" t="s">
        <v>2858</v>
      </c>
      <c r="G649" s="6" t="s">
        <v>2319</v>
      </c>
      <c r="H649" s="121">
        <v>10000</v>
      </c>
      <c r="I649" s="213" t="b">
        <v>0</v>
      </c>
      <c r="J649" s="213" t="b">
        <v>0</v>
      </c>
      <c r="K649" s="213" t="b">
        <v>0</v>
      </c>
    </row>
    <row r="650" spans="1:11" ht="25.5" hidden="1">
      <c r="A650" s="9">
        <v>2018</v>
      </c>
      <c r="B650" s="6" t="s">
        <v>2860</v>
      </c>
      <c r="C650" s="6" t="s">
        <v>61</v>
      </c>
      <c r="D650" s="6" t="s">
        <v>652</v>
      </c>
      <c r="E650" s="6"/>
      <c r="F650" s="6" t="s">
        <v>2861</v>
      </c>
      <c r="G650" s="6" t="s">
        <v>617</v>
      </c>
      <c r="H650" s="121">
        <v>52980</v>
      </c>
      <c r="I650" s="213" t="b">
        <v>0</v>
      </c>
      <c r="J650" s="213" t="b">
        <v>0</v>
      </c>
      <c r="K650" s="213" t="b">
        <v>0</v>
      </c>
    </row>
    <row r="651" spans="1:11" ht="51" hidden="1">
      <c r="A651" s="9">
        <v>2018</v>
      </c>
      <c r="B651" s="6" t="s">
        <v>939</v>
      </c>
      <c r="C651" s="6" t="s">
        <v>61</v>
      </c>
      <c r="D651" s="6" t="s">
        <v>394</v>
      </c>
      <c r="E651" s="6"/>
      <c r="F651" s="6" t="s">
        <v>940</v>
      </c>
      <c r="G651" s="6" t="s">
        <v>941</v>
      </c>
      <c r="H651" s="64">
        <v>99000</v>
      </c>
      <c r="I651" s="213" t="b">
        <v>0</v>
      </c>
      <c r="J651" s="213" t="b">
        <v>0</v>
      </c>
      <c r="K651" s="213" t="b">
        <v>0</v>
      </c>
    </row>
    <row r="652" spans="1:11" ht="25.5" hidden="1">
      <c r="A652" s="9">
        <v>2018</v>
      </c>
      <c r="B652" s="6" t="s">
        <v>942</v>
      </c>
      <c r="C652" s="6" t="s">
        <v>61</v>
      </c>
      <c r="D652" s="6" t="s">
        <v>394</v>
      </c>
      <c r="E652" s="6"/>
      <c r="F652" s="6" t="s">
        <v>937</v>
      </c>
      <c r="G652" s="6" t="s">
        <v>943</v>
      </c>
      <c r="H652" s="64">
        <v>80000</v>
      </c>
      <c r="I652" s="213" t="b">
        <v>0</v>
      </c>
      <c r="J652" s="213" t="b">
        <v>0</v>
      </c>
      <c r="K652" s="213" t="b">
        <v>0</v>
      </c>
    </row>
    <row r="653" spans="1:11" ht="51" hidden="1">
      <c r="A653" s="9">
        <v>2018</v>
      </c>
      <c r="B653" s="6" t="s">
        <v>944</v>
      </c>
      <c r="C653" s="6" t="s">
        <v>61</v>
      </c>
      <c r="D653" s="6" t="s">
        <v>394</v>
      </c>
      <c r="E653" s="6"/>
      <c r="F653" s="6" t="s">
        <v>945</v>
      </c>
      <c r="G653" s="6" t="s">
        <v>946</v>
      </c>
      <c r="H653" s="64">
        <v>63500</v>
      </c>
      <c r="I653" s="213" t="b">
        <v>0</v>
      </c>
      <c r="J653" s="213" t="b">
        <v>0</v>
      </c>
      <c r="K653" s="213" t="b">
        <v>0</v>
      </c>
    </row>
    <row r="654" spans="1:11" ht="38.25" hidden="1">
      <c r="A654" s="9">
        <v>2018</v>
      </c>
      <c r="B654" s="6" t="s">
        <v>2877</v>
      </c>
      <c r="C654" s="6" t="s">
        <v>2034</v>
      </c>
      <c r="D654" s="6" t="s">
        <v>2878</v>
      </c>
      <c r="E654" s="6"/>
      <c r="F654" s="6" t="s">
        <v>2879</v>
      </c>
      <c r="G654" s="6" t="s">
        <v>2880</v>
      </c>
      <c r="H654" s="121"/>
      <c r="I654" s="213" t="b">
        <v>0</v>
      </c>
      <c r="J654" s="213" t="b">
        <v>0</v>
      </c>
      <c r="K654" s="213" t="b">
        <v>0</v>
      </c>
    </row>
    <row r="655" spans="1:11" ht="38.25" hidden="1">
      <c r="A655" s="9">
        <v>2018</v>
      </c>
      <c r="B655" s="6" t="s">
        <v>2883</v>
      </c>
      <c r="C655" s="6" t="s">
        <v>925</v>
      </c>
      <c r="D655" s="6"/>
      <c r="E655" s="6"/>
      <c r="F655" s="6" t="s">
        <v>2884</v>
      </c>
      <c r="G655" s="6" t="s">
        <v>2880</v>
      </c>
      <c r="H655" s="121"/>
      <c r="I655" s="213" t="b">
        <v>0</v>
      </c>
      <c r="J655" s="213" t="b">
        <v>0</v>
      </c>
      <c r="K655" s="213" t="b">
        <v>0</v>
      </c>
    </row>
    <row r="656" spans="1:11" ht="25.5" hidden="1">
      <c r="A656" s="9">
        <v>2018</v>
      </c>
      <c r="B656" s="6" t="s">
        <v>2887</v>
      </c>
      <c r="C656" s="6" t="s">
        <v>61</v>
      </c>
      <c r="D656" s="6" t="s">
        <v>652</v>
      </c>
      <c r="E656" s="6"/>
      <c r="F656" s="6" t="s">
        <v>2888</v>
      </c>
      <c r="G656" s="6" t="s">
        <v>2889</v>
      </c>
      <c r="H656" s="121">
        <v>99926</v>
      </c>
      <c r="I656" s="213" t="b">
        <v>0</v>
      </c>
      <c r="J656" s="213" t="b">
        <v>0</v>
      </c>
      <c r="K656" s="213" t="b">
        <v>0</v>
      </c>
    </row>
    <row r="657" spans="1:11" ht="12.75" hidden="1">
      <c r="A657" s="9">
        <v>2018</v>
      </c>
      <c r="B657" s="6" t="s">
        <v>947</v>
      </c>
      <c r="C657" s="6" t="s">
        <v>925</v>
      </c>
      <c r="D657" s="6" t="s">
        <v>113</v>
      </c>
      <c r="E657" s="6"/>
      <c r="F657" s="6" t="s">
        <v>949</v>
      </c>
      <c r="G657" s="6" t="s">
        <v>950</v>
      </c>
      <c r="H657" s="121">
        <v>42500</v>
      </c>
      <c r="I657" s="213" t="b">
        <v>0</v>
      </c>
      <c r="J657" s="213" t="b">
        <v>0</v>
      </c>
      <c r="K657" s="213" t="b">
        <v>0</v>
      </c>
    </row>
    <row r="658" spans="1:11" ht="38.25" hidden="1">
      <c r="A658" s="9">
        <v>2018</v>
      </c>
      <c r="B658" s="6" t="s">
        <v>951</v>
      </c>
      <c r="C658" s="6" t="s">
        <v>61</v>
      </c>
      <c r="D658" s="6" t="s">
        <v>394</v>
      </c>
      <c r="E658" s="6"/>
      <c r="F658" s="6" t="s">
        <v>952</v>
      </c>
      <c r="G658" s="6" t="s">
        <v>953</v>
      </c>
      <c r="H658" s="64">
        <v>74000</v>
      </c>
      <c r="I658" s="213" t="b">
        <v>0</v>
      </c>
      <c r="J658" s="213" t="b">
        <v>0</v>
      </c>
      <c r="K658" s="213" t="b">
        <v>0</v>
      </c>
    </row>
    <row r="659" spans="1:11" ht="51" hidden="1">
      <c r="A659" s="9">
        <v>2018</v>
      </c>
      <c r="B659" s="6" t="s">
        <v>954</v>
      </c>
      <c r="C659" s="6" t="s">
        <v>61</v>
      </c>
      <c r="D659" s="6" t="s">
        <v>394</v>
      </c>
      <c r="E659" s="6"/>
      <c r="F659" s="6" t="s">
        <v>955</v>
      </c>
      <c r="G659" s="6" t="s">
        <v>2717</v>
      </c>
      <c r="H659" s="64">
        <v>139500</v>
      </c>
      <c r="I659" s="213" t="b">
        <v>0</v>
      </c>
      <c r="J659" s="213" t="b">
        <v>0</v>
      </c>
      <c r="K659" s="213" t="b">
        <v>0</v>
      </c>
    </row>
    <row r="660" spans="1:11" ht="38.25" hidden="1">
      <c r="A660" s="9">
        <v>2018</v>
      </c>
      <c r="B660" s="6" t="s">
        <v>2903</v>
      </c>
      <c r="C660" s="6" t="s">
        <v>61</v>
      </c>
      <c r="D660" s="6" t="s">
        <v>394</v>
      </c>
      <c r="E660" s="6"/>
      <c r="F660" s="6" t="s">
        <v>958</v>
      </c>
      <c r="G660" s="6" t="s">
        <v>959</v>
      </c>
      <c r="H660" s="64">
        <v>63500</v>
      </c>
      <c r="I660" s="213" t="b">
        <v>0</v>
      </c>
      <c r="J660" s="213" t="b">
        <v>0</v>
      </c>
      <c r="K660" s="213" t="b">
        <v>0</v>
      </c>
    </row>
    <row r="661" spans="1:11" ht="51" hidden="1">
      <c r="A661" s="9">
        <v>2018</v>
      </c>
      <c r="B661" s="6" t="s">
        <v>1696</v>
      </c>
      <c r="C661" s="6" t="s">
        <v>61</v>
      </c>
      <c r="D661" s="6" t="s">
        <v>1763</v>
      </c>
      <c r="E661" s="6"/>
      <c r="F661" s="6" t="s">
        <v>5598</v>
      </c>
      <c r="G661" s="6" t="s">
        <v>1698</v>
      </c>
      <c r="H661" s="121">
        <v>200000</v>
      </c>
      <c r="I661" s="213" t="b">
        <v>0</v>
      </c>
      <c r="J661" s="213" t="b">
        <v>0</v>
      </c>
      <c r="K661" s="213" t="b">
        <v>0</v>
      </c>
    </row>
    <row r="662" spans="1:11" ht="25.5" hidden="1">
      <c r="A662" s="9">
        <v>2018</v>
      </c>
      <c r="B662" s="6" t="s">
        <v>1699</v>
      </c>
      <c r="C662" s="6" t="s">
        <v>61</v>
      </c>
      <c r="D662" s="6" t="s">
        <v>1763</v>
      </c>
      <c r="E662" s="6"/>
      <c r="F662" s="6" t="s">
        <v>1700</v>
      </c>
      <c r="G662" s="6" t="s">
        <v>1701</v>
      </c>
      <c r="H662" s="121">
        <v>200000</v>
      </c>
      <c r="I662" s="213" t="b">
        <v>0</v>
      </c>
      <c r="J662" s="213" t="b">
        <v>0</v>
      </c>
      <c r="K662" s="213" t="b">
        <v>0</v>
      </c>
    </row>
    <row r="663" spans="1:11" ht="38.25" hidden="1">
      <c r="A663" s="9">
        <v>2018</v>
      </c>
      <c r="B663" s="6" t="s">
        <v>1291</v>
      </c>
      <c r="C663" s="9" t="s">
        <v>61</v>
      </c>
      <c r="D663" s="6" t="s">
        <v>1141</v>
      </c>
      <c r="E663" s="6"/>
      <c r="F663" s="6" t="s">
        <v>1703</v>
      </c>
      <c r="G663" s="6" t="s">
        <v>1611</v>
      </c>
      <c r="H663" s="64">
        <v>750000</v>
      </c>
      <c r="I663" s="213" t="b">
        <v>0</v>
      </c>
      <c r="J663" s="213" t="b">
        <v>0</v>
      </c>
      <c r="K663" s="213" t="b">
        <v>0</v>
      </c>
    </row>
    <row r="664" spans="1:11" ht="12.75" hidden="1">
      <c r="A664" s="9">
        <v>2018</v>
      </c>
      <c r="B664" s="6" t="s">
        <v>960</v>
      </c>
      <c r="C664" s="6" t="s">
        <v>61</v>
      </c>
      <c r="D664" s="6" t="s">
        <v>586</v>
      </c>
      <c r="E664" s="6"/>
      <c r="F664" s="6" t="s">
        <v>961</v>
      </c>
      <c r="G664" s="6" t="s">
        <v>962</v>
      </c>
      <c r="H664" s="121">
        <v>8500</v>
      </c>
      <c r="I664" s="213" t="b">
        <v>0</v>
      </c>
      <c r="J664" s="213" t="b">
        <v>0</v>
      </c>
      <c r="K664" s="213" t="b">
        <v>0</v>
      </c>
    </row>
    <row r="665" spans="1:11" ht="25.5" hidden="1">
      <c r="A665" s="9">
        <v>2018</v>
      </c>
      <c r="B665" s="6" t="s">
        <v>963</v>
      </c>
      <c r="C665" s="6" t="s">
        <v>61</v>
      </c>
      <c r="D665" s="6" t="s">
        <v>652</v>
      </c>
      <c r="E665" s="6"/>
      <c r="F665" s="6" t="s">
        <v>964</v>
      </c>
      <c r="G665" s="6" t="s">
        <v>511</v>
      </c>
      <c r="H665" s="121">
        <v>100000</v>
      </c>
      <c r="I665" s="213" t="b">
        <v>0</v>
      </c>
      <c r="J665" s="213" t="b">
        <v>0</v>
      </c>
      <c r="K665" s="213" t="b">
        <v>0</v>
      </c>
    </row>
    <row r="666" spans="1:11" ht="38.25" hidden="1">
      <c r="A666" s="9">
        <v>2018</v>
      </c>
      <c r="B666" s="6" t="s">
        <v>1743</v>
      </c>
      <c r="C666" s="6" t="s">
        <v>61</v>
      </c>
      <c r="D666" s="6" t="s">
        <v>2834</v>
      </c>
      <c r="E666" s="6"/>
      <c r="F666" s="6" t="s">
        <v>1745</v>
      </c>
      <c r="G666" s="6" t="s">
        <v>572</v>
      </c>
      <c r="H666" s="121">
        <v>99586</v>
      </c>
      <c r="I666" s="213" t="b">
        <v>0</v>
      </c>
      <c r="J666" s="213" t="b">
        <v>0</v>
      </c>
      <c r="K666" s="213" t="b">
        <v>0</v>
      </c>
    </row>
    <row r="667" spans="1:11" ht="38.25" hidden="1">
      <c r="A667" s="9">
        <v>2018</v>
      </c>
      <c r="B667" s="6" t="s">
        <v>2930</v>
      </c>
      <c r="C667" s="6" t="s">
        <v>2931</v>
      </c>
      <c r="D667" s="6" t="s">
        <v>2412</v>
      </c>
      <c r="E667" s="6"/>
      <c r="F667" s="6" t="s">
        <v>2932</v>
      </c>
      <c r="G667" s="6" t="s">
        <v>1753</v>
      </c>
      <c r="H667" s="121"/>
      <c r="I667" s="213" t="b">
        <v>0</v>
      </c>
      <c r="J667" s="213" t="b">
        <v>0</v>
      </c>
      <c r="K667" s="213" t="b">
        <v>0</v>
      </c>
    </row>
    <row r="668" spans="1:11" ht="25.5">
      <c r="A668" s="9">
        <v>2018</v>
      </c>
      <c r="B668" s="6" t="s">
        <v>1294</v>
      </c>
      <c r="C668" s="6" t="s">
        <v>925</v>
      </c>
      <c r="D668" s="6" t="s">
        <v>76</v>
      </c>
      <c r="E668" s="6"/>
      <c r="F668" s="6" t="s">
        <v>2934</v>
      </c>
      <c r="G668" s="6" t="s">
        <v>1296</v>
      </c>
      <c r="H668" s="121"/>
      <c r="I668" s="213" t="b">
        <v>0</v>
      </c>
      <c r="J668" s="213"/>
      <c r="K668" s="213"/>
    </row>
    <row r="669" spans="1:11" ht="63.75" hidden="1">
      <c r="A669" s="9">
        <v>2018</v>
      </c>
      <c r="B669" s="6" t="s">
        <v>1749</v>
      </c>
      <c r="C669" s="6" t="s">
        <v>61</v>
      </c>
      <c r="D669" s="6" t="s">
        <v>2834</v>
      </c>
      <c r="E669" s="6"/>
      <c r="F669" s="6" t="s">
        <v>1750</v>
      </c>
      <c r="G669" s="6" t="s">
        <v>1451</v>
      </c>
      <c r="H669" s="121">
        <v>100000</v>
      </c>
      <c r="I669" s="213" t="b">
        <v>0</v>
      </c>
      <c r="J669" s="213" t="b">
        <v>0</v>
      </c>
      <c r="K669" s="213" t="b">
        <v>0</v>
      </c>
    </row>
    <row r="670" spans="1:11" ht="38.25" hidden="1">
      <c r="A670" s="9">
        <v>2018</v>
      </c>
      <c r="B670" s="6" t="s">
        <v>1768</v>
      </c>
      <c r="C670" s="6" t="s">
        <v>61</v>
      </c>
      <c r="D670" s="6" t="s">
        <v>1763</v>
      </c>
      <c r="E670" s="6"/>
      <c r="F670" s="6" t="s">
        <v>1769</v>
      </c>
      <c r="G670" s="6" t="s">
        <v>1770</v>
      </c>
      <c r="H670" s="121">
        <v>49000</v>
      </c>
      <c r="I670" s="213" t="b">
        <v>0</v>
      </c>
      <c r="J670" s="213" t="b">
        <v>0</v>
      </c>
      <c r="K670" s="213" t="b">
        <v>0</v>
      </c>
    </row>
    <row r="671" spans="1:11" ht="25.5" hidden="1">
      <c r="A671" s="9">
        <v>2018</v>
      </c>
      <c r="B671" s="6" t="s">
        <v>1771</v>
      </c>
      <c r="C671" s="6" t="s">
        <v>61</v>
      </c>
      <c r="D671" s="6" t="s">
        <v>1763</v>
      </c>
      <c r="E671" s="6"/>
      <c r="F671" s="6" t="s">
        <v>1772</v>
      </c>
      <c r="G671" s="6" t="s">
        <v>1728</v>
      </c>
      <c r="H671" s="121">
        <v>27700</v>
      </c>
      <c r="I671" s="213" t="b">
        <v>0</v>
      </c>
      <c r="J671" s="213" t="b">
        <v>0</v>
      </c>
      <c r="K671" s="213" t="b">
        <v>0</v>
      </c>
    </row>
    <row r="672" spans="1:11" ht="25.5" hidden="1">
      <c r="A672" s="9">
        <v>2018</v>
      </c>
      <c r="B672" s="6" t="s">
        <v>1773</v>
      </c>
      <c r="C672" s="6" t="s">
        <v>61</v>
      </c>
      <c r="D672" s="6" t="s">
        <v>1763</v>
      </c>
      <c r="E672" s="6"/>
      <c r="F672" s="6" t="s">
        <v>1774</v>
      </c>
      <c r="G672" s="6" t="s">
        <v>1775</v>
      </c>
      <c r="H672" s="121">
        <v>40000</v>
      </c>
      <c r="I672" s="213" t="b">
        <v>0</v>
      </c>
      <c r="J672" s="213" t="b">
        <v>0</v>
      </c>
      <c r="K672" s="213" t="b">
        <v>0</v>
      </c>
    </row>
    <row r="673" spans="1:11" ht="25.5" hidden="1">
      <c r="A673" s="9">
        <v>2018</v>
      </c>
      <c r="B673" s="6" t="s">
        <v>965</v>
      </c>
      <c r="C673" s="6" t="s">
        <v>61</v>
      </c>
      <c r="D673" s="6" t="s">
        <v>652</v>
      </c>
      <c r="E673" s="6"/>
      <c r="F673" s="6" t="s">
        <v>966</v>
      </c>
      <c r="G673" s="6" t="s">
        <v>967</v>
      </c>
      <c r="H673" s="121">
        <v>18268</v>
      </c>
      <c r="I673" s="213" t="b">
        <v>0</v>
      </c>
      <c r="J673" s="213" t="b">
        <v>0</v>
      </c>
      <c r="K673" s="213" t="b">
        <v>0</v>
      </c>
    </row>
    <row r="674" spans="1:11" ht="25.5" hidden="1">
      <c r="A674" s="9">
        <v>2018</v>
      </c>
      <c r="B674" s="6" t="s">
        <v>1776</v>
      </c>
      <c r="C674" s="6" t="s">
        <v>61</v>
      </c>
      <c r="D674" s="6" t="s">
        <v>1763</v>
      </c>
      <c r="E674" s="6"/>
      <c r="F674" s="6" t="s">
        <v>1777</v>
      </c>
      <c r="G674" s="6" t="s">
        <v>1778</v>
      </c>
      <c r="H674" s="121">
        <v>4500</v>
      </c>
      <c r="I674" s="213" t="b">
        <v>0</v>
      </c>
      <c r="J674" s="213" t="b">
        <v>0</v>
      </c>
      <c r="K674" s="213" t="b">
        <v>0</v>
      </c>
    </row>
    <row r="675" spans="1:11" ht="12.75" hidden="1">
      <c r="A675" s="9">
        <v>2018</v>
      </c>
      <c r="B675" s="6" t="s">
        <v>1297</v>
      </c>
      <c r="C675" s="9" t="s">
        <v>61</v>
      </c>
      <c r="D675" s="6" t="s">
        <v>1141</v>
      </c>
      <c r="E675" s="6"/>
      <c r="F675" s="6" t="s">
        <v>1298</v>
      </c>
      <c r="G675" s="6" t="s">
        <v>1299</v>
      </c>
      <c r="H675" s="64">
        <v>71755.679999999993</v>
      </c>
      <c r="I675" s="213" t="b">
        <v>0</v>
      </c>
      <c r="J675" s="213" t="b">
        <v>0</v>
      </c>
      <c r="K675" s="213" t="b">
        <v>0</v>
      </c>
    </row>
    <row r="676" spans="1:11" ht="38.25" hidden="1">
      <c r="A676" s="9">
        <v>2018</v>
      </c>
      <c r="B676" s="6" t="s">
        <v>968</v>
      </c>
      <c r="C676" s="6" t="s">
        <v>61</v>
      </c>
      <c r="D676" s="6" t="s">
        <v>652</v>
      </c>
      <c r="E676" s="6"/>
      <c r="F676" s="6" t="s">
        <v>2952</v>
      </c>
      <c r="G676" s="6" t="s">
        <v>970</v>
      </c>
      <c r="H676" s="121">
        <v>99200</v>
      </c>
      <c r="I676" s="213" t="b">
        <v>0</v>
      </c>
      <c r="J676" s="213" t="b">
        <v>0</v>
      </c>
      <c r="K676" s="213" t="b">
        <v>0</v>
      </c>
    </row>
    <row r="677" spans="1:11" ht="25.5" hidden="1">
      <c r="A677" s="9">
        <v>2018</v>
      </c>
      <c r="B677" s="6" t="s">
        <v>971</v>
      </c>
      <c r="C677" s="6" t="s">
        <v>61</v>
      </c>
      <c r="D677" s="6" t="s">
        <v>652</v>
      </c>
      <c r="E677" s="6"/>
      <c r="F677" s="6" t="s">
        <v>2955</v>
      </c>
      <c r="G677" s="6" t="s">
        <v>973</v>
      </c>
      <c r="H677" s="121">
        <v>87009</v>
      </c>
      <c r="I677" s="213" t="b">
        <v>0</v>
      </c>
      <c r="J677" s="213" t="b">
        <v>0</v>
      </c>
      <c r="K677" s="213" t="b">
        <v>0</v>
      </c>
    </row>
    <row r="678" spans="1:11" ht="12.75" hidden="1">
      <c r="A678" s="9">
        <v>2018</v>
      </c>
      <c r="B678" s="6" t="s">
        <v>1300</v>
      </c>
      <c r="C678" s="9" t="s">
        <v>61</v>
      </c>
      <c r="D678" s="6" t="s">
        <v>1141</v>
      </c>
      <c r="E678" s="6"/>
      <c r="F678" s="6" t="s">
        <v>1301</v>
      </c>
      <c r="G678" s="6" t="s">
        <v>1302</v>
      </c>
      <c r="H678" s="64">
        <v>77357.03</v>
      </c>
      <c r="I678" s="213" t="b">
        <v>0</v>
      </c>
      <c r="J678" s="213" t="b">
        <v>0</v>
      </c>
      <c r="K678" s="213" t="b">
        <v>0</v>
      </c>
    </row>
    <row r="679" spans="1:11" ht="25.5" hidden="1">
      <c r="A679" s="9">
        <v>2018</v>
      </c>
      <c r="B679" s="6" t="s">
        <v>1303</v>
      </c>
      <c r="C679" s="9" t="s">
        <v>61</v>
      </c>
      <c r="D679" s="6" t="s">
        <v>1141</v>
      </c>
      <c r="E679" s="6"/>
      <c r="F679" s="6" t="s">
        <v>1304</v>
      </c>
      <c r="G679" s="6" t="s">
        <v>1305</v>
      </c>
      <c r="H679" s="64">
        <v>56005.41</v>
      </c>
      <c r="I679" s="213" t="b">
        <v>0</v>
      </c>
      <c r="J679" s="213" t="b">
        <v>0</v>
      </c>
      <c r="K679" s="213" t="b">
        <v>0</v>
      </c>
    </row>
    <row r="680" spans="1:11" ht="25.5" hidden="1">
      <c r="A680" s="9">
        <v>2018</v>
      </c>
      <c r="B680" s="6" t="s">
        <v>974</v>
      </c>
      <c r="C680" s="6" t="s">
        <v>61</v>
      </c>
      <c r="D680" s="6" t="s">
        <v>652</v>
      </c>
      <c r="E680" s="6"/>
      <c r="F680" s="6" t="s">
        <v>2962</v>
      </c>
      <c r="G680" s="6" t="s">
        <v>976</v>
      </c>
      <c r="H680" s="121">
        <v>87880</v>
      </c>
      <c r="I680" s="213" t="b">
        <v>0</v>
      </c>
      <c r="J680" s="213" t="b">
        <v>0</v>
      </c>
      <c r="K680" s="213" t="b">
        <v>0</v>
      </c>
    </row>
    <row r="681" spans="1:11" ht="38.25" hidden="1">
      <c r="A681" s="9">
        <v>2018</v>
      </c>
      <c r="B681" s="6" t="s">
        <v>977</v>
      </c>
      <c r="C681" s="6" t="s">
        <v>61</v>
      </c>
      <c r="D681" s="6" t="s">
        <v>586</v>
      </c>
      <c r="E681" s="6"/>
      <c r="F681" s="6" t="s">
        <v>978</v>
      </c>
      <c r="G681" s="6" t="s">
        <v>906</v>
      </c>
      <c r="H681" s="121">
        <v>20150</v>
      </c>
      <c r="I681" s="213" t="b">
        <v>0</v>
      </c>
      <c r="J681" s="213" t="b">
        <v>0</v>
      </c>
      <c r="K681" s="213" t="b">
        <v>0</v>
      </c>
    </row>
    <row r="682" spans="1:11" ht="38.25" hidden="1">
      <c r="A682" s="9">
        <v>2018</v>
      </c>
      <c r="B682" s="6" t="s">
        <v>1306</v>
      </c>
      <c r="C682" s="9" t="s">
        <v>61</v>
      </c>
      <c r="D682" s="6" t="s">
        <v>1141</v>
      </c>
      <c r="E682" s="6"/>
      <c r="F682" s="6" t="s">
        <v>1307</v>
      </c>
      <c r="G682" s="6" t="s">
        <v>1206</v>
      </c>
      <c r="H682" s="64">
        <v>52464.86</v>
      </c>
      <c r="I682" s="213" t="b">
        <v>0</v>
      </c>
      <c r="J682" s="213" t="b">
        <v>0</v>
      </c>
      <c r="K682" s="213" t="b">
        <v>0</v>
      </c>
    </row>
    <row r="683" spans="1:11" ht="38.25" hidden="1">
      <c r="A683" s="9">
        <v>2018</v>
      </c>
      <c r="B683" s="6" t="s">
        <v>1308</v>
      </c>
      <c r="C683" s="6" t="s">
        <v>925</v>
      </c>
      <c r="D683" s="6" t="s">
        <v>1231</v>
      </c>
      <c r="E683" s="6"/>
      <c r="F683" s="6" t="s">
        <v>1309</v>
      </c>
      <c r="G683" s="6" t="s">
        <v>1310</v>
      </c>
      <c r="H683" s="121">
        <v>50000</v>
      </c>
      <c r="I683" s="213" t="b">
        <v>0</v>
      </c>
      <c r="J683" s="213" t="b">
        <v>0</v>
      </c>
      <c r="K683" s="213" t="b">
        <v>0</v>
      </c>
    </row>
    <row r="684" spans="1:11" ht="38.25" hidden="1">
      <c r="A684" s="9">
        <v>2018</v>
      </c>
      <c r="B684" s="6" t="s">
        <v>2975</v>
      </c>
      <c r="C684" s="6"/>
      <c r="D684" s="6"/>
      <c r="E684" s="6"/>
      <c r="F684" s="6" t="s">
        <v>2976</v>
      </c>
      <c r="G684" s="6" t="s">
        <v>1753</v>
      </c>
      <c r="H684" s="121">
        <v>40000</v>
      </c>
      <c r="I684" s="213" t="b">
        <v>0</v>
      </c>
      <c r="J684" s="213" t="b">
        <v>0</v>
      </c>
      <c r="K684" s="213" t="b">
        <v>0</v>
      </c>
    </row>
    <row r="685" spans="1:11" ht="25.5" hidden="1">
      <c r="A685" s="9">
        <v>2018</v>
      </c>
      <c r="B685" s="6" t="s">
        <v>979</v>
      </c>
      <c r="C685" s="6" t="s">
        <v>61</v>
      </c>
      <c r="D685" s="6" t="s">
        <v>652</v>
      </c>
      <c r="E685" s="6"/>
      <c r="F685" s="6" t="s">
        <v>980</v>
      </c>
      <c r="G685" s="6" t="s">
        <v>981</v>
      </c>
      <c r="H685" s="121">
        <v>98750</v>
      </c>
      <c r="I685" s="213" t="b">
        <v>0</v>
      </c>
      <c r="J685" s="213" t="b">
        <v>0</v>
      </c>
      <c r="K685" s="213" t="b">
        <v>0</v>
      </c>
    </row>
    <row r="686" spans="1:11" ht="51" hidden="1">
      <c r="A686" s="9">
        <v>2018</v>
      </c>
      <c r="B686" s="6" t="s">
        <v>1311</v>
      </c>
      <c r="C686" s="9" t="s">
        <v>61</v>
      </c>
      <c r="D686" s="6" t="s">
        <v>1141</v>
      </c>
      <c r="E686" s="6"/>
      <c r="F686" s="6" t="s">
        <v>1312</v>
      </c>
      <c r="G686" s="6" t="s">
        <v>1206</v>
      </c>
      <c r="H686" s="64">
        <v>93859.46</v>
      </c>
      <c r="I686" s="213" t="b">
        <v>0</v>
      </c>
      <c r="J686" s="213" t="b">
        <v>0</v>
      </c>
      <c r="K686" s="213" t="b">
        <v>0</v>
      </c>
    </row>
    <row r="687" spans="1:11" ht="38.25" hidden="1">
      <c r="A687" s="9">
        <v>2018</v>
      </c>
      <c r="B687" s="6" t="s">
        <v>982</v>
      </c>
      <c r="C687" s="6" t="s">
        <v>61</v>
      </c>
      <c r="D687" s="6" t="s">
        <v>652</v>
      </c>
      <c r="E687" s="6"/>
      <c r="F687" s="6" t="s">
        <v>983</v>
      </c>
      <c r="G687" s="6" t="s">
        <v>984</v>
      </c>
      <c r="H687" s="121">
        <v>100000</v>
      </c>
      <c r="I687" s="213" t="b">
        <v>0</v>
      </c>
      <c r="J687" s="213" t="b">
        <v>0</v>
      </c>
      <c r="K687" s="213" t="b">
        <v>0</v>
      </c>
    </row>
    <row r="688" spans="1:11" ht="12.75" hidden="1">
      <c r="A688" s="9">
        <v>2018</v>
      </c>
      <c r="B688" s="6" t="s">
        <v>985</v>
      </c>
      <c r="C688" s="6" t="s">
        <v>61</v>
      </c>
      <c r="D688" s="6" t="s">
        <v>586</v>
      </c>
      <c r="E688" s="6"/>
      <c r="F688" s="6" t="s">
        <v>857</v>
      </c>
      <c r="G688" s="6" t="s">
        <v>986</v>
      </c>
      <c r="H688" s="121">
        <v>11620.76</v>
      </c>
      <c r="I688" s="213" t="b">
        <v>0</v>
      </c>
      <c r="J688" s="213" t="b">
        <v>0</v>
      </c>
      <c r="K688" s="213" t="b">
        <v>0</v>
      </c>
    </row>
    <row r="689" spans="1:11" ht="76.5" hidden="1">
      <c r="A689" s="9">
        <v>2018</v>
      </c>
      <c r="B689" s="6" t="s">
        <v>985</v>
      </c>
      <c r="C689" s="6" t="s">
        <v>61</v>
      </c>
      <c r="D689" s="6" t="s">
        <v>1763</v>
      </c>
      <c r="E689" s="6"/>
      <c r="F689" s="6" t="s">
        <v>1779</v>
      </c>
      <c r="G689" s="6" t="s">
        <v>2985</v>
      </c>
      <c r="H689" s="121">
        <v>296400</v>
      </c>
      <c r="I689" s="213" t="b">
        <v>0</v>
      </c>
      <c r="J689" s="213" t="b">
        <v>0</v>
      </c>
      <c r="K689" s="213" t="b">
        <v>0</v>
      </c>
    </row>
    <row r="690" spans="1:11" ht="25.5" hidden="1">
      <c r="A690" s="9">
        <v>2018</v>
      </c>
      <c r="B690" s="6" t="s">
        <v>987</v>
      </c>
      <c r="C690" s="6" t="s">
        <v>61</v>
      </c>
      <c r="D690" s="6" t="s">
        <v>652</v>
      </c>
      <c r="E690" s="6"/>
      <c r="F690" s="6" t="s">
        <v>988</v>
      </c>
      <c r="G690" s="6" t="s">
        <v>989</v>
      </c>
      <c r="H690" s="121">
        <v>92152.5</v>
      </c>
      <c r="I690" s="213" t="b">
        <v>0</v>
      </c>
      <c r="J690" s="213" t="b">
        <v>0</v>
      </c>
      <c r="K690" s="213" t="b">
        <v>0</v>
      </c>
    </row>
    <row r="691" spans="1:11" ht="76.5" hidden="1">
      <c r="A691" s="9">
        <v>2018</v>
      </c>
      <c r="B691" s="6" t="s">
        <v>990</v>
      </c>
      <c r="C691" s="6" t="s">
        <v>61</v>
      </c>
      <c r="D691" s="6" t="s">
        <v>652</v>
      </c>
      <c r="E691" s="6"/>
      <c r="F691" s="6" t="s">
        <v>991</v>
      </c>
      <c r="G691" s="6" t="s">
        <v>992</v>
      </c>
      <c r="H691" s="121">
        <v>94000</v>
      </c>
      <c r="I691" s="213" t="b">
        <v>0</v>
      </c>
      <c r="J691" s="213" t="b">
        <v>0</v>
      </c>
      <c r="K691" s="213" t="b">
        <v>0</v>
      </c>
    </row>
    <row r="692" spans="1:11" ht="25.5" hidden="1">
      <c r="A692" s="9">
        <v>2018</v>
      </c>
      <c r="B692" s="61">
        <v>43101</v>
      </c>
      <c r="C692" s="6" t="s">
        <v>61</v>
      </c>
      <c r="D692" s="115" t="s">
        <v>1383</v>
      </c>
      <c r="E692" s="6"/>
      <c r="F692" s="6" t="s">
        <v>1661</v>
      </c>
      <c r="G692" s="6" t="s">
        <v>2319</v>
      </c>
      <c r="H692" s="252">
        <v>2747800</v>
      </c>
      <c r="I692" s="213" t="b">
        <v>0</v>
      </c>
      <c r="J692" s="213" t="b">
        <v>0</v>
      </c>
      <c r="K692" s="213" t="b">
        <v>0</v>
      </c>
    </row>
    <row r="693" spans="1:11" ht="38.25" hidden="1">
      <c r="A693" s="9">
        <v>2018</v>
      </c>
      <c r="B693" s="62">
        <v>43405</v>
      </c>
      <c r="C693" s="6" t="s">
        <v>61</v>
      </c>
      <c r="D693" s="115" t="s">
        <v>1383</v>
      </c>
      <c r="E693" s="7">
        <v>43179</v>
      </c>
      <c r="F693" s="6" t="s">
        <v>1662</v>
      </c>
      <c r="G693" s="6" t="s">
        <v>1663</v>
      </c>
      <c r="H693" s="121">
        <v>200000</v>
      </c>
      <c r="I693" s="213" t="b">
        <v>0</v>
      </c>
      <c r="J693" s="213" t="b">
        <v>0</v>
      </c>
      <c r="K693" s="213" t="b">
        <v>0</v>
      </c>
    </row>
    <row r="694" spans="1:11" ht="38.25" hidden="1">
      <c r="A694" s="9">
        <v>2018</v>
      </c>
      <c r="B694" s="62">
        <v>43435</v>
      </c>
      <c r="C694" s="6" t="s">
        <v>61</v>
      </c>
      <c r="D694" s="115" t="s">
        <v>1383</v>
      </c>
      <c r="E694" s="6"/>
      <c r="F694" s="6" t="s">
        <v>1664</v>
      </c>
      <c r="G694" s="6" t="s">
        <v>650</v>
      </c>
      <c r="H694" s="121">
        <v>200000</v>
      </c>
      <c r="I694" s="213" t="b">
        <v>0</v>
      </c>
      <c r="J694" s="213" t="b">
        <v>0</v>
      </c>
      <c r="K694" s="213" t="b">
        <v>0</v>
      </c>
    </row>
    <row r="695" spans="1:11" ht="25.5" hidden="1">
      <c r="A695" s="9">
        <v>2018</v>
      </c>
      <c r="B695" s="6" t="s">
        <v>1665</v>
      </c>
      <c r="C695" s="6" t="s">
        <v>61</v>
      </c>
      <c r="D695" s="115" t="s">
        <v>1383</v>
      </c>
      <c r="E695" s="6"/>
      <c r="F695" s="6" t="s">
        <v>1666</v>
      </c>
      <c r="G695" s="6" t="s">
        <v>581</v>
      </c>
      <c r="H695" s="121">
        <v>200000</v>
      </c>
      <c r="I695" s="213" t="b">
        <v>0</v>
      </c>
      <c r="J695" s="213" t="b">
        <v>0</v>
      </c>
      <c r="K695" s="213" t="b">
        <v>0</v>
      </c>
    </row>
    <row r="696" spans="1:11" ht="25.5" hidden="1">
      <c r="A696" s="9">
        <v>2018</v>
      </c>
      <c r="B696" s="6" t="s">
        <v>1667</v>
      </c>
      <c r="C696" s="6" t="s">
        <v>61</v>
      </c>
      <c r="D696" s="115" t="s">
        <v>1383</v>
      </c>
      <c r="E696" s="6"/>
      <c r="F696" s="6" t="s">
        <v>1666</v>
      </c>
      <c r="G696" s="6" t="s">
        <v>722</v>
      </c>
      <c r="H696" s="121">
        <v>200000</v>
      </c>
      <c r="I696" s="213" t="b">
        <v>0</v>
      </c>
      <c r="J696" s="213" t="b">
        <v>0</v>
      </c>
      <c r="K696" s="213" t="b">
        <v>0</v>
      </c>
    </row>
    <row r="697" spans="1:11" ht="25.5" hidden="1">
      <c r="A697" s="9">
        <v>2018</v>
      </c>
      <c r="B697" s="6" t="s">
        <v>1668</v>
      </c>
      <c r="C697" s="6" t="s">
        <v>61</v>
      </c>
      <c r="D697" s="115" t="s">
        <v>1383</v>
      </c>
      <c r="E697" s="6"/>
      <c r="F697" s="6" t="s">
        <v>1666</v>
      </c>
      <c r="G697" s="132" t="s">
        <v>1669</v>
      </c>
      <c r="H697" s="121">
        <v>200000</v>
      </c>
      <c r="I697" s="213" t="b">
        <v>0</v>
      </c>
      <c r="J697" s="213" t="b">
        <v>0</v>
      </c>
      <c r="K697" s="213" t="b">
        <v>0</v>
      </c>
    </row>
    <row r="698" spans="1:11" ht="25.5" hidden="1">
      <c r="A698" s="9">
        <v>2018</v>
      </c>
      <c r="B698" s="6" t="s">
        <v>1670</v>
      </c>
      <c r="C698" s="6" t="s">
        <v>61</v>
      </c>
      <c r="D698" s="115" t="s">
        <v>1383</v>
      </c>
      <c r="E698" s="6"/>
      <c r="F698" s="6" t="s">
        <v>1666</v>
      </c>
      <c r="G698" s="6" t="s">
        <v>1671</v>
      </c>
      <c r="H698" s="121">
        <v>200000</v>
      </c>
      <c r="I698" s="213" t="b">
        <v>0</v>
      </c>
      <c r="J698" s="213" t="b">
        <v>0</v>
      </c>
      <c r="K698" s="213" t="b">
        <v>0</v>
      </c>
    </row>
    <row r="699" spans="1:11" ht="25.5" hidden="1">
      <c r="A699" s="9">
        <v>2018</v>
      </c>
      <c r="B699" s="6" t="s">
        <v>1672</v>
      </c>
      <c r="C699" s="6" t="s">
        <v>61</v>
      </c>
      <c r="D699" s="115" t="s">
        <v>1383</v>
      </c>
      <c r="E699" s="132"/>
      <c r="F699" s="132" t="s">
        <v>1673</v>
      </c>
      <c r="G699" s="6" t="s">
        <v>707</v>
      </c>
      <c r="H699" s="121">
        <v>200000</v>
      </c>
      <c r="I699" s="213" t="b">
        <v>0</v>
      </c>
      <c r="J699" s="213" t="b">
        <v>0</v>
      </c>
      <c r="K699" s="213" t="b">
        <v>0</v>
      </c>
    </row>
    <row r="700" spans="1:11" ht="51" hidden="1">
      <c r="A700" s="9">
        <v>2018</v>
      </c>
      <c r="B700" s="6" t="s">
        <v>1674</v>
      </c>
      <c r="C700" s="6" t="s">
        <v>61</v>
      </c>
      <c r="D700" s="115" t="s">
        <v>1383</v>
      </c>
      <c r="E700" s="6"/>
      <c r="F700" s="6" t="s">
        <v>1675</v>
      </c>
      <c r="G700" s="6" t="s">
        <v>1502</v>
      </c>
      <c r="H700" s="121">
        <v>200000</v>
      </c>
      <c r="I700" s="213" t="b">
        <v>0</v>
      </c>
      <c r="J700" s="213" t="b">
        <v>0</v>
      </c>
      <c r="K700" s="213" t="b">
        <v>0</v>
      </c>
    </row>
    <row r="701" spans="1:11" ht="25.5" hidden="1">
      <c r="A701" s="9">
        <v>2018</v>
      </c>
      <c r="B701" s="6" t="s">
        <v>1676</v>
      </c>
      <c r="C701" s="6" t="s">
        <v>61</v>
      </c>
      <c r="D701" s="115" t="s">
        <v>1383</v>
      </c>
      <c r="E701" s="6"/>
      <c r="F701" s="6" t="s">
        <v>1677</v>
      </c>
      <c r="G701" s="6" t="s">
        <v>1389</v>
      </c>
      <c r="H701" s="121">
        <v>200000</v>
      </c>
      <c r="I701" s="213" t="b">
        <v>0</v>
      </c>
      <c r="J701" s="213" t="b">
        <v>0</v>
      </c>
      <c r="K701" s="213" t="b">
        <v>0</v>
      </c>
    </row>
    <row r="702" spans="1:11" ht="25.5" hidden="1">
      <c r="A702" s="9">
        <v>2018</v>
      </c>
      <c r="B702" s="6" t="s">
        <v>1678</v>
      </c>
      <c r="C702" s="6" t="s">
        <v>61</v>
      </c>
      <c r="D702" s="115" t="s">
        <v>1383</v>
      </c>
      <c r="E702" s="6"/>
      <c r="F702" s="6" t="s">
        <v>1679</v>
      </c>
      <c r="G702" s="6" t="s">
        <v>1680</v>
      </c>
      <c r="H702" s="121">
        <v>200000</v>
      </c>
      <c r="I702" s="213" t="b">
        <v>0</v>
      </c>
      <c r="J702" s="213" t="b">
        <v>0</v>
      </c>
      <c r="K702" s="213" t="b">
        <v>0</v>
      </c>
    </row>
    <row r="703" spans="1:11" ht="38.25" hidden="1">
      <c r="A703" s="9">
        <v>2018</v>
      </c>
      <c r="B703" s="6" t="s">
        <v>1681</v>
      </c>
      <c r="C703" s="6" t="s">
        <v>61</v>
      </c>
      <c r="D703" s="115" t="s">
        <v>1383</v>
      </c>
      <c r="E703" s="6"/>
      <c r="F703" s="6" t="s">
        <v>1682</v>
      </c>
      <c r="G703" s="6" t="s">
        <v>1683</v>
      </c>
      <c r="H703" s="121">
        <v>200000</v>
      </c>
      <c r="I703" s="213" t="b">
        <v>0</v>
      </c>
      <c r="J703" s="213" t="b">
        <v>0</v>
      </c>
      <c r="K703" s="213" t="b">
        <v>0</v>
      </c>
    </row>
    <row r="704" spans="1:11" ht="63.75" hidden="1">
      <c r="A704" s="9">
        <v>2018</v>
      </c>
      <c r="B704" s="6" t="s">
        <v>1684</v>
      </c>
      <c r="C704" s="6" t="s">
        <v>61</v>
      </c>
      <c r="D704" s="115" t="s">
        <v>1383</v>
      </c>
      <c r="E704" s="6"/>
      <c r="F704" s="6" t="s">
        <v>1685</v>
      </c>
      <c r="G704" s="6" t="s">
        <v>2707</v>
      </c>
      <c r="H704" s="121">
        <v>200000</v>
      </c>
      <c r="I704" s="213" t="b">
        <v>0</v>
      </c>
      <c r="J704" s="213" t="b">
        <v>0</v>
      </c>
      <c r="K704" s="213" t="b">
        <v>0</v>
      </c>
    </row>
    <row r="705" spans="1:11" ht="38.25" hidden="1">
      <c r="A705" s="9">
        <v>2018</v>
      </c>
      <c r="B705" s="6" t="s">
        <v>1687</v>
      </c>
      <c r="C705" s="6" t="s">
        <v>61</v>
      </c>
      <c r="D705" s="115" t="s">
        <v>1383</v>
      </c>
      <c r="E705" s="6"/>
      <c r="F705" s="6" t="s">
        <v>1688</v>
      </c>
      <c r="G705" s="6" t="s">
        <v>1689</v>
      </c>
      <c r="H705" s="121">
        <v>200000</v>
      </c>
      <c r="I705" s="213" t="b">
        <v>0</v>
      </c>
      <c r="J705" s="213" t="b">
        <v>0</v>
      </c>
      <c r="K705" s="213" t="b">
        <v>0</v>
      </c>
    </row>
    <row r="706" spans="1:11" ht="38.25" hidden="1">
      <c r="A706" s="9">
        <v>2018</v>
      </c>
      <c r="B706" s="6" t="s">
        <v>1690</v>
      </c>
      <c r="C706" s="6" t="s">
        <v>61</v>
      </c>
      <c r="D706" s="115" t="s">
        <v>1383</v>
      </c>
      <c r="E706" s="6"/>
      <c r="F706" s="6" t="s">
        <v>1691</v>
      </c>
      <c r="G706" s="6" t="s">
        <v>1692</v>
      </c>
      <c r="H706" s="121">
        <v>200000</v>
      </c>
      <c r="I706" s="213" t="b">
        <v>0</v>
      </c>
      <c r="J706" s="213" t="b">
        <v>0</v>
      </c>
      <c r="K706" s="213" t="b">
        <v>0</v>
      </c>
    </row>
    <row r="707" spans="1:11" ht="63.75" hidden="1">
      <c r="A707" s="9">
        <v>2018</v>
      </c>
      <c r="B707" s="6" t="s">
        <v>1693</v>
      </c>
      <c r="C707" s="6" t="s">
        <v>61</v>
      </c>
      <c r="D707" s="115" t="s">
        <v>1383</v>
      </c>
      <c r="E707" s="6"/>
      <c r="F707" s="6" t="s">
        <v>1694</v>
      </c>
      <c r="G707" s="6" t="s">
        <v>2709</v>
      </c>
      <c r="H707" s="121">
        <v>200000</v>
      </c>
      <c r="I707" s="213" t="b">
        <v>0</v>
      </c>
      <c r="J707" s="213" t="b">
        <v>0</v>
      </c>
      <c r="K707" s="213" t="b">
        <v>0</v>
      </c>
    </row>
    <row r="708" spans="1:11" ht="51" hidden="1">
      <c r="A708" s="9">
        <v>2018</v>
      </c>
      <c r="B708" s="6" t="s">
        <v>1696</v>
      </c>
      <c r="C708" s="6" t="s">
        <v>61</v>
      </c>
      <c r="D708" s="115" t="s">
        <v>1383</v>
      </c>
      <c r="E708" s="6"/>
      <c r="F708" s="6" t="s">
        <v>1697</v>
      </c>
      <c r="G708" s="6" t="s">
        <v>1698</v>
      </c>
      <c r="H708" s="121">
        <v>200000</v>
      </c>
      <c r="I708" s="213" t="b">
        <v>0</v>
      </c>
      <c r="J708" s="213" t="b">
        <v>0</v>
      </c>
      <c r="K708" s="213" t="b">
        <v>0</v>
      </c>
    </row>
    <row r="709" spans="1:11" ht="25.5" hidden="1">
      <c r="A709" s="9">
        <v>2018</v>
      </c>
      <c r="B709" s="6" t="s">
        <v>1699</v>
      </c>
      <c r="C709" s="6" t="s">
        <v>61</v>
      </c>
      <c r="D709" s="115" t="s">
        <v>1383</v>
      </c>
      <c r="E709" s="6"/>
      <c r="F709" s="6" t="s">
        <v>1700</v>
      </c>
      <c r="G709" s="6" t="s">
        <v>1701</v>
      </c>
      <c r="H709" s="121">
        <v>200000</v>
      </c>
      <c r="I709" s="213" t="b">
        <v>0</v>
      </c>
      <c r="J709" s="213" t="b">
        <v>0</v>
      </c>
      <c r="K709" s="213" t="b">
        <v>0</v>
      </c>
    </row>
    <row r="710" spans="1:11" ht="38.25" hidden="1">
      <c r="A710" s="9">
        <v>2018</v>
      </c>
      <c r="B710" s="6" t="s">
        <v>1702</v>
      </c>
      <c r="C710" s="6" t="s">
        <v>61</v>
      </c>
      <c r="D710" s="115" t="s">
        <v>1383</v>
      </c>
      <c r="E710" s="6"/>
      <c r="F710" s="6" t="s">
        <v>1703</v>
      </c>
      <c r="G710" s="6" t="s">
        <v>1611</v>
      </c>
      <c r="H710" s="121">
        <v>750000</v>
      </c>
      <c r="I710" s="213" t="b">
        <v>0</v>
      </c>
      <c r="J710" s="213" t="b">
        <v>0</v>
      </c>
      <c r="K710" s="213" t="b">
        <v>0</v>
      </c>
    </row>
    <row r="711" spans="1:11" ht="25.5" hidden="1">
      <c r="A711" s="9">
        <v>2018</v>
      </c>
      <c r="B711" s="6" t="s">
        <v>960</v>
      </c>
      <c r="C711" s="6" t="s">
        <v>61</v>
      </c>
      <c r="D711" s="115" t="s">
        <v>1383</v>
      </c>
      <c r="E711" s="6"/>
      <c r="F711" s="6" t="s">
        <v>1704</v>
      </c>
      <c r="G711" s="6" t="s">
        <v>1705</v>
      </c>
      <c r="H711" s="121">
        <v>750000</v>
      </c>
      <c r="I711" s="213" t="b">
        <v>0</v>
      </c>
      <c r="J711" s="213" t="b">
        <v>0</v>
      </c>
      <c r="K711" s="213" t="b">
        <v>0</v>
      </c>
    </row>
    <row r="712" spans="1:11" ht="89.25" hidden="1">
      <c r="A712" s="9">
        <v>2018</v>
      </c>
      <c r="B712" s="6" t="s">
        <v>1706</v>
      </c>
      <c r="C712" s="6" t="s">
        <v>61</v>
      </c>
      <c r="D712" s="115" t="s">
        <v>1383</v>
      </c>
      <c r="E712" s="6"/>
      <c r="F712" s="6" t="s">
        <v>2710</v>
      </c>
      <c r="G712" s="6" t="s">
        <v>1708</v>
      </c>
      <c r="H712" s="121">
        <v>1500000</v>
      </c>
      <c r="I712" s="213" t="b">
        <v>0</v>
      </c>
      <c r="J712" s="213" t="b">
        <v>0</v>
      </c>
      <c r="K712" s="213" t="b">
        <v>0</v>
      </c>
    </row>
    <row r="713" spans="1:11" ht="25.5" hidden="1">
      <c r="A713" s="9">
        <v>2018</v>
      </c>
      <c r="B713" s="6" t="s">
        <v>1709</v>
      </c>
      <c r="C713" s="6" t="s">
        <v>61</v>
      </c>
      <c r="D713" s="115" t="s">
        <v>1383</v>
      </c>
      <c r="E713" s="6"/>
      <c r="F713" s="6" t="s">
        <v>1710</v>
      </c>
      <c r="G713" s="6" t="s">
        <v>1711</v>
      </c>
      <c r="H713" s="121">
        <v>200000</v>
      </c>
      <c r="I713" s="213" t="b">
        <v>0</v>
      </c>
      <c r="J713" s="213" t="b">
        <v>0</v>
      </c>
      <c r="K713" s="213" t="b">
        <v>0</v>
      </c>
    </row>
    <row r="714" spans="1:11" ht="38.25" hidden="1">
      <c r="A714" s="9">
        <v>2018</v>
      </c>
      <c r="B714" s="6" t="s">
        <v>1712</v>
      </c>
      <c r="C714" s="6" t="s">
        <v>61</v>
      </c>
      <c r="D714" s="115" t="s">
        <v>1383</v>
      </c>
      <c r="E714" s="6"/>
      <c r="F714" s="6" t="s">
        <v>1713</v>
      </c>
      <c r="G714" s="6" t="s">
        <v>2711</v>
      </c>
      <c r="H714" s="121">
        <v>200000</v>
      </c>
      <c r="I714" s="213" t="b">
        <v>0</v>
      </c>
      <c r="J714" s="213" t="b">
        <v>0</v>
      </c>
      <c r="K714" s="213" t="b">
        <v>0</v>
      </c>
    </row>
    <row r="715" spans="1:11" ht="25.5" hidden="1">
      <c r="A715" s="9">
        <v>2018</v>
      </c>
      <c r="B715" s="6" t="s">
        <v>1714</v>
      </c>
      <c r="C715" s="6" t="s">
        <v>61</v>
      </c>
      <c r="D715" s="115" t="s">
        <v>1383</v>
      </c>
      <c r="E715" s="6"/>
      <c r="F715" s="6" t="s">
        <v>1715</v>
      </c>
      <c r="G715" s="6" t="s">
        <v>2713</v>
      </c>
      <c r="H715" s="121">
        <v>200000</v>
      </c>
      <c r="I715" s="213" t="b">
        <v>0</v>
      </c>
      <c r="J715" s="213" t="b">
        <v>0</v>
      </c>
      <c r="K715" s="213" t="b">
        <v>0</v>
      </c>
    </row>
    <row r="716" spans="1:11" ht="51" hidden="1">
      <c r="A716" s="9">
        <v>2018</v>
      </c>
      <c r="B716" s="6" t="s">
        <v>1716</v>
      </c>
      <c r="C716" s="6" t="s">
        <v>61</v>
      </c>
      <c r="D716" s="115" t="s">
        <v>1383</v>
      </c>
      <c r="E716" s="6"/>
      <c r="F716" s="6" t="s">
        <v>1717</v>
      </c>
      <c r="G716" s="6" t="s">
        <v>2715</v>
      </c>
      <c r="H716" s="121">
        <v>200000</v>
      </c>
      <c r="I716" s="213" t="b">
        <v>0</v>
      </c>
      <c r="J716" s="213" t="b">
        <v>0</v>
      </c>
      <c r="K716" s="213" t="b">
        <v>0</v>
      </c>
    </row>
    <row r="717" spans="1:11" ht="12.75" hidden="1">
      <c r="A717" s="9">
        <v>2018</v>
      </c>
      <c r="B717" s="6" t="s">
        <v>1718</v>
      </c>
      <c r="C717" s="6" t="s">
        <v>61</v>
      </c>
      <c r="D717" s="115" t="s">
        <v>1383</v>
      </c>
      <c r="E717" s="6"/>
      <c r="F717" s="6" t="s">
        <v>1719</v>
      </c>
      <c r="G717" s="6" t="s">
        <v>2717</v>
      </c>
      <c r="H717" s="121">
        <v>200000</v>
      </c>
      <c r="I717" s="213" t="b">
        <v>0</v>
      </c>
      <c r="J717" s="213" t="b">
        <v>0</v>
      </c>
      <c r="K717" s="213" t="b">
        <v>0</v>
      </c>
    </row>
    <row r="718" spans="1:11" ht="25.5" hidden="1">
      <c r="A718" s="9">
        <v>2018</v>
      </c>
      <c r="B718" s="6" t="s">
        <v>1720</v>
      </c>
      <c r="C718" s="6" t="s">
        <v>61</v>
      </c>
      <c r="D718" s="115" t="s">
        <v>1383</v>
      </c>
      <c r="E718" s="6"/>
      <c r="F718" s="6" t="s">
        <v>1721</v>
      </c>
      <c r="G718" s="6" t="s">
        <v>2719</v>
      </c>
      <c r="H718" s="121">
        <v>200000</v>
      </c>
      <c r="I718" s="213" t="b">
        <v>0</v>
      </c>
      <c r="J718" s="213" t="b">
        <v>0</v>
      </c>
      <c r="K718" s="213" t="b">
        <v>0</v>
      </c>
    </row>
    <row r="719" spans="1:11" ht="25.5" hidden="1">
      <c r="A719" s="9">
        <v>2018</v>
      </c>
      <c r="B719" s="6" t="s">
        <v>1723</v>
      </c>
      <c r="C719" s="6" t="s">
        <v>61</v>
      </c>
      <c r="D719" s="115" t="s">
        <v>1383</v>
      </c>
      <c r="E719" s="6"/>
      <c r="F719" s="6" t="s">
        <v>1724</v>
      </c>
      <c r="G719" s="6" t="s">
        <v>2721</v>
      </c>
      <c r="H719" s="121">
        <v>220000</v>
      </c>
      <c r="I719" s="213" t="b">
        <v>0</v>
      </c>
      <c r="J719" s="213" t="b">
        <v>0</v>
      </c>
      <c r="K719" s="213" t="b">
        <v>0</v>
      </c>
    </row>
    <row r="720" spans="1:11" ht="63.75" hidden="1">
      <c r="A720" s="9">
        <v>2018</v>
      </c>
      <c r="B720" s="6" t="s">
        <v>1726</v>
      </c>
      <c r="C720" s="6" t="s">
        <v>61</v>
      </c>
      <c r="D720" s="115" t="s">
        <v>1383</v>
      </c>
      <c r="E720" s="6"/>
      <c r="F720" s="6" t="s">
        <v>1727</v>
      </c>
      <c r="G720" s="6" t="s">
        <v>1728</v>
      </c>
      <c r="H720" s="121">
        <v>200000</v>
      </c>
      <c r="I720" s="213" t="b">
        <v>0</v>
      </c>
      <c r="J720" s="213" t="b">
        <v>0</v>
      </c>
      <c r="K720" s="213" t="b">
        <v>0</v>
      </c>
    </row>
    <row r="721" spans="1:11" ht="25.5" hidden="1">
      <c r="A721" s="9">
        <v>2018</v>
      </c>
      <c r="B721" s="6" t="s">
        <v>2752</v>
      </c>
      <c r="C721" s="6" t="s">
        <v>61</v>
      </c>
      <c r="D721" s="115" t="s">
        <v>1383</v>
      </c>
      <c r="E721" s="6"/>
      <c r="F721" s="6" t="s">
        <v>2753</v>
      </c>
      <c r="G721" s="6" t="s">
        <v>2319</v>
      </c>
      <c r="H721" s="121">
        <v>3621100</v>
      </c>
      <c r="I721" s="213" t="b">
        <v>0</v>
      </c>
      <c r="J721" s="213" t="b">
        <v>0</v>
      </c>
      <c r="K721" s="213" t="b">
        <v>0</v>
      </c>
    </row>
    <row r="722" spans="1:11" ht="38.25" hidden="1">
      <c r="A722" s="9">
        <v>2018</v>
      </c>
      <c r="B722" s="6" t="s">
        <v>2790</v>
      </c>
      <c r="C722" s="6" t="s">
        <v>925</v>
      </c>
      <c r="D722" s="6" t="s">
        <v>1383</v>
      </c>
      <c r="E722" s="6"/>
      <c r="F722" s="6" t="s">
        <v>2791</v>
      </c>
      <c r="G722" s="6" t="s">
        <v>2792</v>
      </c>
      <c r="H722" s="121">
        <v>200000</v>
      </c>
      <c r="I722" s="213" t="b">
        <v>0</v>
      </c>
      <c r="J722" s="213" t="b">
        <v>0</v>
      </c>
      <c r="K722" s="213" t="b">
        <v>0</v>
      </c>
    </row>
    <row r="723" spans="1:11" ht="38.25" hidden="1">
      <c r="A723" s="9">
        <v>2018</v>
      </c>
      <c r="B723" s="6" t="s">
        <v>2795</v>
      </c>
      <c r="C723" s="6" t="s">
        <v>61</v>
      </c>
      <c r="D723" s="115" t="s">
        <v>1383</v>
      </c>
      <c r="E723" s="6"/>
      <c r="F723" s="6" t="s">
        <v>2796</v>
      </c>
      <c r="G723" s="6" t="s">
        <v>2797</v>
      </c>
      <c r="H723" s="121">
        <v>350000</v>
      </c>
      <c r="I723" s="213" t="b">
        <v>0</v>
      </c>
      <c r="J723" s="213" t="b">
        <v>0</v>
      </c>
      <c r="K723" s="213" t="b">
        <v>0</v>
      </c>
    </row>
    <row r="724" spans="1:11" ht="38.25" hidden="1">
      <c r="A724" s="9">
        <v>2018</v>
      </c>
      <c r="B724" s="6" t="s">
        <v>2849</v>
      </c>
      <c r="C724" s="6" t="s">
        <v>61</v>
      </c>
      <c r="D724" s="115" t="s">
        <v>1383</v>
      </c>
      <c r="E724" s="6"/>
      <c r="F724" s="6" t="s">
        <v>2850</v>
      </c>
      <c r="G724" s="6" t="s">
        <v>2851</v>
      </c>
      <c r="H724" s="121">
        <v>40000</v>
      </c>
      <c r="I724" s="213" t="b">
        <v>0</v>
      </c>
      <c r="J724" s="213" t="b">
        <v>0</v>
      </c>
      <c r="K724" s="213" t="b">
        <v>0</v>
      </c>
    </row>
    <row r="725" spans="1:11" ht="38.25" hidden="1">
      <c r="A725" s="9">
        <v>2018</v>
      </c>
      <c r="B725" s="6" t="s">
        <v>2867</v>
      </c>
      <c r="C725" s="6" t="s">
        <v>61</v>
      </c>
      <c r="D725" s="115" t="s">
        <v>1383</v>
      </c>
      <c r="E725" s="6"/>
      <c r="F725" s="6" t="s">
        <v>2868</v>
      </c>
      <c r="G725" s="6" t="s">
        <v>2869</v>
      </c>
      <c r="H725" s="121">
        <v>46000</v>
      </c>
      <c r="I725" s="213" t="b">
        <v>0</v>
      </c>
      <c r="J725" s="213" t="b">
        <v>0</v>
      </c>
      <c r="K725" s="213" t="b">
        <v>0</v>
      </c>
    </row>
    <row r="726" spans="1:11" ht="76.5" hidden="1">
      <c r="A726" s="9">
        <v>2018</v>
      </c>
      <c r="B726" s="6" t="s">
        <v>2872</v>
      </c>
      <c r="C726" s="6" t="s">
        <v>61</v>
      </c>
      <c r="D726" s="115" t="s">
        <v>1383</v>
      </c>
      <c r="E726" s="6"/>
      <c r="F726" s="6" t="s">
        <v>2873</v>
      </c>
      <c r="G726" s="6" t="s">
        <v>2874</v>
      </c>
      <c r="H726" s="121">
        <v>50000</v>
      </c>
      <c r="I726" s="213" t="b">
        <v>0</v>
      </c>
      <c r="J726" s="213" t="b">
        <v>0</v>
      </c>
      <c r="K726" s="213" t="b">
        <v>0</v>
      </c>
    </row>
    <row r="727" spans="1:11" ht="38.25" hidden="1">
      <c r="A727" s="9">
        <v>2018</v>
      </c>
      <c r="B727" s="6" t="s">
        <v>1735</v>
      </c>
      <c r="C727" s="6" t="s">
        <v>61</v>
      </c>
      <c r="D727" s="115" t="s">
        <v>1383</v>
      </c>
      <c r="E727" s="6"/>
      <c r="F727" s="6" t="s">
        <v>1736</v>
      </c>
      <c r="G727" s="6" t="s">
        <v>2319</v>
      </c>
      <c r="H727" s="121">
        <v>100000</v>
      </c>
      <c r="I727" s="213" t="b">
        <v>0</v>
      </c>
      <c r="J727" s="213" t="b">
        <v>0</v>
      </c>
      <c r="K727" s="213" t="b">
        <v>0</v>
      </c>
    </row>
    <row r="728" spans="1:11" ht="25.5" hidden="1">
      <c r="A728" s="9">
        <v>2018</v>
      </c>
      <c r="B728" s="6" t="s">
        <v>2896</v>
      </c>
      <c r="C728" s="6" t="s">
        <v>61</v>
      </c>
      <c r="D728" s="115" t="s">
        <v>1383</v>
      </c>
      <c r="E728" s="6"/>
      <c r="F728" s="6" t="s">
        <v>2897</v>
      </c>
      <c r="G728" s="6" t="s">
        <v>2898</v>
      </c>
      <c r="H728" s="121">
        <v>20000</v>
      </c>
      <c r="I728" s="213" t="b">
        <v>0</v>
      </c>
      <c r="J728" s="213" t="b">
        <v>0</v>
      </c>
      <c r="K728" s="213" t="b">
        <v>0</v>
      </c>
    </row>
    <row r="729" spans="1:11" ht="38.25" hidden="1">
      <c r="A729" s="9">
        <v>2018</v>
      </c>
      <c r="B729" s="6" t="s">
        <v>1706</v>
      </c>
      <c r="C729" s="6" t="s">
        <v>61</v>
      </c>
      <c r="D729" s="115" t="s">
        <v>1383</v>
      </c>
      <c r="E729" s="6"/>
      <c r="F729" s="6" t="s">
        <v>2916</v>
      </c>
      <c r="G729" s="6" t="s">
        <v>2917</v>
      </c>
      <c r="H729" s="121">
        <v>100000</v>
      </c>
      <c r="I729" s="213" t="b">
        <v>0</v>
      </c>
      <c r="J729" s="213" t="b">
        <v>0</v>
      </c>
      <c r="K729" s="213" t="b">
        <v>0</v>
      </c>
    </row>
    <row r="730" spans="1:11" ht="12.75" hidden="1">
      <c r="A730" s="9">
        <v>2018</v>
      </c>
      <c r="B730" s="6" t="s">
        <v>1737</v>
      </c>
      <c r="C730" s="6" t="s">
        <v>61</v>
      </c>
      <c r="D730" s="115" t="s">
        <v>1383</v>
      </c>
      <c r="E730" s="6"/>
      <c r="F730" s="6" t="s">
        <v>1738</v>
      </c>
      <c r="G730" s="6" t="s">
        <v>2921</v>
      </c>
      <c r="H730" s="121">
        <v>12509</v>
      </c>
      <c r="I730" s="213" t="b">
        <v>0</v>
      </c>
      <c r="J730" s="213" t="b">
        <v>0</v>
      </c>
      <c r="K730" s="213" t="b">
        <v>0</v>
      </c>
    </row>
    <row r="731" spans="1:11" ht="25.5" hidden="1">
      <c r="A731" s="9">
        <v>2018</v>
      </c>
      <c r="B731" s="6" t="s">
        <v>1740</v>
      </c>
      <c r="C731" s="6" t="s">
        <v>61</v>
      </c>
      <c r="D731" s="115" t="s">
        <v>1383</v>
      </c>
      <c r="E731" s="6"/>
      <c r="F731" s="6" t="s">
        <v>1741</v>
      </c>
      <c r="G731" s="6" t="s">
        <v>1742</v>
      </c>
      <c r="H731" s="121">
        <v>100000</v>
      </c>
      <c r="I731" s="213" t="b">
        <v>0</v>
      </c>
      <c r="J731" s="213" t="b">
        <v>0</v>
      </c>
      <c r="K731" s="213" t="b">
        <v>0</v>
      </c>
    </row>
    <row r="732" spans="1:11" ht="25.5" hidden="1">
      <c r="A732" s="9">
        <v>2018</v>
      </c>
      <c r="B732" s="6" t="s">
        <v>1746</v>
      </c>
      <c r="C732" s="6" t="s">
        <v>61</v>
      </c>
      <c r="D732" s="115" t="s">
        <v>1383</v>
      </c>
      <c r="E732" s="6"/>
      <c r="F732" s="6" t="s">
        <v>1747</v>
      </c>
      <c r="G732" s="6" t="s">
        <v>1748</v>
      </c>
      <c r="H732" s="121">
        <v>100000</v>
      </c>
      <c r="I732" s="213" t="b">
        <v>0</v>
      </c>
      <c r="J732" s="213" t="b">
        <v>0</v>
      </c>
      <c r="K732" s="213" t="b">
        <v>0</v>
      </c>
    </row>
    <row r="733" spans="1:11" ht="38.25" hidden="1">
      <c r="A733" s="9">
        <v>2018</v>
      </c>
      <c r="B733" s="6" t="s">
        <v>1751</v>
      </c>
      <c r="C733" s="6" t="s">
        <v>61</v>
      </c>
      <c r="D733" s="115" t="s">
        <v>1383</v>
      </c>
      <c r="E733" s="6"/>
      <c r="F733" s="6" t="s">
        <v>1752</v>
      </c>
      <c r="G733" s="6" t="s">
        <v>1753</v>
      </c>
      <c r="H733" s="121">
        <v>100000</v>
      </c>
      <c r="I733" s="213" t="b">
        <v>0</v>
      </c>
      <c r="J733" s="213" t="b">
        <v>0</v>
      </c>
      <c r="K733" s="213" t="b">
        <v>0</v>
      </c>
    </row>
    <row r="734" spans="1:11" ht="38.25" hidden="1">
      <c r="A734" s="9">
        <v>2018</v>
      </c>
      <c r="B734" s="6" t="s">
        <v>1754</v>
      </c>
      <c r="C734" s="6" t="s">
        <v>61</v>
      </c>
      <c r="D734" s="115" t="s">
        <v>1383</v>
      </c>
      <c r="E734" s="6"/>
      <c r="F734" s="6" t="s">
        <v>1755</v>
      </c>
      <c r="G734" s="6" t="s">
        <v>1756</v>
      </c>
      <c r="H734" s="121">
        <v>50000</v>
      </c>
      <c r="I734" s="213" t="b">
        <v>0</v>
      </c>
      <c r="J734" s="213" t="b">
        <v>0</v>
      </c>
      <c r="K734" s="213" t="b">
        <v>0</v>
      </c>
    </row>
    <row r="735" spans="1:11" ht="38.25" hidden="1">
      <c r="A735" s="9">
        <v>2018</v>
      </c>
      <c r="B735" s="6" t="s">
        <v>1757</v>
      </c>
      <c r="C735" s="6" t="s">
        <v>61</v>
      </c>
      <c r="D735" s="115" t="s">
        <v>1383</v>
      </c>
      <c r="E735" s="6"/>
      <c r="F735" s="6" t="s">
        <v>1758</v>
      </c>
      <c r="G735" s="6" t="s">
        <v>1759</v>
      </c>
      <c r="H735" s="121">
        <v>100000</v>
      </c>
      <c r="I735" s="213" t="b">
        <v>0</v>
      </c>
      <c r="J735" s="213" t="b">
        <v>0</v>
      </c>
      <c r="K735" s="213" t="b">
        <v>0</v>
      </c>
    </row>
    <row r="736" spans="1:11" ht="25.5" hidden="1">
      <c r="A736" s="9">
        <v>2018</v>
      </c>
      <c r="B736" s="6" t="s">
        <v>1760</v>
      </c>
      <c r="C736" s="6" t="s">
        <v>61</v>
      </c>
      <c r="D736" s="115" t="s">
        <v>1383</v>
      </c>
      <c r="E736" s="6"/>
      <c r="F736" s="6" t="s">
        <v>1761</v>
      </c>
      <c r="G736" s="6" t="s">
        <v>1762</v>
      </c>
      <c r="H736" s="121">
        <v>64080</v>
      </c>
      <c r="I736" s="213" t="b">
        <v>0</v>
      </c>
      <c r="J736" s="213" t="b">
        <v>0</v>
      </c>
      <c r="K736" s="213" t="b">
        <v>0</v>
      </c>
    </row>
    <row r="737" spans="1:11" ht="25.5">
      <c r="A737" s="9">
        <v>2017</v>
      </c>
      <c r="B737" s="61">
        <v>42736</v>
      </c>
      <c r="C737" s="6" t="s">
        <v>61</v>
      </c>
      <c r="D737" s="6" t="s">
        <v>125</v>
      </c>
      <c r="E737" s="253"/>
      <c r="F737" s="132" t="s">
        <v>807</v>
      </c>
      <c r="G737" s="132" t="s">
        <v>2992</v>
      </c>
      <c r="H737" s="121">
        <v>450000</v>
      </c>
      <c r="I737" s="213" t="b">
        <v>0</v>
      </c>
      <c r="J737" s="213"/>
      <c r="K737" s="213"/>
    </row>
    <row r="738" spans="1:11" ht="63.75" hidden="1">
      <c r="A738" s="9">
        <v>2017</v>
      </c>
      <c r="B738" s="61">
        <v>42767</v>
      </c>
      <c r="C738" s="6" t="s">
        <v>1867</v>
      </c>
      <c r="D738" s="6" t="s">
        <v>2993</v>
      </c>
      <c r="E738" s="6"/>
      <c r="F738" s="6" t="s">
        <v>2994</v>
      </c>
      <c r="G738" s="6" t="s">
        <v>2995</v>
      </c>
      <c r="H738" s="121">
        <v>300000</v>
      </c>
      <c r="I738" s="213" t="b">
        <v>0</v>
      </c>
      <c r="J738" s="213" t="b">
        <v>0</v>
      </c>
      <c r="K738" s="213" t="b">
        <v>0</v>
      </c>
    </row>
    <row r="739" spans="1:11" ht="38.25" hidden="1">
      <c r="A739" s="9">
        <v>2017</v>
      </c>
      <c r="B739" s="6" t="s">
        <v>3074</v>
      </c>
      <c r="C739" s="6" t="s">
        <v>61</v>
      </c>
      <c r="D739" s="6" t="s">
        <v>3075</v>
      </c>
      <c r="E739" s="6"/>
      <c r="F739" s="6" t="s">
        <v>929</v>
      </c>
      <c r="G739" s="6" t="s">
        <v>3076</v>
      </c>
      <c r="H739" s="121">
        <v>257160</v>
      </c>
      <c r="I739" s="213" t="b">
        <v>0</v>
      </c>
      <c r="J739" s="213" t="b">
        <v>0</v>
      </c>
      <c r="K739" s="213" t="b">
        <v>0</v>
      </c>
    </row>
    <row r="740" spans="1:11" ht="25.5" hidden="1">
      <c r="A740" s="9">
        <v>2017</v>
      </c>
      <c r="B740" s="6" t="s">
        <v>3091</v>
      </c>
      <c r="C740" s="6" t="s">
        <v>61</v>
      </c>
      <c r="D740" s="6" t="s">
        <v>3092</v>
      </c>
      <c r="E740" s="6"/>
      <c r="F740" s="6" t="s">
        <v>3093</v>
      </c>
      <c r="G740" s="6" t="s">
        <v>3094</v>
      </c>
      <c r="H740" s="121">
        <v>316050</v>
      </c>
      <c r="I740" s="213" t="b">
        <v>0</v>
      </c>
      <c r="J740" s="213" t="b">
        <v>0</v>
      </c>
      <c r="K740" s="213" t="b">
        <v>0</v>
      </c>
    </row>
    <row r="741" spans="1:11" ht="25.5" hidden="1">
      <c r="A741" s="9">
        <v>2017</v>
      </c>
      <c r="B741" s="6" t="s">
        <v>3095</v>
      </c>
      <c r="C741" s="6" t="s">
        <v>3096</v>
      </c>
      <c r="D741" s="6" t="s">
        <v>3097</v>
      </c>
      <c r="E741" s="6"/>
      <c r="F741" s="6" t="s">
        <v>3098</v>
      </c>
      <c r="G741" s="6" t="s">
        <v>811</v>
      </c>
      <c r="H741" s="121">
        <v>308000</v>
      </c>
      <c r="I741" s="213" t="b">
        <v>0</v>
      </c>
      <c r="J741" s="213" t="b">
        <v>0</v>
      </c>
      <c r="K741" s="213" t="b">
        <v>0</v>
      </c>
    </row>
    <row r="742" spans="1:11" ht="38.25" hidden="1">
      <c r="A742" s="9">
        <v>2017</v>
      </c>
      <c r="B742" s="6" t="s">
        <v>3099</v>
      </c>
      <c r="C742" s="6" t="s">
        <v>61</v>
      </c>
      <c r="D742" s="6" t="s">
        <v>1262</v>
      </c>
      <c r="E742" s="6"/>
      <c r="F742" s="6" t="s">
        <v>3100</v>
      </c>
      <c r="G742" s="6" t="s">
        <v>3101</v>
      </c>
      <c r="H742" s="121">
        <v>604800</v>
      </c>
      <c r="I742" s="213" t="b">
        <v>0</v>
      </c>
      <c r="J742" s="213" t="b">
        <v>0</v>
      </c>
      <c r="K742" s="213" t="b">
        <v>0</v>
      </c>
    </row>
    <row r="743" spans="1:11" ht="12.75" hidden="1">
      <c r="A743" s="9">
        <v>2017</v>
      </c>
      <c r="B743" s="6" t="s">
        <v>3103</v>
      </c>
      <c r="C743" s="6" t="s">
        <v>2328</v>
      </c>
      <c r="D743" s="6"/>
      <c r="E743" s="6"/>
      <c r="F743" s="6" t="s">
        <v>3104</v>
      </c>
      <c r="G743" s="6" t="s">
        <v>3105</v>
      </c>
      <c r="H743" s="121">
        <v>72000</v>
      </c>
      <c r="I743" s="213" t="b">
        <v>0</v>
      </c>
      <c r="J743" s="213" t="b">
        <v>0</v>
      </c>
      <c r="K743" s="213" t="b">
        <v>0</v>
      </c>
    </row>
    <row r="744" spans="1:11" ht="38.25" hidden="1">
      <c r="A744" s="9">
        <v>2017</v>
      </c>
      <c r="B744" s="6" t="s">
        <v>3107</v>
      </c>
      <c r="C744" s="6" t="s">
        <v>3108</v>
      </c>
      <c r="D744" s="6" t="s">
        <v>3109</v>
      </c>
      <c r="E744" s="6"/>
      <c r="F744" s="6" t="s">
        <v>3110</v>
      </c>
      <c r="G744" s="6" t="s">
        <v>3111</v>
      </c>
      <c r="H744" s="121">
        <v>167500</v>
      </c>
      <c r="I744" s="213" t="b">
        <v>0</v>
      </c>
      <c r="J744" s="213" t="b">
        <v>0</v>
      </c>
      <c r="K744" s="213" t="b">
        <v>0</v>
      </c>
    </row>
    <row r="745" spans="1:11" ht="51" hidden="1">
      <c r="A745" s="9">
        <v>2017</v>
      </c>
      <c r="B745" s="6" t="s">
        <v>3113</v>
      </c>
      <c r="C745" s="6" t="s">
        <v>61</v>
      </c>
      <c r="D745" s="112" t="s">
        <v>68</v>
      </c>
      <c r="E745" s="6"/>
      <c r="F745" s="6" t="s">
        <v>3114</v>
      </c>
      <c r="G745" s="6" t="s">
        <v>3115</v>
      </c>
      <c r="H745" s="121">
        <v>996971</v>
      </c>
      <c r="I745" s="213" t="b">
        <v>0</v>
      </c>
      <c r="J745" s="213" t="b">
        <v>0</v>
      </c>
      <c r="K745" s="213" t="b">
        <v>0</v>
      </c>
    </row>
    <row r="746" spans="1:11" ht="63.75" hidden="1">
      <c r="A746" s="9">
        <v>2017</v>
      </c>
      <c r="B746" s="6" t="s">
        <v>3116</v>
      </c>
      <c r="C746" s="6" t="s">
        <v>61</v>
      </c>
      <c r="D746" s="6" t="s">
        <v>3117</v>
      </c>
      <c r="E746" s="6"/>
      <c r="F746" s="6" t="s">
        <v>3118</v>
      </c>
      <c r="G746" s="6" t="s">
        <v>3076</v>
      </c>
      <c r="H746" s="121">
        <v>150000</v>
      </c>
      <c r="I746" s="213" t="b">
        <v>0</v>
      </c>
      <c r="J746" s="213" t="b">
        <v>0</v>
      </c>
      <c r="K746" s="213" t="b">
        <v>0</v>
      </c>
    </row>
    <row r="747" spans="1:11" ht="38.25" hidden="1">
      <c r="A747" s="9">
        <v>2017</v>
      </c>
      <c r="B747" s="6" t="s">
        <v>3139</v>
      </c>
      <c r="C747" s="6" t="s">
        <v>61</v>
      </c>
      <c r="D747" s="6" t="s">
        <v>2834</v>
      </c>
      <c r="E747" s="6"/>
      <c r="F747" s="6" t="s">
        <v>3140</v>
      </c>
      <c r="G747" s="6" t="s">
        <v>3141</v>
      </c>
      <c r="H747" s="121">
        <v>200000</v>
      </c>
      <c r="I747" s="213" t="b">
        <v>0</v>
      </c>
      <c r="J747" s="213" t="b">
        <v>0</v>
      </c>
      <c r="K747" s="213" t="b">
        <v>0</v>
      </c>
    </row>
    <row r="748" spans="1:11" ht="51" hidden="1">
      <c r="A748" s="9">
        <v>2017</v>
      </c>
      <c r="B748" s="6" t="s">
        <v>3143</v>
      </c>
      <c r="C748" s="6" t="s">
        <v>61</v>
      </c>
      <c r="D748" s="6" t="s">
        <v>1262</v>
      </c>
      <c r="E748" s="132"/>
      <c r="F748" s="132" t="s">
        <v>3144</v>
      </c>
      <c r="G748" s="6" t="s">
        <v>3145</v>
      </c>
      <c r="H748" s="121">
        <v>999407</v>
      </c>
      <c r="I748" s="213" t="b">
        <v>0</v>
      </c>
      <c r="J748" s="213" t="b">
        <v>0</v>
      </c>
      <c r="K748" s="213" t="b">
        <v>0</v>
      </c>
    </row>
    <row r="749" spans="1:11" ht="38.25" hidden="1">
      <c r="A749" s="9">
        <v>2017</v>
      </c>
      <c r="B749" s="6" t="s">
        <v>3147</v>
      </c>
      <c r="C749" s="6" t="s">
        <v>61</v>
      </c>
      <c r="D749" s="6" t="s">
        <v>394</v>
      </c>
      <c r="E749" s="6"/>
      <c r="F749" s="6" t="s">
        <v>3148</v>
      </c>
      <c r="G749" s="6" t="s">
        <v>3149</v>
      </c>
      <c r="H749" s="121">
        <v>520000</v>
      </c>
      <c r="I749" s="213" t="b">
        <v>0</v>
      </c>
      <c r="J749" s="213" t="b">
        <v>0</v>
      </c>
      <c r="K749" s="213" t="b">
        <v>0</v>
      </c>
    </row>
    <row r="750" spans="1:11" ht="38.25">
      <c r="A750" s="9">
        <v>2017</v>
      </c>
      <c r="B750" s="6" t="s">
        <v>3150</v>
      </c>
      <c r="C750" s="6" t="s">
        <v>61</v>
      </c>
      <c r="D750" s="9" t="s">
        <v>62</v>
      </c>
      <c r="E750" s="6"/>
      <c r="F750" s="6" t="s">
        <v>3151</v>
      </c>
      <c r="G750" s="6" t="s">
        <v>3152</v>
      </c>
      <c r="H750" s="121">
        <v>712468.76</v>
      </c>
      <c r="I750" s="213" t="b">
        <v>0</v>
      </c>
      <c r="J750" s="213"/>
      <c r="K750" s="213"/>
    </row>
    <row r="751" spans="1:11" ht="38.25" hidden="1">
      <c r="A751" s="9">
        <v>2017</v>
      </c>
      <c r="B751" s="6" t="s">
        <v>3154</v>
      </c>
      <c r="C751" s="6" t="s">
        <v>61</v>
      </c>
      <c r="D751" s="6" t="s">
        <v>3155</v>
      </c>
      <c r="E751" s="6"/>
      <c r="F751" s="6" t="s">
        <v>3156</v>
      </c>
      <c r="G751" s="6" t="s">
        <v>3157</v>
      </c>
      <c r="H751" s="121">
        <v>5708000</v>
      </c>
      <c r="I751" s="213" t="b">
        <v>0</v>
      </c>
      <c r="J751" s="213" t="b">
        <v>0</v>
      </c>
      <c r="K751" s="213" t="b">
        <v>0</v>
      </c>
    </row>
    <row r="752" spans="1:11" ht="12.75" hidden="1">
      <c r="A752" s="9">
        <v>2017</v>
      </c>
      <c r="B752" s="6" t="s">
        <v>3158</v>
      </c>
      <c r="C752" s="6" t="s">
        <v>2328</v>
      </c>
      <c r="D752" s="6" t="s">
        <v>3075</v>
      </c>
      <c r="E752" s="6"/>
      <c r="F752" s="6" t="s">
        <v>3159</v>
      </c>
      <c r="G752" s="6" t="s">
        <v>3160</v>
      </c>
      <c r="H752" s="121">
        <v>10415256</v>
      </c>
      <c r="I752" s="213" t="b">
        <v>0</v>
      </c>
      <c r="J752" s="213" t="b">
        <v>0</v>
      </c>
      <c r="K752" s="213" t="b">
        <v>0</v>
      </c>
    </row>
    <row r="753" spans="1:11" ht="51" hidden="1">
      <c r="A753" s="9">
        <v>2017</v>
      </c>
      <c r="B753" s="6" t="s">
        <v>3161</v>
      </c>
      <c r="C753" s="6" t="s">
        <v>2328</v>
      </c>
      <c r="D753" s="6"/>
      <c r="E753" s="6"/>
      <c r="F753" s="6" t="s">
        <v>2994</v>
      </c>
      <c r="G753" s="6" t="s">
        <v>3162</v>
      </c>
      <c r="H753" s="121">
        <v>300000</v>
      </c>
      <c r="I753" s="213" t="b">
        <v>0</v>
      </c>
      <c r="J753" s="213" t="b">
        <v>0</v>
      </c>
      <c r="K753" s="213" t="b">
        <v>0</v>
      </c>
    </row>
    <row r="754" spans="1:11" ht="25.5" hidden="1">
      <c r="A754" s="9">
        <v>2017</v>
      </c>
      <c r="B754" s="6" t="s">
        <v>3163</v>
      </c>
      <c r="C754" s="6" t="s">
        <v>2328</v>
      </c>
      <c r="D754" s="6"/>
      <c r="E754" s="6"/>
      <c r="F754" s="6" t="s">
        <v>3164</v>
      </c>
      <c r="G754" s="6" t="s">
        <v>3165</v>
      </c>
      <c r="H754" s="121"/>
      <c r="I754" s="213" t="b">
        <v>0</v>
      </c>
      <c r="J754" s="213" t="b">
        <v>0</v>
      </c>
      <c r="K754" s="213" t="b">
        <v>0</v>
      </c>
    </row>
    <row r="755" spans="1:11" ht="51" hidden="1">
      <c r="A755" s="9">
        <v>2017</v>
      </c>
      <c r="B755" s="6" t="s">
        <v>3167</v>
      </c>
      <c r="C755" s="6" t="s">
        <v>61</v>
      </c>
      <c r="D755" s="6" t="s">
        <v>3168</v>
      </c>
      <c r="E755" s="6"/>
      <c r="F755" s="6" t="s">
        <v>3169</v>
      </c>
      <c r="G755" s="6" t="s">
        <v>3170</v>
      </c>
      <c r="H755" s="121">
        <v>480000</v>
      </c>
      <c r="I755" s="213" t="b">
        <v>0</v>
      </c>
      <c r="J755" s="213" t="b">
        <v>0</v>
      </c>
      <c r="K755" s="213" t="b">
        <v>0</v>
      </c>
    </row>
    <row r="756" spans="1:11" ht="25.5" hidden="1">
      <c r="A756" s="9">
        <v>2017</v>
      </c>
      <c r="B756" s="6" t="s">
        <v>3171</v>
      </c>
      <c r="C756" s="6"/>
      <c r="D756" s="6" t="s">
        <v>3155</v>
      </c>
      <c r="E756" s="6"/>
      <c r="F756" s="6" t="s">
        <v>3172</v>
      </c>
      <c r="G756" s="6" t="s">
        <v>3173</v>
      </c>
      <c r="H756" s="121">
        <v>900320</v>
      </c>
      <c r="I756" s="213" t="b">
        <v>0</v>
      </c>
      <c r="J756" s="213" t="b">
        <v>0</v>
      </c>
      <c r="K756" s="213" t="b">
        <v>0</v>
      </c>
    </row>
    <row r="757" spans="1:11" ht="51">
      <c r="A757" s="9">
        <v>2017</v>
      </c>
      <c r="B757" s="6" t="s">
        <v>3175</v>
      </c>
      <c r="C757" s="6" t="s">
        <v>61</v>
      </c>
      <c r="D757" s="9" t="s">
        <v>62</v>
      </c>
      <c r="E757" s="6"/>
      <c r="F757" s="6" t="s">
        <v>3176</v>
      </c>
      <c r="G757" s="6" t="s">
        <v>3177</v>
      </c>
      <c r="H757" s="121">
        <v>777970</v>
      </c>
      <c r="I757" s="213" t="b">
        <v>0</v>
      </c>
      <c r="J757" s="213"/>
      <c r="K757" s="213"/>
    </row>
    <row r="758" spans="1:11" ht="51">
      <c r="A758" s="9">
        <v>2017</v>
      </c>
      <c r="B758" s="6" t="s">
        <v>3179</v>
      </c>
      <c r="C758" s="6" t="s">
        <v>61</v>
      </c>
      <c r="D758" s="9" t="s">
        <v>62</v>
      </c>
      <c r="E758" s="6"/>
      <c r="F758" s="6" t="s">
        <v>3180</v>
      </c>
      <c r="G758" s="6" t="s">
        <v>3181</v>
      </c>
      <c r="H758" s="121">
        <v>2987995</v>
      </c>
      <c r="I758" s="213" t="b">
        <v>0</v>
      </c>
      <c r="J758" s="213"/>
      <c r="K758" s="213"/>
    </row>
    <row r="759" spans="1:11" ht="76.5" hidden="1">
      <c r="A759" s="9">
        <v>2017</v>
      </c>
      <c r="B759" s="6" t="s">
        <v>3183</v>
      </c>
      <c r="C759" s="6" t="s">
        <v>61</v>
      </c>
      <c r="D759" s="6" t="s">
        <v>3092</v>
      </c>
      <c r="E759" s="6"/>
      <c r="F759" s="6" t="s">
        <v>3184</v>
      </c>
      <c r="G759" s="6" t="s">
        <v>3185</v>
      </c>
      <c r="H759" s="121">
        <v>421622</v>
      </c>
      <c r="I759" s="213" t="b">
        <v>0</v>
      </c>
      <c r="J759" s="213" t="b">
        <v>0</v>
      </c>
      <c r="K759" s="213" t="b">
        <v>0</v>
      </c>
    </row>
    <row r="760" spans="1:11" ht="12.75" hidden="1">
      <c r="A760" s="9">
        <v>2017</v>
      </c>
      <c r="B760" s="6" t="s">
        <v>3187</v>
      </c>
      <c r="C760" s="6" t="s">
        <v>61</v>
      </c>
      <c r="D760" s="6" t="s">
        <v>1141</v>
      </c>
      <c r="E760" s="6"/>
      <c r="F760" s="6" t="s">
        <v>3188</v>
      </c>
      <c r="G760" s="6" t="s">
        <v>3189</v>
      </c>
      <c r="H760" s="121">
        <v>23860.21</v>
      </c>
      <c r="I760" s="213" t="b">
        <v>0</v>
      </c>
      <c r="J760" s="213" t="b">
        <v>0</v>
      </c>
      <c r="K760" s="213" t="b">
        <v>0</v>
      </c>
    </row>
    <row r="761" spans="1:11" ht="38.25" hidden="1">
      <c r="A761" s="9">
        <v>2017</v>
      </c>
      <c r="B761" s="6" t="s">
        <v>3191</v>
      </c>
      <c r="C761" s="6" t="s">
        <v>2328</v>
      </c>
      <c r="D761" s="6"/>
      <c r="E761" s="6"/>
      <c r="F761" s="6" t="s">
        <v>3192</v>
      </c>
      <c r="G761" s="6" t="s">
        <v>3193</v>
      </c>
      <c r="H761" s="121">
        <v>316600</v>
      </c>
      <c r="I761" s="213" t="b">
        <v>0</v>
      </c>
      <c r="J761" s="213" t="b">
        <v>0</v>
      </c>
      <c r="K761" s="213" t="b">
        <v>0</v>
      </c>
    </row>
    <row r="762" spans="1:11" ht="38.25" hidden="1">
      <c r="A762" s="9">
        <v>2017</v>
      </c>
      <c r="B762" s="6" t="s">
        <v>3195</v>
      </c>
      <c r="C762" s="6" t="s">
        <v>61</v>
      </c>
      <c r="D762" s="6" t="s">
        <v>2834</v>
      </c>
      <c r="E762" s="6"/>
      <c r="F762" s="6" t="s">
        <v>3196</v>
      </c>
      <c r="G762" s="6" t="s">
        <v>3197</v>
      </c>
      <c r="H762" s="121">
        <v>249990</v>
      </c>
      <c r="I762" s="213" t="b">
        <v>0</v>
      </c>
      <c r="J762" s="213" t="b">
        <v>0</v>
      </c>
      <c r="K762" s="213" t="b">
        <v>0</v>
      </c>
    </row>
    <row r="763" spans="1:11" ht="38.25">
      <c r="A763" s="9">
        <v>2017</v>
      </c>
      <c r="B763" s="6" t="s">
        <v>3199</v>
      </c>
      <c r="C763" s="6" t="s">
        <v>61</v>
      </c>
      <c r="D763" s="9" t="s">
        <v>62</v>
      </c>
      <c r="E763" s="6"/>
      <c r="F763" s="6" t="s">
        <v>3200</v>
      </c>
      <c r="G763" s="6" t="s">
        <v>3201</v>
      </c>
      <c r="H763" s="121">
        <v>1428000</v>
      </c>
      <c r="I763" s="213" t="b">
        <v>0</v>
      </c>
      <c r="J763" s="213"/>
      <c r="K763" s="213"/>
    </row>
    <row r="764" spans="1:11" ht="12.75" hidden="1">
      <c r="A764" s="9">
        <v>2017</v>
      </c>
      <c r="B764" s="6" t="s">
        <v>3203</v>
      </c>
      <c r="C764" s="6" t="s">
        <v>3204</v>
      </c>
      <c r="D764" s="6" t="s">
        <v>3155</v>
      </c>
      <c r="E764" s="6"/>
      <c r="F764" s="6" t="s">
        <v>3205</v>
      </c>
      <c r="G764" s="6" t="s">
        <v>581</v>
      </c>
      <c r="H764" s="121">
        <v>1015000</v>
      </c>
      <c r="I764" s="213" t="b">
        <v>0</v>
      </c>
      <c r="J764" s="213" t="b">
        <v>0</v>
      </c>
      <c r="K764" s="213" t="b">
        <v>0</v>
      </c>
    </row>
    <row r="765" spans="1:11" ht="25.5" hidden="1">
      <c r="A765" s="9">
        <v>2017</v>
      </c>
      <c r="B765" s="6" t="s">
        <v>3206</v>
      </c>
      <c r="C765" s="6" t="s">
        <v>3204</v>
      </c>
      <c r="D765" s="6" t="s">
        <v>3155</v>
      </c>
      <c r="E765" s="6"/>
      <c r="F765" s="6" t="s">
        <v>3207</v>
      </c>
      <c r="G765" s="6" t="s">
        <v>3208</v>
      </c>
      <c r="H765" s="121">
        <v>1316250</v>
      </c>
      <c r="I765" s="213" t="b">
        <v>0</v>
      </c>
      <c r="J765" s="213" t="b">
        <v>0</v>
      </c>
      <c r="K765" s="213" t="b">
        <v>0</v>
      </c>
    </row>
    <row r="766" spans="1:11" ht="25.5" hidden="1">
      <c r="A766" s="9">
        <v>2017</v>
      </c>
      <c r="B766" s="6" t="s">
        <v>3210</v>
      </c>
      <c r="C766" s="6" t="s">
        <v>61</v>
      </c>
      <c r="D766" s="6" t="s">
        <v>394</v>
      </c>
      <c r="E766" s="6"/>
      <c r="F766" s="6" t="s">
        <v>3211</v>
      </c>
      <c r="G766" s="6" t="s">
        <v>3212</v>
      </c>
      <c r="H766" s="121">
        <v>169240</v>
      </c>
      <c r="I766" s="213" t="b">
        <v>0</v>
      </c>
      <c r="J766" s="213" t="b">
        <v>0</v>
      </c>
      <c r="K766" s="213" t="b">
        <v>0</v>
      </c>
    </row>
    <row r="767" spans="1:11" ht="102" hidden="1">
      <c r="A767" s="9">
        <v>2017</v>
      </c>
      <c r="B767" s="6" t="s">
        <v>3213</v>
      </c>
      <c r="C767" s="6" t="s">
        <v>61</v>
      </c>
      <c r="D767" s="6" t="s">
        <v>3168</v>
      </c>
      <c r="E767" s="6"/>
      <c r="F767" s="6" t="s">
        <v>3214</v>
      </c>
      <c r="G767" s="6" t="s">
        <v>3215</v>
      </c>
      <c r="H767" s="121">
        <v>500000</v>
      </c>
      <c r="I767" s="213" t="b">
        <v>0</v>
      </c>
      <c r="J767" s="213" t="b">
        <v>0</v>
      </c>
      <c r="K767" s="213" t="b">
        <v>0</v>
      </c>
    </row>
    <row r="768" spans="1:11" ht="25.5" hidden="1">
      <c r="A768" s="9">
        <v>2017</v>
      </c>
      <c r="B768" s="6" t="s">
        <v>3218</v>
      </c>
      <c r="C768" s="6" t="s">
        <v>3204</v>
      </c>
      <c r="D768" s="6" t="s">
        <v>3155</v>
      </c>
      <c r="E768" s="6"/>
      <c r="F768" s="6" t="s">
        <v>3219</v>
      </c>
      <c r="G768" s="6" t="s">
        <v>3220</v>
      </c>
      <c r="H768" s="121">
        <v>1337500</v>
      </c>
      <c r="I768" s="213" t="b">
        <v>0</v>
      </c>
      <c r="J768" s="213" t="b">
        <v>0</v>
      </c>
      <c r="K768" s="213" t="b">
        <v>0</v>
      </c>
    </row>
    <row r="769" spans="1:11" ht="25.5" hidden="1">
      <c r="A769" s="9">
        <v>2017</v>
      </c>
      <c r="B769" s="6" t="s">
        <v>3222</v>
      </c>
      <c r="C769" s="6" t="s">
        <v>61</v>
      </c>
      <c r="D769" s="6" t="s">
        <v>3092</v>
      </c>
      <c r="E769" s="6"/>
      <c r="F769" s="6" t="s">
        <v>3223</v>
      </c>
      <c r="G769" s="6" t="s">
        <v>3224</v>
      </c>
      <c r="H769" s="121">
        <v>743784</v>
      </c>
      <c r="I769" s="213" t="b">
        <v>0</v>
      </c>
      <c r="J769" s="213" t="b">
        <v>0</v>
      </c>
      <c r="K769" s="213" t="b">
        <v>0</v>
      </c>
    </row>
    <row r="770" spans="1:11" ht="25.5">
      <c r="A770" s="9">
        <v>2017</v>
      </c>
      <c r="B770" s="6" t="s">
        <v>3230</v>
      </c>
      <c r="C770" s="6" t="s">
        <v>61</v>
      </c>
      <c r="D770" s="6" t="s">
        <v>125</v>
      </c>
      <c r="E770" s="6"/>
      <c r="F770" s="6" t="s">
        <v>807</v>
      </c>
      <c r="G770" s="6" t="s">
        <v>811</v>
      </c>
      <c r="H770" s="121">
        <v>500000</v>
      </c>
      <c r="I770" s="213" t="b">
        <v>0</v>
      </c>
      <c r="J770" s="213"/>
      <c r="K770" s="213"/>
    </row>
    <row r="771" spans="1:11" ht="63.75" hidden="1">
      <c r="A771" s="9">
        <v>2017</v>
      </c>
      <c r="B771" s="6" t="s">
        <v>3231</v>
      </c>
      <c r="C771" s="6" t="s">
        <v>61</v>
      </c>
      <c r="D771" s="6" t="s">
        <v>394</v>
      </c>
      <c r="E771" s="6"/>
      <c r="F771" s="6" t="s">
        <v>3232</v>
      </c>
      <c r="G771" s="6" t="s">
        <v>3233</v>
      </c>
      <c r="H771" s="121">
        <v>241450</v>
      </c>
      <c r="I771" s="213" t="b">
        <v>0</v>
      </c>
      <c r="J771" s="213" t="b">
        <v>0</v>
      </c>
      <c r="K771" s="213" t="b">
        <v>0</v>
      </c>
    </row>
    <row r="772" spans="1:11" ht="38.25" hidden="1">
      <c r="A772" s="9">
        <v>2017</v>
      </c>
      <c r="B772" s="6" t="s">
        <v>3235</v>
      </c>
      <c r="C772" s="6" t="s">
        <v>2328</v>
      </c>
      <c r="D772" s="6"/>
      <c r="E772" s="6"/>
      <c r="F772" s="6" t="s">
        <v>3236</v>
      </c>
      <c r="G772" s="6" t="s">
        <v>3237</v>
      </c>
      <c r="H772" s="121">
        <v>1326052.5</v>
      </c>
      <c r="I772" s="213" t="b">
        <v>0</v>
      </c>
      <c r="J772" s="213" t="b">
        <v>0</v>
      </c>
      <c r="K772" s="213" t="b">
        <v>0</v>
      </c>
    </row>
    <row r="773" spans="1:11" ht="89.25" hidden="1">
      <c r="A773" s="9">
        <v>2017</v>
      </c>
      <c r="B773" s="6" t="s">
        <v>3239</v>
      </c>
      <c r="C773" s="6" t="s">
        <v>2328</v>
      </c>
      <c r="D773" s="6"/>
      <c r="E773" s="6"/>
      <c r="F773" s="6" t="s">
        <v>3240</v>
      </c>
      <c r="G773" s="6" t="s">
        <v>3241</v>
      </c>
      <c r="H773" s="121">
        <v>5030944</v>
      </c>
      <c r="I773" s="213" t="b">
        <v>0</v>
      </c>
      <c r="J773" s="213" t="b">
        <v>0</v>
      </c>
      <c r="K773" s="213" t="b">
        <v>0</v>
      </c>
    </row>
    <row r="774" spans="1:11" ht="89.25" hidden="1">
      <c r="A774" s="9">
        <v>2017</v>
      </c>
      <c r="B774" s="6" t="s">
        <v>3243</v>
      </c>
      <c r="C774" s="6" t="s">
        <v>2328</v>
      </c>
      <c r="D774" s="6"/>
      <c r="E774" s="6"/>
      <c r="F774" s="6" t="s">
        <v>3244</v>
      </c>
      <c r="G774" s="6" t="s">
        <v>3241</v>
      </c>
      <c r="H774" s="121">
        <v>3500000</v>
      </c>
      <c r="I774" s="213" t="b">
        <v>0</v>
      </c>
      <c r="J774" s="213" t="b">
        <v>0</v>
      </c>
      <c r="K774" s="213" t="b">
        <v>0</v>
      </c>
    </row>
    <row r="775" spans="1:11" ht="89.25" hidden="1">
      <c r="A775" s="9">
        <v>2017</v>
      </c>
      <c r="B775" s="6" t="s">
        <v>3245</v>
      </c>
      <c r="C775" s="6" t="s">
        <v>2328</v>
      </c>
      <c r="D775" s="6"/>
      <c r="E775" s="6"/>
      <c r="F775" s="6" t="s">
        <v>3246</v>
      </c>
      <c r="G775" s="6" t="s">
        <v>3247</v>
      </c>
      <c r="H775" s="121">
        <v>552000</v>
      </c>
      <c r="I775" s="213" t="b">
        <v>0</v>
      </c>
      <c r="J775" s="213" t="b">
        <v>0</v>
      </c>
      <c r="K775" s="213" t="b">
        <v>0</v>
      </c>
    </row>
    <row r="776" spans="1:11" ht="25.5" hidden="1">
      <c r="A776" s="9">
        <v>2017</v>
      </c>
      <c r="B776" s="6" t="s">
        <v>3248</v>
      </c>
      <c r="C776" s="6" t="s">
        <v>2328</v>
      </c>
      <c r="D776" s="6"/>
      <c r="E776" s="6"/>
      <c r="F776" s="6" t="s">
        <v>3249</v>
      </c>
      <c r="G776" s="6" t="s">
        <v>3250</v>
      </c>
      <c r="H776" s="121">
        <v>605937</v>
      </c>
      <c r="I776" s="213" t="b">
        <v>0</v>
      </c>
      <c r="J776" s="213" t="b">
        <v>0</v>
      </c>
      <c r="K776" s="213" t="b">
        <v>0</v>
      </c>
    </row>
    <row r="777" spans="1:11" ht="51">
      <c r="A777" s="9">
        <v>2017</v>
      </c>
      <c r="B777" s="6" t="s">
        <v>3252</v>
      </c>
      <c r="C777" s="6" t="s">
        <v>61</v>
      </c>
      <c r="D777" s="9" t="s">
        <v>62</v>
      </c>
      <c r="E777" s="6"/>
      <c r="F777" s="6" t="s">
        <v>3253</v>
      </c>
      <c r="G777" s="6" t="s">
        <v>3254</v>
      </c>
      <c r="H777" s="121">
        <v>1328975.1200000001</v>
      </c>
      <c r="I777" s="213" t="b">
        <v>0</v>
      </c>
      <c r="J777" s="213"/>
      <c r="K777" s="213"/>
    </row>
    <row r="778" spans="1:11" ht="38.25" hidden="1">
      <c r="A778" s="9">
        <v>2017</v>
      </c>
      <c r="B778" s="6" t="s">
        <v>3259</v>
      </c>
      <c r="C778" s="6" t="s">
        <v>3204</v>
      </c>
      <c r="D778" s="6" t="s">
        <v>3155</v>
      </c>
      <c r="E778" s="6"/>
      <c r="F778" s="6" t="s">
        <v>3260</v>
      </c>
      <c r="G778" s="6" t="s">
        <v>3261</v>
      </c>
      <c r="H778" s="150">
        <v>956511.2</v>
      </c>
      <c r="I778" s="213" t="b">
        <v>0</v>
      </c>
      <c r="J778" s="213" t="b">
        <v>0</v>
      </c>
      <c r="K778" s="213" t="b">
        <v>0</v>
      </c>
    </row>
    <row r="779" spans="1:11" ht="38.25" hidden="1">
      <c r="A779" s="9">
        <v>2017</v>
      </c>
      <c r="B779" s="6" t="s">
        <v>3262</v>
      </c>
      <c r="C779" s="6" t="s">
        <v>61</v>
      </c>
      <c r="D779" s="6" t="s">
        <v>652</v>
      </c>
      <c r="E779" s="6"/>
      <c r="F779" s="6" t="s">
        <v>3263</v>
      </c>
      <c r="G779" s="6" t="s">
        <v>3264</v>
      </c>
      <c r="H779" s="254">
        <v>63840</v>
      </c>
      <c r="I779" s="213" t="b">
        <v>0</v>
      </c>
      <c r="J779" s="213" t="b">
        <v>0</v>
      </c>
      <c r="K779" s="213" t="b">
        <v>0</v>
      </c>
    </row>
    <row r="780" spans="1:11" ht="25.5" hidden="1">
      <c r="A780" s="9">
        <v>2017</v>
      </c>
      <c r="B780" s="6" t="s">
        <v>3265</v>
      </c>
      <c r="C780" s="6"/>
      <c r="D780" s="6"/>
      <c r="E780" s="6"/>
      <c r="F780" s="6"/>
      <c r="G780" s="6"/>
      <c r="H780" s="255"/>
      <c r="I780" s="213" t="b">
        <v>0</v>
      </c>
      <c r="J780" s="213" t="b">
        <v>0</v>
      </c>
      <c r="K780" s="213" t="b">
        <v>0</v>
      </c>
    </row>
    <row r="781" spans="1:11" ht="51" hidden="1">
      <c r="A781" s="9">
        <v>2017</v>
      </c>
      <c r="B781" s="6" t="s">
        <v>3266</v>
      </c>
      <c r="C781" s="6" t="s">
        <v>61</v>
      </c>
      <c r="D781" s="6" t="s">
        <v>586</v>
      </c>
      <c r="E781" s="6"/>
      <c r="F781" s="6" t="s">
        <v>3267</v>
      </c>
      <c r="G781" s="6" t="s">
        <v>3268</v>
      </c>
      <c r="H781" s="121">
        <v>8500</v>
      </c>
      <c r="I781" s="213" t="b">
        <v>0</v>
      </c>
      <c r="J781" s="213" t="b">
        <v>0</v>
      </c>
      <c r="K781" s="213" t="b">
        <v>0</v>
      </c>
    </row>
    <row r="782" spans="1:11" ht="25.5" hidden="1">
      <c r="A782" s="9">
        <v>2017</v>
      </c>
      <c r="B782" s="6" t="s">
        <v>3270</v>
      </c>
      <c r="C782" s="6" t="s">
        <v>61</v>
      </c>
      <c r="D782" s="6" t="s">
        <v>394</v>
      </c>
      <c r="E782" s="6"/>
      <c r="F782" s="6" t="s">
        <v>3271</v>
      </c>
      <c r="G782" s="6" t="s">
        <v>3272</v>
      </c>
      <c r="H782" s="121">
        <v>62000</v>
      </c>
      <c r="I782" s="213" t="b">
        <v>0</v>
      </c>
      <c r="J782" s="213" t="b">
        <v>0</v>
      </c>
      <c r="K782" s="213" t="b">
        <v>0</v>
      </c>
    </row>
    <row r="783" spans="1:11" ht="38.25" hidden="1">
      <c r="A783" s="9">
        <v>2017</v>
      </c>
      <c r="B783" s="148" t="s">
        <v>3274</v>
      </c>
      <c r="C783" s="6" t="s">
        <v>61</v>
      </c>
      <c r="D783" s="6" t="s">
        <v>394</v>
      </c>
      <c r="E783" s="6"/>
      <c r="F783" s="6" t="s">
        <v>3275</v>
      </c>
      <c r="G783" s="148" t="s">
        <v>3272</v>
      </c>
      <c r="H783" s="121">
        <v>32000</v>
      </c>
      <c r="I783" s="213" t="b">
        <v>0</v>
      </c>
      <c r="J783" s="213" t="b">
        <v>0</v>
      </c>
      <c r="K783" s="213" t="b">
        <v>0</v>
      </c>
    </row>
    <row r="784" spans="1:11" ht="51" hidden="1">
      <c r="A784" s="9">
        <v>2017</v>
      </c>
      <c r="B784" s="6" t="s">
        <v>3077</v>
      </c>
      <c r="C784" s="6"/>
      <c r="D784" s="115" t="s">
        <v>1383</v>
      </c>
      <c r="E784" s="6"/>
      <c r="F784" s="6" t="s">
        <v>3078</v>
      </c>
      <c r="G784" s="6" t="s">
        <v>3079</v>
      </c>
      <c r="H784" s="121">
        <v>8975000</v>
      </c>
      <c r="I784" s="213" t="b">
        <v>0</v>
      </c>
      <c r="J784" s="213" t="b">
        <v>0</v>
      </c>
      <c r="K784" s="213" t="b">
        <v>0</v>
      </c>
    </row>
    <row r="785" spans="1:11" ht="25.5" hidden="1">
      <c r="A785" s="9">
        <v>2017</v>
      </c>
      <c r="B785" s="148" t="s">
        <v>3280</v>
      </c>
      <c r="C785" s="6" t="s">
        <v>61</v>
      </c>
      <c r="D785" s="6" t="s">
        <v>394</v>
      </c>
      <c r="E785" s="6"/>
      <c r="F785" s="6" t="s">
        <v>3281</v>
      </c>
      <c r="G785" s="6" t="s">
        <v>3282</v>
      </c>
      <c r="H785" s="121">
        <v>31000</v>
      </c>
      <c r="I785" s="213" t="b">
        <v>0</v>
      </c>
      <c r="J785" s="213" t="b">
        <v>0</v>
      </c>
      <c r="K785" s="213" t="b">
        <v>0</v>
      </c>
    </row>
    <row r="786" spans="1:11" ht="25.5" hidden="1">
      <c r="A786" s="9">
        <v>2017</v>
      </c>
      <c r="B786" s="148" t="s">
        <v>3284</v>
      </c>
      <c r="C786" s="6" t="s">
        <v>61</v>
      </c>
      <c r="D786" s="6" t="s">
        <v>394</v>
      </c>
      <c r="E786" s="148"/>
      <c r="F786" s="148" t="s">
        <v>3285</v>
      </c>
      <c r="G786" s="6" t="s">
        <v>3286</v>
      </c>
      <c r="H786" s="252">
        <v>48900</v>
      </c>
      <c r="I786" s="213" t="b">
        <v>0</v>
      </c>
      <c r="J786" s="213" t="b">
        <v>0</v>
      </c>
      <c r="K786" s="213" t="b">
        <v>0</v>
      </c>
    </row>
    <row r="787" spans="1:11" ht="25.5" hidden="1">
      <c r="A787" s="9">
        <v>2017</v>
      </c>
      <c r="B787" s="148" t="s">
        <v>3288</v>
      </c>
      <c r="C787" s="6"/>
      <c r="D787" s="6"/>
      <c r="E787" s="6"/>
      <c r="F787" s="6"/>
      <c r="G787" s="6"/>
      <c r="H787" s="121"/>
      <c r="I787" s="213" t="b">
        <v>0</v>
      </c>
      <c r="J787" s="213" t="b">
        <v>0</v>
      </c>
      <c r="K787" s="213" t="b">
        <v>0</v>
      </c>
    </row>
    <row r="788" spans="1:11" ht="38.25" hidden="1">
      <c r="A788" s="9">
        <v>2017</v>
      </c>
      <c r="B788" s="148" t="s">
        <v>3293</v>
      </c>
      <c r="C788" s="6" t="s">
        <v>61</v>
      </c>
      <c r="D788" s="6" t="s">
        <v>1763</v>
      </c>
      <c r="E788" s="6"/>
      <c r="F788" s="6" t="s">
        <v>3294</v>
      </c>
      <c r="G788" s="6" t="s">
        <v>3295</v>
      </c>
      <c r="H788" s="121">
        <v>34200</v>
      </c>
      <c r="I788" s="213" t="b">
        <v>0</v>
      </c>
      <c r="J788" s="213" t="b">
        <v>0</v>
      </c>
      <c r="K788" s="213" t="b">
        <v>0</v>
      </c>
    </row>
    <row r="789" spans="1:11" ht="51" hidden="1">
      <c r="A789" s="9">
        <v>2017</v>
      </c>
      <c r="B789" s="148" t="s">
        <v>3297</v>
      </c>
      <c r="C789" s="6" t="s">
        <v>61</v>
      </c>
      <c r="D789" s="112" t="s">
        <v>68</v>
      </c>
      <c r="E789" s="6"/>
      <c r="F789" s="6" t="s">
        <v>3298</v>
      </c>
      <c r="G789" s="6" t="s">
        <v>3299</v>
      </c>
      <c r="H789" s="121">
        <v>20000</v>
      </c>
      <c r="I789" s="213" t="b">
        <v>0</v>
      </c>
      <c r="J789" s="213" t="b">
        <v>0</v>
      </c>
      <c r="K789" s="213" t="b">
        <v>0</v>
      </c>
    </row>
    <row r="790" spans="1:11" ht="25.5" hidden="1">
      <c r="A790" s="9">
        <v>2017</v>
      </c>
      <c r="B790" s="148" t="s">
        <v>3301</v>
      </c>
      <c r="C790" s="6" t="s">
        <v>61</v>
      </c>
      <c r="D790" s="6" t="s">
        <v>586</v>
      </c>
      <c r="E790" s="6"/>
      <c r="F790" s="6" t="s">
        <v>3302</v>
      </c>
      <c r="G790" s="6" t="s">
        <v>3303</v>
      </c>
      <c r="H790" s="121">
        <v>13876.49</v>
      </c>
      <c r="I790" s="213" t="b">
        <v>0</v>
      </c>
      <c r="J790" s="213" t="b">
        <v>0</v>
      </c>
      <c r="K790" s="213" t="b">
        <v>0</v>
      </c>
    </row>
    <row r="791" spans="1:11" ht="38.25" hidden="1">
      <c r="A791" s="9">
        <v>2017</v>
      </c>
      <c r="B791" s="148" t="s">
        <v>3305</v>
      </c>
      <c r="C791" s="6" t="s">
        <v>61</v>
      </c>
      <c r="D791" s="6" t="s">
        <v>1763</v>
      </c>
      <c r="E791" s="6"/>
      <c r="F791" s="6" t="s">
        <v>3306</v>
      </c>
      <c r="G791" s="6" t="s">
        <v>3295</v>
      </c>
      <c r="H791" s="256">
        <v>42700</v>
      </c>
      <c r="I791" s="213" t="b">
        <v>0</v>
      </c>
      <c r="J791" s="213" t="b">
        <v>0</v>
      </c>
      <c r="K791" s="213" t="b">
        <v>0</v>
      </c>
    </row>
    <row r="792" spans="1:11" ht="38.25" hidden="1">
      <c r="A792" s="9">
        <v>2017</v>
      </c>
      <c r="B792" s="148" t="s">
        <v>3308</v>
      </c>
      <c r="C792" s="6" t="s">
        <v>61</v>
      </c>
      <c r="D792" s="6" t="s">
        <v>1141</v>
      </c>
      <c r="E792" s="6"/>
      <c r="F792" s="6" t="s">
        <v>3309</v>
      </c>
      <c r="G792" s="6" t="s">
        <v>3310</v>
      </c>
      <c r="H792" s="121">
        <v>80702.94</v>
      </c>
      <c r="I792" s="213" t="b">
        <v>0</v>
      </c>
      <c r="J792" s="213" t="b">
        <v>0</v>
      </c>
      <c r="K792" s="213" t="b">
        <v>0</v>
      </c>
    </row>
    <row r="793" spans="1:11" ht="38.25" hidden="1">
      <c r="A793" s="9">
        <v>2017</v>
      </c>
      <c r="B793" s="148" t="s">
        <v>3315</v>
      </c>
      <c r="C793" s="6" t="s">
        <v>61</v>
      </c>
      <c r="D793" s="6" t="s">
        <v>394</v>
      </c>
      <c r="E793" s="6"/>
      <c r="F793" s="6" t="s">
        <v>3316</v>
      </c>
      <c r="G793" s="6" t="s">
        <v>3317</v>
      </c>
      <c r="H793" s="121">
        <v>63500</v>
      </c>
      <c r="I793" s="213" t="b">
        <v>0</v>
      </c>
      <c r="J793" s="213" t="b">
        <v>0</v>
      </c>
      <c r="K793" s="213" t="b">
        <v>0</v>
      </c>
    </row>
    <row r="794" spans="1:11" ht="76.5" hidden="1">
      <c r="A794" s="9">
        <v>2017</v>
      </c>
      <c r="B794" s="148" t="s">
        <v>3319</v>
      </c>
      <c r="C794" s="6" t="s">
        <v>61</v>
      </c>
      <c r="D794" s="6" t="s">
        <v>3168</v>
      </c>
      <c r="E794" s="6"/>
      <c r="F794" s="6" t="s">
        <v>3320</v>
      </c>
      <c r="G794" s="6" t="s">
        <v>3321</v>
      </c>
      <c r="H794" s="121">
        <v>20000</v>
      </c>
      <c r="I794" s="213" t="b">
        <v>0</v>
      </c>
      <c r="J794" s="213" t="b">
        <v>0</v>
      </c>
      <c r="K794" s="213" t="b">
        <v>0</v>
      </c>
    </row>
    <row r="795" spans="1:11" ht="25.5" hidden="1">
      <c r="A795" s="9">
        <v>2017</v>
      </c>
      <c r="B795" s="148" t="s">
        <v>3325</v>
      </c>
      <c r="C795" s="6" t="s">
        <v>61</v>
      </c>
      <c r="D795" s="6" t="s">
        <v>394</v>
      </c>
      <c r="E795" s="6"/>
      <c r="F795" s="6" t="s">
        <v>3326</v>
      </c>
      <c r="G795" s="6" t="s">
        <v>3327</v>
      </c>
      <c r="H795" s="121">
        <v>63500</v>
      </c>
      <c r="I795" s="213" t="b">
        <v>0</v>
      </c>
      <c r="J795" s="213" t="b">
        <v>0</v>
      </c>
      <c r="K795" s="213" t="b">
        <v>0</v>
      </c>
    </row>
    <row r="796" spans="1:11" ht="25.5" hidden="1">
      <c r="A796" s="9">
        <v>2017</v>
      </c>
      <c r="B796" s="148" t="s">
        <v>3329</v>
      </c>
      <c r="C796" s="6" t="s">
        <v>61</v>
      </c>
      <c r="D796" s="6" t="s">
        <v>394</v>
      </c>
      <c r="E796" s="6"/>
      <c r="F796" s="6" t="s">
        <v>3326</v>
      </c>
      <c r="G796" s="6" t="s">
        <v>572</v>
      </c>
      <c r="H796" s="121">
        <v>63500</v>
      </c>
      <c r="I796" s="213" t="b">
        <v>0</v>
      </c>
      <c r="J796" s="213" t="b">
        <v>0</v>
      </c>
      <c r="K796" s="213" t="b">
        <v>0</v>
      </c>
    </row>
    <row r="797" spans="1:11" ht="25.5" hidden="1">
      <c r="A797" s="9">
        <v>2017</v>
      </c>
      <c r="B797" s="148" t="s">
        <v>3342</v>
      </c>
      <c r="C797" s="6" t="s">
        <v>61</v>
      </c>
      <c r="D797" s="112" t="s">
        <v>68</v>
      </c>
      <c r="E797" s="6"/>
      <c r="F797" s="6" t="s">
        <v>3343</v>
      </c>
      <c r="G797" s="6" t="s">
        <v>3344</v>
      </c>
      <c r="H797" s="121">
        <v>98500</v>
      </c>
      <c r="I797" s="213" t="b">
        <v>0</v>
      </c>
      <c r="J797" s="213" t="b">
        <v>0</v>
      </c>
      <c r="K797" s="213" t="b">
        <v>0</v>
      </c>
    </row>
    <row r="798" spans="1:11" ht="51" hidden="1">
      <c r="A798" s="9">
        <v>2017</v>
      </c>
      <c r="B798" s="148" t="s">
        <v>3346</v>
      </c>
      <c r="C798" s="6" t="s">
        <v>61</v>
      </c>
      <c r="D798" s="6" t="s">
        <v>2834</v>
      </c>
      <c r="E798" s="6"/>
      <c r="F798" s="6" t="s">
        <v>3347</v>
      </c>
      <c r="G798" s="6" t="s">
        <v>3348</v>
      </c>
      <c r="H798" s="121">
        <v>68045.67</v>
      </c>
      <c r="I798" s="213" t="b">
        <v>0</v>
      </c>
      <c r="J798" s="213" t="b">
        <v>0</v>
      </c>
      <c r="K798" s="213" t="b">
        <v>0</v>
      </c>
    </row>
    <row r="799" spans="1:11" ht="25.5" hidden="1">
      <c r="A799" s="9">
        <v>2017</v>
      </c>
      <c r="B799" s="148" t="s">
        <v>3350</v>
      </c>
      <c r="C799" s="6"/>
      <c r="D799" s="6"/>
      <c r="E799" s="6"/>
      <c r="F799" s="6"/>
      <c r="G799" s="6"/>
      <c r="H799" s="121"/>
      <c r="I799" s="213" t="b">
        <v>0</v>
      </c>
      <c r="J799" s="213" t="b">
        <v>0</v>
      </c>
      <c r="K799" s="213" t="b">
        <v>0</v>
      </c>
    </row>
    <row r="800" spans="1:11" ht="25.5" hidden="1">
      <c r="A800" s="9">
        <v>2017</v>
      </c>
      <c r="B800" s="148" t="s">
        <v>3351</v>
      </c>
      <c r="C800" s="6" t="s">
        <v>61</v>
      </c>
      <c r="D800" s="112" t="s">
        <v>68</v>
      </c>
      <c r="E800" s="6"/>
      <c r="F800" s="6" t="s">
        <v>3352</v>
      </c>
      <c r="G800" s="6" t="s">
        <v>3353</v>
      </c>
      <c r="H800" s="121">
        <v>82960</v>
      </c>
      <c r="I800" s="213" t="b">
        <v>0</v>
      </c>
      <c r="J800" s="213" t="b">
        <v>0</v>
      </c>
      <c r="K800" s="213" t="b">
        <v>0</v>
      </c>
    </row>
    <row r="801" spans="1:11" ht="63.75" hidden="1">
      <c r="A801" s="9">
        <v>2017</v>
      </c>
      <c r="B801" s="148" t="s">
        <v>3355</v>
      </c>
      <c r="C801" s="6" t="s">
        <v>61</v>
      </c>
      <c r="D801" s="6" t="s">
        <v>2834</v>
      </c>
      <c r="E801" s="6"/>
      <c r="F801" s="6" t="s">
        <v>3356</v>
      </c>
      <c r="G801" s="6" t="s">
        <v>3357</v>
      </c>
      <c r="H801" s="121">
        <v>99872</v>
      </c>
      <c r="I801" s="213" t="b">
        <v>0</v>
      </c>
      <c r="J801" s="213" t="b">
        <v>0</v>
      </c>
      <c r="K801" s="213" t="b">
        <v>0</v>
      </c>
    </row>
    <row r="802" spans="1:11" ht="76.5" hidden="1">
      <c r="A802" s="9">
        <v>2017</v>
      </c>
      <c r="B802" s="148" t="s">
        <v>3359</v>
      </c>
      <c r="C802" s="6" t="s">
        <v>61</v>
      </c>
      <c r="D802" s="6" t="s">
        <v>652</v>
      </c>
      <c r="E802" s="6"/>
      <c r="F802" s="6" t="s">
        <v>3360</v>
      </c>
      <c r="G802" s="6" t="s">
        <v>811</v>
      </c>
      <c r="H802" s="121">
        <v>45940</v>
      </c>
      <c r="I802" s="213" t="b">
        <v>0</v>
      </c>
      <c r="J802" s="213" t="b">
        <v>0</v>
      </c>
      <c r="K802" s="213" t="b">
        <v>0</v>
      </c>
    </row>
    <row r="803" spans="1:11" ht="63.75" hidden="1">
      <c r="A803" s="9">
        <v>2017</v>
      </c>
      <c r="B803" s="148" t="s">
        <v>3361</v>
      </c>
      <c r="C803" s="6" t="s">
        <v>61</v>
      </c>
      <c r="D803" s="6" t="s">
        <v>652</v>
      </c>
      <c r="E803" s="6"/>
      <c r="F803" s="6" t="s">
        <v>3362</v>
      </c>
      <c r="G803" s="6" t="s">
        <v>3363</v>
      </c>
      <c r="H803" s="121">
        <v>87443.73</v>
      </c>
      <c r="I803" s="213" t="b">
        <v>0</v>
      </c>
      <c r="J803" s="213" t="b">
        <v>0</v>
      </c>
      <c r="K803" s="213" t="b">
        <v>0</v>
      </c>
    </row>
    <row r="804" spans="1:11" ht="38.25" hidden="1">
      <c r="A804" s="9">
        <v>2017</v>
      </c>
      <c r="B804" s="148" t="s">
        <v>3365</v>
      </c>
      <c r="C804" s="6" t="s">
        <v>61</v>
      </c>
      <c r="D804" s="6" t="s">
        <v>394</v>
      </c>
      <c r="E804" s="6"/>
      <c r="F804" s="6" t="s">
        <v>3366</v>
      </c>
      <c r="G804" s="6" t="s">
        <v>3367</v>
      </c>
      <c r="H804" s="121">
        <v>98800</v>
      </c>
      <c r="I804" s="213" t="b">
        <v>0</v>
      </c>
      <c r="J804" s="213" t="b">
        <v>0</v>
      </c>
      <c r="K804" s="213" t="b">
        <v>0</v>
      </c>
    </row>
    <row r="805" spans="1:11" ht="51" hidden="1">
      <c r="A805" s="9">
        <v>2017</v>
      </c>
      <c r="B805" s="148" t="s">
        <v>3369</v>
      </c>
      <c r="C805" s="6" t="s">
        <v>3370</v>
      </c>
      <c r="D805" s="6" t="s">
        <v>3371</v>
      </c>
      <c r="E805" s="6"/>
      <c r="F805" s="6" t="s">
        <v>3372</v>
      </c>
      <c r="G805" s="6" t="s">
        <v>3373</v>
      </c>
      <c r="H805" s="121">
        <v>29000</v>
      </c>
      <c r="I805" s="213" t="b">
        <v>0</v>
      </c>
      <c r="J805" s="213" t="b">
        <v>0</v>
      </c>
      <c r="K805" s="213" t="b">
        <v>0</v>
      </c>
    </row>
    <row r="806" spans="1:11" ht="63.75" hidden="1">
      <c r="A806" s="9">
        <v>2017</v>
      </c>
      <c r="B806" s="148" t="s">
        <v>3374</v>
      </c>
      <c r="C806" s="6" t="s">
        <v>61</v>
      </c>
      <c r="D806" s="6" t="s">
        <v>1763</v>
      </c>
      <c r="E806" s="6"/>
      <c r="F806" s="6" t="s">
        <v>3375</v>
      </c>
      <c r="G806" s="6" t="s">
        <v>1728</v>
      </c>
      <c r="H806" s="121">
        <v>41000</v>
      </c>
      <c r="I806" s="213" t="b">
        <v>0</v>
      </c>
      <c r="J806" s="213" t="b">
        <v>0</v>
      </c>
      <c r="K806" s="213" t="b">
        <v>0</v>
      </c>
    </row>
    <row r="807" spans="1:11" ht="38.25" hidden="1">
      <c r="A807" s="9">
        <v>2017</v>
      </c>
      <c r="B807" s="148" t="s">
        <v>3377</v>
      </c>
      <c r="C807" s="6" t="s">
        <v>61</v>
      </c>
      <c r="D807" s="6" t="s">
        <v>652</v>
      </c>
      <c r="E807" s="6"/>
      <c r="F807" s="6" t="s">
        <v>3378</v>
      </c>
      <c r="G807" s="6" t="s">
        <v>3379</v>
      </c>
      <c r="H807" s="121">
        <v>99926</v>
      </c>
      <c r="I807" s="213" t="b">
        <v>0</v>
      </c>
      <c r="J807" s="213" t="b">
        <v>0</v>
      </c>
      <c r="K807" s="213" t="b">
        <v>0</v>
      </c>
    </row>
    <row r="808" spans="1:11" ht="25.5" hidden="1">
      <c r="A808" s="9">
        <v>2017</v>
      </c>
      <c r="B808" s="148" t="s">
        <v>3381</v>
      </c>
      <c r="C808" s="6" t="s">
        <v>61</v>
      </c>
      <c r="D808" s="6" t="s">
        <v>394</v>
      </c>
      <c r="E808" s="6"/>
      <c r="F808" s="6" t="s">
        <v>3382</v>
      </c>
      <c r="G808" s="6" t="s">
        <v>3383</v>
      </c>
      <c r="H808" s="121">
        <v>100000</v>
      </c>
      <c r="I808" s="213" t="b">
        <v>0</v>
      </c>
      <c r="J808" s="213" t="b">
        <v>0</v>
      </c>
      <c r="K808" s="213" t="b">
        <v>0</v>
      </c>
    </row>
    <row r="809" spans="1:11" ht="25.5" hidden="1">
      <c r="A809" s="9">
        <v>2017</v>
      </c>
      <c r="B809" s="148" t="s">
        <v>3385</v>
      </c>
      <c r="C809" s="6" t="s">
        <v>61</v>
      </c>
      <c r="D809" s="6" t="s">
        <v>394</v>
      </c>
      <c r="E809" s="6"/>
      <c r="F809" s="6" t="s">
        <v>3382</v>
      </c>
      <c r="G809" s="6" t="s">
        <v>3383</v>
      </c>
      <c r="H809" s="121">
        <v>100000</v>
      </c>
      <c r="I809" s="213" t="b">
        <v>0</v>
      </c>
      <c r="J809" s="213" t="b">
        <v>0</v>
      </c>
      <c r="K809" s="213" t="b">
        <v>0</v>
      </c>
    </row>
    <row r="810" spans="1:11" ht="25.5" hidden="1">
      <c r="A810" s="9">
        <v>2017</v>
      </c>
      <c r="B810" s="148" t="s">
        <v>3386</v>
      </c>
      <c r="C810" s="6" t="s">
        <v>61</v>
      </c>
      <c r="D810" s="6" t="s">
        <v>586</v>
      </c>
      <c r="E810" s="6"/>
      <c r="F810" s="6" t="s">
        <v>3387</v>
      </c>
      <c r="G810" s="6" t="s">
        <v>3388</v>
      </c>
      <c r="H810" s="121">
        <v>28250</v>
      </c>
      <c r="I810" s="213" t="b">
        <v>0</v>
      </c>
      <c r="J810" s="213" t="b">
        <v>0</v>
      </c>
      <c r="K810" s="213" t="b">
        <v>0</v>
      </c>
    </row>
    <row r="811" spans="1:11" ht="38.25" hidden="1">
      <c r="A811" s="9">
        <v>2017</v>
      </c>
      <c r="B811" s="148" t="s">
        <v>3390</v>
      </c>
      <c r="C811" s="6" t="s">
        <v>61</v>
      </c>
      <c r="D811" s="6" t="s">
        <v>394</v>
      </c>
      <c r="E811" s="6"/>
      <c r="F811" s="6" t="s">
        <v>3391</v>
      </c>
      <c r="G811" s="6" t="s">
        <v>3392</v>
      </c>
      <c r="H811" s="121">
        <v>63500</v>
      </c>
      <c r="I811" s="213" t="b">
        <v>0</v>
      </c>
      <c r="J811" s="213" t="b">
        <v>0</v>
      </c>
      <c r="K811" s="213" t="b">
        <v>0</v>
      </c>
    </row>
    <row r="812" spans="1:11" ht="25.5" hidden="1">
      <c r="A812" s="9">
        <v>2017</v>
      </c>
      <c r="B812" s="148" t="s">
        <v>3393</v>
      </c>
      <c r="C812" s="6"/>
      <c r="D812" s="6"/>
      <c r="E812" s="6"/>
      <c r="F812" s="6"/>
      <c r="G812" s="6"/>
      <c r="H812" s="121"/>
      <c r="I812" s="213" t="b">
        <v>0</v>
      </c>
      <c r="J812" s="213" t="b">
        <v>0</v>
      </c>
      <c r="K812" s="213" t="b">
        <v>0</v>
      </c>
    </row>
    <row r="813" spans="1:11" ht="63.75" hidden="1">
      <c r="A813" s="9">
        <v>2017</v>
      </c>
      <c r="B813" s="148" t="s">
        <v>3394</v>
      </c>
      <c r="C813" s="6" t="s">
        <v>61</v>
      </c>
      <c r="D813" s="6" t="s">
        <v>1763</v>
      </c>
      <c r="E813" s="6"/>
      <c r="F813" s="6" t="s">
        <v>3395</v>
      </c>
      <c r="G813" s="6" t="s">
        <v>3396</v>
      </c>
      <c r="H813" s="121">
        <v>90000</v>
      </c>
      <c r="I813" s="213" t="b">
        <v>0</v>
      </c>
      <c r="J813" s="213" t="b">
        <v>0</v>
      </c>
      <c r="K813" s="213" t="b">
        <v>0</v>
      </c>
    </row>
    <row r="814" spans="1:11" ht="38.25" hidden="1">
      <c r="A814" s="9">
        <v>2017</v>
      </c>
      <c r="B814" s="148" t="s">
        <v>3398</v>
      </c>
      <c r="C814" s="6" t="s">
        <v>61</v>
      </c>
      <c r="D814" s="6" t="s">
        <v>1763</v>
      </c>
      <c r="E814" s="6"/>
      <c r="F814" s="6" t="s">
        <v>3399</v>
      </c>
      <c r="G814" s="6" t="s">
        <v>3400</v>
      </c>
      <c r="H814" s="121">
        <v>40000</v>
      </c>
      <c r="I814" s="213" t="b">
        <v>0</v>
      </c>
      <c r="J814" s="213" t="b">
        <v>0</v>
      </c>
      <c r="K814" s="213" t="b">
        <v>0</v>
      </c>
    </row>
    <row r="815" spans="1:11" ht="38.25" hidden="1">
      <c r="A815" s="9">
        <v>2017</v>
      </c>
      <c r="B815" s="148" t="s">
        <v>3402</v>
      </c>
      <c r="C815" s="6" t="s">
        <v>61</v>
      </c>
      <c r="D815" s="6" t="s">
        <v>394</v>
      </c>
      <c r="E815" s="6"/>
      <c r="F815" s="6" t="s">
        <v>3403</v>
      </c>
      <c r="G815" s="6" t="s">
        <v>3404</v>
      </c>
      <c r="H815" s="121">
        <v>63500</v>
      </c>
      <c r="I815" s="213" t="b">
        <v>0</v>
      </c>
      <c r="J815" s="213" t="b">
        <v>0</v>
      </c>
      <c r="K815" s="213" t="b">
        <v>0</v>
      </c>
    </row>
    <row r="816" spans="1:11" ht="63.75" hidden="1">
      <c r="A816" s="9">
        <v>2017</v>
      </c>
      <c r="B816" s="148" t="s">
        <v>3410</v>
      </c>
      <c r="C816" s="6" t="s">
        <v>61</v>
      </c>
      <c r="D816" s="6" t="s">
        <v>586</v>
      </c>
      <c r="E816" s="6"/>
      <c r="F816" s="6" t="s">
        <v>3411</v>
      </c>
      <c r="G816" s="6" t="s">
        <v>3412</v>
      </c>
      <c r="H816" s="121">
        <v>8500</v>
      </c>
      <c r="I816" s="213" t="b">
        <v>0</v>
      </c>
      <c r="J816" s="213" t="b">
        <v>0</v>
      </c>
      <c r="K816" s="213" t="b">
        <v>0</v>
      </c>
    </row>
    <row r="817" spans="1:11" ht="25.5" hidden="1">
      <c r="A817" s="9">
        <v>2017</v>
      </c>
      <c r="B817" s="148" t="s">
        <v>3414</v>
      </c>
      <c r="C817" s="6" t="s">
        <v>61</v>
      </c>
      <c r="D817" s="6" t="s">
        <v>394</v>
      </c>
      <c r="E817" s="6"/>
      <c r="F817" s="6" t="s">
        <v>3415</v>
      </c>
      <c r="G817" s="6" t="s">
        <v>3416</v>
      </c>
      <c r="H817" s="121">
        <v>30000</v>
      </c>
      <c r="I817" s="213" t="b">
        <v>0</v>
      </c>
      <c r="J817" s="213" t="b">
        <v>0</v>
      </c>
      <c r="K817" s="213" t="b">
        <v>0</v>
      </c>
    </row>
    <row r="818" spans="1:11" ht="25.5" hidden="1">
      <c r="A818" s="9">
        <v>2017</v>
      </c>
      <c r="B818" s="148" t="s">
        <v>3418</v>
      </c>
      <c r="C818" s="6" t="s">
        <v>61</v>
      </c>
      <c r="D818" s="6" t="s">
        <v>394</v>
      </c>
      <c r="E818" s="6"/>
      <c r="F818" s="6" t="s">
        <v>3419</v>
      </c>
      <c r="G818" s="6" t="s">
        <v>3420</v>
      </c>
      <c r="H818" s="121">
        <v>30000</v>
      </c>
      <c r="I818" s="213" t="b">
        <v>0</v>
      </c>
      <c r="J818" s="213" t="b">
        <v>0</v>
      </c>
      <c r="K818" s="213" t="b">
        <v>0</v>
      </c>
    </row>
    <row r="819" spans="1:11" ht="38.25" hidden="1">
      <c r="A819" s="9">
        <v>2017</v>
      </c>
      <c r="B819" s="148" t="s">
        <v>3422</v>
      </c>
      <c r="C819" s="6" t="s">
        <v>61</v>
      </c>
      <c r="D819" s="6" t="s">
        <v>394</v>
      </c>
      <c r="E819" s="6"/>
      <c r="F819" s="6" t="s">
        <v>3403</v>
      </c>
      <c r="G819" s="6" t="s">
        <v>3423</v>
      </c>
      <c r="H819" s="121">
        <v>12000</v>
      </c>
      <c r="I819" s="213" t="b">
        <v>0</v>
      </c>
      <c r="J819" s="213" t="b">
        <v>0</v>
      </c>
      <c r="K819" s="213" t="b">
        <v>0</v>
      </c>
    </row>
    <row r="820" spans="1:11" ht="38.25" hidden="1">
      <c r="A820" s="9">
        <v>2017</v>
      </c>
      <c r="B820" s="148" t="s">
        <v>3424</v>
      </c>
      <c r="C820" s="6" t="s">
        <v>61</v>
      </c>
      <c r="D820" s="6" t="s">
        <v>394</v>
      </c>
      <c r="E820" s="6"/>
      <c r="F820" s="6" t="s">
        <v>3425</v>
      </c>
      <c r="G820" s="6" t="s">
        <v>3426</v>
      </c>
      <c r="H820" s="121">
        <v>64000</v>
      </c>
      <c r="I820" s="213" t="b">
        <v>0</v>
      </c>
      <c r="J820" s="213" t="b">
        <v>0</v>
      </c>
      <c r="K820" s="213" t="b">
        <v>0</v>
      </c>
    </row>
    <row r="821" spans="1:11" ht="38.25">
      <c r="A821" s="9">
        <v>2017</v>
      </c>
      <c r="B821" s="148" t="s">
        <v>3432</v>
      </c>
      <c r="C821" s="6" t="s">
        <v>61</v>
      </c>
      <c r="D821" s="9" t="s">
        <v>62</v>
      </c>
      <c r="E821" s="6"/>
      <c r="F821" s="6" t="s">
        <v>3433</v>
      </c>
      <c r="G821" s="6" t="s">
        <v>3434</v>
      </c>
      <c r="H821" s="121">
        <v>793460</v>
      </c>
      <c r="I821" s="213" t="b">
        <v>0</v>
      </c>
      <c r="J821" s="213"/>
      <c r="K821" s="213"/>
    </row>
    <row r="822" spans="1:11" ht="51" hidden="1">
      <c r="A822" s="9">
        <v>2017</v>
      </c>
      <c r="B822" s="148" t="s">
        <v>3436</v>
      </c>
      <c r="C822" s="6" t="s">
        <v>61</v>
      </c>
      <c r="D822" s="6" t="s">
        <v>586</v>
      </c>
      <c r="E822" s="6"/>
      <c r="F822" s="6" t="s">
        <v>3437</v>
      </c>
      <c r="G822" s="6" t="s">
        <v>3438</v>
      </c>
      <c r="H822" s="121">
        <v>8500</v>
      </c>
      <c r="I822" s="213" t="b">
        <v>0</v>
      </c>
      <c r="J822" s="213" t="b">
        <v>0</v>
      </c>
      <c r="K822" s="213" t="b">
        <v>0</v>
      </c>
    </row>
    <row r="823" spans="1:11" ht="38.25" hidden="1">
      <c r="A823" s="9">
        <v>2017</v>
      </c>
      <c r="B823" s="148" t="s">
        <v>3440</v>
      </c>
      <c r="C823" s="6" t="s">
        <v>61</v>
      </c>
      <c r="D823" s="6" t="s">
        <v>1141</v>
      </c>
      <c r="E823" s="6"/>
      <c r="F823" s="6" t="s">
        <v>3441</v>
      </c>
      <c r="G823" s="6" t="s">
        <v>3442</v>
      </c>
      <c r="H823" s="121">
        <v>94008.75</v>
      </c>
      <c r="I823" s="213" t="b">
        <v>0</v>
      </c>
      <c r="J823" s="213" t="b">
        <v>0</v>
      </c>
      <c r="K823" s="213" t="b">
        <v>0</v>
      </c>
    </row>
    <row r="824" spans="1:11" ht="38.25" hidden="1">
      <c r="A824" s="9">
        <v>2017</v>
      </c>
      <c r="B824" s="148" t="s">
        <v>3444</v>
      </c>
      <c r="C824" s="6" t="s">
        <v>61</v>
      </c>
      <c r="D824" s="6" t="s">
        <v>586</v>
      </c>
      <c r="E824" s="6"/>
      <c r="F824" s="6" t="s">
        <v>3445</v>
      </c>
      <c r="G824" s="6" t="s">
        <v>2625</v>
      </c>
      <c r="H824" s="121">
        <v>8500</v>
      </c>
      <c r="I824" s="213" t="b">
        <v>0</v>
      </c>
      <c r="J824" s="213" t="b">
        <v>0</v>
      </c>
      <c r="K824" s="213" t="b">
        <v>0</v>
      </c>
    </row>
    <row r="825" spans="1:11" ht="51" hidden="1">
      <c r="A825" s="9">
        <v>2017</v>
      </c>
      <c r="B825" s="148" t="s">
        <v>3451</v>
      </c>
      <c r="C825" s="6" t="s">
        <v>61</v>
      </c>
      <c r="D825" s="6" t="s">
        <v>1262</v>
      </c>
      <c r="E825" s="6"/>
      <c r="F825" s="6" t="s">
        <v>3452</v>
      </c>
      <c r="G825" s="6" t="s">
        <v>3453</v>
      </c>
      <c r="H825" s="121">
        <v>1135672</v>
      </c>
      <c r="I825" s="213" t="b">
        <v>0</v>
      </c>
      <c r="J825" s="213" t="b">
        <v>0</v>
      </c>
      <c r="K825" s="213" t="b">
        <v>0</v>
      </c>
    </row>
    <row r="826" spans="1:11" ht="38.25" hidden="1">
      <c r="A826" s="9">
        <v>2017</v>
      </c>
      <c r="B826" s="148" t="s">
        <v>3455</v>
      </c>
      <c r="C826" s="6" t="s">
        <v>61</v>
      </c>
      <c r="D826" s="6" t="s">
        <v>394</v>
      </c>
      <c r="E826" s="6"/>
      <c r="F826" s="6" t="s">
        <v>3456</v>
      </c>
      <c r="G826" s="6" t="s">
        <v>811</v>
      </c>
      <c r="H826" s="121">
        <v>96000</v>
      </c>
      <c r="I826" s="213" t="b">
        <v>0</v>
      </c>
      <c r="J826" s="213" t="b">
        <v>0</v>
      </c>
      <c r="K826" s="213" t="b">
        <v>0</v>
      </c>
    </row>
    <row r="827" spans="1:11" ht="51" hidden="1">
      <c r="A827" s="9">
        <v>2017</v>
      </c>
      <c r="B827" s="148" t="s">
        <v>3457</v>
      </c>
      <c r="C827" s="6" t="s">
        <v>61</v>
      </c>
      <c r="D827" s="6" t="s">
        <v>394</v>
      </c>
      <c r="E827" s="6"/>
      <c r="F827" s="6" t="s">
        <v>3458</v>
      </c>
      <c r="G827" s="6" t="s">
        <v>3459</v>
      </c>
      <c r="H827" s="121">
        <v>86000</v>
      </c>
      <c r="I827" s="213" t="b">
        <v>0</v>
      </c>
      <c r="J827" s="213" t="b">
        <v>0</v>
      </c>
      <c r="K827" s="213" t="b">
        <v>0</v>
      </c>
    </row>
    <row r="828" spans="1:11" ht="51" hidden="1">
      <c r="A828" s="9">
        <v>2017</v>
      </c>
      <c r="B828" s="148" t="s">
        <v>3460</v>
      </c>
      <c r="C828" s="6" t="s">
        <v>61</v>
      </c>
      <c r="D828" s="6" t="s">
        <v>394</v>
      </c>
      <c r="E828" s="6"/>
      <c r="F828" s="6" t="s">
        <v>3461</v>
      </c>
      <c r="G828" s="6" t="s">
        <v>3459</v>
      </c>
      <c r="H828" s="121">
        <v>33000</v>
      </c>
      <c r="I828" s="213" t="b">
        <v>0</v>
      </c>
      <c r="J828" s="213" t="b">
        <v>0</v>
      </c>
      <c r="K828" s="213" t="b">
        <v>0</v>
      </c>
    </row>
    <row r="829" spans="1:11" ht="25.5" hidden="1">
      <c r="A829" s="9">
        <v>2017</v>
      </c>
      <c r="B829" s="148" t="s">
        <v>3462</v>
      </c>
      <c r="C829" s="6" t="s">
        <v>61</v>
      </c>
      <c r="D829" s="6" t="s">
        <v>394</v>
      </c>
      <c r="E829" s="6"/>
      <c r="F829" s="6" t="s">
        <v>3463</v>
      </c>
      <c r="G829" s="6" t="s">
        <v>3464</v>
      </c>
      <c r="H829" s="121">
        <v>42000</v>
      </c>
      <c r="I829" s="213" t="b">
        <v>0</v>
      </c>
      <c r="J829" s="213" t="b">
        <v>0</v>
      </c>
      <c r="K829" s="213" t="b">
        <v>0</v>
      </c>
    </row>
    <row r="830" spans="1:11" ht="25.5" hidden="1">
      <c r="A830" s="9">
        <v>2017</v>
      </c>
      <c r="B830" s="148" t="s">
        <v>3465</v>
      </c>
      <c r="C830" s="6"/>
      <c r="D830" s="6"/>
      <c r="E830" s="6"/>
      <c r="F830" s="6"/>
      <c r="G830" s="6"/>
      <c r="H830" s="121"/>
      <c r="I830" s="213" t="b">
        <v>0</v>
      </c>
      <c r="J830" s="213" t="b">
        <v>0</v>
      </c>
      <c r="K830" s="213" t="b">
        <v>0</v>
      </c>
    </row>
    <row r="831" spans="1:11" ht="25.5" hidden="1">
      <c r="A831" s="9">
        <v>2017</v>
      </c>
      <c r="B831" s="148" t="s">
        <v>3468</v>
      </c>
      <c r="C831" s="6" t="s">
        <v>61</v>
      </c>
      <c r="D831" s="6" t="s">
        <v>3168</v>
      </c>
      <c r="E831" s="6"/>
      <c r="F831" s="6" t="s">
        <v>3469</v>
      </c>
      <c r="G831" s="6" t="s">
        <v>3470</v>
      </c>
      <c r="H831" s="121">
        <v>100000</v>
      </c>
      <c r="I831" s="213" t="b">
        <v>0</v>
      </c>
      <c r="J831" s="213" t="b">
        <v>0</v>
      </c>
      <c r="K831" s="213" t="b">
        <v>0</v>
      </c>
    </row>
    <row r="832" spans="1:11" ht="38.25" hidden="1">
      <c r="A832" s="9">
        <v>2017</v>
      </c>
      <c r="B832" s="148" t="s">
        <v>3472</v>
      </c>
      <c r="C832" s="6" t="s">
        <v>61</v>
      </c>
      <c r="D832" s="6" t="s">
        <v>652</v>
      </c>
      <c r="E832" s="6"/>
      <c r="F832" s="6" t="s">
        <v>3473</v>
      </c>
      <c r="G832" s="6" t="s">
        <v>3474</v>
      </c>
      <c r="H832" s="121">
        <v>36726</v>
      </c>
      <c r="I832" s="213" t="b">
        <v>0</v>
      </c>
      <c r="J832" s="213" t="b">
        <v>0</v>
      </c>
      <c r="K832" s="213" t="b">
        <v>0</v>
      </c>
    </row>
    <row r="833" spans="1:11" ht="38.25" hidden="1">
      <c r="A833" s="9">
        <v>2017</v>
      </c>
      <c r="B833" s="148" t="s">
        <v>3476</v>
      </c>
      <c r="C833" s="6" t="s">
        <v>61</v>
      </c>
      <c r="D833" s="6" t="s">
        <v>652</v>
      </c>
      <c r="E833" s="6"/>
      <c r="F833" s="6" t="s">
        <v>3477</v>
      </c>
      <c r="G833" s="6" t="s">
        <v>3478</v>
      </c>
      <c r="H833" s="121">
        <v>83796.25</v>
      </c>
      <c r="I833" s="213" t="b">
        <v>0</v>
      </c>
      <c r="J833" s="213" t="b">
        <v>0</v>
      </c>
      <c r="K833" s="213" t="b">
        <v>0</v>
      </c>
    </row>
    <row r="834" spans="1:11" ht="51" hidden="1">
      <c r="A834" s="9">
        <v>2017</v>
      </c>
      <c r="B834" s="148" t="s">
        <v>3480</v>
      </c>
      <c r="C834" s="6" t="s">
        <v>61</v>
      </c>
      <c r="D834" s="6" t="s">
        <v>2834</v>
      </c>
      <c r="E834" s="6"/>
      <c r="F834" s="6" t="s">
        <v>3482</v>
      </c>
      <c r="G834" s="6" t="s">
        <v>3483</v>
      </c>
      <c r="H834" s="256" t="s">
        <v>3481</v>
      </c>
      <c r="I834" s="213" t="b">
        <v>0</v>
      </c>
      <c r="J834" s="213" t="b">
        <v>0</v>
      </c>
      <c r="K834" s="213" t="b">
        <v>0</v>
      </c>
    </row>
    <row r="835" spans="1:11" ht="51" hidden="1">
      <c r="A835" s="9">
        <v>2017</v>
      </c>
      <c r="B835" s="148" t="s">
        <v>3484</v>
      </c>
      <c r="C835" s="6" t="s">
        <v>61</v>
      </c>
      <c r="D835" s="6" t="s">
        <v>2834</v>
      </c>
      <c r="E835" s="6"/>
      <c r="F835" s="6" t="s">
        <v>3485</v>
      </c>
      <c r="G835" s="6" t="s">
        <v>581</v>
      </c>
      <c r="H835" s="121">
        <v>100000</v>
      </c>
      <c r="I835" s="213" t="b">
        <v>0</v>
      </c>
      <c r="J835" s="213" t="b">
        <v>0</v>
      </c>
      <c r="K835" s="213" t="b">
        <v>0</v>
      </c>
    </row>
    <row r="836" spans="1:11" ht="12.75" hidden="1">
      <c r="A836" s="9">
        <v>2017</v>
      </c>
      <c r="B836" s="148"/>
      <c r="C836" s="6"/>
      <c r="D836" s="6"/>
      <c r="E836" s="6"/>
      <c r="F836" s="6"/>
      <c r="G836" s="6"/>
      <c r="H836" s="121"/>
      <c r="I836" s="213" t="b">
        <v>0</v>
      </c>
      <c r="J836" s="213" t="b">
        <v>0</v>
      </c>
      <c r="K836" s="213" t="b">
        <v>0</v>
      </c>
    </row>
    <row r="837" spans="1:11" ht="25.5" hidden="1">
      <c r="A837" s="9">
        <v>2017</v>
      </c>
      <c r="B837" s="148" t="s">
        <v>3487</v>
      </c>
      <c r="C837" s="6" t="s">
        <v>61</v>
      </c>
      <c r="D837" s="6" t="s">
        <v>586</v>
      </c>
      <c r="E837" s="6"/>
      <c r="F837" s="6" t="s">
        <v>3488</v>
      </c>
      <c r="G837" s="6" t="s">
        <v>3489</v>
      </c>
      <c r="H837" s="121">
        <v>29330</v>
      </c>
      <c r="I837" s="213" t="b">
        <v>0</v>
      </c>
      <c r="J837" s="213" t="b">
        <v>0</v>
      </c>
      <c r="K837" s="213" t="b">
        <v>0</v>
      </c>
    </row>
    <row r="838" spans="1:11" ht="51" hidden="1">
      <c r="A838" s="9">
        <v>2017</v>
      </c>
      <c r="B838" s="148" t="s">
        <v>3491</v>
      </c>
      <c r="C838" s="6" t="s">
        <v>61</v>
      </c>
      <c r="D838" s="6" t="s">
        <v>1763</v>
      </c>
      <c r="E838" s="6"/>
      <c r="F838" s="6" t="s">
        <v>3492</v>
      </c>
      <c r="G838" s="6" t="s">
        <v>3493</v>
      </c>
      <c r="H838" s="121">
        <v>13945</v>
      </c>
      <c r="I838" s="213" t="b">
        <v>0</v>
      </c>
      <c r="J838" s="213" t="b">
        <v>0</v>
      </c>
      <c r="K838" s="213" t="b">
        <v>0</v>
      </c>
    </row>
    <row r="839" spans="1:11" ht="38.25" hidden="1">
      <c r="A839" s="9">
        <v>2017</v>
      </c>
      <c r="B839" s="148" t="s">
        <v>3494</v>
      </c>
      <c r="C839" s="6" t="s">
        <v>61</v>
      </c>
      <c r="D839" s="6" t="s">
        <v>3092</v>
      </c>
      <c r="E839" s="6"/>
      <c r="F839" s="6" t="s">
        <v>3495</v>
      </c>
      <c r="G839" s="6" t="s">
        <v>997</v>
      </c>
      <c r="H839" s="121">
        <v>98162</v>
      </c>
      <c r="I839" s="213" t="b">
        <v>0</v>
      </c>
      <c r="J839" s="213" t="b">
        <v>0</v>
      </c>
      <c r="K839" s="213" t="b">
        <v>0</v>
      </c>
    </row>
    <row r="840" spans="1:11" ht="63.75" hidden="1">
      <c r="A840" s="9">
        <v>2017</v>
      </c>
      <c r="B840" s="148" t="s">
        <v>3497</v>
      </c>
      <c r="C840" s="6" t="s">
        <v>61</v>
      </c>
      <c r="D840" s="6" t="s">
        <v>3168</v>
      </c>
      <c r="E840" s="6"/>
      <c r="F840" s="6" t="s">
        <v>3498</v>
      </c>
      <c r="G840" s="6" t="s">
        <v>3499</v>
      </c>
      <c r="H840" s="121">
        <v>500000</v>
      </c>
      <c r="I840" s="213" t="b">
        <v>0</v>
      </c>
      <c r="J840" s="213" t="b">
        <v>0</v>
      </c>
      <c r="K840" s="213" t="b">
        <v>0</v>
      </c>
    </row>
    <row r="841" spans="1:11" ht="38.25" hidden="1">
      <c r="A841" s="9">
        <v>2017</v>
      </c>
      <c r="B841" s="148" t="s">
        <v>3501</v>
      </c>
      <c r="C841" s="6" t="s">
        <v>61</v>
      </c>
      <c r="D841" s="6" t="s">
        <v>1763</v>
      </c>
      <c r="E841" s="6"/>
      <c r="F841" s="6" t="s">
        <v>3502</v>
      </c>
      <c r="G841" s="6" t="s">
        <v>3503</v>
      </c>
      <c r="H841" s="121">
        <v>37500</v>
      </c>
      <c r="I841" s="213" t="b">
        <v>0</v>
      </c>
      <c r="J841" s="213" t="b">
        <v>0</v>
      </c>
      <c r="K841" s="213" t="b">
        <v>0</v>
      </c>
    </row>
    <row r="842" spans="1:11" ht="12.75" hidden="1">
      <c r="A842" s="9">
        <v>2017</v>
      </c>
      <c r="B842" s="29" t="s">
        <v>3187</v>
      </c>
      <c r="C842" s="6" t="s">
        <v>61</v>
      </c>
      <c r="D842" s="6" t="s">
        <v>1141</v>
      </c>
      <c r="E842" s="6"/>
      <c r="F842" s="29" t="s">
        <v>3188</v>
      </c>
      <c r="G842" s="29" t="s">
        <v>3189</v>
      </c>
      <c r="H842" s="257">
        <v>23860.21</v>
      </c>
      <c r="I842" s="213" t="b">
        <v>0</v>
      </c>
      <c r="J842" s="213" t="b">
        <v>0</v>
      </c>
      <c r="K842" s="213" t="b">
        <v>0</v>
      </c>
    </row>
    <row r="843" spans="1:11" ht="38.25" hidden="1">
      <c r="A843" s="9">
        <v>2017</v>
      </c>
      <c r="B843" s="29" t="s">
        <v>3440</v>
      </c>
      <c r="C843" s="6" t="s">
        <v>61</v>
      </c>
      <c r="D843" s="6" t="s">
        <v>1141</v>
      </c>
      <c r="E843" s="6"/>
      <c r="F843" s="29" t="s">
        <v>3441</v>
      </c>
      <c r="G843" s="29" t="s">
        <v>3442</v>
      </c>
      <c r="H843" s="257">
        <v>94008.75</v>
      </c>
      <c r="I843" s="213" t="b">
        <v>0</v>
      </c>
      <c r="J843" s="213" t="b">
        <v>0</v>
      </c>
      <c r="K843" s="213" t="b">
        <v>0</v>
      </c>
    </row>
    <row r="844" spans="1:11" ht="51" hidden="1">
      <c r="A844" s="9">
        <v>2017</v>
      </c>
      <c r="B844" s="62">
        <v>42675</v>
      </c>
      <c r="C844" s="6" t="s">
        <v>61</v>
      </c>
      <c r="D844" s="6" t="s">
        <v>1262</v>
      </c>
      <c r="E844" s="6"/>
      <c r="F844" s="6" t="s">
        <v>3531</v>
      </c>
      <c r="G844" s="6" t="s">
        <v>3532</v>
      </c>
      <c r="H844" s="121">
        <v>863105.4</v>
      </c>
      <c r="I844" s="213" t="b">
        <v>0</v>
      </c>
      <c r="J844" s="213" t="b">
        <v>0</v>
      </c>
      <c r="K844" s="213" t="b">
        <v>0</v>
      </c>
    </row>
    <row r="845" spans="1:11" ht="38.25" hidden="1">
      <c r="A845" s="9">
        <v>2017</v>
      </c>
      <c r="B845" s="61">
        <v>42795</v>
      </c>
      <c r="C845" s="6" t="s">
        <v>61</v>
      </c>
      <c r="D845" s="115" t="s">
        <v>1383</v>
      </c>
      <c r="E845" s="6"/>
      <c r="F845" s="6" t="s">
        <v>2997</v>
      </c>
      <c r="G845" s="6" t="s">
        <v>2998</v>
      </c>
      <c r="H845" s="121">
        <v>188800</v>
      </c>
      <c r="I845" s="213" t="b">
        <v>0</v>
      </c>
      <c r="J845" s="213" t="b">
        <v>0</v>
      </c>
      <c r="K845" s="213" t="b">
        <v>0</v>
      </c>
    </row>
    <row r="846" spans="1:11" ht="25.5" hidden="1">
      <c r="A846" s="9">
        <v>2017</v>
      </c>
      <c r="B846" s="61">
        <v>42826</v>
      </c>
      <c r="C846" s="6" t="s">
        <v>61</v>
      </c>
      <c r="D846" s="115" t="s">
        <v>1383</v>
      </c>
      <c r="E846" s="6"/>
      <c r="F846" s="6" t="s">
        <v>2999</v>
      </c>
      <c r="G846" s="6" t="s">
        <v>3000</v>
      </c>
      <c r="H846" s="121">
        <v>200000</v>
      </c>
      <c r="I846" s="213" t="b">
        <v>0</v>
      </c>
      <c r="J846" s="213" t="b">
        <v>0</v>
      </c>
      <c r="K846" s="213" t="b">
        <v>0</v>
      </c>
    </row>
    <row r="847" spans="1:11" ht="38.25" hidden="1">
      <c r="A847" s="9">
        <v>2017</v>
      </c>
      <c r="B847" s="61">
        <v>42856</v>
      </c>
      <c r="C847" s="6" t="s">
        <v>61</v>
      </c>
      <c r="D847" s="115" t="s">
        <v>1383</v>
      </c>
      <c r="E847" s="6"/>
      <c r="F847" s="6" t="s">
        <v>3002</v>
      </c>
      <c r="G847" s="6" t="s">
        <v>3003</v>
      </c>
      <c r="H847" s="121">
        <v>200000</v>
      </c>
      <c r="I847" s="213" t="b">
        <v>0</v>
      </c>
      <c r="J847" s="213" t="b">
        <v>0</v>
      </c>
      <c r="K847" s="213" t="b">
        <v>0</v>
      </c>
    </row>
    <row r="848" spans="1:11" ht="63.75" hidden="1">
      <c r="A848" s="9">
        <v>2017</v>
      </c>
      <c r="B848" s="61">
        <v>42887</v>
      </c>
      <c r="C848" s="6" t="s">
        <v>61</v>
      </c>
      <c r="D848" s="115" t="s">
        <v>1383</v>
      </c>
      <c r="E848" s="6"/>
      <c r="F848" s="6" t="s">
        <v>3004</v>
      </c>
      <c r="G848" s="6" t="s">
        <v>3005</v>
      </c>
      <c r="H848" s="121">
        <v>200000</v>
      </c>
      <c r="I848" s="213" t="b">
        <v>0</v>
      </c>
      <c r="J848" s="213" t="b">
        <v>0</v>
      </c>
      <c r="K848" s="213" t="b">
        <v>0</v>
      </c>
    </row>
    <row r="849" spans="1:11" ht="38.25" hidden="1">
      <c r="A849" s="9">
        <v>2017</v>
      </c>
      <c r="B849" s="62">
        <v>42917</v>
      </c>
      <c r="C849" s="6" t="s">
        <v>61</v>
      </c>
      <c r="D849" s="115" t="s">
        <v>1383</v>
      </c>
      <c r="E849" s="6"/>
      <c r="F849" s="6" t="s">
        <v>3007</v>
      </c>
      <c r="G849" s="6" t="s">
        <v>3008</v>
      </c>
      <c r="H849" s="121">
        <v>200000</v>
      </c>
      <c r="I849" s="213" t="b">
        <v>0</v>
      </c>
      <c r="J849" s="213" t="b">
        <v>0</v>
      </c>
      <c r="K849" s="213" t="b">
        <v>0</v>
      </c>
    </row>
    <row r="850" spans="1:11" ht="38.25" hidden="1">
      <c r="A850" s="9">
        <v>2017</v>
      </c>
      <c r="B850" s="61">
        <v>42948</v>
      </c>
      <c r="C850" s="6" t="s">
        <v>61</v>
      </c>
      <c r="D850" s="115" t="s">
        <v>1383</v>
      </c>
      <c r="E850" s="132"/>
      <c r="F850" s="132" t="s">
        <v>3009</v>
      </c>
      <c r="G850" s="132" t="s">
        <v>3010</v>
      </c>
      <c r="H850" s="146">
        <v>200000</v>
      </c>
      <c r="I850" s="213" t="b">
        <v>0</v>
      </c>
      <c r="J850" s="213" t="b">
        <v>0</v>
      </c>
      <c r="K850" s="213" t="b">
        <v>0</v>
      </c>
    </row>
    <row r="851" spans="1:11" ht="38.25" hidden="1">
      <c r="A851" s="9">
        <v>2017</v>
      </c>
      <c r="B851" s="62">
        <v>42979</v>
      </c>
      <c r="C851" s="6" t="s">
        <v>61</v>
      </c>
      <c r="D851" s="115" t="s">
        <v>1383</v>
      </c>
      <c r="E851" s="6"/>
      <c r="F851" s="6" t="s">
        <v>3011</v>
      </c>
      <c r="G851" s="6" t="s">
        <v>3012</v>
      </c>
      <c r="H851" s="121">
        <v>200000</v>
      </c>
      <c r="I851" s="213" t="b">
        <v>0</v>
      </c>
      <c r="J851" s="213" t="b">
        <v>0</v>
      </c>
      <c r="K851" s="213" t="b">
        <v>0</v>
      </c>
    </row>
    <row r="852" spans="1:11" ht="25.5" hidden="1">
      <c r="A852" s="9">
        <v>2017</v>
      </c>
      <c r="B852" s="62">
        <v>43009</v>
      </c>
      <c r="C852" s="6" t="s">
        <v>61</v>
      </c>
      <c r="D852" s="115" t="s">
        <v>1383</v>
      </c>
      <c r="E852" s="6"/>
      <c r="F852" s="6" t="s">
        <v>3013</v>
      </c>
      <c r="G852" s="6" t="s">
        <v>3014</v>
      </c>
      <c r="H852" s="121">
        <v>200000</v>
      </c>
      <c r="I852" s="213" t="b">
        <v>0</v>
      </c>
      <c r="J852" s="213" t="b">
        <v>0</v>
      </c>
      <c r="K852" s="213" t="b">
        <v>0</v>
      </c>
    </row>
    <row r="853" spans="1:11" ht="51" hidden="1">
      <c r="A853" s="9">
        <v>2017</v>
      </c>
      <c r="B853" s="62">
        <v>43040</v>
      </c>
      <c r="C853" s="148" t="s">
        <v>61</v>
      </c>
      <c r="D853" s="115" t="s">
        <v>1383</v>
      </c>
      <c r="E853" s="6"/>
      <c r="F853" s="6" t="s">
        <v>3016</v>
      </c>
      <c r="G853" s="6" t="s">
        <v>3017</v>
      </c>
      <c r="H853" s="121">
        <v>200000</v>
      </c>
      <c r="I853" s="213" t="b">
        <v>0</v>
      </c>
      <c r="J853" s="213" t="b">
        <v>0</v>
      </c>
      <c r="K853" s="213" t="b">
        <v>0</v>
      </c>
    </row>
    <row r="854" spans="1:11" ht="25.5" hidden="1">
      <c r="A854" s="9">
        <v>2017</v>
      </c>
      <c r="B854" s="62">
        <v>43070</v>
      </c>
      <c r="C854" s="6" t="s">
        <v>61</v>
      </c>
      <c r="D854" s="115" t="s">
        <v>1383</v>
      </c>
      <c r="E854" s="6"/>
      <c r="F854" s="6" t="s">
        <v>3019</v>
      </c>
      <c r="G854" s="6" t="s">
        <v>3020</v>
      </c>
      <c r="H854" s="121">
        <v>200000</v>
      </c>
      <c r="I854" s="213" t="b">
        <v>0</v>
      </c>
      <c r="J854" s="213" t="b">
        <v>0</v>
      </c>
      <c r="K854" s="213" t="b">
        <v>0</v>
      </c>
    </row>
    <row r="855" spans="1:11" ht="25.5" hidden="1">
      <c r="A855" s="9">
        <v>2017</v>
      </c>
      <c r="B855" s="6" t="s">
        <v>3021</v>
      </c>
      <c r="C855" s="6" t="s">
        <v>61</v>
      </c>
      <c r="D855" s="115" t="s">
        <v>1383</v>
      </c>
      <c r="E855" s="6"/>
      <c r="F855" s="6" t="s">
        <v>3022</v>
      </c>
      <c r="G855" s="132" t="s">
        <v>1742</v>
      </c>
      <c r="H855" s="121">
        <v>200000</v>
      </c>
      <c r="I855" s="213" t="b">
        <v>0</v>
      </c>
      <c r="J855" s="213" t="b">
        <v>0</v>
      </c>
      <c r="K855" s="213" t="b">
        <v>0</v>
      </c>
    </row>
    <row r="856" spans="1:11" ht="51" hidden="1">
      <c r="A856" s="9">
        <v>2017</v>
      </c>
      <c r="B856" s="6" t="s">
        <v>3023</v>
      </c>
      <c r="C856" s="6" t="s">
        <v>61</v>
      </c>
      <c r="D856" s="115" t="s">
        <v>1383</v>
      </c>
      <c r="E856" s="6"/>
      <c r="F856" s="6" t="s">
        <v>3024</v>
      </c>
      <c r="G856" s="6" t="s">
        <v>3025</v>
      </c>
      <c r="H856" s="121">
        <v>200000</v>
      </c>
      <c r="I856" s="213" t="b">
        <v>0</v>
      </c>
      <c r="J856" s="213" t="b">
        <v>0</v>
      </c>
      <c r="K856" s="213" t="b">
        <v>0</v>
      </c>
    </row>
    <row r="857" spans="1:11" ht="38.25" hidden="1">
      <c r="A857" s="9">
        <v>2017</v>
      </c>
      <c r="B857" s="6" t="s">
        <v>3026</v>
      </c>
      <c r="C857" s="6" t="s">
        <v>61</v>
      </c>
      <c r="D857" s="115" t="s">
        <v>1383</v>
      </c>
      <c r="E857" s="132"/>
      <c r="F857" s="132" t="s">
        <v>3027</v>
      </c>
      <c r="G857" s="6" t="s">
        <v>3028</v>
      </c>
      <c r="H857" s="121">
        <v>200000</v>
      </c>
      <c r="I857" s="213" t="b">
        <v>0</v>
      </c>
      <c r="J857" s="213" t="b">
        <v>0</v>
      </c>
      <c r="K857" s="213" t="b">
        <v>0</v>
      </c>
    </row>
    <row r="858" spans="1:11" ht="25.5" hidden="1">
      <c r="A858" s="9">
        <v>2017</v>
      </c>
      <c r="B858" s="6" t="s">
        <v>3030</v>
      </c>
      <c r="C858" s="6" t="s">
        <v>61</v>
      </c>
      <c r="D858" s="115" t="s">
        <v>1383</v>
      </c>
      <c r="E858" s="6"/>
      <c r="F858" s="6" t="s">
        <v>3031</v>
      </c>
      <c r="G858" s="6" t="s">
        <v>3032</v>
      </c>
      <c r="H858" s="121">
        <v>200000</v>
      </c>
      <c r="I858" s="213" t="b">
        <v>0</v>
      </c>
      <c r="J858" s="213" t="b">
        <v>0</v>
      </c>
      <c r="K858" s="213" t="b">
        <v>0</v>
      </c>
    </row>
    <row r="859" spans="1:11" ht="25.5" hidden="1">
      <c r="A859" s="9">
        <v>2017</v>
      </c>
      <c r="B859" s="6" t="s">
        <v>3034</v>
      </c>
      <c r="C859" s="6" t="s">
        <v>61</v>
      </c>
      <c r="D859" s="115" t="s">
        <v>1383</v>
      </c>
      <c r="E859" s="6"/>
      <c r="F859" s="6" t="s">
        <v>3035</v>
      </c>
      <c r="G859" s="6" t="s">
        <v>3036</v>
      </c>
      <c r="H859" s="121">
        <v>200000</v>
      </c>
      <c r="I859" s="213" t="b">
        <v>0</v>
      </c>
      <c r="J859" s="213" t="b">
        <v>0</v>
      </c>
      <c r="K859" s="213" t="b">
        <v>0</v>
      </c>
    </row>
    <row r="860" spans="1:11" ht="38.25" hidden="1">
      <c r="A860" s="9">
        <v>2017</v>
      </c>
      <c r="B860" s="6" t="s">
        <v>3038</v>
      </c>
      <c r="C860" s="6" t="s">
        <v>61</v>
      </c>
      <c r="D860" s="115" t="s">
        <v>1383</v>
      </c>
      <c r="E860" s="6"/>
      <c r="F860" s="6" t="s">
        <v>3039</v>
      </c>
      <c r="G860" s="6" t="s">
        <v>3040</v>
      </c>
      <c r="H860" s="121">
        <v>200000</v>
      </c>
      <c r="I860" s="213" t="b">
        <v>0</v>
      </c>
      <c r="J860" s="213" t="b">
        <v>0</v>
      </c>
      <c r="K860" s="213" t="b">
        <v>0</v>
      </c>
    </row>
    <row r="861" spans="1:11" ht="38.25" hidden="1">
      <c r="A861" s="9">
        <v>2017</v>
      </c>
      <c r="B861" s="6" t="s">
        <v>3042</v>
      </c>
      <c r="C861" s="6" t="s">
        <v>61</v>
      </c>
      <c r="D861" s="115" t="s">
        <v>1383</v>
      </c>
      <c r="E861" s="6"/>
      <c r="F861" s="6" t="s">
        <v>3043</v>
      </c>
      <c r="G861" s="6" t="s">
        <v>3044</v>
      </c>
      <c r="H861" s="121">
        <v>200000</v>
      </c>
      <c r="I861" s="213" t="b">
        <v>0</v>
      </c>
      <c r="J861" s="213" t="b">
        <v>0</v>
      </c>
      <c r="K861" s="213" t="b">
        <v>0</v>
      </c>
    </row>
    <row r="862" spans="1:11" ht="25.5" hidden="1">
      <c r="A862" s="9">
        <v>2017</v>
      </c>
      <c r="B862" s="6" t="s">
        <v>3046</v>
      </c>
      <c r="C862" s="6" t="s">
        <v>61</v>
      </c>
      <c r="D862" s="115" t="s">
        <v>1383</v>
      </c>
      <c r="E862" s="6"/>
      <c r="F862" s="6" t="s">
        <v>3047</v>
      </c>
      <c r="G862" s="6" t="s">
        <v>3048</v>
      </c>
      <c r="H862" s="121">
        <v>200000</v>
      </c>
      <c r="I862" s="213" t="b">
        <v>0</v>
      </c>
      <c r="J862" s="213" t="b">
        <v>0</v>
      </c>
      <c r="K862" s="213" t="b">
        <v>0</v>
      </c>
    </row>
    <row r="863" spans="1:11" ht="25.5" hidden="1">
      <c r="A863" s="9">
        <v>2017</v>
      </c>
      <c r="B863" s="6" t="s">
        <v>3050</v>
      </c>
      <c r="C863" s="6" t="s">
        <v>61</v>
      </c>
      <c r="D863" s="115" t="s">
        <v>1383</v>
      </c>
      <c r="E863" s="6"/>
      <c r="F863" s="6" t="s">
        <v>3051</v>
      </c>
      <c r="G863" s="6" t="s">
        <v>3052</v>
      </c>
      <c r="H863" s="121">
        <v>200000</v>
      </c>
      <c r="I863" s="213" t="b">
        <v>0</v>
      </c>
      <c r="J863" s="213" t="b">
        <v>0</v>
      </c>
      <c r="K863" s="213" t="b">
        <v>0</v>
      </c>
    </row>
    <row r="864" spans="1:11" ht="25.5" hidden="1">
      <c r="A864" s="9">
        <v>2017</v>
      </c>
      <c r="B864" s="6" t="s">
        <v>3054</v>
      </c>
      <c r="C864" s="6" t="s">
        <v>61</v>
      </c>
      <c r="D864" s="115" t="s">
        <v>1383</v>
      </c>
      <c r="E864" s="6"/>
      <c r="F864" s="6" t="s">
        <v>3055</v>
      </c>
      <c r="G864" s="6" t="s">
        <v>3056</v>
      </c>
      <c r="H864" s="121">
        <v>200000</v>
      </c>
      <c r="I864" s="213" t="b">
        <v>0</v>
      </c>
      <c r="J864" s="213" t="b">
        <v>0</v>
      </c>
      <c r="K864" s="213" t="b">
        <v>0</v>
      </c>
    </row>
    <row r="865" spans="1:11" ht="51" hidden="1">
      <c r="A865" s="9">
        <v>2017</v>
      </c>
      <c r="B865" s="6" t="s">
        <v>3058</v>
      </c>
      <c r="C865" s="148" t="s">
        <v>61</v>
      </c>
      <c r="D865" s="115" t="s">
        <v>1383</v>
      </c>
      <c r="E865" s="6"/>
      <c r="F865" s="6" t="s">
        <v>3059</v>
      </c>
      <c r="G865" s="6" t="s">
        <v>3060</v>
      </c>
      <c r="H865" s="121">
        <v>200000</v>
      </c>
      <c r="I865" s="213" t="b">
        <v>0</v>
      </c>
      <c r="J865" s="213" t="b">
        <v>0</v>
      </c>
      <c r="K865" s="213" t="b">
        <v>0</v>
      </c>
    </row>
    <row r="866" spans="1:11" ht="25.5" hidden="1">
      <c r="A866" s="9">
        <v>2017</v>
      </c>
      <c r="B866" s="6" t="s">
        <v>3062</v>
      </c>
      <c r="C866" s="6" t="s">
        <v>61</v>
      </c>
      <c r="D866" s="115" t="s">
        <v>1383</v>
      </c>
      <c r="E866" s="6"/>
      <c r="F866" s="6" t="s">
        <v>3063</v>
      </c>
      <c r="G866" s="6" t="s">
        <v>3064</v>
      </c>
      <c r="H866" s="121">
        <v>200000</v>
      </c>
      <c r="I866" s="213" t="b">
        <v>0</v>
      </c>
      <c r="J866" s="213" t="b">
        <v>0</v>
      </c>
      <c r="K866" s="213" t="b">
        <v>0</v>
      </c>
    </row>
    <row r="867" spans="1:11" ht="63.75" hidden="1">
      <c r="A867" s="9">
        <v>2017</v>
      </c>
      <c r="B867" s="6" t="s">
        <v>3066</v>
      </c>
      <c r="C867" s="6" t="s">
        <v>61</v>
      </c>
      <c r="D867" s="115" t="s">
        <v>1383</v>
      </c>
      <c r="E867" s="6"/>
      <c r="F867" s="6" t="s">
        <v>3067</v>
      </c>
      <c r="G867" s="6" t="s">
        <v>3068</v>
      </c>
      <c r="H867" s="121">
        <v>200000</v>
      </c>
      <c r="I867" s="213" t="b">
        <v>0</v>
      </c>
      <c r="J867" s="213" t="b">
        <v>0</v>
      </c>
      <c r="K867" s="213" t="b">
        <v>0</v>
      </c>
    </row>
    <row r="868" spans="1:11" ht="51" hidden="1">
      <c r="A868" s="9">
        <v>2017</v>
      </c>
      <c r="B868" s="6" t="s">
        <v>3070</v>
      </c>
      <c r="C868" s="6" t="s">
        <v>61</v>
      </c>
      <c r="D868" s="115" t="s">
        <v>1383</v>
      </c>
      <c r="E868" s="6"/>
      <c r="F868" s="6" t="s">
        <v>3071</v>
      </c>
      <c r="G868" s="6" t="s">
        <v>3072</v>
      </c>
      <c r="H868" s="121">
        <v>200000</v>
      </c>
      <c r="I868" s="213" t="b">
        <v>0</v>
      </c>
      <c r="J868" s="213" t="b">
        <v>0</v>
      </c>
      <c r="K868" s="213" t="b">
        <v>0</v>
      </c>
    </row>
    <row r="869" spans="1:11" ht="38.25" hidden="1">
      <c r="A869" s="9">
        <v>2017</v>
      </c>
      <c r="B869" s="6" t="s">
        <v>3081</v>
      </c>
      <c r="C869" s="6" t="s">
        <v>61</v>
      </c>
      <c r="D869" s="115" t="s">
        <v>1383</v>
      </c>
      <c r="E869" s="6"/>
      <c r="F869" s="6" t="s">
        <v>3082</v>
      </c>
      <c r="G869" s="6" t="s">
        <v>3083</v>
      </c>
      <c r="H869" s="121">
        <v>200000</v>
      </c>
      <c r="I869" s="213" t="b">
        <v>0</v>
      </c>
      <c r="J869" s="213" t="b">
        <v>0</v>
      </c>
      <c r="K869" s="213" t="b">
        <v>0</v>
      </c>
    </row>
    <row r="870" spans="1:11" ht="51" hidden="1">
      <c r="A870" s="9">
        <v>2017</v>
      </c>
      <c r="B870" s="6" t="s">
        <v>3085</v>
      </c>
      <c r="C870" s="6" t="s">
        <v>61</v>
      </c>
      <c r="D870" s="115" t="s">
        <v>1383</v>
      </c>
      <c r="E870" s="6"/>
      <c r="F870" s="6" t="s">
        <v>3086</v>
      </c>
      <c r="G870" s="6" t="s">
        <v>3087</v>
      </c>
      <c r="H870" s="121">
        <v>200000</v>
      </c>
      <c r="I870" s="213" t="b">
        <v>0</v>
      </c>
      <c r="J870" s="213" t="b">
        <v>0</v>
      </c>
      <c r="K870" s="213" t="b">
        <v>0</v>
      </c>
    </row>
    <row r="871" spans="1:11" ht="12.75" hidden="1">
      <c r="A871" s="9">
        <v>2017</v>
      </c>
      <c r="B871" s="6" t="s">
        <v>3088</v>
      </c>
      <c r="C871" s="6" t="s">
        <v>61</v>
      </c>
      <c r="D871" s="115" t="s">
        <v>1383</v>
      </c>
      <c r="E871" s="6"/>
      <c r="F871" s="6" t="s">
        <v>3089</v>
      </c>
      <c r="G871" s="6" t="s">
        <v>3090</v>
      </c>
      <c r="H871" s="121">
        <v>200000</v>
      </c>
      <c r="I871" s="213" t="b">
        <v>0</v>
      </c>
      <c r="J871" s="213" t="b">
        <v>0</v>
      </c>
      <c r="K871" s="213" t="b">
        <v>0</v>
      </c>
    </row>
    <row r="872" spans="1:11" ht="51" hidden="1">
      <c r="A872" s="9">
        <v>2017</v>
      </c>
      <c r="B872" s="6" t="s">
        <v>3119</v>
      </c>
      <c r="C872" s="6" t="s">
        <v>61</v>
      </c>
      <c r="D872" s="115" t="s">
        <v>1383</v>
      </c>
      <c r="E872" s="6"/>
      <c r="F872" s="6" t="s">
        <v>3120</v>
      </c>
      <c r="G872" s="6" t="s">
        <v>3121</v>
      </c>
      <c r="H872" s="121">
        <v>200000</v>
      </c>
      <c r="I872" s="213" t="b">
        <v>0</v>
      </c>
      <c r="J872" s="213" t="b">
        <v>0</v>
      </c>
      <c r="K872" s="213" t="b">
        <v>0</v>
      </c>
    </row>
    <row r="873" spans="1:11" ht="25.5" hidden="1">
      <c r="A873" s="9">
        <v>2017</v>
      </c>
      <c r="B873" s="6" t="s">
        <v>3122</v>
      </c>
      <c r="C873" s="6" t="s">
        <v>61</v>
      </c>
      <c r="D873" s="115" t="s">
        <v>1383</v>
      </c>
      <c r="E873" s="6"/>
      <c r="F873" s="6" t="s">
        <v>3123</v>
      </c>
      <c r="G873" s="6" t="s">
        <v>3124</v>
      </c>
      <c r="H873" s="121">
        <v>200000</v>
      </c>
      <c r="I873" s="213" t="b">
        <v>0</v>
      </c>
      <c r="J873" s="213" t="b">
        <v>0</v>
      </c>
      <c r="K873" s="213" t="b">
        <v>0</v>
      </c>
    </row>
    <row r="874" spans="1:11" ht="38.25" hidden="1">
      <c r="A874" s="9">
        <v>2017</v>
      </c>
      <c r="B874" s="6" t="s">
        <v>3125</v>
      </c>
      <c r="C874" s="6" t="s">
        <v>61</v>
      </c>
      <c r="D874" s="115" t="s">
        <v>1383</v>
      </c>
      <c r="E874" s="6"/>
      <c r="F874" s="6" t="s">
        <v>3126</v>
      </c>
      <c r="G874" s="6" t="s">
        <v>3127</v>
      </c>
      <c r="H874" s="121">
        <v>200000</v>
      </c>
      <c r="I874" s="213" t="b">
        <v>0</v>
      </c>
      <c r="J874" s="213" t="b">
        <v>0</v>
      </c>
      <c r="K874" s="213" t="b">
        <v>0</v>
      </c>
    </row>
    <row r="875" spans="1:11" ht="204" hidden="1">
      <c r="A875" s="9">
        <v>2017</v>
      </c>
      <c r="B875" s="6" t="s">
        <v>3129</v>
      </c>
      <c r="C875" s="6" t="s">
        <v>61</v>
      </c>
      <c r="D875" s="115" t="s">
        <v>1383</v>
      </c>
      <c r="E875" s="6"/>
      <c r="F875" s="6" t="s">
        <v>3130</v>
      </c>
      <c r="G875" s="6" t="s">
        <v>3131</v>
      </c>
      <c r="H875" s="121">
        <v>791970</v>
      </c>
      <c r="I875" s="213" t="b">
        <v>0</v>
      </c>
      <c r="J875" s="213" t="b">
        <v>0</v>
      </c>
      <c r="K875" s="213" t="b">
        <v>0</v>
      </c>
    </row>
    <row r="876" spans="1:11" ht="38.25" hidden="1">
      <c r="A876" s="9">
        <v>2017</v>
      </c>
      <c r="B876" s="6" t="s">
        <v>3132</v>
      </c>
      <c r="C876" s="6" t="s">
        <v>61</v>
      </c>
      <c r="D876" s="115" t="s">
        <v>1383</v>
      </c>
      <c r="E876" s="6"/>
      <c r="F876" s="6" t="s">
        <v>3133</v>
      </c>
      <c r="G876" s="6" t="s">
        <v>3134</v>
      </c>
      <c r="H876" s="121">
        <v>200000</v>
      </c>
      <c r="I876" s="213" t="b">
        <v>0</v>
      </c>
      <c r="J876" s="213" t="b">
        <v>0</v>
      </c>
      <c r="K876" s="213" t="b">
        <v>0</v>
      </c>
    </row>
    <row r="877" spans="1:11" ht="38.25" hidden="1">
      <c r="A877" s="9">
        <v>2017</v>
      </c>
      <c r="B877" s="6" t="s">
        <v>3136</v>
      </c>
      <c r="C877" s="6" t="s">
        <v>61</v>
      </c>
      <c r="D877" s="115" t="s">
        <v>1383</v>
      </c>
      <c r="E877" s="6"/>
      <c r="F877" s="6" t="s">
        <v>3137</v>
      </c>
      <c r="G877" s="6" t="s">
        <v>3138</v>
      </c>
      <c r="H877" s="121">
        <v>200000</v>
      </c>
      <c r="I877" s="213" t="b">
        <v>0</v>
      </c>
      <c r="J877" s="213" t="b">
        <v>0</v>
      </c>
      <c r="K877" s="213" t="b">
        <v>0</v>
      </c>
    </row>
    <row r="878" spans="1:11" ht="38.25" hidden="1">
      <c r="A878" s="9">
        <v>2017</v>
      </c>
      <c r="B878" s="6" t="s">
        <v>3216</v>
      </c>
      <c r="C878" s="6" t="s">
        <v>61</v>
      </c>
      <c r="D878" s="115" t="s">
        <v>1383</v>
      </c>
      <c r="E878" s="6"/>
      <c r="F878" s="6" t="s">
        <v>3217</v>
      </c>
      <c r="G878" s="6" t="s">
        <v>1556</v>
      </c>
      <c r="H878" s="121">
        <v>354000</v>
      </c>
      <c r="I878" s="213" t="b">
        <v>0</v>
      </c>
      <c r="J878" s="213" t="b">
        <v>0</v>
      </c>
      <c r="K878" s="213" t="b">
        <v>0</v>
      </c>
    </row>
    <row r="879" spans="1:11" ht="38.25" hidden="1">
      <c r="A879" s="9">
        <v>2017</v>
      </c>
      <c r="B879" s="6" t="s">
        <v>3226</v>
      </c>
      <c r="C879" s="6" t="s">
        <v>61</v>
      </c>
      <c r="D879" s="115" t="s">
        <v>1383</v>
      </c>
      <c r="E879" s="6"/>
      <c r="F879" s="6" t="s">
        <v>3227</v>
      </c>
      <c r="G879" s="6" t="s">
        <v>3228</v>
      </c>
      <c r="H879" s="121">
        <v>1248000</v>
      </c>
      <c r="I879" s="213" t="b">
        <v>0</v>
      </c>
      <c r="J879" s="213" t="b">
        <v>0</v>
      </c>
      <c r="K879" s="213" t="b">
        <v>0</v>
      </c>
    </row>
    <row r="880" spans="1:11" ht="38.25" hidden="1">
      <c r="A880" s="9">
        <v>2017</v>
      </c>
      <c r="B880" s="6" t="s">
        <v>3256</v>
      </c>
      <c r="C880" s="6" t="s">
        <v>61</v>
      </c>
      <c r="D880" s="115" t="s">
        <v>1383</v>
      </c>
      <c r="E880" s="6"/>
      <c r="F880" s="6" t="s">
        <v>3257</v>
      </c>
      <c r="G880" s="6" t="s">
        <v>3258</v>
      </c>
      <c r="H880" s="121">
        <v>200000</v>
      </c>
      <c r="I880" s="213" t="b">
        <v>0</v>
      </c>
      <c r="J880" s="213" t="b">
        <v>0</v>
      </c>
      <c r="K880" s="213" t="b">
        <v>0</v>
      </c>
    </row>
    <row r="881" spans="1:11" ht="38.25" hidden="1">
      <c r="A881" s="9">
        <v>2017</v>
      </c>
      <c r="B881" s="148" t="s">
        <v>3276</v>
      </c>
      <c r="C881" s="6" t="s">
        <v>61</v>
      </c>
      <c r="D881" s="115" t="s">
        <v>1383</v>
      </c>
      <c r="E881" s="6"/>
      <c r="F881" s="6" t="s">
        <v>3277</v>
      </c>
      <c r="G881" s="6" t="s">
        <v>3278</v>
      </c>
      <c r="H881" s="252">
        <v>40000</v>
      </c>
      <c r="I881" s="213" t="b">
        <v>0</v>
      </c>
      <c r="J881" s="213" t="b">
        <v>0</v>
      </c>
      <c r="K881" s="213" t="b">
        <v>0</v>
      </c>
    </row>
    <row r="882" spans="1:11" ht="25.5" hidden="1">
      <c r="A882" s="9">
        <v>2017</v>
      </c>
      <c r="B882" s="148" t="s">
        <v>3289</v>
      </c>
      <c r="C882" s="6" t="s">
        <v>61</v>
      </c>
      <c r="D882" s="115" t="s">
        <v>1383</v>
      </c>
      <c r="E882" s="6"/>
      <c r="F882" s="6" t="s">
        <v>3290</v>
      </c>
      <c r="G882" s="6" t="s">
        <v>3291</v>
      </c>
      <c r="H882" s="121">
        <v>15000</v>
      </c>
      <c r="I882" s="213" t="b">
        <v>0</v>
      </c>
      <c r="J882" s="213" t="b">
        <v>0</v>
      </c>
      <c r="K882" s="213" t="b">
        <v>0</v>
      </c>
    </row>
    <row r="883" spans="1:11" ht="38.25" hidden="1">
      <c r="A883" s="9">
        <v>2017</v>
      </c>
      <c r="B883" s="148" t="s">
        <v>3312</v>
      </c>
      <c r="C883" s="6" t="s">
        <v>61</v>
      </c>
      <c r="D883" s="115" t="s">
        <v>1383</v>
      </c>
      <c r="E883" s="6"/>
      <c r="F883" s="6" t="s">
        <v>3313</v>
      </c>
      <c r="G883" s="6" t="s">
        <v>2319</v>
      </c>
      <c r="H883" s="256">
        <v>15000</v>
      </c>
      <c r="I883" s="213" t="b">
        <v>0</v>
      </c>
      <c r="J883" s="213" t="b">
        <v>0</v>
      </c>
      <c r="K883" s="213" t="b">
        <v>0</v>
      </c>
    </row>
    <row r="884" spans="1:11" ht="25.5" hidden="1">
      <c r="A884" s="9">
        <v>2017</v>
      </c>
      <c r="B884" s="148" t="s">
        <v>3323</v>
      </c>
      <c r="C884" s="6" t="s">
        <v>61</v>
      </c>
      <c r="D884" s="115" t="s">
        <v>1383</v>
      </c>
      <c r="E884" s="6"/>
      <c r="F884" s="6" t="s">
        <v>3324</v>
      </c>
      <c r="G884" s="6" t="s">
        <v>2620</v>
      </c>
      <c r="H884" s="121">
        <v>50000</v>
      </c>
      <c r="I884" s="213" t="b">
        <v>0</v>
      </c>
      <c r="J884" s="213" t="b">
        <v>0</v>
      </c>
      <c r="K884" s="213" t="b">
        <v>0</v>
      </c>
    </row>
    <row r="885" spans="1:11" ht="25.5" hidden="1">
      <c r="A885" s="9">
        <v>2017</v>
      </c>
      <c r="B885" s="148" t="s">
        <v>3331</v>
      </c>
      <c r="C885" s="6" t="s">
        <v>61</v>
      </c>
      <c r="D885" s="115" t="s">
        <v>1383</v>
      </c>
      <c r="E885" s="6"/>
      <c r="F885" s="6" t="s">
        <v>3332</v>
      </c>
      <c r="G885" s="6" t="s">
        <v>3333</v>
      </c>
      <c r="H885" s="121">
        <v>50000</v>
      </c>
      <c r="I885" s="213" t="b">
        <v>0</v>
      </c>
      <c r="J885" s="213" t="b">
        <v>0</v>
      </c>
      <c r="K885" s="213" t="b">
        <v>0</v>
      </c>
    </row>
    <row r="886" spans="1:11" ht="38.25" hidden="1">
      <c r="A886" s="9">
        <v>2017</v>
      </c>
      <c r="B886" s="148" t="s">
        <v>3336</v>
      </c>
      <c r="C886" s="6" t="s">
        <v>61</v>
      </c>
      <c r="D886" s="115" t="s">
        <v>1383</v>
      </c>
      <c r="E886" s="6"/>
      <c r="F886" s="6" t="s">
        <v>3337</v>
      </c>
      <c r="G886" s="6" t="s">
        <v>811</v>
      </c>
      <c r="H886" s="121">
        <v>63000</v>
      </c>
      <c r="I886" s="213" t="b">
        <v>0</v>
      </c>
      <c r="J886" s="213" t="b">
        <v>0</v>
      </c>
      <c r="K886" s="213" t="b">
        <v>0</v>
      </c>
    </row>
    <row r="887" spans="1:11" ht="38.25" hidden="1">
      <c r="A887" s="9">
        <v>2017</v>
      </c>
      <c r="B887" s="148" t="s">
        <v>3338</v>
      </c>
      <c r="C887" s="6" t="s">
        <v>61</v>
      </c>
      <c r="D887" s="115" t="s">
        <v>1383</v>
      </c>
      <c r="E887" s="6"/>
      <c r="F887" s="6" t="s">
        <v>3339</v>
      </c>
      <c r="G887" s="6" t="s">
        <v>3340</v>
      </c>
      <c r="H887" s="121">
        <v>47000</v>
      </c>
      <c r="I887" s="213" t="b">
        <v>0</v>
      </c>
      <c r="J887" s="213" t="b">
        <v>0</v>
      </c>
      <c r="K887" s="213" t="b">
        <v>0</v>
      </c>
    </row>
    <row r="888" spans="1:11" ht="38.25" hidden="1">
      <c r="A888" s="9">
        <v>2017</v>
      </c>
      <c r="B888" s="148" t="s">
        <v>3406</v>
      </c>
      <c r="C888" s="6" t="s">
        <v>61</v>
      </c>
      <c r="D888" s="115" t="s">
        <v>1383</v>
      </c>
      <c r="E888" s="6"/>
      <c r="F888" s="6" t="s">
        <v>3407</v>
      </c>
      <c r="G888" s="6" t="s">
        <v>3408</v>
      </c>
      <c r="H888" s="121">
        <v>50000</v>
      </c>
      <c r="I888" s="213" t="b">
        <v>0</v>
      </c>
      <c r="J888" s="213" t="b">
        <v>0</v>
      </c>
      <c r="K888" s="213" t="b">
        <v>0</v>
      </c>
    </row>
    <row r="889" spans="1:11" ht="38.25" hidden="1">
      <c r="A889" s="9">
        <v>2017</v>
      </c>
      <c r="B889" s="148" t="s">
        <v>3428</v>
      </c>
      <c r="C889" s="6" t="s">
        <v>61</v>
      </c>
      <c r="D889" s="115" t="s">
        <v>1383</v>
      </c>
      <c r="E889" s="6"/>
      <c r="F889" s="6" t="s">
        <v>3429</v>
      </c>
      <c r="G889" s="6" t="s">
        <v>3430</v>
      </c>
      <c r="H889" s="121">
        <v>100000</v>
      </c>
      <c r="I889" s="213" t="b">
        <v>0</v>
      </c>
      <c r="J889" s="213" t="b">
        <v>0</v>
      </c>
      <c r="K889" s="213" t="b">
        <v>0</v>
      </c>
    </row>
    <row r="890" spans="1:11" ht="38.25" hidden="1">
      <c r="A890" s="9">
        <v>2017</v>
      </c>
      <c r="B890" s="148" t="s">
        <v>3447</v>
      </c>
      <c r="C890" s="6" t="s">
        <v>61</v>
      </c>
      <c r="D890" s="115" t="s">
        <v>1383</v>
      </c>
      <c r="E890" s="6"/>
      <c r="F890" s="6" t="s">
        <v>3448</v>
      </c>
      <c r="G890" s="6" t="s">
        <v>3449</v>
      </c>
      <c r="H890" s="121">
        <v>50000</v>
      </c>
      <c r="I890" s="213" t="b">
        <v>0</v>
      </c>
      <c r="J890" s="213" t="b">
        <v>0</v>
      </c>
      <c r="K890" s="213" t="b">
        <v>0</v>
      </c>
    </row>
    <row r="891" spans="1:11" ht="38.25" hidden="1">
      <c r="A891" s="9">
        <v>2017</v>
      </c>
      <c r="B891" s="148" t="s">
        <v>3466</v>
      </c>
      <c r="C891" s="6" t="s">
        <v>61</v>
      </c>
      <c r="D891" s="115" t="s">
        <v>1383</v>
      </c>
      <c r="E891" s="6"/>
      <c r="F891" s="6" t="s">
        <v>3467</v>
      </c>
      <c r="G891" s="6" t="s">
        <v>811</v>
      </c>
      <c r="H891" s="121">
        <v>76500</v>
      </c>
      <c r="I891" s="213" t="b">
        <v>0</v>
      </c>
      <c r="J891" s="213" t="b">
        <v>0</v>
      </c>
      <c r="K891" s="213" t="b">
        <v>0</v>
      </c>
    </row>
    <row r="892" spans="1:11" ht="38.25" hidden="1">
      <c r="A892" s="9">
        <v>2016</v>
      </c>
      <c r="B892" s="61">
        <v>42370</v>
      </c>
      <c r="C892" s="6" t="s">
        <v>61</v>
      </c>
      <c r="D892" s="6" t="s">
        <v>3505</v>
      </c>
      <c r="E892" s="132"/>
      <c r="F892" s="132" t="s">
        <v>3506</v>
      </c>
      <c r="G892" s="132" t="s">
        <v>1556</v>
      </c>
      <c r="H892" s="121">
        <v>560000</v>
      </c>
      <c r="I892" s="213" t="b">
        <v>0</v>
      </c>
      <c r="J892" s="213" t="b">
        <v>0</v>
      </c>
      <c r="K892" s="213" t="b">
        <v>0</v>
      </c>
    </row>
    <row r="893" spans="1:11" ht="38.25">
      <c r="A893" s="9">
        <v>2016</v>
      </c>
      <c r="B893" s="61">
        <v>42401</v>
      </c>
      <c r="C893" s="6" t="s">
        <v>61</v>
      </c>
      <c r="D893" s="9" t="s">
        <v>62</v>
      </c>
      <c r="E893" s="6"/>
      <c r="F893" s="6" t="s">
        <v>3507</v>
      </c>
      <c r="G893" s="6" t="s">
        <v>3508</v>
      </c>
      <c r="H893" s="121">
        <v>2000000</v>
      </c>
      <c r="I893" s="213" t="b">
        <v>0</v>
      </c>
      <c r="J893" s="213"/>
      <c r="K893" s="213"/>
    </row>
    <row r="894" spans="1:11" ht="38.25" hidden="1">
      <c r="A894" s="9">
        <v>2016</v>
      </c>
      <c r="B894" s="61">
        <v>42430</v>
      </c>
      <c r="C894" s="6" t="s">
        <v>61</v>
      </c>
      <c r="D894" s="6" t="s">
        <v>3075</v>
      </c>
      <c r="E894" s="6"/>
      <c r="F894" s="6" t="s">
        <v>3510</v>
      </c>
      <c r="G894" s="6" t="s">
        <v>3076</v>
      </c>
      <c r="H894" s="121">
        <v>437790</v>
      </c>
      <c r="I894" s="213" t="b">
        <v>0</v>
      </c>
      <c r="J894" s="213" t="b">
        <v>0</v>
      </c>
      <c r="K894" s="213" t="b">
        <v>0</v>
      </c>
    </row>
    <row r="895" spans="1:11" ht="38.25" hidden="1">
      <c r="A895" s="9">
        <v>2016</v>
      </c>
      <c r="B895" s="61">
        <v>42461</v>
      </c>
      <c r="C895" s="6" t="s">
        <v>2328</v>
      </c>
      <c r="D895" s="6" t="s">
        <v>2724</v>
      </c>
      <c r="E895" s="6"/>
      <c r="F895" s="6" t="s">
        <v>3511</v>
      </c>
      <c r="G895" s="6" t="s">
        <v>3512</v>
      </c>
      <c r="H895" s="121"/>
      <c r="I895" s="213" t="b">
        <v>0</v>
      </c>
      <c r="J895" s="213" t="b">
        <v>0</v>
      </c>
      <c r="K895" s="213" t="b">
        <v>0</v>
      </c>
    </row>
    <row r="896" spans="1:11" ht="25.5" hidden="1">
      <c r="A896" s="9">
        <v>2016</v>
      </c>
      <c r="B896" s="61">
        <v>42491</v>
      </c>
      <c r="C896" s="6" t="s">
        <v>2328</v>
      </c>
      <c r="D896" s="6" t="s">
        <v>2724</v>
      </c>
      <c r="E896" s="6"/>
      <c r="F896" s="6" t="s">
        <v>3515</v>
      </c>
      <c r="G896" s="6" t="s">
        <v>3516</v>
      </c>
      <c r="H896" s="121">
        <v>586479</v>
      </c>
      <c r="I896" s="213" t="b">
        <v>0</v>
      </c>
      <c r="J896" s="213" t="b">
        <v>0</v>
      </c>
      <c r="K896" s="213" t="b">
        <v>0</v>
      </c>
    </row>
    <row r="897" spans="1:11" ht="38.25" hidden="1">
      <c r="A897" s="9">
        <v>2016</v>
      </c>
      <c r="B897" s="61">
        <v>42522</v>
      </c>
      <c r="C897" s="6" t="s">
        <v>2328</v>
      </c>
      <c r="D897" s="6" t="s">
        <v>3109</v>
      </c>
      <c r="E897" s="6"/>
      <c r="F897" s="6" t="s">
        <v>3518</v>
      </c>
      <c r="G897" s="6" t="s">
        <v>3519</v>
      </c>
      <c r="H897" s="121">
        <v>10700</v>
      </c>
      <c r="I897" s="213" t="b">
        <v>0</v>
      </c>
      <c r="J897" s="213" t="b">
        <v>0</v>
      </c>
      <c r="K897" s="213" t="b">
        <v>0</v>
      </c>
    </row>
    <row r="898" spans="1:11" ht="38.25" hidden="1">
      <c r="A898" s="9">
        <v>2016</v>
      </c>
      <c r="B898" s="62">
        <v>42552</v>
      </c>
      <c r="C898" s="6" t="s">
        <v>2328</v>
      </c>
      <c r="D898" s="6" t="s">
        <v>3109</v>
      </c>
      <c r="E898" s="6"/>
      <c r="F898" s="6" t="s">
        <v>3522</v>
      </c>
      <c r="G898" s="6" t="s">
        <v>3523</v>
      </c>
      <c r="H898" s="121">
        <v>55000</v>
      </c>
      <c r="I898" s="213" t="b">
        <v>0</v>
      </c>
      <c r="J898" s="213" t="b">
        <v>0</v>
      </c>
      <c r="K898" s="213" t="b">
        <v>0</v>
      </c>
    </row>
    <row r="899" spans="1:11" ht="25.5" hidden="1">
      <c r="A899" s="9">
        <v>2016</v>
      </c>
      <c r="B899" s="61">
        <v>42583</v>
      </c>
      <c r="C899" s="6" t="s">
        <v>2328</v>
      </c>
      <c r="D899" s="6" t="s">
        <v>2724</v>
      </c>
      <c r="E899" s="132"/>
      <c r="F899" s="132" t="s">
        <v>3525</v>
      </c>
      <c r="G899" s="132" t="s">
        <v>3526</v>
      </c>
      <c r="H899" s="146">
        <v>71966</v>
      </c>
      <c r="I899" s="213" t="b">
        <v>0</v>
      </c>
      <c r="J899" s="213" t="b">
        <v>0</v>
      </c>
      <c r="K899" s="213" t="b">
        <v>0</v>
      </c>
    </row>
    <row r="900" spans="1:11" ht="51" hidden="1">
      <c r="A900" s="9">
        <v>2016</v>
      </c>
      <c r="B900" s="62">
        <v>42614</v>
      </c>
      <c r="C900" s="6" t="s">
        <v>61</v>
      </c>
      <c r="D900" s="6" t="s">
        <v>394</v>
      </c>
      <c r="E900" s="6"/>
      <c r="F900" s="6" t="s">
        <v>3528</v>
      </c>
      <c r="G900" s="6" t="s">
        <v>3529</v>
      </c>
      <c r="H900" s="121">
        <v>60800</v>
      </c>
      <c r="I900" s="213" t="b">
        <v>0</v>
      </c>
      <c r="J900" s="213" t="b">
        <v>0</v>
      </c>
      <c r="K900" s="213" t="b">
        <v>0</v>
      </c>
    </row>
    <row r="901" spans="1:11" ht="63.75" hidden="1">
      <c r="A901" s="9">
        <v>2016</v>
      </c>
      <c r="B901" s="62">
        <v>42644</v>
      </c>
      <c r="C901" s="6" t="s">
        <v>61</v>
      </c>
      <c r="D901" s="6" t="s">
        <v>1782</v>
      </c>
      <c r="E901" s="6"/>
      <c r="F901" s="6" t="s">
        <v>3530</v>
      </c>
      <c r="G901" s="6" t="s">
        <v>1556</v>
      </c>
      <c r="H901" s="121">
        <v>318000</v>
      </c>
      <c r="I901" s="213" t="b">
        <v>0</v>
      </c>
      <c r="J901" s="213" t="b">
        <v>0</v>
      </c>
      <c r="K901" s="213" t="b">
        <v>0</v>
      </c>
    </row>
    <row r="902" spans="1:11" ht="63.75" hidden="1">
      <c r="A902" s="9">
        <v>2016</v>
      </c>
      <c r="B902" s="6" t="s">
        <v>3534</v>
      </c>
      <c r="C902" s="6" t="s">
        <v>2328</v>
      </c>
      <c r="D902" s="6" t="s">
        <v>2724</v>
      </c>
      <c r="E902" s="6"/>
      <c r="F902" s="6" t="s">
        <v>3535</v>
      </c>
      <c r="G902" s="132" t="s">
        <v>3536</v>
      </c>
      <c r="H902" s="121">
        <v>197515.03</v>
      </c>
      <c r="I902" s="213" t="b">
        <v>0</v>
      </c>
      <c r="J902" s="213" t="b">
        <v>0</v>
      </c>
      <c r="K902" s="213" t="b">
        <v>0</v>
      </c>
    </row>
    <row r="903" spans="1:11" ht="25.5" hidden="1">
      <c r="A903" s="9">
        <v>2016</v>
      </c>
      <c r="B903" s="6" t="s">
        <v>3539</v>
      </c>
      <c r="C903" s="6" t="s">
        <v>61</v>
      </c>
      <c r="D903" s="6" t="s">
        <v>3155</v>
      </c>
      <c r="E903" s="6"/>
      <c r="F903" s="6" t="s">
        <v>3540</v>
      </c>
      <c r="G903" s="6" t="s">
        <v>1556</v>
      </c>
      <c r="H903" s="121">
        <v>1638300</v>
      </c>
      <c r="I903" s="213" t="b">
        <v>0</v>
      </c>
      <c r="J903" s="213" t="b">
        <v>0</v>
      </c>
      <c r="K903" s="213" t="b">
        <v>0</v>
      </c>
    </row>
    <row r="904" spans="1:11" ht="38.25" hidden="1">
      <c r="A904" s="9">
        <v>2016</v>
      </c>
      <c r="B904" s="6" t="s">
        <v>3541</v>
      </c>
      <c r="C904" s="6" t="s">
        <v>61</v>
      </c>
      <c r="D904" s="6" t="s">
        <v>1859</v>
      </c>
      <c r="E904" s="132"/>
      <c r="F904" s="132" t="s">
        <v>3542</v>
      </c>
      <c r="G904" s="6" t="s">
        <v>1556</v>
      </c>
      <c r="H904" s="121">
        <v>400000</v>
      </c>
      <c r="I904" s="213" t="b">
        <v>0</v>
      </c>
      <c r="J904" s="213" t="b">
        <v>0</v>
      </c>
      <c r="K904" s="213" t="b">
        <v>0</v>
      </c>
    </row>
    <row r="905" spans="1:11" ht="25.5" hidden="1">
      <c r="A905" s="9">
        <v>2016</v>
      </c>
      <c r="B905" s="6" t="s">
        <v>3543</v>
      </c>
      <c r="C905" s="6" t="s">
        <v>61</v>
      </c>
      <c r="D905" s="6" t="s">
        <v>1859</v>
      </c>
      <c r="E905" s="6"/>
      <c r="F905" s="6" t="s">
        <v>3544</v>
      </c>
      <c r="G905" s="6" t="s">
        <v>1556</v>
      </c>
      <c r="H905" s="121">
        <v>200000</v>
      </c>
      <c r="I905" s="213" t="b">
        <v>0</v>
      </c>
      <c r="J905" s="213" t="b">
        <v>0</v>
      </c>
      <c r="K905" s="213" t="b">
        <v>0</v>
      </c>
    </row>
    <row r="906" spans="1:11" ht="38.25">
      <c r="A906" s="9">
        <v>2016</v>
      </c>
      <c r="B906" s="6" t="s">
        <v>3545</v>
      </c>
      <c r="C906" s="6" t="s">
        <v>61</v>
      </c>
      <c r="D906" s="9" t="s">
        <v>62</v>
      </c>
      <c r="E906" s="6"/>
      <c r="F906" s="6" t="s">
        <v>3546</v>
      </c>
      <c r="G906" s="6" t="s">
        <v>3547</v>
      </c>
      <c r="H906" s="121">
        <v>715000</v>
      </c>
      <c r="I906" s="213" t="b">
        <v>0</v>
      </c>
      <c r="J906" s="213"/>
      <c r="K906" s="213"/>
    </row>
    <row r="907" spans="1:11" ht="25.5" hidden="1">
      <c r="A907" s="9">
        <v>2016</v>
      </c>
      <c r="B907" s="6" t="s">
        <v>3549</v>
      </c>
      <c r="C907" s="6" t="s">
        <v>61</v>
      </c>
      <c r="D907" s="6" t="s">
        <v>3155</v>
      </c>
      <c r="E907" s="6"/>
      <c r="F907" s="6" t="s">
        <v>3540</v>
      </c>
      <c r="G907" s="6" t="s">
        <v>1556</v>
      </c>
      <c r="H907" s="121">
        <v>800000</v>
      </c>
      <c r="I907" s="213" t="b">
        <v>0</v>
      </c>
      <c r="J907" s="213" t="b">
        <v>0</v>
      </c>
      <c r="K907" s="213" t="b">
        <v>0</v>
      </c>
    </row>
    <row r="908" spans="1:11" ht="51" hidden="1">
      <c r="A908" s="9">
        <v>2016</v>
      </c>
      <c r="B908" s="6" t="s">
        <v>3593</v>
      </c>
      <c r="C908" s="6" t="s">
        <v>2328</v>
      </c>
      <c r="D908" s="6"/>
      <c r="E908" s="6"/>
      <c r="F908" s="6" t="s">
        <v>3594</v>
      </c>
      <c r="G908" s="6" t="s">
        <v>3595</v>
      </c>
      <c r="H908" s="121"/>
      <c r="I908" s="213" t="b">
        <v>0</v>
      </c>
      <c r="J908" s="213" t="b">
        <v>0</v>
      </c>
      <c r="K908" s="213" t="b">
        <v>0</v>
      </c>
    </row>
    <row r="909" spans="1:11" ht="38.25" hidden="1">
      <c r="A909" s="9">
        <v>2016</v>
      </c>
      <c r="B909" s="6" t="s">
        <v>3597</v>
      </c>
      <c r="C909" s="6" t="s">
        <v>2328</v>
      </c>
      <c r="D909" s="6" t="s">
        <v>2724</v>
      </c>
      <c r="E909" s="6"/>
      <c r="F909" s="6" t="s">
        <v>3598</v>
      </c>
      <c r="G909" s="6" t="s">
        <v>3599</v>
      </c>
      <c r="H909" s="121"/>
      <c r="I909" s="213" t="b">
        <v>0</v>
      </c>
      <c r="J909" s="213" t="b">
        <v>0</v>
      </c>
      <c r="K909" s="213" t="b">
        <v>0</v>
      </c>
    </row>
    <row r="910" spans="1:11" ht="25.5" hidden="1">
      <c r="A910" s="9">
        <v>2016</v>
      </c>
      <c r="B910" s="6" t="s">
        <v>3601</v>
      </c>
      <c r="C910" s="6" t="s">
        <v>2328</v>
      </c>
      <c r="D910" s="6" t="s">
        <v>2724</v>
      </c>
      <c r="E910" s="6"/>
      <c r="F910" s="6" t="s">
        <v>3602</v>
      </c>
      <c r="G910" s="6" t="s">
        <v>3603</v>
      </c>
      <c r="H910" s="121">
        <v>81900</v>
      </c>
      <c r="I910" s="213" t="b">
        <v>0</v>
      </c>
      <c r="J910" s="213" t="b">
        <v>0</v>
      </c>
      <c r="K910" s="213" t="b">
        <v>0</v>
      </c>
    </row>
    <row r="911" spans="1:11" ht="25.5" hidden="1">
      <c r="A911" s="9">
        <v>2016</v>
      </c>
      <c r="B911" s="6" t="s">
        <v>3605</v>
      </c>
      <c r="C911" s="6" t="s">
        <v>2328</v>
      </c>
      <c r="D911" s="6" t="s">
        <v>2724</v>
      </c>
      <c r="E911" s="6"/>
      <c r="F911" s="6" t="s">
        <v>3606</v>
      </c>
      <c r="G911" s="6" t="s">
        <v>3607</v>
      </c>
      <c r="H911" s="121">
        <v>25000</v>
      </c>
      <c r="I911" s="213" t="b">
        <v>0</v>
      </c>
      <c r="J911" s="213" t="b">
        <v>0</v>
      </c>
      <c r="K911" s="213" t="b">
        <v>0</v>
      </c>
    </row>
    <row r="912" spans="1:11" ht="38.25" hidden="1">
      <c r="A912" s="9">
        <v>2016</v>
      </c>
      <c r="B912" s="6" t="s">
        <v>3609</v>
      </c>
      <c r="C912" s="148" t="s">
        <v>2328</v>
      </c>
      <c r="D912" s="6" t="s">
        <v>3109</v>
      </c>
      <c r="E912" s="6"/>
      <c r="F912" s="6" t="s">
        <v>3610</v>
      </c>
      <c r="G912" s="6" t="s">
        <v>3611</v>
      </c>
      <c r="H912" s="121">
        <v>78591</v>
      </c>
      <c r="I912" s="213" t="b">
        <v>0</v>
      </c>
      <c r="J912" s="213" t="b">
        <v>0</v>
      </c>
      <c r="K912" s="213" t="b">
        <v>0</v>
      </c>
    </row>
    <row r="913" spans="1:11" ht="25.5" hidden="1">
      <c r="A913" s="9">
        <v>2016</v>
      </c>
      <c r="B913" s="6" t="s">
        <v>3613</v>
      </c>
      <c r="C913" s="6" t="s">
        <v>2328</v>
      </c>
      <c r="D913" s="6"/>
      <c r="E913" s="6"/>
      <c r="F913" s="6" t="s">
        <v>3614</v>
      </c>
      <c r="G913" s="6" t="s">
        <v>3615</v>
      </c>
      <c r="H913" s="121">
        <v>82650</v>
      </c>
      <c r="I913" s="213" t="b">
        <v>0</v>
      </c>
      <c r="J913" s="213" t="b">
        <v>0</v>
      </c>
      <c r="K913" s="213" t="b">
        <v>0</v>
      </c>
    </row>
    <row r="914" spans="1:11" ht="38.25" hidden="1">
      <c r="A914" s="9">
        <v>2016</v>
      </c>
      <c r="B914" s="6" t="s">
        <v>3617</v>
      </c>
      <c r="C914" s="6" t="s">
        <v>2328</v>
      </c>
      <c r="D914" s="6" t="s">
        <v>3109</v>
      </c>
      <c r="E914" s="6"/>
      <c r="F914" s="6" t="s">
        <v>3618</v>
      </c>
      <c r="G914" s="6" t="s">
        <v>3619</v>
      </c>
      <c r="H914" s="121">
        <v>394193.22</v>
      </c>
      <c r="I914" s="213" t="b">
        <v>0</v>
      </c>
      <c r="J914" s="213" t="b">
        <v>0</v>
      </c>
      <c r="K914" s="213" t="b">
        <v>0</v>
      </c>
    </row>
    <row r="915" spans="1:11" ht="38.25" hidden="1">
      <c r="A915" s="9">
        <v>2016</v>
      </c>
      <c r="B915" s="6" t="s">
        <v>3621</v>
      </c>
      <c r="C915" s="6" t="s">
        <v>2328</v>
      </c>
      <c r="D915" s="6" t="s">
        <v>3109</v>
      </c>
      <c r="E915" s="6"/>
      <c r="F915" s="6" t="s">
        <v>3622</v>
      </c>
      <c r="G915" s="6" t="s">
        <v>3623</v>
      </c>
      <c r="H915" s="121">
        <v>28457.05</v>
      </c>
      <c r="I915" s="213" t="b">
        <v>0</v>
      </c>
      <c r="J915" s="213" t="b">
        <v>0</v>
      </c>
      <c r="K915" s="213" t="b">
        <v>0</v>
      </c>
    </row>
    <row r="916" spans="1:11" ht="38.25" hidden="1">
      <c r="A916" s="9">
        <v>2016</v>
      </c>
      <c r="B916" s="6" t="s">
        <v>3625</v>
      </c>
      <c r="C916" s="6" t="s">
        <v>3626</v>
      </c>
      <c r="D916" s="6"/>
      <c r="E916" s="6"/>
      <c r="F916" s="6" t="s">
        <v>3627</v>
      </c>
      <c r="G916" s="6" t="s">
        <v>3628</v>
      </c>
      <c r="H916" s="121">
        <v>311000</v>
      </c>
      <c r="I916" s="213" t="b">
        <v>0</v>
      </c>
      <c r="J916" s="213" t="b">
        <v>0</v>
      </c>
      <c r="K916" s="213" t="b">
        <v>0</v>
      </c>
    </row>
    <row r="917" spans="1:11" ht="25.5" hidden="1">
      <c r="A917" s="9">
        <v>2016</v>
      </c>
      <c r="B917" s="6" t="s">
        <v>3687</v>
      </c>
      <c r="C917" s="6" t="s">
        <v>61</v>
      </c>
      <c r="D917" s="6" t="s">
        <v>3092</v>
      </c>
      <c r="E917" s="6"/>
      <c r="F917" s="6" t="s">
        <v>3688</v>
      </c>
      <c r="G917" s="6" t="s">
        <v>3689</v>
      </c>
      <c r="H917" s="121">
        <v>432150</v>
      </c>
      <c r="I917" s="213" t="b">
        <v>0</v>
      </c>
      <c r="J917" s="213" t="b">
        <v>0</v>
      </c>
      <c r="K917" s="213" t="b">
        <v>0</v>
      </c>
    </row>
    <row r="918" spans="1:11" ht="63.75" hidden="1">
      <c r="A918" s="9">
        <v>2016</v>
      </c>
      <c r="B918" s="6" t="s">
        <v>3691</v>
      </c>
      <c r="C918" s="6" t="s">
        <v>61</v>
      </c>
      <c r="D918" s="6" t="s">
        <v>3092</v>
      </c>
      <c r="E918" s="6"/>
      <c r="F918" s="6" t="s">
        <v>3692</v>
      </c>
      <c r="G918" s="6" t="s">
        <v>3693</v>
      </c>
      <c r="H918" s="121">
        <v>282080</v>
      </c>
      <c r="I918" s="213" t="b">
        <v>0</v>
      </c>
      <c r="J918" s="213" t="b">
        <v>0</v>
      </c>
      <c r="K918" s="213" t="b">
        <v>0</v>
      </c>
    </row>
    <row r="919" spans="1:11" ht="25.5" hidden="1">
      <c r="A919" s="9">
        <v>2016</v>
      </c>
      <c r="B919" s="6" t="s">
        <v>3695</v>
      </c>
      <c r="C919" s="6" t="s">
        <v>61</v>
      </c>
      <c r="D919" s="6" t="s">
        <v>3092</v>
      </c>
      <c r="E919" s="6"/>
      <c r="F919" s="6" t="s">
        <v>3696</v>
      </c>
      <c r="G919" s="6" t="s">
        <v>581</v>
      </c>
      <c r="H919" s="121">
        <v>339700</v>
      </c>
      <c r="I919" s="213" t="b">
        <v>0</v>
      </c>
      <c r="J919" s="213" t="b">
        <v>0</v>
      </c>
      <c r="K919" s="213" t="b">
        <v>0</v>
      </c>
    </row>
    <row r="920" spans="1:11" ht="38.25">
      <c r="A920" s="9">
        <v>2016</v>
      </c>
      <c r="B920" s="6" t="s">
        <v>3697</v>
      </c>
      <c r="C920" s="6" t="s">
        <v>61</v>
      </c>
      <c r="D920" s="9" t="s">
        <v>62</v>
      </c>
      <c r="E920" s="6"/>
      <c r="F920" s="6" t="s">
        <v>3698</v>
      </c>
      <c r="G920" s="6" t="s">
        <v>3699</v>
      </c>
      <c r="H920" s="121">
        <v>1065240</v>
      </c>
      <c r="I920" s="213" t="b">
        <v>0</v>
      </c>
      <c r="J920" s="213"/>
      <c r="K920" s="213"/>
    </row>
    <row r="921" spans="1:11" ht="51" hidden="1">
      <c r="A921" s="9">
        <v>2016</v>
      </c>
      <c r="B921" s="6" t="s">
        <v>3701</v>
      </c>
      <c r="C921" s="6" t="s">
        <v>61</v>
      </c>
      <c r="D921" s="6" t="s">
        <v>586</v>
      </c>
      <c r="E921" s="6"/>
      <c r="F921" s="6" t="s">
        <v>3702</v>
      </c>
      <c r="G921" s="6" t="s">
        <v>3703</v>
      </c>
      <c r="H921" s="121">
        <v>96000</v>
      </c>
      <c r="I921" s="213" t="b">
        <v>0</v>
      </c>
      <c r="J921" s="213" t="b">
        <v>0</v>
      </c>
      <c r="K921" s="213" t="b">
        <v>0</v>
      </c>
    </row>
    <row r="922" spans="1:11" ht="51" hidden="1">
      <c r="A922" s="9">
        <v>2016</v>
      </c>
      <c r="B922" s="6" t="s">
        <v>3706</v>
      </c>
      <c r="C922" s="6" t="s">
        <v>61</v>
      </c>
      <c r="D922" s="6" t="s">
        <v>652</v>
      </c>
      <c r="E922" s="6"/>
      <c r="F922" s="6" t="s">
        <v>3707</v>
      </c>
      <c r="G922" s="6" t="s">
        <v>3708</v>
      </c>
      <c r="H922" s="121">
        <v>62473.45</v>
      </c>
      <c r="I922" s="213" t="b">
        <v>0</v>
      </c>
      <c r="J922" s="213" t="b">
        <v>0</v>
      </c>
      <c r="K922" s="213" t="b">
        <v>0</v>
      </c>
    </row>
    <row r="923" spans="1:11" ht="89.25" hidden="1">
      <c r="A923" s="9">
        <v>2016</v>
      </c>
      <c r="B923" s="6" t="s">
        <v>3710</v>
      </c>
      <c r="C923" s="6" t="s">
        <v>61</v>
      </c>
      <c r="D923" s="6" t="s">
        <v>652</v>
      </c>
      <c r="E923" s="6"/>
      <c r="F923" s="6" t="s">
        <v>3711</v>
      </c>
      <c r="G923" s="6" t="s">
        <v>3712</v>
      </c>
      <c r="H923" s="121">
        <v>100000</v>
      </c>
      <c r="I923" s="213" t="b">
        <v>0</v>
      </c>
      <c r="J923" s="213" t="b">
        <v>0</v>
      </c>
      <c r="K923" s="213" t="b">
        <v>0</v>
      </c>
    </row>
    <row r="924" spans="1:11" ht="25.5" hidden="1">
      <c r="A924" s="9">
        <v>2016</v>
      </c>
      <c r="B924" s="6" t="s">
        <v>3714</v>
      </c>
      <c r="C924" s="6" t="s">
        <v>61</v>
      </c>
      <c r="D924" s="112" t="s">
        <v>68</v>
      </c>
      <c r="E924" s="6"/>
      <c r="F924" s="6" t="s">
        <v>3715</v>
      </c>
      <c r="G924" s="6" t="s">
        <v>3716</v>
      </c>
      <c r="H924" s="121">
        <v>99600</v>
      </c>
      <c r="I924" s="213" t="b">
        <v>0</v>
      </c>
      <c r="J924" s="213" t="b">
        <v>0</v>
      </c>
      <c r="K924" s="213" t="b">
        <v>0</v>
      </c>
    </row>
    <row r="925" spans="1:11" ht="38.25" hidden="1">
      <c r="A925" s="9">
        <v>2016</v>
      </c>
      <c r="B925" s="6" t="s">
        <v>3718</v>
      </c>
      <c r="C925" s="6" t="s">
        <v>61</v>
      </c>
      <c r="D925" s="6" t="s">
        <v>3719</v>
      </c>
      <c r="E925" s="6"/>
      <c r="F925" s="6" t="s">
        <v>3720</v>
      </c>
      <c r="G925" s="6" t="s">
        <v>1556</v>
      </c>
      <c r="H925" s="121">
        <v>300000</v>
      </c>
      <c r="I925" s="213" t="b">
        <v>0</v>
      </c>
      <c r="J925" s="213" t="b">
        <v>0</v>
      </c>
      <c r="K925" s="213" t="b">
        <v>0</v>
      </c>
    </row>
    <row r="926" spans="1:11" ht="51" hidden="1">
      <c r="A926" s="9">
        <v>2016</v>
      </c>
      <c r="B926" s="6" t="s">
        <v>3721</v>
      </c>
      <c r="C926" s="6" t="s">
        <v>2328</v>
      </c>
      <c r="D926" s="6" t="s">
        <v>3109</v>
      </c>
      <c r="E926" s="6"/>
      <c r="F926" s="6" t="s">
        <v>3722</v>
      </c>
      <c r="G926" s="6" t="s">
        <v>3723</v>
      </c>
      <c r="H926" s="121">
        <v>30000</v>
      </c>
      <c r="I926" s="213" t="b">
        <v>0</v>
      </c>
      <c r="J926" s="213" t="b">
        <v>0</v>
      </c>
      <c r="K926" s="213" t="b">
        <v>0</v>
      </c>
    </row>
    <row r="927" spans="1:11" ht="38.25" hidden="1">
      <c r="A927" s="9">
        <v>2016</v>
      </c>
      <c r="B927" s="6" t="s">
        <v>3725</v>
      </c>
      <c r="C927" s="6" t="s">
        <v>2328</v>
      </c>
      <c r="D927" s="6" t="s">
        <v>3109</v>
      </c>
      <c r="E927" s="6"/>
      <c r="F927" s="6" t="s">
        <v>3726</v>
      </c>
      <c r="G927" s="6" t="s">
        <v>3727</v>
      </c>
      <c r="H927" s="121">
        <v>100000</v>
      </c>
      <c r="I927" s="213" t="b">
        <v>0</v>
      </c>
      <c r="J927" s="213" t="b">
        <v>0</v>
      </c>
      <c r="K927" s="213" t="b">
        <v>0</v>
      </c>
    </row>
    <row r="928" spans="1:11" ht="25.5" hidden="1">
      <c r="A928" s="9">
        <v>2016</v>
      </c>
      <c r="B928" s="6" t="s">
        <v>3734</v>
      </c>
      <c r="C928" s="6" t="s">
        <v>61</v>
      </c>
      <c r="D928" s="6" t="s">
        <v>3092</v>
      </c>
      <c r="E928" s="6"/>
      <c r="F928" s="6" t="s">
        <v>3735</v>
      </c>
      <c r="G928" s="6" t="s">
        <v>3333</v>
      </c>
      <c r="H928" s="121">
        <v>432150</v>
      </c>
      <c r="I928" s="213" t="b">
        <v>0</v>
      </c>
      <c r="J928" s="213" t="b">
        <v>0</v>
      </c>
      <c r="K928" s="213" t="b">
        <v>0</v>
      </c>
    </row>
    <row r="929" spans="1:11" ht="25.5" hidden="1">
      <c r="A929" s="9">
        <v>2016</v>
      </c>
      <c r="B929" s="6" t="s">
        <v>3736</v>
      </c>
      <c r="C929" s="6" t="s">
        <v>61</v>
      </c>
      <c r="D929" s="6" t="s">
        <v>1262</v>
      </c>
      <c r="E929" s="6"/>
      <c r="F929" s="6" t="s">
        <v>3737</v>
      </c>
      <c r="G929" s="6" t="s">
        <v>3738</v>
      </c>
      <c r="H929" s="121">
        <v>726800</v>
      </c>
      <c r="I929" s="213" t="b">
        <v>0</v>
      </c>
      <c r="J929" s="213" t="b">
        <v>0</v>
      </c>
      <c r="K929" s="213" t="b">
        <v>0</v>
      </c>
    </row>
    <row r="930" spans="1:11" ht="51" hidden="1">
      <c r="A930" s="9">
        <v>2016</v>
      </c>
      <c r="B930" s="6" t="s">
        <v>3740</v>
      </c>
      <c r="C930" s="6" t="s">
        <v>61</v>
      </c>
      <c r="D930" s="6" t="s">
        <v>3168</v>
      </c>
      <c r="E930" s="6"/>
      <c r="F930" s="6" t="s">
        <v>3741</v>
      </c>
      <c r="G930" s="6" t="s">
        <v>1556</v>
      </c>
      <c r="H930" s="121">
        <v>394000</v>
      </c>
      <c r="I930" s="213" t="b">
        <v>0</v>
      </c>
      <c r="J930" s="213" t="b">
        <v>0</v>
      </c>
      <c r="K930" s="213" t="b">
        <v>0</v>
      </c>
    </row>
    <row r="931" spans="1:11" ht="38.25" hidden="1">
      <c r="A931" s="9">
        <v>2016</v>
      </c>
      <c r="B931" s="6" t="s">
        <v>3742</v>
      </c>
      <c r="C931" s="6" t="s">
        <v>3743</v>
      </c>
      <c r="D931" s="9" t="s">
        <v>62</v>
      </c>
      <c r="E931" s="6"/>
      <c r="F931" s="6" t="s">
        <v>3744</v>
      </c>
      <c r="G931" s="6" t="s">
        <v>3745</v>
      </c>
      <c r="H931" s="121"/>
      <c r="I931" s="213" t="b">
        <v>0</v>
      </c>
      <c r="J931" s="213" t="b">
        <v>0</v>
      </c>
      <c r="K931" s="213" t="b">
        <v>0</v>
      </c>
    </row>
    <row r="932" spans="1:11" ht="25.5" hidden="1">
      <c r="A932" s="9">
        <v>2016</v>
      </c>
      <c r="B932" s="6" t="s">
        <v>3747</v>
      </c>
      <c r="C932" s="6"/>
      <c r="D932" s="6" t="s">
        <v>3155</v>
      </c>
      <c r="E932" s="6"/>
      <c r="F932" s="6" t="s">
        <v>3748</v>
      </c>
      <c r="G932" s="6" t="s">
        <v>1556</v>
      </c>
      <c r="H932" s="121">
        <v>1200000</v>
      </c>
      <c r="I932" s="213" t="b">
        <v>0</v>
      </c>
      <c r="J932" s="213" t="b">
        <v>0</v>
      </c>
      <c r="K932" s="213" t="b">
        <v>0</v>
      </c>
    </row>
    <row r="933" spans="1:11" ht="51">
      <c r="A933" s="9">
        <v>2016</v>
      </c>
      <c r="B933" s="6" t="s">
        <v>3749</v>
      </c>
      <c r="C933" s="6" t="s">
        <v>61</v>
      </c>
      <c r="D933" s="9" t="s">
        <v>62</v>
      </c>
      <c r="E933" s="6"/>
      <c r="F933" s="6" t="s">
        <v>3750</v>
      </c>
      <c r="G933" s="6" t="s">
        <v>3751</v>
      </c>
      <c r="H933" s="121">
        <v>1986200</v>
      </c>
      <c r="I933" s="213" t="b">
        <v>0</v>
      </c>
      <c r="J933" s="213"/>
      <c r="K933" s="213"/>
    </row>
    <row r="934" spans="1:11" ht="51">
      <c r="A934" s="9">
        <v>2016</v>
      </c>
      <c r="B934" s="6" t="s">
        <v>3753</v>
      </c>
      <c r="C934" s="6" t="s">
        <v>61</v>
      </c>
      <c r="D934" s="9" t="s">
        <v>62</v>
      </c>
      <c r="E934" s="6"/>
      <c r="F934" s="6" t="s">
        <v>3754</v>
      </c>
      <c r="G934" s="6" t="s">
        <v>5599</v>
      </c>
      <c r="H934" s="121">
        <v>1923000</v>
      </c>
      <c r="I934" s="213" t="b">
        <v>0</v>
      </c>
      <c r="J934" s="213"/>
      <c r="K934" s="213"/>
    </row>
    <row r="935" spans="1:11" ht="25.5" hidden="1">
      <c r="A935" s="9">
        <v>2016</v>
      </c>
      <c r="B935" s="6" t="s">
        <v>3759</v>
      </c>
      <c r="C935" s="6" t="s">
        <v>61</v>
      </c>
      <c r="D935" s="6" t="s">
        <v>3155</v>
      </c>
      <c r="E935" s="6"/>
      <c r="F935" s="6" t="s">
        <v>3760</v>
      </c>
      <c r="G935" s="6" t="s">
        <v>1556</v>
      </c>
      <c r="H935" s="121">
        <v>3000000</v>
      </c>
      <c r="I935" s="213" t="b">
        <v>0</v>
      </c>
      <c r="J935" s="213" t="b">
        <v>0</v>
      </c>
      <c r="K935" s="213" t="b">
        <v>0</v>
      </c>
    </row>
    <row r="936" spans="1:11" ht="38.25">
      <c r="A936" s="9">
        <v>2016</v>
      </c>
      <c r="B936" s="6" t="s">
        <v>3761</v>
      </c>
      <c r="C936" s="6" t="s">
        <v>61</v>
      </c>
      <c r="D936" s="9" t="s">
        <v>62</v>
      </c>
      <c r="E936" s="6"/>
      <c r="F936" s="6" t="s">
        <v>3433</v>
      </c>
      <c r="G936" s="6" t="s">
        <v>3762</v>
      </c>
      <c r="H936" s="121">
        <v>793460</v>
      </c>
      <c r="I936" s="213" t="b">
        <v>0</v>
      </c>
      <c r="J936" s="213"/>
      <c r="K936" s="213"/>
    </row>
    <row r="937" spans="1:11" ht="38.25" hidden="1">
      <c r="A937" s="9">
        <v>2016</v>
      </c>
      <c r="B937" s="6" t="s">
        <v>3764</v>
      </c>
      <c r="C937" s="6" t="s">
        <v>61</v>
      </c>
      <c r="D937" s="6" t="s">
        <v>2834</v>
      </c>
      <c r="E937" s="6"/>
      <c r="F937" s="6" t="s">
        <v>3765</v>
      </c>
      <c r="G937" s="6" t="s">
        <v>3631</v>
      </c>
      <c r="H937" s="121">
        <v>165000</v>
      </c>
      <c r="I937" s="213" t="b">
        <v>0</v>
      </c>
      <c r="J937" s="213" t="b">
        <v>0</v>
      </c>
      <c r="K937" s="213" t="b">
        <v>0</v>
      </c>
    </row>
    <row r="938" spans="1:11" ht="38.25" hidden="1">
      <c r="A938" s="9">
        <v>2016</v>
      </c>
      <c r="B938" s="6" t="s">
        <v>3766</v>
      </c>
      <c r="C938" s="6" t="s">
        <v>61</v>
      </c>
      <c r="D938" s="6" t="s">
        <v>3168</v>
      </c>
      <c r="E938" s="6"/>
      <c r="F938" s="6" t="s">
        <v>3767</v>
      </c>
      <c r="G938" s="6" t="s">
        <v>3064</v>
      </c>
      <c r="H938" s="121">
        <v>200000</v>
      </c>
      <c r="I938" s="213" t="b">
        <v>0</v>
      </c>
      <c r="J938" s="213" t="b">
        <v>0</v>
      </c>
      <c r="K938" s="213" t="b">
        <v>0</v>
      </c>
    </row>
    <row r="939" spans="1:11" ht="63.75" hidden="1">
      <c r="A939" s="9">
        <v>2016</v>
      </c>
      <c r="B939" s="6" t="s">
        <v>3769</v>
      </c>
      <c r="C939" s="6" t="s">
        <v>2328</v>
      </c>
      <c r="D939" s="6" t="s">
        <v>2724</v>
      </c>
      <c r="E939" s="6"/>
      <c r="F939" s="6" t="s">
        <v>3770</v>
      </c>
      <c r="G939" s="6" t="s">
        <v>3771</v>
      </c>
      <c r="H939" s="121">
        <v>78200</v>
      </c>
      <c r="I939" s="213" t="b">
        <v>0</v>
      </c>
      <c r="J939" s="213" t="b">
        <v>0</v>
      </c>
      <c r="K939" s="213" t="b">
        <v>0</v>
      </c>
    </row>
    <row r="940" spans="1:11" ht="38.25" hidden="1">
      <c r="A940" s="9">
        <v>2016</v>
      </c>
      <c r="B940" s="6" t="s">
        <v>3773</v>
      </c>
      <c r="C940" s="6" t="s">
        <v>2328</v>
      </c>
      <c r="D940" s="9" t="s">
        <v>62</v>
      </c>
      <c r="E940" s="6"/>
      <c r="F940" s="6" t="s">
        <v>3774</v>
      </c>
      <c r="G940" s="6" t="s">
        <v>3775</v>
      </c>
      <c r="H940" s="121">
        <v>522500</v>
      </c>
      <c r="I940" s="213" t="b">
        <v>0</v>
      </c>
      <c r="J940" s="213" t="b">
        <v>0</v>
      </c>
      <c r="K940" s="213" t="b">
        <v>0</v>
      </c>
    </row>
    <row r="941" spans="1:11" ht="38.25" hidden="1">
      <c r="A941" s="9">
        <v>2016</v>
      </c>
      <c r="B941" s="6" t="s">
        <v>3777</v>
      </c>
      <c r="C941" s="6" t="s">
        <v>2328</v>
      </c>
      <c r="D941" s="6" t="s">
        <v>3109</v>
      </c>
      <c r="E941" s="6"/>
      <c r="F941" s="6" t="s">
        <v>3778</v>
      </c>
      <c r="G941" s="6" t="s">
        <v>3779</v>
      </c>
      <c r="H941" s="121">
        <v>70625</v>
      </c>
      <c r="I941" s="213" t="b">
        <v>0</v>
      </c>
      <c r="J941" s="213" t="b">
        <v>0</v>
      </c>
      <c r="K941" s="213" t="b">
        <v>0</v>
      </c>
    </row>
    <row r="942" spans="1:11" ht="38.25" hidden="1">
      <c r="A942" s="9">
        <v>2016</v>
      </c>
      <c r="B942" s="6" t="s">
        <v>3782</v>
      </c>
      <c r="C942" s="6" t="s">
        <v>2328</v>
      </c>
      <c r="D942" s="9" t="s">
        <v>62</v>
      </c>
      <c r="E942" s="6"/>
      <c r="F942" s="6" t="s">
        <v>3784</v>
      </c>
      <c r="G942" s="6" t="s">
        <v>3785</v>
      </c>
      <c r="H942" s="121" t="s">
        <v>3783</v>
      </c>
      <c r="I942" s="213" t="b">
        <v>0</v>
      </c>
      <c r="J942" s="213" t="b">
        <v>0</v>
      </c>
      <c r="K942" s="213" t="b">
        <v>0</v>
      </c>
    </row>
    <row r="943" spans="1:11" ht="38.25" hidden="1">
      <c r="A943" s="9">
        <v>2016</v>
      </c>
      <c r="B943" s="6" t="s">
        <v>3787</v>
      </c>
      <c r="C943" s="6" t="s">
        <v>2328</v>
      </c>
      <c r="D943" s="9" t="s">
        <v>62</v>
      </c>
      <c r="E943" s="6"/>
      <c r="F943" s="6" t="s">
        <v>3774</v>
      </c>
      <c r="G943" s="6" t="s">
        <v>3788</v>
      </c>
      <c r="H943" s="121">
        <v>650000</v>
      </c>
      <c r="I943" s="213" t="b">
        <v>0</v>
      </c>
      <c r="J943" s="213" t="b">
        <v>0</v>
      </c>
      <c r="K943" s="213" t="b">
        <v>0</v>
      </c>
    </row>
    <row r="944" spans="1:11" ht="38.25" hidden="1">
      <c r="A944" s="9">
        <v>2016</v>
      </c>
      <c r="B944" s="6" t="s">
        <v>3790</v>
      </c>
      <c r="C944" s="6" t="s">
        <v>2328</v>
      </c>
      <c r="D944" s="6" t="s">
        <v>3791</v>
      </c>
      <c r="E944" s="6"/>
      <c r="F944" s="6" t="s">
        <v>3792</v>
      </c>
      <c r="G944" s="6" t="s">
        <v>3793</v>
      </c>
      <c r="H944" s="121">
        <v>143175</v>
      </c>
      <c r="I944" s="213" t="b">
        <v>0</v>
      </c>
      <c r="J944" s="213" t="b">
        <v>0</v>
      </c>
      <c r="K944" s="213" t="b">
        <v>0</v>
      </c>
    </row>
    <row r="945" spans="1:11" ht="25.5" hidden="1">
      <c r="A945" s="9">
        <v>2016</v>
      </c>
      <c r="B945" s="6" t="s">
        <v>3795</v>
      </c>
      <c r="C945" s="6" t="s">
        <v>2328</v>
      </c>
      <c r="D945" s="6" t="s">
        <v>2724</v>
      </c>
      <c r="E945" s="6"/>
      <c r="F945" s="6" t="s">
        <v>3796</v>
      </c>
      <c r="G945" s="6" t="s">
        <v>3797</v>
      </c>
      <c r="H945" s="121">
        <v>515560</v>
      </c>
      <c r="I945" s="213" t="b">
        <v>0</v>
      </c>
      <c r="J945" s="213" t="b">
        <v>0</v>
      </c>
      <c r="K945" s="213" t="b">
        <v>0</v>
      </c>
    </row>
    <row r="946" spans="1:11" ht="25.5" hidden="1">
      <c r="A946" s="9">
        <v>2016</v>
      </c>
      <c r="B946" s="6" t="s">
        <v>3799</v>
      </c>
      <c r="C946" s="6" t="s">
        <v>3096</v>
      </c>
      <c r="D946" s="6" t="s">
        <v>2724</v>
      </c>
      <c r="E946" s="6"/>
      <c r="F946" s="6" t="s">
        <v>3800</v>
      </c>
      <c r="G946" s="6" t="s">
        <v>3801</v>
      </c>
      <c r="H946" s="121">
        <v>2000000</v>
      </c>
      <c r="I946" s="213" t="b">
        <v>0</v>
      </c>
      <c r="J946" s="213" t="b">
        <v>0</v>
      </c>
      <c r="K946" s="213" t="b">
        <v>0</v>
      </c>
    </row>
    <row r="947" spans="1:11" ht="38.25">
      <c r="A947" s="9">
        <v>2016</v>
      </c>
      <c r="B947" s="6" t="s">
        <v>3802</v>
      </c>
      <c r="C947" s="6" t="s">
        <v>61</v>
      </c>
      <c r="D947" s="9" t="s">
        <v>62</v>
      </c>
      <c r="E947" s="6"/>
      <c r="F947" s="6" t="s">
        <v>5396</v>
      </c>
      <c r="G947" s="6" t="s">
        <v>3804</v>
      </c>
      <c r="H947" s="121">
        <v>6232775</v>
      </c>
      <c r="I947" s="213" t="b">
        <v>0</v>
      </c>
      <c r="J947" s="213"/>
      <c r="K947" s="213"/>
    </row>
    <row r="948" spans="1:11" ht="38.25">
      <c r="A948" s="9">
        <v>2016</v>
      </c>
      <c r="B948" s="6" t="s">
        <v>3806</v>
      </c>
      <c r="C948" s="6" t="s">
        <v>61</v>
      </c>
      <c r="D948" s="9" t="s">
        <v>62</v>
      </c>
      <c r="E948" s="6"/>
      <c r="F948" s="6" t="s">
        <v>3807</v>
      </c>
      <c r="G948" s="6" t="s">
        <v>3808</v>
      </c>
      <c r="H948" s="121">
        <v>1297977.67</v>
      </c>
      <c r="I948" s="213" t="b">
        <v>0</v>
      </c>
      <c r="J948" s="213"/>
      <c r="K948" s="213"/>
    </row>
    <row r="949" spans="1:11" ht="51">
      <c r="A949" s="9">
        <v>2016</v>
      </c>
      <c r="B949" s="6" t="s">
        <v>3809</v>
      </c>
      <c r="C949" s="6" t="s">
        <v>61</v>
      </c>
      <c r="D949" s="9" t="s">
        <v>62</v>
      </c>
      <c r="E949" s="6"/>
      <c r="F949" s="6" t="s">
        <v>3810</v>
      </c>
      <c r="G949" s="6" t="s">
        <v>3811</v>
      </c>
      <c r="H949" s="121">
        <v>1036115.4</v>
      </c>
      <c r="I949" s="213" t="b">
        <v>0</v>
      </c>
      <c r="J949" s="213"/>
      <c r="K949" s="213"/>
    </row>
    <row r="950" spans="1:11" ht="76.5" hidden="1">
      <c r="A950" s="9">
        <v>2016</v>
      </c>
      <c r="B950" s="6" t="s">
        <v>3817</v>
      </c>
      <c r="C950" s="6" t="s">
        <v>61</v>
      </c>
      <c r="D950" s="6" t="s">
        <v>3168</v>
      </c>
      <c r="E950" s="6"/>
      <c r="F950" s="6" t="s">
        <v>3818</v>
      </c>
      <c r="G950" s="6" t="s">
        <v>3819</v>
      </c>
      <c r="H950" s="121">
        <v>50000</v>
      </c>
      <c r="I950" s="213" t="b">
        <v>0</v>
      </c>
      <c r="J950" s="213" t="b">
        <v>0</v>
      </c>
      <c r="K950" s="213" t="b">
        <v>0</v>
      </c>
    </row>
    <row r="951" spans="1:11" ht="25.5" hidden="1">
      <c r="A951" s="9">
        <v>2016</v>
      </c>
      <c r="B951" s="258" t="s">
        <v>3826</v>
      </c>
      <c r="C951" s="258"/>
      <c r="D951" s="258" t="s">
        <v>3827</v>
      </c>
      <c r="E951" s="258"/>
      <c r="F951" s="258" t="s">
        <v>3827</v>
      </c>
      <c r="G951" s="258" t="s">
        <v>3827</v>
      </c>
      <c r="H951" s="259" t="s">
        <v>3827</v>
      </c>
      <c r="I951" s="213" t="b">
        <v>0</v>
      </c>
      <c r="J951" s="213" t="b">
        <v>0</v>
      </c>
      <c r="K951" s="213" t="b">
        <v>0</v>
      </c>
    </row>
    <row r="952" spans="1:11" ht="25.5" hidden="1">
      <c r="A952" s="9">
        <v>2016</v>
      </c>
      <c r="B952" s="6" t="s">
        <v>3828</v>
      </c>
      <c r="C952" s="6" t="s">
        <v>61</v>
      </c>
      <c r="D952" s="6" t="s">
        <v>3168</v>
      </c>
      <c r="E952" s="6"/>
      <c r="F952" s="6" t="s">
        <v>3829</v>
      </c>
      <c r="G952" s="6" t="s">
        <v>3830</v>
      </c>
      <c r="H952" s="121">
        <v>60000</v>
      </c>
      <c r="I952" s="213" t="b">
        <v>0</v>
      </c>
      <c r="J952" s="213" t="b">
        <v>0</v>
      </c>
      <c r="K952" s="213" t="b">
        <v>0</v>
      </c>
    </row>
    <row r="953" spans="1:11" ht="25.5" hidden="1">
      <c r="A953" s="9">
        <v>2016</v>
      </c>
      <c r="B953" s="6" t="s">
        <v>3833</v>
      </c>
      <c r="C953" s="6" t="s">
        <v>61</v>
      </c>
      <c r="D953" s="6" t="s">
        <v>394</v>
      </c>
      <c r="E953" s="6"/>
      <c r="F953" s="6" t="s">
        <v>3834</v>
      </c>
      <c r="G953" s="6" t="s">
        <v>3835</v>
      </c>
      <c r="H953" s="121">
        <v>55000</v>
      </c>
      <c r="I953" s="213" t="b">
        <v>0</v>
      </c>
      <c r="J953" s="213" t="b">
        <v>0</v>
      </c>
      <c r="K953" s="213" t="b">
        <v>0</v>
      </c>
    </row>
    <row r="954" spans="1:11" ht="76.5" hidden="1">
      <c r="A954" s="9">
        <v>2016</v>
      </c>
      <c r="B954" s="6" t="s">
        <v>3838</v>
      </c>
      <c r="C954" s="6" t="s">
        <v>61</v>
      </c>
      <c r="D954" s="6" t="s">
        <v>3168</v>
      </c>
      <c r="E954" s="6"/>
      <c r="F954" s="6" t="s">
        <v>3839</v>
      </c>
      <c r="G954" s="6" t="s">
        <v>3840</v>
      </c>
      <c r="H954" s="121">
        <v>100000</v>
      </c>
      <c r="I954" s="213" t="b">
        <v>0</v>
      </c>
      <c r="J954" s="213" t="b">
        <v>0</v>
      </c>
      <c r="K954" s="213" t="b">
        <v>0</v>
      </c>
    </row>
    <row r="955" spans="1:11" ht="25.5" hidden="1">
      <c r="A955" s="9">
        <v>2016</v>
      </c>
      <c r="B955" s="6" t="s">
        <v>3843</v>
      </c>
      <c r="C955" s="6" t="s">
        <v>61</v>
      </c>
      <c r="D955" s="6" t="s">
        <v>586</v>
      </c>
      <c r="E955" s="6"/>
      <c r="F955" s="6" t="s">
        <v>3844</v>
      </c>
      <c r="G955" s="6" t="s">
        <v>3845</v>
      </c>
      <c r="H955" s="121">
        <v>15950</v>
      </c>
      <c r="I955" s="213" t="b">
        <v>0</v>
      </c>
      <c r="J955" s="213" t="b">
        <v>0</v>
      </c>
      <c r="K955" s="213" t="b">
        <v>0</v>
      </c>
    </row>
    <row r="956" spans="1:11" ht="63.75" hidden="1">
      <c r="A956" s="9">
        <v>2016</v>
      </c>
      <c r="B956" s="6" t="s">
        <v>3848</v>
      </c>
      <c r="C956" s="6" t="s">
        <v>61</v>
      </c>
      <c r="D956" s="6" t="s">
        <v>3168</v>
      </c>
      <c r="E956" s="6"/>
      <c r="F956" s="6" t="s">
        <v>3849</v>
      </c>
      <c r="G956" s="6" t="s">
        <v>3850</v>
      </c>
      <c r="H956" s="121">
        <v>100000</v>
      </c>
      <c r="I956" s="213" t="b">
        <v>0</v>
      </c>
      <c r="J956" s="213" t="b">
        <v>0</v>
      </c>
      <c r="K956" s="213" t="b">
        <v>0</v>
      </c>
    </row>
    <row r="957" spans="1:11" ht="51" hidden="1">
      <c r="A957" s="9">
        <v>2016</v>
      </c>
      <c r="B957" s="6" t="s">
        <v>3853</v>
      </c>
      <c r="C957" s="6" t="s">
        <v>61</v>
      </c>
      <c r="D957" s="6" t="s">
        <v>394</v>
      </c>
      <c r="E957" s="6"/>
      <c r="F957" s="6" t="s">
        <v>3419</v>
      </c>
      <c r="G957" s="6" t="s">
        <v>3854</v>
      </c>
      <c r="H957" s="121">
        <v>58000</v>
      </c>
      <c r="I957" s="213" t="b">
        <v>0</v>
      </c>
      <c r="J957" s="213" t="b">
        <v>0</v>
      </c>
      <c r="K957" s="213" t="b">
        <v>0</v>
      </c>
    </row>
    <row r="958" spans="1:11" ht="51" hidden="1">
      <c r="A958" s="9">
        <v>2016</v>
      </c>
      <c r="B958" s="6" t="s">
        <v>3857</v>
      </c>
      <c r="C958" s="6" t="s">
        <v>61</v>
      </c>
      <c r="D958" s="6" t="s">
        <v>2834</v>
      </c>
      <c r="E958" s="6"/>
      <c r="F958" s="6" t="s">
        <v>3858</v>
      </c>
      <c r="G958" s="6" t="s">
        <v>3859</v>
      </c>
      <c r="H958" s="121">
        <v>90015.75</v>
      </c>
      <c r="I958" s="213" t="b">
        <v>0</v>
      </c>
      <c r="J958" s="213" t="b">
        <v>0</v>
      </c>
      <c r="K958" s="213" t="b">
        <v>0</v>
      </c>
    </row>
    <row r="959" spans="1:11" ht="63.75" hidden="1">
      <c r="A959" s="9">
        <v>2016</v>
      </c>
      <c r="B959" s="6" t="s">
        <v>3862</v>
      </c>
      <c r="C959" s="6" t="s">
        <v>61</v>
      </c>
      <c r="D959" s="6" t="s">
        <v>2834</v>
      </c>
      <c r="E959" s="6"/>
      <c r="F959" s="6" t="s">
        <v>3863</v>
      </c>
      <c r="G959" s="6" t="s">
        <v>3859</v>
      </c>
      <c r="H959" s="121">
        <v>94505</v>
      </c>
      <c r="I959" s="213" t="b">
        <v>0</v>
      </c>
      <c r="J959" s="213" t="b">
        <v>0</v>
      </c>
      <c r="K959" s="213" t="b">
        <v>0</v>
      </c>
    </row>
    <row r="960" spans="1:11" ht="51" hidden="1">
      <c r="A960" s="9">
        <v>2016</v>
      </c>
      <c r="B960" s="6" t="s">
        <v>3865</v>
      </c>
      <c r="C960" s="6" t="s">
        <v>61</v>
      </c>
      <c r="D960" s="6" t="s">
        <v>2834</v>
      </c>
      <c r="E960" s="6"/>
      <c r="F960" s="6" t="s">
        <v>3866</v>
      </c>
      <c r="G960" s="6" t="s">
        <v>3867</v>
      </c>
      <c r="H960" s="121">
        <v>98105</v>
      </c>
      <c r="I960" s="213" t="b">
        <v>0</v>
      </c>
      <c r="J960" s="213" t="b">
        <v>0</v>
      </c>
      <c r="K960" s="213" t="b">
        <v>0</v>
      </c>
    </row>
    <row r="961" spans="1:11" ht="38.25" hidden="1">
      <c r="A961" s="9">
        <v>2016</v>
      </c>
      <c r="B961" s="6" t="s">
        <v>3869</v>
      </c>
      <c r="C961" s="6" t="s">
        <v>61</v>
      </c>
      <c r="D961" s="6" t="s">
        <v>394</v>
      </c>
      <c r="E961" s="6"/>
      <c r="F961" s="6" t="s">
        <v>3870</v>
      </c>
      <c r="G961" s="6" t="s">
        <v>3871</v>
      </c>
      <c r="H961" s="121">
        <v>46000</v>
      </c>
      <c r="I961" s="213" t="b">
        <v>0</v>
      </c>
      <c r="J961" s="213" t="b">
        <v>0</v>
      </c>
      <c r="K961" s="213" t="b">
        <v>0</v>
      </c>
    </row>
    <row r="962" spans="1:11" ht="25.5" hidden="1">
      <c r="A962" s="9">
        <v>2016</v>
      </c>
      <c r="B962" s="6" t="s">
        <v>3874</v>
      </c>
      <c r="C962" s="6" t="s">
        <v>61</v>
      </c>
      <c r="D962" s="6" t="s">
        <v>3168</v>
      </c>
      <c r="E962" s="6"/>
      <c r="F962" s="6" t="s">
        <v>3875</v>
      </c>
      <c r="G962" s="6" t="s">
        <v>3876</v>
      </c>
      <c r="H962" s="121">
        <v>99000</v>
      </c>
      <c r="I962" s="213" t="b">
        <v>0</v>
      </c>
      <c r="J962" s="213" t="b">
        <v>0</v>
      </c>
      <c r="K962" s="213" t="b">
        <v>0</v>
      </c>
    </row>
    <row r="963" spans="1:11" ht="38.25" hidden="1">
      <c r="A963" s="9">
        <v>2016</v>
      </c>
      <c r="B963" s="6" t="s">
        <v>3879</v>
      </c>
      <c r="C963" s="6" t="s">
        <v>61</v>
      </c>
      <c r="D963" s="6" t="s">
        <v>1763</v>
      </c>
      <c r="E963" s="6"/>
      <c r="F963" s="6" t="s">
        <v>3880</v>
      </c>
      <c r="G963" s="6" t="s">
        <v>3881</v>
      </c>
      <c r="H963" s="121">
        <v>18400</v>
      </c>
      <c r="I963" s="213" t="b">
        <v>0</v>
      </c>
      <c r="J963" s="213" t="b">
        <v>0</v>
      </c>
      <c r="K963" s="213" t="b">
        <v>0</v>
      </c>
    </row>
    <row r="964" spans="1:11" ht="76.5" hidden="1">
      <c r="A964" s="9">
        <v>2016</v>
      </c>
      <c r="B964" s="6" t="s">
        <v>3884</v>
      </c>
      <c r="C964" s="6" t="s">
        <v>61</v>
      </c>
      <c r="D964" s="6" t="s">
        <v>1763</v>
      </c>
      <c r="E964" s="6"/>
      <c r="F964" s="6" t="s">
        <v>3885</v>
      </c>
      <c r="G964" s="6" t="s">
        <v>3886</v>
      </c>
      <c r="H964" s="121">
        <v>78000</v>
      </c>
      <c r="I964" s="213" t="b">
        <v>0</v>
      </c>
      <c r="J964" s="213" t="b">
        <v>0</v>
      </c>
      <c r="K964" s="213" t="b">
        <v>0</v>
      </c>
    </row>
    <row r="965" spans="1:11" ht="51" hidden="1">
      <c r="A965" s="9">
        <v>2016</v>
      </c>
      <c r="B965" s="6" t="s">
        <v>3893</v>
      </c>
      <c r="C965" s="6" t="s">
        <v>61</v>
      </c>
      <c r="D965" s="6" t="s">
        <v>1763</v>
      </c>
      <c r="E965" s="6"/>
      <c r="F965" s="6" t="s">
        <v>3894</v>
      </c>
      <c r="G965" s="6" t="s">
        <v>3895</v>
      </c>
      <c r="H965" s="121">
        <v>6900</v>
      </c>
      <c r="I965" s="213" t="b">
        <v>0</v>
      </c>
      <c r="J965" s="213" t="b">
        <v>0</v>
      </c>
      <c r="K965" s="213" t="b">
        <v>0</v>
      </c>
    </row>
    <row r="966" spans="1:11" ht="38.25" hidden="1">
      <c r="A966" s="9">
        <v>2016</v>
      </c>
      <c r="B966" s="6" t="s">
        <v>3897</v>
      </c>
      <c r="C966" s="6" t="s">
        <v>61</v>
      </c>
      <c r="D966" s="6" t="s">
        <v>3168</v>
      </c>
      <c r="E966" s="6"/>
      <c r="F966" s="6" t="s">
        <v>3898</v>
      </c>
      <c r="G966" s="6" t="s">
        <v>3899</v>
      </c>
      <c r="H966" s="121">
        <v>50000</v>
      </c>
      <c r="I966" s="213" t="b">
        <v>0</v>
      </c>
      <c r="J966" s="213" t="b">
        <v>0</v>
      </c>
      <c r="K966" s="213" t="b">
        <v>0</v>
      </c>
    </row>
    <row r="967" spans="1:11" ht="51" hidden="1">
      <c r="A967" s="9">
        <v>2016</v>
      </c>
      <c r="B967" s="6" t="s">
        <v>3901</v>
      </c>
      <c r="C967" s="6" t="s">
        <v>61</v>
      </c>
      <c r="D967" s="6" t="s">
        <v>3168</v>
      </c>
      <c r="E967" s="6"/>
      <c r="F967" s="6" t="s">
        <v>3902</v>
      </c>
      <c r="G967" s="6" t="s">
        <v>3903</v>
      </c>
      <c r="H967" s="121">
        <v>100000</v>
      </c>
      <c r="I967" s="213" t="b">
        <v>0</v>
      </c>
      <c r="J967" s="213" t="b">
        <v>0</v>
      </c>
      <c r="K967" s="213" t="b">
        <v>0</v>
      </c>
    </row>
    <row r="968" spans="1:11" ht="25.5" hidden="1">
      <c r="A968" s="9">
        <v>2016</v>
      </c>
      <c r="B968" s="6" t="s">
        <v>3909</v>
      </c>
      <c r="C968" s="6" t="s">
        <v>61</v>
      </c>
      <c r="D968" s="6" t="s">
        <v>1763</v>
      </c>
      <c r="E968" s="6"/>
      <c r="F968" s="6" t="s">
        <v>3910</v>
      </c>
      <c r="G968" s="6" t="s">
        <v>811</v>
      </c>
      <c r="H968" s="121">
        <v>99000</v>
      </c>
      <c r="I968" s="213" t="b">
        <v>0</v>
      </c>
      <c r="J968" s="213" t="b">
        <v>0</v>
      </c>
      <c r="K968" s="213" t="b">
        <v>0</v>
      </c>
    </row>
    <row r="969" spans="1:11" ht="38.25" hidden="1">
      <c r="A969" s="9">
        <v>2016</v>
      </c>
      <c r="B969" s="6" t="s">
        <v>3912</v>
      </c>
      <c r="C969" s="6" t="s">
        <v>61</v>
      </c>
      <c r="D969" s="6" t="s">
        <v>394</v>
      </c>
      <c r="E969" s="6"/>
      <c r="F969" s="6" t="s">
        <v>3913</v>
      </c>
      <c r="G969" s="6" t="s">
        <v>840</v>
      </c>
      <c r="H969" s="121">
        <v>52000</v>
      </c>
      <c r="I969" s="213" t="b">
        <v>0</v>
      </c>
      <c r="J969" s="213" t="b">
        <v>0</v>
      </c>
      <c r="K969" s="213" t="b">
        <v>0</v>
      </c>
    </row>
    <row r="970" spans="1:11" ht="25.5" hidden="1">
      <c r="A970" s="9">
        <v>2016</v>
      </c>
      <c r="B970" s="6" t="s">
        <v>3915</v>
      </c>
      <c r="C970" s="6" t="s">
        <v>61</v>
      </c>
      <c r="D970" s="6" t="s">
        <v>1782</v>
      </c>
      <c r="E970" s="6"/>
      <c r="F970" s="6" t="s">
        <v>3916</v>
      </c>
      <c r="G970" s="6" t="s">
        <v>811</v>
      </c>
      <c r="H970" s="121">
        <v>43000</v>
      </c>
      <c r="I970" s="213" t="b">
        <v>0</v>
      </c>
      <c r="J970" s="213" t="b">
        <v>0</v>
      </c>
      <c r="K970" s="213" t="b">
        <v>0</v>
      </c>
    </row>
    <row r="971" spans="1:11" ht="25.5" hidden="1">
      <c r="A971" s="9">
        <v>2016</v>
      </c>
      <c r="B971" s="6" t="s">
        <v>3918</v>
      </c>
      <c r="C971" s="6" t="s">
        <v>61</v>
      </c>
      <c r="D971" s="6" t="s">
        <v>3168</v>
      </c>
      <c r="E971" s="6"/>
      <c r="F971" s="6" t="s">
        <v>3919</v>
      </c>
      <c r="G971" s="6" t="s">
        <v>3920</v>
      </c>
      <c r="H971" s="121">
        <v>100000</v>
      </c>
      <c r="I971" s="213" t="b">
        <v>0</v>
      </c>
      <c r="J971" s="213" t="b">
        <v>0</v>
      </c>
      <c r="K971" s="213" t="b">
        <v>0</v>
      </c>
    </row>
    <row r="972" spans="1:11" ht="25.5" hidden="1">
      <c r="A972" s="9">
        <v>2016</v>
      </c>
      <c r="B972" s="6" t="s">
        <v>3927</v>
      </c>
      <c r="C972" s="6" t="s">
        <v>61</v>
      </c>
      <c r="D972" s="6" t="s">
        <v>394</v>
      </c>
      <c r="E972" s="6"/>
      <c r="F972" s="6" t="s">
        <v>3928</v>
      </c>
      <c r="G972" s="6" t="s">
        <v>3929</v>
      </c>
      <c r="H972" s="121">
        <v>37400</v>
      </c>
      <c r="I972" s="213" t="b">
        <v>0</v>
      </c>
      <c r="J972" s="213" t="b">
        <v>0</v>
      </c>
      <c r="K972" s="213" t="b">
        <v>0</v>
      </c>
    </row>
    <row r="973" spans="1:11" ht="38.25" hidden="1">
      <c r="A973" s="9">
        <v>2016</v>
      </c>
      <c r="B973" s="6" t="s">
        <v>3932</v>
      </c>
      <c r="C973" s="6" t="s">
        <v>61</v>
      </c>
      <c r="D973" s="6" t="s">
        <v>394</v>
      </c>
      <c r="E973" s="6"/>
      <c r="F973" s="6" t="s">
        <v>3933</v>
      </c>
      <c r="G973" s="6" t="s">
        <v>3934</v>
      </c>
      <c r="H973" s="121">
        <v>46600</v>
      </c>
      <c r="I973" s="213" t="b">
        <v>0</v>
      </c>
      <c r="J973" s="213" t="b">
        <v>0</v>
      </c>
      <c r="K973" s="213" t="b">
        <v>0</v>
      </c>
    </row>
    <row r="974" spans="1:11" ht="25.5" hidden="1">
      <c r="A974" s="9">
        <v>2016</v>
      </c>
      <c r="B974" s="6" t="s">
        <v>3937</v>
      </c>
      <c r="C974" s="9" t="s">
        <v>61</v>
      </c>
      <c r="D974" s="6" t="s">
        <v>1141</v>
      </c>
      <c r="E974" s="6"/>
      <c r="F974" s="6" t="s">
        <v>3938</v>
      </c>
      <c r="G974" s="6" t="s">
        <v>3939</v>
      </c>
      <c r="H974" s="121">
        <v>88006.86</v>
      </c>
      <c r="I974" s="213" t="b">
        <v>0</v>
      </c>
      <c r="J974" s="213" t="b">
        <v>0</v>
      </c>
      <c r="K974" s="213" t="b">
        <v>0</v>
      </c>
    </row>
    <row r="975" spans="1:11" ht="25.5" hidden="1">
      <c r="A975" s="9">
        <v>2016</v>
      </c>
      <c r="B975" s="6" t="s">
        <v>3942</v>
      </c>
      <c r="C975" s="9" t="s">
        <v>61</v>
      </c>
      <c r="D975" s="6" t="s">
        <v>1141</v>
      </c>
      <c r="E975" s="6"/>
      <c r="F975" s="6" t="s">
        <v>3943</v>
      </c>
      <c r="G975" s="6" t="s">
        <v>3939</v>
      </c>
      <c r="H975" s="121">
        <v>39629.879999999997</v>
      </c>
      <c r="I975" s="213" t="b">
        <v>0</v>
      </c>
      <c r="J975" s="213" t="b">
        <v>0</v>
      </c>
      <c r="K975" s="213" t="b">
        <v>0</v>
      </c>
    </row>
    <row r="976" spans="1:11" ht="38.25" hidden="1">
      <c r="A976" s="9">
        <v>2016</v>
      </c>
      <c r="B976" s="6" t="s">
        <v>3945</v>
      </c>
      <c r="C976" s="6" t="s">
        <v>61</v>
      </c>
      <c r="D976" s="6" t="s">
        <v>394</v>
      </c>
      <c r="E976" s="6"/>
      <c r="F976" s="6" t="s">
        <v>3913</v>
      </c>
      <c r="G976" s="6" t="s">
        <v>840</v>
      </c>
      <c r="H976" s="121">
        <v>97500</v>
      </c>
      <c r="I976" s="213" t="b">
        <v>0</v>
      </c>
      <c r="J976" s="213" t="b">
        <v>0</v>
      </c>
      <c r="K976" s="213" t="b">
        <v>0</v>
      </c>
    </row>
    <row r="977" spans="1:11" ht="25.5" hidden="1">
      <c r="A977" s="9">
        <v>2016</v>
      </c>
      <c r="B977" s="6" t="s">
        <v>3947</v>
      </c>
      <c r="C977" s="6" t="s">
        <v>61</v>
      </c>
      <c r="D977" s="6" t="s">
        <v>586</v>
      </c>
      <c r="E977" s="6"/>
      <c r="F977" s="6" t="s">
        <v>3948</v>
      </c>
      <c r="G977" s="6" t="s">
        <v>3949</v>
      </c>
      <c r="H977" s="121">
        <v>12640</v>
      </c>
      <c r="I977" s="213" t="b">
        <v>0</v>
      </c>
      <c r="J977" s="213" t="b">
        <v>0</v>
      </c>
      <c r="K977" s="213" t="b">
        <v>0</v>
      </c>
    </row>
    <row r="978" spans="1:11" ht="25.5" hidden="1">
      <c r="A978" s="9">
        <v>2016</v>
      </c>
      <c r="B978" s="6" t="s">
        <v>3952</v>
      </c>
      <c r="C978" s="6" t="s">
        <v>61</v>
      </c>
      <c r="D978" s="6" t="s">
        <v>394</v>
      </c>
      <c r="E978" s="6"/>
      <c r="F978" s="6" t="s">
        <v>3928</v>
      </c>
      <c r="G978" s="6" t="s">
        <v>3953</v>
      </c>
      <c r="H978" s="121">
        <v>45800</v>
      </c>
      <c r="I978" s="213" t="b">
        <v>0</v>
      </c>
      <c r="J978" s="213" t="b">
        <v>0</v>
      </c>
      <c r="K978" s="213" t="b">
        <v>0</v>
      </c>
    </row>
    <row r="979" spans="1:11" ht="25.5" hidden="1">
      <c r="A979" s="9">
        <v>2016</v>
      </c>
      <c r="B979" s="6" t="s">
        <v>3956</v>
      </c>
      <c r="C979" s="9" t="s">
        <v>61</v>
      </c>
      <c r="D979" s="6" t="s">
        <v>1141</v>
      </c>
      <c r="E979" s="6"/>
      <c r="F979" s="6" t="s">
        <v>3957</v>
      </c>
      <c r="G979" s="6" t="s">
        <v>3939</v>
      </c>
      <c r="H979" s="121">
        <v>69273</v>
      </c>
      <c r="I979" s="213" t="b">
        <v>0</v>
      </c>
      <c r="J979" s="213" t="b">
        <v>0</v>
      </c>
      <c r="K979" s="213" t="b">
        <v>0</v>
      </c>
    </row>
    <row r="980" spans="1:11" ht="51" hidden="1">
      <c r="A980" s="9">
        <v>2016</v>
      </c>
      <c r="B980" s="6" t="s">
        <v>3959</v>
      </c>
      <c r="C980" s="6" t="s">
        <v>61</v>
      </c>
      <c r="D980" s="6" t="s">
        <v>2834</v>
      </c>
      <c r="E980" s="6"/>
      <c r="F980" s="6" t="s">
        <v>3960</v>
      </c>
      <c r="G980" s="6" t="s">
        <v>3961</v>
      </c>
      <c r="H980" s="121">
        <v>100000</v>
      </c>
      <c r="I980" s="213" t="b">
        <v>0</v>
      </c>
      <c r="J980" s="213" t="b">
        <v>0</v>
      </c>
      <c r="K980" s="213" t="b">
        <v>0</v>
      </c>
    </row>
    <row r="981" spans="1:11" ht="38.25" hidden="1">
      <c r="A981" s="9">
        <v>2016</v>
      </c>
      <c r="B981" s="6" t="s">
        <v>3963</v>
      </c>
      <c r="C981" s="6" t="s">
        <v>61</v>
      </c>
      <c r="D981" s="6" t="s">
        <v>394</v>
      </c>
      <c r="E981" s="6"/>
      <c r="F981" s="6" t="s">
        <v>3419</v>
      </c>
      <c r="G981" s="6" t="s">
        <v>3964</v>
      </c>
      <c r="H981" s="121">
        <v>67200</v>
      </c>
      <c r="I981" s="213" t="b">
        <v>0</v>
      </c>
      <c r="J981" s="213" t="b">
        <v>0</v>
      </c>
      <c r="K981" s="213" t="b">
        <v>0</v>
      </c>
    </row>
    <row r="982" spans="1:11" ht="38.25" hidden="1">
      <c r="A982" s="9">
        <v>2016</v>
      </c>
      <c r="B982" s="6" t="s">
        <v>3967</v>
      </c>
      <c r="C982" s="6" t="s">
        <v>61</v>
      </c>
      <c r="D982" s="6" t="s">
        <v>1763</v>
      </c>
      <c r="E982" s="6"/>
      <c r="F982" s="6" t="s">
        <v>3968</v>
      </c>
      <c r="G982" s="6" t="s">
        <v>3969</v>
      </c>
      <c r="H982" s="121">
        <v>68000</v>
      </c>
      <c r="I982" s="213" t="b">
        <v>0</v>
      </c>
      <c r="J982" s="213" t="b">
        <v>0</v>
      </c>
      <c r="K982" s="213" t="b">
        <v>0</v>
      </c>
    </row>
    <row r="983" spans="1:11" ht="38.25" hidden="1">
      <c r="A983" s="9">
        <v>2016</v>
      </c>
      <c r="B983" s="6" t="s">
        <v>3972</v>
      </c>
      <c r="C983" s="6" t="s">
        <v>61</v>
      </c>
      <c r="D983" s="6" t="s">
        <v>394</v>
      </c>
      <c r="E983" s="6"/>
      <c r="F983" s="6" t="s">
        <v>3973</v>
      </c>
      <c r="G983" s="6" t="s">
        <v>3974</v>
      </c>
      <c r="H983" s="121">
        <v>63800</v>
      </c>
      <c r="I983" s="213" t="b">
        <v>0</v>
      </c>
      <c r="J983" s="213" t="b">
        <v>0</v>
      </c>
      <c r="K983" s="213" t="b">
        <v>0</v>
      </c>
    </row>
    <row r="984" spans="1:11" ht="25.5" hidden="1">
      <c r="A984" s="9">
        <v>2016</v>
      </c>
      <c r="B984" s="6" t="s">
        <v>3976</v>
      </c>
      <c r="C984" s="9" t="s">
        <v>61</v>
      </c>
      <c r="D984" s="6" t="s">
        <v>1141</v>
      </c>
      <c r="E984" s="6"/>
      <c r="F984" s="6" t="s">
        <v>3977</v>
      </c>
      <c r="G984" s="6" t="s">
        <v>3939</v>
      </c>
      <c r="H984" s="121">
        <v>84114.45</v>
      </c>
      <c r="I984" s="213" t="b">
        <v>0</v>
      </c>
      <c r="J984" s="213" t="b">
        <v>0</v>
      </c>
      <c r="K984" s="213" t="b">
        <v>0</v>
      </c>
    </row>
    <row r="985" spans="1:11" ht="25.5" hidden="1">
      <c r="A985" s="9">
        <v>2016</v>
      </c>
      <c r="B985" s="6" t="s">
        <v>3979</v>
      </c>
      <c r="C985" s="6" t="s">
        <v>61</v>
      </c>
      <c r="D985" s="6" t="s">
        <v>394</v>
      </c>
      <c r="E985" s="6"/>
      <c r="F985" s="6" t="s">
        <v>3419</v>
      </c>
      <c r="G985" s="6" t="s">
        <v>3980</v>
      </c>
      <c r="H985" s="121">
        <v>68000</v>
      </c>
      <c r="I985" s="213" t="b">
        <v>0</v>
      </c>
      <c r="J985" s="213" t="b">
        <v>0</v>
      </c>
      <c r="K985" s="213" t="b">
        <v>0</v>
      </c>
    </row>
    <row r="986" spans="1:11" ht="38.25" hidden="1">
      <c r="A986" s="9">
        <v>2016</v>
      </c>
      <c r="B986" s="6" t="s">
        <v>3990</v>
      </c>
      <c r="C986" s="6" t="s">
        <v>61</v>
      </c>
      <c r="D986" s="6" t="s">
        <v>394</v>
      </c>
      <c r="E986" s="6"/>
      <c r="F986" s="6" t="s">
        <v>3991</v>
      </c>
      <c r="G986" s="6" t="s">
        <v>3987</v>
      </c>
      <c r="H986" s="121">
        <v>71800</v>
      </c>
      <c r="I986" s="213" t="b">
        <v>0</v>
      </c>
      <c r="J986" s="213" t="b">
        <v>0</v>
      </c>
      <c r="K986" s="213" t="b">
        <v>0</v>
      </c>
    </row>
    <row r="987" spans="1:11" ht="38.25" hidden="1">
      <c r="A987" s="9">
        <v>2016</v>
      </c>
      <c r="B987" s="6" t="s">
        <v>3992</v>
      </c>
      <c r="C987" s="6" t="s">
        <v>61</v>
      </c>
      <c r="D987" s="6" t="s">
        <v>3168</v>
      </c>
      <c r="E987" s="6"/>
      <c r="F987" s="6" t="s">
        <v>3993</v>
      </c>
      <c r="G987" s="6" t="s">
        <v>811</v>
      </c>
      <c r="H987" s="121">
        <v>100000</v>
      </c>
      <c r="I987" s="213" t="b">
        <v>0</v>
      </c>
      <c r="J987" s="213" t="b">
        <v>0</v>
      </c>
      <c r="K987" s="213" t="b">
        <v>0</v>
      </c>
    </row>
    <row r="988" spans="1:11" ht="63.75" hidden="1">
      <c r="A988" s="9">
        <v>2016</v>
      </c>
      <c r="B988" s="6" t="s">
        <v>3995</v>
      </c>
      <c r="C988" s="6" t="s">
        <v>61</v>
      </c>
      <c r="D988" s="6" t="s">
        <v>3168</v>
      </c>
      <c r="E988" s="6"/>
      <c r="F988" s="6" t="s">
        <v>3996</v>
      </c>
      <c r="G988" s="6" t="s">
        <v>3997</v>
      </c>
      <c r="H988" s="121">
        <v>50000</v>
      </c>
      <c r="I988" s="213" t="b">
        <v>0</v>
      </c>
      <c r="J988" s="213" t="b">
        <v>0</v>
      </c>
      <c r="K988" s="213" t="b">
        <v>0</v>
      </c>
    </row>
    <row r="989" spans="1:11" ht="25.5" hidden="1">
      <c r="A989" s="9">
        <v>2016</v>
      </c>
      <c r="B989" s="258" t="s">
        <v>3999</v>
      </c>
      <c r="C989" s="258"/>
      <c r="D989" s="258" t="s">
        <v>3827</v>
      </c>
      <c r="E989" s="258"/>
      <c r="F989" s="258" t="s">
        <v>3827</v>
      </c>
      <c r="G989" s="258" t="s">
        <v>3827</v>
      </c>
      <c r="H989" s="259" t="s">
        <v>3827</v>
      </c>
      <c r="I989" s="213" t="b">
        <v>0</v>
      </c>
      <c r="J989" s="213" t="b">
        <v>0</v>
      </c>
      <c r="K989" s="213" t="b">
        <v>0</v>
      </c>
    </row>
    <row r="990" spans="1:11" ht="38.25" hidden="1">
      <c r="A990" s="9">
        <v>2016</v>
      </c>
      <c r="B990" s="6" t="s">
        <v>4000</v>
      </c>
      <c r="C990" s="6" t="s">
        <v>61</v>
      </c>
      <c r="D990" s="6" t="s">
        <v>1763</v>
      </c>
      <c r="E990" s="6"/>
      <c r="F990" s="6" t="s">
        <v>4001</v>
      </c>
      <c r="G990" s="6" t="s">
        <v>4002</v>
      </c>
      <c r="H990" s="121">
        <v>10500</v>
      </c>
      <c r="I990" s="213" t="b">
        <v>0</v>
      </c>
      <c r="J990" s="213" t="b">
        <v>0</v>
      </c>
      <c r="K990" s="213" t="b">
        <v>0</v>
      </c>
    </row>
    <row r="991" spans="1:11" ht="25.5" hidden="1">
      <c r="A991" s="9">
        <v>2016</v>
      </c>
      <c r="B991" s="6" t="s">
        <v>4010</v>
      </c>
      <c r="C991" s="6" t="s">
        <v>61</v>
      </c>
      <c r="D991" s="6" t="s">
        <v>394</v>
      </c>
      <c r="E991" s="6"/>
      <c r="F991" s="6" t="s">
        <v>3391</v>
      </c>
      <c r="G991" s="6" t="s">
        <v>4011</v>
      </c>
      <c r="H991" s="121">
        <v>65200</v>
      </c>
      <c r="I991" s="213" t="b">
        <v>0</v>
      </c>
      <c r="J991" s="213" t="b">
        <v>0</v>
      </c>
      <c r="K991" s="213" t="b">
        <v>0</v>
      </c>
    </row>
    <row r="992" spans="1:11" ht="51" hidden="1">
      <c r="A992" s="9">
        <v>2016</v>
      </c>
      <c r="B992" s="6" t="s">
        <v>4014</v>
      </c>
      <c r="C992" s="6" t="s">
        <v>61</v>
      </c>
      <c r="D992" s="6" t="s">
        <v>2834</v>
      </c>
      <c r="E992" s="6"/>
      <c r="F992" s="6" t="s">
        <v>4015</v>
      </c>
      <c r="G992" s="6" t="s">
        <v>3859</v>
      </c>
      <c r="H992" s="121">
        <v>99998</v>
      </c>
      <c r="I992" s="213" t="b">
        <v>0</v>
      </c>
      <c r="J992" s="213" t="b">
        <v>0</v>
      </c>
      <c r="K992" s="213" t="b">
        <v>0</v>
      </c>
    </row>
    <row r="993" spans="1:11" ht="38.25" hidden="1">
      <c r="A993" s="9">
        <v>2016</v>
      </c>
      <c r="B993" s="6" t="s">
        <v>4023</v>
      </c>
      <c r="C993" s="6" t="s">
        <v>61</v>
      </c>
      <c r="D993" s="6" t="s">
        <v>394</v>
      </c>
      <c r="E993" s="6"/>
      <c r="F993" s="6" t="s">
        <v>3419</v>
      </c>
      <c r="G993" s="6" t="s">
        <v>4024</v>
      </c>
      <c r="H993" s="121">
        <v>62000</v>
      </c>
      <c r="I993" s="213" t="b">
        <v>0</v>
      </c>
      <c r="J993" s="213" t="b">
        <v>0</v>
      </c>
      <c r="K993" s="213" t="b">
        <v>0</v>
      </c>
    </row>
    <row r="994" spans="1:11" ht="38.25" hidden="1">
      <c r="A994" s="9">
        <v>2016</v>
      </c>
      <c r="B994" s="6" t="s">
        <v>4027</v>
      </c>
      <c r="C994" s="6" t="s">
        <v>61</v>
      </c>
      <c r="D994" s="6" t="s">
        <v>394</v>
      </c>
      <c r="E994" s="6"/>
      <c r="F994" s="6" t="s">
        <v>4028</v>
      </c>
      <c r="G994" s="6" t="s">
        <v>4029</v>
      </c>
      <c r="H994" s="121">
        <v>51000</v>
      </c>
      <c r="I994" s="213" t="b">
        <v>0</v>
      </c>
      <c r="J994" s="213" t="b">
        <v>0</v>
      </c>
      <c r="K994" s="213" t="b">
        <v>0</v>
      </c>
    </row>
    <row r="995" spans="1:11" ht="25.5" hidden="1">
      <c r="A995" s="9">
        <v>2016</v>
      </c>
      <c r="B995" s="6" t="s">
        <v>4032</v>
      </c>
      <c r="C995" s="6" t="s">
        <v>61</v>
      </c>
      <c r="D995" s="6" t="s">
        <v>394</v>
      </c>
      <c r="E995" s="6"/>
      <c r="F995" s="6" t="s">
        <v>3391</v>
      </c>
      <c r="G995" s="6" t="s">
        <v>4033</v>
      </c>
      <c r="H995" s="121">
        <v>58500</v>
      </c>
      <c r="I995" s="213" t="b">
        <v>0</v>
      </c>
      <c r="J995" s="213" t="b">
        <v>0</v>
      </c>
      <c r="K995" s="213" t="b">
        <v>0</v>
      </c>
    </row>
    <row r="996" spans="1:11" ht="51" hidden="1">
      <c r="A996" s="9">
        <v>2016</v>
      </c>
      <c r="B996" s="6" t="s">
        <v>4035</v>
      </c>
      <c r="C996" s="6" t="s">
        <v>61</v>
      </c>
      <c r="D996" s="6" t="s">
        <v>1763</v>
      </c>
      <c r="E996" s="6"/>
      <c r="F996" s="6" t="s">
        <v>4036</v>
      </c>
      <c r="G996" s="6" t="s">
        <v>4037</v>
      </c>
      <c r="H996" s="121">
        <v>50000</v>
      </c>
      <c r="I996" s="213" t="b">
        <v>0</v>
      </c>
      <c r="J996" s="213" t="b">
        <v>0</v>
      </c>
      <c r="K996" s="213" t="b">
        <v>0</v>
      </c>
    </row>
    <row r="997" spans="1:11" ht="38.25" hidden="1">
      <c r="A997" s="9">
        <v>2016</v>
      </c>
      <c r="B997" s="6" t="s">
        <v>4040</v>
      </c>
      <c r="C997" s="6" t="s">
        <v>61</v>
      </c>
      <c r="D997" s="6" t="s">
        <v>394</v>
      </c>
      <c r="E997" s="6"/>
      <c r="F997" s="6" t="s">
        <v>4041</v>
      </c>
      <c r="G997" s="6" t="s">
        <v>4042</v>
      </c>
      <c r="H997" s="121">
        <v>42000</v>
      </c>
      <c r="I997" s="213" t="b">
        <v>0</v>
      </c>
      <c r="J997" s="213" t="b">
        <v>0</v>
      </c>
      <c r="K997" s="213" t="b">
        <v>0</v>
      </c>
    </row>
    <row r="998" spans="1:11" ht="51" hidden="1">
      <c r="A998" s="9">
        <v>2016</v>
      </c>
      <c r="B998" s="6" t="s">
        <v>4044</v>
      </c>
      <c r="C998" s="6" t="s">
        <v>61</v>
      </c>
      <c r="D998" s="6" t="s">
        <v>394</v>
      </c>
      <c r="E998" s="6"/>
      <c r="F998" s="6" t="s">
        <v>4045</v>
      </c>
      <c r="G998" s="6" t="s">
        <v>4046</v>
      </c>
      <c r="H998" s="121">
        <v>32000</v>
      </c>
      <c r="I998" s="213" t="b">
        <v>0</v>
      </c>
      <c r="J998" s="213" t="b">
        <v>0</v>
      </c>
      <c r="K998" s="213" t="b">
        <v>0</v>
      </c>
    </row>
    <row r="999" spans="1:11" ht="25.5" hidden="1">
      <c r="A999" s="9">
        <v>2016</v>
      </c>
      <c r="B999" s="6" t="s">
        <v>4048</v>
      </c>
      <c r="C999" s="6" t="s">
        <v>61</v>
      </c>
      <c r="D999" s="6" t="s">
        <v>394</v>
      </c>
      <c r="E999" s="6"/>
      <c r="F999" s="6" t="s">
        <v>3419</v>
      </c>
      <c r="G999" s="6" t="s">
        <v>4049</v>
      </c>
      <c r="H999" s="121">
        <v>38000</v>
      </c>
      <c r="I999" s="213" t="b">
        <v>0</v>
      </c>
      <c r="J999" s="213" t="b">
        <v>0</v>
      </c>
      <c r="K999" s="213" t="b">
        <v>0</v>
      </c>
    </row>
    <row r="1000" spans="1:11" ht="38.25" hidden="1">
      <c r="A1000" s="9">
        <v>2016</v>
      </c>
      <c r="B1000" s="6" t="s">
        <v>4051</v>
      </c>
      <c r="C1000" s="6" t="s">
        <v>61</v>
      </c>
      <c r="D1000" s="6" t="s">
        <v>394</v>
      </c>
      <c r="E1000" s="6"/>
      <c r="F1000" s="6" t="s">
        <v>4052</v>
      </c>
      <c r="G1000" s="6" t="s">
        <v>4053</v>
      </c>
      <c r="H1000" s="121">
        <v>68000</v>
      </c>
      <c r="I1000" s="213" t="b">
        <v>0</v>
      </c>
      <c r="J1000" s="213" t="b">
        <v>0</v>
      </c>
      <c r="K1000" s="213" t="b">
        <v>0</v>
      </c>
    </row>
    <row r="1001" spans="1:11" ht="51" hidden="1">
      <c r="A1001" s="9">
        <v>2016</v>
      </c>
      <c r="B1001" s="6" t="s">
        <v>4056</v>
      </c>
      <c r="C1001" s="6" t="s">
        <v>61</v>
      </c>
      <c r="D1001" s="6" t="s">
        <v>3092</v>
      </c>
      <c r="E1001" s="6"/>
      <c r="F1001" s="6" t="s">
        <v>4057</v>
      </c>
      <c r="G1001" s="6" t="s">
        <v>3333</v>
      </c>
      <c r="H1001" s="121">
        <v>95135</v>
      </c>
      <c r="I1001" s="213" t="b">
        <v>0</v>
      </c>
      <c r="J1001" s="213" t="b">
        <v>0</v>
      </c>
      <c r="K1001" s="213" t="b">
        <v>0</v>
      </c>
    </row>
    <row r="1002" spans="1:11" ht="25.5" hidden="1">
      <c r="A1002" s="9">
        <v>2016</v>
      </c>
      <c r="B1002" s="6" t="s">
        <v>4060</v>
      </c>
      <c r="C1002" s="6" t="s">
        <v>61</v>
      </c>
      <c r="D1002" s="6" t="s">
        <v>3168</v>
      </c>
      <c r="E1002" s="6"/>
      <c r="F1002" s="6" t="s">
        <v>4061</v>
      </c>
      <c r="G1002" s="6" t="s">
        <v>4062</v>
      </c>
      <c r="H1002" s="121">
        <v>39200</v>
      </c>
      <c r="I1002" s="213" t="b">
        <v>0</v>
      </c>
      <c r="J1002" s="213" t="b">
        <v>0</v>
      </c>
      <c r="K1002" s="213" t="b">
        <v>0</v>
      </c>
    </row>
    <row r="1003" spans="1:11" ht="25.5" hidden="1">
      <c r="A1003" s="9">
        <v>2016</v>
      </c>
      <c r="B1003" s="258" t="s">
        <v>4065</v>
      </c>
      <c r="C1003" s="258"/>
      <c r="D1003" s="258" t="s">
        <v>3827</v>
      </c>
      <c r="E1003" s="258"/>
      <c r="F1003" s="258" t="s">
        <v>3827</v>
      </c>
      <c r="G1003" s="258" t="s">
        <v>3827</v>
      </c>
      <c r="H1003" s="259" t="s">
        <v>3827</v>
      </c>
      <c r="I1003" s="213" t="b">
        <v>0</v>
      </c>
      <c r="J1003" s="213" t="b">
        <v>0</v>
      </c>
      <c r="K1003" s="213" t="b">
        <v>0</v>
      </c>
    </row>
    <row r="1004" spans="1:11" ht="38.25" hidden="1">
      <c r="A1004" s="9">
        <v>2016</v>
      </c>
      <c r="B1004" s="6" t="s">
        <v>4070</v>
      </c>
      <c r="C1004" s="6" t="s">
        <v>61</v>
      </c>
      <c r="D1004" s="6" t="s">
        <v>394</v>
      </c>
      <c r="E1004" s="6"/>
      <c r="F1004" s="6" t="s">
        <v>4071</v>
      </c>
      <c r="G1004" s="6" t="s">
        <v>4072</v>
      </c>
      <c r="H1004" s="121">
        <v>70000</v>
      </c>
      <c r="I1004" s="213" t="b">
        <v>0</v>
      </c>
      <c r="J1004" s="213" t="b">
        <v>0</v>
      </c>
      <c r="K1004" s="213" t="b">
        <v>0</v>
      </c>
    </row>
    <row r="1005" spans="1:11" ht="25.5" hidden="1">
      <c r="A1005" s="9">
        <v>2016</v>
      </c>
      <c r="B1005" s="6" t="s">
        <v>4075</v>
      </c>
      <c r="C1005" s="6" t="s">
        <v>61</v>
      </c>
      <c r="D1005" s="6" t="s">
        <v>586</v>
      </c>
      <c r="E1005" s="6"/>
      <c r="F1005" s="6" t="s">
        <v>4076</v>
      </c>
      <c r="G1005" s="6" t="s">
        <v>4077</v>
      </c>
      <c r="H1005" s="121">
        <v>8500</v>
      </c>
      <c r="I1005" s="213" t="b">
        <v>0</v>
      </c>
      <c r="J1005" s="213" t="b">
        <v>0</v>
      </c>
      <c r="K1005" s="213" t="b">
        <v>0</v>
      </c>
    </row>
    <row r="1006" spans="1:11" ht="25.5" hidden="1">
      <c r="A1006" s="9">
        <v>2016</v>
      </c>
      <c r="B1006" s="6" t="s">
        <v>3729</v>
      </c>
      <c r="C1006" s="6"/>
      <c r="D1006" s="115" t="s">
        <v>1383</v>
      </c>
      <c r="E1006" s="6"/>
      <c r="F1006" s="6" t="s">
        <v>3730</v>
      </c>
      <c r="G1006" s="6" t="s">
        <v>1556</v>
      </c>
      <c r="H1006" s="121">
        <v>1412800</v>
      </c>
      <c r="I1006" s="213" t="b">
        <v>0</v>
      </c>
      <c r="J1006" s="213" t="b">
        <v>0</v>
      </c>
      <c r="K1006" s="213" t="b">
        <v>0</v>
      </c>
    </row>
    <row r="1007" spans="1:11" ht="51" hidden="1">
      <c r="A1007" s="9">
        <v>2016</v>
      </c>
      <c r="B1007" s="6" t="s">
        <v>4084</v>
      </c>
      <c r="C1007" s="9" t="s">
        <v>61</v>
      </c>
      <c r="D1007" s="6" t="s">
        <v>1141</v>
      </c>
      <c r="E1007" s="6"/>
      <c r="F1007" s="6" t="s">
        <v>4085</v>
      </c>
      <c r="G1007" s="6" t="s">
        <v>4086</v>
      </c>
      <c r="H1007" s="121">
        <v>49880</v>
      </c>
      <c r="I1007" s="213" t="b">
        <v>0</v>
      </c>
      <c r="J1007" s="213" t="b">
        <v>0</v>
      </c>
      <c r="K1007" s="213" t="b">
        <v>0</v>
      </c>
    </row>
    <row r="1008" spans="1:11" ht="25.5" hidden="1">
      <c r="A1008" s="9">
        <v>2016</v>
      </c>
      <c r="B1008" s="62">
        <v>42705</v>
      </c>
      <c r="C1008" s="6" t="s">
        <v>61</v>
      </c>
      <c r="D1008" s="115" t="s">
        <v>1383</v>
      </c>
      <c r="E1008" s="6"/>
      <c r="F1008" s="6" t="s">
        <v>3533</v>
      </c>
      <c r="G1008" s="6" t="s">
        <v>1556</v>
      </c>
      <c r="H1008" s="121">
        <v>2000000</v>
      </c>
      <c r="I1008" s="213" t="b">
        <v>0</v>
      </c>
      <c r="J1008" s="213" t="b">
        <v>0</v>
      </c>
      <c r="K1008" s="213" t="b">
        <v>0</v>
      </c>
    </row>
    <row r="1009" spans="1:11" ht="51" hidden="1">
      <c r="A1009" s="9">
        <v>2016</v>
      </c>
      <c r="B1009" s="6" t="s">
        <v>3550</v>
      </c>
      <c r="C1009" s="6" t="s">
        <v>61</v>
      </c>
      <c r="D1009" s="115" t="s">
        <v>1383</v>
      </c>
      <c r="E1009" s="6"/>
      <c r="F1009" s="6" t="s">
        <v>3551</v>
      </c>
      <c r="G1009" s="6" t="s">
        <v>3552</v>
      </c>
      <c r="H1009" s="121">
        <v>200000</v>
      </c>
      <c r="I1009" s="213" t="b">
        <v>0</v>
      </c>
      <c r="J1009" s="213" t="b">
        <v>0</v>
      </c>
      <c r="K1009" s="213" t="b">
        <v>0</v>
      </c>
    </row>
    <row r="1010" spans="1:11" ht="51" hidden="1">
      <c r="A1010" s="9">
        <v>2016</v>
      </c>
      <c r="B1010" s="6" t="s">
        <v>3553</v>
      </c>
      <c r="C1010" s="6" t="s">
        <v>61</v>
      </c>
      <c r="D1010" s="115" t="s">
        <v>1383</v>
      </c>
      <c r="E1010" s="6"/>
      <c r="F1010" s="6" t="s">
        <v>3554</v>
      </c>
      <c r="G1010" s="6" t="s">
        <v>3555</v>
      </c>
      <c r="H1010" s="121">
        <v>200000</v>
      </c>
      <c r="I1010" s="213" t="b">
        <v>0</v>
      </c>
      <c r="J1010" s="213" t="b">
        <v>0</v>
      </c>
      <c r="K1010" s="213" t="b">
        <v>0</v>
      </c>
    </row>
    <row r="1011" spans="1:11" ht="63.75" hidden="1">
      <c r="A1011" s="9">
        <v>2016</v>
      </c>
      <c r="B1011" s="6" t="s">
        <v>3556</v>
      </c>
      <c r="C1011" s="6" t="s">
        <v>61</v>
      </c>
      <c r="D1011" s="115" t="s">
        <v>1383</v>
      </c>
      <c r="E1011" s="6"/>
      <c r="F1011" s="6" t="s">
        <v>3557</v>
      </c>
      <c r="G1011" s="6" t="s">
        <v>1686</v>
      </c>
      <c r="H1011" s="121">
        <v>200000</v>
      </c>
      <c r="I1011" s="213" t="b">
        <v>0</v>
      </c>
      <c r="J1011" s="213" t="b">
        <v>0</v>
      </c>
      <c r="K1011" s="213" t="b">
        <v>0</v>
      </c>
    </row>
    <row r="1012" spans="1:11" ht="38.25" hidden="1">
      <c r="A1012" s="9">
        <v>2016</v>
      </c>
      <c r="B1012" s="6" t="s">
        <v>3558</v>
      </c>
      <c r="C1012" s="6" t="s">
        <v>61</v>
      </c>
      <c r="D1012" s="115" t="s">
        <v>1383</v>
      </c>
      <c r="E1012" s="6"/>
      <c r="F1012" s="6" t="s">
        <v>3559</v>
      </c>
      <c r="G1012" s="6" t="s">
        <v>3560</v>
      </c>
      <c r="H1012" s="121">
        <v>200000</v>
      </c>
      <c r="I1012" s="213" t="b">
        <v>0</v>
      </c>
      <c r="J1012" s="213" t="b">
        <v>0</v>
      </c>
      <c r="K1012" s="213" t="b">
        <v>0</v>
      </c>
    </row>
    <row r="1013" spans="1:11" ht="38.25" hidden="1">
      <c r="A1013" s="9">
        <v>2016</v>
      </c>
      <c r="B1013" s="6" t="s">
        <v>3561</v>
      </c>
      <c r="C1013" s="6" t="s">
        <v>61</v>
      </c>
      <c r="D1013" s="115" t="s">
        <v>1383</v>
      </c>
      <c r="E1013" s="6"/>
      <c r="F1013" s="6" t="s">
        <v>3562</v>
      </c>
      <c r="G1013" s="6" t="s">
        <v>3563</v>
      </c>
      <c r="H1013" s="121">
        <v>200000</v>
      </c>
      <c r="I1013" s="213" t="b">
        <v>0</v>
      </c>
      <c r="J1013" s="213" t="b">
        <v>0</v>
      </c>
      <c r="K1013" s="213" t="b">
        <v>0</v>
      </c>
    </row>
    <row r="1014" spans="1:11" ht="25.5" hidden="1">
      <c r="A1014" s="9">
        <v>2016</v>
      </c>
      <c r="B1014" s="6" t="s">
        <v>3564</v>
      </c>
      <c r="C1014" s="6" t="s">
        <v>61</v>
      </c>
      <c r="D1014" s="115" t="s">
        <v>1383</v>
      </c>
      <c r="E1014" s="6"/>
      <c r="F1014" s="6" t="s">
        <v>3565</v>
      </c>
      <c r="G1014" s="6" t="s">
        <v>3566</v>
      </c>
      <c r="H1014" s="121">
        <v>200000</v>
      </c>
      <c r="I1014" s="213" t="b">
        <v>0</v>
      </c>
      <c r="J1014" s="213" t="b">
        <v>0</v>
      </c>
      <c r="K1014" s="213" t="b">
        <v>0</v>
      </c>
    </row>
    <row r="1015" spans="1:11" ht="51" hidden="1">
      <c r="A1015" s="9">
        <v>2016</v>
      </c>
      <c r="B1015" s="6" t="s">
        <v>3567</v>
      </c>
      <c r="C1015" s="6" t="s">
        <v>61</v>
      </c>
      <c r="D1015" s="115" t="s">
        <v>1383</v>
      </c>
      <c r="E1015" s="6"/>
      <c r="F1015" s="6" t="s">
        <v>3568</v>
      </c>
      <c r="G1015" s="6" t="s">
        <v>1611</v>
      </c>
      <c r="H1015" s="121">
        <v>200000</v>
      </c>
      <c r="I1015" s="213" t="b">
        <v>0</v>
      </c>
      <c r="J1015" s="213" t="b">
        <v>0</v>
      </c>
      <c r="K1015" s="213" t="b">
        <v>0</v>
      </c>
    </row>
    <row r="1016" spans="1:11" ht="25.5" hidden="1">
      <c r="A1016" s="9">
        <v>2016</v>
      </c>
      <c r="B1016" s="6" t="s">
        <v>3569</v>
      </c>
      <c r="C1016" s="6" t="s">
        <v>61</v>
      </c>
      <c r="D1016" s="115" t="s">
        <v>1383</v>
      </c>
      <c r="E1016" s="6"/>
      <c r="F1016" s="6" t="s">
        <v>3570</v>
      </c>
      <c r="G1016" s="6" t="s">
        <v>3571</v>
      </c>
      <c r="H1016" s="121">
        <v>200000</v>
      </c>
      <c r="I1016" s="213" t="b">
        <v>0</v>
      </c>
      <c r="J1016" s="213" t="b">
        <v>0</v>
      </c>
      <c r="K1016" s="213" t="b">
        <v>0</v>
      </c>
    </row>
    <row r="1017" spans="1:11" ht="25.5" hidden="1">
      <c r="A1017" s="9">
        <v>2016</v>
      </c>
      <c r="B1017" s="6" t="s">
        <v>3572</v>
      </c>
      <c r="C1017" s="6" t="s">
        <v>61</v>
      </c>
      <c r="D1017" s="115" t="s">
        <v>1383</v>
      </c>
      <c r="E1017" s="6"/>
      <c r="F1017" s="6" t="s">
        <v>3573</v>
      </c>
      <c r="G1017" s="6" t="s">
        <v>1742</v>
      </c>
      <c r="H1017" s="121">
        <v>200000</v>
      </c>
      <c r="I1017" s="213" t="b">
        <v>0</v>
      </c>
      <c r="J1017" s="213" t="b">
        <v>0</v>
      </c>
      <c r="K1017" s="213" t="b">
        <v>0</v>
      </c>
    </row>
    <row r="1018" spans="1:11" ht="25.5" hidden="1">
      <c r="A1018" s="9">
        <v>2016</v>
      </c>
      <c r="B1018" s="6" t="s">
        <v>3574</v>
      </c>
      <c r="C1018" s="6" t="s">
        <v>61</v>
      </c>
      <c r="D1018" s="115" t="s">
        <v>1383</v>
      </c>
      <c r="E1018" s="6"/>
      <c r="F1018" s="6" t="s">
        <v>3575</v>
      </c>
      <c r="G1018" s="6" t="s">
        <v>3576</v>
      </c>
      <c r="H1018" s="121">
        <v>200000</v>
      </c>
      <c r="I1018" s="213" t="b">
        <v>0</v>
      </c>
      <c r="J1018" s="213" t="b">
        <v>0</v>
      </c>
      <c r="K1018" s="213" t="b">
        <v>0</v>
      </c>
    </row>
    <row r="1019" spans="1:11" ht="38.25" hidden="1">
      <c r="A1019" s="9">
        <v>2016</v>
      </c>
      <c r="B1019" s="6" t="s">
        <v>3577</v>
      </c>
      <c r="C1019" s="6" t="s">
        <v>61</v>
      </c>
      <c r="D1019" s="115" t="s">
        <v>1383</v>
      </c>
      <c r="E1019" s="6"/>
      <c r="F1019" s="6" t="s">
        <v>3578</v>
      </c>
      <c r="G1019" s="6" t="s">
        <v>650</v>
      </c>
      <c r="H1019" s="121">
        <v>200000</v>
      </c>
      <c r="I1019" s="213" t="b">
        <v>0</v>
      </c>
      <c r="J1019" s="213" t="b">
        <v>0</v>
      </c>
      <c r="K1019" s="213" t="b">
        <v>0</v>
      </c>
    </row>
    <row r="1020" spans="1:11" ht="25.5" hidden="1">
      <c r="A1020" s="9">
        <v>2016</v>
      </c>
      <c r="B1020" s="6" t="s">
        <v>3579</v>
      </c>
      <c r="C1020" s="6" t="s">
        <v>61</v>
      </c>
      <c r="D1020" s="115" t="s">
        <v>1383</v>
      </c>
      <c r="E1020" s="6"/>
      <c r="F1020" s="6" t="s">
        <v>3580</v>
      </c>
      <c r="G1020" s="6" t="s">
        <v>581</v>
      </c>
      <c r="H1020" s="121">
        <v>200000</v>
      </c>
      <c r="I1020" s="213" t="b">
        <v>0</v>
      </c>
      <c r="J1020" s="213" t="b">
        <v>0</v>
      </c>
      <c r="K1020" s="213" t="b">
        <v>0</v>
      </c>
    </row>
    <row r="1021" spans="1:11" ht="25.5" hidden="1">
      <c r="A1021" s="9">
        <v>2016</v>
      </c>
      <c r="B1021" s="6" t="s">
        <v>3581</v>
      </c>
      <c r="C1021" s="6" t="s">
        <v>61</v>
      </c>
      <c r="D1021" s="115" t="s">
        <v>1383</v>
      </c>
      <c r="E1021" s="6"/>
      <c r="F1021" s="6" t="s">
        <v>3582</v>
      </c>
      <c r="G1021" s="6" t="s">
        <v>1722</v>
      </c>
      <c r="H1021" s="121">
        <v>200000</v>
      </c>
      <c r="I1021" s="213" t="b">
        <v>0</v>
      </c>
      <c r="J1021" s="213" t="b">
        <v>0</v>
      </c>
      <c r="K1021" s="213" t="b">
        <v>0</v>
      </c>
    </row>
    <row r="1022" spans="1:11" ht="63.75" hidden="1">
      <c r="A1022" s="9">
        <v>2016</v>
      </c>
      <c r="B1022" s="6" t="s">
        <v>3583</v>
      </c>
      <c r="C1022" s="6" t="s">
        <v>61</v>
      </c>
      <c r="D1022" s="115" t="s">
        <v>1383</v>
      </c>
      <c r="E1022" s="6"/>
      <c r="F1022" s="6" t="s">
        <v>3584</v>
      </c>
      <c r="G1022" s="6" t="s">
        <v>1502</v>
      </c>
      <c r="H1022" s="121">
        <v>200000</v>
      </c>
      <c r="I1022" s="213" t="b">
        <v>0</v>
      </c>
      <c r="J1022" s="213" t="b">
        <v>0</v>
      </c>
      <c r="K1022" s="213" t="b">
        <v>0</v>
      </c>
    </row>
    <row r="1023" spans="1:11" ht="25.5" hidden="1">
      <c r="A1023" s="9">
        <v>2016</v>
      </c>
      <c r="B1023" s="6" t="s">
        <v>3585</v>
      </c>
      <c r="C1023" s="6" t="s">
        <v>61</v>
      </c>
      <c r="D1023" s="115" t="s">
        <v>1383</v>
      </c>
      <c r="E1023" s="6"/>
      <c r="F1023" s="6" t="s">
        <v>3586</v>
      </c>
      <c r="G1023" s="6" t="s">
        <v>3587</v>
      </c>
      <c r="H1023" s="121">
        <v>200000</v>
      </c>
      <c r="I1023" s="213" t="b">
        <v>0</v>
      </c>
      <c r="J1023" s="213" t="b">
        <v>0</v>
      </c>
      <c r="K1023" s="213" t="b">
        <v>0</v>
      </c>
    </row>
    <row r="1024" spans="1:11" ht="51" hidden="1">
      <c r="A1024" s="9">
        <v>2016</v>
      </c>
      <c r="B1024" s="6" t="s">
        <v>3588</v>
      </c>
      <c r="C1024" s="6" t="s">
        <v>61</v>
      </c>
      <c r="D1024" s="115" t="s">
        <v>1383</v>
      </c>
      <c r="E1024" s="6"/>
      <c r="F1024" s="6" t="s">
        <v>3589</v>
      </c>
      <c r="G1024" s="6" t="s">
        <v>1491</v>
      </c>
      <c r="H1024" s="121">
        <v>200000</v>
      </c>
      <c r="I1024" s="213" t="b">
        <v>0</v>
      </c>
      <c r="J1024" s="213" t="b">
        <v>0</v>
      </c>
      <c r="K1024" s="213" t="b">
        <v>0</v>
      </c>
    </row>
    <row r="1025" spans="1:11" ht="51" hidden="1">
      <c r="A1025" s="9">
        <v>2016</v>
      </c>
      <c r="B1025" s="6" t="s">
        <v>3590</v>
      </c>
      <c r="C1025" s="6" t="s">
        <v>61</v>
      </c>
      <c r="D1025" s="115" t="s">
        <v>1383</v>
      </c>
      <c r="E1025" s="6"/>
      <c r="F1025" s="6" t="s">
        <v>3591</v>
      </c>
      <c r="G1025" s="6" t="s">
        <v>3592</v>
      </c>
      <c r="H1025" s="121">
        <v>200000</v>
      </c>
      <c r="I1025" s="213" t="b">
        <v>0</v>
      </c>
      <c r="J1025" s="213" t="b">
        <v>0</v>
      </c>
      <c r="K1025" s="213" t="b">
        <v>0</v>
      </c>
    </row>
    <row r="1026" spans="1:11" ht="51" hidden="1">
      <c r="A1026" s="9">
        <v>2016</v>
      </c>
      <c r="B1026" s="6" t="s">
        <v>3629</v>
      </c>
      <c r="C1026" s="6" t="s">
        <v>61</v>
      </c>
      <c r="D1026" s="115" t="s">
        <v>1383</v>
      </c>
      <c r="E1026" s="6"/>
      <c r="F1026" s="6" t="s">
        <v>3630</v>
      </c>
      <c r="G1026" s="6" t="s">
        <v>3631</v>
      </c>
      <c r="H1026" s="121">
        <v>200000</v>
      </c>
      <c r="I1026" s="213" t="b">
        <v>0</v>
      </c>
      <c r="J1026" s="213" t="b">
        <v>0</v>
      </c>
      <c r="K1026" s="213" t="b">
        <v>0</v>
      </c>
    </row>
    <row r="1027" spans="1:11" ht="38.25" hidden="1">
      <c r="A1027" s="9">
        <v>2016</v>
      </c>
      <c r="B1027" s="6" t="s">
        <v>3632</v>
      </c>
      <c r="C1027" s="6" t="s">
        <v>61</v>
      </c>
      <c r="D1027" s="115" t="s">
        <v>1383</v>
      </c>
      <c r="E1027" s="132"/>
      <c r="F1027" s="132" t="s">
        <v>3633</v>
      </c>
      <c r="G1027" s="6" t="s">
        <v>3634</v>
      </c>
      <c r="H1027" s="121">
        <v>200000</v>
      </c>
      <c r="I1027" s="213" t="b">
        <v>0</v>
      </c>
      <c r="J1027" s="213" t="b">
        <v>0</v>
      </c>
      <c r="K1027" s="213" t="b">
        <v>0</v>
      </c>
    </row>
    <row r="1028" spans="1:11" ht="51" hidden="1">
      <c r="A1028" s="9">
        <v>2016</v>
      </c>
      <c r="B1028" s="6" t="s">
        <v>3635</v>
      </c>
      <c r="C1028" s="6" t="s">
        <v>61</v>
      </c>
      <c r="D1028" s="115" t="s">
        <v>1383</v>
      </c>
      <c r="E1028" s="6"/>
      <c r="F1028" s="6" t="s">
        <v>3636</v>
      </c>
      <c r="G1028" s="6" t="s">
        <v>3637</v>
      </c>
      <c r="H1028" s="121">
        <v>200000</v>
      </c>
      <c r="I1028" s="213" t="b">
        <v>0</v>
      </c>
      <c r="J1028" s="213" t="b">
        <v>0</v>
      </c>
      <c r="K1028" s="213" t="b">
        <v>0</v>
      </c>
    </row>
    <row r="1029" spans="1:11" ht="38.25" hidden="1">
      <c r="A1029" s="9">
        <v>2016</v>
      </c>
      <c r="B1029" s="6" t="s">
        <v>3638</v>
      </c>
      <c r="C1029" s="6" t="s">
        <v>61</v>
      </c>
      <c r="D1029" s="115" t="s">
        <v>1383</v>
      </c>
      <c r="E1029" s="6"/>
      <c r="F1029" s="6" t="s">
        <v>3639</v>
      </c>
      <c r="G1029" s="6" t="s">
        <v>3640</v>
      </c>
      <c r="H1029" s="121">
        <v>200000</v>
      </c>
      <c r="I1029" s="213" t="b">
        <v>0</v>
      </c>
      <c r="J1029" s="213" t="b">
        <v>0</v>
      </c>
      <c r="K1029" s="213" t="b">
        <v>0</v>
      </c>
    </row>
    <row r="1030" spans="1:11" ht="25.5" hidden="1">
      <c r="A1030" s="9">
        <v>2016</v>
      </c>
      <c r="B1030" s="6" t="s">
        <v>3641</v>
      </c>
      <c r="C1030" s="148" t="s">
        <v>61</v>
      </c>
      <c r="D1030" s="115" t="s">
        <v>1383</v>
      </c>
      <c r="E1030" s="6"/>
      <c r="F1030" s="6" t="s">
        <v>3582</v>
      </c>
      <c r="G1030" s="6" t="s">
        <v>707</v>
      </c>
      <c r="H1030" s="121">
        <v>200000</v>
      </c>
      <c r="I1030" s="213" t="b">
        <v>0</v>
      </c>
      <c r="J1030" s="213" t="b">
        <v>0</v>
      </c>
      <c r="K1030" s="213" t="b">
        <v>0</v>
      </c>
    </row>
    <row r="1031" spans="1:11" ht="25.5" hidden="1">
      <c r="A1031" s="9">
        <v>2016</v>
      </c>
      <c r="B1031" s="6" t="s">
        <v>3642</v>
      </c>
      <c r="C1031" s="6" t="s">
        <v>61</v>
      </c>
      <c r="D1031" s="115" t="s">
        <v>1383</v>
      </c>
      <c r="E1031" s="6"/>
      <c r="F1031" s="6" t="s">
        <v>3643</v>
      </c>
      <c r="G1031" s="6" t="s">
        <v>1451</v>
      </c>
      <c r="H1031" s="121">
        <v>200000</v>
      </c>
      <c r="I1031" s="213" t="b">
        <v>0</v>
      </c>
      <c r="J1031" s="213" t="b">
        <v>0</v>
      </c>
      <c r="K1031" s="213" t="b">
        <v>0</v>
      </c>
    </row>
    <row r="1032" spans="1:11" ht="25.5" hidden="1">
      <c r="A1032" s="9">
        <v>2016</v>
      </c>
      <c r="B1032" s="6" t="s">
        <v>3644</v>
      </c>
      <c r="C1032" s="6" t="s">
        <v>61</v>
      </c>
      <c r="D1032" s="115" t="s">
        <v>1383</v>
      </c>
      <c r="E1032" s="6"/>
      <c r="F1032" s="6" t="s">
        <v>3645</v>
      </c>
      <c r="G1032" s="6" t="s">
        <v>3646</v>
      </c>
      <c r="H1032" s="121">
        <v>200000</v>
      </c>
      <c r="I1032" s="213" t="b">
        <v>0</v>
      </c>
      <c r="J1032" s="213" t="b">
        <v>0</v>
      </c>
      <c r="K1032" s="213" t="b">
        <v>0</v>
      </c>
    </row>
    <row r="1033" spans="1:11" ht="38.25" hidden="1">
      <c r="A1033" s="9">
        <v>2016</v>
      </c>
      <c r="B1033" s="6" t="s">
        <v>3647</v>
      </c>
      <c r="C1033" s="6" t="s">
        <v>61</v>
      </c>
      <c r="D1033" s="115" t="s">
        <v>1383</v>
      </c>
      <c r="E1033" s="6"/>
      <c r="F1033" s="6" t="s">
        <v>3648</v>
      </c>
      <c r="G1033" s="6" t="s">
        <v>3649</v>
      </c>
      <c r="H1033" s="121">
        <v>200000</v>
      </c>
      <c r="I1033" s="213" t="b">
        <v>0</v>
      </c>
      <c r="J1033" s="213" t="b">
        <v>0</v>
      </c>
      <c r="K1033" s="213" t="b">
        <v>0</v>
      </c>
    </row>
    <row r="1034" spans="1:11" ht="51" hidden="1">
      <c r="A1034" s="9">
        <v>2016</v>
      </c>
      <c r="B1034" s="6" t="s">
        <v>3650</v>
      </c>
      <c r="C1034" s="6" t="s">
        <v>61</v>
      </c>
      <c r="D1034" s="115" t="s">
        <v>1383</v>
      </c>
      <c r="E1034" s="6"/>
      <c r="F1034" s="6" t="s">
        <v>3651</v>
      </c>
      <c r="G1034" s="6" t="s">
        <v>1556</v>
      </c>
      <c r="H1034" s="121">
        <v>1655000</v>
      </c>
      <c r="I1034" s="213" t="b">
        <v>0</v>
      </c>
      <c r="J1034" s="213" t="b">
        <v>0</v>
      </c>
      <c r="K1034" s="213" t="b">
        <v>0</v>
      </c>
    </row>
    <row r="1035" spans="1:11" ht="102" hidden="1">
      <c r="A1035" s="9">
        <v>2016</v>
      </c>
      <c r="B1035" s="6" t="s">
        <v>3652</v>
      </c>
      <c r="C1035" s="6" t="s">
        <v>61</v>
      </c>
      <c r="D1035" s="115" t="s">
        <v>1383</v>
      </c>
      <c r="E1035" s="6"/>
      <c r="F1035" s="6" t="s">
        <v>3653</v>
      </c>
      <c r="G1035" s="6" t="s">
        <v>3654</v>
      </c>
      <c r="H1035" s="121">
        <v>200000</v>
      </c>
      <c r="I1035" s="213" t="b">
        <v>0</v>
      </c>
      <c r="J1035" s="213" t="b">
        <v>0</v>
      </c>
      <c r="K1035" s="213" t="b">
        <v>0</v>
      </c>
    </row>
    <row r="1036" spans="1:11" ht="38.25" hidden="1">
      <c r="A1036" s="9">
        <v>2016</v>
      </c>
      <c r="B1036" s="6" t="s">
        <v>3656</v>
      </c>
      <c r="C1036" s="6" t="s">
        <v>61</v>
      </c>
      <c r="D1036" s="115" t="s">
        <v>1383</v>
      </c>
      <c r="E1036" s="6"/>
      <c r="F1036" s="6" t="s">
        <v>3657</v>
      </c>
      <c r="G1036" s="6" t="s">
        <v>3658</v>
      </c>
      <c r="H1036" s="121">
        <v>200000</v>
      </c>
      <c r="I1036" s="213" t="b">
        <v>0</v>
      </c>
      <c r="J1036" s="213" t="b">
        <v>0</v>
      </c>
      <c r="K1036" s="213" t="b">
        <v>0</v>
      </c>
    </row>
    <row r="1037" spans="1:11" ht="25.5" hidden="1">
      <c r="A1037" s="9">
        <v>2016</v>
      </c>
      <c r="B1037" s="6" t="s">
        <v>3660</v>
      </c>
      <c r="C1037" s="6" t="s">
        <v>61</v>
      </c>
      <c r="D1037" s="115" t="s">
        <v>1383</v>
      </c>
      <c r="E1037" s="6"/>
      <c r="F1037" s="6" t="s">
        <v>3661</v>
      </c>
      <c r="G1037" s="6" t="s">
        <v>3662</v>
      </c>
      <c r="H1037" s="121">
        <v>200000</v>
      </c>
      <c r="I1037" s="213" t="b">
        <v>0</v>
      </c>
      <c r="J1037" s="213" t="b">
        <v>0</v>
      </c>
      <c r="K1037" s="213" t="b">
        <v>0</v>
      </c>
    </row>
    <row r="1038" spans="1:11" ht="25.5" hidden="1">
      <c r="A1038" s="9">
        <v>2016</v>
      </c>
      <c r="B1038" s="6" t="s">
        <v>3664</v>
      </c>
      <c r="C1038" s="6" t="s">
        <v>61</v>
      </c>
      <c r="D1038" s="115" t="s">
        <v>1383</v>
      </c>
      <c r="E1038" s="6"/>
      <c r="F1038" s="6" t="s">
        <v>3665</v>
      </c>
      <c r="G1038" s="6" t="s">
        <v>3666</v>
      </c>
      <c r="H1038" s="121">
        <v>200000</v>
      </c>
      <c r="I1038" s="213" t="b">
        <v>0</v>
      </c>
      <c r="J1038" s="213" t="b">
        <v>0</v>
      </c>
      <c r="K1038" s="213" t="b">
        <v>0</v>
      </c>
    </row>
    <row r="1039" spans="1:11" ht="51" hidden="1">
      <c r="A1039" s="9">
        <v>2016</v>
      </c>
      <c r="B1039" s="6" t="s">
        <v>3668</v>
      </c>
      <c r="C1039" s="6" t="s">
        <v>61</v>
      </c>
      <c r="D1039" s="115" t="s">
        <v>1383</v>
      </c>
      <c r="E1039" s="6"/>
      <c r="F1039" s="6" t="s">
        <v>3669</v>
      </c>
      <c r="G1039" s="6" t="s">
        <v>3670</v>
      </c>
      <c r="H1039" s="121">
        <v>200000</v>
      </c>
      <c r="I1039" s="213" t="b">
        <v>0</v>
      </c>
      <c r="J1039" s="213" t="b">
        <v>0</v>
      </c>
      <c r="K1039" s="213" t="b">
        <v>0</v>
      </c>
    </row>
    <row r="1040" spans="1:11" ht="25.5" hidden="1">
      <c r="A1040" s="9">
        <v>2016</v>
      </c>
      <c r="B1040" s="6" t="s">
        <v>3672</v>
      </c>
      <c r="C1040" s="6" t="s">
        <v>61</v>
      </c>
      <c r="D1040" s="115" t="s">
        <v>1383</v>
      </c>
      <c r="E1040" s="6"/>
      <c r="F1040" s="6" t="s">
        <v>3673</v>
      </c>
      <c r="G1040" s="6" t="s">
        <v>3674</v>
      </c>
      <c r="H1040" s="121">
        <v>200000</v>
      </c>
      <c r="I1040" s="213" t="b">
        <v>0</v>
      </c>
      <c r="J1040" s="213" t="b">
        <v>0</v>
      </c>
      <c r="K1040" s="213" t="b">
        <v>0</v>
      </c>
    </row>
    <row r="1041" spans="1:11" ht="51" hidden="1">
      <c r="A1041" s="9">
        <v>2016</v>
      </c>
      <c r="B1041" s="6" t="s">
        <v>3675</v>
      </c>
      <c r="C1041" s="6" t="s">
        <v>61</v>
      </c>
      <c r="D1041" s="115" t="s">
        <v>1383</v>
      </c>
      <c r="E1041" s="6"/>
      <c r="F1041" s="6" t="s">
        <v>3676</v>
      </c>
      <c r="G1041" s="6" t="s">
        <v>3677</v>
      </c>
      <c r="H1041" s="121">
        <v>200000</v>
      </c>
      <c r="I1041" s="213" t="b">
        <v>0</v>
      </c>
      <c r="J1041" s="213" t="b">
        <v>0</v>
      </c>
      <c r="K1041" s="213" t="b">
        <v>0</v>
      </c>
    </row>
    <row r="1042" spans="1:11" ht="51" hidden="1">
      <c r="A1042" s="9">
        <v>2016</v>
      </c>
      <c r="B1042" s="6" t="s">
        <v>3679</v>
      </c>
      <c r="C1042" s="6" t="s">
        <v>61</v>
      </c>
      <c r="D1042" s="115" t="s">
        <v>1383</v>
      </c>
      <c r="E1042" s="6"/>
      <c r="F1042" s="6" t="s">
        <v>3680</v>
      </c>
      <c r="G1042" s="6" t="s">
        <v>3681</v>
      </c>
      <c r="H1042" s="121">
        <v>200000</v>
      </c>
      <c r="I1042" s="213" t="b">
        <v>0</v>
      </c>
      <c r="J1042" s="213" t="b">
        <v>0</v>
      </c>
      <c r="K1042" s="213" t="b">
        <v>0</v>
      </c>
    </row>
    <row r="1043" spans="1:11" ht="51" hidden="1">
      <c r="A1043" s="9">
        <v>2016</v>
      </c>
      <c r="B1043" s="6" t="s">
        <v>3683</v>
      </c>
      <c r="C1043" s="6" t="s">
        <v>61</v>
      </c>
      <c r="D1043" s="115" t="s">
        <v>1383</v>
      </c>
      <c r="E1043" s="6"/>
      <c r="F1043" s="6" t="s">
        <v>3684</v>
      </c>
      <c r="G1043" s="6" t="s">
        <v>3685</v>
      </c>
      <c r="H1043" s="121">
        <v>200000</v>
      </c>
      <c r="I1043" s="213" t="b">
        <v>0</v>
      </c>
      <c r="J1043" s="213" t="b">
        <v>0</v>
      </c>
      <c r="K1043" s="213" t="b">
        <v>0</v>
      </c>
    </row>
    <row r="1044" spans="1:11" ht="25.5" hidden="1">
      <c r="A1044" s="9">
        <v>2016</v>
      </c>
      <c r="B1044" s="6" t="s">
        <v>3731</v>
      </c>
      <c r="C1044" s="6" t="s">
        <v>61</v>
      </c>
      <c r="D1044" s="115" t="s">
        <v>1383</v>
      </c>
      <c r="E1044" s="6"/>
      <c r="F1044" s="6" t="s">
        <v>3732</v>
      </c>
      <c r="G1044" s="6" t="s">
        <v>3733</v>
      </c>
      <c r="H1044" s="121">
        <v>200000</v>
      </c>
      <c r="I1044" s="213" t="b">
        <v>0</v>
      </c>
      <c r="J1044" s="213" t="b">
        <v>0</v>
      </c>
      <c r="K1044" s="213" t="b">
        <v>0</v>
      </c>
    </row>
    <row r="1045" spans="1:11" ht="38.25" hidden="1">
      <c r="A1045" s="9">
        <v>2016</v>
      </c>
      <c r="B1045" s="6" t="s">
        <v>3757</v>
      </c>
      <c r="C1045" s="6" t="s">
        <v>61</v>
      </c>
      <c r="D1045" s="115" t="s">
        <v>1383</v>
      </c>
      <c r="E1045" s="6"/>
      <c r="F1045" s="6" t="s">
        <v>3758</v>
      </c>
      <c r="G1045" s="6" t="s">
        <v>3449</v>
      </c>
      <c r="H1045" s="121">
        <v>121500</v>
      </c>
      <c r="I1045" s="213" t="b">
        <v>0</v>
      </c>
      <c r="J1045" s="213" t="b">
        <v>0</v>
      </c>
      <c r="K1045" s="213" t="b">
        <v>0</v>
      </c>
    </row>
    <row r="1046" spans="1:11" ht="38.25" hidden="1">
      <c r="A1046" s="9">
        <v>2016</v>
      </c>
      <c r="B1046" s="6" t="s">
        <v>3812</v>
      </c>
      <c r="C1046" s="6" t="s">
        <v>61</v>
      </c>
      <c r="D1046" s="115" t="s">
        <v>1383</v>
      </c>
      <c r="E1046" s="6"/>
      <c r="F1046" s="6" t="s">
        <v>3813</v>
      </c>
      <c r="G1046" s="6" t="s">
        <v>3814</v>
      </c>
      <c r="H1046" s="121">
        <v>60100</v>
      </c>
      <c r="I1046" s="213" t="b">
        <v>0</v>
      </c>
      <c r="J1046" s="213" t="b">
        <v>0</v>
      </c>
      <c r="K1046" s="213" t="b">
        <v>0</v>
      </c>
    </row>
    <row r="1047" spans="1:11" ht="25.5" hidden="1">
      <c r="A1047" s="9">
        <v>2016</v>
      </c>
      <c r="B1047" s="6" t="s">
        <v>3821</v>
      </c>
      <c r="C1047" s="6" t="s">
        <v>61</v>
      </c>
      <c r="D1047" s="115" t="s">
        <v>1383</v>
      </c>
      <c r="E1047" s="6"/>
      <c r="F1047" s="6" t="s">
        <v>3822</v>
      </c>
      <c r="G1047" s="6" t="s">
        <v>3823</v>
      </c>
      <c r="H1047" s="121">
        <v>40000</v>
      </c>
      <c r="I1047" s="213" t="b">
        <v>0</v>
      </c>
      <c r="J1047" s="213" t="b">
        <v>0</v>
      </c>
      <c r="K1047" s="213" t="b">
        <v>0</v>
      </c>
    </row>
    <row r="1048" spans="1:11" ht="63.75" hidden="1">
      <c r="A1048" s="9">
        <v>2016</v>
      </c>
      <c r="B1048" s="6" t="s">
        <v>3888</v>
      </c>
      <c r="C1048" s="6" t="s">
        <v>61</v>
      </c>
      <c r="D1048" s="115" t="s">
        <v>1383</v>
      </c>
      <c r="E1048" s="6"/>
      <c r="F1048" s="6" t="s">
        <v>3889</v>
      </c>
      <c r="G1048" s="6" t="s">
        <v>3890</v>
      </c>
      <c r="H1048" s="121">
        <v>24750</v>
      </c>
      <c r="I1048" s="213" t="b">
        <v>0</v>
      </c>
      <c r="J1048" s="213" t="b">
        <v>0</v>
      </c>
      <c r="K1048" s="213" t="b">
        <v>0</v>
      </c>
    </row>
    <row r="1049" spans="1:11" ht="38.25" hidden="1">
      <c r="A1049" s="9">
        <v>2016</v>
      </c>
      <c r="B1049" s="6" t="s">
        <v>3905</v>
      </c>
      <c r="C1049" s="6" t="s">
        <v>61</v>
      </c>
      <c r="D1049" s="115" t="s">
        <v>1383</v>
      </c>
      <c r="E1049" s="6"/>
      <c r="F1049" s="6" t="s">
        <v>3906</v>
      </c>
      <c r="G1049" s="6" t="s">
        <v>3907</v>
      </c>
      <c r="H1049" s="121">
        <v>28000</v>
      </c>
      <c r="I1049" s="213" t="b">
        <v>0</v>
      </c>
      <c r="J1049" s="213" t="b">
        <v>0</v>
      </c>
      <c r="K1049" s="213" t="b">
        <v>0</v>
      </c>
    </row>
    <row r="1050" spans="1:11" ht="38.25" hidden="1">
      <c r="A1050" s="9">
        <v>2016</v>
      </c>
      <c r="B1050" s="6" t="s">
        <v>3923</v>
      </c>
      <c r="C1050" s="6" t="s">
        <v>61</v>
      </c>
      <c r="D1050" s="115" t="s">
        <v>1383</v>
      </c>
      <c r="E1050" s="6"/>
      <c r="F1050" s="6" t="s">
        <v>3924</v>
      </c>
      <c r="G1050" s="6" t="s">
        <v>3340</v>
      </c>
      <c r="H1050" s="121">
        <v>28500</v>
      </c>
      <c r="I1050" s="213" t="b">
        <v>0</v>
      </c>
      <c r="J1050" s="213" t="b">
        <v>0</v>
      </c>
      <c r="K1050" s="213" t="b">
        <v>0</v>
      </c>
    </row>
    <row r="1051" spans="1:11" ht="63.75" hidden="1">
      <c r="A1051" s="9">
        <v>2016</v>
      </c>
      <c r="B1051" s="6" t="s">
        <v>3982</v>
      </c>
      <c r="C1051" s="6" t="s">
        <v>61</v>
      </c>
      <c r="D1051" s="115" t="s">
        <v>1383</v>
      </c>
      <c r="E1051" s="6"/>
      <c r="F1051" s="6" t="s">
        <v>3983</v>
      </c>
      <c r="G1051" s="6" t="s">
        <v>811</v>
      </c>
      <c r="H1051" s="121">
        <v>83480</v>
      </c>
      <c r="I1051" s="213" t="b">
        <v>0</v>
      </c>
      <c r="J1051" s="213" t="b">
        <v>0</v>
      </c>
      <c r="K1051" s="213" t="b">
        <v>0</v>
      </c>
    </row>
    <row r="1052" spans="1:11" ht="25.5" hidden="1">
      <c r="A1052" s="9">
        <v>2016</v>
      </c>
      <c r="B1052" s="6" t="s">
        <v>3985</v>
      </c>
      <c r="C1052" s="6" t="s">
        <v>61</v>
      </c>
      <c r="D1052" s="115" t="s">
        <v>1383</v>
      </c>
      <c r="E1052" s="6"/>
      <c r="F1052" s="6" t="s">
        <v>3986</v>
      </c>
      <c r="G1052" s="6" t="s">
        <v>3987</v>
      </c>
      <c r="H1052" s="121">
        <v>67200</v>
      </c>
      <c r="I1052" s="213" t="b">
        <v>0</v>
      </c>
      <c r="J1052" s="213" t="b">
        <v>0</v>
      </c>
      <c r="K1052" s="213" t="b">
        <v>0</v>
      </c>
    </row>
    <row r="1053" spans="1:11" ht="51" hidden="1">
      <c r="A1053" s="9">
        <v>2016</v>
      </c>
      <c r="B1053" s="6" t="s">
        <v>4005</v>
      </c>
      <c r="C1053" s="6" t="s">
        <v>61</v>
      </c>
      <c r="D1053" s="115" t="s">
        <v>1383</v>
      </c>
      <c r="E1053" s="6"/>
      <c r="F1053" s="6" t="s">
        <v>4006</v>
      </c>
      <c r="G1053" s="6" t="s">
        <v>4007</v>
      </c>
      <c r="H1053" s="121">
        <v>15000</v>
      </c>
      <c r="I1053" s="213" t="b">
        <v>0</v>
      </c>
      <c r="J1053" s="213" t="b">
        <v>0</v>
      </c>
      <c r="K1053" s="213" t="b">
        <v>0</v>
      </c>
    </row>
    <row r="1054" spans="1:11" ht="25.5" hidden="1">
      <c r="A1054" s="9">
        <v>2016</v>
      </c>
      <c r="B1054" s="6" t="s">
        <v>4018</v>
      </c>
      <c r="C1054" s="6" t="s">
        <v>61</v>
      </c>
      <c r="D1054" s="115" t="s">
        <v>1383</v>
      </c>
      <c r="E1054" s="6"/>
      <c r="F1054" s="6" t="s">
        <v>4019</v>
      </c>
      <c r="G1054" s="6" t="s">
        <v>4020</v>
      </c>
      <c r="H1054" s="121">
        <v>66000</v>
      </c>
      <c r="I1054" s="213" t="b">
        <v>0</v>
      </c>
      <c r="J1054" s="213" t="b">
        <v>0</v>
      </c>
      <c r="K1054" s="213" t="b">
        <v>0</v>
      </c>
    </row>
    <row r="1055" spans="1:11" ht="51" hidden="1">
      <c r="A1055" s="9">
        <v>2016</v>
      </c>
      <c r="B1055" s="6" t="s">
        <v>4066</v>
      </c>
      <c r="C1055" s="6" t="s">
        <v>61</v>
      </c>
      <c r="D1055" s="115" t="s">
        <v>1383</v>
      </c>
      <c r="E1055" s="6"/>
      <c r="F1055" s="6" t="s">
        <v>4067</v>
      </c>
      <c r="G1055" s="6" t="s">
        <v>4068</v>
      </c>
      <c r="H1055" s="121">
        <v>50000</v>
      </c>
      <c r="I1055" s="213" t="b">
        <v>0</v>
      </c>
      <c r="J1055" s="213" t="b">
        <v>0</v>
      </c>
      <c r="K1055" s="213" t="b">
        <v>0</v>
      </c>
    </row>
    <row r="1056" spans="1:11" ht="25.5" hidden="1">
      <c r="A1056" s="9">
        <v>2016</v>
      </c>
      <c r="B1056" s="6" t="s">
        <v>4080</v>
      </c>
      <c r="C1056" s="6" t="s">
        <v>61</v>
      </c>
      <c r="D1056" s="115" t="s">
        <v>1383</v>
      </c>
      <c r="E1056" s="6"/>
      <c r="F1056" s="6" t="s">
        <v>4081</v>
      </c>
      <c r="G1056" s="6" t="s">
        <v>4082</v>
      </c>
      <c r="H1056" s="121">
        <v>50000</v>
      </c>
      <c r="I1056" s="213" t="b">
        <v>0</v>
      </c>
      <c r="J1056" s="213" t="b">
        <v>0</v>
      </c>
      <c r="K1056" s="213" t="b">
        <v>0</v>
      </c>
    </row>
    <row r="1057" spans="1:11" ht="38.25" hidden="1">
      <c r="A1057" s="9">
        <v>2015</v>
      </c>
      <c r="B1057" s="61">
        <v>42005</v>
      </c>
      <c r="C1057" s="112" t="s">
        <v>3096</v>
      </c>
      <c r="D1057" s="6" t="s">
        <v>3075</v>
      </c>
      <c r="E1057" s="22"/>
      <c r="F1057" s="132" t="s">
        <v>4089</v>
      </c>
      <c r="G1057" s="132" t="s">
        <v>3076</v>
      </c>
      <c r="H1057" s="64">
        <v>384896</v>
      </c>
      <c r="I1057" s="213" t="b">
        <v>0</v>
      </c>
      <c r="J1057" s="213" t="b">
        <v>0</v>
      </c>
      <c r="K1057" s="213" t="b">
        <v>0</v>
      </c>
    </row>
    <row r="1058" spans="1:11" ht="25.5" hidden="1">
      <c r="A1058" s="9">
        <v>2015</v>
      </c>
      <c r="B1058" s="61">
        <v>42036</v>
      </c>
      <c r="C1058" s="112" t="s">
        <v>1867</v>
      </c>
      <c r="D1058" s="6" t="s">
        <v>4090</v>
      </c>
      <c r="E1058" s="22"/>
      <c r="F1058" s="6" t="s">
        <v>4091</v>
      </c>
      <c r="G1058" s="6" t="s">
        <v>4092</v>
      </c>
      <c r="H1058" s="6"/>
      <c r="I1058" s="213" t="b">
        <v>0</v>
      </c>
      <c r="J1058" s="213" t="b">
        <v>0</v>
      </c>
      <c r="K1058" s="213" t="b">
        <v>0</v>
      </c>
    </row>
    <row r="1059" spans="1:11" ht="25.5" hidden="1">
      <c r="A1059" s="9">
        <v>2015</v>
      </c>
      <c r="B1059" s="61">
        <v>42064</v>
      </c>
      <c r="C1059" s="112" t="s">
        <v>1867</v>
      </c>
      <c r="D1059" s="6" t="s">
        <v>3097</v>
      </c>
      <c r="E1059" s="22"/>
      <c r="F1059" s="6" t="s">
        <v>4094</v>
      </c>
      <c r="G1059" s="148" t="s">
        <v>4095</v>
      </c>
      <c r="H1059" s="6"/>
      <c r="I1059" s="213" t="b">
        <v>0</v>
      </c>
      <c r="J1059" s="213" t="b">
        <v>0</v>
      </c>
      <c r="K1059" s="213" t="b">
        <v>0</v>
      </c>
    </row>
    <row r="1060" spans="1:11" ht="38.25" hidden="1">
      <c r="A1060" s="9">
        <v>2015</v>
      </c>
      <c r="B1060" s="61">
        <v>42095</v>
      </c>
      <c r="C1060" s="112" t="s">
        <v>1867</v>
      </c>
      <c r="D1060" s="6" t="s">
        <v>62</v>
      </c>
      <c r="E1060" s="22"/>
      <c r="F1060" s="6" t="s">
        <v>4097</v>
      </c>
      <c r="G1060" s="6" t="s">
        <v>4098</v>
      </c>
      <c r="H1060" s="6"/>
      <c r="I1060" s="213" t="b">
        <v>0</v>
      </c>
      <c r="J1060" s="213" t="b">
        <v>0</v>
      </c>
      <c r="K1060" s="213" t="b">
        <v>0</v>
      </c>
    </row>
    <row r="1061" spans="1:11" ht="127.5" hidden="1">
      <c r="A1061" s="9">
        <v>2015</v>
      </c>
      <c r="B1061" s="61">
        <v>42125</v>
      </c>
      <c r="C1061" s="112" t="s">
        <v>1867</v>
      </c>
      <c r="D1061" s="6" t="s">
        <v>1231</v>
      </c>
      <c r="E1061" s="22"/>
      <c r="F1061" s="6" t="s">
        <v>4101</v>
      </c>
      <c r="G1061" s="6" t="s">
        <v>4102</v>
      </c>
      <c r="H1061" s="6" t="s">
        <v>4100</v>
      </c>
      <c r="I1061" s="213" t="b">
        <v>0</v>
      </c>
      <c r="J1061" s="213" t="b">
        <v>0</v>
      </c>
      <c r="K1061" s="213" t="b">
        <v>0</v>
      </c>
    </row>
    <row r="1062" spans="1:11" ht="38.25" hidden="1">
      <c r="A1062" s="9">
        <v>2015</v>
      </c>
      <c r="B1062" s="61">
        <v>42156</v>
      </c>
      <c r="C1062" s="112" t="s">
        <v>3096</v>
      </c>
      <c r="D1062" s="6" t="s">
        <v>3371</v>
      </c>
      <c r="E1062" s="22"/>
      <c r="F1062" s="6" t="s">
        <v>4103</v>
      </c>
      <c r="G1062" s="6" t="s">
        <v>4104</v>
      </c>
      <c r="H1062" s="64">
        <v>744000</v>
      </c>
      <c r="I1062" s="213" t="b">
        <v>0</v>
      </c>
      <c r="J1062" s="213" t="b">
        <v>0</v>
      </c>
      <c r="K1062" s="213" t="b">
        <v>0</v>
      </c>
    </row>
    <row r="1063" spans="1:11" ht="38.25">
      <c r="A1063" s="9">
        <v>2015</v>
      </c>
      <c r="B1063" s="62">
        <v>42309</v>
      </c>
      <c r="C1063" s="112" t="s">
        <v>61</v>
      </c>
      <c r="D1063" s="6" t="s">
        <v>62</v>
      </c>
      <c r="E1063" s="22"/>
      <c r="F1063" s="6" t="s">
        <v>4115</v>
      </c>
      <c r="G1063" s="6" t="s">
        <v>4116</v>
      </c>
      <c r="H1063" s="8">
        <v>672777.28</v>
      </c>
      <c r="I1063" s="213" t="b">
        <v>0</v>
      </c>
      <c r="J1063" s="213"/>
      <c r="K1063" s="213"/>
    </row>
    <row r="1064" spans="1:11" ht="63.75" hidden="1">
      <c r="A1064" s="9">
        <v>2015</v>
      </c>
      <c r="B1064" s="62">
        <v>42339</v>
      </c>
      <c r="C1064" s="112" t="s">
        <v>61</v>
      </c>
      <c r="D1064" s="6" t="s">
        <v>3168</v>
      </c>
      <c r="E1064" s="22"/>
      <c r="F1064" s="6" t="s">
        <v>4118</v>
      </c>
      <c r="G1064" s="6" t="s">
        <v>4119</v>
      </c>
      <c r="H1064" s="8">
        <v>500000</v>
      </c>
      <c r="I1064" s="213" t="b">
        <v>0</v>
      </c>
      <c r="J1064" s="213" t="b">
        <v>0</v>
      </c>
      <c r="K1064" s="213" t="b">
        <v>0</v>
      </c>
    </row>
    <row r="1065" spans="1:11" ht="38.25" hidden="1">
      <c r="A1065" s="9">
        <v>2015</v>
      </c>
      <c r="B1065" s="6" t="s">
        <v>4130</v>
      </c>
      <c r="C1065" s="112" t="s">
        <v>61</v>
      </c>
      <c r="D1065" s="6" t="s">
        <v>2993</v>
      </c>
      <c r="E1065" s="22"/>
      <c r="F1065" s="6" t="s">
        <v>4131</v>
      </c>
      <c r="G1065" s="6" t="s">
        <v>4132</v>
      </c>
      <c r="H1065" s="8">
        <v>230000</v>
      </c>
      <c r="I1065" s="213" t="b">
        <v>0</v>
      </c>
      <c r="J1065" s="213" t="b">
        <v>0</v>
      </c>
      <c r="K1065" s="213" t="b">
        <v>0</v>
      </c>
    </row>
    <row r="1066" spans="1:11" ht="25.5" hidden="1">
      <c r="A1066" s="9">
        <v>2015</v>
      </c>
      <c r="B1066" s="6" t="s">
        <v>4133</v>
      </c>
      <c r="C1066" s="112" t="s">
        <v>61</v>
      </c>
      <c r="D1066" s="6" t="s">
        <v>2993</v>
      </c>
      <c r="E1066" s="22"/>
      <c r="F1066" s="6" t="s">
        <v>4134</v>
      </c>
      <c r="G1066" s="6" t="s">
        <v>4132</v>
      </c>
      <c r="H1066" s="8">
        <v>220000</v>
      </c>
      <c r="I1066" s="213" t="b">
        <v>0</v>
      </c>
      <c r="J1066" s="213" t="b">
        <v>0</v>
      </c>
      <c r="K1066" s="213" t="b">
        <v>0</v>
      </c>
    </row>
    <row r="1067" spans="1:11" ht="51" hidden="1">
      <c r="A1067" s="9">
        <v>2015</v>
      </c>
      <c r="B1067" s="6" t="s">
        <v>4135</v>
      </c>
      <c r="C1067" s="112" t="s">
        <v>61</v>
      </c>
      <c r="D1067" s="6" t="s">
        <v>3092</v>
      </c>
      <c r="E1067" s="22"/>
      <c r="F1067" s="6" t="s">
        <v>4136</v>
      </c>
      <c r="G1067" s="6" t="s">
        <v>4137</v>
      </c>
      <c r="H1067" s="8">
        <v>366000</v>
      </c>
      <c r="I1067" s="213" t="b">
        <v>0</v>
      </c>
      <c r="J1067" s="213" t="b">
        <v>0</v>
      </c>
      <c r="K1067" s="213" t="b">
        <v>0</v>
      </c>
    </row>
    <row r="1068" spans="1:11" ht="25.5" hidden="1">
      <c r="A1068" s="9">
        <v>2015</v>
      </c>
      <c r="B1068" s="6" t="s">
        <v>4139</v>
      </c>
      <c r="C1068" s="112" t="s">
        <v>3096</v>
      </c>
      <c r="D1068" s="6" t="s">
        <v>1231</v>
      </c>
      <c r="E1068" s="22"/>
      <c r="F1068" s="6" t="s">
        <v>4140</v>
      </c>
      <c r="G1068" s="6" t="s">
        <v>4141</v>
      </c>
      <c r="H1068" s="64">
        <v>200000</v>
      </c>
      <c r="I1068" s="213" t="b">
        <v>0</v>
      </c>
      <c r="J1068" s="213" t="b">
        <v>0</v>
      </c>
      <c r="K1068" s="213" t="b">
        <v>0</v>
      </c>
    </row>
    <row r="1069" spans="1:11" ht="51">
      <c r="A1069" s="9">
        <v>2015</v>
      </c>
      <c r="B1069" s="6" t="s">
        <v>4142</v>
      </c>
      <c r="C1069" s="112" t="s">
        <v>61</v>
      </c>
      <c r="D1069" s="6" t="s">
        <v>62</v>
      </c>
      <c r="E1069" s="22"/>
      <c r="F1069" s="6" t="s">
        <v>4143</v>
      </c>
      <c r="G1069" s="6" t="s">
        <v>4144</v>
      </c>
      <c r="H1069" s="8">
        <v>1800000</v>
      </c>
      <c r="I1069" s="213" t="b">
        <v>0</v>
      </c>
      <c r="J1069" s="213"/>
      <c r="K1069" s="213"/>
    </row>
    <row r="1070" spans="1:11" ht="89.25" hidden="1">
      <c r="A1070" s="9">
        <v>2015</v>
      </c>
      <c r="B1070" s="6" t="s">
        <v>4146</v>
      </c>
      <c r="C1070" s="112" t="s">
        <v>61</v>
      </c>
      <c r="D1070" s="6" t="s">
        <v>3168</v>
      </c>
      <c r="E1070" s="22"/>
      <c r="F1070" s="6" t="s">
        <v>4147</v>
      </c>
      <c r="G1070" s="6" t="s">
        <v>4148</v>
      </c>
      <c r="H1070" s="8">
        <v>160000</v>
      </c>
      <c r="I1070" s="213" t="b">
        <v>0</v>
      </c>
      <c r="J1070" s="213" t="b">
        <v>0</v>
      </c>
      <c r="K1070" s="213" t="b">
        <v>0</v>
      </c>
    </row>
    <row r="1071" spans="1:11" ht="25.5">
      <c r="A1071" s="9">
        <v>2015</v>
      </c>
      <c r="B1071" s="6" t="s">
        <v>4150</v>
      </c>
      <c r="C1071" s="112" t="s">
        <v>61</v>
      </c>
      <c r="D1071" s="6" t="s">
        <v>4151</v>
      </c>
      <c r="E1071" s="22"/>
      <c r="F1071" s="6" t="s">
        <v>4152</v>
      </c>
      <c r="G1071" s="6" t="s">
        <v>811</v>
      </c>
      <c r="H1071" s="8">
        <v>220000</v>
      </c>
      <c r="I1071" s="213" t="b">
        <v>0</v>
      </c>
      <c r="J1071" s="213"/>
      <c r="K1071" s="213"/>
    </row>
    <row r="1072" spans="1:11" ht="25.5" hidden="1">
      <c r="A1072" s="9">
        <v>2015</v>
      </c>
      <c r="B1072" s="6" t="s">
        <v>4162</v>
      </c>
      <c r="C1072" s="112" t="s">
        <v>61</v>
      </c>
      <c r="D1072" s="6" t="s">
        <v>394</v>
      </c>
      <c r="E1072" s="22"/>
      <c r="F1072" s="6" t="s">
        <v>4163</v>
      </c>
      <c r="G1072" s="6" t="s">
        <v>581</v>
      </c>
      <c r="H1072" s="8">
        <v>375000</v>
      </c>
      <c r="I1072" s="213" t="b">
        <v>0</v>
      </c>
      <c r="J1072" s="213" t="b">
        <v>0</v>
      </c>
      <c r="K1072" s="213" t="b">
        <v>0</v>
      </c>
    </row>
    <row r="1073" spans="1:11" ht="38.25" hidden="1">
      <c r="A1073" s="9">
        <v>2015</v>
      </c>
      <c r="B1073" s="6" t="s">
        <v>4167</v>
      </c>
      <c r="C1073" s="112" t="s">
        <v>61</v>
      </c>
      <c r="D1073" s="6" t="s">
        <v>586</v>
      </c>
      <c r="E1073" s="22"/>
      <c r="F1073" s="6" t="s">
        <v>4168</v>
      </c>
      <c r="G1073" s="6" t="s">
        <v>4169</v>
      </c>
      <c r="H1073" s="8">
        <v>106000</v>
      </c>
      <c r="I1073" s="213" t="b">
        <v>0</v>
      </c>
      <c r="J1073" s="213" t="b">
        <v>0</v>
      </c>
      <c r="K1073" s="213" t="b">
        <v>0</v>
      </c>
    </row>
    <row r="1074" spans="1:11" ht="51" hidden="1">
      <c r="A1074" s="9">
        <v>2015</v>
      </c>
      <c r="B1074" s="6" t="s">
        <v>4171</v>
      </c>
      <c r="C1074" s="112" t="s">
        <v>61</v>
      </c>
      <c r="D1074" s="6" t="s">
        <v>394</v>
      </c>
      <c r="E1074" s="22"/>
      <c r="F1074" s="6" t="s">
        <v>4172</v>
      </c>
      <c r="G1074" s="6" t="s">
        <v>1478</v>
      </c>
      <c r="H1074" s="8">
        <v>168660</v>
      </c>
      <c r="I1074" s="213" t="b">
        <v>0</v>
      </c>
      <c r="J1074" s="213" t="b">
        <v>0</v>
      </c>
      <c r="K1074" s="213" t="b">
        <v>0</v>
      </c>
    </row>
    <row r="1075" spans="1:11" ht="51" hidden="1">
      <c r="A1075" s="9">
        <v>2015</v>
      </c>
      <c r="B1075" s="6" t="s">
        <v>4173</v>
      </c>
      <c r="C1075" s="112" t="s">
        <v>4174</v>
      </c>
      <c r="D1075" s="6"/>
      <c r="E1075" s="22"/>
      <c r="F1075" s="6" t="s">
        <v>4175</v>
      </c>
      <c r="G1075" s="6" t="s">
        <v>4176</v>
      </c>
      <c r="H1075" s="64">
        <v>200000</v>
      </c>
      <c r="I1075" s="213" t="b">
        <v>0</v>
      </c>
      <c r="J1075" s="213" t="b">
        <v>0</v>
      </c>
      <c r="K1075" s="213" t="b">
        <v>0</v>
      </c>
    </row>
    <row r="1076" spans="1:11" ht="51" hidden="1">
      <c r="A1076" s="9">
        <v>2015</v>
      </c>
      <c r="B1076" s="6" t="s">
        <v>4177</v>
      </c>
      <c r="C1076" s="112" t="s">
        <v>61</v>
      </c>
      <c r="D1076" s="9" t="s">
        <v>3168</v>
      </c>
      <c r="E1076" s="140"/>
      <c r="F1076" s="6" t="s">
        <v>4178</v>
      </c>
      <c r="G1076" s="6" t="s">
        <v>811</v>
      </c>
      <c r="H1076" s="8">
        <v>176000</v>
      </c>
      <c r="I1076" s="213" t="b">
        <v>0</v>
      </c>
      <c r="J1076" s="213" t="b">
        <v>0</v>
      </c>
      <c r="K1076" s="213" t="b">
        <v>0</v>
      </c>
    </row>
    <row r="1077" spans="1:11" ht="51" hidden="1">
      <c r="A1077" s="9">
        <v>2015</v>
      </c>
      <c r="B1077" s="6" t="s">
        <v>4179</v>
      </c>
      <c r="C1077" s="112" t="s">
        <v>61</v>
      </c>
      <c r="D1077" s="6" t="s">
        <v>3168</v>
      </c>
      <c r="E1077" s="22"/>
      <c r="F1077" s="6" t="s">
        <v>4180</v>
      </c>
      <c r="G1077" s="6" t="s">
        <v>811</v>
      </c>
      <c r="H1077" s="8">
        <v>272000</v>
      </c>
      <c r="I1077" s="213" t="b">
        <v>0</v>
      </c>
      <c r="J1077" s="213" t="b">
        <v>0</v>
      </c>
      <c r="K1077" s="213" t="b">
        <v>0</v>
      </c>
    </row>
    <row r="1078" spans="1:11" ht="51" hidden="1">
      <c r="A1078" s="9">
        <v>2015</v>
      </c>
      <c r="B1078" s="62">
        <v>42186</v>
      </c>
      <c r="C1078" s="112" t="s">
        <v>3096</v>
      </c>
      <c r="D1078" s="6" t="s">
        <v>1383</v>
      </c>
      <c r="E1078" s="22"/>
      <c r="F1078" s="6" t="s">
        <v>4105</v>
      </c>
      <c r="G1078" s="6" t="s">
        <v>4106</v>
      </c>
      <c r="H1078" s="64">
        <v>7796082</v>
      </c>
      <c r="I1078" s="213" t="b">
        <v>0</v>
      </c>
      <c r="J1078" s="213" t="b">
        <v>0</v>
      </c>
      <c r="K1078" s="213" t="b">
        <v>0</v>
      </c>
    </row>
    <row r="1079" spans="1:11" ht="51">
      <c r="A1079" s="9">
        <v>2015</v>
      </c>
      <c r="B1079" s="6" t="s">
        <v>4186</v>
      </c>
      <c r="C1079" s="112" t="s">
        <v>61</v>
      </c>
      <c r="D1079" s="6" t="s">
        <v>62</v>
      </c>
      <c r="E1079" s="22"/>
      <c r="F1079" s="6" t="s">
        <v>4187</v>
      </c>
      <c r="G1079" s="6" t="s">
        <v>4188</v>
      </c>
      <c r="H1079" s="8">
        <v>2000000</v>
      </c>
      <c r="I1079" s="213" t="b">
        <v>0</v>
      </c>
      <c r="J1079" s="213"/>
      <c r="K1079" s="213"/>
    </row>
    <row r="1080" spans="1:11" ht="51" hidden="1">
      <c r="A1080" s="9">
        <v>2015</v>
      </c>
      <c r="B1080" s="6" t="s">
        <v>4190</v>
      </c>
      <c r="C1080" s="112" t="s">
        <v>61</v>
      </c>
      <c r="D1080" s="6" t="s">
        <v>3092</v>
      </c>
      <c r="E1080" s="22"/>
      <c r="F1080" s="6" t="s">
        <v>4191</v>
      </c>
      <c r="G1080" s="6" t="s">
        <v>4192</v>
      </c>
      <c r="H1080" s="8">
        <v>818000</v>
      </c>
      <c r="I1080" s="213" t="b">
        <v>0</v>
      </c>
      <c r="J1080" s="213" t="b">
        <v>0</v>
      </c>
      <c r="K1080" s="213" t="b">
        <v>0</v>
      </c>
    </row>
    <row r="1081" spans="1:11" ht="25.5" hidden="1">
      <c r="A1081" s="9">
        <v>2015</v>
      </c>
      <c r="B1081" s="6" t="s">
        <v>4193</v>
      </c>
      <c r="C1081" s="112" t="s">
        <v>61</v>
      </c>
      <c r="D1081" s="6" t="s">
        <v>1141</v>
      </c>
      <c r="E1081" s="22"/>
      <c r="F1081" s="6" t="s">
        <v>4194</v>
      </c>
      <c r="G1081" s="6" t="s">
        <v>4195</v>
      </c>
      <c r="H1081" s="8">
        <v>53759.67</v>
      </c>
      <c r="I1081" s="213" t="b">
        <v>0</v>
      </c>
      <c r="J1081" s="213" t="b">
        <v>0</v>
      </c>
      <c r="K1081" s="213" t="b">
        <v>0</v>
      </c>
    </row>
    <row r="1082" spans="1:11" ht="38.25" hidden="1">
      <c r="A1082" s="9">
        <v>2015</v>
      </c>
      <c r="B1082" s="6" t="s">
        <v>4197</v>
      </c>
      <c r="C1082" s="112" t="s">
        <v>61</v>
      </c>
      <c r="D1082" s="6" t="s">
        <v>652</v>
      </c>
      <c r="E1082" s="22"/>
      <c r="F1082" s="6" t="s">
        <v>4198</v>
      </c>
      <c r="G1082" s="6" t="s">
        <v>4199</v>
      </c>
      <c r="H1082" s="8">
        <v>1135672</v>
      </c>
      <c r="I1082" s="213" t="b">
        <v>0</v>
      </c>
      <c r="J1082" s="213" t="b">
        <v>0</v>
      </c>
      <c r="K1082" s="213" t="b">
        <v>0</v>
      </c>
    </row>
    <row r="1083" spans="1:11" ht="51" hidden="1">
      <c r="A1083" s="9">
        <v>2015</v>
      </c>
      <c r="B1083" s="6" t="s">
        <v>4201</v>
      </c>
      <c r="C1083" s="112" t="s">
        <v>61</v>
      </c>
      <c r="D1083" s="6" t="s">
        <v>394</v>
      </c>
      <c r="E1083" s="22"/>
      <c r="F1083" s="6" t="s">
        <v>4202</v>
      </c>
      <c r="G1083" s="6" t="s">
        <v>4176</v>
      </c>
      <c r="H1083" s="8">
        <v>191150</v>
      </c>
      <c r="I1083" s="213" t="b">
        <v>0</v>
      </c>
      <c r="J1083" s="213" t="b">
        <v>0</v>
      </c>
      <c r="K1083" s="213" t="b">
        <v>0</v>
      </c>
    </row>
    <row r="1084" spans="1:11" ht="38.25" hidden="1">
      <c r="A1084" s="9">
        <v>2015</v>
      </c>
      <c r="B1084" s="6" t="s">
        <v>4203</v>
      </c>
      <c r="C1084" s="112" t="s">
        <v>1867</v>
      </c>
      <c r="D1084" s="6"/>
      <c r="E1084" s="22"/>
      <c r="F1084" s="6" t="s">
        <v>4204</v>
      </c>
      <c r="G1084" s="6" t="s">
        <v>4205</v>
      </c>
      <c r="H1084" s="6"/>
      <c r="I1084" s="213" t="b">
        <v>0</v>
      </c>
      <c r="J1084" s="213" t="b">
        <v>0</v>
      </c>
      <c r="K1084" s="213" t="b">
        <v>0</v>
      </c>
    </row>
    <row r="1085" spans="1:11" ht="25.5" hidden="1">
      <c r="A1085" s="9">
        <v>2015</v>
      </c>
      <c r="B1085" s="6" t="s">
        <v>4207</v>
      </c>
      <c r="C1085" s="112" t="s">
        <v>61</v>
      </c>
      <c r="D1085" s="6" t="s">
        <v>68</v>
      </c>
      <c r="E1085" s="22"/>
      <c r="F1085" s="6" t="s">
        <v>4208</v>
      </c>
      <c r="G1085" s="6" t="s">
        <v>4209</v>
      </c>
      <c r="H1085" s="8">
        <v>30000</v>
      </c>
      <c r="I1085" s="213" t="b">
        <v>0</v>
      </c>
      <c r="J1085" s="213" t="b">
        <v>0</v>
      </c>
      <c r="K1085" s="213" t="b">
        <v>0</v>
      </c>
    </row>
    <row r="1086" spans="1:11" ht="51" hidden="1">
      <c r="A1086" s="9">
        <v>2015</v>
      </c>
      <c r="B1086" s="6" t="s">
        <v>4211</v>
      </c>
      <c r="C1086" s="112" t="s">
        <v>61</v>
      </c>
      <c r="D1086" s="6" t="s">
        <v>394</v>
      </c>
      <c r="E1086" s="22"/>
      <c r="F1086" s="6" t="s">
        <v>4212</v>
      </c>
      <c r="G1086" s="6" t="s">
        <v>4213</v>
      </c>
      <c r="H1086" s="8">
        <v>107900</v>
      </c>
      <c r="I1086" s="213" t="b">
        <v>0</v>
      </c>
      <c r="J1086" s="213" t="b">
        <v>0</v>
      </c>
      <c r="K1086" s="213" t="b">
        <v>0</v>
      </c>
    </row>
    <row r="1087" spans="1:11" ht="51" hidden="1">
      <c r="A1087" s="9">
        <v>2015</v>
      </c>
      <c r="B1087" s="6" t="s">
        <v>4214</v>
      </c>
      <c r="C1087" s="9" t="s">
        <v>61</v>
      </c>
      <c r="D1087" s="6" t="s">
        <v>3092</v>
      </c>
      <c r="E1087" s="22"/>
      <c r="F1087" s="6" t="s">
        <v>4191</v>
      </c>
      <c r="G1087" s="6" t="s">
        <v>4215</v>
      </c>
      <c r="H1087" s="8">
        <v>531000</v>
      </c>
      <c r="I1087" s="213" t="b">
        <v>0</v>
      </c>
      <c r="J1087" s="213" t="b">
        <v>0</v>
      </c>
      <c r="K1087" s="213" t="b">
        <v>0</v>
      </c>
    </row>
    <row r="1088" spans="1:11" ht="89.25" hidden="1">
      <c r="A1088" s="9">
        <v>2015</v>
      </c>
      <c r="B1088" s="6" t="s">
        <v>4217</v>
      </c>
      <c r="C1088" s="112" t="s">
        <v>61</v>
      </c>
      <c r="D1088" s="6" t="s">
        <v>1141</v>
      </c>
      <c r="E1088" s="22"/>
      <c r="F1088" s="6" t="s">
        <v>4218</v>
      </c>
      <c r="G1088" s="6" t="s">
        <v>4219</v>
      </c>
      <c r="H1088" s="30">
        <v>138019.25</v>
      </c>
      <c r="I1088" s="213" t="b">
        <v>0</v>
      </c>
      <c r="J1088" s="213" t="b">
        <v>0</v>
      </c>
      <c r="K1088" s="213" t="b">
        <v>0</v>
      </c>
    </row>
    <row r="1089" spans="1:11" ht="63.75">
      <c r="A1089" s="9">
        <v>2015</v>
      </c>
      <c r="B1089" s="6" t="s">
        <v>4221</v>
      </c>
      <c r="C1089" s="112" t="s">
        <v>61</v>
      </c>
      <c r="D1089" s="6" t="s">
        <v>62</v>
      </c>
      <c r="E1089" s="22"/>
      <c r="F1089" s="132" t="s">
        <v>4222</v>
      </c>
      <c r="G1089" s="6" t="s">
        <v>4223</v>
      </c>
      <c r="H1089" s="8">
        <v>195000</v>
      </c>
      <c r="I1089" s="213" t="b">
        <v>0</v>
      </c>
      <c r="J1089" s="213"/>
      <c r="K1089" s="213"/>
    </row>
    <row r="1090" spans="1:11" ht="38.25">
      <c r="A1090" s="9">
        <v>2015</v>
      </c>
      <c r="B1090" s="6" t="s">
        <v>4225</v>
      </c>
      <c r="C1090" s="112" t="s">
        <v>61</v>
      </c>
      <c r="D1090" s="6" t="s">
        <v>62</v>
      </c>
      <c r="E1090" s="22"/>
      <c r="F1090" s="6" t="s">
        <v>4226</v>
      </c>
      <c r="G1090" s="6" t="s">
        <v>4227</v>
      </c>
      <c r="H1090" s="8">
        <v>1930000</v>
      </c>
      <c r="I1090" s="213" t="b">
        <v>0</v>
      </c>
      <c r="J1090" s="213"/>
      <c r="K1090" s="213"/>
    </row>
    <row r="1091" spans="1:11" ht="25.5" hidden="1">
      <c r="A1091" s="9">
        <v>2015</v>
      </c>
      <c r="B1091" s="6" t="s">
        <v>4229</v>
      </c>
      <c r="C1091" s="112" t="s">
        <v>61</v>
      </c>
      <c r="D1091" s="6" t="s">
        <v>68</v>
      </c>
      <c r="E1091" s="22"/>
      <c r="F1091" s="6" t="s">
        <v>4230</v>
      </c>
      <c r="G1091" s="6" t="s">
        <v>4231</v>
      </c>
      <c r="H1091" s="8">
        <v>480000</v>
      </c>
      <c r="I1091" s="213" t="b">
        <v>0</v>
      </c>
      <c r="J1091" s="213" t="b">
        <v>0</v>
      </c>
      <c r="K1091" s="213" t="b">
        <v>0</v>
      </c>
    </row>
    <row r="1092" spans="1:11" ht="63.75" hidden="1">
      <c r="A1092" s="9">
        <v>2015</v>
      </c>
      <c r="B1092" s="6" t="s">
        <v>4233</v>
      </c>
      <c r="C1092" s="112" t="s">
        <v>61</v>
      </c>
      <c r="D1092" s="6" t="s">
        <v>3168</v>
      </c>
      <c r="E1092" s="22"/>
      <c r="F1092" s="6" t="s">
        <v>4234</v>
      </c>
      <c r="G1092" s="6" t="s">
        <v>4235</v>
      </c>
      <c r="H1092" s="30">
        <v>556600</v>
      </c>
      <c r="I1092" s="213" t="b">
        <v>0</v>
      </c>
      <c r="J1092" s="213" t="b">
        <v>0</v>
      </c>
      <c r="K1092" s="213" t="b">
        <v>0</v>
      </c>
    </row>
    <row r="1093" spans="1:11" ht="51" hidden="1">
      <c r="A1093" s="9">
        <v>2015</v>
      </c>
      <c r="B1093" s="6" t="s">
        <v>4236</v>
      </c>
      <c r="C1093" s="112" t="s">
        <v>1867</v>
      </c>
      <c r="D1093" s="6"/>
      <c r="E1093" s="22"/>
      <c r="F1093" s="6" t="s">
        <v>4237</v>
      </c>
      <c r="G1093" s="6" t="s">
        <v>4238</v>
      </c>
      <c r="H1093" s="6"/>
      <c r="I1093" s="213" t="b">
        <v>0</v>
      </c>
      <c r="J1093" s="213" t="b">
        <v>0</v>
      </c>
      <c r="K1093" s="213" t="b">
        <v>0</v>
      </c>
    </row>
    <row r="1094" spans="1:11" ht="51" hidden="1">
      <c r="A1094" s="9">
        <v>2015</v>
      </c>
      <c r="B1094" s="6" t="s">
        <v>4240</v>
      </c>
      <c r="C1094" s="112" t="s">
        <v>3096</v>
      </c>
      <c r="D1094" s="6"/>
      <c r="E1094" s="22"/>
      <c r="F1094" s="6" t="s">
        <v>4241</v>
      </c>
      <c r="G1094" s="6" t="s">
        <v>4242</v>
      </c>
      <c r="H1094" s="8">
        <v>483315</v>
      </c>
      <c r="I1094" s="213" t="b">
        <v>0</v>
      </c>
      <c r="J1094" s="213" t="b">
        <v>0</v>
      </c>
      <c r="K1094" s="213" t="b">
        <v>0</v>
      </c>
    </row>
    <row r="1095" spans="1:11" ht="38.25" hidden="1">
      <c r="A1095" s="9">
        <v>2015</v>
      </c>
      <c r="B1095" s="6" t="s">
        <v>4250</v>
      </c>
      <c r="C1095" s="112" t="s">
        <v>61</v>
      </c>
      <c r="D1095" s="6" t="s">
        <v>68</v>
      </c>
      <c r="E1095" s="22"/>
      <c r="F1095" s="6" t="s">
        <v>4251</v>
      </c>
      <c r="G1095" s="6" t="s">
        <v>4252</v>
      </c>
      <c r="H1095" s="8">
        <v>41440</v>
      </c>
      <c r="I1095" s="213" t="b">
        <v>0</v>
      </c>
      <c r="J1095" s="213" t="b">
        <v>0</v>
      </c>
      <c r="K1095" s="213" t="b">
        <v>0</v>
      </c>
    </row>
    <row r="1096" spans="1:11" ht="38.25" hidden="1">
      <c r="A1096" s="9">
        <v>2015</v>
      </c>
      <c r="B1096" s="6" t="s">
        <v>4254</v>
      </c>
      <c r="C1096" s="112" t="s">
        <v>61</v>
      </c>
      <c r="D1096" s="6" t="s">
        <v>68</v>
      </c>
      <c r="E1096" s="22"/>
      <c r="F1096" s="6" t="s">
        <v>4255</v>
      </c>
      <c r="G1096" s="6" t="s">
        <v>4256</v>
      </c>
      <c r="H1096" s="8">
        <v>604800</v>
      </c>
      <c r="I1096" s="213" t="b">
        <v>0</v>
      </c>
      <c r="J1096" s="213" t="b">
        <v>0</v>
      </c>
      <c r="K1096" s="213" t="b">
        <v>0</v>
      </c>
    </row>
    <row r="1097" spans="1:11" ht="38.25">
      <c r="A1097" s="9">
        <v>2015</v>
      </c>
      <c r="B1097" s="6" t="s">
        <v>4258</v>
      </c>
      <c r="C1097" s="112" t="s">
        <v>61</v>
      </c>
      <c r="D1097" s="6" t="s">
        <v>62</v>
      </c>
      <c r="E1097" s="22"/>
      <c r="F1097" s="6" t="s">
        <v>4259</v>
      </c>
      <c r="G1097" s="6" t="s">
        <v>4260</v>
      </c>
      <c r="H1097" s="8">
        <v>958369.8</v>
      </c>
      <c r="I1097" s="213" t="b">
        <v>0</v>
      </c>
      <c r="J1097" s="213"/>
      <c r="K1097" s="213"/>
    </row>
    <row r="1098" spans="1:11" ht="38.25">
      <c r="A1098" s="9">
        <v>2015</v>
      </c>
      <c r="B1098" s="6" t="s">
        <v>4262</v>
      </c>
      <c r="C1098" s="112" t="s">
        <v>61</v>
      </c>
      <c r="D1098" s="6" t="s">
        <v>62</v>
      </c>
      <c r="E1098" s="22"/>
      <c r="F1098" s="6" t="s">
        <v>4263</v>
      </c>
      <c r="G1098" s="6" t="s">
        <v>4264</v>
      </c>
      <c r="H1098" s="8">
        <v>410000</v>
      </c>
      <c r="I1098" s="213" t="b">
        <v>0</v>
      </c>
      <c r="J1098" s="213"/>
      <c r="K1098" s="213"/>
    </row>
    <row r="1099" spans="1:11" ht="63.75">
      <c r="A1099" s="9">
        <v>2015</v>
      </c>
      <c r="B1099" s="6" t="s">
        <v>4266</v>
      </c>
      <c r="C1099" s="112" t="s">
        <v>61</v>
      </c>
      <c r="D1099" s="6" t="s">
        <v>62</v>
      </c>
      <c r="E1099" s="22"/>
      <c r="F1099" s="6" t="s">
        <v>4267</v>
      </c>
      <c r="G1099" s="6" t="s">
        <v>4268</v>
      </c>
      <c r="H1099" s="8">
        <v>1956500</v>
      </c>
      <c r="I1099" s="213" t="b">
        <v>0</v>
      </c>
      <c r="J1099" s="213"/>
      <c r="K1099" s="213"/>
    </row>
    <row r="1100" spans="1:11" ht="51">
      <c r="A1100" s="9">
        <v>2015</v>
      </c>
      <c r="B1100" s="6" t="s">
        <v>4270</v>
      </c>
      <c r="C1100" s="112" t="s">
        <v>61</v>
      </c>
      <c r="D1100" s="6" t="s">
        <v>62</v>
      </c>
      <c r="E1100" s="22"/>
      <c r="F1100" s="6" t="s">
        <v>4271</v>
      </c>
      <c r="G1100" s="6" t="s">
        <v>4272</v>
      </c>
      <c r="H1100" s="8">
        <v>1900000</v>
      </c>
      <c r="I1100" s="213" t="b">
        <v>0</v>
      </c>
      <c r="J1100" s="213"/>
      <c r="K1100" s="213"/>
    </row>
    <row r="1101" spans="1:11" ht="63.75">
      <c r="A1101" s="9">
        <v>2015</v>
      </c>
      <c r="B1101" s="6" t="s">
        <v>4274</v>
      </c>
      <c r="C1101" s="112" t="s">
        <v>61</v>
      </c>
      <c r="D1101" s="6" t="s">
        <v>62</v>
      </c>
      <c r="E1101" s="22"/>
      <c r="F1101" s="6" t="s">
        <v>4275</v>
      </c>
      <c r="G1101" s="6" t="s">
        <v>4276</v>
      </c>
      <c r="H1101" s="8">
        <v>598728</v>
      </c>
      <c r="I1101" s="213" t="b">
        <v>0</v>
      </c>
      <c r="J1101" s="213"/>
      <c r="K1101" s="213"/>
    </row>
    <row r="1102" spans="1:11" ht="25.5">
      <c r="A1102" s="9">
        <v>2015</v>
      </c>
      <c r="B1102" s="6" t="s">
        <v>4278</v>
      </c>
      <c r="C1102" s="112" t="s">
        <v>61</v>
      </c>
      <c r="D1102" s="6" t="s">
        <v>62</v>
      </c>
      <c r="E1102" s="22"/>
      <c r="F1102" s="6" t="s">
        <v>807</v>
      </c>
      <c r="G1102" s="6" t="s">
        <v>811</v>
      </c>
      <c r="H1102" s="8">
        <v>420000</v>
      </c>
      <c r="I1102" s="213" t="b">
        <v>0</v>
      </c>
      <c r="J1102" s="213"/>
      <c r="K1102" s="213"/>
    </row>
    <row r="1103" spans="1:11" ht="25.5" hidden="1">
      <c r="A1103" s="9">
        <v>2015</v>
      </c>
      <c r="B1103" s="6" t="s">
        <v>4283</v>
      </c>
      <c r="C1103" s="112" t="s">
        <v>61</v>
      </c>
      <c r="D1103" s="6" t="s">
        <v>586</v>
      </c>
      <c r="E1103" s="22"/>
      <c r="F1103" s="6" t="s">
        <v>4284</v>
      </c>
      <c r="G1103" s="6" t="s">
        <v>4285</v>
      </c>
      <c r="H1103" s="8">
        <v>50000</v>
      </c>
      <c r="I1103" s="213" t="b">
        <v>0</v>
      </c>
      <c r="J1103" s="213" t="b">
        <v>0</v>
      </c>
      <c r="K1103" s="213" t="b">
        <v>0</v>
      </c>
    </row>
    <row r="1104" spans="1:11" ht="38.25" hidden="1">
      <c r="A1104" s="9">
        <v>2015</v>
      </c>
      <c r="B1104" s="6" t="s">
        <v>4294</v>
      </c>
      <c r="C1104" s="112" t="s">
        <v>61</v>
      </c>
      <c r="D1104" s="6" t="s">
        <v>394</v>
      </c>
      <c r="E1104" s="22"/>
      <c r="F1104" s="6" t="s">
        <v>4295</v>
      </c>
      <c r="G1104" s="6" t="s">
        <v>4161</v>
      </c>
      <c r="H1104" s="8">
        <v>90000</v>
      </c>
      <c r="I1104" s="213" t="b">
        <v>0</v>
      </c>
      <c r="J1104" s="213" t="b">
        <v>0</v>
      </c>
      <c r="K1104" s="213" t="b">
        <v>0</v>
      </c>
    </row>
    <row r="1105" spans="1:11" ht="38.25" hidden="1">
      <c r="A1105" s="9">
        <v>2015</v>
      </c>
      <c r="B1105" s="6" t="s">
        <v>4300</v>
      </c>
      <c r="C1105" s="112" t="s">
        <v>61</v>
      </c>
      <c r="D1105" s="6" t="s">
        <v>1763</v>
      </c>
      <c r="E1105" s="22"/>
      <c r="F1105" s="6" t="s">
        <v>4301</v>
      </c>
      <c r="G1105" s="6" t="s">
        <v>4302</v>
      </c>
      <c r="H1105" s="8">
        <v>16250</v>
      </c>
      <c r="I1105" s="213" t="b">
        <v>0</v>
      </c>
      <c r="J1105" s="213" t="b">
        <v>0</v>
      </c>
      <c r="K1105" s="213" t="b">
        <v>0</v>
      </c>
    </row>
    <row r="1106" spans="1:11" ht="38.25" hidden="1">
      <c r="A1106" s="9">
        <v>2015</v>
      </c>
      <c r="B1106" s="6" t="s">
        <v>4323</v>
      </c>
      <c r="C1106" s="112" t="s">
        <v>61</v>
      </c>
      <c r="D1106" s="6" t="s">
        <v>394</v>
      </c>
      <c r="E1106" s="22"/>
      <c r="F1106" s="6" t="s">
        <v>4324</v>
      </c>
      <c r="G1106" s="6" t="s">
        <v>4325</v>
      </c>
      <c r="H1106" s="8">
        <v>77500</v>
      </c>
      <c r="I1106" s="213" t="b">
        <v>0</v>
      </c>
      <c r="J1106" s="213" t="b">
        <v>0</v>
      </c>
      <c r="K1106" s="213" t="b">
        <v>0</v>
      </c>
    </row>
    <row r="1107" spans="1:11" ht="25.5" hidden="1">
      <c r="A1107" s="9">
        <v>2015</v>
      </c>
      <c r="B1107" s="6" t="s">
        <v>4326</v>
      </c>
      <c r="C1107" s="112" t="s">
        <v>61</v>
      </c>
      <c r="D1107" s="6" t="s">
        <v>1763</v>
      </c>
      <c r="E1107" s="22"/>
      <c r="F1107" s="6" t="s">
        <v>4327</v>
      </c>
      <c r="G1107" s="6" t="s">
        <v>4328</v>
      </c>
      <c r="H1107" s="8">
        <v>15875</v>
      </c>
      <c r="I1107" s="213" t="b">
        <v>0</v>
      </c>
      <c r="J1107" s="213" t="b">
        <v>0</v>
      </c>
      <c r="K1107" s="213" t="b">
        <v>0</v>
      </c>
    </row>
    <row r="1108" spans="1:11" ht="25.5" hidden="1">
      <c r="A1108" s="9">
        <v>2015</v>
      </c>
      <c r="B1108" s="6" t="s">
        <v>4330</v>
      </c>
      <c r="C1108" s="112" t="s">
        <v>61</v>
      </c>
      <c r="D1108" s="6" t="s">
        <v>2993</v>
      </c>
      <c r="E1108" s="22"/>
      <c r="F1108" s="6" t="s">
        <v>4331</v>
      </c>
      <c r="G1108" s="6" t="s">
        <v>4332</v>
      </c>
      <c r="H1108" s="8">
        <v>84805</v>
      </c>
      <c r="I1108" s="213" t="b">
        <v>0</v>
      </c>
      <c r="J1108" s="213" t="b">
        <v>0</v>
      </c>
      <c r="K1108" s="213" t="b">
        <v>0</v>
      </c>
    </row>
    <row r="1109" spans="1:11" ht="51" hidden="1">
      <c r="A1109" s="9">
        <v>2015</v>
      </c>
      <c r="B1109" s="6" t="s">
        <v>4337</v>
      </c>
      <c r="C1109" s="112" t="s">
        <v>61</v>
      </c>
      <c r="D1109" s="6" t="s">
        <v>1763</v>
      </c>
      <c r="E1109" s="22"/>
      <c r="F1109" s="6" t="s">
        <v>4338</v>
      </c>
      <c r="G1109" s="6" t="s">
        <v>4339</v>
      </c>
      <c r="H1109" s="8">
        <v>16100</v>
      </c>
      <c r="I1109" s="213" t="b">
        <v>0</v>
      </c>
      <c r="J1109" s="213" t="b">
        <v>0</v>
      </c>
      <c r="K1109" s="213" t="b">
        <v>0</v>
      </c>
    </row>
    <row r="1110" spans="1:11" ht="25.5" hidden="1">
      <c r="A1110" s="9">
        <v>2015</v>
      </c>
      <c r="B1110" s="6" t="s">
        <v>4340</v>
      </c>
      <c r="C1110" s="112" t="s">
        <v>61</v>
      </c>
      <c r="D1110" s="6" t="s">
        <v>394</v>
      </c>
      <c r="E1110" s="22"/>
      <c r="F1110" s="6" t="s">
        <v>4341</v>
      </c>
      <c r="G1110" s="6" t="s">
        <v>4342</v>
      </c>
      <c r="H1110" s="8">
        <v>55000</v>
      </c>
      <c r="I1110" s="213" t="b">
        <v>0</v>
      </c>
      <c r="J1110" s="213" t="b">
        <v>0</v>
      </c>
      <c r="K1110" s="213" t="b">
        <v>0</v>
      </c>
    </row>
    <row r="1111" spans="1:11" ht="51" hidden="1">
      <c r="A1111" s="9">
        <v>2015</v>
      </c>
      <c r="B1111" s="6" t="s">
        <v>4348</v>
      </c>
      <c r="C1111" s="112" t="s">
        <v>61</v>
      </c>
      <c r="D1111" s="6" t="s">
        <v>3092</v>
      </c>
      <c r="E1111" s="22"/>
      <c r="F1111" s="6" t="s">
        <v>4349</v>
      </c>
      <c r="G1111" s="6" t="s">
        <v>4350</v>
      </c>
      <c r="H1111" s="8">
        <v>48800</v>
      </c>
      <c r="I1111" s="213" t="b">
        <v>0</v>
      </c>
      <c r="J1111" s="213" t="b">
        <v>0</v>
      </c>
      <c r="K1111" s="213" t="b">
        <v>0</v>
      </c>
    </row>
    <row r="1112" spans="1:11" ht="76.5" hidden="1">
      <c r="A1112" s="9">
        <v>2015</v>
      </c>
      <c r="B1112" s="6" t="s">
        <v>4355</v>
      </c>
      <c r="C1112" s="112" t="s">
        <v>61</v>
      </c>
      <c r="D1112" s="6" t="s">
        <v>3168</v>
      </c>
      <c r="E1112" s="22"/>
      <c r="F1112" s="6" t="s">
        <v>4356</v>
      </c>
      <c r="G1112" s="6" t="s">
        <v>2331</v>
      </c>
      <c r="H1112" s="8">
        <v>73000</v>
      </c>
      <c r="I1112" s="213" t="b">
        <v>0</v>
      </c>
      <c r="J1112" s="213" t="b">
        <v>0</v>
      </c>
      <c r="K1112" s="213" t="b">
        <v>0</v>
      </c>
    </row>
    <row r="1113" spans="1:11" ht="63.75" hidden="1">
      <c r="A1113" s="9">
        <v>2015</v>
      </c>
      <c r="B1113" s="6" t="s">
        <v>4357</v>
      </c>
      <c r="C1113" s="112" t="s">
        <v>61</v>
      </c>
      <c r="D1113" s="6" t="s">
        <v>394</v>
      </c>
      <c r="E1113" s="22"/>
      <c r="F1113" s="6" t="s">
        <v>4358</v>
      </c>
      <c r="G1113" s="6" t="s">
        <v>4359</v>
      </c>
      <c r="H1113" s="8">
        <v>55000</v>
      </c>
      <c r="I1113" s="213" t="b">
        <v>0</v>
      </c>
      <c r="J1113" s="213" t="b">
        <v>0</v>
      </c>
      <c r="K1113" s="213" t="b">
        <v>0</v>
      </c>
    </row>
    <row r="1114" spans="1:11" ht="38.25" hidden="1">
      <c r="A1114" s="9">
        <v>2015</v>
      </c>
      <c r="B1114" s="6" t="s">
        <v>4361</v>
      </c>
      <c r="C1114" s="112" t="s">
        <v>61</v>
      </c>
      <c r="D1114" s="6" t="s">
        <v>3168</v>
      </c>
      <c r="E1114" s="22"/>
      <c r="F1114" s="6" t="s">
        <v>4362</v>
      </c>
      <c r="G1114" s="6" t="s">
        <v>4363</v>
      </c>
      <c r="H1114" s="8">
        <v>50000</v>
      </c>
      <c r="I1114" s="213" t="b">
        <v>0</v>
      </c>
      <c r="J1114" s="213" t="b">
        <v>0</v>
      </c>
      <c r="K1114" s="213" t="b">
        <v>0</v>
      </c>
    </row>
    <row r="1115" spans="1:11" ht="63.75" hidden="1">
      <c r="A1115" s="9">
        <v>2015</v>
      </c>
      <c r="B1115" s="6" t="s">
        <v>4364</v>
      </c>
      <c r="C1115" s="112" t="s">
        <v>61</v>
      </c>
      <c r="D1115" s="6" t="s">
        <v>2993</v>
      </c>
      <c r="E1115" s="22"/>
      <c r="F1115" s="6" t="s">
        <v>4365</v>
      </c>
      <c r="G1115" s="6" t="s">
        <v>4366</v>
      </c>
      <c r="H1115" s="8">
        <v>39000</v>
      </c>
      <c r="I1115" s="213" t="b">
        <v>0</v>
      </c>
      <c r="J1115" s="213" t="b">
        <v>0</v>
      </c>
      <c r="K1115" s="213" t="b">
        <v>0</v>
      </c>
    </row>
    <row r="1116" spans="1:11" ht="38.25" hidden="1">
      <c r="A1116" s="9">
        <v>2015</v>
      </c>
      <c r="B1116" s="6" t="s">
        <v>4367</v>
      </c>
      <c r="C1116" s="112" t="s">
        <v>61</v>
      </c>
      <c r="D1116" s="6" t="s">
        <v>652</v>
      </c>
      <c r="E1116" s="22"/>
      <c r="F1116" s="6" t="s">
        <v>4368</v>
      </c>
      <c r="G1116" s="6" t="s">
        <v>4369</v>
      </c>
      <c r="H1116" s="8">
        <v>99860</v>
      </c>
      <c r="I1116" s="213" t="b">
        <v>0</v>
      </c>
      <c r="J1116" s="213" t="b">
        <v>0</v>
      </c>
      <c r="K1116" s="213" t="b">
        <v>0</v>
      </c>
    </row>
    <row r="1117" spans="1:11" ht="63.75" hidden="1">
      <c r="A1117" s="9">
        <v>2015</v>
      </c>
      <c r="B1117" s="6" t="s">
        <v>4371</v>
      </c>
      <c r="C1117" s="112" t="s">
        <v>61</v>
      </c>
      <c r="D1117" s="6" t="s">
        <v>2993</v>
      </c>
      <c r="E1117" s="22"/>
      <c r="F1117" s="6" t="s">
        <v>4372</v>
      </c>
      <c r="G1117" s="6" t="s">
        <v>4366</v>
      </c>
      <c r="H1117" s="8">
        <v>65000</v>
      </c>
      <c r="I1117" s="213" t="b">
        <v>0</v>
      </c>
      <c r="J1117" s="213" t="b">
        <v>0</v>
      </c>
      <c r="K1117" s="213" t="b">
        <v>0</v>
      </c>
    </row>
    <row r="1118" spans="1:11" ht="63.75" hidden="1">
      <c r="A1118" s="9">
        <v>2015</v>
      </c>
      <c r="B1118" s="6" t="s">
        <v>4373</v>
      </c>
      <c r="C1118" s="112" t="s">
        <v>61</v>
      </c>
      <c r="D1118" s="6" t="s">
        <v>2993</v>
      </c>
      <c r="E1118" s="22"/>
      <c r="F1118" s="6" t="s">
        <v>4374</v>
      </c>
      <c r="G1118" s="6" t="s">
        <v>4366</v>
      </c>
      <c r="H1118" s="8">
        <v>39000</v>
      </c>
      <c r="I1118" s="213" t="b">
        <v>0</v>
      </c>
      <c r="J1118" s="213" t="b">
        <v>0</v>
      </c>
      <c r="K1118" s="213" t="b">
        <v>0</v>
      </c>
    </row>
    <row r="1119" spans="1:11" ht="51" hidden="1">
      <c r="A1119" s="9">
        <v>2015</v>
      </c>
      <c r="B1119" s="6" t="s">
        <v>4375</v>
      </c>
      <c r="C1119" s="112" t="s">
        <v>61</v>
      </c>
      <c r="D1119" s="6" t="s">
        <v>652</v>
      </c>
      <c r="E1119" s="22"/>
      <c r="F1119" s="6" t="s">
        <v>4376</v>
      </c>
      <c r="G1119" s="6" t="s">
        <v>4377</v>
      </c>
      <c r="H1119" s="8">
        <v>76569.679999999993</v>
      </c>
      <c r="I1119" s="213" t="b">
        <v>0</v>
      </c>
      <c r="J1119" s="213" t="b">
        <v>0</v>
      </c>
      <c r="K1119" s="213" t="b">
        <v>0</v>
      </c>
    </row>
    <row r="1120" spans="1:11" ht="51" hidden="1">
      <c r="A1120" s="9">
        <v>2015</v>
      </c>
      <c r="B1120" s="6" t="s">
        <v>4379</v>
      </c>
      <c r="C1120" s="112" t="s">
        <v>61</v>
      </c>
      <c r="D1120" s="6" t="s">
        <v>3168</v>
      </c>
      <c r="E1120" s="22"/>
      <c r="F1120" s="6" t="s">
        <v>4380</v>
      </c>
      <c r="G1120" s="6" t="s">
        <v>4381</v>
      </c>
      <c r="H1120" s="8">
        <v>99000</v>
      </c>
      <c r="I1120" s="213" t="b">
        <v>0</v>
      </c>
      <c r="J1120" s="213" t="b">
        <v>0</v>
      </c>
      <c r="K1120" s="213" t="b">
        <v>0</v>
      </c>
    </row>
    <row r="1121" spans="1:11" ht="38.25" hidden="1">
      <c r="A1121" s="9">
        <v>2015</v>
      </c>
      <c r="B1121" s="6" t="s">
        <v>4383</v>
      </c>
      <c r="C1121" s="112" t="s">
        <v>61</v>
      </c>
      <c r="D1121" s="6" t="s">
        <v>3168</v>
      </c>
      <c r="E1121" s="22"/>
      <c r="F1121" s="6" t="s">
        <v>4384</v>
      </c>
      <c r="G1121" s="6" t="s">
        <v>4381</v>
      </c>
      <c r="H1121" s="8">
        <v>35000</v>
      </c>
      <c r="I1121" s="213" t="b">
        <v>0</v>
      </c>
      <c r="J1121" s="213" t="b">
        <v>0</v>
      </c>
      <c r="K1121" s="213" t="b">
        <v>0</v>
      </c>
    </row>
    <row r="1122" spans="1:11" ht="63.75" hidden="1">
      <c r="A1122" s="9">
        <v>2015</v>
      </c>
      <c r="B1122" s="6" t="s">
        <v>4385</v>
      </c>
      <c r="C1122" s="112" t="s">
        <v>3096</v>
      </c>
      <c r="D1122" s="6" t="s">
        <v>4386</v>
      </c>
      <c r="E1122" s="22"/>
      <c r="F1122" s="6" t="s">
        <v>4387</v>
      </c>
      <c r="G1122" s="6" t="s">
        <v>4388</v>
      </c>
      <c r="H1122" s="64">
        <v>75000</v>
      </c>
      <c r="I1122" s="213" t="b">
        <v>0</v>
      </c>
      <c r="J1122" s="213" t="b">
        <v>0</v>
      </c>
      <c r="K1122" s="213" t="b">
        <v>0</v>
      </c>
    </row>
    <row r="1123" spans="1:11" ht="38.25" hidden="1">
      <c r="A1123" s="9">
        <v>2015</v>
      </c>
      <c r="B1123" s="6" t="s">
        <v>4389</v>
      </c>
      <c r="C1123" s="112" t="s">
        <v>61</v>
      </c>
      <c r="D1123" s="6" t="s">
        <v>394</v>
      </c>
      <c r="E1123" s="22"/>
      <c r="F1123" s="6" t="s">
        <v>4390</v>
      </c>
      <c r="G1123" s="6" t="s">
        <v>4391</v>
      </c>
      <c r="H1123" s="8">
        <v>58000</v>
      </c>
      <c r="I1123" s="213" t="b">
        <v>0</v>
      </c>
      <c r="J1123" s="213" t="b">
        <v>0</v>
      </c>
      <c r="K1123" s="213" t="b">
        <v>0</v>
      </c>
    </row>
    <row r="1124" spans="1:11" ht="76.5" hidden="1">
      <c r="A1124" s="9">
        <v>2015</v>
      </c>
      <c r="B1124" s="6" t="s">
        <v>4393</v>
      </c>
      <c r="C1124" s="112" t="s">
        <v>61</v>
      </c>
      <c r="D1124" s="6" t="s">
        <v>3092</v>
      </c>
      <c r="E1124" s="22"/>
      <c r="F1124" s="6" t="s">
        <v>4394</v>
      </c>
      <c r="G1124" s="6" t="s">
        <v>4395</v>
      </c>
      <c r="H1124" s="8">
        <v>80000</v>
      </c>
      <c r="I1124" s="213" t="b">
        <v>0</v>
      </c>
      <c r="J1124" s="213" t="b">
        <v>0</v>
      </c>
      <c r="K1124" s="213" t="b">
        <v>0</v>
      </c>
    </row>
    <row r="1125" spans="1:11" ht="102" hidden="1">
      <c r="A1125" s="9">
        <v>2015</v>
      </c>
      <c r="B1125" s="6" t="s">
        <v>4396</v>
      </c>
      <c r="C1125" s="112" t="s">
        <v>1926</v>
      </c>
      <c r="D1125" s="6" t="s">
        <v>62</v>
      </c>
      <c r="E1125" s="22"/>
      <c r="F1125" s="6" t="s">
        <v>4397</v>
      </c>
      <c r="G1125" s="6" t="s">
        <v>4398</v>
      </c>
      <c r="H1125" s="64">
        <v>34008</v>
      </c>
      <c r="I1125" s="213" t="b">
        <v>0</v>
      </c>
      <c r="J1125" s="213" t="b">
        <v>0</v>
      </c>
      <c r="K1125" s="213" t="b">
        <v>0</v>
      </c>
    </row>
    <row r="1126" spans="1:11" ht="51" hidden="1">
      <c r="A1126" s="9">
        <v>2015</v>
      </c>
      <c r="B1126" s="6" t="s">
        <v>4400</v>
      </c>
      <c r="C1126" s="112" t="s">
        <v>61</v>
      </c>
      <c r="D1126" s="6" t="s">
        <v>1763</v>
      </c>
      <c r="E1126" s="22"/>
      <c r="F1126" s="6" t="s">
        <v>4401</v>
      </c>
      <c r="G1126" s="6" t="s">
        <v>4402</v>
      </c>
      <c r="H1126" s="8">
        <v>17400</v>
      </c>
      <c r="I1126" s="213" t="b">
        <v>0</v>
      </c>
      <c r="J1126" s="213" t="b">
        <v>0</v>
      </c>
      <c r="K1126" s="213" t="b">
        <v>0</v>
      </c>
    </row>
    <row r="1127" spans="1:11" ht="25.5" hidden="1">
      <c r="A1127" s="9">
        <v>2015</v>
      </c>
      <c r="B1127" s="6" t="s">
        <v>4404</v>
      </c>
      <c r="C1127" s="112" t="s">
        <v>61</v>
      </c>
      <c r="D1127" s="6" t="s">
        <v>3168</v>
      </c>
      <c r="E1127" s="22"/>
      <c r="F1127" s="6" t="s">
        <v>4405</v>
      </c>
      <c r="G1127" s="6" t="s">
        <v>4406</v>
      </c>
      <c r="H1127" s="8">
        <v>50000</v>
      </c>
      <c r="I1127" s="213" t="b">
        <v>0</v>
      </c>
      <c r="J1127" s="213" t="b">
        <v>0</v>
      </c>
      <c r="K1127" s="213" t="b">
        <v>0</v>
      </c>
    </row>
    <row r="1128" spans="1:11" ht="25.5" hidden="1">
      <c r="A1128" s="9">
        <v>2015</v>
      </c>
      <c r="B1128" s="6" t="s">
        <v>4411</v>
      </c>
      <c r="C1128" s="112" t="s">
        <v>61</v>
      </c>
      <c r="D1128" s="6" t="s">
        <v>1763</v>
      </c>
      <c r="E1128" s="22"/>
      <c r="F1128" s="6" t="s">
        <v>4412</v>
      </c>
      <c r="G1128" s="6" t="s">
        <v>4413</v>
      </c>
      <c r="H1128" s="8">
        <v>21600</v>
      </c>
      <c r="I1128" s="213" t="b">
        <v>0</v>
      </c>
      <c r="J1128" s="213" t="b">
        <v>0</v>
      </c>
      <c r="K1128" s="213" t="b">
        <v>0</v>
      </c>
    </row>
    <row r="1129" spans="1:11" ht="51" hidden="1">
      <c r="A1129" s="9">
        <v>2015</v>
      </c>
      <c r="B1129" s="6" t="s">
        <v>4415</v>
      </c>
      <c r="C1129" s="112" t="s">
        <v>61</v>
      </c>
      <c r="D1129" s="6" t="s">
        <v>3092</v>
      </c>
      <c r="E1129" s="22"/>
      <c r="F1129" s="6" t="s">
        <v>4416</v>
      </c>
      <c r="G1129" s="6" t="s">
        <v>4417</v>
      </c>
      <c r="H1129" s="8">
        <v>48000</v>
      </c>
      <c r="I1129" s="213" t="b">
        <v>0</v>
      </c>
      <c r="J1129" s="213" t="b">
        <v>0</v>
      </c>
      <c r="K1129" s="213" t="b">
        <v>0</v>
      </c>
    </row>
    <row r="1130" spans="1:11" ht="38.25" hidden="1">
      <c r="A1130" s="9">
        <v>2015</v>
      </c>
      <c r="B1130" s="6" t="s">
        <v>4419</v>
      </c>
      <c r="C1130" s="112" t="s">
        <v>61</v>
      </c>
      <c r="D1130" s="6" t="s">
        <v>3092</v>
      </c>
      <c r="E1130" s="22"/>
      <c r="F1130" s="6" t="s">
        <v>4416</v>
      </c>
      <c r="G1130" s="6" t="s">
        <v>4420</v>
      </c>
      <c r="H1130" s="8">
        <v>48000</v>
      </c>
      <c r="I1130" s="213" t="b">
        <v>0</v>
      </c>
      <c r="J1130" s="213" t="b">
        <v>0</v>
      </c>
      <c r="K1130" s="213" t="b">
        <v>0</v>
      </c>
    </row>
    <row r="1131" spans="1:11" ht="25.5" hidden="1">
      <c r="A1131" s="9">
        <v>2015</v>
      </c>
      <c r="B1131" s="6" t="s">
        <v>4429</v>
      </c>
      <c r="C1131" s="112" t="s">
        <v>61</v>
      </c>
      <c r="D1131" s="6" t="s">
        <v>394</v>
      </c>
      <c r="E1131" s="22"/>
      <c r="F1131" s="6" t="s">
        <v>4430</v>
      </c>
      <c r="G1131" s="6" t="s">
        <v>4431</v>
      </c>
      <c r="H1131" s="8">
        <v>64000</v>
      </c>
      <c r="I1131" s="213" t="b">
        <v>0</v>
      </c>
      <c r="J1131" s="213" t="b">
        <v>0</v>
      </c>
      <c r="K1131" s="213" t="b">
        <v>0</v>
      </c>
    </row>
    <row r="1132" spans="1:11" ht="25.5" hidden="1">
      <c r="A1132" s="9">
        <v>2015</v>
      </c>
      <c r="B1132" s="6" t="s">
        <v>4432</v>
      </c>
      <c r="C1132" s="112" t="s">
        <v>61</v>
      </c>
      <c r="D1132" s="6" t="s">
        <v>586</v>
      </c>
      <c r="E1132" s="22"/>
      <c r="F1132" s="6" t="s">
        <v>4433</v>
      </c>
      <c r="G1132" s="6" t="s">
        <v>4434</v>
      </c>
      <c r="H1132" s="8">
        <v>14390</v>
      </c>
      <c r="I1132" s="213" t="b">
        <v>0</v>
      </c>
      <c r="J1132" s="213" t="b">
        <v>0</v>
      </c>
      <c r="K1132" s="213" t="b">
        <v>0</v>
      </c>
    </row>
    <row r="1133" spans="1:11" ht="51" hidden="1">
      <c r="A1133" s="9">
        <v>2015</v>
      </c>
      <c r="B1133" s="6" t="s">
        <v>4436</v>
      </c>
      <c r="C1133" s="112" t="s">
        <v>61</v>
      </c>
      <c r="D1133" s="6" t="s">
        <v>3168</v>
      </c>
      <c r="E1133" s="22"/>
      <c r="F1133" s="6" t="s">
        <v>4437</v>
      </c>
      <c r="G1133" s="6" t="s">
        <v>4438</v>
      </c>
      <c r="H1133" s="8">
        <v>77550</v>
      </c>
      <c r="I1133" s="213" t="b">
        <v>0</v>
      </c>
      <c r="J1133" s="213" t="b">
        <v>0</v>
      </c>
      <c r="K1133" s="213" t="b">
        <v>0</v>
      </c>
    </row>
    <row r="1134" spans="1:11" ht="51" hidden="1">
      <c r="A1134" s="9">
        <v>2015</v>
      </c>
      <c r="B1134" s="6" t="s">
        <v>4448</v>
      </c>
      <c r="C1134" s="112" t="s">
        <v>61</v>
      </c>
      <c r="D1134" s="6" t="s">
        <v>394</v>
      </c>
      <c r="E1134" s="22"/>
      <c r="F1134" s="6" t="s">
        <v>4449</v>
      </c>
      <c r="G1134" s="6" t="s">
        <v>4450</v>
      </c>
      <c r="H1134" s="8">
        <v>107900</v>
      </c>
      <c r="I1134" s="213" t="b">
        <v>0</v>
      </c>
      <c r="J1134" s="213" t="b">
        <v>0</v>
      </c>
      <c r="K1134" s="213" t="b">
        <v>0</v>
      </c>
    </row>
    <row r="1135" spans="1:11" ht="25.5" hidden="1">
      <c r="A1135" s="9">
        <v>2015</v>
      </c>
      <c r="B1135" s="6" t="s">
        <v>4451</v>
      </c>
      <c r="C1135" s="112" t="s">
        <v>61</v>
      </c>
      <c r="D1135" s="6" t="s">
        <v>3168</v>
      </c>
      <c r="E1135" s="22"/>
      <c r="F1135" s="6" t="s">
        <v>4452</v>
      </c>
      <c r="G1135" s="6" t="s">
        <v>4453</v>
      </c>
      <c r="H1135" s="8">
        <v>61500</v>
      </c>
      <c r="I1135" s="213" t="b">
        <v>0</v>
      </c>
      <c r="J1135" s="213" t="b">
        <v>0</v>
      </c>
      <c r="K1135" s="213" t="b">
        <v>0</v>
      </c>
    </row>
    <row r="1136" spans="1:11" ht="25.5" hidden="1">
      <c r="A1136" s="9">
        <v>2015</v>
      </c>
      <c r="B1136" s="6" t="s">
        <v>4455</v>
      </c>
      <c r="C1136" s="112" t="s">
        <v>61</v>
      </c>
      <c r="D1136" s="6" t="s">
        <v>1141</v>
      </c>
      <c r="E1136" s="22"/>
      <c r="F1136" s="6" t="s">
        <v>4456</v>
      </c>
      <c r="G1136" s="6" t="s">
        <v>4457</v>
      </c>
      <c r="H1136" s="8">
        <v>30110</v>
      </c>
      <c r="I1136" s="213" t="b">
        <v>0</v>
      </c>
      <c r="J1136" s="213" t="b">
        <v>0</v>
      </c>
      <c r="K1136" s="213" t="b">
        <v>0</v>
      </c>
    </row>
    <row r="1137" spans="1:11" ht="38.25" hidden="1">
      <c r="A1137" s="9">
        <v>2015</v>
      </c>
      <c r="B1137" s="6" t="s">
        <v>4459</v>
      </c>
      <c r="C1137" s="112" t="s">
        <v>61</v>
      </c>
      <c r="D1137" s="6" t="s">
        <v>2993</v>
      </c>
      <c r="E1137" s="22"/>
      <c r="F1137" s="6" t="s">
        <v>4460</v>
      </c>
      <c r="G1137" s="6" t="s">
        <v>4461</v>
      </c>
      <c r="H1137" s="8">
        <v>81000</v>
      </c>
      <c r="I1137" s="213" t="b">
        <v>0</v>
      </c>
      <c r="J1137" s="213" t="b">
        <v>0</v>
      </c>
      <c r="K1137" s="213" t="b">
        <v>0</v>
      </c>
    </row>
    <row r="1138" spans="1:11" ht="51" hidden="1">
      <c r="A1138" s="9">
        <v>2015</v>
      </c>
      <c r="B1138" s="6" t="s">
        <v>4463</v>
      </c>
      <c r="C1138" s="112" t="s">
        <v>61</v>
      </c>
      <c r="D1138" s="6" t="s">
        <v>3092</v>
      </c>
      <c r="E1138" s="22"/>
      <c r="F1138" s="6" t="s">
        <v>4464</v>
      </c>
      <c r="G1138" s="6" t="s">
        <v>4465</v>
      </c>
      <c r="H1138" s="8">
        <v>86000</v>
      </c>
      <c r="I1138" s="213" t="b">
        <v>0</v>
      </c>
      <c r="J1138" s="213" t="b">
        <v>0</v>
      </c>
      <c r="K1138" s="213" t="b">
        <v>0</v>
      </c>
    </row>
    <row r="1139" spans="1:11" ht="51" hidden="1">
      <c r="A1139" s="9">
        <v>2015</v>
      </c>
      <c r="B1139" s="6" t="s">
        <v>4467</v>
      </c>
      <c r="C1139" s="112" t="s">
        <v>61</v>
      </c>
      <c r="D1139" s="6" t="s">
        <v>3092</v>
      </c>
      <c r="E1139" s="22"/>
      <c r="F1139" s="6" t="s">
        <v>4468</v>
      </c>
      <c r="G1139" s="6" t="s">
        <v>4469</v>
      </c>
      <c r="H1139" s="8">
        <v>94600</v>
      </c>
      <c r="I1139" s="213" t="b">
        <v>0</v>
      </c>
      <c r="J1139" s="213" t="b">
        <v>0</v>
      </c>
      <c r="K1139" s="213" t="b">
        <v>0</v>
      </c>
    </row>
    <row r="1140" spans="1:11" ht="38.25" hidden="1">
      <c r="A1140" s="9">
        <v>2015</v>
      </c>
      <c r="B1140" s="6" t="s">
        <v>4473</v>
      </c>
      <c r="C1140" s="112" t="s">
        <v>61</v>
      </c>
      <c r="D1140" s="6" t="s">
        <v>1141</v>
      </c>
      <c r="E1140" s="22"/>
      <c r="F1140" s="6" t="s">
        <v>4474</v>
      </c>
      <c r="G1140" s="6" t="s">
        <v>4475</v>
      </c>
      <c r="H1140" s="8">
        <v>54820</v>
      </c>
      <c r="I1140" s="213" t="b">
        <v>0</v>
      </c>
      <c r="J1140" s="213" t="b">
        <v>0</v>
      </c>
      <c r="K1140" s="213" t="b">
        <v>0</v>
      </c>
    </row>
    <row r="1141" spans="1:11" ht="25.5" hidden="1">
      <c r="A1141" s="9">
        <v>2015</v>
      </c>
      <c r="B1141" s="6" t="s">
        <v>4477</v>
      </c>
      <c r="C1141" s="112" t="s">
        <v>61</v>
      </c>
      <c r="D1141" s="6" t="s">
        <v>1141</v>
      </c>
      <c r="E1141" s="22"/>
      <c r="F1141" s="6" t="s">
        <v>4478</v>
      </c>
      <c r="G1141" s="6" t="s">
        <v>4479</v>
      </c>
      <c r="H1141" s="8">
        <v>83912</v>
      </c>
      <c r="I1141" s="213" t="b">
        <v>0</v>
      </c>
      <c r="J1141" s="213" t="b">
        <v>0</v>
      </c>
      <c r="K1141" s="213" t="b">
        <v>0</v>
      </c>
    </row>
    <row r="1142" spans="1:11" ht="38.25" hidden="1">
      <c r="A1142" s="9">
        <v>2015</v>
      </c>
      <c r="B1142" s="61">
        <v>42217</v>
      </c>
      <c r="C1142" s="112" t="s">
        <v>61</v>
      </c>
      <c r="D1142" s="6" t="s">
        <v>1383</v>
      </c>
      <c r="E1142" s="22"/>
      <c r="F1142" s="132" t="s">
        <v>4107</v>
      </c>
      <c r="G1142" s="132" t="s">
        <v>4108</v>
      </c>
      <c r="H1142" s="260">
        <v>500000</v>
      </c>
      <c r="I1142" s="213" t="b">
        <v>0</v>
      </c>
      <c r="J1142" s="213" t="b">
        <v>0</v>
      </c>
      <c r="K1142" s="213" t="b">
        <v>0</v>
      </c>
    </row>
    <row r="1143" spans="1:11" ht="63.75" hidden="1">
      <c r="A1143" s="9">
        <v>2015</v>
      </c>
      <c r="B1143" s="61">
        <v>42248</v>
      </c>
      <c r="C1143" s="112" t="s">
        <v>61</v>
      </c>
      <c r="D1143" s="6" t="s">
        <v>1383</v>
      </c>
      <c r="E1143" s="22"/>
      <c r="F1143" s="6" t="s">
        <v>4109</v>
      </c>
      <c r="G1143" s="6" t="s">
        <v>4110</v>
      </c>
      <c r="H1143" s="8">
        <v>1000000</v>
      </c>
      <c r="I1143" s="213" t="b">
        <v>0</v>
      </c>
      <c r="J1143" s="213" t="b">
        <v>0</v>
      </c>
      <c r="K1143" s="213" t="b">
        <v>0</v>
      </c>
    </row>
    <row r="1144" spans="1:11" ht="51" hidden="1">
      <c r="A1144" s="9">
        <v>2015</v>
      </c>
      <c r="B1144" s="62">
        <v>42278</v>
      </c>
      <c r="C1144" s="112" t="s">
        <v>61</v>
      </c>
      <c r="D1144" s="6" t="s">
        <v>1383</v>
      </c>
      <c r="E1144" s="22"/>
      <c r="F1144" s="6" t="s">
        <v>4112</v>
      </c>
      <c r="G1144" s="6" t="s">
        <v>4113</v>
      </c>
      <c r="H1144" s="8">
        <v>500000</v>
      </c>
      <c r="I1144" s="213" t="b">
        <v>0</v>
      </c>
      <c r="J1144" s="213" t="b">
        <v>0</v>
      </c>
      <c r="K1144" s="213" t="b">
        <v>0</v>
      </c>
    </row>
    <row r="1145" spans="1:11" ht="51" hidden="1">
      <c r="A1145" s="9">
        <v>2015</v>
      </c>
      <c r="B1145" s="6" t="s">
        <v>4120</v>
      </c>
      <c r="C1145" s="112" t="s">
        <v>61</v>
      </c>
      <c r="D1145" s="6" t="s">
        <v>1383</v>
      </c>
      <c r="E1145" s="22"/>
      <c r="F1145" s="6" t="s">
        <v>4121</v>
      </c>
      <c r="G1145" s="132" t="s">
        <v>4122</v>
      </c>
      <c r="H1145" s="8">
        <v>500000</v>
      </c>
      <c r="I1145" s="213" t="b">
        <v>0</v>
      </c>
      <c r="J1145" s="213" t="b">
        <v>0</v>
      </c>
      <c r="K1145" s="213" t="b">
        <v>0</v>
      </c>
    </row>
    <row r="1146" spans="1:11" ht="51" hidden="1">
      <c r="A1146" s="9">
        <v>2015</v>
      </c>
      <c r="B1146" s="6" t="s">
        <v>4123</v>
      </c>
      <c r="C1146" s="112" t="s">
        <v>61</v>
      </c>
      <c r="D1146" s="6" t="s">
        <v>1383</v>
      </c>
      <c r="E1146" s="22"/>
      <c r="F1146" s="6" t="s">
        <v>4124</v>
      </c>
      <c r="G1146" s="132" t="s">
        <v>4119</v>
      </c>
      <c r="H1146" s="8">
        <v>500000</v>
      </c>
      <c r="I1146" s="213" t="b">
        <v>0</v>
      </c>
      <c r="J1146" s="213" t="b">
        <v>0</v>
      </c>
      <c r="K1146" s="213" t="b">
        <v>0</v>
      </c>
    </row>
    <row r="1147" spans="1:11" ht="63.75" hidden="1">
      <c r="A1147" s="9">
        <v>2015</v>
      </c>
      <c r="B1147" s="6" t="s">
        <v>4125</v>
      </c>
      <c r="C1147" s="112" t="s">
        <v>61</v>
      </c>
      <c r="D1147" s="6" t="s">
        <v>1383</v>
      </c>
      <c r="E1147" s="22"/>
      <c r="F1147" s="132" t="s">
        <v>4126</v>
      </c>
      <c r="G1147" s="6" t="s">
        <v>4127</v>
      </c>
      <c r="H1147" s="8">
        <v>500000</v>
      </c>
      <c r="I1147" s="213" t="b">
        <v>0</v>
      </c>
      <c r="J1147" s="213" t="b">
        <v>0</v>
      </c>
      <c r="K1147" s="213" t="b">
        <v>0</v>
      </c>
    </row>
    <row r="1148" spans="1:11" ht="63.75" hidden="1">
      <c r="A1148" s="9">
        <v>2015</v>
      </c>
      <c r="B1148" s="6" t="s">
        <v>4128</v>
      </c>
      <c r="C1148" s="112" t="s">
        <v>61</v>
      </c>
      <c r="D1148" s="6" t="s">
        <v>1383</v>
      </c>
      <c r="E1148" s="22"/>
      <c r="F1148" s="6" t="s">
        <v>4129</v>
      </c>
      <c r="G1148" s="6" t="s">
        <v>3571</v>
      </c>
      <c r="H1148" s="8">
        <v>500000</v>
      </c>
      <c r="I1148" s="213" t="b">
        <v>0</v>
      </c>
      <c r="J1148" s="213" t="b">
        <v>0</v>
      </c>
      <c r="K1148" s="213" t="b">
        <v>0</v>
      </c>
    </row>
    <row r="1149" spans="1:11" ht="25.5" hidden="1">
      <c r="A1149" s="9">
        <v>2015</v>
      </c>
      <c r="B1149" s="6" t="s">
        <v>4153</v>
      </c>
      <c r="C1149" s="112" t="s">
        <v>61</v>
      </c>
      <c r="D1149" s="6" t="s">
        <v>1383</v>
      </c>
      <c r="E1149" s="22"/>
      <c r="F1149" s="6" t="s">
        <v>4154</v>
      </c>
      <c r="G1149" s="6" t="s">
        <v>4155</v>
      </c>
      <c r="H1149" s="30">
        <v>954000</v>
      </c>
      <c r="I1149" s="213" t="b">
        <v>0</v>
      </c>
      <c r="J1149" s="213" t="b">
        <v>0</v>
      </c>
      <c r="K1149" s="213" t="b">
        <v>0</v>
      </c>
    </row>
    <row r="1150" spans="1:11" ht="38.25" hidden="1">
      <c r="A1150" s="9">
        <v>2015</v>
      </c>
      <c r="B1150" s="6" t="s">
        <v>4156</v>
      </c>
      <c r="C1150" s="112" t="s">
        <v>61</v>
      </c>
      <c r="D1150" s="6" t="s">
        <v>1383</v>
      </c>
      <c r="E1150" s="22"/>
      <c r="F1150" s="6" t="s">
        <v>4157</v>
      </c>
      <c r="G1150" s="6" t="s">
        <v>4158</v>
      </c>
      <c r="H1150" s="30">
        <v>575000</v>
      </c>
      <c r="I1150" s="213" t="b">
        <v>0</v>
      </c>
      <c r="J1150" s="213" t="b">
        <v>0</v>
      </c>
      <c r="K1150" s="213" t="b">
        <v>0</v>
      </c>
    </row>
    <row r="1151" spans="1:11" ht="38.25" hidden="1">
      <c r="A1151" s="9">
        <v>2015</v>
      </c>
      <c r="B1151" s="6" t="s">
        <v>4159</v>
      </c>
      <c r="C1151" s="112" t="s">
        <v>61</v>
      </c>
      <c r="D1151" s="6" t="s">
        <v>1383</v>
      </c>
      <c r="E1151" s="22"/>
      <c r="F1151" s="6" t="s">
        <v>4160</v>
      </c>
      <c r="G1151" s="6" t="s">
        <v>4161</v>
      </c>
      <c r="H1151" s="30">
        <v>800000</v>
      </c>
      <c r="I1151" s="213" t="b">
        <v>0</v>
      </c>
      <c r="J1151" s="213" t="b">
        <v>0</v>
      </c>
      <c r="K1151" s="213" t="b">
        <v>0</v>
      </c>
    </row>
    <row r="1152" spans="1:11" ht="102" hidden="1">
      <c r="A1152" s="9">
        <v>2015</v>
      </c>
      <c r="B1152" s="6" t="s">
        <v>4164</v>
      </c>
      <c r="C1152" s="112" t="s">
        <v>61</v>
      </c>
      <c r="D1152" s="6" t="s">
        <v>1383</v>
      </c>
      <c r="E1152" s="22"/>
      <c r="F1152" s="6" t="s">
        <v>4165</v>
      </c>
      <c r="G1152" s="6" t="s">
        <v>4166</v>
      </c>
      <c r="H1152" s="8">
        <v>243000</v>
      </c>
      <c r="I1152" s="213" t="b">
        <v>0</v>
      </c>
      <c r="J1152" s="213" t="b">
        <v>0</v>
      </c>
      <c r="K1152" s="213" t="b">
        <v>0</v>
      </c>
    </row>
    <row r="1153" spans="1:11" ht="102" hidden="1">
      <c r="A1153" s="9">
        <v>2015</v>
      </c>
      <c r="B1153" s="6" t="s">
        <v>4181</v>
      </c>
      <c r="C1153" s="112" t="s">
        <v>61</v>
      </c>
      <c r="D1153" s="6" t="s">
        <v>1383</v>
      </c>
      <c r="E1153" s="22"/>
      <c r="F1153" s="6" t="s">
        <v>4165</v>
      </c>
      <c r="G1153" s="148" t="s">
        <v>4166</v>
      </c>
      <c r="H1153" s="8">
        <v>147000</v>
      </c>
      <c r="I1153" s="213" t="b">
        <v>0</v>
      </c>
      <c r="J1153" s="213" t="b">
        <v>0</v>
      </c>
      <c r="K1153" s="213" t="b">
        <v>0</v>
      </c>
    </row>
    <row r="1154" spans="1:11" ht="38.25" hidden="1">
      <c r="A1154" s="9">
        <v>2015</v>
      </c>
      <c r="B1154" s="6" t="s">
        <v>4182</v>
      </c>
      <c r="C1154" s="112" t="s">
        <v>61</v>
      </c>
      <c r="D1154" s="6" t="s">
        <v>1383</v>
      </c>
      <c r="E1154" s="22"/>
      <c r="F1154" s="6" t="s">
        <v>4183</v>
      </c>
      <c r="G1154" s="6" t="s">
        <v>4184</v>
      </c>
      <c r="H1154" s="8">
        <v>250000</v>
      </c>
      <c r="I1154" s="213" t="b">
        <v>0</v>
      </c>
      <c r="J1154" s="213" t="b">
        <v>0</v>
      </c>
      <c r="K1154" s="213" t="b">
        <v>0</v>
      </c>
    </row>
    <row r="1155" spans="1:11" ht="89.25" hidden="1">
      <c r="A1155" s="9">
        <v>2015</v>
      </c>
      <c r="B1155" s="6" t="s">
        <v>4243</v>
      </c>
      <c r="C1155" s="112" t="s">
        <v>61</v>
      </c>
      <c r="D1155" s="6" t="s">
        <v>1383</v>
      </c>
      <c r="E1155" s="22"/>
      <c r="F1155" s="6" t="s">
        <v>4244</v>
      </c>
      <c r="G1155" s="6" t="s">
        <v>1753</v>
      </c>
      <c r="H1155" s="8">
        <v>1225800</v>
      </c>
      <c r="I1155" s="213" t="b">
        <v>0</v>
      </c>
      <c r="J1155" s="213" t="b">
        <v>0</v>
      </c>
      <c r="K1155" s="213" t="b">
        <v>0</v>
      </c>
    </row>
    <row r="1156" spans="1:11" ht="51" hidden="1">
      <c r="A1156" s="9">
        <v>2015</v>
      </c>
      <c r="B1156" s="6" t="s">
        <v>4245</v>
      </c>
      <c r="C1156" s="112" t="s">
        <v>61</v>
      </c>
      <c r="D1156" s="6" t="s">
        <v>1383</v>
      </c>
      <c r="E1156" s="22"/>
      <c r="F1156" s="6" t="s">
        <v>4246</v>
      </c>
      <c r="G1156" s="6" t="s">
        <v>1753</v>
      </c>
      <c r="H1156" s="8">
        <v>210250</v>
      </c>
      <c r="I1156" s="213" t="b">
        <v>0</v>
      </c>
      <c r="J1156" s="213" t="b">
        <v>0</v>
      </c>
      <c r="K1156" s="213" t="b">
        <v>0</v>
      </c>
    </row>
    <row r="1157" spans="1:11" ht="25.5" hidden="1">
      <c r="A1157" s="9">
        <v>2015</v>
      </c>
      <c r="B1157" s="6" t="s">
        <v>4247</v>
      </c>
      <c r="C1157" s="112" t="s">
        <v>61</v>
      </c>
      <c r="D1157" s="6" t="s">
        <v>1383</v>
      </c>
      <c r="E1157" s="22"/>
      <c r="F1157" s="6" t="s">
        <v>4248</v>
      </c>
      <c r="G1157" s="6" t="s">
        <v>4249</v>
      </c>
      <c r="H1157" s="8">
        <v>888000</v>
      </c>
      <c r="I1157" s="213" t="b">
        <v>0</v>
      </c>
      <c r="J1157" s="213" t="b">
        <v>0</v>
      </c>
      <c r="K1157" s="213" t="b">
        <v>0</v>
      </c>
    </row>
    <row r="1158" spans="1:11" ht="38.25" hidden="1">
      <c r="A1158" s="9">
        <v>2015</v>
      </c>
      <c r="B1158" s="6" t="s">
        <v>4279</v>
      </c>
      <c r="C1158" s="112" t="s">
        <v>61</v>
      </c>
      <c r="D1158" s="6" t="s">
        <v>1383</v>
      </c>
      <c r="E1158" s="22"/>
      <c r="F1158" s="6" t="s">
        <v>4280</v>
      </c>
      <c r="G1158" s="6" t="s">
        <v>4281</v>
      </c>
      <c r="H1158" s="8">
        <v>30000</v>
      </c>
      <c r="I1158" s="213" t="b">
        <v>0</v>
      </c>
      <c r="J1158" s="213" t="b">
        <v>0</v>
      </c>
      <c r="K1158" s="213" t="b">
        <v>0</v>
      </c>
    </row>
    <row r="1159" spans="1:11" ht="25.5" hidden="1">
      <c r="A1159" s="9">
        <v>2015</v>
      </c>
      <c r="B1159" s="6" t="s">
        <v>4287</v>
      </c>
      <c r="C1159" s="112" t="s">
        <v>61</v>
      </c>
      <c r="D1159" s="6" t="s">
        <v>1383</v>
      </c>
      <c r="E1159" s="22"/>
      <c r="F1159" s="6" t="s">
        <v>4288</v>
      </c>
      <c r="G1159" s="6" t="s">
        <v>4289</v>
      </c>
      <c r="H1159" s="8">
        <v>27176</v>
      </c>
      <c r="I1159" s="213" t="b">
        <v>0</v>
      </c>
      <c r="J1159" s="213" t="b">
        <v>0</v>
      </c>
      <c r="K1159" s="213" t="b">
        <v>0</v>
      </c>
    </row>
    <row r="1160" spans="1:11" ht="38.25" hidden="1">
      <c r="A1160" s="9">
        <v>2015</v>
      </c>
      <c r="B1160" s="6" t="s">
        <v>4291</v>
      </c>
      <c r="C1160" s="112" t="s">
        <v>61</v>
      </c>
      <c r="D1160" s="6" t="s">
        <v>1383</v>
      </c>
      <c r="E1160" s="22"/>
      <c r="F1160" s="6" t="s">
        <v>4292</v>
      </c>
      <c r="G1160" s="6" t="s">
        <v>4293</v>
      </c>
      <c r="H1160" s="8">
        <v>41880</v>
      </c>
      <c r="I1160" s="213" t="b">
        <v>0</v>
      </c>
      <c r="J1160" s="213" t="b">
        <v>0</v>
      </c>
      <c r="K1160" s="213" t="b">
        <v>0</v>
      </c>
    </row>
    <row r="1161" spans="1:11" ht="25.5" hidden="1">
      <c r="A1161" s="9">
        <v>2015</v>
      </c>
      <c r="B1161" s="6" t="s">
        <v>4297</v>
      </c>
      <c r="C1161" s="112" t="s">
        <v>61</v>
      </c>
      <c r="D1161" s="6" t="s">
        <v>1383</v>
      </c>
      <c r="E1161" s="22"/>
      <c r="F1161" s="6" t="s">
        <v>4298</v>
      </c>
      <c r="G1161" s="6" t="s">
        <v>4281</v>
      </c>
      <c r="H1161" s="8">
        <v>30000</v>
      </c>
      <c r="I1161" s="213" t="b">
        <v>0</v>
      </c>
      <c r="J1161" s="213" t="b">
        <v>0</v>
      </c>
      <c r="K1161" s="213" t="b">
        <v>0</v>
      </c>
    </row>
    <row r="1162" spans="1:11" ht="76.5" hidden="1">
      <c r="A1162" s="9">
        <v>2015</v>
      </c>
      <c r="B1162" s="6" t="s">
        <v>4304</v>
      </c>
      <c r="C1162" s="112" t="s">
        <v>61</v>
      </c>
      <c r="D1162" s="6" t="s">
        <v>1383</v>
      </c>
      <c r="E1162" s="22"/>
      <c r="F1162" s="6" t="s">
        <v>4305</v>
      </c>
      <c r="G1162" s="6" t="s">
        <v>4302</v>
      </c>
      <c r="H1162" s="8">
        <v>50000</v>
      </c>
      <c r="I1162" s="213" t="b">
        <v>0</v>
      </c>
      <c r="J1162" s="213" t="b">
        <v>0</v>
      </c>
      <c r="K1162" s="213" t="b">
        <v>0</v>
      </c>
    </row>
    <row r="1163" spans="1:11" ht="38.25" hidden="1">
      <c r="A1163" s="9">
        <v>2015</v>
      </c>
      <c r="B1163" s="6" t="s">
        <v>4306</v>
      </c>
      <c r="C1163" s="112" t="s">
        <v>61</v>
      </c>
      <c r="D1163" s="6" t="s">
        <v>1383</v>
      </c>
      <c r="E1163" s="22"/>
      <c r="F1163" s="6" t="s">
        <v>4307</v>
      </c>
      <c r="G1163" s="6" t="s">
        <v>4308</v>
      </c>
      <c r="H1163" s="8">
        <v>50000</v>
      </c>
      <c r="I1163" s="213" t="b">
        <v>0</v>
      </c>
      <c r="J1163" s="213" t="b">
        <v>0</v>
      </c>
      <c r="K1163" s="213" t="b">
        <v>0</v>
      </c>
    </row>
    <row r="1164" spans="1:11" ht="25.5" hidden="1">
      <c r="A1164" s="9">
        <v>2015</v>
      </c>
      <c r="B1164" s="6" t="s">
        <v>4310</v>
      </c>
      <c r="C1164" s="112" t="s">
        <v>61</v>
      </c>
      <c r="D1164" s="6" t="s">
        <v>1383</v>
      </c>
      <c r="E1164" s="22"/>
      <c r="F1164" s="6" t="s">
        <v>4311</v>
      </c>
      <c r="G1164" s="6" t="s">
        <v>4312</v>
      </c>
      <c r="H1164" s="8">
        <v>50000</v>
      </c>
      <c r="I1164" s="213" t="b">
        <v>0</v>
      </c>
      <c r="J1164" s="213" t="b">
        <v>0</v>
      </c>
      <c r="K1164" s="213" t="b">
        <v>0</v>
      </c>
    </row>
    <row r="1165" spans="1:11" ht="38.25" hidden="1">
      <c r="A1165" s="9">
        <v>2015</v>
      </c>
      <c r="B1165" s="6" t="s">
        <v>4314</v>
      </c>
      <c r="C1165" s="112" t="s">
        <v>61</v>
      </c>
      <c r="D1165" s="6" t="s">
        <v>1383</v>
      </c>
      <c r="E1165" s="22"/>
      <c r="F1165" s="6" t="s">
        <v>4315</v>
      </c>
      <c r="G1165" s="6" t="s">
        <v>4316</v>
      </c>
      <c r="H1165" s="8">
        <v>40000</v>
      </c>
      <c r="I1165" s="213" t="b">
        <v>0</v>
      </c>
      <c r="J1165" s="213" t="b">
        <v>0</v>
      </c>
      <c r="K1165" s="213" t="b">
        <v>0</v>
      </c>
    </row>
    <row r="1166" spans="1:11" ht="38.25" hidden="1">
      <c r="A1166" s="9">
        <v>2015</v>
      </c>
      <c r="B1166" s="6" t="s">
        <v>4317</v>
      </c>
      <c r="C1166" s="112" t="s">
        <v>61</v>
      </c>
      <c r="D1166" s="6" t="s">
        <v>1383</v>
      </c>
      <c r="E1166" s="22"/>
      <c r="F1166" s="6" t="s">
        <v>4318</v>
      </c>
      <c r="G1166" s="6" t="s">
        <v>4319</v>
      </c>
      <c r="H1166" s="8">
        <v>99000</v>
      </c>
      <c r="I1166" s="213" t="b">
        <v>0</v>
      </c>
      <c r="J1166" s="213" t="b">
        <v>0</v>
      </c>
      <c r="K1166" s="213" t="b">
        <v>0</v>
      </c>
    </row>
    <row r="1167" spans="1:11" ht="25.5" hidden="1">
      <c r="A1167" s="9">
        <v>2015</v>
      </c>
      <c r="B1167" s="6" t="s">
        <v>4320</v>
      </c>
      <c r="C1167" s="112" t="s">
        <v>61</v>
      </c>
      <c r="D1167" s="6" t="s">
        <v>1383</v>
      </c>
      <c r="E1167" s="22"/>
      <c r="F1167" s="6" t="s">
        <v>4321</v>
      </c>
      <c r="G1167" s="6" t="s">
        <v>4322</v>
      </c>
      <c r="H1167" s="8">
        <v>20660</v>
      </c>
      <c r="I1167" s="213" t="b">
        <v>0</v>
      </c>
      <c r="J1167" s="213" t="b">
        <v>0</v>
      </c>
      <c r="K1167" s="213" t="b">
        <v>0</v>
      </c>
    </row>
    <row r="1168" spans="1:11" ht="25.5" hidden="1">
      <c r="A1168" s="9">
        <v>2015</v>
      </c>
      <c r="B1168" s="6" t="s">
        <v>4334</v>
      </c>
      <c r="C1168" s="112" t="s">
        <v>61</v>
      </c>
      <c r="D1168" s="6" t="s">
        <v>1383</v>
      </c>
      <c r="E1168" s="22"/>
      <c r="F1168" s="6" t="s">
        <v>4335</v>
      </c>
      <c r="G1168" s="6" t="s">
        <v>3859</v>
      </c>
      <c r="H1168" s="8">
        <v>65000</v>
      </c>
      <c r="I1168" s="213" t="b">
        <v>0</v>
      </c>
      <c r="J1168" s="213" t="b">
        <v>0</v>
      </c>
      <c r="K1168" s="213" t="b">
        <v>0</v>
      </c>
    </row>
    <row r="1169" spans="1:11" ht="25.5" hidden="1">
      <c r="A1169" s="9">
        <v>2015</v>
      </c>
      <c r="B1169" s="6" t="s">
        <v>4344</v>
      </c>
      <c r="C1169" s="112" t="s">
        <v>61</v>
      </c>
      <c r="D1169" s="6" t="s">
        <v>1383</v>
      </c>
      <c r="E1169" s="22"/>
      <c r="F1169" s="6" t="s">
        <v>4345</v>
      </c>
      <c r="G1169" s="6" t="s">
        <v>4346</v>
      </c>
      <c r="H1169" s="8">
        <v>100000</v>
      </c>
      <c r="I1169" s="213" t="b">
        <v>0</v>
      </c>
      <c r="J1169" s="213" t="b">
        <v>0</v>
      </c>
      <c r="K1169" s="213" t="b">
        <v>0</v>
      </c>
    </row>
    <row r="1170" spans="1:11" ht="38.25" hidden="1">
      <c r="A1170" s="9">
        <v>2015</v>
      </c>
      <c r="B1170" s="6" t="s">
        <v>4351</v>
      </c>
      <c r="C1170" s="112" t="s">
        <v>61</v>
      </c>
      <c r="D1170" s="6" t="s">
        <v>1383</v>
      </c>
      <c r="E1170" s="22"/>
      <c r="F1170" s="6" t="s">
        <v>4352</v>
      </c>
      <c r="G1170" s="6" t="s">
        <v>4353</v>
      </c>
      <c r="H1170" s="8">
        <v>48000</v>
      </c>
      <c r="I1170" s="213" t="b">
        <v>0</v>
      </c>
      <c r="J1170" s="213" t="b">
        <v>0</v>
      </c>
      <c r="K1170" s="213" t="b">
        <v>0</v>
      </c>
    </row>
    <row r="1171" spans="1:11" ht="38.25" hidden="1">
      <c r="A1171" s="9">
        <v>2015</v>
      </c>
      <c r="B1171" s="6" t="s">
        <v>4408</v>
      </c>
      <c r="C1171" s="112" t="s">
        <v>61</v>
      </c>
      <c r="D1171" s="6" t="s">
        <v>1383</v>
      </c>
      <c r="E1171" s="22"/>
      <c r="F1171" s="6" t="s">
        <v>4409</v>
      </c>
      <c r="G1171" s="6" t="s">
        <v>4410</v>
      </c>
      <c r="H1171" s="8">
        <v>100000</v>
      </c>
      <c r="I1171" s="213" t="b">
        <v>0</v>
      </c>
      <c r="J1171" s="213" t="b">
        <v>0</v>
      </c>
      <c r="K1171" s="213" t="b">
        <v>0</v>
      </c>
    </row>
    <row r="1172" spans="1:11" ht="51" hidden="1">
      <c r="A1172" s="9">
        <v>2015</v>
      </c>
      <c r="B1172" s="6" t="s">
        <v>4422</v>
      </c>
      <c r="C1172" s="112" t="s">
        <v>61</v>
      </c>
      <c r="D1172" s="6" t="s">
        <v>1383</v>
      </c>
      <c r="E1172" s="22"/>
      <c r="F1172" s="6" t="s">
        <v>4423</v>
      </c>
      <c r="G1172" s="6" t="s">
        <v>4424</v>
      </c>
      <c r="H1172" s="8">
        <v>26000</v>
      </c>
      <c r="I1172" s="213" t="b">
        <v>0</v>
      </c>
      <c r="J1172" s="213" t="b">
        <v>0</v>
      </c>
      <c r="K1172" s="213" t="b">
        <v>0</v>
      </c>
    </row>
    <row r="1173" spans="1:11" ht="38.25" hidden="1">
      <c r="A1173" s="9">
        <v>2015</v>
      </c>
      <c r="B1173" s="6" t="s">
        <v>4426</v>
      </c>
      <c r="C1173" s="112" t="s">
        <v>61</v>
      </c>
      <c r="D1173" s="6" t="s">
        <v>1383</v>
      </c>
      <c r="E1173" s="22"/>
      <c r="F1173" s="6" t="s">
        <v>4427</v>
      </c>
      <c r="G1173" s="6" t="s">
        <v>4428</v>
      </c>
      <c r="H1173" s="8">
        <v>42000</v>
      </c>
      <c r="I1173" s="213" t="b">
        <v>0</v>
      </c>
      <c r="J1173" s="213" t="b">
        <v>0</v>
      </c>
      <c r="K1173" s="213" t="b">
        <v>0</v>
      </c>
    </row>
    <row r="1174" spans="1:11" ht="38.25" hidden="1">
      <c r="A1174" s="9">
        <v>2015</v>
      </c>
      <c r="B1174" s="6" t="s">
        <v>4440</v>
      </c>
      <c r="C1174" s="112" t="s">
        <v>61</v>
      </c>
      <c r="D1174" s="6" t="s">
        <v>1383</v>
      </c>
      <c r="E1174" s="22"/>
      <c r="F1174" s="6" t="s">
        <v>4441</v>
      </c>
      <c r="G1174" s="6" t="s">
        <v>4442</v>
      </c>
      <c r="H1174" s="8">
        <v>50000</v>
      </c>
      <c r="I1174" s="213" t="b">
        <v>0</v>
      </c>
      <c r="J1174" s="213" t="b">
        <v>0</v>
      </c>
      <c r="K1174" s="213" t="b">
        <v>0</v>
      </c>
    </row>
    <row r="1175" spans="1:11" ht="25.5" hidden="1">
      <c r="A1175" s="9">
        <v>2015</v>
      </c>
      <c r="B1175" s="6" t="s">
        <v>4444</v>
      </c>
      <c r="C1175" s="112" t="s">
        <v>61</v>
      </c>
      <c r="D1175" s="6" t="s">
        <v>1383</v>
      </c>
      <c r="E1175" s="22"/>
      <c r="F1175" s="6" t="s">
        <v>4445</v>
      </c>
      <c r="G1175" s="6" t="s">
        <v>4446</v>
      </c>
      <c r="H1175" s="8">
        <v>25000</v>
      </c>
      <c r="I1175" s="213" t="b">
        <v>0</v>
      </c>
      <c r="J1175" s="213" t="b">
        <v>0</v>
      </c>
      <c r="K1175" s="213" t="b">
        <v>0</v>
      </c>
    </row>
    <row r="1176" spans="1:11" ht="25.5" hidden="1">
      <c r="A1176" s="9">
        <v>2015</v>
      </c>
      <c r="B1176" s="6" t="s">
        <v>4471</v>
      </c>
      <c r="C1176" s="112" t="s">
        <v>61</v>
      </c>
      <c r="D1176" s="6" t="s">
        <v>1383</v>
      </c>
      <c r="E1176" s="22"/>
      <c r="F1176" s="6" t="s">
        <v>4472</v>
      </c>
      <c r="G1176" s="6" t="s">
        <v>811</v>
      </c>
      <c r="H1176" s="8">
        <v>47000</v>
      </c>
      <c r="I1176" s="213" t="b">
        <v>0</v>
      </c>
      <c r="J1176" s="213" t="b">
        <v>0</v>
      </c>
      <c r="K1176" s="213" t="b">
        <v>0</v>
      </c>
    </row>
    <row r="1177" spans="1:11" ht="38.25" hidden="1">
      <c r="A1177" s="9">
        <v>2015</v>
      </c>
      <c r="B1177" s="6" t="s">
        <v>4481</v>
      </c>
      <c r="C1177" s="112" t="s">
        <v>61</v>
      </c>
      <c r="D1177" s="6" t="s">
        <v>1383</v>
      </c>
      <c r="E1177" s="22"/>
      <c r="F1177" s="6" t="s">
        <v>4482</v>
      </c>
      <c r="G1177" s="6" t="s">
        <v>4483</v>
      </c>
      <c r="H1177" s="8">
        <v>67200</v>
      </c>
      <c r="I1177" s="213" t="b">
        <v>0</v>
      </c>
      <c r="J1177" s="213" t="b">
        <v>0</v>
      </c>
      <c r="K1177" s="213" t="b">
        <v>0</v>
      </c>
    </row>
    <row r="1178" spans="1:11" ht="102">
      <c r="A1178" s="6">
        <v>2014</v>
      </c>
      <c r="B1178" s="61">
        <v>41699</v>
      </c>
      <c r="C1178" s="112" t="s">
        <v>61</v>
      </c>
      <c r="D1178" s="6" t="s">
        <v>62</v>
      </c>
      <c r="E1178" s="22"/>
      <c r="F1178" s="6" t="s">
        <v>4488</v>
      </c>
      <c r="G1178" s="148" t="s">
        <v>4489</v>
      </c>
      <c r="H1178" s="8">
        <v>491892</v>
      </c>
      <c r="I1178" s="213" t="b">
        <v>0</v>
      </c>
      <c r="J1178" s="213"/>
      <c r="K1178" s="213"/>
    </row>
    <row r="1179" spans="1:11" ht="25.5">
      <c r="A1179" s="6">
        <v>2014</v>
      </c>
      <c r="B1179" s="61">
        <v>41730</v>
      </c>
      <c r="C1179" s="112" t="s">
        <v>61</v>
      </c>
      <c r="D1179" s="6" t="s">
        <v>4151</v>
      </c>
      <c r="E1179" s="22"/>
      <c r="F1179" s="6" t="s">
        <v>4491</v>
      </c>
      <c r="G1179" s="6" t="s">
        <v>2331</v>
      </c>
      <c r="H1179" s="8">
        <v>178000</v>
      </c>
      <c r="I1179" s="213" t="b">
        <v>0</v>
      </c>
      <c r="J1179" s="213"/>
      <c r="K1179" s="213"/>
    </row>
    <row r="1180" spans="1:11" ht="25.5" hidden="1">
      <c r="A1180" s="6">
        <v>2014</v>
      </c>
      <c r="B1180" s="61">
        <v>41760</v>
      </c>
      <c r="C1180" s="112" t="s">
        <v>3096</v>
      </c>
      <c r="D1180" s="6" t="s">
        <v>3075</v>
      </c>
      <c r="E1180" s="22"/>
      <c r="F1180" s="6" t="s">
        <v>4492</v>
      </c>
      <c r="G1180" s="6" t="s">
        <v>4493</v>
      </c>
      <c r="H1180" s="8"/>
      <c r="I1180" s="213" t="b">
        <v>0</v>
      </c>
      <c r="J1180" s="213" t="b">
        <v>0</v>
      </c>
      <c r="K1180" s="213" t="b">
        <v>0</v>
      </c>
    </row>
    <row r="1181" spans="1:11" ht="51" hidden="1">
      <c r="A1181" s="6">
        <v>2014</v>
      </c>
      <c r="B1181" s="61">
        <v>41791</v>
      </c>
      <c r="C1181" s="112" t="s">
        <v>61</v>
      </c>
      <c r="D1181" s="6" t="s">
        <v>68</v>
      </c>
      <c r="E1181" s="22"/>
      <c r="F1181" s="6" t="s">
        <v>4494</v>
      </c>
      <c r="G1181" s="6" t="s">
        <v>4495</v>
      </c>
      <c r="H1181" s="8">
        <v>880971</v>
      </c>
      <c r="I1181" s="213" t="b">
        <v>0</v>
      </c>
      <c r="J1181" s="213" t="b">
        <v>0</v>
      </c>
      <c r="K1181" s="213" t="b">
        <v>0</v>
      </c>
    </row>
    <row r="1182" spans="1:11" ht="25.5" hidden="1">
      <c r="A1182" s="6">
        <v>2014</v>
      </c>
      <c r="B1182" s="62">
        <v>41821</v>
      </c>
      <c r="C1182" s="112" t="s">
        <v>61</v>
      </c>
      <c r="D1182" s="6" t="s">
        <v>3075</v>
      </c>
      <c r="E1182" s="22"/>
      <c r="F1182" s="6" t="s">
        <v>4497</v>
      </c>
      <c r="G1182" s="6" t="s">
        <v>4498</v>
      </c>
      <c r="H1182" s="8">
        <v>400000</v>
      </c>
      <c r="I1182" s="213" t="b">
        <v>0</v>
      </c>
      <c r="J1182" s="213" t="b">
        <v>0</v>
      </c>
      <c r="K1182" s="213" t="b">
        <v>0</v>
      </c>
    </row>
    <row r="1183" spans="1:11" ht="102" hidden="1">
      <c r="A1183" s="6">
        <v>2014</v>
      </c>
      <c r="B1183" s="62">
        <v>41944</v>
      </c>
      <c r="C1183" s="112" t="s">
        <v>61</v>
      </c>
      <c r="D1183" s="6" t="s">
        <v>3168</v>
      </c>
      <c r="E1183" s="22"/>
      <c r="F1183" s="6" t="s">
        <v>4505</v>
      </c>
      <c r="G1183" s="6" t="s">
        <v>4506</v>
      </c>
      <c r="H1183" s="8">
        <v>235000</v>
      </c>
      <c r="I1183" s="213" t="b">
        <v>0</v>
      </c>
      <c r="J1183" s="213" t="b">
        <v>0</v>
      </c>
      <c r="K1183" s="213" t="b">
        <v>0</v>
      </c>
    </row>
    <row r="1184" spans="1:11" ht="38.25">
      <c r="A1184" s="6">
        <v>2014</v>
      </c>
      <c r="B1184" s="6" t="s">
        <v>4516</v>
      </c>
      <c r="C1184" s="112" t="s">
        <v>61</v>
      </c>
      <c r="D1184" s="6" t="s">
        <v>62</v>
      </c>
      <c r="E1184" s="22"/>
      <c r="F1184" s="132" t="s">
        <v>4517</v>
      </c>
      <c r="G1184" s="6" t="s">
        <v>4518</v>
      </c>
      <c r="H1184" s="8">
        <v>494491</v>
      </c>
      <c r="I1184" s="213" t="b">
        <v>0</v>
      </c>
      <c r="J1184" s="213"/>
      <c r="K1184" s="213"/>
    </row>
    <row r="1185" spans="1:11" ht="51" hidden="1">
      <c r="A1185" s="6">
        <v>2014</v>
      </c>
      <c r="B1185" s="6" t="s">
        <v>4520</v>
      </c>
      <c r="C1185" s="112" t="s">
        <v>2406</v>
      </c>
      <c r="D1185" s="6" t="s">
        <v>62</v>
      </c>
      <c r="E1185" s="22"/>
      <c r="F1185" s="6" t="s">
        <v>4522</v>
      </c>
      <c r="G1185" s="6" t="s">
        <v>4523</v>
      </c>
      <c r="H1185" s="8" t="s">
        <v>4521</v>
      </c>
      <c r="I1185" s="213" t="b">
        <v>0</v>
      </c>
      <c r="J1185" s="213" t="b">
        <v>0</v>
      </c>
      <c r="K1185" s="213" t="b">
        <v>0</v>
      </c>
    </row>
    <row r="1186" spans="1:11" ht="38.25" hidden="1">
      <c r="A1186" s="6">
        <v>2014</v>
      </c>
      <c r="B1186" s="6" t="s">
        <v>4530</v>
      </c>
      <c r="C1186" s="112" t="s">
        <v>4174</v>
      </c>
      <c r="D1186" s="6" t="s">
        <v>2724</v>
      </c>
      <c r="E1186" s="22"/>
      <c r="F1186" s="6" t="s">
        <v>4531</v>
      </c>
      <c r="G1186" s="6" t="s">
        <v>4493</v>
      </c>
      <c r="H1186" s="8">
        <v>250000</v>
      </c>
      <c r="I1186" s="213" t="b">
        <v>0</v>
      </c>
      <c r="J1186" s="213" t="b">
        <v>0</v>
      </c>
      <c r="K1186" s="213" t="b">
        <v>0</v>
      </c>
    </row>
    <row r="1187" spans="1:11" ht="38.25" hidden="1">
      <c r="A1187" s="6">
        <v>2014</v>
      </c>
      <c r="B1187" s="6" t="s">
        <v>4535</v>
      </c>
      <c r="C1187" s="112" t="s">
        <v>61</v>
      </c>
      <c r="D1187" s="6" t="s">
        <v>3092</v>
      </c>
      <c r="E1187" s="22"/>
      <c r="F1187" s="6" t="s">
        <v>4536</v>
      </c>
      <c r="G1187" s="6" t="s">
        <v>4537</v>
      </c>
      <c r="H1187" s="8">
        <v>522000</v>
      </c>
      <c r="I1187" s="213" t="b">
        <v>0</v>
      </c>
      <c r="J1187" s="213" t="b">
        <v>0</v>
      </c>
      <c r="K1187" s="213" t="b">
        <v>0</v>
      </c>
    </row>
    <row r="1188" spans="1:11" ht="51" hidden="1">
      <c r="A1188" s="6">
        <v>2014</v>
      </c>
      <c r="B1188" s="6" t="s">
        <v>4543</v>
      </c>
      <c r="C1188" s="112" t="s">
        <v>61</v>
      </c>
      <c r="D1188" s="6" t="s">
        <v>652</v>
      </c>
      <c r="E1188" s="22"/>
      <c r="F1188" s="6" t="s">
        <v>4544</v>
      </c>
      <c r="G1188" s="6" t="s">
        <v>5600</v>
      </c>
      <c r="H1188" s="8">
        <v>231600</v>
      </c>
      <c r="I1188" s="213" t="b">
        <v>0</v>
      </c>
      <c r="J1188" s="213" t="b">
        <v>0</v>
      </c>
      <c r="K1188" s="213" t="b">
        <v>0</v>
      </c>
    </row>
    <row r="1189" spans="1:11" ht="25.5">
      <c r="A1189" s="6">
        <v>2014</v>
      </c>
      <c r="B1189" s="6" t="s">
        <v>4547</v>
      </c>
      <c r="C1189" s="112" t="s">
        <v>61</v>
      </c>
      <c r="D1189" s="6" t="s">
        <v>62</v>
      </c>
      <c r="E1189" s="22"/>
      <c r="F1189" s="6" t="s">
        <v>4548</v>
      </c>
      <c r="G1189" s="6" t="s">
        <v>4549</v>
      </c>
      <c r="H1189" s="8">
        <v>1121750</v>
      </c>
      <c r="I1189" s="213" t="b">
        <v>0</v>
      </c>
      <c r="J1189" s="213"/>
      <c r="K1189" s="213"/>
    </row>
    <row r="1190" spans="1:11" ht="38.25">
      <c r="A1190" s="6">
        <v>2014</v>
      </c>
      <c r="B1190" s="6" t="s">
        <v>4551</v>
      </c>
      <c r="C1190" s="112" t="s">
        <v>61</v>
      </c>
      <c r="D1190" s="6" t="s">
        <v>62</v>
      </c>
      <c r="E1190" s="22"/>
      <c r="F1190" s="6" t="s">
        <v>4552</v>
      </c>
      <c r="G1190" s="6" t="s">
        <v>4553</v>
      </c>
      <c r="H1190" s="8">
        <v>1000000</v>
      </c>
      <c r="I1190" s="213" t="b">
        <v>0</v>
      </c>
      <c r="J1190" s="213"/>
      <c r="K1190" s="213"/>
    </row>
    <row r="1191" spans="1:11" ht="25.5" hidden="1">
      <c r="A1191" s="6">
        <v>2014</v>
      </c>
      <c r="B1191" s="6" t="s">
        <v>4555</v>
      </c>
      <c r="C1191" s="112" t="s">
        <v>3096</v>
      </c>
      <c r="D1191" s="6" t="s">
        <v>1231</v>
      </c>
      <c r="E1191" s="22"/>
      <c r="F1191" s="6" t="s">
        <v>4556</v>
      </c>
      <c r="G1191" s="6" t="s">
        <v>4557</v>
      </c>
      <c r="H1191" s="8">
        <v>200000</v>
      </c>
      <c r="I1191" s="213" t="b">
        <v>0</v>
      </c>
      <c r="J1191" s="213" t="b">
        <v>0</v>
      </c>
      <c r="K1191" s="213" t="b">
        <v>0</v>
      </c>
    </row>
    <row r="1192" spans="1:11" ht="25.5" hidden="1">
      <c r="A1192" s="6">
        <v>2014</v>
      </c>
      <c r="B1192" s="6" t="s">
        <v>4559</v>
      </c>
      <c r="C1192" s="112" t="s">
        <v>61</v>
      </c>
      <c r="D1192" s="6" t="s">
        <v>1141</v>
      </c>
      <c r="E1192" s="22"/>
      <c r="F1192" s="6" t="s">
        <v>4560</v>
      </c>
      <c r="G1192" s="6" t="s">
        <v>4561</v>
      </c>
      <c r="H1192" s="8">
        <v>78604</v>
      </c>
      <c r="I1192" s="213" t="b">
        <v>0</v>
      </c>
      <c r="J1192" s="213" t="b">
        <v>0</v>
      </c>
      <c r="K1192" s="213" t="b">
        <v>0</v>
      </c>
    </row>
    <row r="1193" spans="1:11" ht="38.25" hidden="1">
      <c r="A1193" s="6">
        <v>2014</v>
      </c>
      <c r="B1193" s="6" t="s">
        <v>4563</v>
      </c>
      <c r="C1193" s="112" t="s">
        <v>61</v>
      </c>
      <c r="D1193" s="6" t="s">
        <v>3092</v>
      </c>
      <c r="E1193" s="22"/>
      <c r="F1193" s="6" t="s">
        <v>4564</v>
      </c>
      <c r="G1193" s="6" t="s">
        <v>4565</v>
      </c>
      <c r="H1193" s="8">
        <v>430000</v>
      </c>
      <c r="I1193" s="213" t="b">
        <v>0</v>
      </c>
      <c r="J1193" s="213" t="b">
        <v>0</v>
      </c>
      <c r="K1193" s="213" t="b">
        <v>0</v>
      </c>
    </row>
    <row r="1194" spans="1:11" ht="25.5" hidden="1">
      <c r="A1194" s="6">
        <v>2014</v>
      </c>
      <c r="B1194" s="6" t="s">
        <v>4567</v>
      </c>
      <c r="C1194" s="112" t="s">
        <v>3096</v>
      </c>
      <c r="D1194" s="9" t="s">
        <v>3075</v>
      </c>
      <c r="E1194" s="140"/>
      <c r="F1194" s="6" t="s">
        <v>4568</v>
      </c>
      <c r="G1194" s="6" t="s">
        <v>4569</v>
      </c>
      <c r="H1194" s="8">
        <v>132000</v>
      </c>
      <c r="I1194" s="213" t="b">
        <v>0</v>
      </c>
      <c r="J1194" s="213" t="b">
        <v>0</v>
      </c>
      <c r="K1194" s="213" t="b">
        <v>0</v>
      </c>
    </row>
    <row r="1195" spans="1:11" ht="51" hidden="1">
      <c r="A1195" s="6">
        <v>2014</v>
      </c>
      <c r="B1195" s="6" t="s">
        <v>4570</v>
      </c>
      <c r="C1195" s="112" t="s">
        <v>61</v>
      </c>
      <c r="D1195" s="6" t="s">
        <v>2993</v>
      </c>
      <c r="E1195" s="22"/>
      <c r="F1195" s="6" t="s">
        <v>4571</v>
      </c>
      <c r="G1195" s="6" t="s">
        <v>5601</v>
      </c>
      <c r="H1195" s="8">
        <v>247000</v>
      </c>
      <c r="I1195" s="213" t="b">
        <v>0</v>
      </c>
      <c r="J1195" s="213" t="b">
        <v>0</v>
      </c>
      <c r="K1195" s="213" t="b">
        <v>0</v>
      </c>
    </row>
    <row r="1196" spans="1:11" ht="51">
      <c r="A1196" s="6">
        <v>2014</v>
      </c>
      <c r="B1196" s="6" t="s">
        <v>4574</v>
      </c>
      <c r="C1196" s="112" t="s">
        <v>61</v>
      </c>
      <c r="D1196" s="6" t="s">
        <v>62</v>
      </c>
      <c r="E1196" s="22"/>
      <c r="F1196" s="6" t="s">
        <v>4575</v>
      </c>
      <c r="G1196" s="6" t="s">
        <v>4576</v>
      </c>
      <c r="H1196" s="8">
        <v>1793500</v>
      </c>
      <c r="I1196" s="213" t="b">
        <v>0</v>
      </c>
      <c r="J1196" s="213"/>
      <c r="K1196" s="213"/>
    </row>
    <row r="1197" spans="1:11" ht="76.5" hidden="1">
      <c r="A1197" s="6">
        <v>2014</v>
      </c>
      <c r="B1197" s="6" t="s">
        <v>4578</v>
      </c>
      <c r="C1197" s="112" t="s">
        <v>61</v>
      </c>
      <c r="D1197" s="6" t="s">
        <v>3092</v>
      </c>
      <c r="E1197" s="22"/>
      <c r="F1197" s="132" t="s">
        <v>5602</v>
      </c>
      <c r="G1197" s="148" t="s">
        <v>4580</v>
      </c>
      <c r="H1197" s="30">
        <v>1271400</v>
      </c>
      <c r="I1197" s="213" t="b">
        <v>0</v>
      </c>
      <c r="J1197" s="213" t="b">
        <v>0</v>
      </c>
      <c r="K1197" s="213" t="b">
        <v>0</v>
      </c>
    </row>
    <row r="1198" spans="1:11" ht="38.25">
      <c r="A1198" s="6">
        <v>2014</v>
      </c>
      <c r="B1198" s="6" t="s">
        <v>4582</v>
      </c>
      <c r="C1198" s="112" t="s">
        <v>61</v>
      </c>
      <c r="D1198" s="6" t="s">
        <v>62</v>
      </c>
      <c r="E1198" s="22"/>
      <c r="F1198" s="6" t="s">
        <v>4583</v>
      </c>
      <c r="G1198" s="6" t="s">
        <v>4584</v>
      </c>
      <c r="H1198" s="8">
        <v>1000000</v>
      </c>
      <c r="I1198" s="213" t="b">
        <v>0</v>
      </c>
      <c r="J1198" s="213"/>
      <c r="K1198" s="213"/>
    </row>
    <row r="1199" spans="1:11" ht="25.5">
      <c r="A1199" s="6">
        <v>2014</v>
      </c>
      <c r="B1199" s="6" t="s">
        <v>4586</v>
      </c>
      <c r="C1199" s="112" t="s">
        <v>61</v>
      </c>
      <c r="D1199" s="6" t="s">
        <v>62</v>
      </c>
      <c r="E1199" s="22"/>
      <c r="F1199" s="6" t="s">
        <v>4587</v>
      </c>
      <c r="G1199" s="6" t="s">
        <v>4588</v>
      </c>
      <c r="H1199" s="8">
        <v>2500000</v>
      </c>
      <c r="I1199" s="213" t="b">
        <v>0</v>
      </c>
      <c r="J1199" s="213"/>
      <c r="K1199" s="213"/>
    </row>
    <row r="1200" spans="1:11" ht="25.5">
      <c r="A1200" s="6">
        <v>2014</v>
      </c>
      <c r="B1200" s="6" t="s">
        <v>4590</v>
      </c>
      <c r="C1200" s="112" t="s">
        <v>61</v>
      </c>
      <c r="D1200" s="6" t="s">
        <v>62</v>
      </c>
      <c r="E1200" s="22"/>
      <c r="F1200" s="6" t="s">
        <v>4591</v>
      </c>
      <c r="G1200" s="6" t="s">
        <v>4592</v>
      </c>
      <c r="H1200" s="8">
        <v>1850000</v>
      </c>
      <c r="I1200" s="213" t="b">
        <v>0</v>
      </c>
      <c r="J1200" s="213"/>
      <c r="K1200" s="213"/>
    </row>
    <row r="1201" spans="1:11" ht="12.75" hidden="1">
      <c r="A1201" s="6">
        <v>2014</v>
      </c>
      <c r="B1201" s="6" t="s">
        <v>4596</v>
      </c>
      <c r="C1201" s="112" t="s">
        <v>61</v>
      </c>
      <c r="D1201" s="6" t="s">
        <v>68</v>
      </c>
      <c r="E1201" s="22"/>
      <c r="F1201" s="6" t="s">
        <v>4597</v>
      </c>
      <c r="G1201" s="6" t="s">
        <v>4598</v>
      </c>
      <c r="H1201" s="8">
        <v>993412.5</v>
      </c>
      <c r="I1201" s="213" t="b">
        <v>0</v>
      </c>
      <c r="J1201" s="213" t="b">
        <v>0</v>
      </c>
      <c r="K1201" s="213" t="b">
        <v>0</v>
      </c>
    </row>
    <row r="1202" spans="1:11" ht="38.25">
      <c r="A1202" s="6">
        <v>2014</v>
      </c>
      <c r="B1202" s="6" t="s">
        <v>4600</v>
      </c>
      <c r="C1202" s="112" t="s">
        <v>61</v>
      </c>
      <c r="D1202" s="6" t="s">
        <v>62</v>
      </c>
      <c r="E1202" s="22"/>
      <c r="F1202" s="6" t="s">
        <v>4601</v>
      </c>
      <c r="G1202" s="6" t="s">
        <v>4602</v>
      </c>
      <c r="H1202" s="8">
        <v>618554</v>
      </c>
      <c r="I1202" s="213" t="b">
        <v>0</v>
      </c>
      <c r="J1202" s="213"/>
      <c r="K1202" s="213"/>
    </row>
    <row r="1203" spans="1:11" ht="38.25" hidden="1">
      <c r="A1203" s="6">
        <v>2014</v>
      </c>
      <c r="B1203" s="6" t="s">
        <v>4604</v>
      </c>
      <c r="C1203" s="112" t="s">
        <v>61</v>
      </c>
      <c r="D1203" s="6" t="s">
        <v>68</v>
      </c>
      <c r="E1203" s="22"/>
      <c r="F1203" s="6" t="s">
        <v>4605</v>
      </c>
      <c r="G1203" s="6" t="s">
        <v>4606</v>
      </c>
      <c r="H1203" s="8">
        <v>958103</v>
      </c>
      <c r="I1203" s="213" t="b">
        <v>0</v>
      </c>
      <c r="J1203" s="213" t="b">
        <v>0</v>
      </c>
      <c r="K1203" s="213" t="b">
        <v>0</v>
      </c>
    </row>
    <row r="1204" spans="1:11" ht="25.5" hidden="1">
      <c r="A1204" s="6">
        <v>2014</v>
      </c>
      <c r="B1204" s="6" t="s">
        <v>4608</v>
      </c>
      <c r="C1204" s="112" t="s">
        <v>61</v>
      </c>
      <c r="D1204" s="6" t="s">
        <v>3168</v>
      </c>
      <c r="E1204" s="22"/>
      <c r="F1204" s="6" t="s">
        <v>4609</v>
      </c>
      <c r="G1204" s="6" t="s">
        <v>1689</v>
      </c>
      <c r="H1204" s="8">
        <v>250000</v>
      </c>
      <c r="I1204" s="213" t="b">
        <v>0</v>
      </c>
      <c r="J1204" s="213" t="b">
        <v>0</v>
      </c>
      <c r="K1204" s="213" t="b">
        <v>0</v>
      </c>
    </row>
    <row r="1205" spans="1:11" ht="25.5" hidden="1">
      <c r="A1205" s="6">
        <v>2014</v>
      </c>
      <c r="B1205" s="6" t="s">
        <v>4610</v>
      </c>
      <c r="C1205" s="9" t="s">
        <v>61</v>
      </c>
      <c r="D1205" s="6" t="s">
        <v>1763</v>
      </c>
      <c r="E1205" s="22"/>
      <c r="F1205" s="132" t="s">
        <v>4611</v>
      </c>
      <c r="G1205" s="6"/>
      <c r="H1205" s="8">
        <v>26000</v>
      </c>
      <c r="I1205" s="213" t="b">
        <v>0</v>
      </c>
      <c r="J1205" s="213" t="b">
        <v>0</v>
      </c>
      <c r="K1205" s="213" t="b">
        <v>0</v>
      </c>
    </row>
    <row r="1206" spans="1:11" ht="25.5" hidden="1">
      <c r="A1206" s="6">
        <v>2014</v>
      </c>
      <c r="B1206" s="61">
        <v>41671</v>
      </c>
      <c r="C1206" s="112" t="s">
        <v>61</v>
      </c>
      <c r="D1206" s="6" t="s">
        <v>2993</v>
      </c>
      <c r="E1206" s="22"/>
      <c r="F1206" s="6" t="s">
        <v>4612</v>
      </c>
      <c r="G1206" s="6" t="s">
        <v>4613</v>
      </c>
      <c r="H1206" s="8">
        <v>53797</v>
      </c>
      <c r="I1206" s="213" t="b">
        <v>0</v>
      </c>
      <c r="J1206" s="213" t="b">
        <v>0</v>
      </c>
      <c r="K1206" s="213" t="b">
        <v>0</v>
      </c>
    </row>
    <row r="1207" spans="1:11" ht="38.25" hidden="1">
      <c r="A1207" s="6">
        <v>2014</v>
      </c>
      <c r="B1207" s="61">
        <v>41699</v>
      </c>
      <c r="C1207" s="112" t="s">
        <v>3096</v>
      </c>
      <c r="D1207" s="6" t="s">
        <v>2412</v>
      </c>
      <c r="E1207" s="22"/>
      <c r="F1207" s="6" t="s">
        <v>4615</v>
      </c>
      <c r="G1207" s="6" t="s">
        <v>4616</v>
      </c>
      <c r="H1207" s="8">
        <v>44640</v>
      </c>
      <c r="I1207" s="213" t="b">
        <v>0</v>
      </c>
      <c r="J1207" s="213" t="b">
        <v>0</v>
      </c>
      <c r="K1207" s="213" t="b">
        <v>0</v>
      </c>
    </row>
    <row r="1208" spans="1:11" ht="25.5" hidden="1">
      <c r="A1208" s="6">
        <v>2014</v>
      </c>
      <c r="B1208" s="61">
        <v>41730</v>
      </c>
      <c r="C1208" s="112" t="s">
        <v>61</v>
      </c>
      <c r="D1208" s="6" t="s">
        <v>3168</v>
      </c>
      <c r="E1208" s="22"/>
      <c r="F1208" s="6" t="s">
        <v>4491</v>
      </c>
      <c r="G1208" s="6" t="s">
        <v>1556</v>
      </c>
      <c r="H1208" s="8">
        <v>178000</v>
      </c>
      <c r="I1208" s="213" t="b">
        <v>0</v>
      </c>
      <c r="J1208" s="213" t="b">
        <v>0</v>
      </c>
      <c r="K1208" s="213" t="b">
        <v>0</v>
      </c>
    </row>
    <row r="1209" spans="1:11" ht="51" hidden="1">
      <c r="A1209" s="6">
        <v>2014</v>
      </c>
      <c r="B1209" s="61">
        <v>41760</v>
      </c>
      <c r="C1209" s="112" t="s">
        <v>61</v>
      </c>
      <c r="D1209" s="6" t="s">
        <v>3092</v>
      </c>
      <c r="E1209" s="22"/>
      <c r="F1209" s="6" t="s">
        <v>4620</v>
      </c>
      <c r="G1209" s="6" t="s">
        <v>4621</v>
      </c>
      <c r="H1209" s="8">
        <v>98000</v>
      </c>
      <c r="I1209" s="213" t="b">
        <v>0</v>
      </c>
      <c r="J1209" s="213" t="b">
        <v>0</v>
      </c>
      <c r="K1209" s="213" t="b">
        <v>0</v>
      </c>
    </row>
    <row r="1210" spans="1:11" ht="51" hidden="1">
      <c r="A1210" s="6">
        <v>2014</v>
      </c>
      <c r="B1210" s="61">
        <v>41791</v>
      </c>
      <c r="C1210" s="112" t="s">
        <v>61</v>
      </c>
      <c r="D1210" s="6" t="s">
        <v>3168</v>
      </c>
      <c r="E1210" s="22"/>
      <c r="F1210" s="6" t="s">
        <v>5603</v>
      </c>
      <c r="G1210" s="6" t="s">
        <v>4495</v>
      </c>
      <c r="H1210" s="8">
        <v>996971</v>
      </c>
      <c r="I1210" s="213" t="b">
        <v>0</v>
      </c>
      <c r="J1210" s="213" t="b">
        <v>0</v>
      </c>
      <c r="K1210" s="213" t="b">
        <v>0</v>
      </c>
    </row>
    <row r="1211" spans="1:11" ht="25.5" hidden="1">
      <c r="A1211" s="6">
        <v>2014</v>
      </c>
      <c r="B1211" s="61">
        <v>41821</v>
      </c>
      <c r="C1211" s="112" t="s">
        <v>61</v>
      </c>
      <c r="D1211" s="6" t="s">
        <v>394</v>
      </c>
      <c r="E1211" s="22"/>
      <c r="F1211" s="6" t="s">
        <v>4626</v>
      </c>
      <c r="G1211" s="6" t="s">
        <v>840</v>
      </c>
      <c r="H1211" s="8">
        <v>80000</v>
      </c>
      <c r="I1211" s="213" t="b">
        <v>0</v>
      </c>
      <c r="J1211" s="213" t="b">
        <v>0</v>
      </c>
      <c r="K1211" s="213" t="b">
        <v>0</v>
      </c>
    </row>
    <row r="1212" spans="1:11" ht="51" hidden="1">
      <c r="A1212" s="6">
        <v>2014</v>
      </c>
      <c r="B1212" s="61">
        <v>41852</v>
      </c>
      <c r="C1212" s="112" t="s">
        <v>61</v>
      </c>
      <c r="D1212" s="6" t="s">
        <v>1763</v>
      </c>
      <c r="E1212" s="22"/>
      <c r="F1212" s="6" t="s">
        <v>5604</v>
      </c>
      <c r="G1212" s="6" t="s">
        <v>1611</v>
      </c>
      <c r="H1212" s="8">
        <v>200000</v>
      </c>
      <c r="I1212" s="213" t="b">
        <v>0</v>
      </c>
      <c r="J1212" s="213" t="b">
        <v>0</v>
      </c>
      <c r="K1212" s="213" t="b">
        <v>0</v>
      </c>
    </row>
    <row r="1213" spans="1:11" ht="38.25" hidden="1">
      <c r="A1213" s="6">
        <v>2014</v>
      </c>
      <c r="B1213" s="61">
        <v>41883</v>
      </c>
      <c r="C1213" s="112" t="s">
        <v>61</v>
      </c>
      <c r="D1213" s="6" t="s">
        <v>1763</v>
      </c>
      <c r="E1213" s="22"/>
      <c r="F1213" s="6" t="s">
        <v>4501</v>
      </c>
      <c r="G1213" s="6" t="s">
        <v>4502</v>
      </c>
      <c r="H1213" s="8">
        <v>200000</v>
      </c>
      <c r="I1213" s="213" t="b">
        <v>0</v>
      </c>
      <c r="J1213" s="213" t="b">
        <v>0</v>
      </c>
      <c r="K1213" s="213" t="b">
        <v>0</v>
      </c>
    </row>
    <row r="1214" spans="1:11" ht="127.5" hidden="1">
      <c r="A1214" s="6">
        <v>2014</v>
      </c>
      <c r="B1214" s="61">
        <v>41913</v>
      </c>
      <c r="C1214" s="112" t="s">
        <v>4634</v>
      </c>
      <c r="D1214" s="6"/>
      <c r="E1214" s="22"/>
      <c r="F1214" s="6" t="s">
        <v>4635</v>
      </c>
      <c r="G1214" s="6" t="s">
        <v>4636</v>
      </c>
      <c r="H1214" s="8">
        <v>47031.75</v>
      </c>
      <c r="I1214" s="213" t="b">
        <v>0</v>
      </c>
      <c r="J1214" s="213" t="b">
        <v>0</v>
      </c>
      <c r="K1214" s="213" t="b">
        <v>0</v>
      </c>
    </row>
    <row r="1215" spans="1:11" ht="25.5" hidden="1">
      <c r="A1215" s="6">
        <v>2014</v>
      </c>
      <c r="B1215" s="61">
        <v>41944</v>
      </c>
      <c r="C1215" s="112" t="s">
        <v>61</v>
      </c>
      <c r="D1215" s="6" t="s">
        <v>394</v>
      </c>
      <c r="E1215" s="22"/>
      <c r="F1215" s="6" t="s">
        <v>4638</v>
      </c>
      <c r="G1215" s="6" t="s">
        <v>844</v>
      </c>
      <c r="H1215" s="8">
        <v>34000</v>
      </c>
      <c r="I1215" s="213" t="b">
        <v>0</v>
      </c>
      <c r="J1215" s="213" t="b">
        <v>0</v>
      </c>
      <c r="K1215" s="213" t="b">
        <v>0</v>
      </c>
    </row>
    <row r="1216" spans="1:11" ht="12.75" hidden="1">
      <c r="A1216" s="6">
        <v>2014</v>
      </c>
      <c r="B1216" s="61">
        <v>41974</v>
      </c>
      <c r="C1216" s="112" t="s">
        <v>61</v>
      </c>
      <c r="D1216" s="6" t="s">
        <v>394</v>
      </c>
      <c r="E1216" s="22"/>
      <c r="F1216" s="6" t="s">
        <v>4640</v>
      </c>
      <c r="G1216" s="6" t="s">
        <v>1593</v>
      </c>
      <c r="H1216" s="8">
        <v>58000</v>
      </c>
      <c r="I1216" s="213" t="b">
        <v>0</v>
      </c>
      <c r="J1216" s="213" t="b">
        <v>0</v>
      </c>
      <c r="K1216" s="213" t="b">
        <v>0</v>
      </c>
    </row>
    <row r="1217" spans="1:11" ht="51" hidden="1">
      <c r="A1217" s="6">
        <v>2014</v>
      </c>
      <c r="B1217" s="6" t="s">
        <v>4510</v>
      </c>
      <c r="C1217" s="112" t="s">
        <v>61</v>
      </c>
      <c r="D1217" s="6" t="s">
        <v>3168</v>
      </c>
      <c r="E1217" s="22"/>
      <c r="F1217" s="6" t="s">
        <v>5605</v>
      </c>
      <c r="G1217" s="6" t="s">
        <v>4512</v>
      </c>
      <c r="H1217" s="8">
        <v>200000</v>
      </c>
      <c r="I1217" s="213" t="b">
        <v>0</v>
      </c>
      <c r="J1217" s="213" t="b">
        <v>0</v>
      </c>
      <c r="K1217" s="213" t="b">
        <v>0</v>
      </c>
    </row>
    <row r="1218" spans="1:11" ht="25.5" hidden="1">
      <c r="A1218" s="6">
        <v>2014</v>
      </c>
      <c r="B1218" s="6" t="s">
        <v>4648</v>
      </c>
      <c r="C1218" s="112" t="s">
        <v>61</v>
      </c>
      <c r="D1218" s="6" t="s">
        <v>394</v>
      </c>
      <c r="E1218" s="22"/>
      <c r="F1218" s="6"/>
      <c r="G1218" s="6" t="s">
        <v>4649</v>
      </c>
      <c r="H1218" s="8">
        <v>38000</v>
      </c>
      <c r="I1218" s="213" t="b">
        <v>0</v>
      </c>
      <c r="J1218" s="213" t="b">
        <v>0</v>
      </c>
      <c r="K1218" s="213" t="b">
        <v>0</v>
      </c>
    </row>
    <row r="1219" spans="1:11" ht="12.75" hidden="1">
      <c r="A1219" s="6">
        <v>2014</v>
      </c>
      <c r="B1219" s="6" t="s">
        <v>4520</v>
      </c>
      <c r="C1219" s="112" t="s">
        <v>61</v>
      </c>
      <c r="D1219" s="6" t="s">
        <v>394</v>
      </c>
      <c r="E1219" s="22"/>
      <c r="F1219" s="6" t="s">
        <v>4655</v>
      </c>
      <c r="G1219" s="6" t="s">
        <v>854</v>
      </c>
      <c r="H1219" s="8">
        <v>120000</v>
      </c>
      <c r="I1219" s="213" t="b">
        <v>0</v>
      </c>
      <c r="J1219" s="213" t="b">
        <v>0</v>
      </c>
      <c r="K1219" s="213" t="b">
        <v>0</v>
      </c>
    </row>
    <row r="1220" spans="1:11" ht="25.5" hidden="1">
      <c r="A1220" s="6">
        <v>2014</v>
      </c>
      <c r="B1220" s="6" t="s">
        <v>4657</v>
      </c>
      <c r="C1220" s="112" t="s">
        <v>61</v>
      </c>
      <c r="D1220" s="6"/>
      <c r="E1220" s="22"/>
      <c r="F1220" s="6" t="s">
        <v>5606</v>
      </c>
      <c r="G1220" s="6" t="s">
        <v>5607</v>
      </c>
      <c r="H1220" s="8"/>
      <c r="I1220" s="213" t="b">
        <v>0</v>
      </c>
      <c r="J1220" s="213" t="b">
        <v>0</v>
      </c>
      <c r="K1220" s="213" t="b">
        <v>0</v>
      </c>
    </row>
    <row r="1221" spans="1:11" ht="38.25" hidden="1">
      <c r="A1221" s="6">
        <v>2014</v>
      </c>
      <c r="B1221" s="6" t="s">
        <v>4524</v>
      </c>
      <c r="C1221" s="112" t="s">
        <v>61</v>
      </c>
      <c r="D1221" s="6" t="s">
        <v>652</v>
      </c>
      <c r="E1221" s="22"/>
      <c r="F1221" s="6" t="s">
        <v>4664</v>
      </c>
      <c r="G1221" s="6" t="s">
        <v>4665</v>
      </c>
      <c r="H1221" s="8">
        <v>346753.22</v>
      </c>
      <c r="I1221" s="213" t="b">
        <v>0</v>
      </c>
      <c r="J1221" s="213" t="b">
        <v>0</v>
      </c>
      <c r="K1221" s="213" t="b">
        <v>0</v>
      </c>
    </row>
    <row r="1222" spans="1:11" ht="38.25" hidden="1">
      <c r="A1222" s="6">
        <v>2014</v>
      </c>
      <c r="B1222" s="6" t="s">
        <v>4530</v>
      </c>
      <c r="C1222" s="112" t="s">
        <v>61</v>
      </c>
      <c r="D1222" s="6" t="s">
        <v>1141</v>
      </c>
      <c r="E1222" s="22"/>
      <c r="F1222" s="6" t="s">
        <v>4531</v>
      </c>
      <c r="G1222" s="6" t="s">
        <v>4493</v>
      </c>
      <c r="H1222" s="8">
        <v>250000</v>
      </c>
      <c r="I1222" s="213" t="b">
        <v>0</v>
      </c>
      <c r="J1222" s="213" t="b">
        <v>0</v>
      </c>
      <c r="K1222" s="213" t="b">
        <v>0</v>
      </c>
    </row>
    <row r="1223" spans="1:11" ht="38.25" hidden="1">
      <c r="A1223" s="6">
        <v>2014</v>
      </c>
      <c r="B1223" s="6" t="s">
        <v>4535</v>
      </c>
      <c r="C1223" s="112" t="s">
        <v>61</v>
      </c>
      <c r="D1223" s="6" t="s">
        <v>3092</v>
      </c>
      <c r="E1223" s="22"/>
      <c r="F1223" s="6" t="s">
        <v>4536</v>
      </c>
      <c r="G1223" s="6" t="s">
        <v>4537</v>
      </c>
      <c r="H1223" s="8">
        <v>522000</v>
      </c>
      <c r="I1223" s="213" t="b">
        <v>0</v>
      </c>
      <c r="J1223" s="213" t="b">
        <v>0</v>
      </c>
      <c r="K1223" s="213" t="b">
        <v>0</v>
      </c>
    </row>
    <row r="1224" spans="1:11" ht="25.5" hidden="1">
      <c r="A1224" s="6">
        <v>2014</v>
      </c>
      <c r="B1224" s="6" t="s">
        <v>4539</v>
      </c>
      <c r="C1224" s="112" t="s">
        <v>61</v>
      </c>
      <c r="D1224" s="6" t="s">
        <v>3092</v>
      </c>
      <c r="E1224" s="22"/>
      <c r="F1224" s="6" t="s">
        <v>4540</v>
      </c>
      <c r="G1224" s="6" t="s">
        <v>4541</v>
      </c>
      <c r="H1224" s="8">
        <v>850000</v>
      </c>
      <c r="I1224" s="213" t="b">
        <v>0</v>
      </c>
      <c r="J1224" s="213" t="b">
        <v>0</v>
      </c>
      <c r="K1224" s="213" t="b">
        <v>0</v>
      </c>
    </row>
    <row r="1225" spans="1:11" ht="51" hidden="1">
      <c r="A1225" s="6">
        <v>2014</v>
      </c>
      <c r="B1225" s="6" t="s">
        <v>4678</v>
      </c>
      <c r="C1225" s="112" t="s">
        <v>61</v>
      </c>
      <c r="D1225" s="6" t="s">
        <v>3092</v>
      </c>
      <c r="E1225" s="22"/>
      <c r="F1225" s="6" t="s">
        <v>4679</v>
      </c>
      <c r="G1225" s="6" t="s">
        <v>4675</v>
      </c>
      <c r="H1225" s="8">
        <v>48000</v>
      </c>
      <c r="I1225" s="213" t="b">
        <v>0</v>
      </c>
      <c r="J1225" s="213" t="b">
        <v>0</v>
      </c>
      <c r="K1225" s="213" t="b">
        <v>0</v>
      </c>
    </row>
    <row r="1226" spans="1:11" ht="25.5" hidden="1">
      <c r="A1226" s="6">
        <v>2014</v>
      </c>
      <c r="B1226" s="6" t="s">
        <v>4683</v>
      </c>
      <c r="C1226" s="112" t="s">
        <v>61</v>
      </c>
      <c r="D1226" s="6" t="s">
        <v>113</v>
      </c>
      <c r="E1226" s="22"/>
      <c r="F1226" s="6" t="s">
        <v>4544</v>
      </c>
      <c r="G1226" s="6" t="s">
        <v>5608</v>
      </c>
      <c r="H1226" s="8">
        <v>231600</v>
      </c>
      <c r="I1226" s="213" t="b">
        <v>0</v>
      </c>
      <c r="J1226" s="213" t="b">
        <v>0</v>
      </c>
      <c r="K1226" s="213" t="b">
        <v>0</v>
      </c>
    </row>
    <row r="1227" spans="1:11" ht="25.5" hidden="1">
      <c r="A1227" s="6">
        <v>2014</v>
      </c>
      <c r="B1227" s="6" t="s">
        <v>4685</v>
      </c>
      <c r="C1227" s="112" t="s">
        <v>61</v>
      </c>
      <c r="D1227" s="6" t="s">
        <v>394</v>
      </c>
      <c r="E1227" s="22"/>
      <c r="F1227" s="6" t="s">
        <v>4686</v>
      </c>
      <c r="G1227" s="6" t="s">
        <v>1346</v>
      </c>
      <c r="H1227" s="8">
        <v>55600</v>
      </c>
      <c r="I1227" s="213" t="b">
        <v>0</v>
      </c>
      <c r="J1227" s="213" t="b">
        <v>0</v>
      </c>
      <c r="K1227" s="213" t="b">
        <v>0</v>
      </c>
    </row>
    <row r="1228" spans="1:11" ht="25.5" hidden="1">
      <c r="A1228" s="6">
        <v>2014</v>
      </c>
      <c r="B1228" s="6" t="s">
        <v>4547</v>
      </c>
      <c r="C1228" s="112" t="s">
        <v>61</v>
      </c>
      <c r="D1228" s="6" t="s">
        <v>394</v>
      </c>
      <c r="E1228" s="22"/>
      <c r="F1228" s="6" t="s">
        <v>4687</v>
      </c>
      <c r="G1228" s="6" t="s">
        <v>1593</v>
      </c>
      <c r="H1228" s="8">
        <v>28000</v>
      </c>
      <c r="I1228" s="213" t="b">
        <v>0</v>
      </c>
      <c r="J1228" s="213" t="b">
        <v>0</v>
      </c>
      <c r="K1228" s="213" t="b">
        <v>0</v>
      </c>
    </row>
    <row r="1229" spans="1:11" ht="25.5" hidden="1">
      <c r="A1229" s="6">
        <v>2014</v>
      </c>
      <c r="B1229" s="6" t="s">
        <v>4689</v>
      </c>
      <c r="C1229" s="112" t="s">
        <v>61</v>
      </c>
      <c r="D1229" s="6" t="s">
        <v>394</v>
      </c>
      <c r="E1229" s="22"/>
      <c r="F1229" s="6" t="s">
        <v>4690</v>
      </c>
      <c r="G1229" s="6" t="s">
        <v>1605</v>
      </c>
      <c r="H1229" s="8">
        <v>34000</v>
      </c>
      <c r="I1229" s="213" t="b">
        <v>0</v>
      </c>
      <c r="J1229" s="213" t="b">
        <v>0</v>
      </c>
      <c r="K1229" s="213" t="b">
        <v>0</v>
      </c>
    </row>
    <row r="1230" spans="1:11" ht="38.25" hidden="1">
      <c r="A1230" s="6">
        <v>2014</v>
      </c>
      <c r="B1230" s="6" t="s">
        <v>4692</v>
      </c>
      <c r="C1230" s="112" t="s">
        <v>61</v>
      </c>
      <c r="D1230" s="6" t="s">
        <v>394</v>
      </c>
      <c r="E1230" s="22"/>
      <c r="F1230" s="6" t="s">
        <v>4693</v>
      </c>
      <c r="G1230" s="6" t="s">
        <v>1605</v>
      </c>
      <c r="H1230" s="8">
        <v>26000</v>
      </c>
      <c r="I1230" s="213" t="b">
        <v>0</v>
      </c>
      <c r="J1230" s="213" t="b">
        <v>0</v>
      </c>
      <c r="K1230" s="213" t="b">
        <v>0</v>
      </c>
    </row>
    <row r="1231" spans="1:11" ht="25.5" hidden="1">
      <c r="A1231" s="6">
        <v>2014</v>
      </c>
      <c r="B1231" s="6" t="s">
        <v>4695</v>
      </c>
      <c r="C1231" s="112" t="s">
        <v>61</v>
      </c>
      <c r="D1231" s="6" t="s">
        <v>2724</v>
      </c>
      <c r="E1231" s="22"/>
      <c r="F1231" s="6" t="s">
        <v>5609</v>
      </c>
      <c r="G1231" s="6" t="s">
        <v>5610</v>
      </c>
      <c r="H1231" s="8">
        <v>200000</v>
      </c>
      <c r="I1231" s="213" t="b">
        <v>0</v>
      </c>
      <c r="J1231" s="213" t="b">
        <v>0</v>
      </c>
      <c r="K1231" s="213" t="b">
        <v>0</v>
      </c>
    </row>
    <row r="1232" spans="1:11" ht="25.5" hidden="1">
      <c r="A1232" s="6">
        <v>2014</v>
      </c>
      <c r="B1232" s="6" t="s">
        <v>4700</v>
      </c>
      <c r="C1232" s="112" t="s">
        <v>61</v>
      </c>
      <c r="D1232" s="6" t="s">
        <v>1763</v>
      </c>
      <c r="E1232" s="22"/>
      <c r="F1232" s="6" t="s">
        <v>5606</v>
      </c>
      <c r="G1232" s="6" t="s">
        <v>1849</v>
      </c>
      <c r="H1232" s="8"/>
      <c r="I1232" s="213" t="b">
        <v>0</v>
      </c>
      <c r="J1232" s="213" t="b">
        <v>0</v>
      </c>
      <c r="K1232" s="213" t="b">
        <v>0</v>
      </c>
    </row>
    <row r="1233" spans="1:11" ht="25.5" hidden="1">
      <c r="A1233" s="6">
        <v>2014</v>
      </c>
      <c r="B1233" s="6" t="s">
        <v>4703</v>
      </c>
      <c r="C1233" s="112" t="s">
        <v>61</v>
      </c>
      <c r="D1233" s="6" t="s">
        <v>3168</v>
      </c>
      <c r="E1233" s="22"/>
      <c r="F1233" s="6" t="s">
        <v>4704</v>
      </c>
      <c r="G1233" s="6" t="s">
        <v>4705</v>
      </c>
      <c r="H1233" s="8">
        <v>50000</v>
      </c>
      <c r="I1233" s="213" t="b">
        <v>0</v>
      </c>
      <c r="J1233" s="213" t="b">
        <v>0</v>
      </c>
      <c r="K1233" s="213" t="b">
        <v>0</v>
      </c>
    </row>
    <row r="1234" spans="1:11" ht="38.25" hidden="1">
      <c r="A1234" s="6">
        <v>2014</v>
      </c>
      <c r="B1234" s="6" t="s">
        <v>4707</v>
      </c>
      <c r="C1234" s="112" t="s">
        <v>61</v>
      </c>
      <c r="D1234" s="6" t="s">
        <v>113</v>
      </c>
      <c r="E1234" s="22"/>
      <c r="F1234" s="6" t="s">
        <v>4564</v>
      </c>
      <c r="G1234" s="6" t="s">
        <v>4565</v>
      </c>
      <c r="H1234" s="8">
        <v>430000</v>
      </c>
      <c r="I1234" s="213" t="b">
        <v>0</v>
      </c>
      <c r="J1234" s="213" t="b">
        <v>0</v>
      </c>
      <c r="K1234" s="213" t="b">
        <v>0</v>
      </c>
    </row>
    <row r="1235" spans="1:11" ht="51" hidden="1">
      <c r="A1235" s="6">
        <v>2014</v>
      </c>
      <c r="B1235" s="6" t="s">
        <v>4709</v>
      </c>
      <c r="C1235" s="112" t="s">
        <v>61</v>
      </c>
      <c r="D1235" s="6"/>
      <c r="E1235" s="22"/>
      <c r="F1235" s="6" t="s">
        <v>5611</v>
      </c>
      <c r="G1235" s="6" t="s">
        <v>5612</v>
      </c>
      <c r="H1235" s="8">
        <v>1220000</v>
      </c>
      <c r="I1235" s="213" t="b">
        <v>0</v>
      </c>
      <c r="J1235" s="213" t="b">
        <v>0</v>
      </c>
      <c r="K1235" s="213" t="b">
        <v>0</v>
      </c>
    </row>
    <row r="1236" spans="1:11" ht="25.5" hidden="1">
      <c r="A1236" s="6">
        <v>2014</v>
      </c>
      <c r="B1236" s="6" t="s">
        <v>4567</v>
      </c>
      <c r="C1236" s="112" t="s">
        <v>61</v>
      </c>
      <c r="D1236" s="6"/>
      <c r="E1236" s="22"/>
      <c r="F1236" s="6" t="s">
        <v>5613</v>
      </c>
      <c r="G1236" s="6" t="s">
        <v>4569</v>
      </c>
      <c r="H1236" s="8">
        <v>132000</v>
      </c>
      <c r="I1236" s="213" t="b">
        <v>0</v>
      </c>
      <c r="J1236" s="213" t="b">
        <v>0</v>
      </c>
      <c r="K1236" s="213" t="b">
        <v>0</v>
      </c>
    </row>
    <row r="1237" spans="1:11" ht="38.25" hidden="1">
      <c r="A1237" s="6">
        <v>2014</v>
      </c>
      <c r="B1237" s="6" t="s">
        <v>4714</v>
      </c>
      <c r="C1237" s="112" t="s">
        <v>61</v>
      </c>
      <c r="D1237" s="6"/>
      <c r="E1237" s="22"/>
      <c r="F1237" s="6" t="s">
        <v>4571</v>
      </c>
      <c r="G1237" s="6" t="s">
        <v>5614</v>
      </c>
      <c r="H1237" s="8">
        <v>247000</v>
      </c>
      <c r="I1237" s="213" t="b">
        <v>0</v>
      </c>
      <c r="J1237" s="213" t="b">
        <v>0</v>
      </c>
      <c r="K1237" s="213" t="b">
        <v>0</v>
      </c>
    </row>
    <row r="1238" spans="1:11" ht="12.75" hidden="1">
      <c r="A1238" s="6">
        <v>2014</v>
      </c>
      <c r="B1238" s="6" t="s">
        <v>4718</v>
      </c>
      <c r="C1238" s="112" t="s">
        <v>61</v>
      </c>
      <c r="D1238" s="6" t="s">
        <v>652</v>
      </c>
      <c r="E1238" s="22"/>
      <c r="F1238" s="6" t="s">
        <v>4719</v>
      </c>
      <c r="G1238" s="6" t="s">
        <v>4720</v>
      </c>
      <c r="H1238" s="8">
        <v>100000</v>
      </c>
      <c r="I1238" s="213" t="b">
        <v>0</v>
      </c>
      <c r="J1238" s="213" t="b">
        <v>0</v>
      </c>
      <c r="K1238" s="213" t="b">
        <v>0</v>
      </c>
    </row>
    <row r="1239" spans="1:11" ht="25.5" hidden="1">
      <c r="A1239" s="6">
        <v>2014</v>
      </c>
      <c r="B1239" s="61">
        <v>41640</v>
      </c>
      <c r="C1239" s="112" t="s">
        <v>61</v>
      </c>
      <c r="D1239" s="6" t="s">
        <v>1383</v>
      </c>
      <c r="E1239" s="22"/>
      <c r="F1239" s="132" t="s">
        <v>4484</v>
      </c>
      <c r="G1239" s="132" t="s">
        <v>4485</v>
      </c>
      <c r="H1239" s="8">
        <v>336300</v>
      </c>
      <c r="I1239" s="213" t="b">
        <v>0</v>
      </c>
      <c r="J1239" s="213" t="b">
        <v>0</v>
      </c>
      <c r="K1239" s="213" t="b">
        <v>0</v>
      </c>
    </row>
    <row r="1240" spans="1:11" ht="25.5" hidden="1">
      <c r="A1240" s="6">
        <v>2014</v>
      </c>
      <c r="B1240" s="61">
        <v>41671</v>
      </c>
      <c r="C1240" s="112" t="s">
        <v>61</v>
      </c>
      <c r="D1240" s="6" t="s">
        <v>1383</v>
      </c>
      <c r="E1240" s="22"/>
      <c r="F1240" s="6" t="s">
        <v>4486</v>
      </c>
      <c r="G1240" s="6" t="s">
        <v>2331</v>
      </c>
      <c r="H1240" s="8">
        <v>2023600</v>
      </c>
      <c r="I1240" s="213" t="b">
        <v>0</v>
      </c>
      <c r="J1240" s="213" t="b">
        <v>0</v>
      </c>
      <c r="K1240" s="213" t="b">
        <v>0</v>
      </c>
    </row>
    <row r="1241" spans="1:11" ht="51" hidden="1">
      <c r="A1241" s="6">
        <v>2014</v>
      </c>
      <c r="B1241" s="61">
        <v>41852</v>
      </c>
      <c r="C1241" s="112" t="s">
        <v>61</v>
      </c>
      <c r="D1241" s="6" t="s">
        <v>1383</v>
      </c>
      <c r="E1241" s="22"/>
      <c r="F1241" s="132" t="s">
        <v>4499</v>
      </c>
      <c r="G1241" s="132" t="s">
        <v>4500</v>
      </c>
      <c r="H1241" s="260">
        <v>200000</v>
      </c>
      <c r="I1241" s="213" t="b">
        <v>0</v>
      </c>
      <c r="J1241" s="213" t="b">
        <v>0</v>
      </c>
      <c r="K1241" s="213" t="b">
        <v>0</v>
      </c>
    </row>
    <row r="1242" spans="1:11" ht="38.25" hidden="1">
      <c r="A1242" s="6">
        <v>2014</v>
      </c>
      <c r="B1242" s="61">
        <v>41883</v>
      </c>
      <c r="C1242" s="112" t="s">
        <v>61</v>
      </c>
      <c r="D1242" s="6" t="s">
        <v>1383</v>
      </c>
      <c r="E1242" s="22"/>
      <c r="F1242" s="6" t="s">
        <v>4501</v>
      </c>
      <c r="G1242" s="6" t="s">
        <v>4502</v>
      </c>
      <c r="H1242" s="8">
        <v>200000</v>
      </c>
      <c r="I1242" s="213" t="b">
        <v>0</v>
      </c>
      <c r="J1242" s="213" t="b">
        <v>0</v>
      </c>
      <c r="K1242" s="213" t="b">
        <v>0</v>
      </c>
    </row>
    <row r="1243" spans="1:11" ht="25.5" hidden="1">
      <c r="A1243" s="6">
        <v>2014</v>
      </c>
      <c r="B1243" s="62">
        <v>41913</v>
      </c>
      <c r="C1243" s="112" t="s">
        <v>61</v>
      </c>
      <c r="D1243" s="6" t="s">
        <v>1383</v>
      </c>
      <c r="E1243" s="22"/>
      <c r="F1243" s="6" t="s">
        <v>4503</v>
      </c>
      <c r="G1243" s="6" t="s">
        <v>2171</v>
      </c>
      <c r="H1243" s="8">
        <v>750000</v>
      </c>
      <c r="I1243" s="213" t="b">
        <v>0</v>
      </c>
      <c r="J1243" s="213" t="b">
        <v>0</v>
      </c>
      <c r="K1243" s="213" t="b">
        <v>0</v>
      </c>
    </row>
    <row r="1244" spans="1:11" ht="38.25" hidden="1">
      <c r="A1244" s="6">
        <v>2014</v>
      </c>
      <c r="B1244" s="6" t="s">
        <v>4507</v>
      </c>
      <c r="C1244" s="112" t="s">
        <v>61</v>
      </c>
      <c r="D1244" s="6" t="s">
        <v>1383</v>
      </c>
      <c r="E1244" s="22"/>
      <c r="F1244" s="6" t="s">
        <v>4508</v>
      </c>
      <c r="G1244" s="6" t="s">
        <v>4509</v>
      </c>
      <c r="H1244" s="8">
        <v>200000</v>
      </c>
      <c r="I1244" s="213" t="b">
        <v>0</v>
      </c>
      <c r="J1244" s="213" t="b">
        <v>0</v>
      </c>
      <c r="K1244" s="213" t="b">
        <v>0</v>
      </c>
    </row>
    <row r="1245" spans="1:11" ht="51" hidden="1">
      <c r="A1245" s="6">
        <v>2014</v>
      </c>
      <c r="B1245" s="6" t="s">
        <v>4510</v>
      </c>
      <c r="C1245" s="112" t="s">
        <v>61</v>
      </c>
      <c r="D1245" s="6" t="s">
        <v>1383</v>
      </c>
      <c r="E1245" s="22"/>
      <c r="F1245" s="6" t="s">
        <v>4511</v>
      </c>
      <c r="G1245" s="132" t="s">
        <v>4512</v>
      </c>
      <c r="H1245" s="8">
        <v>200000</v>
      </c>
      <c r="I1245" s="213" t="b">
        <v>0</v>
      </c>
      <c r="J1245" s="213" t="b">
        <v>0</v>
      </c>
      <c r="K1245" s="213" t="b">
        <v>0</v>
      </c>
    </row>
    <row r="1246" spans="1:11" ht="51" hidden="1">
      <c r="A1246" s="6">
        <v>2014</v>
      </c>
      <c r="B1246" s="6" t="s">
        <v>4513</v>
      </c>
      <c r="C1246" s="112" t="s">
        <v>61</v>
      </c>
      <c r="D1246" s="6" t="s">
        <v>1383</v>
      </c>
      <c r="E1246" s="22"/>
      <c r="F1246" s="6" t="s">
        <v>4514</v>
      </c>
      <c r="G1246" s="132" t="s">
        <v>4515</v>
      </c>
      <c r="H1246" s="8">
        <v>200000</v>
      </c>
      <c r="I1246" s="213" t="b">
        <v>0</v>
      </c>
      <c r="J1246" s="213" t="b">
        <v>0</v>
      </c>
      <c r="K1246" s="213" t="b">
        <v>0</v>
      </c>
    </row>
    <row r="1247" spans="1:11" ht="51" hidden="1">
      <c r="A1247" s="6">
        <v>2014</v>
      </c>
      <c r="B1247" s="6" t="s">
        <v>4524</v>
      </c>
      <c r="C1247" s="112" t="s">
        <v>61</v>
      </c>
      <c r="D1247" s="6" t="s">
        <v>1383</v>
      </c>
      <c r="E1247" s="22"/>
      <c r="F1247" s="6" t="s">
        <v>4525</v>
      </c>
      <c r="G1247" s="6" t="s">
        <v>4526</v>
      </c>
      <c r="H1247" s="8">
        <v>200000</v>
      </c>
      <c r="I1247" s="213" t="b">
        <v>0</v>
      </c>
      <c r="J1247" s="213" t="b">
        <v>0</v>
      </c>
      <c r="K1247" s="213" t="b">
        <v>0</v>
      </c>
    </row>
    <row r="1248" spans="1:11" ht="25.5" hidden="1">
      <c r="A1248" s="6">
        <v>2014</v>
      </c>
      <c r="B1248" s="6" t="s">
        <v>4527</v>
      </c>
      <c r="C1248" s="112" t="s">
        <v>61</v>
      </c>
      <c r="D1248" s="6" t="s">
        <v>1383</v>
      </c>
      <c r="E1248" s="22"/>
      <c r="F1248" s="6" t="s">
        <v>4528</v>
      </c>
      <c r="G1248" s="6" t="s">
        <v>4529</v>
      </c>
      <c r="H1248" s="30">
        <v>320000</v>
      </c>
      <c r="I1248" s="213" t="b">
        <v>0</v>
      </c>
      <c r="J1248" s="213" t="b">
        <v>0</v>
      </c>
      <c r="K1248" s="213" t="b">
        <v>0</v>
      </c>
    </row>
    <row r="1249" spans="1:11" ht="38.25" hidden="1">
      <c r="A1249" s="6">
        <v>2014</v>
      </c>
      <c r="B1249" s="6" t="s">
        <v>4532</v>
      </c>
      <c r="C1249" s="112" t="s">
        <v>61</v>
      </c>
      <c r="D1249" s="6" t="s">
        <v>1383</v>
      </c>
      <c r="E1249" s="22"/>
      <c r="F1249" s="6" t="s">
        <v>4533</v>
      </c>
      <c r="G1249" s="6" t="s">
        <v>4534</v>
      </c>
      <c r="H1249" s="30">
        <v>800000</v>
      </c>
      <c r="I1249" s="213" t="b">
        <v>0</v>
      </c>
      <c r="J1249" s="213" t="b">
        <v>0</v>
      </c>
      <c r="K1249" s="213" t="b">
        <v>0</v>
      </c>
    </row>
    <row r="1250" spans="1:11" ht="25.5" hidden="1">
      <c r="A1250" s="6">
        <v>2014</v>
      </c>
      <c r="B1250" s="6" t="s">
        <v>4539</v>
      </c>
      <c r="C1250" s="112" t="s">
        <v>61</v>
      </c>
      <c r="D1250" s="6" t="s">
        <v>1383</v>
      </c>
      <c r="E1250" s="22"/>
      <c r="F1250" s="6" t="s">
        <v>4540</v>
      </c>
      <c r="G1250" s="6" t="s">
        <v>4541</v>
      </c>
      <c r="H1250" s="8">
        <v>850000</v>
      </c>
      <c r="I1250" s="213" t="b">
        <v>0</v>
      </c>
      <c r="J1250" s="213" t="b">
        <v>0</v>
      </c>
      <c r="K1250" s="213" t="b">
        <v>0</v>
      </c>
    </row>
    <row r="1251" spans="1:11" ht="38.25" hidden="1">
      <c r="A1251" s="6">
        <v>2014</v>
      </c>
      <c r="B1251" s="6" t="s">
        <v>4594</v>
      </c>
      <c r="C1251" s="112" t="s">
        <v>61</v>
      </c>
      <c r="D1251" s="6" t="s">
        <v>1383</v>
      </c>
      <c r="E1251" s="22"/>
      <c r="F1251" s="6" t="s">
        <v>4595</v>
      </c>
      <c r="G1251" s="6" t="s">
        <v>1689</v>
      </c>
      <c r="H1251" s="8">
        <v>632000</v>
      </c>
      <c r="I1251" s="213" t="b">
        <v>0</v>
      </c>
      <c r="J1251" s="213" t="b">
        <v>0</v>
      </c>
      <c r="K1251" s="213" t="b">
        <v>0</v>
      </c>
    </row>
    <row r="1252" spans="1:11" ht="25.5" hidden="1">
      <c r="A1252" s="6">
        <v>2014</v>
      </c>
      <c r="B1252" s="6" t="s">
        <v>4642</v>
      </c>
      <c r="C1252" s="112" t="s">
        <v>61</v>
      </c>
      <c r="D1252" s="6" t="s">
        <v>1383</v>
      </c>
      <c r="E1252" s="22"/>
      <c r="F1252" s="6" t="s">
        <v>4528</v>
      </c>
      <c r="G1252" s="6" t="s">
        <v>4643</v>
      </c>
      <c r="H1252" s="8">
        <v>320000</v>
      </c>
      <c r="I1252" s="213" t="b">
        <v>0</v>
      </c>
      <c r="J1252" s="213" t="b">
        <v>0</v>
      </c>
      <c r="K1252" s="213" t="b">
        <v>0</v>
      </c>
    </row>
    <row r="1253" spans="1:11" ht="38.25" hidden="1">
      <c r="A1253" s="6">
        <v>2014</v>
      </c>
      <c r="B1253" s="6" t="s">
        <v>4651</v>
      </c>
      <c r="C1253" s="112" t="s">
        <v>61</v>
      </c>
      <c r="D1253" s="6" t="s">
        <v>1383</v>
      </c>
      <c r="E1253" s="22"/>
      <c r="F1253" s="6" t="s">
        <v>4652</v>
      </c>
      <c r="G1253" s="6" t="s">
        <v>4653</v>
      </c>
      <c r="H1253" s="8">
        <v>27000</v>
      </c>
      <c r="I1253" s="213" t="b">
        <v>0</v>
      </c>
      <c r="J1253" s="213" t="b">
        <v>0</v>
      </c>
      <c r="K1253" s="213" t="b">
        <v>0</v>
      </c>
    </row>
    <row r="1254" spans="1:11" ht="25.5" hidden="1">
      <c r="A1254" s="6">
        <v>2014</v>
      </c>
      <c r="B1254" s="6" t="s">
        <v>4661</v>
      </c>
      <c r="C1254" s="112" t="s">
        <v>61</v>
      </c>
      <c r="D1254" s="6" t="s">
        <v>1383</v>
      </c>
      <c r="E1254" s="22"/>
      <c r="F1254" s="6" t="s">
        <v>4662</v>
      </c>
      <c r="G1254" s="6" t="s">
        <v>854</v>
      </c>
      <c r="H1254" s="8">
        <v>100000</v>
      </c>
      <c r="I1254" s="213" t="b">
        <v>0</v>
      </c>
      <c r="J1254" s="213" t="b">
        <v>0</v>
      </c>
      <c r="K1254" s="213" t="b">
        <v>0</v>
      </c>
    </row>
    <row r="1255" spans="1:11" ht="25.5" hidden="1">
      <c r="A1255" s="6">
        <v>2014</v>
      </c>
      <c r="B1255" s="6" t="s">
        <v>4527</v>
      </c>
      <c r="C1255" s="112" t="s">
        <v>61</v>
      </c>
      <c r="D1255" s="6" t="s">
        <v>1383</v>
      </c>
      <c r="E1255" s="22"/>
      <c r="F1255" s="6" t="s">
        <v>4667</v>
      </c>
      <c r="G1255" s="6" t="s">
        <v>854</v>
      </c>
      <c r="H1255" s="8">
        <v>100000</v>
      </c>
      <c r="I1255" s="213" t="b">
        <v>0</v>
      </c>
      <c r="J1255" s="213" t="b">
        <v>0</v>
      </c>
      <c r="K1255" s="213" t="b">
        <v>0</v>
      </c>
    </row>
    <row r="1256" spans="1:11" ht="25.5" hidden="1">
      <c r="A1256" s="6">
        <v>2014</v>
      </c>
      <c r="B1256" s="6" t="s">
        <v>4532</v>
      </c>
      <c r="C1256" s="112" t="s">
        <v>61</v>
      </c>
      <c r="D1256" s="6" t="s">
        <v>1383</v>
      </c>
      <c r="E1256" s="22"/>
      <c r="F1256" s="6" t="s">
        <v>4672</v>
      </c>
      <c r="G1256" s="6" t="s">
        <v>4673</v>
      </c>
      <c r="H1256" s="8">
        <v>67600</v>
      </c>
      <c r="I1256" s="213" t="b">
        <v>0</v>
      </c>
      <c r="J1256" s="213" t="b">
        <v>0</v>
      </c>
      <c r="K1256" s="213" t="b">
        <v>0</v>
      </c>
    </row>
    <row r="1257" spans="1:11" ht="25.5" hidden="1">
      <c r="A1257" s="6">
        <v>2014</v>
      </c>
      <c r="B1257" s="6" t="s">
        <v>4680</v>
      </c>
      <c r="C1257" s="112" t="s">
        <v>61</v>
      </c>
      <c r="D1257" s="6" t="s">
        <v>1383</v>
      </c>
      <c r="E1257" s="22"/>
      <c r="F1257" s="6" t="s">
        <v>4681</v>
      </c>
      <c r="G1257" s="6" t="s">
        <v>838</v>
      </c>
      <c r="H1257" s="8">
        <v>100000</v>
      </c>
      <c r="I1257" s="213" t="b">
        <v>0</v>
      </c>
      <c r="J1257" s="213" t="b">
        <v>0</v>
      </c>
      <c r="K1257" s="213" t="b">
        <v>0</v>
      </c>
    </row>
    <row r="1258" spans="1:11" ht="51" hidden="1">
      <c r="A1258" s="6">
        <v>2014</v>
      </c>
      <c r="B1258" s="6" t="s">
        <v>4559</v>
      </c>
      <c r="C1258" s="112" t="s">
        <v>61</v>
      </c>
      <c r="D1258" s="6" t="s">
        <v>1383</v>
      </c>
      <c r="E1258" s="22"/>
      <c r="F1258" s="6" t="s">
        <v>4698</v>
      </c>
      <c r="G1258" s="6" t="s">
        <v>4699</v>
      </c>
      <c r="H1258" s="8">
        <v>100000</v>
      </c>
      <c r="I1258" s="213" t="b">
        <v>0</v>
      </c>
      <c r="J1258" s="213" t="b">
        <v>0</v>
      </c>
      <c r="K1258" s="213" t="b">
        <v>0</v>
      </c>
    </row>
    <row r="1259" spans="1:11" ht="38.25" hidden="1">
      <c r="A1259" s="6">
        <v>2014</v>
      </c>
      <c r="B1259" s="6" t="s">
        <v>4574</v>
      </c>
      <c r="C1259" s="112" t="s">
        <v>61</v>
      </c>
      <c r="D1259" s="6" t="s">
        <v>1383</v>
      </c>
      <c r="E1259" s="22"/>
      <c r="F1259" s="6" t="s">
        <v>4722</v>
      </c>
      <c r="G1259" s="6" t="s">
        <v>4723</v>
      </c>
      <c r="H1259" s="8">
        <v>106960</v>
      </c>
      <c r="I1259" s="213" t="b">
        <v>0</v>
      </c>
      <c r="J1259" s="213" t="b">
        <v>0</v>
      </c>
      <c r="K1259" s="213" t="b">
        <v>0</v>
      </c>
    </row>
    <row r="1260" spans="1:11" ht="76.5" hidden="1">
      <c r="A1260" s="6">
        <v>2013</v>
      </c>
      <c r="B1260" s="61">
        <v>41275</v>
      </c>
      <c r="C1260" s="112" t="s">
        <v>3096</v>
      </c>
      <c r="D1260" s="6"/>
      <c r="E1260" s="22"/>
      <c r="F1260" s="132" t="s">
        <v>4724</v>
      </c>
      <c r="G1260" s="132" t="s">
        <v>4725</v>
      </c>
      <c r="H1260" s="8">
        <v>400000</v>
      </c>
      <c r="I1260" s="213" t="b">
        <v>0</v>
      </c>
      <c r="J1260" s="213" t="b">
        <v>0</v>
      </c>
      <c r="K1260" s="213" t="b">
        <v>0</v>
      </c>
    </row>
    <row r="1261" spans="1:11" ht="38.25" hidden="1">
      <c r="A1261" s="6">
        <v>2013</v>
      </c>
      <c r="B1261" s="61">
        <v>41334</v>
      </c>
      <c r="C1261" s="112" t="s">
        <v>61</v>
      </c>
      <c r="D1261" s="6" t="s">
        <v>3092</v>
      </c>
      <c r="E1261" s="22"/>
      <c r="F1261" s="6" t="s">
        <v>4727</v>
      </c>
      <c r="G1261" s="6" t="s">
        <v>4728</v>
      </c>
      <c r="H1261" s="8">
        <v>386800</v>
      </c>
      <c r="I1261" s="213" t="b">
        <v>0</v>
      </c>
      <c r="J1261" s="213" t="b">
        <v>0</v>
      </c>
      <c r="K1261" s="213" t="b">
        <v>0</v>
      </c>
    </row>
    <row r="1262" spans="1:11" ht="25.5" hidden="1">
      <c r="A1262" s="6">
        <v>2013</v>
      </c>
      <c r="B1262" s="62">
        <v>41548</v>
      </c>
      <c r="C1262" s="112" t="s">
        <v>61</v>
      </c>
      <c r="D1262" s="6" t="s">
        <v>652</v>
      </c>
      <c r="E1262" s="22"/>
      <c r="F1262" s="6" t="s">
        <v>4737</v>
      </c>
      <c r="G1262" s="6" t="s">
        <v>4738</v>
      </c>
      <c r="H1262" s="8">
        <v>613088.85</v>
      </c>
      <c r="I1262" s="213" t="b">
        <v>0</v>
      </c>
      <c r="J1262" s="213" t="b">
        <v>0</v>
      </c>
      <c r="K1262" s="213" t="b">
        <v>0</v>
      </c>
    </row>
    <row r="1263" spans="1:11" ht="25.5">
      <c r="A1263" s="6">
        <v>2013</v>
      </c>
      <c r="B1263" s="61">
        <v>41579</v>
      </c>
      <c r="C1263" s="112" t="s">
        <v>61</v>
      </c>
      <c r="D1263" s="6" t="s">
        <v>62</v>
      </c>
      <c r="E1263" s="22"/>
      <c r="F1263" s="132" t="s">
        <v>4740</v>
      </c>
      <c r="G1263" s="132" t="s">
        <v>4741</v>
      </c>
      <c r="H1263" s="260">
        <v>910963.19999999995</v>
      </c>
      <c r="I1263" s="213" t="b">
        <v>0</v>
      </c>
      <c r="J1263" s="213"/>
      <c r="K1263" s="213"/>
    </row>
    <row r="1264" spans="1:11" ht="12.75" hidden="1">
      <c r="A1264" s="6">
        <v>2013</v>
      </c>
      <c r="B1264" s="61">
        <v>41609</v>
      </c>
      <c r="C1264" s="112" t="s">
        <v>61</v>
      </c>
      <c r="D1264" s="6" t="s">
        <v>586</v>
      </c>
      <c r="E1264" s="22"/>
      <c r="F1264" s="6" t="s">
        <v>4743</v>
      </c>
      <c r="G1264" s="6" t="s">
        <v>894</v>
      </c>
      <c r="H1264" s="213">
        <v>161640</v>
      </c>
      <c r="I1264" s="213" t="b">
        <v>0</v>
      </c>
      <c r="J1264" s="213" t="b">
        <v>0</v>
      </c>
      <c r="K1264" s="213" t="b">
        <v>0</v>
      </c>
    </row>
    <row r="1265" spans="1:11" ht="114.75">
      <c r="A1265" s="6">
        <v>2013</v>
      </c>
      <c r="B1265" s="6" t="s">
        <v>4744</v>
      </c>
      <c r="C1265" s="112" t="s">
        <v>61</v>
      </c>
      <c r="D1265" s="6" t="s">
        <v>62</v>
      </c>
      <c r="E1265" s="22"/>
      <c r="F1265" s="6" t="s">
        <v>4745</v>
      </c>
      <c r="G1265" s="6" t="s">
        <v>4746</v>
      </c>
      <c r="H1265" s="30">
        <v>1187443.3600000001</v>
      </c>
      <c r="I1265" s="213" t="b">
        <v>0</v>
      </c>
      <c r="J1265" s="213"/>
      <c r="K1265" s="213"/>
    </row>
    <row r="1266" spans="1:11" ht="38.25" hidden="1">
      <c r="A1266" s="6">
        <v>2013</v>
      </c>
      <c r="B1266" s="6" t="s">
        <v>4748</v>
      </c>
      <c r="C1266" s="112" t="s">
        <v>61</v>
      </c>
      <c r="D1266" s="6" t="s">
        <v>611</v>
      </c>
      <c r="E1266" s="22"/>
      <c r="F1266" s="6" t="s">
        <v>5615</v>
      </c>
      <c r="G1266" s="6" t="s">
        <v>811</v>
      </c>
      <c r="H1266" s="8">
        <v>91000</v>
      </c>
      <c r="I1266" s="213" t="b">
        <v>0</v>
      </c>
      <c r="J1266" s="213" t="b">
        <v>0</v>
      </c>
      <c r="K1266" s="213" t="b">
        <v>0</v>
      </c>
    </row>
    <row r="1267" spans="1:11" ht="38.25">
      <c r="A1267" s="6">
        <v>2013</v>
      </c>
      <c r="B1267" s="6" t="s">
        <v>4754</v>
      </c>
      <c r="C1267" s="112" t="s">
        <v>61</v>
      </c>
      <c r="D1267" s="6" t="s">
        <v>62</v>
      </c>
      <c r="E1267" s="22"/>
      <c r="F1267" s="6" t="s">
        <v>4755</v>
      </c>
      <c r="G1267" s="132" t="s">
        <v>4756</v>
      </c>
      <c r="H1267" s="8">
        <v>486612.2</v>
      </c>
      <c r="I1267" s="213" t="b">
        <v>0</v>
      </c>
      <c r="J1267" s="213"/>
      <c r="K1267" s="213"/>
    </row>
    <row r="1268" spans="1:11" ht="63.75">
      <c r="A1268" s="6">
        <v>2013</v>
      </c>
      <c r="B1268" s="6" t="s">
        <v>4758</v>
      </c>
      <c r="C1268" s="112" t="s">
        <v>61</v>
      </c>
      <c r="D1268" s="6" t="s">
        <v>62</v>
      </c>
      <c r="E1268" s="22"/>
      <c r="F1268" s="6" t="s">
        <v>4759</v>
      </c>
      <c r="G1268" s="132" t="s">
        <v>4760</v>
      </c>
      <c r="H1268" s="8">
        <v>424015.98</v>
      </c>
      <c r="I1268" s="213" t="b">
        <v>0</v>
      </c>
      <c r="J1268" s="213"/>
      <c r="K1268" s="213"/>
    </row>
    <row r="1269" spans="1:11" ht="38.25">
      <c r="A1269" s="6">
        <v>2013</v>
      </c>
      <c r="B1269" s="6" t="s">
        <v>4762</v>
      </c>
      <c r="C1269" s="9" t="s">
        <v>61</v>
      </c>
      <c r="D1269" s="6" t="s">
        <v>62</v>
      </c>
      <c r="E1269" s="22"/>
      <c r="F1269" s="132" t="s">
        <v>4763</v>
      </c>
      <c r="G1269" s="6" t="s">
        <v>4764</v>
      </c>
      <c r="H1269" s="8">
        <v>374000</v>
      </c>
      <c r="I1269" s="213" t="b">
        <v>0</v>
      </c>
      <c r="J1269" s="213"/>
      <c r="K1269" s="213"/>
    </row>
    <row r="1270" spans="1:11" ht="25.5">
      <c r="A1270" s="6">
        <v>2013</v>
      </c>
      <c r="B1270" s="6" t="s">
        <v>4766</v>
      </c>
      <c r="C1270" s="112" t="s">
        <v>61</v>
      </c>
      <c r="D1270" s="6" t="s">
        <v>62</v>
      </c>
      <c r="E1270" s="22"/>
      <c r="F1270" s="6" t="s">
        <v>4767</v>
      </c>
      <c r="G1270" s="6" t="s">
        <v>4768</v>
      </c>
      <c r="H1270" s="8">
        <v>1071763</v>
      </c>
      <c r="I1270" s="213" t="b">
        <v>0</v>
      </c>
      <c r="J1270" s="213"/>
      <c r="K1270" s="213"/>
    </row>
    <row r="1271" spans="1:11" ht="25.5" hidden="1">
      <c r="A1271" s="6">
        <v>2013</v>
      </c>
      <c r="B1271" s="6" t="s">
        <v>4871</v>
      </c>
      <c r="C1271" s="112" t="s">
        <v>61</v>
      </c>
      <c r="D1271" s="6" t="s">
        <v>68</v>
      </c>
      <c r="E1271" s="22"/>
      <c r="F1271" s="6" t="s">
        <v>4777</v>
      </c>
      <c r="G1271" s="6" t="s">
        <v>4778</v>
      </c>
      <c r="H1271" s="8">
        <v>3000000</v>
      </c>
      <c r="I1271" s="213" t="b">
        <v>0</v>
      </c>
      <c r="J1271" s="213" t="b">
        <v>0</v>
      </c>
      <c r="K1271" s="213" t="b">
        <v>0</v>
      </c>
    </row>
    <row r="1272" spans="1:11" ht="25.5">
      <c r="A1272" s="6">
        <v>2013</v>
      </c>
      <c r="B1272" s="6" t="s">
        <v>4780</v>
      </c>
      <c r="C1272" s="112" t="s">
        <v>61</v>
      </c>
      <c r="D1272" s="6" t="s">
        <v>62</v>
      </c>
      <c r="E1272" s="22"/>
      <c r="F1272" s="6" t="s">
        <v>4781</v>
      </c>
      <c r="G1272" s="6" t="s">
        <v>4782</v>
      </c>
      <c r="H1272" s="8">
        <v>297060</v>
      </c>
      <c r="I1272" s="213" t="b">
        <v>0</v>
      </c>
      <c r="J1272" s="213"/>
      <c r="K1272" s="213"/>
    </row>
    <row r="1273" spans="1:11" ht="51" hidden="1">
      <c r="A1273" s="6">
        <v>2013</v>
      </c>
      <c r="B1273" s="6" t="s">
        <v>4786</v>
      </c>
      <c r="C1273" s="112" t="s">
        <v>61</v>
      </c>
      <c r="D1273" s="6" t="s">
        <v>4787</v>
      </c>
      <c r="E1273" s="22"/>
      <c r="F1273" s="6" t="s">
        <v>4788</v>
      </c>
      <c r="G1273" s="6" t="s">
        <v>4789</v>
      </c>
      <c r="H1273" s="8">
        <v>173000</v>
      </c>
      <c r="I1273" s="213" t="b">
        <v>0</v>
      </c>
      <c r="J1273" s="213" t="b">
        <v>0</v>
      </c>
      <c r="K1273" s="213" t="b">
        <v>0</v>
      </c>
    </row>
    <row r="1274" spans="1:11" ht="38.25" hidden="1">
      <c r="A1274" s="6">
        <v>2013</v>
      </c>
      <c r="B1274" s="6" t="s">
        <v>4790</v>
      </c>
      <c r="C1274" s="112" t="s">
        <v>61</v>
      </c>
      <c r="D1274" s="6" t="s">
        <v>3092</v>
      </c>
      <c r="E1274" s="22"/>
      <c r="F1274" s="6" t="s">
        <v>4791</v>
      </c>
      <c r="G1274" s="6" t="s">
        <v>4792</v>
      </c>
      <c r="H1274" s="8">
        <v>445000</v>
      </c>
      <c r="I1274" s="213" t="b">
        <v>0</v>
      </c>
      <c r="J1274" s="213" t="b">
        <v>0</v>
      </c>
      <c r="K1274" s="213" t="b">
        <v>0</v>
      </c>
    </row>
    <row r="1275" spans="1:11" ht="38.25" hidden="1">
      <c r="A1275" s="6">
        <v>2013</v>
      </c>
      <c r="B1275" s="6" t="s">
        <v>4794</v>
      </c>
      <c r="C1275" s="112" t="s">
        <v>61</v>
      </c>
      <c r="D1275" s="6" t="s">
        <v>4787</v>
      </c>
      <c r="E1275" s="22"/>
      <c r="F1275" s="6" t="s">
        <v>4795</v>
      </c>
      <c r="G1275" s="6" t="s">
        <v>4796</v>
      </c>
      <c r="H1275" s="8">
        <v>228945</v>
      </c>
      <c r="I1275" s="213" t="b">
        <v>0</v>
      </c>
      <c r="J1275" s="213" t="b">
        <v>0</v>
      </c>
      <c r="K1275" s="213" t="b">
        <v>0</v>
      </c>
    </row>
    <row r="1276" spans="1:11" ht="38.25">
      <c r="A1276" s="6">
        <v>2013</v>
      </c>
      <c r="B1276" s="6" t="s">
        <v>4798</v>
      </c>
      <c r="C1276" s="112" t="s">
        <v>61</v>
      </c>
      <c r="D1276" s="6" t="s">
        <v>62</v>
      </c>
      <c r="E1276" s="22"/>
      <c r="F1276" s="6" t="s">
        <v>4799</v>
      </c>
      <c r="G1276" s="6" t="s">
        <v>4800</v>
      </c>
      <c r="H1276" s="8">
        <v>659400</v>
      </c>
      <c r="I1276" s="213" t="b">
        <v>0</v>
      </c>
      <c r="J1276" s="213"/>
      <c r="K1276" s="213"/>
    </row>
    <row r="1277" spans="1:11" ht="25.5" hidden="1">
      <c r="A1277" s="6">
        <v>2013</v>
      </c>
      <c r="B1277" s="6" t="s">
        <v>4802</v>
      </c>
      <c r="C1277" s="112" t="s">
        <v>3096</v>
      </c>
      <c r="D1277" s="6" t="s">
        <v>3075</v>
      </c>
      <c r="E1277" s="22"/>
      <c r="F1277" s="6" t="s">
        <v>4803</v>
      </c>
      <c r="G1277" s="6" t="s">
        <v>4804</v>
      </c>
      <c r="H1277" s="8">
        <v>200000</v>
      </c>
      <c r="I1277" s="213" t="b">
        <v>0</v>
      </c>
      <c r="J1277" s="213" t="b">
        <v>0</v>
      </c>
      <c r="K1277" s="213" t="b">
        <v>0</v>
      </c>
    </row>
    <row r="1278" spans="1:11" ht="63.75" hidden="1">
      <c r="A1278" s="6">
        <v>2013</v>
      </c>
      <c r="B1278" s="6" t="s">
        <v>4805</v>
      </c>
      <c r="C1278" s="112" t="s">
        <v>3096</v>
      </c>
      <c r="D1278" s="6" t="s">
        <v>125</v>
      </c>
      <c r="E1278" s="22"/>
      <c r="F1278" s="6" t="s">
        <v>4806</v>
      </c>
      <c r="G1278" s="6" t="s">
        <v>4804</v>
      </c>
      <c r="H1278" s="30">
        <v>360600</v>
      </c>
      <c r="I1278" s="213" t="b">
        <v>0</v>
      </c>
      <c r="J1278" s="213" t="b">
        <v>0</v>
      </c>
      <c r="K1278" s="213" t="b">
        <v>0</v>
      </c>
    </row>
    <row r="1279" spans="1:11" ht="38.25" hidden="1">
      <c r="A1279" s="6">
        <v>2013</v>
      </c>
      <c r="B1279" s="6" t="s">
        <v>4807</v>
      </c>
      <c r="C1279" s="112" t="s">
        <v>61</v>
      </c>
      <c r="D1279" s="6" t="s">
        <v>68</v>
      </c>
      <c r="E1279" s="22"/>
      <c r="F1279" s="6" t="s">
        <v>4808</v>
      </c>
      <c r="G1279" s="6" t="s">
        <v>4809</v>
      </c>
      <c r="H1279" s="8">
        <v>996976</v>
      </c>
      <c r="I1279" s="213" t="b">
        <v>0</v>
      </c>
      <c r="J1279" s="213" t="b">
        <v>0</v>
      </c>
      <c r="K1279" s="213" t="b">
        <v>0</v>
      </c>
    </row>
    <row r="1280" spans="1:11" ht="25.5" hidden="1">
      <c r="A1280" s="6">
        <v>2013</v>
      </c>
      <c r="B1280" s="6" t="s">
        <v>4811</v>
      </c>
      <c r="C1280" s="112" t="s">
        <v>61</v>
      </c>
      <c r="D1280" s="6" t="s">
        <v>652</v>
      </c>
      <c r="E1280" s="22"/>
      <c r="F1280" s="6" t="s">
        <v>4812</v>
      </c>
      <c r="G1280" s="6" t="s">
        <v>4813</v>
      </c>
      <c r="H1280" s="13">
        <v>109500</v>
      </c>
      <c r="I1280" s="213" t="b">
        <v>0</v>
      </c>
      <c r="J1280" s="213" t="b">
        <v>0</v>
      </c>
      <c r="K1280" s="213" t="b">
        <v>0</v>
      </c>
    </row>
    <row r="1281" spans="1:11" ht="38.25" hidden="1">
      <c r="A1281" s="6">
        <v>2013</v>
      </c>
      <c r="B1281" s="6" t="s">
        <v>4815</v>
      </c>
      <c r="C1281" s="112" t="s">
        <v>61</v>
      </c>
      <c r="D1281" s="6" t="s">
        <v>3092</v>
      </c>
      <c r="E1281" s="22"/>
      <c r="F1281" s="6" t="s">
        <v>4816</v>
      </c>
      <c r="G1281" s="6" t="s">
        <v>4817</v>
      </c>
      <c r="H1281" s="8">
        <v>340000</v>
      </c>
      <c r="I1281" s="213" t="b">
        <v>0</v>
      </c>
      <c r="J1281" s="213" t="b">
        <v>0</v>
      </c>
      <c r="K1281" s="213" t="b">
        <v>0</v>
      </c>
    </row>
    <row r="1282" spans="1:11" ht="63.75" hidden="1">
      <c r="A1282" s="6">
        <v>2013</v>
      </c>
      <c r="B1282" s="61">
        <v>41275</v>
      </c>
      <c r="C1282" s="112" t="s">
        <v>61</v>
      </c>
      <c r="D1282" s="6" t="s">
        <v>3168</v>
      </c>
      <c r="E1282" s="22"/>
      <c r="F1282" s="6" t="s">
        <v>4819</v>
      </c>
      <c r="G1282" s="6" t="s">
        <v>4820</v>
      </c>
      <c r="H1282" s="8">
        <v>50000</v>
      </c>
      <c r="I1282" s="213" t="b">
        <v>0</v>
      </c>
      <c r="J1282" s="213" t="b">
        <v>0</v>
      </c>
      <c r="K1282" s="213" t="b">
        <v>0</v>
      </c>
    </row>
    <row r="1283" spans="1:11" ht="51" hidden="1">
      <c r="A1283" s="6">
        <v>2013</v>
      </c>
      <c r="B1283" s="61">
        <v>41306</v>
      </c>
      <c r="C1283" s="112" t="s">
        <v>61</v>
      </c>
      <c r="D1283" s="6"/>
      <c r="E1283" s="22"/>
      <c r="F1283" s="132" t="s">
        <v>5616</v>
      </c>
      <c r="G1283" s="6"/>
      <c r="H1283" s="8"/>
      <c r="I1283" s="213" t="b">
        <v>0</v>
      </c>
      <c r="J1283" s="213" t="b">
        <v>0</v>
      </c>
      <c r="K1283" s="213" t="b">
        <v>0</v>
      </c>
    </row>
    <row r="1284" spans="1:11" ht="38.25" hidden="1">
      <c r="A1284" s="6">
        <v>2013</v>
      </c>
      <c r="B1284" s="61">
        <v>41365</v>
      </c>
      <c r="C1284" s="112" t="s">
        <v>61</v>
      </c>
      <c r="D1284" s="6"/>
      <c r="E1284" s="22"/>
      <c r="F1284" s="132" t="s">
        <v>5617</v>
      </c>
      <c r="G1284" s="148" t="s">
        <v>5618</v>
      </c>
      <c r="H1284" s="8">
        <v>196054.18</v>
      </c>
      <c r="I1284" s="213" t="b">
        <v>0</v>
      </c>
      <c r="J1284" s="213" t="b">
        <v>0</v>
      </c>
      <c r="K1284" s="213" t="b">
        <v>0</v>
      </c>
    </row>
    <row r="1285" spans="1:11" ht="25.5" hidden="1">
      <c r="A1285" s="6">
        <v>2013</v>
      </c>
      <c r="B1285" s="61">
        <v>41456</v>
      </c>
      <c r="C1285" s="112" t="s">
        <v>61</v>
      </c>
      <c r="D1285" s="6" t="s">
        <v>1763</v>
      </c>
      <c r="E1285" s="22"/>
      <c r="F1285" s="6" t="s">
        <v>5619</v>
      </c>
      <c r="G1285" s="6" t="s">
        <v>1680</v>
      </c>
      <c r="H1285" s="8">
        <v>450000</v>
      </c>
      <c r="I1285" s="213" t="b">
        <v>0</v>
      </c>
      <c r="J1285" s="213" t="b">
        <v>0</v>
      </c>
      <c r="K1285" s="213" t="b">
        <v>0</v>
      </c>
    </row>
    <row r="1286" spans="1:11" ht="25.5" hidden="1">
      <c r="A1286" s="6">
        <v>2013</v>
      </c>
      <c r="B1286" s="61">
        <v>41487</v>
      </c>
      <c r="C1286" s="112" t="s">
        <v>61</v>
      </c>
      <c r="D1286" s="6" t="s">
        <v>394</v>
      </c>
      <c r="E1286" s="22"/>
      <c r="F1286" s="6" t="s">
        <v>4839</v>
      </c>
      <c r="G1286" s="6" t="s">
        <v>1346</v>
      </c>
      <c r="H1286" s="8">
        <v>32000</v>
      </c>
      <c r="I1286" s="213" t="b">
        <v>0</v>
      </c>
      <c r="J1286" s="213" t="b">
        <v>0</v>
      </c>
      <c r="K1286" s="213" t="b">
        <v>0</v>
      </c>
    </row>
    <row r="1287" spans="1:11" ht="38.25" hidden="1">
      <c r="A1287" s="6">
        <v>2013</v>
      </c>
      <c r="B1287" s="61">
        <v>41518</v>
      </c>
      <c r="C1287" s="112" t="s">
        <v>61</v>
      </c>
      <c r="D1287" s="6" t="s">
        <v>1141</v>
      </c>
      <c r="E1287" s="22"/>
      <c r="F1287" s="6" t="s">
        <v>4735</v>
      </c>
      <c r="G1287" s="6" t="s">
        <v>3631</v>
      </c>
      <c r="H1287" s="8">
        <v>120000</v>
      </c>
      <c r="I1287" s="213" t="b">
        <v>0</v>
      </c>
      <c r="J1287" s="213" t="b">
        <v>0</v>
      </c>
      <c r="K1287" s="213" t="b">
        <v>0</v>
      </c>
    </row>
    <row r="1288" spans="1:11" ht="25.5" hidden="1">
      <c r="A1288" s="6">
        <v>2013</v>
      </c>
      <c r="B1288" s="62">
        <v>41548</v>
      </c>
      <c r="C1288" s="112" t="s">
        <v>61</v>
      </c>
      <c r="D1288" s="6" t="s">
        <v>4787</v>
      </c>
      <c r="E1288" s="22"/>
      <c r="F1288" s="6" t="s">
        <v>4737</v>
      </c>
      <c r="G1288" s="6" t="s">
        <v>4738</v>
      </c>
      <c r="H1288" s="8">
        <v>613088.85</v>
      </c>
      <c r="I1288" s="213" t="b">
        <v>0</v>
      </c>
      <c r="J1288" s="213" t="b">
        <v>0</v>
      </c>
      <c r="K1288" s="213" t="b">
        <v>0</v>
      </c>
    </row>
    <row r="1289" spans="1:11" ht="63.75" hidden="1">
      <c r="A1289" s="6">
        <v>2013</v>
      </c>
      <c r="B1289" s="6" t="s">
        <v>4750</v>
      </c>
      <c r="C1289" s="112" t="s">
        <v>61</v>
      </c>
      <c r="D1289" s="6" t="s">
        <v>1141</v>
      </c>
      <c r="E1289" s="22"/>
      <c r="F1289" s="6" t="s">
        <v>4751</v>
      </c>
      <c r="G1289" s="6" t="s">
        <v>5620</v>
      </c>
      <c r="H1289" s="8">
        <v>200000</v>
      </c>
      <c r="I1289" s="213" t="b">
        <v>0</v>
      </c>
      <c r="J1289" s="213" t="b">
        <v>0</v>
      </c>
      <c r="K1289" s="213" t="b">
        <v>0</v>
      </c>
    </row>
    <row r="1290" spans="1:11" ht="25.5" hidden="1">
      <c r="A1290" s="6">
        <v>2013</v>
      </c>
      <c r="B1290" s="6" t="s">
        <v>4754</v>
      </c>
      <c r="C1290" s="112" t="s">
        <v>61</v>
      </c>
      <c r="D1290" s="6" t="s">
        <v>1763</v>
      </c>
      <c r="E1290" s="22"/>
      <c r="F1290" s="132" t="s">
        <v>4755</v>
      </c>
      <c r="G1290" s="6" t="s">
        <v>4756</v>
      </c>
      <c r="H1290" s="8">
        <v>486612.2</v>
      </c>
      <c r="I1290" s="213" t="b">
        <v>0</v>
      </c>
      <c r="J1290" s="213" t="b">
        <v>0</v>
      </c>
      <c r="K1290" s="213" t="b">
        <v>0</v>
      </c>
    </row>
    <row r="1291" spans="1:11" ht="25.5">
      <c r="A1291" s="6">
        <v>2013</v>
      </c>
      <c r="B1291" s="6" t="s">
        <v>4766</v>
      </c>
      <c r="C1291" s="112" t="s">
        <v>61</v>
      </c>
      <c r="D1291" s="6" t="s">
        <v>62</v>
      </c>
      <c r="E1291" s="22"/>
      <c r="F1291" s="6" t="s">
        <v>4767</v>
      </c>
      <c r="G1291" s="6" t="s">
        <v>4768</v>
      </c>
      <c r="H1291" s="8">
        <v>1071763</v>
      </c>
      <c r="I1291" s="213" t="b">
        <v>0</v>
      </c>
      <c r="J1291" s="213"/>
      <c r="K1291" s="213"/>
    </row>
    <row r="1292" spans="1:11" ht="51" hidden="1">
      <c r="A1292" s="6">
        <v>2013</v>
      </c>
      <c r="B1292" s="6" t="s">
        <v>4770</v>
      </c>
      <c r="C1292" s="112" t="s">
        <v>61</v>
      </c>
      <c r="D1292" s="6" t="s">
        <v>3168</v>
      </c>
      <c r="E1292" s="22"/>
      <c r="F1292" s="6" t="s">
        <v>5621</v>
      </c>
      <c r="G1292" s="6" t="s">
        <v>4772</v>
      </c>
      <c r="H1292" s="8">
        <v>414500</v>
      </c>
      <c r="I1292" s="213" t="b">
        <v>0</v>
      </c>
      <c r="J1292" s="213" t="b">
        <v>0</v>
      </c>
      <c r="K1292" s="213" t="b">
        <v>0</v>
      </c>
    </row>
    <row r="1293" spans="1:11" ht="25.5" hidden="1">
      <c r="A1293" s="6">
        <v>2013</v>
      </c>
      <c r="B1293" s="6" t="s">
        <v>4875</v>
      </c>
      <c r="C1293" s="112" t="s">
        <v>61</v>
      </c>
      <c r="D1293" s="6" t="s">
        <v>394</v>
      </c>
      <c r="E1293" s="22"/>
      <c r="F1293" s="6" t="s">
        <v>4876</v>
      </c>
      <c r="G1293" s="6" t="s">
        <v>1508</v>
      </c>
      <c r="H1293" s="8">
        <v>37500</v>
      </c>
      <c r="I1293" s="213" t="b">
        <v>0</v>
      </c>
      <c r="J1293" s="213" t="b">
        <v>0</v>
      </c>
      <c r="K1293" s="213" t="b">
        <v>0</v>
      </c>
    </row>
    <row r="1294" spans="1:11" ht="38.25" hidden="1">
      <c r="A1294" s="6">
        <v>2013</v>
      </c>
      <c r="B1294" s="6" t="s">
        <v>4926</v>
      </c>
      <c r="C1294" s="112" t="s">
        <v>61</v>
      </c>
      <c r="D1294" s="6" t="s">
        <v>2724</v>
      </c>
      <c r="E1294" s="22"/>
      <c r="F1294" s="6" t="s">
        <v>4927</v>
      </c>
      <c r="G1294" s="6" t="s">
        <v>1598</v>
      </c>
      <c r="H1294" s="8">
        <v>100000</v>
      </c>
      <c r="I1294" s="213" t="b">
        <v>0</v>
      </c>
      <c r="J1294" s="213" t="b">
        <v>0</v>
      </c>
      <c r="K1294" s="213" t="b">
        <v>0</v>
      </c>
    </row>
    <row r="1295" spans="1:11" ht="51" hidden="1">
      <c r="A1295" s="6">
        <v>2013</v>
      </c>
      <c r="B1295" s="6" t="s">
        <v>4928</v>
      </c>
      <c r="C1295" s="112" t="s">
        <v>61</v>
      </c>
      <c r="D1295" s="6" t="s">
        <v>4787</v>
      </c>
      <c r="E1295" s="22"/>
      <c r="F1295" s="6" t="s">
        <v>4929</v>
      </c>
      <c r="G1295" s="6" t="s">
        <v>4930</v>
      </c>
      <c r="H1295" s="8">
        <v>84700</v>
      </c>
      <c r="I1295" s="213" t="b">
        <v>0</v>
      </c>
      <c r="J1295" s="213" t="b">
        <v>0</v>
      </c>
      <c r="K1295" s="213" t="b">
        <v>0</v>
      </c>
    </row>
    <row r="1296" spans="1:11" ht="89.25" hidden="1">
      <c r="A1296" s="6">
        <v>2013</v>
      </c>
      <c r="B1296" s="6" t="s">
        <v>4934</v>
      </c>
      <c r="C1296" s="112" t="s">
        <v>61</v>
      </c>
      <c r="D1296" s="6" t="s">
        <v>2724</v>
      </c>
      <c r="E1296" s="22"/>
      <c r="F1296" s="6" t="s">
        <v>4935</v>
      </c>
      <c r="G1296" s="6" t="s">
        <v>1598</v>
      </c>
      <c r="H1296" s="8">
        <v>100000</v>
      </c>
      <c r="I1296" s="213" t="b">
        <v>0</v>
      </c>
      <c r="J1296" s="213" t="b">
        <v>0</v>
      </c>
      <c r="K1296" s="213" t="b">
        <v>0</v>
      </c>
    </row>
    <row r="1297" spans="1:11" ht="38.25" hidden="1">
      <c r="A1297" s="6">
        <v>2013</v>
      </c>
      <c r="B1297" s="6" t="s">
        <v>4936</v>
      </c>
      <c r="C1297" s="112" t="s">
        <v>61</v>
      </c>
      <c r="D1297" s="6" t="s">
        <v>2724</v>
      </c>
      <c r="E1297" s="22"/>
      <c r="F1297" s="6" t="s">
        <v>4937</v>
      </c>
      <c r="G1297" s="6" t="s">
        <v>1598</v>
      </c>
      <c r="H1297" s="8">
        <v>100000</v>
      </c>
      <c r="I1297" s="213" t="b">
        <v>0</v>
      </c>
      <c r="J1297" s="213" t="b">
        <v>0</v>
      </c>
      <c r="K1297" s="213" t="b">
        <v>0</v>
      </c>
    </row>
    <row r="1298" spans="1:11" ht="25.5" hidden="1">
      <c r="A1298" s="6">
        <v>2013</v>
      </c>
      <c r="B1298" s="6" t="s">
        <v>4938</v>
      </c>
      <c r="C1298" s="112" t="s">
        <v>61</v>
      </c>
      <c r="D1298" s="6" t="s">
        <v>394</v>
      </c>
      <c r="E1298" s="22"/>
      <c r="F1298" s="6" t="s">
        <v>4939</v>
      </c>
      <c r="G1298" s="6" t="s">
        <v>1593</v>
      </c>
      <c r="H1298" s="8">
        <v>36000</v>
      </c>
      <c r="I1298" s="213" t="b">
        <v>0</v>
      </c>
      <c r="J1298" s="213" t="b">
        <v>0</v>
      </c>
      <c r="K1298" s="213" t="b">
        <v>0</v>
      </c>
    </row>
    <row r="1299" spans="1:11" ht="38.25" hidden="1">
      <c r="A1299" s="6">
        <v>2013</v>
      </c>
      <c r="B1299" s="6" t="s">
        <v>4943</v>
      </c>
      <c r="C1299" s="112" t="s">
        <v>61</v>
      </c>
      <c r="D1299" s="6" t="s">
        <v>4787</v>
      </c>
      <c r="E1299" s="22"/>
      <c r="F1299" s="6" t="s">
        <v>4944</v>
      </c>
      <c r="G1299" s="6" t="s">
        <v>4945</v>
      </c>
      <c r="H1299" s="8">
        <v>30000</v>
      </c>
      <c r="I1299" s="213" t="b">
        <v>0</v>
      </c>
      <c r="J1299" s="213" t="b">
        <v>0</v>
      </c>
      <c r="K1299" s="213" t="b">
        <v>0</v>
      </c>
    </row>
    <row r="1300" spans="1:11" ht="12.75" hidden="1">
      <c r="A1300" s="6">
        <v>2013</v>
      </c>
      <c r="B1300" s="6" t="s">
        <v>4953</v>
      </c>
      <c r="C1300" s="112" t="s">
        <v>61</v>
      </c>
      <c r="D1300" s="6" t="s">
        <v>586</v>
      </c>
      <c r="E1300" s="22"/>
      <c r="F1300" s="6" t="s">
        <v>4954</v>
      </c>
      <c r="G1300" s="6" t="s">
        <v>4955</v>
      </c>
      <c r="H1300" s="8">
        <v>50000</v>
      </c>
      <c r="I1300" s="213" t="b">
        <v>0</v>
      </c>
      <c r="J1300" s="213" t="b">
        <v>0</v>
      </c>
      <c r="K1300" s="213" t="b">
        <v>0</v>
      </c>
    </row>
    <row r="1301" spans="1:11" ht="25.5" hidden="1">
      <c r="A1301" s="6">
        <v>2013</v>
      </c>
      <c r="B1301" s="6" t="s">
        <v>4957</v>
      </c>
      <c r="C1301" s="112" t="s">
        <v>61</v>
      </c>
      <c r="D1301" s="6" t="s">
        <v>586</v>
      </c>
      <c r="E1301" s="22"/>
      <c r="F1301" s="6" t="s">
        <v>4958</v>
      </c>
      <c r="G1301" s="6" t="s">
        <v>894</v>
      </c>
      <c r="H1301" s="8">
        <v>14840</v>
      </c>
      <c r="I1301" s="213" t="b">
        <v>0</v>
      </c>
      <c r="J1301" s="213" t="b">
        <v>0</v>
      </c>
      <c r="K1301" s="213" t="b">
        <v>0</v>
      </c>
    </row>
    <row r="1302" spans="1:11" ht="25.5">
      <c r="A1302" s="6">
        <v>2013</v>
      </c>
      <c r="B1302" s="6" t="s">
        <v>4963</v>
      </c>
      <c r="C1302" s="112" t="s">
        <v>61</v>
      </c>
      <c r="D1302" s="6" t="s">
        <v>62</v>
      </c>
      <c r="E1302" s="22"/>
      <c r="F1302" s="6" t="s">
        <v>4964</v>
      </c>
      <c r="G1302" s="6" t="s">
        <v>4965</v>
      </c>
      <c r="H1302" s="8">
        <v>1000000</v>
      </c>
      <c r="I1302" s="213" t="b">
        <v>0</v>
      </c>
      <c r="J1302" s="213"/>
      <c r="K1302" s="213"/>
    </row>
    <row r="1303" spans="1:11" ht="25.5">
      <c r="A1303" s="6">
        <v>2013</v>
      </c>
      <c r="B1303" s="6" t="s">
        <v>4967</v>
      </c>
      <c r="C1303" s="112" t="s">
        <v>61</v>
      </c>
      <c r="D1303" s="6" t="s">
        <v>62</v>
      </c>
      <c r="E1303" s="22"/>
      <c r="F1303" s="6" t="s">
        <v>4968</v>
      </c>
      <c r="G1303" s="6" t="s">
        <v>4969</v>
      </c>
      <c r="H1303" s="8">
        <v>450155</v>
      </c>
      <c r="I1303" s="213" t="b">
        <v>0</v>
      </c>
      <c r="J1303" s="213"/>
      <c r="K1303" s="213"/>
    </row>
    <row r="1304" spans="1:11" ht="12.75" hidden="1">
      <c r="A1304" s="6">
        <v>2013</v>
      </c>
      <c r="B1304" s="6" t="s">
        <v>4975</v>
      </c>
      <c r="C1304" s="112" t="s">
        <v>61</v>
      </c>
      <c r="D1304" s="6" t="s">
        <v>586</v>
      </c>
      <c r="E1304" s="22"/>
      <c r="F1304" s="6" t="s">
        <v>4976</v>
      </c>
      <c r="G1304" s="6" t="s">
        <v>4977</v>
      </c>
      <c r="H1304" s="8">
        <v>1050</v>
      </c>
      <c r="I1304" s="213" t="b">
        <v>0</v>
      </c>
      <c r="J1304" s="213" t="b">
        <v>0</v>
      </c>
      <c r="K1304" s="213" t="b">
        <v>0</v>
      </c>
    </row>
    <row r="1305" spans="1:11" ht="38.25" hidden="1">
      <c r="A1305" s="6">
        <v>2013</v>
      </c>
      <c r="B1305" s="61">
        <v>41426</v>
      </c>
      <c r="C1305" s="112" t="s">
        <v>61</v>
      </c>
      <c r="D1305" s="6" t="s">
        <v>1383</v>
      </c>
      <c r="E1305" s="22"/>
      <c r="F1305" s="6" t="s">
        <v>4730</v>
      </c>
      <c r="G1305" s="148" t="s">
        <v>1473</v>
      </c>
      <c r="H1305" s="8">
        <v>321500</v>
      </c>
      <c r="I1305" s="213" t="b">
        <v>0</v>
      </c>
      <c r="J1305" s="213" t="b">
        <v>0</v>
      </c>
      <c r="K1305" s="213" t="b">
        <v>0</v>
      </c>
    </row>
    <row r="1306" spans="1:11" ht="25.5" hidden="1">
      <c r="A1306" s="6">
        <v>2013</v>
      </c>
      <c r="B1306" s="61">
        <v>41456</v>
      </c>
      <c r="C1306" s="112" t="s">
        <v>61</v>
      </c>
      <c r="D1306" s="6" t="s">
        <v>1383</v>
      </c>
      <c r="E1306" s="22"/>
      <c r="F1306" s="6" t="s">
        <v>4731</v>
      </c>
      <c r="G1306" s="6" t="s">
        <v>1680</v>
      </c>
      <c r="H1306" s="8">
        <v>450000</v>
      </c>
      <c r="I1306" s="213" t="b">
        <v>0</v>
      </c>
      <c r="J1306" s="213" t="b">
        <v>0</v>
      </c>
      <c r="K1306" s="213" t="b">
        <v>0</v>
      </c>
    </row>
    <row r="1307" spans="1:11" ht="38.25" hidden="1">
      <c r="A1307" s="6">
        <v>2013</v>
      </c>
      <c r="B1307" s="61">
        <v>41487</v>
      </c>
      <c r="C1307" s="112" t="s">
        <v>61</v>
      </c>
      <c r="D1307" s="6" t="s">
        <v>1383</v>
      </c>
      <c r="E1307" s="22"/>
      <c r="F1307" s="6" t="s">
        <v>4733</v>
      </c>
      <c r="G1307" s="6" t="s">
        <v>1680</v>
      </c>
      <c r="H1307" s="8">
        <v>426000</v>
      </c>
      <c r="I1307" s="213" t="b">
        <v>0</v>
      </c>
      <c r="J1307" s="213" t="b">
        <v>0</v>
      </c>
      <c r="K1307" s="213" t="b">
        <v>0</v>
      </c>
    </row>
    <row r="1308" spans="1:11" ht="38.25" hidden="1">
      <c r="A1308" s="6">
        <v>2013</v>
      </c>
      <c r="B1308" s="61">
        <v>41518</v>
      </c>
      <c r="C1308" s="112" t="s">
        <v>61</v>
      </c>
      <c r="D1308" s="6" t="s">
        <v>1383</v>
      </c>
      <c r="E1308" s="22"/>
      <c r="F1308" s="6" t="s">
        <v>4735</v>
      </c>
      <c r="G1308" s="6" t="s">
        <v>4736</v>
      </c>
      <c r="H1308" s="8">
        <v>120000</v>
      </c>
      <c r="I1308" s="213" t="b">
        <v>0</v>
      </c>
      <c r="J1308" s="213" t="b">
        <v>0</v>
      </c>
      <c r="K1308" s="213" t="b">
        <v>0</v>
      </c>
    </row>
    <row r="1309" spans="1:11" ht="63.75" hidden="1">
      <c r="A1309" s="6">
        <v>2013</v>
      </c>
      <c r="B1309" s="6" t="s">
        <v>4750</v>
      </c>
      <c r="C1309" s="112" t="s">
        <v>61</v>
      </c>
      <c r="D1309" s="6" t="s">
        <v>1383</v>
      </c>
      <c r="E1309" s="22"/>
      <c r="F1309" s="6" t="s">
        <v>4751</v>
      </c>
      <c r="G1309" s="6" t="s">
        <v>4752</v>
      </c>
      <c r="H1309" s="8">
        <v>200000</v>
      </c>
      <c r="I1309" s="213" t="b">
        <v>0</v>
      </c>
      <c r="J1309" s="213" t="b">
        <v>0</v>
      </c>
      <c r="K1309" s="213" t="b">
        <v>0</v>
      </c>
    </row>
    <row r="1310" spans="1:11" ht="51" hidden="1">
      <c r="A1310" s="6">
        <v>2013</v>
      </c>
      <c r="B1310" s="6" t="s">
        <v>4770</v>
      </c>
      <c r="C1310" s="112" t="s">
        <v>61</v>
      </c>
      <c r="D1310" s="6" t="s">
        <v>1383</v>
      </c>
      <c r="E1310" s="22"/>
      <c r="F1310" s="6" t="s">
        <v>4771</v>
      </c>
      <c r="G1310" s="6" t="s">
        <v>4772</v>
      </c>
      <c r="H1310" s="8">
        <v>414500</v>
      </c>
      <c r="I1310" s="213" t="b">
        <v>0</v>
      </c>
      <c r="J1310" s="213" t="b">
        <v>0</v>
      </c>
      <c r="K1310" s="213" t="b">
        <v>0</v>
      </c>
    </row>
    <row r="1311" spans="1:11" ht="25.5" hidden="1">
      <c r="A1311" s="6">
        <v>2013</v>
      </c>
      <c r="B1311" s="6" t="s">
        <v>4773</v>
      </c>
      <c r="C1311" s="112" t="s">
        <v>61</v>
      </c>
      <c r="D1311" s="6" t="s">
        <v>1383</v>
      </c>
      <c r="E1311" s="22"/>
      <c r="F1311" s="6" t="s">
        <v>4774</v>
      </c>
      <c r="G1311" s="6" t="s">
        <v>4775</v>
      </c>
      <c r="H1311" s="8">
        <v>357000</v>
      </c>
      <c r="I1311" s="213" t="b">
        <v>0</v>
      </c>
      <c r="J1311" s="213" t="b">
        <v>0</v>
      </c>
      <c r="K1311" s="213" t="b">
        <v>0</v>
      </c>
    </row>
    <row r="1312" spans="1:11" ht="38.25" hidden="1">
      <c r="A1312" s="6">
        <v>2013</v>
      </c>
      <c r="B1312" s="6" t="s">
        <v>4784</v>
      </c>
      <c r="C1312" s="112" t="s">
        <v>61</v>
      </c>
      <c r="D1312" s="6" t="s">
        <v>1383</v>
      </c>
      <c r="E1312" s="22"/>
      <c r="F1312" s="6" t="s">
        <v>4785</v>
      </c>
      <c r="G1312" s="6" t="s">
        <v>1722</v>
      </c>
      <c r="H1312" s="8">
        <v>172000</v>
      </c>
      <c r="I1312" s="213" t="b">
        <v>0</v>
      </c>
      <c r="J1312" s="213" t="b">
        <v>0</v>
      </c>
      <c r="K1312" s="213" t="b">
        <v>0</v>
      </c>
    </row>
    <row r="1313" spans="1:11" ht="25.5" hidden="1">
      <c r="A1313" s="6">
        <v>2013</v>
      </c>
      <c r="B1313" s="61">
        <v>41334</v>
      </c>
      <c r="C1313" s="112" t="s">
        <v>61</v>
      </c>
      <c r="D1313" s="6" t="s">
        <v>1383</v>
      </c>
      <c r="E1313" s="22"/>
      <c r="F1313" s="6" t="s">
        <v>4825</v>
      </c>
      <c r="G1313" s="6" t="s">
        <v>4826</v>
      </c>
      <c r="H1313" s="8">
        <v>21000</v>
      </c>
      <c r="I1313" s="213" t="b">
        <v>0</v>
      </c>
      <c r="J1313" s="213" t="b">
        <v>0</v>
      </c>
      <c r="K1313" s="213" t="b">
        <v>0</v>
      </c>
    </row>
    <row r="1314" spans="1:11" ht="51" hidden="1">
      <c r="A1314" s="6">
        <v>2013</v>
      </c>
      <c r="B1314" s="61">
        <v>41395</v>
      </c>
      <c r="C1314" s="112" t="s">
        <v>61</v>
      </c>
      <c r="D1314" s="6" t="s">
        <v>1383</v>
      </c>
      <c r="E1314" s="22"/>
      <c r="F1314" s="6" t="s">
        <v>4831</v>
      </c>
      <c r="G1314" s="6" t="s">
        <v>4832</v>
      </c>
      <c r="H1314" s="8">
        <v>25128</v>
      </c>
      <c r="I1314" s="213" t="b">
        <v>0</v>
      </c>
      <c r="J1314" s="213" t="b">
        <v>0</v>
      </c>
      <c r="K1314" s="213" t="b">
        <v>0</v>
      </c>
    </row>
    <row r="1315" spans="1:11" ht="25.5" hidden="1">
      <c r="A1315" s="6">
        <v>2013</v>
      </c>
      <c r="B1315" s="61">
        <v>41426</v>
      </c>
      <c r="C1315" s="112" t="s">
        <v>61</v>
      </c>
      <c r="D1315" s="6" t="s">
        <v>1383</v>
      </c>
      <c r="E1315" s="22"/>
      <c r="F1315" s="132" t="s">
        <v>4833</v>
      </c>
      <c r="G1315" s="148" t="s">
        <v>4834</v>
      </c>
      <c r="H1315" s="8">
        <v>10904.3</v>
      </c>
      <c r="I1315" s="213" t="b">
        <v>0</v>
      </c>
      <c r="J1315" s="213" t="b">
        <v>0</v>
      </c>
      <c r="K1315" s="213" t="b">
        <v>0</v>
      </c>
    </row>
    <row r="1316" spans="1:11" ht="12.75" hidden="1">
      <c r="A1316" s="6">
        <v>2013</v>
      </c>
      <c r="B1316" s="6" t="s">
        <v>4846</v>
      </c>
      <c r="C1316" s="112" t="s">
        <v>61</v>
      </c>
      <c r="D1316" s="6" t="s">
        <v>1383</v>
      </c>
      <c r="E1316" s="22"/>
      <c r="F1316" s="6" t="s">
        <v>4847</v>
      </c>
      <c r="G1316" s="6" t="s">
        <v>840</v>
      </c>
      <c r="H1316" s="8">
        <v>100000</v>
      </c>
      <c r="I1316" s="213" t="b">
        <v>0</v>
      </c>
      <c r="J1316" s="213" t="b">
        <v>0</v>
      </c>
      <c r="K1316" s="213" t="b">
        <v>0</v>
      </c>
    </row>
    <row r="1317" spans="1:11" ht="12.75" hidden="1">
      <c r="A1317" s="6">
        <v>2013</v>
      </c>
      <c r="B1317" s="62">
        <v>41609</v>
      </c>
      <c r="C1317" s="112" t="s">
        <v>61</v>
      </c>
      <c r="D1317" s="6" t="s">
        <v>1383</v>
      </c>
      <c r="E1317" s="22"/>
      <c r="F1317" s="6" t="s">
        <v>4849</v>
      </c>
      <c r="G1317" s="6" t="s">
        <v>1346</v>
      </c>
      <c r="H1317" s="8">
        <v>30000</v>
      </c>
      <c r="I1317" s="213" t="b">
        <v>0</v>
      </c>
      <c r="J1317" s="213" t="b">
        <v>0</v>
      </c>
      <c r="K1317" s="213" t="b">
        <v>0</v>
      </c>
    </row>
    <row r="1318" spans="1:11" ht="38.25" hidden="1">
      <c r="A1318" s="6">
        <v>2013</v>
      </c>
      <c r="B1318" s="6" t="s">
        <v>4744</v>
      </c>
      <c r="C1318" s="112" t="s">
        <v>61</v>
      </c>
      <c r="D1318" s="6" t="s">
        <v>1383</v>
      </c>
      <c r="E1318" s="22"/>
      <c r="F1318" s="6" t="s">
        <v>4850</v>
      </c>
      <c r="G1318" s="6" t="s">
        <v>4851</v>
      </c>
      <c r="H1318" s="8">
        <v>50000</v>
      </c>
      <c r="I1318" s="213" t="b">
        <v>0</v>
      </c>
      <c r="J1318" s="213" t="b">
        <v>0</v>
      </c>
      <c r="K1318" s="213" t="b">
        <v>0</v>
      </c>
    </row>
    <row r="1319" spans="1:11" ht="63.75" hidden="1">
      <c r="A1319" s="6">
        <v>2013</v>
      </c>
      <c r="B1319" s="6" t="s">
        <v>4748</v>
      </c>
      <c r="C1319" s="112" t="s">
        <v>61</v>
      </c>
      <c r="D1319" s="6" t="s">
        <v>1383</v>
      </c>
      <c r="E1319" s="22"/>
      <c r="F1319" s="6" t="s">
        <v>4852</v>
      </c>
      <c r="G1319" s="6" t="s">
        <v>4853</v>
      </c>
      <c r="H1319" s="8">
        <v>35000</v>
      </c>
      <c r="I1319" s="213" t="b">
        <v>0</v>
      </c>
      <c r="J1319" s="213" t="b">
        <v>0</v>
      </c>
      <c r="K1319" s="213" t="b">
        <v>0</v>
      </c>
    </row>
    <row r="1320" spans="1:11" ht="25.5" hidden="1">
      <c r="A1320" s="6">
        <v>2013</v>
      </c>
      <c r="B1320" s="6" t="s">
        <v>4762</v>
      </c>
      <c r="C1320" s="112" t="s">
        <v>61</v>
      </c>
      <c r="D1320" s="6" t="s">
        <v>1383</v>
      </c>
      <c r="E1320" s="22"/>
      <c r="F1320" s="6" t="s">
        <v>4860</v>
      </c>
      <c r="G1320" s="6" t="s">
        <v>4861</v>
      </c>
      <c r="H1320" s="8">
        <v>25000</v>
      </c>
      <c r="I1320" s="213" t="b">
        <v>0</v>
      </c>
      <c r="J1320" s="213" t="b">
        <v>0</v>
      </c>
      <c r="K1320" s="213" t="b">
        <v>0</v>
      </c>
    </row>
    <row r="1321" spans="1:11" ht="51" hidden="1">
      <c r="A1321" s="6">
        <v>2013</v>
      </c>
      <c r="B1321" s="6" t="s">
        <v>4867</v>
      </c>
      <c r="C1321" s="112" t="s">
        <v>61</v>
      </c>
      <c r="D1321" s="6" t="s">
        <v>1383</v>
      </c>
      <c r="E1321" s="22"/>
      <c r="F1321" s="6" t="s">
        <v>4868</v>
      </c>
      <c r="G1321" s="6" t="s">
        <v>4869</v>
      </c>
      <c r="H1321" s="8">
        <v>6000</v>
      </c>
      <c r="I1321" s="213" t="b">
        <v>0</v>
      </c>
      <c r="J1321" s="213" t="b">
        <v>0</v>
      </c>
      <c r="K1321" s="213" t="b">
        <v>0</v>
      </c>
    </row>
    <row r="1322" spans="1:11" ht="25.5" hidden="1">
      <c r="A1322" s="6">
        <v>2013</v>
      </c>
      <c r="B1322" s="6" t="s">
        <v>4871</v>
      </c>
      <c r="C1322" s="112" t="s">
        <v>61</v>
      </c>
      <c r="D1322" s="6" t="s">
        <v>1383</v>
      </c>
      <c r="E1322" s="22"/>
      <c r="F1322" s="6" t="s">
        <v>4872</v>
      </c>
      <c r="G1322" s="6" t="s">
        <v>4873</v>
      </c>
      <c r="H1322" s="8">
        <v>100000</v>
      </c>
      <c r="I1322" s="213" t="b">
        <v>0</v>
      </c>
      <c r="J1322" s="213" t="b">
        <v>0</v>
      </c>
      <c r="K1322" s="213" t="b">
        <v>0</v>
      </c>
    </row>
    <row r="1323" spans="1:11" ht="25.5" hidden="1">
      <c r="A1323" s="6">
        <v>2013</v>
      </c>
      <c r="B1323" s="6" t="s">
        <v>4878</v>
      </c>
      <c r="C1323" s="9" t="s">
        <v>61</v>
      </c>
      <c r="D1323" s="6" t="s">
        <v>1383</v>
      </c>
      <c r="E1323" s="22"/>
      <c r="F1323" s="6" t="s">
        <v>4879</v>
      </c>
      <c r="G1323" s="6" t="s">
        <v>4880</v>
      </c>
      <c r="H1323" s="8"/>
      <c r="I1323" s="213" t="b">
        <v>0</v>
      </c>
      <c r="J1323" s="213" t="b">
        <v>0</v>
      </c>
      <c r="K1323" s="213" t="b">
        <v>0</v>
      </c>
    </row>
    <row r="1324" spans="1:11" ht="25.5" hidden="1">
      <c r="A1324" s="6">
        <v>2013</v>
      </c>
      <c r="B1324" s="6" t="s">
        <v>4881</v>
      </c>
      <c r="C1324" s="112" t="s">
        <v>61</v>
      </c>
      <c r="D1324" s="6" t="s">
        <v>1383</v>
      </c>
      <c r="E1324" s="22"/>
      <c r="F1324" s="6" t="s">
        <v>4882</v>
      </c>
      <c r="G1324" s="6" t="s">
        <v>4883</v>
      </c>
      <c r="H1324" s="8">
        <v>30500</v>
      </c>
      <c r="I1324" s="213" t="b">
        <v>0</v>
      </c>
      <c r="J1324" s="213" t="b">
        <v>0</v>
      </c>
      <c r="K1324" s="213" t="b">
        <v>0</v>
      </c>
    </row>
    <row r="1325" spans="1:11" ht="38.25" hidden="1">
      <c r="A1325" s="6">
        <v>2013</v>
      </c>
      <c r="B1325" s="6" t="s">
        <v>4790</v>
      </c>
      <c r="C1325" s="112" t="s">
        <v>61</v>
      </c>
      <c r="D1325" s="6" t="s">
        <v>1383</v>
      </c>
      <c r="E1325" s="22"/>
      <c r="F1325" s="6" t="s">
        <v>4885</v>
      </c>
      <c r="G1325" s="6" t="s">
        <v>4886</v>
      </c>
      <c r="H1325" s="8">
        <v>84500</v>
      </c>
      <c r="I1325" s="213" t="b">
        <v>0</v>
      </c>
      <c r="J1325" s="213" t="b">
        <v>0</v>
      </c>
      <c r="K1325" s="213" t="b">
        <v>0</v>
      </c>
    </row>
    <row r="1326" spans="1:11" ht="51" hidden="1">
      <c r="A1326" s="6">
        <v>2013</v>
      </c>
      <c r="B1326" s="6" t="s">
        <v>4887</v>
      </c>
      <c r="C1326" s="112" t="s">
        <v>61</v>
      </c>
      <c r="D1326" s="6" t="s">
        <v>1383</v>
      </c>
      <c r="E1326" s="22"/>
      <c r="F1326" s="6" t="s">
        <v>4888</v>
      </c>
      <c r="G1326" s="6" t="s">
        <v>4851</v>
      </c>
      <c r="H1326" s="8">
        <v>50000</v>
      </c>
      <c r="I1326" s="213" t="b">
        <v>0</v>
      </c>
      <c r="J1326" s="213" t="b">
        <v>0</v>
      </c>
      <c r="K1326" s="213" t="b">
        <v>0</v>
      </c>
    </row>
    <row r="1327" spans="1:11" ht="25.5" hidden="1">
      <c r="A1327" s="6">
        <v>2013</v>
      </c>
      <c r="B1327" s="6" t="s">
        <v>4798</v>
      </c>
      <c r="C1327" s="112" t="s">
        <v>61</v>
      </c>
      <c r="D1327" s="6" t="s">
        <v>1383</v>
      </c>
      <c r="E1327" s="22"/>
      <c r="F1327" s="6" t="s">
        <v>4889</v>
      </c>
      <c r="G1327" s="6" t="s">
        <v>1598</v>
      </c>
      <c r="H1327" s="8">
        <v>39000</v>
      </c>
      <c r="I1327" s="213" t="b">
        <v>0</v>
      </c>
      <c r="J1327" s="213" t="b">
        <v>0</v>
      </c>
      <c r="K1327" s="213" t="b">
        <v>0</v>
      </c>
    </row>
    <row r="1328" spans="1:11" ht="38.25" hidden="1">
      <c r="A1328" s="6">
        <v>2013</v>
      </c>
      <c r="B1328" s="6" t="s">
        <v>4802</v>
      </c>
      <c r="C1328" s="112" t="s">
        <v>61</v>
      </c>
      <c r="D1328" s="6" t="s">
        <v>1383</v>
      </c>
      <c r="E1328" s="22"/>
      <c r="F1328" s="6" t="s">
        <v>4891</v>
      </c>
      <c r="G1328" s="6" t="s">
        <v>4892</v>
      </c>
      <c r="H1328" s="8">
        <v>50000</v>
      </c>
      <c r="I1328" s="213" t="b">
        <v>0</v>
      </c>
      <c r="J1328" s="213" t="b">
        <v>0</v>
      </c>
      <c r="K1328" s="213" t="b">
        <v>0</v>
      </c>
    </row>
    <row r="1329" spans="1:11" ht="25.5" hidden="1">
      <c r="A1329" s="6">
        <v>2013</v>
      </c>
      <c r="B1329" s="6" t="s">
        <v>4805</v>
      </c>
      <c r="C1329" s="112" t="s">
        <v>61</v>
      </c>
      <c r="D1329" s="6" t="s">
        <v>1383</v>
      </c>
      <c r="E1329" s="22"/>
      <c r="F1329" s="6" t="s">
        <v>4893</v>
      </c>
      <c r="G1329" s="6" t="s">
        <v>4894</v>
      </c>
      <c r="H1329" s="8">
        <v>20000</v>
      </c>
      <c r="I1329" s="213" t="b">
        <v>0</v>
      </c>
      <c r="J1329" s="213" t="b">
        <v>0</v>
      </c>
      <c r="K1329" s="213" t="b">
        <v>0</v>
      </c>
    </row>
    <row r="1330" spans="1:11" ht="25.5" hidden="1">
      <c r="A1330" s="6">
        <v>2013</v>
      </c>
      <c r="B1330" s="6" t="s">
        <v>4807</v>
      </c>
      <c r="C1330" s="112" t="s">
        <v>61</v>
      </c>
      <c r="D1330" s="6" t="s">
        <v>1383</v>
      </c>
      <c r="E1330" s="22"/>
      <c r="F1330" s="6" t="s">
        <v>4895</v>
      </c>
      <c r="G1330" s="6" t="s">
        <v>4896</v>
      </c>
      <c r="H1330" s="8">
        <v>20000</v>
      </c>
      <c r="I1330" s="213" t="b">
        <v>0</v>
      </c>
      <c r="J1330" s="213" t="b">
        <v>0</v>
      </c>
      <c r="K1330" s="213" t="b">
        <v>0</v>
      </c>
    </row>
    <row r="1331" spans="1:11" ht="25.5" hidden="1">
      <c r="A1331" s="6">
        <v>2013</v>
      </c>
      <c r="B1331" s="6" t="s">
        <v>4811</v>
      </c>
      <c r="C1331" s="112" t="s">
        <v>61</v>
      </c>
      <c r="D1331" s="6" t="s">
        <v>1383</v>
      </c>
      <c r="E1331" s="22"/>
      <c r="F1331" s="6" t="s">
        <v>4898</v>
      </c>
      <c r="G1331" s="6" t="s">
        <v>1889</v>
      </c>
      <c r="H1331" s="8">
        <v>20000</v>
      </c>
      <c r="I1331" s="213" t="b">
        <v>0</v>
      </c>
      <c r="J1331" s="213" t="b">
        <v>0</v>
      </c>
      <c r="K1331" s="213" t="b">
        <v>0</v>
      </c>
    </row>
    <row r="1332" spans="1:11" ht="25.5" hidden="1">
      <c r="A1332" s="6">
        <v>2013</v>
      </c>
      <c r="B1332" s="6" t="s">
        <v>4815</v>
      </c>
      <c r="C1332" s="112" t="s">
        <v>61</v>
      </c>
      <c r="D1332" s="6" t="s">
        <v>1383</v>
      </c>
      <c r="E1332" s="22"/>
      <c r="F1332" s="6" t="s">
        <v>4899</v>
      </c>
      <c r="G1332" s="6" t="s">
        <v>1889</v>
      </c>
      <c r="H1332" s="8">
        <v>60000</v>
      </c>
      <c r="I1332" s="213" t="b">
        <v>0</v>
      </c>
      <c r="J1332" s="213" t="b">
        <v>0</v>
      </c>
      <c r="K1332" s="213" t="b">
        <v>0</v>
      </c>
    </row>
    <row r="1333" spans="1:11" ht="25.5" hidden="1">
      <c r="A1333" s="6">
        <v>2013</v>
      </c>
      <c r="B1333" s="6" t="s">
        <v>4900</v>
      </c>
      <c r="C1333" s="112" t="s">
        <v>61</v>
      </c>
      <c r="D1333" s="6" t="s">
        <v>1383</v>
      </c>
      <c r="E1333" s="22"/>
      <c r="F1333" s="6" t="s">
        <v>4901</v>
      </c>
      <c r="G1333" s="6" t="s">
        <v>4837</v>
      </c>
      <c r="H1333" s="8">
        <v>20000</v>
      </c>
      <c r="I1333" s="213" t="b">
        <v>0</v>
      </c>
      <c r="J1333" s="213" t="b">
        <v>0</v>
      </c>
      <c r="K1333" s="213" t="b">
        <v>0</v>
      </c>
    </row>
    <row r="1334" spans="1:11" ht="25.5" hidden="1">
      <c r="A1334" s="6">
        <v>2013</v>
      </c>
      <c r="B1334" s="6" t="s">
        <v>4902</v>
      </c>
      <c r="C1334" s="112" t="s">
        <v>61</v>
      </c>
      <c r="D1334" s="6" t="s">
        <v>1383</v>
      </c>
      <c r="E1334" s="22"/>
      <c r="F1334" s="6" t="s">
        <v>4903</v>
      </c>
      <c r="G1334" s="6" t="s">
        <v>4904</v>
      </c>
      <c r="H1334" s="8">
        <v>20000</v>
      </c>
      <c r="I1334" s="213" t="b">
        <v>0</v>
      </c>
      <c r="J1334" s="213" t="b">
        <v>0</v>
      </c>
      <c r="K1334" s="213" t="b">
        <v>0</v>
      </c>
    </row>
    <row r="1335" spans="1:11" ht="25.5" hidden="1">
      <c r="A1335" s="6">
        <v>2013</v>
      </c>
      <c r="B1335" s="6" t="s">
        <v>4905</v>
      </c>
      <c r="C1335" s="112" t="s">
        <v>61</v>
      </c>
      <c r="D1335" s="6" t="s">
        <v>1383</v>
      </c>
      <c r="E1335" s="22"/>
      <c r="F1335" s="6" t="s">
        <v>4906</v>
      </c>
      <c r="G1335" s="6" t="s">
        <v>4907</v>
      </c>
      <c r="H1335" s="8">
        <v>20000</v>
      </c>
      <c r="I1335" s="213" t="b">
        <v>0</v>
      </c>
      <c r="J1335" s="213" t="b">
        <v>0</v>
      </c>
      <c r="K1335" s="213" t="b">
        <v>0</v>
      </c>
    </row>
    <row r="1336" spans="1:11" ht="25.5" hidden="1">
      <c r="A1336" s="6">
        <v>2013</v>
      </c>
      <c r="B1336" s="6" t="s">
        <v>4908</v>
      </c>
      <c r="C1336" s="112" t="s">
        <v>61</v>
      </c>
      <c r="D1336" s="6" t="s">
        <v>1383</v>
      </c>
      <c r="E1336" s="22"/>
      <c r="F1336" s="6" t="s">
        <v>4909</v>
      </c>
      <c r="G1336" s="6" t="s">
        <v>4910</v>
      </c>
      <c r="H1336" s="8">
        <v>57000</v>
      </c>
      <c r="I1336" s="213" t="b">
        <v>0</v>
      </c>
      <c r="J1336" s="213" t="b">
        <v>0</v>
      </c>
      <c r="K1336" s="213" t="b">
        <v>0</v>
      </c>
    </row>
    <row r="1337" spans="1:11" ht="25.5" hidden="1">
      <c r="A1337" s="6">
        <v>2013</v>
      </c>
      <c r="B1337" s="6" t="s">
        <v>4911</v>
      </c>
      <c r="C1337" s="112" t="s">
        <v>61</v>
      </c>
      <c r="D1337" s="6" t="s">
        <v>1383</v>
      </c>
      <c r="E1337" s="22"/>
      <c r="F1337" s="6" t="s">
        <v>4912</v>
      </c>
      <c r="G1337" s="6" t="s">
        <v>416</v>
      </c>
      <c r="H1337" s="8">
        <v>20000</v>
      </c>
      <c r="I1337" s="213" t="b">
        <v>0</v>
      </c>
      <c r="J1337" s="213" t="b">
        <v>0</v>
      </c>
      <c r="K1337" s="213" t="b">
        <v>0</v>
      </c>
    </row>
    <row r="1338" spans="1:11" ht="25.5" hidden="1">
      <c r="A1338" s="6">
        <v>2013</v>
      </c>
      <c r="B1338" s="6" t="s">
        <v>4913</v>
      </c>
      <c r="C1338" s="112" t="s">
        <v>61</v>
      </c>
      <c r="D1338" s="6" t="s">
        <v>1383</v>
      </c>
      <c r="E1338" s="22"/>
      <c r="F1338" s="6" t="s">
        <v>4914</v>
      </c>
      <c r="G1338" s="6" t="s">
        <v>1641</v>
      </c>
      <c r="H1338" s="8">
        <v>43000</v>
      </c>
      <c r="I1338" s="213" t="b">
        <v>0</v>
      </c>
      <c r="J1338" s="213" t="b">
        <v>0</v>
      </c>
      <c r="K1338" s="213" t="b">
        <v>0</v>
      </c>
    </row>
    <row r="1339" spans="1:11" ht="38.25" hidden="1">
      <c r="A1339" s="6">
        <v>2013</v>
      </c>
      <c r="B1339" s="6" t="s">
        <v>4916</v>
      </c>
      <c r="C1339" s="112" t="s">
        <v>61</v>
      </c>
      <c r="D1339" s="6" t="s">
        <v>1383</v>
      </c>
      <c r="E1339" s="22"/>
      <c r="F1339" s="6" t="s">
        <v>4917</v>
      </c>
      <c r="G1339" s="6" t="s">
        <v>1410</v>
      </c>
      <c r="H1339" s="8">
        <v>20000</v>
      </c>
      <c r="I1339" s="213" t="b">
        <v>0</v>
      </c>
      <c r="J1339" s="213" t="b">
        <v>0</v>
      </c>
      <c r="K1339" s="213" t="b">
        <v>0</v>
      </c>
    </row>
    <row r="1340" spans="1:11" ht="25.5" hidden="1">
      <c r="A1340" s="6">
        <v>2013</v>
      </c>
      <c r="B1340" s="6" t="s">
        <v>4918</v>
      </c>
      <c r="C1340" s="112" t="s">
        <v>61</v>
      </c>
      <c r="D1340" s="6" t="s">
        <v>1383</v>
      </c>
      <c r="E1340" s="22"/>
      <c r="F1340" s="6" t="s">
        <v>4919</v>
      </c>
      <c r="G1340" s="6" t="s">
        <v>1585</v>
      </c>
      <c r="H1340" s="8">
        <v>20000</v>
      </c>
      <c r="I1340" s="213" t="b">
        <v>0</v>
      </c>
      <c r="J1340" s="213" t="b">
        <v>0</v>
      </c>
      <c r="K1340" s="213" t="b">
        <v>0</v>
      </c>
    </row>
    <row r="1341" spans="1:11" ht="38.25" hidden="1">
      <c r="A1341" s="6">
        <v>2013</v>
      </c>
      <c r="B1341" s="6" t="s">
        <v>4920</v>
      </c>
      <c r="C1341" s="112" t="s">
        <v>61</v>
      </c>
      <c r="D1341" s="6" t="s">
        <v>1383</v>
      </c>
      <c r="E1341" s="22"/>
      <c r="F1341" s="6" t="s">
        <v>4921</v>
      </c>
      <c r="G1341" s="6" t="s">
        <v>4922</v>
      </c>
      <c r="H1341" s="8">
        <v>50000</v>
      </c>
      <c r="I1341" s="213" t="b">
        <v>0</v>
      </c>
      <c r="J1341" s="213" t="b">
        <v>0</v>
      </c>
      <c r="K1341" s="213" t="b">
        <v>0</v>
      </c>
    </row>
    <row r="1342" spans="1:11" ht="51" hidden="1">
      <c r="A1342" s="6">
        <v>2013</v>
      </c>
      <c r="B1342" s="6" t="s">
        <v>4923</v>
      </c>
      <c r="C1342" s="112" t="s">
        <v>61</v>
      </c>
      <c r="D1342" s="6" t="s">
        <v>1383</v>
      </c>
      <c r="E1342" s="22"/>
      <c r="F1342" s="6" t="s">
        <v>4924</v>
      </c>
      <c r="G1342" s="6" t="s">
        <v>4925</v>
      </c>
      <c r="H1342" s="8">
        <v>20000</v>
      </c>
      <c r="I1342" s="213" t="b">
        <v>0</v>
      </c>
      <c r="J1342" s="213" t="b">
        <v>0</v>
      </c>
      <c r="K1342" s="213" t="b">
        <v>0</v>
      </c>
    </row>
    <row r="1343" spans="1:11" ht="25.5" hidden="1">
      <c r="A1343" s="6">
        <v>2013</v>
      </c>
      <c r="B1343" s="6" t="s">
        <v>4931</v>
      </c>
      <c r="C1343" s="112" t="s">
        <v>61</v>
      </c>
      <c r="D1343" s="6" t="s">
        <v>1383</v>
      </c>
      <c r="E1343" s="22"/>
      <c r="F1343" s="6" t="s">
        <v>4932</v>
      </c>
      <c r="G1343" s="6" t="s">
        <v>849</v>
      </c>
      <c r="H1343" s="8">
        <v>30000</v>
      </c>
      <c r="I1343" s="213" t="b">
        <v>0</v>
      </c>
      <c r="J1343" s="213" t="b">
        <v>0</v>
      </c>
      <c r="K1343" s="213" t="b">
        <v>0</v>
      </c>
    </row>
    <row r="1344" spans="1:11" ht="51" hidden="1">
      <c r="A1344" s="6">
        <v>2013</v>
      </c>
      <c r="B1344" s="6" t="s">
        <v>4941</v>
      </c>
      <c r="C1344" s="112" t="s">
        <v>61</v>
      </c>
      <c r="D1344" s="6" t="s">
        <v>1383</v>
      </c>
      <c r="E1344" s="22"/>
      <c r="F1344" s="6" t="s">
        <v>4942</v>
      </c>
      <c r="G1344" s="6" t="s">
        <v>4922</v>
      </c>
      <c r="H1344" s="8">
        <v>20000</v>
      </c>
      <c r="I1344" s="213" t="b">
        <v>0</v>
      </c>
      <c r="J1344" s="213" t="b">
        <v>0</v>
      </c>
      <c r="K1344" s="213" t="b">
        <v>0</v>
      </c>
    </row>
    <row r="1345" spans="1:11" ht="25.5" hidden="1">
      <c r="A1345" s="6">
        <v>2013</v>
      </c>
      <c r="B1345" s="6" t="s">
        <v>4946</v>
      </c>
      <c r="C1345" s="112" t="s">
        <v>61</v>
      </c>
      <c r="D1345" s="6" t="s">
        <v>1383</v>
      </c>
      <c r="E1345" s="22"/>
      <c r="F1345" s="6" t="s">
        <v>4947</v>
      </c>
      <c r="G1345" s="6" t="s">
        <v>4948</v>
      </c>
      <c r="H1345" s="8">
        <v>40000</v>
      </c>
      <c r="I1345" s="213" t="b">
        <v>0</v>
      </c>
      <c r="J1345" s="213" t="b">
        <v>0</v>
      </c>
      <c r="K1345" s="213" t="b">
        <v>0</v>
      </c>
    </row>
    <row r="1346" spans="1:11" ht="25.5" hidden="1">
      <c r="A1346" s="6">
        <v>2013</v>
      </c>
      <c r="B1346" s="6" t="s">
        <v>4950</v>
      </c>
      <c r="C1346" s="112" t="s">
        <v>61</v>
      </c>
      <c r="D1346" s="6" t="s">
        <v>1383</v>
      </c>
      <c r="E1346" s="22"/>
      <c r="F1346" s="6" t="s">
        <v>4951</v>
      </c>
      <c r="G1346" s="6" t="s">
        <v>4952</v>
      </c>
      <c r="H1346" s="8">
        <v>30000</v>
      </c>
      <c r="I1346" s="213" t="b">
        <v>0</v>
      </c>
      <c r="J1346" s="213" t="b">
        <v>0</v>
      </c>
      <c r="K1346" s="213" t="b">
        <v>0</v>
      </c>
    </row>
    <row r="1347" spans="1:11" ht="25.5" hidden="1">
      <c r="A1347" s="6">
        <v>2013</v>
      </c>
      <c r="B1347" s="6" t="s">
        <v>4960</v>
      </c>
      <c r="C1347" s="112" t="s">
        <v>61</v>
      </c>
      <c r="D1347" s="6" t="s">
        <v>1383</v>
      </c>
      <c r="E1347" s="22"/>
      <c r="F1347" s="6" t="s">
        <v>4961</v>
      </c>
      <c r="G1347" s="6" t="s">
        <v>854</v>
      </c>
      <c r="H1347" s="8">
        <v>40000</v>
      </c>
      <c r="I1347" s="213" t="b">
        <v>0</v>
      </c>
      <c r="J1347" s="213" t="b">
        <v>0</v>
      </c>
      <c r="K1347" s="213" t="b">
        <v>0</v>
      </c>
    </row>
    <row r="1348" spans="1:11" ht="25.5" hidden="1">
      <c r="A1348" s="6">
        <v>2013</v>
      </c>
      <c r="B1348" s="6" t="s">
        <v>4971</v>
      </c>
      <c r="C1348" s="112" t="s">
        <v>61</v>
      </c>
      <c r="D1348" s="6" t="s">
        <v>1383</v>
      </c>
      <c r="E1348" s="22"/>
      <c r="F1348" s="6" t="s">
        <v>4972</v>
      </c>
      <c r="G1348" s="6" t="s">
        <v>4973</v>
      </c>
      <c r="H1348" s="8">
        <v>27500</v>
      </c>
      <c r="I1348" s="213" t="b">
        <v>0</v>
      </c>
      <c r="J1348" s="213" t="b">
        <v>0</v>
      </c>
      <c r="K1348" s="213" t="b">
        <v>0</v>
      </c>
    </row>
    <row r="1349" spans="1:11" ht="25.5" hidden="1">
      <c r="A1349" s="6">
        <v>2013</v>
      </c>
      <c r="B1349" s="6" t="s">
        <v>4979</v>
      </c>
      <c r="C1349" s="112" t="s">
        <v>61</v>
      </c>
      <c r="D1349" s="6" t="s">
        <v>1383</v>
      </c>
      <c r="E1349" s="22"/>
      <c r="F1349" s="6" t="s">
        <v>4980</v>
      </c>
      <c r="G1349" s="6" t="s">
        <v>842</v>
      </c>
      <c r="H1349" s="8">
        <v>30000</v>
      </c>
      <c r="I1349" s="213" t="b">
        <v>0</v>
      </c>
      <c r="J1349" s="213" t="b">
        <v>0</v>
      </c>
      <c r="K1349" s="213" t="b">
        <v>0</v>
      </c>
    </row>
    <row r="1350" spans="1:11" ht="12.75" hidden="1">
      <c r="A1350" s="6">
        <v>2012</v>
      </c>
      <c r="B1350" s="61">
        <v>40909</v>
      </c>
      <c r="C1350" s="112" t="s">
        <v>61</v>
      </c>
      <c r="D1350" s="6" t="s">
        <v>4982</v>
      </c>
      <c r="E1350" s="22"/>
      <c r="F1350" s="132" t="s">
        <v>4983</v>
      </c>
      <c r="G1350" s="132" t="s">
        <v>581</v>
      </c>
      <c r="H1350" s="8">
        <v>872700</v>
      </c>
      <c r="I1350" s="213" t="b">
        <v>0</v>
      </c>
      <c r="J1350" s="213" t="b">
        <v>0</v>
      </c>
      <c r="K1350" s="213" t="b">
        <v>0</v>
      </c>
    </row>
    <row r="1351" spans="1:11" ht="12.75" hidden="1">
      <c r="A1351" s="6">
        <v>2012</v>
      </c>
      <c r="B1351" s="61">
        <v>40940</v>
      </c>
      <c r="C1351" s="112" t="s">
        <v>61</v>
      </c>
      <c r="D1351" s="6" t="s">
        <v>4982</v>
      </c>
      <c r="E1351" s="22"/>
      <c r="F1351" s="6" t="s">
        <v>4985</v>
      </c>
      <c r="G1351" s="6" t="s">
        <v>1389</v>
      </c>
      <c r="H1351" s="8">
        <v>872700</v>
      </c>
      <c r="I1351" s="213" t="b">
        <v>0</v>
      </c>
      <c r="J1351" s="213" t="b">
        <v>0</v>
      </c>
      <c r="K1351" s="213" t="b">
        <v>0</v>
      </c>
    </row>
    <row r="1352" spans="1:11" ht="12.75" hidden="1">
      <c r="A1352" s="6">
        <v>2012</v>
      </c>
      <c r="B1352" s="61">
        <v>40969</v>
      </c>
      <c r="C1352" s="112" t="s">
        <v>61</v>
      </c>
      <c r="D1352" s="6" t="s">
        <v>4987</v>
      </c>
      <c r="E1352" s="22"/>
      <c r="F1352" s="6" t="s">
        <v>4988</v>
      </c>
      <c r="G1352" s="148" t="s">
        <v>1389</v>
      </c>
      <c r="H1352" s="8">
        <v>872700</v>
      </c>
      <c r="I1352" s="213" t="b">
        <v>0</v>
      </c>
      <c r="J1352" s="213" t="b">
        <v>0</v>
      </c>
      <c r="K1352" s="213" t="b">
        <v>0</v>
      </c>
    </row>
    <row r="1353" spans="1:11" ht="38.25" hidden="1">
      <c r="A1353" s="6">
        <v>2012</v>
      </c>
      <c r="B1353" s="61">
        <v>41000</v>
      </c>
      <c r="C1353" s="112" t="s">
        <v>61</v>
      </c>
      <c r="D1353" s="6" t="s">
        <v>652</v>
      </c>
      <c r="E1353" s="22"/>
      <c r="F1353" s="6" t="s">
        <v>4989</v>
      </c>
      <c r="G1353" s="6" t="s">
        <v>4990</v>
      </c>
      <c r="H1353" s="30">
        <v>1276000</v>
      </c>
      <c r="I1353" s="213" t="b">
        <v>0</v>
      </c>
      <c r="J1353" s="213" t="b">
        <v>0</v>
      </c>
      <c r="K1353" s="213" t="b">
        <v>0</v>
      </c>
    </row>
    <row r="1354" spans="1:11" ht="38.25" hidden="1">
      <c r="A1354" s="6">
        <v>2012</v>
      </c>
      <c r="B1354" s="6" t="s">
        <v>4992</v>
      </c>
      <c r="C1354" s="112" t="s">
        <v>3096</v>
      </c>
      <c r="D1354" s="6" t="s">
        <v>4993</v>
      </c>
      <c r="E1354" s="22"/>
      <c r="F1354" s="6" t="s">
        <v>4995</v>
      </c>
      <c r="G1354" s="6" t="s">
        <v>2331</v>
      </c>
      <c r="H1354" s="6" t="s">
        <v>5622</v>
      </c>
      <c r="I1354" s="213" t="b">
        <v>0</v>
      </c>
      <c r="J1354" s="213" t="b">
        <v>0</v>
      </c>
      <c r="K1354" s="213" t="b">
        <v>0</v>
      </c>
    </row>
    <row r="1355" spans="1:11" ht="38.25" hidden="1">
      <c r="A1355" s="6">
        <v>2012</v>
      </c>
      <c r="B1355" s="61">
        <v>41091</v>
      </c>
      <c r="C1355" s="112" t="s">
        <v>61</v>
      </c>
      <c r="D1355" s="6" t="s">
        <v>4993</v>
      </c>
      <c r="E1355" s="22"/>
      <c r="F1355" s="6" t="s">
        <v>4997</v>
      </c>
      <c r="G1355" s="6" t="s">
        <v>2331</v>
      </c>
      <c r="H1355" s="8">
        <v>276000</v>
      </c>
      <c r="I1355" s="213" t="b">
        <v>0</v>
      </c>
      <c r="J1355" s="213" t="b">
        <v>0</v>
      </c>
      <c r="K1355" s="213" t="b">
        <v>0</v>
      </c>
    </row>
    <row r="1356" spans="1:11" ht="38.25" hidden="1">
      <c r="A1356" s="6">
        <v>2012</v>
      </c>
      <c r="B1356" s="6" t="s">
        <v>4998</v>
      </c>
      <c r="C1356" s="112" t="s">
        <v>61</v>
      </c>
      <c r="D1356" s="6" t="s">
        <v>4993</v>
      </c>
      <c r="E1356" s="22"/>
      <c r="F1356" s="6" t="s">
        <v>4999</v>
      </c>
      <c r="G1356" s="6" t="s">
        <v>5000</v>
      </c>
      <c r="H1356" s="8">
        <v>680000</v>
      </c>
      <c r="I1356" s="213" t="b">
        <v>0</v>
      </c>
      <c r="J1356" s="213" t="b">
        <v>0</v>
      </c>
      <c r="K1356" s="213" t="b">
        <v>0</v>
      </c>
    </row>
    <row r="1357" spans="1:11" ht="25.5">
      <c r="A1357" s="6">
        <v>2012</v>
      </c>
      <c r="B1357" s="61">
        <v>41153</v>
      </c>
      <c r="C1357" s="112" t="s">
        <v>61</v>
      </c>
      <c r="D1357" s="6" t="s">
        <v>62</v>
      </c>
      <c r="E1357" s="22"/>
      <c r="F1357" s="132" t="s">
        <v>5001</v>
      </c>
      <c r="G1357" s="132" t="s">
        <v>5002</v>
      </c>
      <c r="H1357" s="260">
        <v>500000</v>
      </c>
      <c r="I1357" s="213" t="b">
        <v>0</v>
      </c>
      <c r="J1357" s="213"/>
      <c r="K1357" s="213"/>
    </row>
    <row r="1358" spans="1:11" ht="25.5">
      <c r="A1358" s="6">
        <v>2012</v>
      </c>
      <c r="B1358" s="61">
        <v>41183</v>
      </c>
      <c r="C1358" s="112" t="s">
        <v>61</v>
      </c>
      <c r="D1358" s="6" t="s">
        <v>62</v>
      </c>
      <c r="E1358" s="22"/>
      <c r="F1358" s="6" t="s">
        <v>5004</v>
      </c>
      <c r="G1358" s="6" t="s">
        <v>5005</v>
      </c>
      <c r="H1358" s="261">
        <v>240018.59</v>
      </c>
      <c r="I1358" s="213" t="b">
        <v>0</v>
      </c>
      <c r="J1358" s="213"/>
      <c r="K1358" s="213"/>
    </row>
    <row r="1359" spans="1:11" ht="12.75" hidden="1">
      <c r="A1359" s="6">
        <v>2012</v>
      </c>
      <c r="B1359" s="62">
        <v>41214</v>
      </c>
      <c r="C1359" s="112" t="s">
        <v>61</v>
      </c>
      <c r="D1359" s="6" t="s">
        <v>4987</v>
      </c>
      <c r="E1359" s="22"/>
      <c r="F1359" s="6" t="s">
        <v>5007</v>
      </c>
      <c r="G1359" s="6" t="s">
        <v>650</v>
      </c>
      <c r="H1359" s="8">
        <v>442700</v>
      </c>
      <c r="I1359" s="213" t="b">
        <v>0</v>
      </c>
      <c r="J1359" s="213" t="b">
        <v>0</v>
      </c>
      <c r="K1359" s="213" t="b">
        <v>0</v>
      </c>
    </row>
    <row r="1360" spans="1:11" ht="25.5" hidden="1">
      <c r="A1360" s="6">
        <v>2012</v>
      </c>
      <c r="B1360" s="62">
        <v>41244</v>
      </c>
      <c r="C1360" s="112" t="s">
        <v>61</v>
      </c>
      <c r="D1360" s="6" t="s">
        <v>4987</v>
      </c>
      <c r="E1360" s="22"/>
      <c r="F1360" s="6" t="s">
        <v>5008</v>
      </c>
      <c r="G1360" s="6" t="s">
        <v>5009</v>
      </c>
      <c r="H1360" s="8">
        <v>442700</v>
      </c>
      <c r="I1360" s="213" t="b">
        <v>0</v>
      </c>
      <c r="J1360" s="213" t="b">
        <v>0</v>
      </c>
      <c r="K1360" s="213" t="b">
        <v>0</v>
      </c>
    </row>
    <row r="1361" spans="1:11" ht="51" hidden="1">
      <c r="A1361" s="6">
        <v>2012</v>
      </c>
      <c r="B1361" s="6" t="s">
        <v>5014</v>
      </c>
      <c r="C1361" s="112" t="s">
        <v>61</v>
      </c>
      <c r="D1361" s="6" t="s">
        <v>1763</v>
      </c>
      <c r="E1361" s="22"/>
      <c r="F1361" s="6" t="s">
        <v>5015</v>
      </c>
      <c r="G1361" s="132" t="s">
        <v>2331</v>
      </c>
      <c r="H1361" s="8">
        <v>200000</v>
      </c>
      <c r="I1361" s="213" t="b">
        <v>0</v>
      </c>
      <c r="J1361" s="213" t="b">
        <v>0</v>
      </c>
      <c r="K1361" s="213" t="b">
        <v>0</v>
      </c>
    </row>
    <row r="1362" spans="1:11" ht="51">
      <c r="A1362" s="6">
        <v>2012</v>
      </c>
      <c r="B1362" s="6" t="s">
        <v>5016</v>
      </c>
      <c r="C1362" s="112" t="s">
        <v>61</v>
      </c>
      <c r="D1362" s="6" t="s">
        <v>62</v>
      </c>
      <c r="E1362" s="22"/>
      <c r="F1362" s="6" t="s">
        <v>5017</v>
      </c>
      <c r="G1362" s="132" t="s">
        <v>4518</v>
      </c>
      <c r="H1362" s="8">
        <v>270028.34999999998</v>
      </c>
      <c r="I1362" s="213" t="b">
        <v>0</v>
      </c>
      <c r="J1362" s="213"/>
      <c r="K1362" s="213"/>
    </row>
    <row r="1363" spans="1:11" ht="63.75" hidden="1">
      <c r="A1363" s="6">
        <v>2012</v>
      </c>
      <c r="B1363" s="6" t="s">
        <v>5019</v>
      </c>
      <c r="C1363" s="112" t="s">
        <v>61</v>
      </c>
      <c r="D1363" s="6" t="s">
        <v>2724</v>
      </c>
      <c r="E1363" s="22"/>
      <c r="F1363" s="132" t="s">
        <v>5020</v>
      </c>
      <c r="G1363" s="6" t="s">
        <v>722</v>
      </c>
      <c r="H1363" s="8">
        <v>154000</v>
      </c>
      <c r="I1363" s="213" t="b">
        <v>0</v>
      </c>
      <c r="J1363" s="213" t="b">
        <v>0</v>
      </c>
      <c r="K1363" s="213" t="b">
        <v>0</v>
      </c>
    </row>
    <row r="1364" spans="1:11" ht="76.5" hidden="1">
      <c r="A1364" s="6">
        <v>2012</v>
      </c>
      <c r="B1364" s="6" t="s">
        <v>5022</v>
      </c>
      <c r="C1364" s="6" t="s">
        <v>61</v>
      </c>
      <c r="D1364" s="6" t="s">
        <v>4787</v>
      </c>
      <c r="E1364" s="22"/>
      <c r="F1364" s="6" t="s">
        <v>5023</v>
      </c>
      <c r="G1364" s="6" t="s">
        <v>5024</v>
      </c>
      <c r="H1364" s="8">
        <v>227000</v>
      </c>
      <c r="I1364" s="213" t="b">
        <v>0</v>
      </c>
      <c r="J1364" s="213" t="b">
        <v>0</v>
      </c>
      <c r="K1364" s="213" t="b">
        <v>0</v>
      </c>
    </row>
    <row r="1365" spans="1:11" ht="12.75">
      <c r="A1365" s="6">
        <v>2012</v>
      </c>
      <c r="B1365" s="6" t="s">
        <v>5025</v>
      </c>
      <c r="C1365" s="112" t="s">
        <v>61</v>
      </c>
      <c r="D1365" s="6" t="s">
        <v>62</v>
      </c>
      <c r="E1365" s="22"/>
      <c r="F1365" s="6" t="s">
        <v>4115</v>
      </c>
      <c r="G1365" s="6" t="s">
        <v>5026</v>
      </c>
      <c r="H1365" s="8">
        <v>212321.03</v>
      </c>
      <c r="I1365" s="213" t="b">
        <v>0</v>
      </c>
      <c r="J1365" s="213"/>
      <c r="K1365" s="213"/>
    </row>
    <row r="1366" spans="1:11" ht="25.5" hidden="1">
      <c r="A1366" s="6">
        <v>2012</v>
      </c>
      <c r="B1366" s="6" t="s">
        <v>5030</v>
      </c>
      <c r="C1366" s="112" t="s">
        <v>61</v>
      </c>
      <c r="D1366" s="6" t="s">
        <v>5031</v>
      </c>
      <c r="E1366" s="22"/>
      <c r="F1366" s="6" t="s">
        <v>5032</v>
      </c>
      <c r="G1366" s="6" t="s">
        <v>5033</v>
      </c>
      <c r="H1366" s="8">
        <v>120000</v>
      </c>
      <c r="I1366" s="213" t="b">
        <v>0</v>
      </c>
      <c r="J1366" s="213" t="b">
        <v>0</v>
      </c>
      <c r="K1366" s="213" t="b">
        <v>0</v>
      </c>
    </row>
    <row r="1367" spans="1:11" ht="25.5" hidden="1">
      <c r="A1367" s="6">
        <v>2012</v>
      </c>
      <c r="B1367" s="6" t="s">
        <v>5042</v>
      </c>
      <c r="C1367" s="112" t="s">
        <v>61</v>
      </c>
      <c r="D1367" s="6" t="s">
        <v>5043</v>
      </c>
      <c r="E1367" s="22"/>
      <c r="F1367" s="6" t="s">
        <v>5044</v>
      </c>
      <c r="G1367" s="6" t="s">
        <v>5045</v>
      </c>
      <c r="H1367" s="8">
        <v>250000</v>
      </c>
      <c r="I1367" s="213" t="b">
        <v>0</v>
      </c>
      <c r="J1367" s="213" t="b">
        <v>0</v>
      </c>
      <c r="K1367" s="213" t="b">
        <v>0</v>
      </c>
    </row>
    <row r="1368" spans="1:11" ht="38.25" hidden="1">
      <c r="A1368" s="6">
        <v>2012</v>
      </c>
      <c r="B1368" s="6" t="s">
        <v>5047</v>
      </c>
      <c r="C1368" s="112" t="s">
        <v>61</v>
      </c>
      <c r="D1368" s="6" t="s">
        <v>68</v>
      </c>
      <c r="E1368" s="22"/>
      <c r="F1368" s="6" t="s">
        <v>5048</v>
      </c>
      <c r="G1368" s="6" t="s">
        <v>5049</v>
      </c>
      <c r="H1368" s="30">
        <v>683200</v>
      </c>
      <c r="I1368" s="213" t="b">
        <v>0</v>
      </c>
      <c r="J1368" s="213" t="b">
        <v>0</v>
      </c>
      <c r="K1368" s="213" t="b">
        <v>0</v>
      </c>
    </row>
    <row r="1369" spans="1:11" ht="114.75" hidden="1">
      <c r="A1369" s="6">
        <v>2012</v>
      </c>
      <c r="B1369" s="6" t="s">
        <v>5051</v>
      </c>
      <c r="C1369" s="112" t="s">
        <v>61</v>
      </c>
      <c r="D1369" s="6" t="s">
        <v>1141</v>
      </c>
      <c r="E1369" s="22"/>
      <c r="F1369" s="6" t="s">
        <v>5052</v>
      </c>
      <c r="G1369" s="6" t="s">
        <v>2483</v>
      </c>
      <c r="H1369" s="30">
        <v>68718</v>
      </c>
      <c r="I1369" s="213" t="b">
        <v>0</v>
      </c>
      <c r="J1369" s="213" t="b">
        <v>0</v>
      </c>
      <c r="K1369" s="213" t="b">
        <v>0</v>
      </c>
    </row>
    <row r="1370" spans="1:11" ht="102" hidden="1">
      <c r="A1370" s="6">
        <v>2012</v>
      </c>
      <c r="B1370" s="6" t="s">
        <v>5054</v>
      </c>
      <c r="C1370" s="112" t="s">
        <v>61</v>
      </c>
      <c r="D1370" s="6" t="s">
        <v>4787</v>
      </c>
      <c r="E1370" s="22"/>
      <c r="F1370" s="6" t="s">
        <v>5055</v>
      </c>
      <c r="G1370" s="6" t="s">
        <v>5056</v>
      </c>
      <c r="H1370" s="8">
        <v>190000</v>
      </c>
      <c r="I1370" s="213" t="b">
        <v>0</v>
      </c>
      <c r="J1370" s="213" t="b">
        <v>0</v>
      </c>
      <c r="K1370" s="213" t="b">
        <v>0</v>
      </c>
    </row>
    <row r="1371" spans="1:11" ht="51" hidden="1">
      <c r="A1371" s="6">
        <v>2012</v>
      </c>
      <c r="B1371" s="6" t="s">
        <v>5057</v>
      </c>
      <c r="C1371" s="112" t="s">
        <v>61</v>
      </c>
      <c r="D1371" s="6" t="s">
        <v>652</v>
      </c>
      <c r="E1371" s="22"/>
      <c r="F1371" s="6" t="s">
        <v>5058</v>
      </c>
      <c r="G1371" s="6" t="s">
        <v>5059</v>
      </c>
      <c r="H1371" s="8">
        <v>800000</v>
      </c>
      <c r="I1371" s="213" t="b">
        <v>0</v>
      </c>
      <c r="J1371" s="213" t="b">
        <v>0</v>
      </c>
      <c r="K1371" s="213" t="b">
        <v>0</v>
      </c>
    </row>
    <row r="1372" spans="1:11" ht="25.5" hidden="1">
      <c r="A1372" s="6">
        <v>2012</v>
      </c>
      <c r="B1372" s="6" t="s">
        <v>5061</v>
      </c>
      <c r="C1372" s="112" t="s">
        <v>61</v>
      </c>
      <c r="D1372" s="6" t="s">
        <v>4982</v>
      </c>
      <c r="E1372" s="22"/>
      <c r="F1372" s="6" t="s">
        <v>5062</v>
      </c>
      <c r="G1372" s="6" t="s">
        <v>5063</v>
      </c>
      <c r="H1372" s="8">
        <v>247000</v>
      </c>
      <c r="I1372" s="213" t="b">
        <v>0</v>
      </c>
      <c r="J1372" s="213" t="b">
        <v>0</v>
      </c>
      <c r="K1372" s="213" t="b">
        <v>0</v>
      </c>
    </row>
    <row r="1373" spans="1:11" ht="25.5" hidden="1">
      <c r="A1373" s="6">
        <v>2012</v>
      </c>
      <c r="B1373" s="6" t="s">
        <v>5065</v>
      </c>
      <c r="C1373" s="112" t="s">
        <v>61</v>
      </c>
      <c r="D1373" s="6" t="s">
        <v>4987</v>
      </c>
      <c r="E1373" s="22"/>
      <c r="F1373" s="6" t="s">
        <v>5066</v>
      </c>
      <c r="G1373" s="6" t="s">
        <v>5063</v>
      </c>
      <c r="H1373" s="8">
        <v>820000</v>
      </c>
      <c r="I1373" s="213" t="b">
        <v>0</v>
      </c>
      <c r="J1373" s="213" t="b">
        <v>0</v>
      </c>
      <c r="K1373" s="213" t="b">
        <v>0</v>
      </c>
    </row>
    <row r="1374" spans="1:11" ht="38.25">
      <c r="A1374" s="6">
        <v>2012</v>
      </c>
      <c r="B1374" s="6" t="s">
        <v>5067</v>
      </c>
      <c r="C1374" s="112" t="s">
        <v>61</v>
      </c>
      <c r="D1374" s="6" t="s">
        <v>62</v>
      </c>
      <c r="E1374" s="22"/>
      <c r="F1374" s="6" t="s">
        <v>2487</v>
      </c>
      <c r="G1374" s="6" t="s">
        <v>5068</v>
      </c>
      <c r="H1374" s="8">
        <v>460600</v>
      </c>
      <c r="I1374" s="213" t="b">
        <v>0</v>
      </c>
      <c r="J1374" s="213"/>
      <c r="K1374" s="213"/>
    </row>
    <row r="1375" spans="1:11" ht="63.75" hidden="1">
      <c r="A1375" s="6">
        <v>2012</v>
      </c>
      <c r="B1375" s="6" t="s">
        <v>5070</v>
      </c>
      <c r="C1375" s="112" t="s">
        <v>3096</v>
      </c>
      <c r="D1375" s="6" t="s">
        <v>2412</v>
      </c>
      <c r="E1375" s="22"/>
      <c r="F1375" s="6" t="s">
        <v>5071</v>
      </c>
      <c r="G1375" s="6" t="s">
        <v>5072</v>
      </c>
      <c r="H1375" s="30">
        <v>14400000</v>
      </c>
      <c r="I1375" s="213" t="b">
        <v>0</v>
      </c>
      <c r="J1375" s="213" t="b">
        <v>0</v>
      </c>
      <c r="K1375" s="213" t="b">
        <v>0</v>
      </c>
    </row>
    <row r="1376" spans="1:11" ht="12.75" hidden="1">
      <c r="A1376" s="6">
        <v>2012</v>
      </c>
      <c r="B1376" s="6" t="s">
        <v>5073</v>
      </c>
      <c r="C1376" s="112" t="s">
        <v>61</v>
      </c>
      <c r="D1376" s="6" t="s">
        <v>68</v>
      </c>
      <c r="E1376" s="22"/>
      <c r="F1376" s="6" t="s">
        <v>4597</v>
      </c>
      <c r="G1376" s="6" t="s">
        <v>4598</v>
      </c>
      <c r="H1376" s="8">
        <v>760675</v>
      </c>
      <c r="I1376" s="213" t="b">
        <v>0</v>
      </c>
      <c r="J1376" s="213" t="b">
        <v>0</v>
      </c>
      <c r="K1376" s="213" t="b">
        <v>0</v>
      </c>
    </row>
    <row r="1377" spans="1:11" ht="63.75">
      <c r="A1377" s="6">
        <v>2012</v>
      </c>
      <c r="B1377" s="6" t="s">
        <v>5075</v>
      </c>
      <c r="C1377" s="112" t="s">
        <v>61</v>
      </c>
      <c r="D1377" s="6" t="s">
        <v>62</v>
      </c>
      <c r="E1377" s="22"/>
      <c r="F1377" s="6" t="s">
        <v>5076</v>
      </c>
      <c r="G1377" s="6" t="s">
        <v>5077</v>
      </c>
      <c r="H1377" s="8">
        <v>1220000</v>
      </c>
      <c r="I1377" s="213" t="b">
        <v>0</v>
      </c>
      <c r="J1377" s="213"/>
      <c r="K1377" s="213"/>
    </row>
    <row r="1378" spans="1:11" ht="25.5" hidden="1">
      <c r="A1378" s="6">
        <v>2012</v>
      </c>
      <c r="B1378" s="6" t="s">
        <v>5079</v>
      </c>
      <c r="C1378" s="112" t="s">
        <v>5080</v>
      </c>
      <c r="D1378" s="6" t="s">
        <v>2172</v>
      </c>
      <c r="E1378" s="22"/>
      <c r="F1378" s="6" t="s">
        <v>5081</v>
      </c>
      <c r="G1378" s="6" t="s">
        <v>1556</v>
      </c>
      <c r="H1378" s="30">
        <v>6430440</v>
      </c>
      <c r="I1378" s="213" t="b">
        <v>0</v>
      </c>
      <c r="J1378" s="213" t="b">
        <v>0</v>
      </c>
      <c r="K1378" s="213" t="b">
        <v>0</v>
      </c>
    </row>
    <row r="1379" spans="1:11" ht="63.75" hidden="1">
      <c r="A1379" s="6">
        <v>2012</v>
      </c>
      <c r="B1379" s="6" t="s">
        <v>5082</v>
      </c>
      <c r="C1379" s="112" t="s">
        <v>61</v>
      </c>
      <c r="D1379" s="6" t="s">
        <v>4787</v>
      </c>
      <c r="E1379" s="22"/>
      <c r="F1379" s="6" t="s">
        <v>5083</v>
      </c>
      <c r="G1379" s="148" t="s">
        <v>5084</v>
      </c>
      <c r="H1379" s="8">
        <v>123400</v>
      </c>
      <c r="I1379" s="213" t="b">
        <v>0</v>
      </c>
      <c r="J1379" s="213" t="b">
        <v>0</v>
      </c>
      <c r="K1379" s="213" t="b">
        <v>0</v>
      </c>
    </row>
    <row r="1380" spans="1:11" ht="25.5">
      <c r="A1380" s="6">
        <v>2012</v>
      </c>
      <c r="B1380" s="6" t="s">
        <v>5086</v>
      </c>
      <c r="C1380" s="112" t="s">
        <v>61</v>
      </c>
      <c r="D1380" s="6" t="s">
        <v>62</v>
      </c>
      <c r="E1380" s="22"/>
      <c r="F1380" s="6" t="s">
        <v>5087</v>
      </c>
      <c r="G1380" s="6" t="s">
        <v>4602</v>
      </c>
      <c r="H1380" s="8">
        <v>804167.07</v>
      </c>
      <c r="I1380" s="213" t="b">
        <v>0</v>
      </c>
      <c r="J1380" s="213"/>
      <c r="K1380" s="213"/>
    </row>
    <row r="1381" spans="1:11" ht="25.5" hidden="1">
      <c r="A1381" s="6">
        <v>2012</v>
      </c>
      <c r="B1381" s="6" t="s">
        <v>5089</v>
      </c>
      <c r="C1381" s="112" t="s">
        <v>61</v>
      </c>
      <c r="D1381" s="6" t="s">
        <v>1141</v>
      </c>
      <c r="E1381" s="22"/>
      <c r="F1381" s="132" t="s">
        <v>5090</v>
      </c>
      <c r="G1381" s="148" t="s">
        <v>5091</v>
      </c>
      <c r="H1381" s="8">
        <v>290780.5</v>
      </c>
      <c r="I1381" s="213" t="b">
        <v>0</v>
      </c>
      <c r="J1381" s="213" t="b">
        <v>0</v>
      </c>
      <c r="K1381" s="213" t="b">
        <v>0</v>
      </c>
    </row>
    <row r="1382" spans="1:11" ht="38.25" hidden="1">
      <c r="A1382" s="6">
        <v>2012</v>
      </c>
      <c r="B1382" s="6" t="s">
        <v>5093</v>
      </c>
      <c r="C1382" s="112" t="s">
        <v>61</v>
      </c>
      <c r="D1382" s="6" t="s">
        <v>4787</v>
      </c>
      <c r="E1382" s="22"/>
      <c r="F1382" s="6" t="s">
        <v>5094</v>
      </c>
      <c r="G1382" s="6" t="s">
        <v>5095</v>
      </c>
      <c r="H1382" s="8">
        <v>14125</v>
      </c>
      <c r="I1382" s="213" t="b">
        <v>0</v>
      </c>
      <c r="J1382" s="213" t="b">
        <v>0</v>
      </c>
      <c r="K1382" s="213" t="b">
        <v>0</v>
      </c>
    </row>
    <row r="1383" spans="1:11" ht="51" hidden="1">
      <c r="A1383" s="6">
        <v>2012</v>
      </c>
      <c r="B1383" s="6" t="s">
        <v>5097</v>
      </c>
      <c r="C1383" s="112" t="s">
        <v>61</v>
      </c>
      <c r="D1383" s="6" t="s">
        <v>5031</v>
      </c>
      <c r="E1383" s="22"/>
      <c r="F1383" s="6" t="s">
        <v>5098</v>
      </c>
      <c r="G1383" s="6" t="s">
        <v>1491</v>
      </c>
      <c r="H1383" s="8">
        <v>100000</v>
      </c>
      <c r="I1383" s="213" t="b">
        <v>0</v>
      </c>
      <c r="J1383" s="213" t="b">
        <v>0</v>
      </c>
      <c r="K1383" s="213" t="b">
        <v>0</v>
      </c>
    </row>
    <row r="1384" spans="1:11" ht="38.25" hidden="1">
      <c r="A1384" s="6">
        <v>2012</v>
      </c>
      <c r="B1384" s="6" t="s">
        <v>5103</v>
      </c>
      <c r="C1384" s="112" t="s">
        <v>61</v>
      </c>
      <c r="D1384" s="6" t="s">
        <v>4993</v>
      </c>
      <c r="E1384" s="22"/>
      <c r="F1384" s="6" t="s">
        <v>5104</v>
      </c>
      <c r="G1384" s="6" t="s">
        <v>5105</v>
      </c>
      <c r="H1384" s="8">
        <v>37000</v>
      </c>
      <c r="I1384" s="213" t="b">
        <v>0</v>
      </c>
      <c r="J1384" s="213" t="b">
        <v>0</v>
      </c>
      <c r="K1384" s="213" t="b">
        <v>0</v>
      </c>
    </row>
    <row r="1385" spans="1:11" ht="51" hidden="1">
      <c r="A1385" s="6">
        <v>2012</v>
      </c>
      <c r="B1385" s="6" t="s">
        <v>5107</v>
      </c>
      <c r="C1385" s="112" t="s">
        <v>61</v>
      </c>
      <c r="D1385" s="6" t="s">
        <v>4993</v>
      </c>
      <c r="E1385" s="22"/>
      <c r="F1385" s="6" t="s">
        <v>5108</v>
      </c>
      <c r="G1385" s="6" t="s">
        <v>5109</v>
      </c>
      <c r="H1385" s="8">
        <v>46000</v>
      </c>
      <c r="I1385" s="213" t="b">
        <v>0</v>
      </c>
      <c r="J1385" s="213" t="b">
        <v>0</v>
      </c>
      <c r="K1385" s="213" t="b">
        <v>0</v>
      </c>
    </row>
    <row r="1386" spans="1:11" ht="25.5" hidden="1">
      <c r="A1386" s="6">
        <v>2012</v>
      </c>
      <c r="B1386" s="6" t="s">
        <v>5111</v>
      </c>
      <c r="C1386" s="112" t="s">
        <v>61</v>
      </c>
      <c r="D1386" s="6" t="s">
        <v>4787</v>
      </c>
      <c r="E1386" s="22"/>
      <c r="F1386" s="6" t="s">
        <v>5112</v>
      </c>
      <c r="G1386" s="6" t="s">
        <v>1742</v>
      </c>
      <c r="H1386" s="8">
        <v>50000</v>
      </c>
      <c r="I1386" s="213" t="b">
        <v>0</v>
      </c>
      <c r="J1386" s="213" t="b">
        <v>0</v>
      </c>
      <c r="K1386" s="213" t="b">
        <v>0</v>
      </c>
    </row>
    <row r="1387" spans="1:11" ht="38.25" hidden="1">
      <c r="A1387" s="6">
        <v>2012</v>
      </c>
      <c r="B1387" s="6" t="s">
        <v>5114</v>
      </c>
      <c r="C1387" s="112" t="s">
        <v>61</v>
      </c>
      <c r="D1387" s="6" t="s">
        <v>4993</v>
      </c>
      <c r="E1387" s="22"/>
      <c r="F1387" s="6" t="s">
        <v>5115</v>
      </c>
      <c r="G1387" s="6" t="s">
        <v>5116</v>
      </c>
      <c r="H1387" s="8">
        <v>55000</v>
      </c>
      <c r="I1387" s="213" t="b">
        <v>0</v>
      </c>
      <c r="J1387" s="213" t="b">
        <v>0</v>
      </c>
      <c r="K1387" s="213" t="b">
        <v>0</v>
      </c>
    </row>
    <row r="1388" spans="1:11" ht="38.25" hidden="1">
      <c r="A1388" s="6">
        <v>2012</v>
      </c>
      <c r="B1388" s="6" t="s">
        <v>5118</v>
      </c>
      <c r="C1388" s="112" t="s">
        <v>61</v>
      </c>
      <c r="D1388" s="6" t="s">
        <v>1763</v>
      </c>
      <c r="E1388" s="22"/>
      <c r="F1388" s="6" t="s">
        <v>5119</v>
      </c>
      <c r="G1388" s="6" t="s">
        <v>5120</v>
      </c>
      <c r="H1388" s="8">
        <v>20000</v>
      </c>
      <c r="I1388" s="213" t="b">
        <v>0</v>
      </c>
      <c r="J1388" s="213" t="b">
        <v>0</v>
      </c>
      <c r="K1388" s="213" t="b">
        <v>0</v>
      </c>
    </row>
    <row r="1389" spans="1:11" ht="63.75" hidden="1">
      <c r="A1389" s="6">
        <v>2012</v>
      </c>
      <c r="B1389" s="6" t="s">
        <v>5122</v>
      </c>
      <c r="C1389" s="112" t="s">
        <v>61</v>
      </c>
      <c r="D1389" s="6" t="s">
        <v>4993</v>
      </c>
      <c r="E1389" s="22"/>
      <c r="F1389" s="6" t="s">
        <v>5123</v>
      </c>
      <c r="G1389" s="6" t="s">
        <v>5124</v>
      </c>
      <c r="H1389" s="8">
        <v>40000</v>
      </c>
      <c r="I1389" s="213" t="b">
        <v>0</v>
      </c>
      <c r="J1389" s="213" t="b">
        <v>0</v>
      </c>
      <c r="K1389" s="213" t="b">
        <v>0</v>
      </c>
    </row>
    <row r="1390" spans="1:11" ht="51" hidden="1">
      <c r="A1390" s="6">
        <v>2012</v>
      </c>
      <c r="B1390" s="6" t="s">
        <v>5126</v>
      </c>
      <c r="C1390" s="112" t="s">
        <v>61</v>
      </c>
      <c r="D1390" s="6" t="s">
        <v>1763</v>
      </c>
      <c r="E1390" s="22"/>
      <c r="F1390" s="132" t="s">
        <v>5127</v>
      </c>
      <c r="G1390" s="6" t="s">
        <v>5128</v>
      </c>
      <c r="H1390" s="8">
        <v>26200</v>
      </c>
      <c r="I1390" s="213" t="b">
        <v>0</v>
      </c>
      <c r="J1390" s="213" t="b">
        <v>0</v>
      </c>
      <c r="K1390" s="213" t="b">
        <v>0</v>
      </c>
    </row>
    <row r="1391" spans="1:11" ht="38.25" hidden="1">
      <c r="A1391" s="6">
        <v>2012</v>
      </c>
      <c r="B1391" s="6" t="s">
        <v>5130</v>
      </c>
      <c r="C1391" s="112" t="s">
        <v>61</v>
      </c>
      <c r="D1391" s="6" t="s">
        <v>4993</v>
      </c>
      <c r="E1391" s="22"/>
      <c r="F1391" s="6" t="s">
        <v>5131</v>
      </c>
      <c r="G1391" s="6" t="s">
        <v>5000</v>
      </c>
      <c r="H1391" s="8">
        <v>40000</v>
      </c>
      <c r="I1391" s="213" t="b">
        <v>0</v>
      </c>
      <c r="J1391" s="213" t="b">
        <v>0</v>
      </c>
      <c r="K1391" s="213" t="b">
        <v>0</v>
      </c>
    </row>
    <row r="1392" spans="1:11" ht="51" hidden="1">
      <c r="A1392" s="6">
        <v>2012</v>
      </c>
      <c r="B1392" s="6" t="s">
        <v>5132</v>
      </c>
      <c r="C1392" s="112" t="s">
        <v>61</v>
      </c>
      <c r="D1392" s="6" t="s">
        <v>4993</v>
      </c>
      <c r="E1392" s="22"/>
      <c r="F1392" s="6" t="s">
        <v>5133</v>
      </c>
      <c r="G1392" s="6" t="s">
        <v>5134</v>
      </c>
      <c r="H1392" s="8">
        <v>80000</v>
      </c>
      <c r="I1392" s="213" t="b">
        <v>0</v>
      </c>
      <c r="J1392" s="213" t="b">
        <v>0</v>
      </c>
      <c r="K1392" s="213" t="b">
        <v>0</v>
      </c>
    </row>
    <row r="1393" spans="1:11" ht="38.25" hidden="1">
      <c r="A1393" s="6">
        <v>2012</v>
      </c>
      <c r="B1393" s="6" t="s">
        <v>5136</v>
      </c>
      <c r="C1393" s="112" t="s">
        <v>61</v>
      </c>
      <c r="D1393" s="6" t="s">
        <v>4993</v>
      </c>
      <c r="E1393" s="22"/>
      <c r="F1393" s="6" t="s">
        <v>5137</v>
      </c>
      <c r="G1393" s="6" t="s">
        <v>1689</v>
      </c>
      <c r="H1393" s="8">
        <v>80000</v>
      </c>
      <c r="I1393" s="213" t="b">
        <v>0</v>
      </c>
      <c r="J1393" s="213" t="b">
        <v>0</v>
      </c>
      <c r="K1393" s="213" t="b">
        <v>0</v>
      </c>
    </row>
    <row r="1394" spans="1:11" ht="51" hidden="1">
      <c r="A1394" s="6">
        <v>2012</v>
      </c>
      <c r="B1394" s="6" t="s">
        <v>5138</v>
      </c>
      <c r="C1394" s="112" t="s">
        <v>61</v>
      </c>
      <c r="D1394" s="6" t="s">
        <v>4993</v>
      </c>
      <c r="E1394" s="22"/>
      <c r="F1394" s="6" t="s">
        <v>5139</v>
      </c>
      <c r="G1394" s="6" t="s">
        <v>5140</v>
      </c>
      <c r="H1394" s="8">
        <v>80000</v>
      </c>
      <c r="I1394" s="213" t="b">
        <v>0</v>
      </c>
      <c r="J1394" s="213" t="b">
        <v>0</v>
      </c>
      <c r="K1394" s="213" t="b">
        <v>0</v>
      </c>
    </row>
    <row r="1395" spans="1:11" ht="38.25" hidden="1">
      <c r="A1395" s="6">
        <v>2012</v>
      </c>
      <c r="B1395" s="6" t="s">
        <v>5142</v>
      </c>
      <c r="C1395" s="112" t="s">
        <v>61</v>
      </c>
      <c r="D1395" s="6" t="s">
        <v>4993</v>
      </c>
      <c r="E1395" s="22"/>
      <c r="F1395" s="6" t="s">
        <v>5143</v>
      </c>
      <c r="G1395" s="6" t="s">
        <v>5033</v>
      </c>
      <c r="H1395" s="8">
        <v>80000</v>
      </c>
      <c r="I1395" s="213" t="b">
        <v>0</v>
      </c>
      <c r="J1395" s="213" t="b">
        <v>0</v>
      </c>
      <c r="K1395" s="213" t="b">
        <v>0</v>
      </c>
    </row>
    <row r="1396" spans="1:11" ht="25.5" hidden="1">
      <c r="A1396" s="6">
        <v>2012</v>
      </c>
      <c r="B1396" s="6" t="s">
        <v>5145</v>
      </c>
      <c r="C1396" s="112" t="s">
        <v>61</v>
      </c>
      <c r="D1396" s="6" t="s">
        <v>5031</v>
      </c>
      <c r="E1396" s="22"/>
      <c r="F1396" s="6" t="s">
        <v>5146</v>
      </c>
      <c r="G1396" s="6" t="s">
        <v>5147</v>
      </c>
      <c r="H1396" s="8">
        <v>33600</v>
      </c>
      <c r="I1396" s="213" t="b">
        <v>0</v>
      </c>
      <c r="J1396" s="213" t="b">
        <v>0</v>
      </c>
      <c r="K1396" s="213" t="b">
        <v>0</v>
      </c>
    </row>
    <row r="1397" spans="1:11" ht="38.25" hidden="1">
      <c r="A1397" s="6">
        <v>2012</v>
      </c>
      <c r="B1397" s="6" t="s">
        <v>5149</v>
      </c>
      <c r="C1397" s="112" t="s">
        <v>61</v>
      </c>
      <c r="D1397" s="6" t="s">
        <v>1763</v>
      </c>
      <c r="E1397" s="22"/>
      <c r="F1397" s="6" t="s">
        <v>5150</v>
      </c>
      <c r="G1397" s="6" t="s">
        <v>5151</v>
      </c>
      <c r="H1397" s="8">
        <v>10425</v>
      </c>
      <c r="I1397" s="213" t="b">
        <v>0</v>
      </c>
      <c r="J1397" s="213" t="b">
        <v>0</v>
      </c>
      <c r="K1397" s="213" t="b">
        <v>0</v>
      </c>
    </row>
    <row r="1398" spans="1:11" ht="51" hidden="1">
      <c r="A1398" s="6">
        <v>2012</v>
      </c>
      <c r="B1398" s="6" t="s">
        <v>5153</v>
      </c>
      <c r="C1398" s="112" t="s">
        <v>61</v>
      </c>
      <c r="D1398" s="6" t="s">
        <v>4993</v>
      </c>
      <c r="E1398" s="22"/>
      <c r="F1398" s="6" t="s">
        <v>5154</v>
      </c>
      <c r="G1398" s="6" t="s">
        <v>5155</v>
      </c>
      <c r="H1398" s="8">
        <v>80000</v>
      </c>
      <c r="I1398" s="213" t="b">
        <v>0</v>
      </c>
      <c r="J1398" s="213" t="b">
        <v>0</v>
      </c>
      <c r="K1398" s="213" t="b">
        <v>0</v>
      </c>
    </row>
    <row r="1399" spans="1:11" ht="38.25" hidden="1">
      <c r="A1399" s="6">
        <v>2012</v>
      </c>
      <c r="B1399" s="6" t="s">
        <v>5156</v>
      </c>
      <c r="C1399" s="112" t="s">
        <v>61</v>
      </c>
      <c r="D1399" s="6" t="s">
        <v>1763</v>
      </c>
      <c r="E1399" s="22"/>
      <c r="F1399" s="6" t="s">
        <v>5157</v>
      </c>
      <c r="G1399" s="6" t="s">
        <v>5158</v>
      </c>
      <c r="H1399" s="8">
        <v>28600</v>
      </c>
      <c r="I1399" s="213" t="b">
        <v>0</v>
      </c>
      <c r="J1399" s="213" t="b">
        <v>0</v>
      </c>
      <c r="K1399" s="213" t="b">
        <v>0</v>
      </c>
    </row>
    <row r="1400" spans="1:11" ht="25.5" hidden="1">
      <c r="A1400" s="6">
        <v>2012</v>
      </c>
      <c r="B1400" s="6" t="s">
        <v>5160</v>
      </c>
      <c r="C1400" s="112" t="s">
        <v>61</v>
      </c>
      <c r="D1400" s="6" t="s">
        <v>4993</v>
      </c>
      <c r="E1400" s="22"/>
      <c r="F1400" s="6" t="s">
        <v>5161</v>
      </c>
      <c r="G1400" s="6" t="s">
        <v>5162</v>
      </c>
      <c r="H1400" s="8">
        <v>60000</v>
      </c>
      <c r="I1400" s="213" t="b">
        <v>0</v>
      </c>
      <c r="J1400" s="213" t="b">
        <v>0</v>
      </c>
      <c r="K1400" s="213" t="b">
        <v>0</v>
      </c>
    </row>
    <row r="1401" spans="1:11" ht="25.5" hidden="1">
      <c r="A1401" s="6">
        <v>2012</v>
      </c>
      <c r="B1401" s="6" t="s">
        <v>5164</v>
      </c>
      <c r="C1401" s="112" t="s">
        <v>61</v>
      </c>
      <c r="D1401" s="6" t="s">
        <v>4993</v>
      </c>
      <c r="E1401" s="22"/>
      <c r="F1401" s="6" t="s">
        <v>5165</v>
      </c>
      <c r="G1401" s="6" t="s">
        <v>5166</v>
      </c>
      <c r="H1401" s="8">
        <v>80000</v>
      </c>
      <c r="I1401" s="213" t="b">
        <v>0</v>
      </c>
      <c r="J1401" s="213" t="b">
        <v>0</v>
      </c>
      <c r="K1401" s="213" t="b">
        <v>0</v>
      </c>
    </row>
    <row r="1402" spans="1:11" ht="25.5" hidden="1">
      <c r="A1402" s="6">
        <v>2012</v>
      </c>
      <c r="B1402" s="6" t="s">
        <v>5168</v>
      </c>
      <c r="C1402" s="112" t="s">
        <v>61</v>
      </c>
      <c r="D1402" s="6" t="s">
        <v>4993</v>
      </c>
      <c r="E1402" s="22"/>
      <c r="F1402" s="6" t="s">
        <v>5169</v>
      </c>
      <c r="G1402" s="6" t="s">
        <v>5170</v>
      </c>
      <c r="H1402" s="8">
        <v>80000</v>
      </c>
      <c r="I1402" s="213" t="b">
        <v>0</v>
      </c>
      <c r="J1402" s="213" t="b">
        <v>0</v>
      </c>
      <c r="K1402" s="213" t="b">
        <v>0</v>
      </c>
    </row>
    <row r="1403" spans="1:11" ht="25.5" hidden="1">
      <c r="A1403" s="6">
        <v>2012</v>
      </c>
      <c r="B1403" s="6" t="s">
        <v>5172</v>
      </c>
      <c r="C1403" s="112" t="s">
        <v>61</v>
      </c>
      <c r="D1403" s="6" t="s">
        <v>4993</v>
      </c>
      <c r="E1403" s="22"/>
      <c r="F1403" s="6" t="s">
        <v>3573</v>
      </c>
      <c r="G1403" s="6" t="s">
        <v>5173</v>
      </c>
      <c r="H1403" s="8">
        <v>80000</v>
      </c>
      <c r="I1403" s="213" t="b">
        <v>0</v>
      </c>
      <c r="J1403" s="213" t="b">
        <v>0</v>
      </c>
      <c r="K1403" s="213" t="b">
        <v>0</v>
      </c>
    </row>
    <row r="1404" spans="1:11" ht="25.5" hidden="1">
      <c r="A1404" s="6">
        <v>2012</v>
      </c>
      <c r="B1404" s="6" t="s">
        <v>5174</v>
      </c>
      <c r="C1404" s="112" t="s">
        <v>61</v>
      </c>
      <c r="D1404" s="6" t="s">
        <v>4993</v>
      </c>
      <c r="E1404" s="22"/>
      <c r="F1404" s="6" t="s">
        <v>5175</v>
      </c>
      <c r="G1404" s="6" t="s">
        <v>5176</v>
      </c>
      <c r="H1404" s="8">
        <v>80000</v>
      </c>
      <c r="I1404" s="213" t="b">
        <v>0</v>
      </c>
      <c r="J1404" s="213" t="b">
        <v>0</v>
      </c>
      <c r="K1404" s="213" t="b">
        <v>0</v>
      </c>
    </row>
    <row r="1405" spans="1:11" ht="38.25" hidden="1">
      <c r="A1405" s="6">
        <v>2012</v>
      </c>
      <c r="B1405" s="6" t="s">
        <v>5177</v>
      </c>
      <c r="C1405" s="112" t="s">
        <v>61</v>
      </c>
      <c r="D1405" s="6" t="s">
        <v>4993</v>
      </c>
      <c r="E1405" s="22"/>
      <c r="F1405" s="6" t="s">
        <v>5178</v>
      </c>
      <c r="G1405" s="6" t="s">
        <v>5179</v>
      </c>
      <c r="H1405" s="8">
        <v>80000</v>
      </c>
      <c r="I1405" s="213" t="b">
        <v>0</v>
      </c>
      <c r="J1405" s="213" t="b">
        <v>0</v>
      </c>
      <c r="K1405" s="213" t="b">
        <v>0</v>
      </c>
    </row>
    <row r="1406" spans="1:11" ht="38.25" hidden="1">
      <c r="A1406" s="6">
        <v>2012</v>
      </c>
      <c r="B1406" s="6" t="s">
        <v>5181</v>
      </c>
      <c r="C1406" s="112" t="s">
        <v>61</v>
      </c>
      <c r="D1406" s="6" t="s">
        <v>4993</v>
      </c>
      <c r="E1406" s="22"/>
      <c r="F1406" s="6" t="s">
        <v>5182</v>
      </c>
      <c r="G1406" s="6" t="s">
        <v>5183</v>
      </c>
      <c r="H1406" s="8">
        <v>80000</v>
      </c>
      <c r="I1406" s="213" t="b">
        <v>0</v>
      </c>
      <c r="J1406" s="213" t="b">
        <v>0</v>
      </c>
      <c r="K1406" s="213" t="b">
        <v>0</v>
      </c>
    </row>
    <row r="1407" spans="1:11" ht="51" hidden="1">
      <c r="A1407" s="6">
        <v>2012</v>
      </c>
      <c r="B1407" s="6" t="s">
        <v>5184</v>
      </c>
      <c r="C1407" s="112" t="s">
        <v>61</v>
      </c>
      <c r="D1407" s="6" t="s">
        <v>4993</v>
      </c>
      <c r="E1407" s="22"/>
      <c r="F1407" s="6" t="s">
        <v>5185</v>
      </c>
      <c r="G1407" s="6" t="s">
        <v>5186</v>
      </c>
      <c r="H1407" s="8">
        <v>80000</v>
      </c>
      <c r="I1407" s="213" t="b">
        <v>0</v>
      </c>
      <c r="J1407" s="213" t="b">
        <v>0</v>
      </c>
      <c r="K1407" s="213" t="b">
        <v>0</v>
      </c>
    </row>
    <row r="1408" spans="1:11" ht="38.25" hidden="1">
      <c r="A1408" s="6">
        <v>2012</v>
      </c>
      <c r="B1408" s="6" t="s">
        <v>5188</v>
      </c>
      <c r="C1408" s="112" t="s">
        <v>61</v>
      </c>
      <c r="D1408" s="6" t="s">
        <v>4993</v>
      </c>
      <c r="E1408" s="22"/>
      <c r="F1408" s="6" t="s">
        <v>5189</v>
      </c>
      <c r="G1408" s="6" t="s">
        <v>5190</v>
      </c>
      <c r="H1408" s="8">
        <v>80000</v>
      </c>
      <c r="I1408" s="213" t="b">
        <v>0</v>
      </c>
      <c r="J1408" s="213" t="b">
        <v>0</v>
      </c>
      <c r="K1408" s="213" t="b">
        <v>0</v>
      </c>
    </row>
    <row r="1409" spans="1:11" ht="25.5" hidden="1">
      <c r="A1409" s="6">
        <v>2012</v>
      </c>
      <c r="B1409" s="6" t="s">
        <v>5191</v>
      </c>
      <c r="C1409" s="112" t="s">
        <v>61</v>
      </c>
      <c r="D1409" s="6" t="s">
        <v>586</v>
      </c>
      <c r="E1409" s="22"/>
      <c r="F1409" s="6" t="s">
        <v>5192</v>
      </c>
      <c r="G1409" s="6" t="s">
        <v>5193</v>
      </c>
      <c r="H1409" s="8">
        <v>6100</v>
      </c>
      <c r="I1409" s="213" t="b">
        <v>0</v>
      </c>
      <c r="J1409" s="213" t="b">
        <v>0</v>
      </c>
      <c r="K1409" s="213" t="b">
        <v>0</v>
      </c>
    </row>
    <row r="1410" spans="1:11" ht="38.25" hidden="1">
      <c r="A1410" s="6">
        <v>2012</v>
      </c>
      <c r="B1410" s="6" t="s">
        <v>5195</v>
      </c>
      <c r="C1410" s="112" t="s">
        <v>61</v>
      </c>
      <c r="D1410" s="6" t="s">
        <v>4993</v>
      </c>
      <c r="E1410" s="22"/>
      <c r="F1410" s="6" t="s">
        <v>5196</v>
      </c>
      <c r="G1410" s="6" t="s">
        <v>5197</v>
      </c>
      <c r="H1410" s="8">
        <v>80000</v>
      </c>
      <c r="I1410" s="213" t="b">
        <v>0</v>
      </c>
      <c r="J1410" s="213" t="b">
        <v>0</v>
      </c>
      <c r="K1410" s="213" t="b">
        <v>0</v>
      </c>
    </row>
    <row r="1411" spans="1:11" ht="38.25" hidden="1">
      <c r="A1411" s="6">
        <v>2012</v>
      </c>
      <c r="B1411" s="6" t="s">
        <v>5199</v>
      </c>
      <c r="C1411" s="112" t="s">
        <v>61</v>
      </c>
      <c r="D1411" s="6" t="s">
        <v>4993</v>
      </c>
      <c r="E1411" s="22"/>
      <c r="F1411" s="6" t="s">
        <v>5200</v>
      </c>
      <c r="G1411" s="6" t="s">
        <v>5201</v>
      </c>
      <c r="H1411" s="8">
        <v>35000</v>
      </c>
      <c r="I1411" s="213" t="b">
        <v>0</v>
      </c>
      <c r="J1411" s="213" t="b">
        <v>0</v>
      </c>
      <c r="K1411" s="213" t="b">
        <v>0</v>
      </c>
    </row>
    <row r="1412" spans="1:11" ht="25.5" hidden="1">
      <c r="A1412" s="6">
        <v>2012</v>
      </c>
      <c r="B1412" s="6" t="s">
        <v>5203</v>
      </c>
      <c r="C1412" s="112" t="s">
        <v>61</v>
      </c>
      <c r="D1412" s="6" t="s">
        <v>394</v>
      </c>
      <c r="E1412" s="22"/>
      <c r="F1412" s="6" t="s">
        <v>5204</v>
      </c>
      <c r="G1412" s="6" t="s">
        <v>5205</v>
      </c>
      <c r="H1412" s="8">
        <v>32000</v>
      </c>
      <c r="I1412" s="213" t="b">
        <v>0</v>
      </c>
      <c r="J1412" s="213" t="b">
        <v>0</v>
      </c>
      <c r="K1412" s="213" t="b">
        <v>0</v>
      </c>
    </row>
    <row r="1413" spans="1:11" ht="51" hidden="1">
      <c r="A1413" s="6">
        <v>2012</v>
      </c>
      <c r="B1413" s="6" t="s">
        <v>5207</v>
      </c>
      <c r="C1413" s="112" t="s">
        <v>61</v>
      </c>
      <c r="D1413" s="6" t="s">
        <v>4993</v>
      </c>
      <c r="E1413" s="22"/>
      <c r="F1413" s="6" t="s">
        <v>5208</v>
      </c>
      <c r="G1413" s="6" t="s">
        <v>5209</v>
      </c>
      <c r="H1413" s="8">
        <v>80000</v>
      </c>
      <c r="I1413" s="213" t="b">
        <v>0</v>
      </c>
      <c r="J1413" s="213" t="b">
        <v>0</v>
      </c>
      <c r="K1413" s="213" t="b">
        <v>0</v>
      </c>
    </row>
    <row r="1414" spans="1:11" ht="38.25" hidden="1">
      <c r="A1414" s="6">
        <v>2012</v>
      </c>
      <c r="B1414" s="6" t="s">
        <v>5211</v>
      </c>
      <c r="C1414" s="112" t="s">
        <v>61</v>
      </c>
      <c r="D1414" s="6" t="s">
        <v>1141</v>
      </c>
      <c r="E1414" s="22"/>
      <c r="F1414" s="6" t="s">
        <v>5212</v>
      </c>
      <c r="G1414" s="6" t="s">
        <v>5213</v>
      </c>
      <c r="H1414" s="8">
        <v>81347.399999999994</v>
      </c>
      <c r="I1414" s="213" t="b">
        <v>0</v>
      </c>
      <c r="J1414" s="213" t="b">
        <v>0</v>
      </c>
      <c r="K1414" s="213" t="b">
        <v>0</v>
      </c>
    </row>
    <row r="1415" spans="1:11" ht="25.5" hidden="1">
      <c r="A1415" s="6">
        <v>2012</v>
      </c>
      <c r="B1415" s="6" t="s">
        <v>5218</v>
      </c>
      <c r="C1415" s="112" t="s">
        <v>61</v>
      </c>
      <c r="D1415" s="6" t="s">
        <v>1763</v>
      </c>
      <c r="E1415" s="22"/>
      <c r="F1415" s="6" t="s">
        <v>5219</v>
      </c>
      <c r="G1415" s="6" t="s">
        <v>5220</v>
      </c>
      <c r="H1415" s="8">
        <v>4500</v>
      </c>
      <c r="I1415" s="213" t="b">
        <v>0</v>
      </c>
      <c r="J1415" s="213" t="b">
        <v>0</v>
      </c>
      <c r="K1415" s="213" t="b">
        <v>0</v>
      </c>
    </row>
    <row r="1416" spans="1:11" ht="51" hidden="1">
      <c r="A1416" s="6">
        <v>2012</v>
      </c>
      <c r="B1416" s="6" t="s">
        <v>5222</v>
      </c>
      <c r="C1416" s="112" t="s">
        <v>61</v>
      </c>
      <c r="D1416" s="6" t="s">
        <v>4993</v>
      </c>
      <c r="E1416" s="22"/>
      <c r="F1416" s="6" t="s">
        <v>5223</v>
      </c>
      <c r="G1416" s="6" t="s">
        <v>5224</v>
      </c>
      <c r="H1416" s="8">
        <v>80000</v>
      </c>
      <c r="I1416" s="213" t="b">
        <v>0</v>
      </c>
      <c r="J1416" s="213" t="b">
        <v>0</v>
      </c>
      <c r="K1416" s="213" t="b">
        <v>0</v>
      </c>
    </row>
    <row r="1417" spans="1:11" ht="25.5" hidden="1">
      <c r="A1417" s="6">
        <v>2012</v>
      </c>
      <c r="B1417" s="6" t="s">
        <v>5226</v>
      </c>
      <c r="C1417" s="112" t="s">
        <v>61</v>
      </c>
      <c r="D1417" s="6" t="s">
        <v>1141</v>
      </c>
      <c r="E1417" s="22"/>
      <c r="F1417" s="6" t="s">
        <v>5227</v>
      </c>
      <c r="G1417" s="6" t="s">
        <v>5228</v>
      </c>
      <c r="H1417" s="8">
        <v>48060.02</v>
      </c>
      <c r="I1417" s="213" t="b">
        <v>0</v>
      </c>
      <c r="J1417" s="213" t="b">
        <v>0</v>
      </c>
      <c r="K1417" s="213" t="b">
        <v>0</v>
      </c>
    </row>
    <row r="1418" spans="1:11" ht="51" hidden="1">
      <c r="A1418" s="6">
        <v>2012</v>
      </c>
      <c r="B1418" s="6" t="s">
        <v>5229</v>
      </c>
      <c r="C1418" s="112" t="s">
        <v>61</v>
      </c>
      <c r="D1418" s="6" t="s">
        <v>4993</v>
      </c>
      <c r="E1418" s="22"/>
      <c r="F1418" s="6" t="s">
        <v>5230</v>
      </c>
      <c r="G1418" s="6" t="s">
        <v>5231</v>
      </c>
      <c r="H1418" s="8">
        <v>80000</v>
      </c>
      <c r="I1418" s="213" t="b">
        <v>0</v>
      </c>
      <c r="J1418" s="213" t="b">
        <v>0</v>
      </c>
      <c r="K1418" s="213" t="b">
        <v>0</v>
      </c>
    </row>
    <row r="1419" spans="1:11" ht="51" hidden="1">
      <c r="A1419" s="6">
        <v>2012</v>
      </c>
      <c r="B1419" s="6" t="s">
        <v>5232</v>
      </c>
      <c r="C1419" s="112" t="s">
        <v>61</v>
      </c>
      <c r="D1419" s="6" t="s">
        <v>4993</v>
      </c>
      <c r="E1419" s="22"/>
      <c r="F1419" s="6" t="s">
        <v>5233</v>
      </c>
      <c r="G1419" s="6" t="s">
        <v>5234</v>
      </c>
      <c r="H1419" s="8">
        <v>80000</v>
      </c>
      <c r="I1419" s="213" t="b">
        <v>0</v>
      </c>
      <c r="J1419" s="213" t="b">
        <v>0</v>
      </c>
      <c r="K1419" s="213" t="b">
        <v>0</v>
      </c>
    </row>
    <row r="1420" spans="1:11" ht="76.5" hidden="1">
      <c r="A1420" s="6">
        <v>2012</v>
      </c>
      <c r="B1420" s="6" t="s">
        <v>5236</v>
      </c>
      <c r="C1420" s="112" t="s">
        <v>61</v>
      </c>
      <c r="D1420" s="6" t="s">
        <v>113</v>
      </c>
      <c r="E1420" s="22"/>
      <c r="F1420" s="6" t="s">
        <v>5237</v>
      </c>
      <c r="G1420" s="6" t="s">
        <v>5238</v>
      </c>
      <c r="H1420" s="8">
        <v>47000</v>
      </c>
      <c r="I1420" s="213" t="b">
        <v>0</v>
      </c>
      <c r="J1420" s="213" t="b">
        <v>0</v>
      </c>
      <c r="K1420" s="213" t="b">
        <v>0</v>
      </c>
    </row>
    <row r="1421" spans="1:11" ht="63.75" hidden="1">
      <c r="A1421" s="6">
        <v>2012</v>
      </c>
      <c r="B1421" s="6" t="s">
        <v>5239</v>
      </c>
      <c r="C1421" s="112" t="s">
        <v>61</v>
      </c>
      <c r="D1421" s="6" t="s">
        <v>4993</v>
      </c>
      <c r="E1421" s="22"/>
      <c r="F1421" s="6" t="s">
        <v>5240</v>
      </c>
      <c r="G1421" s="6" t="s">
        <v>5241</v>
      </c>
      <c r="H1421" s="8">
        <v>80000</v>
      </c>
      <c r="I1421" s="213" t="b">
        <v>0</v>
      </c>
      <c r="J1421" s="213" t="b">
        <v>0</v>
      </c>
      <c r="K1421" s="213" t="b">
        <v>0</v>
      </c>
    </row>
    <row r="1422" spans="1:11" ht="25.5" hidden="1">
      <c r="A1422" s="6">
        <v>2012</v>
      </c>
      <c r="B1422" s="6" t="s">
        <v>5243</v>
      </c>
      <c r="C1422" s="112" t="s">
        <v>61</v>
      </c>
      <c r="D1422" s="6" t="s">
        <v>4993</v>
      </c>
      <c r="E1422" s="22"/>
      <c r="F1422" s="6" t="s">
        <v>5244</v>
      </c>
      <c r="G1422" s="6" t="s">
        <v>5245</v>
      </c>
      <c r="H1422" s="8">
        <v>20300</v>
      </c>
      <c r="I1422" s="213" t="b">
        <v>0</v>
      </c>
      <c r="J1422" s="213" t="b">
        <v>0</v>
      </c>
      <c r="K1422" s="213" t="b">
        <v>0</v>
      </c>
    </row>
    <row r="1423" spans="1:11" ht="76.5" hidden="1">
      <c r="A1423" s="6">
        <v>2012</v>
      </c>
      <c r="B1423" s="6" t="s">
        <v>5247</v>
      </c>
      <c r="C1423" s="112" t="s">
        <v>61</v>
      </c>
      <c r="D1423" s="6" t="s">
        <v>1141</v>
      </c>
      <c r="E1423" s="22"/>
      <c r="F1423" s="6" t="s">
        <v>5248</v>
      </c>
      <c r="G1423" s="6" t="s">
        <v>5249</v>
      </c>
      <c r="H1423" s="8">
        <v>120855</v>
      </c>
      <c r="I1423" s="213" t="b">
        <v>0</v>
      </c>
      <c r="J1423" s="213" t="b">
        <v>0</v>
      </c>
      <c r="K1423" s="213" t="b">
        <v>0</v>
      </c>
    </row>
    <row r="1424" spans="1:11" ht="51" hidden="1">
      <c r="A1424" s="6">
        <v>2012</v>
      </c>
      <c r="B1424" s="6" t="s">
        <v>5251</v>
      </c>
      <c r="C1424" s="112" t="s">
        <v>61</v>
      </c>
      <c r="D1424" s="6" t="s">
        <v>4993</v>
      </c>
      <c r="E1424" s="22"/>
      <c r="F1424" s="6" t="s">
        <v>5252</v>
      </c>
      <c r="G1424" s="6" t="s">
        <v>5253</v>
      </c>
      <c r="H1424" s="8">
        <v>36000</v>
      </c>
      <c r="I1424" s="213" t="b">
        <v>0</v>
      </c>
      <c r="J1424" s="213" t="b">
        <v>0</v>
      </c>
      <c r="K1424" s="213" t="b">
        <v>0</v>
      </c>
    </row>
    <row r="1425" spans="1:11" ht="38.25" hidden="1">
      <c r="A1425" s="6">
        <v>2012</v>
      </c>
      <c r="B1425" s="6" t="s">
        <v>5255</v>
      </c>
      <c r="C1425" s="112" t="s">
        <v>61</v>
      </c>
      <c r="D1425" s="6" t="s">
        <v>1763</v>
      </c>
      <c r="E1425" s="22"/>
      <c r="F1425" s="6" t="s">
        <v>5256</v>
      </c>
      <c r="G1425" s="6" t="s">
        <v>5257</v>
      </c>
      <c r="H1425" s="8">
        <v>7650</v>
      </c>
      <c r="I1425" s="213" t="b">
        <v>0</v>
      </c>
      <c r="J1425" s="213" t="b">
        <v>0</v>
      </c>
      <c r="K1425" s="213" t="b">
        <v>0</v>
      </c>
    </row>
    <row r="1426" spans="1:11" ht="51" hidden="1">
      <c r="A1426" s="6">
        <v>2012</v>
      </c>
      <c r="B1426" s="6" t="s">
        <v>5259</v>
      </c>
      <c r="C1426" s="112" t="s">
        <v>61</v>
      </c>
      <c r="D1426" s="6" t="s">
        <v>4787</v>
      </c>
      <c r="E1426" s="22"/>
      <c r="F1426" s="6" t="s">
        <v>5260</v>
      </c>
      <c r="G1426" s="6" t="s">
        <v>5261</v>
      </c>
      <c r="H1426" s="8">
        <v>55000</v>
      </c>
      <c r="I1426" s="213" t="b">
        <v>0</v>
      </c>
      <c r="J1426" s="213" t="b">
        <v>0</v>
      </c>
      <c r="K1426" s="213" t="b">
        <v>0</v>
      </c>
    </row>
    <row r="1427" spans="1:11" ht="25.5" hidden="1">
      <c r="A1427" s="6">
        <v>2012</v>
      </c>
      <c r="B1427" s="6" t="s">
        <v>5262</v>
      </c>
      <c r="C1427" s="112" t="s">
        <v>61</v>
      </c>
      <c r="D1427" s="6" t="s">
        <v>1763</v>
      </c>
      <c r="E1427" s="22"/>
      <c r="F1427" s="6" t="s">
        <v>5263</v>
      </c>
      <c r="G1427" s="6" t="s">
        <v>5264</v>
      </c>
      <c r="H1427" s="8">
        <v>8400</v>
      </c>
      <c r="I1427" s="213" t="b">
        <v>0</v>
      </c>
      <c r="J1427" s="213" t="b">
        <v>0</v>
      </c>
      <c r="K1427" s="213" t="b">
        <v>0</v>
      </c>
    </row>
    <row r="1428" spans="1:11" ht="51">
      <c r="A1428" s="6">
        <v>2012</v>
      </c>
      <c r="B1428" s="6" t="s">
        <v>5266</v>
      </c>
      <c r="C1428" s="112" t="s">
        <v>61</v>
      </c>
      <c r="D1428" s="6" t="s">
        <v>62</v>
      </c>
      <c r="E1428" s="22"/>
      <c r="F1428" s="6" t="s">
        <v>5267</v>
      </c>
      <c r="G1428" s="6" t="s">
        <v>5268</v>
      </c>
      <c r="H1428" s="8">
        <v>612375.27</v>
      </c>
      <c r="I1428" s="213" t="b">
        <v>0</v>
      </c>
      <c r="J1428" s="213"/>
      <c r="K1428" s="213"/>
    </row>
    <row r="1429" spans="1:11" ht="38.25">
      <c r="A1429" s="262">
        <v>2016</v>
      </c>
      <c r="B1429" s="6" t="s">
        <v>22</v>
      </c>
      <c r="C1429" s="112" t="s">
        <v>23</v>
      </c>
      <c r="D1429" s="6" t="s">
        <v>24</v>
      </c>
      <c r="E1429" s="22"/>
      <c r="F1429" s="263" t="s">
        <v>369</v>
      </c>
      <c r="G1429" s="264" t="s">
        <v>5397</v>
      </c>
      <c r="H1429" s="265">
        <v>4736242.4000000004</v>
      </c>
      <c r="I1429" s="213" t="b">
        <v>0</v>
      </c>
      <c r="J1429" s="213"/>
      <c r="K1429" s="213"/>
    </row>
    <row r="1430" spans="1:11" ht="51" hidden="1">
      <c r="A1430" s="6">
        <v>2012</v>
      </c>
      <c r="B1430" s="6" t="s">
        <v>5271</v>
      </c>
      <c r="C1430" s="112" t="s">
        <v>61</v>
      </c>
      <c r="D1430" s="6" t="s">
        <v>5031</v>
      </c>
      <c r="E1430" s="22"/>
      <c r="F1430" s="6" t="s">
        <v>5272</v>
      </c>
      <c r="G1430" s="6" t="s">
        <v>5273</v>
      </c>
      <c r="H1430" s="8">
        <v>45000</v>
      </c>
      <c r="I1430" s="213" t="b">
        <v>0</v>
      </c>
      <c r="J1430" s="213" t="b">
        <v>0</v>
      </c>
      <c r="K1430" s="213" t="b">
        <v>0</v>
      </c>
    </row>
    <row r="1431" spans="1:11" ht="38.25" hidden="1">
      <c r="A1431" s="6">
        <v>2012</v>
      </c>
      <c r="B1431" s="6" t="s">
        <v>5274</v>
      </c>
      <c r="C1431" s="112" t="s">
        <v>61</v>
      </c>
      <c r="D1431" s="6" t="s">
        <v>5031</v>
      </c>
      <c r="E1431" s="22"/>
      <c r="F1431" s="6" t="s">
        <v>5275</v>
      </c>
      <c r="G1431" s="6" t="s">
        <v>5276</v>
      </c>
      <c r="H1431" s="8">
        <v>50000</v>
      </c>
      <c r="I1431" s="213" t="b">
        <v>0</v>
      </c>
      <c r="J1431" s="213" t="b">
        <v>0</v>
      </c>
      <c r="K1431" s="213" t="b">
        <v>0</v>
      </c>
    </row>
    <row r="1432" spans="1:11" ht="25.5" hidden="1">
      <c r="A1432" s="6">
        <v>2012</v>
      </c>
      <c r="B1432" s="6" t="s">
        <v>5278</v>
      </c>
      <c r="C1432" s="112" t="s">
        <v>61</v>
      </c>
      <c r="D1432" s="6" t="s">
        <v>5031</v>
      </c>
      <c r="E1432" s="22"/>
      <c r="F1432" s="6" t="s">
        <v>5279</v>
      </c>
      <c r="G1432" s="6" t="s">
        <v>5280</v>
      </c>
      <c r="H1432" s="8">
        <v>30000</v>
      </c>
      <c r="I1432" s="213" t="b">
        <v>0</v>
      </c>
      <c r="J1432" s="213" t="b">
        <v>0</v>
      </c>
      <c r="K1432" s="213" t="b">
        <v>0</v>
      </c>
    </row>
    <row r="1433" spans="1:11" ht="51" hidden="1">
      <c r="A1433" s="6">
        <v>2012</v>
      </c>
      <c r="B1433" s="6" t="s">
        <v>5286</v>
      </c>
      <c r="C1433" s="112" t="s">
        <v>61</v>
      </c>
      <c r="D1433" s="6" t="s">
        <v>4787</v>
      </c>
      <c r="E1433" s="22"/>
      <c r="F1433" s="6" t="s">
        <v>5287</v>
      </c>
      <c r="G1433" s="6" t="s">
        <v>5288</v>
      </c>
      <c r="H1433" s="8">
        <v>214200</v>
      </c>
      <c r="I1433" s="213" t="b">
        <v>0</v>
      </c>
      <c r="J1433" s="213" t="b">
        <v>0</v>
      </c>
      <c r="K1433" s="213" t="b">
        <v>0</v>
      </c>
    </row>
    <row r="1434" spans="1:11" ht="38.25" hidden="1">
      <c r="A1434" s="6">
        <v>2012</v>
      </c>
      <c r="B1434" s="6" t="s">
        <v>5289</v>
      </c>
      <c r="C1434" s="112" t="s">
        <v>61</v>
      </c>
      <c r="D1434" s="6" t="s">
        <v>1763</v>
      </c>
      <c r="E1434" s="22"/>
      <c r="F1434" s="6" t="s">
        <v>5290</v>
      </c>
      <c r="G1434" s="6" t="s">
        <v>5291</v>
      </c>
      <c r="H1434" s="8">
        <v>7650</v>
      </c>
      <c r="I1434" s="213" t="b">
        <v>0</v>
      </c>
      <c r="J1434" s="213" t="b">
        <v>0</v>
      </c>
      <c r="K1434" s="213" t="b">
        <v>0</v>
      </c>
    </row>
    <row r="1435" spans="1:11" ht="38.25" hidden="1">
      <c r="A1435" s="6">
        <v>2012</v>
      </c>
      <c r="B1435" s="6" t="s">
        <v>5293</v>
      </c>
      <c r="C1435" s="112" t="s">
        <v>61</v>
      </c>
      <c r="D1435" s="6" t="s">
        <v>5031</v>
      </c>
      <c r="E1435" s="22"/>
      <c r="F1435" s="6" t="s">
        <v>5294</v>
      </c>
      <c r="G1435" s="6" t="s">
        <v>5295</v>
      </c>
      <c r="H1435" s="8">
        <v>34000</v>
      </c>
      <c r="I1435" s="213" t="b">
        <v>0</v>
      </c>
      <c r="J1435" s="213" t="b">
        <v>0</v>
      </c>
      <c r="K1435" s="213" t="b">
        <v>0</v>
      </c>
    </row>
    <row r="1436" spans="1:11" ht="38.25" hidden="1">
      <c r="A1436" s="6">
        <v>2012</v>
      </c>
      <c r="B1436" s="6" t="s">
        <v>5297</v>
      </c>
      <c r="C1436" s="112" t="s">
        <v>61</v>
      </c>
      <c r="D1436" s="6" t="s">
        <v>394</v>
      </c>
      <c r="E1436" s="22"/>
      <c r="F1436" s="6" t="s">
        <v>4324</v>
      </c>
      <c r="G1436" s="6" t="s">
        <v>5298</v>
      </c>
      <c r="H1436" s="8">
        <v>46800</v>
      </c>
      <c r="I1436" s="213" t="b">
        <v>0</v>
      </c>
      <c r="J1436" s="213" t="b">
        <v>0</v>
      </c>
      <c r="K1436" s="213" t="b">
        <v>0</v>
      </c>
    </row>
    <row r="1437" spans="1:11" ht="51" hidden="1">
      <c r="A1437" s="6">
        <v>2012</v>
      </c>
      <c r="B1437" s="6" t="s">
        <v>5301</v>
      </c>
      <c r="C1437" s="112" t="s">
        <v>61</v>
      </c>
      <c r="D1437" s="6" t="s">
        <v>113</v>
      </c>
      <c r="E1437" s="22"/>
      <c r="F1437" s="6" t="s">
        <v>5302</v>
      </c>
      <c r="G1437" s="6" t="s">
        <v>2331</v>
      </c>
      <c r="H1437" s="8">
        <v>98080</v>
      </c>
      <c r="I1437" s="213" t="b">
        <v>0</v>
      </c>
      <c r="J1437" s="213" t="b">
        <v>0</v>
      </c>
      <c r="K1437" s="213" t="b">
        <v>0</v>
      </c>
    </row>
    <row r="1438" spans="1:11" ht="63.75" hidden="1">
      <c r="A1438" s="6">
        <v>2012</v>
      </c>
      <c r="B1438" s="6" t="s">
        <v>5011</v>
      </c>
      <c r="C1438" s="112" t="s">
        <v>61</v>
      </c>
      <c r="D1438" s="6" t="s">
        <v>1383</v>
      </c>
      <c r="E1438" s="22"/>
      <c r="F1438" s="6" t="s">
        <v>5012</v>
      </c>
      <c r="G1438" s="6" t="s">
        <v>3333</v>
      </c>
      <c r="H1438" s="8">
        <v>400000</v>
      </c>
      <c r="I1438" s="213" t="b">
        <v>0</v>
      </c>
      <c r="J1438" s="213" t="b">
        <v>0</v>
      </c>
      <c r="K1438" s="213" t="b">
        <v>0</v>
      </c>
    </row>
    <row r="1439" spans="1:11" ht="25.5" hidden="1">
      <c r="A1439" s="6">
        <v>2012</v>
      </c>
      <c r="B1439" s="6" t="s">
        <v>5028</v>
      </c>
      <c r="C1439" s="112" t="s">
        <v>61</v>
      </c>
      <c r="D1439" s="6" t="s">
        <v>1383</v>
      </c>
      <c r="E1439" s="22"/>
      <c r="F1439" s="6" t="s">
        <v>5029</v>
      </c>
      <c r="G1439" s="6" t="s">
        <v>1389</v>
      </c>
      <c r="H1439" s="8">
        <v>714600</v>
      </c>
      <c r="I1439" s="213" t="b">
        <v>0</v>
      </c>
      <c r="J1439" s="213" t="b">
        <v>0</v>
      </c>
      <c r="K1439" s="213" t="b">
        <v>0</v>
      </c>
    </row>
    <row r="1440" spans="1:11" ht="51" hidden="1">
      <c r="A1440" s="6">
        <v>2012</v>
      </c>
      <c r="B1440" s="6" t="s">
        <v>5035</v>
      </c>
      <c r="C1440" s="112" t="s">
        <v>61</v>
      </c>
      <c r="D1440" s="6" t="s">
        <v>1383</v>
      </c>
      <c r="E1440" s="22"/>
      <c r="F1440" s="6" t="s">
        <v>5036</v>
      </c>
      <c r="G1440" s="6" t="s">
        <v>5037</v>
      </c>
      <c r="H1440" s="8">
        <v>200000</v>
      </c>
      <c r="I1440" s="213" t="b">
        <v>0</v>
      </c>
      <c r="J1440" s="213" t="b">
        <v>0</v>
      </c>
      <c r="K1440" s="213" t="b">
        <v>0</v>
      </c>
    </row>
    <row r="1441" spans="1:11" ht="25.5" hidden="1">
      <c r="A1441" s="6">
        <v>2012</v>
      </c>
      <c r="B1441" s="6" t="s">
        <v>5038</v>
      </c>
      <c r="C1441" s="112" t="s">
        <v>61</v>
      </c>
      <c r="D1441" s="6" t="s">
        <v>1383</v>
      </c>
      <c r="E1441" s="22"/>
      <c r="F1441" s="6" t="s">
        <v>5039</v>
      </c>
      <c r="G1441" s="6" t="s">
        <v>5040</v>
      </c>
      <c r="H1441" s="8">
        <v>520000</v>
      </c>
      <c r="I1441" s="213" t="b">
        <v>0</v>
      </c>
      <c r="J1441" s="213" t="b">
        <v>0</v>
      </c>
      <c r="K1441" s="213" t="b">
        <v>0</v>
      </c>
    </row>
    <row r="1442" spans="1:11" ht="38.25" hidden="1">
      <c r="A1442" s="6">
        <v>2012</v>
      </c>
      <c r="B1442" s="6" t="s">
        <v>5100</v>
      </c>
      <c r="C1442" s="112" t="s">
        <v>61</v>
      </c>
      <c r="D1442" s="6" t="s">
        <v>1383</v>
      </c>
      <c r="E1442" s="22"/>
      <c r="F1442" s="6" t="s">
        <v>5101</v>
      </c>
      <c r="G1442" s="6" t="s">
        <v>5102</v>
      </c>
      <c r="H1442" s="8">
        <v>142329.60000000001</v>
      </c>
      <c r="I1442" s="213" t="b">
        <v>0</v>
      </c>
      <c r="J1442" s="213" t="b">
        <v>0</v>
      </c>
      <c r="K1442" s="213" t="b">
        <v>0</v>
      </c>
    </row>
    <row r="1443" spans="1:11" ht="25.5" hidden="1">
      <c r="A1443" s="6">
        <v>2012</v>
      </c>
      <c r="B1443" s="6" t="s">
        <v>5215</v>
      </c>
      <c r="C1443" s="112" t="s">
        <v>61</v>
      </c>
      <c r="D1443" s="6" t="s">
        <v>1383</v>
      </c>
      <c r="E1443" s="22"/>
      <c r="F1443" s="6" t="s">
        <v>5216</v>
      </c>
      <c r="G1443" s="6" t="s">
        <v>4834</v>
      </c>
      <c r="H1443" s="8">
        <v>8016.6</v>
      </c>
      <c r="I1443" s="213" t="b">
        <v>0</v>
      </c>
      <c r="J1443" s="213" t="b">
        <v>0</v>
      </c>
      <c r="K1443" s="213" t="b">
        <v>0</v>
      </c>
    </row>
    <row r="1444" spans="1:11" ht="38.25" hidden="1">
      <c r="A1444" s="6">
        <v>2012</v>
      </c>
      <c r="B1444" s="6" t="s">
        <v>5282</v>
      </c>
      <c r="C1444" s="112" t="s">
        <v>61</v>
      </c>
      <c r="D1444" s="6" t="s">
        <v>1383</v>
      </c>
      <c r="E1444" s="22"/>
      <c r="F1444" s="6" t="s">
        <v>5283</v>
      </c>
      <c r="G1444" s="6" t="s">
        <v>5284</v>
      </c>
      <c r="H1444" s="8">
        <v>50000</v>
      </c>
      <c r="I1444" s="213" t="b">
        <v>0</v>
      </c>
      <c r="J1444" s="213" t="b">
        <v>0</v>
      </c>
      <c r="K1444" s="213" t="b">
        <v>0</v>
      </c>
    </row>
    <row r="1445" spans="1:11" ht="38.25" hidden="1">
      <c r="A1445" s="6">
        <v>2012</v>
      </c>
      <c r="B1445" s="6" t="s">
        <v>5303</v>
      </c>
      <c r="C1445" s="112" t="s">
        <v>61</v>
      </c>
      <c r="D1445" s="6" t="s">
        <v>1383</v>
      </c>
      <c r="E1445" s="22"/>
      <c r="F1445" s="6" t="s">
        <v>5304</v>
      </c>
      <c r="G1445" s="6" t="s">
        <v>4469</v>
      </c>
      <c r="H1445" s="8">
        <v>50000</v>
      </c>
      <c r="I1445" s="213" t="b">
        <v>0</v>
      </c>
      <c r="J1445" s="213" t="b">
        <v>0</v>
      </c>
      <c r="K1445" s="213" t="b">
        <v>0</v>
      </c>
    </row>
    <row r="1446" spans="1:11" ht="25.5" hidden="1">
      <c r="A1446" s="27"/>
      <c r="B1446" s="27" t="s">
        <v>5623</v>
      </c>
      <c r="C1446" s="10" t="s">
        <v>61</v>
      </c>
      <c r="D1446" s="9" t="s">
        <v>1862</v>
      </c>
      <c r="E1446" s="12">
        <v>45275</v>
      </c>
      <c r="F1446" s="6" t="s">
        <v>5624</v>
      </c>
      <c r="G1446" s="210" t="s">
        <v>575</v>
      </c>
      <c r="H1446" s="30"/>
      <c r="I1446" s="213" t="b">
        <v>0</v>
      </c>
      <c r="J1446" s="213" t="b">
        <v>0</v>
      </c>
      <c r="K1446" s="213" t="b">
        <v>0</v>
      </c>
    </row>
    <row r="1447" spans="1:11" ht="42.75" hidden="1">
      <c r="A1447" s="27"/>
      <c r="B1447" s="27" t="s">
        <v>5625</v>
      </c>
      <c r="C1447" s="10" t="s">
        <v>2406</v>
      </c>
      <c r="D1447" s="9" t="s">
        <v>62</v>
      </c>
      <c r="E1447" s="12">
        <v>45275</v>
      </c>
      <c r="F1447" s="248" t="s">
        <v>5626</v>
      </c>
      <c r="G1447" s="210" t="s">
        <v>1071</v>
      </c>
      <c r="H1447" s="30"/>
      <c r="I1447" s="213" t="b">
        <v>0</v>
      </c>
      <c r="J1447" s="213" t="b">
        <v>0</v>
      </c>
      <c r="K1447" s="213" t="b">
        <v>0</v>
      </c>
    </row>
    <row r="1448" spans="1:11" ht="38.25">
      <c r="A1448" s="266">
        <v>2016</v>
      </c>
      <c r="B1448" s="5" t="s">
        <v>22</v>
      </c>
      <c r="C1448" s="112" t="s">
        <v>23</v>
      </c>
      <c r="D1448" s="6" t="s">
        <v>24</v>
      </c>
      <c r="E1448" s="12"/>
      <c r="F1448" s="263" t="s">
        <v>5398</v>
      </c>
      <c r="G1448" s="264" t="s">
        <v>5399</v>
      </c>
      <c r="H1448" s="265">
        <v>4997635.2</v>
      </c>
      <c r="I1448" s="213" t="b">
        <v>0</v>
      </c>
      <c r="J1448" s="213"/>
      <c r="K1448" s="213"/>
    </row>
    <row r="1449" spans="1:11" ht="38.25">
      <c r="A1449" s="266">
        <v>2016</v>
      </c>
      <c r="B1449" s="6" t="s">
        <v>22</v>
      </c>
      <c r="C1449" s="112" t="s">
        <v>23</v>
      </c>
      <c r="D1449" s="6" t="s">
        <v>24</v>
      </c>
      <c r="E1449" s="12"/>
      <c r="F1449" s="263" t="s">
        <v>5400</v>
      </c>
      <c r="G1449" s="264" t="s">
        <v>5401</v>
      </c>
      <c r="H1449" s="265">
        <v>883795</v>
      </c>
      <c r="I1449" s="213" t="b">
        <v>0</v>
      </c>
      <c r="J1449" s="213"/>
      <c r="K1449" s="213"/>
    </row>
    <row r="1450" spans="1:11" ht="38.25">
      <c r="A1450" s="266">
        <v>2016</v>
      </c>
      <c r="B1450" s="5" t="s">
        <v>22</v>
      </c>
      <c r="C1450" s="112" t="s">
        <v>23</v>
      </c>
      <c r="D1450" s="6" t="s">
        <v>24</v>
      </c>
      <c r="E1450" s="12"/>
      <c r="F1450" s="263" t="s">
        <v>5402</v>
      </c>
      <c r="G1450" s="264" t="s">
        <v>5403</v>
      </c>
      <c r="H1450" s="265">
        <v>7150358</v>
      </c>
      <c r="I1450" s="213" t="b">
        <v>0</v>
      </c>
      <c r="J1450" s="213"/>
      <c r="K1450" s="213"/>
    </row>
    <row r="1451" spans="1:11" ht="25.5">
      <c r="A1451" s="266">
        <v>2016</v>
      </c>
      <c r="B1451" s="6" t="s">
        <v>22</v>
      </c>
      <c r="C1451" s="112" t="s">
        <v>23</v>
      </c>
      <c r="D1451" s="6" t="s">
        <v>24</v>
      </c>
      <c r="E1451" s="12"/>
      <c r="F1451" s="263" t="s">
        <v>5404</v>
      </c>
      <c r="G1451" s="264" t="s">
        <v>5405</v>
      </c>
      <c r="H1451" s="265">
        <v>5227604.8</v>
      </c>
      <c r="I1451" s="213" t="b">
        <v>0</v>
      </c>
      <c r="J1451" s="213"/>
      <c r="K1451" s="213"/>
    </row>
    <row r="1452" spans="1:11" ht="25.5">
      <c r="A1452" s="266">
        <v>2016</v>
      </c>
      <c r="B1452" s="5" t="s">
        <v>22</v>
      </c>
      <c r="C1452" s="112" t="s">
        <v>23</v>
      </c>
      <c r="D1452" s="6" t="s">
        <v>24</v>
      </c>
      <c r="E1452" s="12"/>
      <c r="F1452" s="263" t="s">
        <v>5406</v>
      </c>
      <c r="G1452" s="264" t="s">
        <v>5407</v>
      </c>
      <c r="H1452" s="265">
        <v>1590275.2</v>
      </c>
      <c r="I1452" s="213" t="b">
        <v>0</v>
      </c>
      <c r="J1452" s="213"/>
      <c r="K1452" s="213"/>
    </row>
    <row r="1453" spans="1:11" ht="51">
      <c r="A1453" s="266">
        <v>2017</v>
      </c>
      <c r="B1453" s="6" t="s">
        <v>22</v>
      </c>
      <c r="C1453" s="112" t="s">
        <v>23</v>
      </c>
      <c r="D1453" s="6" t="s">
        <v>24</v>
      </c>
      <c r="E1453" s="12"/>
      <c r="F1453" s="263" t="s">
        <v>363</v>
      </c>
      <c r="G1453" s="264" t="s">
        <v>5374</v>
      </c>
      <c r="H1453" s="265">
        <v>4294326.4000000004</v>
      </c>
      <c r="I1453" s="213" t="b">
        <v>0</v>
      </c>
      <c r="J1453" s="213"/>
      <c r="K1453" s="213"/>
    </row>
    <row r="1454" spans="1:11" ht="63.75">
      <c r="A1454" s="266">
        <v>2017</v>
      </c>
      <c r="B1454" s="5" t="s">
        <v>22</v>
      </c>
      <c r="C1454" s="112" t="s">
        <v>23</v>
      </c>
      <c r="D1454" s="6" t="s">
        <v>24</v>
      </c>
      <c r="E1454" s="12"/>
      <c r="F1454" s="263" t="s">
        <v>5375</v>
      </c>
      <c r="G1454" s="264" t="s">
        <v>5376</v>
      </c>
      <c r="H1454" s="265">
        <v>4129210.4</v>
      </c>
      <c r="I1454" s="213" t="b">
        <v>0</v>
      </c>
      <c r="J1454" s="213"/>
      <c r="K1454" s="213"/>
    </row>
    <row r="1455" spans="1:11" ht="38.25">
      <c r="A1455" s="266">
        <v>2017</v>
      </c>
      <c r="B1455" s="6" t="s">
        <v>22</v>
      </c>
      <c r="C1455" s="112" t="s">
        <v>23</v>
      </c>
      <c r="D1455" s="6" t="s">
        <v>24</v>
      </c>
      <c r="E1455" s="12"/>
      <c r="F1455" s="263" t="s">
        <v>5377</v>
      </c>
      <c r="G1455" s="264" t="s">
        <v>5378</v>
      </c>
      <c r="H1455" s="265">
        <v>5626645.2000000002</v>
      </c>
      <c r="I1455" s="213" t="b">
        <v>0</v>
      </c>
      <c r="J1455" s="213"/>
      <c r="K1455" s="213"/>
    </row>
    <row r="1456" spans="1:11" ht="38.25">
      <c r="A1456" s="266">
        <v>2017</v>
      </c>
      <c r="B1456" s="5" t="s">
        <v>22</v>
      </c>
      <c r="C1456" s="112" t="s">
        <v>23</v>
      </c>
      <c r="D1456" s="6" t="s">
        <v>24</v>
      </c>
      <c r="E1456" s="12"/>
      <c r="F1456" s="263" t="s">
        <v>5379</v>
      </c>
      <c r="G1456" s="264" t="s">
        <v>5380</v>
      </c>
      <c r="H1456" s="265">
        <v>11829572</v>
      </c>
      <c r="I1456" s="213" t="b">
        <v>0</v>
      </c>
      <c r="J1456" s="213"/>
      <c r="K1456" s="213"/>
    </row>
    <row r="1457" spans="1:11" ht="51">
      <c r="A1457" s="266">
        <v>2017</v>
      </c>
      <c r="B1457" s="6" t="s">
        <v>22</v>
      </c>
      <c r="C1457" s="112" t="s">
        <v>23</v>
      </c>
      <c r="D1457" s="6" t="s">
        <v>24</v>
      </c>
      <c r="E1457" s="12"/>
      <c r="F1457" s="263" t="s">
        <v>5381</v>
      </c>
      <c r="G1457" s="264" t="s">
        <v>5367</v>
      </c>
      <c r="H1457" s="265">
        <v>2592886.4</v>
      </c>
      <c r="I1457" s="213" t="b">
        <v>0</v>
      </c>
      <c r="J1457" s="213"/>
      <c r="K1457" s="213"/>
    </row>
    <row r="1458" spans="1:11" ht="38.25">
      <c r="A1458" s="266">
        <v>2017</v>
      </c>
      <c r="B1458" s="5" t="s">
        <v>22</v>
      </c>
      <c r="C1458" s="112" t="s">
        <v>23</v>
      </c>
      <c r="D1458" s="6" t="s">
        <v>24</v>
      </c>
      <c r="E1458" s="12"/>
      <c r="F1458" s="263" t="s">
        <v>5382</v>
      </c>
      <c r="G1458" s="264" t="s">
        <v>5383</v>
      </c>
      <c r="H1458" s="265">
        <v>2500000</v>
      </c>
      <c r="I1458" s="213" t="b">
        <v>0</v>
      </c>
      <c r="J1458" s="213"/>
      <c r="K1458" s="213"/>
    </row>
    <row r="1459" spans="1:11" ht="38.25">
      <c r="A1459" s="266">
        <v>2017</v>
      </c>
      <c r="B1459" s="6" t="s">
        <v>22</v>
      </c>
      <c r="C1459" s="112" t="s">
        <v>23</v>
      </c>
      <c r="D1459" s="6" t="s">
        <v>24</v>
      </c>
      <c r="E1459" s="12"/>
      <c r="F1459" s="263" t="s">
        <v>5384</v>
      </c>
      <c r="G1459" s="264" t="s">
        <v>5385</v>
      </c>
      <c r="H1459" s="265">
        <v>2854484.8</v>
      </c>
      <c r="I1459" s="213" t="b">
        <v>0</v>
      </c>
      <c r="J1459" s="213"/>
      <c r="K1459" s="213"/>
    </row>
    <row r="1460" spans="1:11" ht="38.25">
      <c r="A1460" s="266">
        <v>2017</v>
      </c>
      <c r="B1460" s="5" t="s">
        <v>22</v>
      </c>
      <c r="C1460" s="112" t="s">
        <v>23</v>
      </c>
      <c r="D1460" s="6" t="s">
        <v>24</v>
      </c>
      <c r="E1460" s="12"/>
      <c r="F1460" s="263" t="s">
        <v>5386</v>
      </c>
      <c r="G1460" s="264" t="s">
        <v>5387</v>
      </c>
      <c r="H1460" s="265">
        <v>2982445.6</v>
      </c>
      <c r="I1460" s="213" t="b">
        <v>0</v>
      </c>
      <c r="J1460" s="213"/>
      <c r="K1460" s="213"/>
    </row>
    <row r="1461" spans="1:11" ht="51">
      <c r="A1461" s="266">
        <v>2017</v>
      </c>
      <c r="B1461" s="6" t="s">
        <v>22</v>
      </c>
      <c r="C1461" s="112" t="s">
        <v>23</v>
      </c>
      <c r="D1461" s="6" t="s">
        <v>24</v>
      </c>
      <c r="E1461" s="12"/>
      <c r="F1461" s="263" t="s">
        <v>5388</v>
      </c>
      <c r="G1461" s="267" t="s">
        <v>5389</v>
      </c>
      <c r="H1461" s="265">
        <v>2430145.6</v>
      </c>
      <c r="I1461" s="213" t="b">
        <v>0</v>
      </c>
      <c r="J1461" s="213"/>
      <c r="K1461" s="213"/>
    </row>
    <row r="1462" spans="1:11" ht="51">
      <c r="A1462" s="266">
        <v>2017</v>
      </c>
      <c r="B1462" s="5" t="s">
        <v>22</v>
      </c>
      <c r="C1462" s="112" t="s">
        <v>23</v>
      </c>
      <c r="D1462" s="6" t="s">
        <v>24</v>
      </c>
      <c r="E1462" s="12"/>
      <c r="F1462" s="263" t="s">
        <v>366</v>
      </c>
      <c r="G1462" s="264" t="s">
        <v>5390</v>
      </c>
      <c r="H1462" s="265">
        <v>1892235</v>
      </c>
      <c r="I1462" s="213" t="b">
        <v>0</v>
      </c>
      <c r="J1462" s="213"/>
      <c r="K1462" s="213"/>
    </row>
    <row r="1463" spans="1:11" ht="38.25">
      <c r="A1463" s="266">
        <v>2017</v>
      </c>
      <c r="B1463" s="6" t="s">
        <v>22</v>
      </c>
      <c r="C1463" s="112" t="s">
        <v>23</v>
      </c>
      <c r="D1463" s="6" t="s">
        <v>24</v>
      </c>
      <c r="E1463" s="12"/>
      <c r="F1463" s="263" t="s">
        <v>5391</v>
      </c>
      <c r="G1463" s="264" t="s">
        <v>5392</v>
      </c>
      <c r="H1463" s="265">
        <v>3846007.4</v>
      </c>
      <c r="I1463" s="213" t="b">
        <v>0</v>
      </c>
      <c r="J1463" s="213"/>
      <c r="K1463" s="213"/>
    </row>
    <row r="1464" spans="1:11" ht="38.25">
      <c r="A1464" s="266">
        <v>2017</v>
      </c>
      <c r="B1464" s="5" t="s">
        <v>22</v>
      </c>
      <c r="C1464" s="112" t="s">
        <v>23</v>
      </c>
      <c r="D1464" s="6" t="s">
        <v>24</v>
      </c>
      <c r="E1464" s="12"/>
      <c r="F1464" s="263" t="s">
        <v>5393</v>
      </c>
      <c r="G1464" s="264" t="s">
        <v>5394</v>
      </c>
      <c r="H1464" s="265">
        <v>3766768</v>
      </c>
      <c r="I1464" s="213" t="b">
        <v>0</v>
      </c>
      <c r="J1464" s="213"/>
      <c r="K1464" s="213"/>
    </row>
    <row r="1465" spans="1:11" ht="38.25">
      <c r="A1465" s="266">
        <v>2018</v>
      </c>
      <c r="B1465" s="6" t="s">
        <v>22</v>
      </c>
      <c r="C1465" s="112" t="s">
        <v>23</v>
      </c>
      <c r="D1465" s="6" t="s">
        <v>24</v>
      </c>
      <c r="E1465" s="12"/>
      <c r="F1465" s="263" t="s">
        <v>5354</v>
      </c>
      <c r="G1465" s="264" t="s">
        <v>5355</v>
      </c>
      <c r="H1465" s="265">
        <v>3452392</v>
      </c>
      <c r="I1465" s="213" t="b">
        <v>0</v>
      </c>
      <c r="J1465" s="213"/>
      <c r="K1465" s="213"/>
    </row>
    <row r="1466" spans="1:11" ht="38.25">
      <c r="A1466" s="266">
        <v>2018</v>
      </c>
      <c r="B1466" s="5" t="s">
        <v>22</v>
      </c>
      <c r="C1466" s="112" t="s">
        <v>23</v>
      </c>
      <c r="D1466" s="6" t="s">
        <v>24</v>
      </c>
      <c r="E1466" s="12"/>
      <c r="F1466" s="263" t="s">
        <v>5356</v>
      </c>
      <c r="G1466" s="264" t="s">
        <v>5357</v>
      </c>
      <c r="H1466" s="265">
        <v>3555283.2</v>
      </c>
      <c r="I1466" s="213" t="b">
        <v>0</v>
      </c>
      <c r="J1466" s="213"/>
      <c r="K1466" s="213"/>
    </row>
    <row r="1467" spans="1:11" ht="51">
      <c r="A1467" s="266">
        <v>2018</v>
      </c>
      <c r="B1467" s="6" t="s">
        <v>22</v>
      </c>
      <c r="C1467" s="112" t="s">
        <v>23</v>
      </c>
      <c r="D1467" s="6" t="s">
        <v>24</v>
      </c>
      <c r="E1467" s="12"/>
      <c r="F1467" s="263" t="s">
        <v>5358</v>
      </c>
      <c r="G1467" s="264" t="s">
        <v>5359</v>
      </c>
      <c r="H1467" s="265">
        <v>5742973.2000000002</v>
      </c>
      <c r="I1467" s="213" t="b">
        <v>0</v>
      </c>
      <c r="J1467" s="213"/>
      <c r="K1467" s="213"/>
    </row>
    <row r="1468" spans="1:11" ht="63.75">
      <c r="A1468" s="266">
        <v>2018</v>
      </c>
      <c r="B1468" s="5" t="s">
        <v>22</v>
      </c>
      <c r="C1468" s="112" t="s">
        <v>23</v>
      </c>
      <c r="D1468" s="6" t="s">
        <v>24</v>
      </c>
      <c r="E1468" s="12"/>
      <c r="F1468" s="263" t="s">
        <v>5360</v>
      </c>
      <c r="G1468" s="264" t="s">
        <v>5361</v>
      </c>
      <c r="H1468" s="268">
        <v>2164460.7999999998</v>
      </c>
      <c r="I1468" s="213" t="b">
        <v>0</v>
      </c>
      <c r="J1468" s="213"/>
      <c r="K1468" s="213"/>
    </row>
    <row r="1469" spans="1:11" ht="51">
      <c r="A1469" s="266">
        <v>2018</v>
      </c>
      <c r="B1469" s="6" t="s">
        <v>22</v>
      </c>
      <c r="C1469" s="112" t="s">
        <v>23</v>
      </c>
      <c r="D1469" s="6" t="s">
        <v>24</v>
      </c>
      <c r="E1469" s="12"/>
      <c r="F1469" s="263" t="s">
        <v>5362</v>
      </c>
      <c r="G1469" s="264" t="s">
        <v>5363</v>
      </c>
      <c r="H1469" s="268">
        <v>2113031</v>
      </c>
      <c r="I1469" s="213" t="b">
        <v>0</v>
      </c>
      <c r="J1469" s="213"/>
      <c r="K1469" s="213"/>
    </row>
    <row r="1470" spans="1:11" ht="51">
      <c r="A1470" s="266">
        <v>2018</v>
      </c>
      <c r="B1470" s="5" t="s">
        <v>22</v>
      </c>
      <c r="C1470" s="112" t="s">
        <v>23</v>
      </c>
      <c r="D1470" s="6" t="s">
        <v>24</v>
      </c>
      <c r="E1470" s="12"/>
      <c r="F1470" s="263" t="s">
        <v>5364</v>
      </c>
      <c r="G1470" s="264" t="s">
        <v>5365</v>
      </c>
      <c r="H1470" s="265">
        <v>4406319.6500000004</v>
      </c>
      <c r="I1470" s="213" t="b">
        <v>0</v>
      </c>
      <c r="J1470" s="213"/>
      <c r="K1470" s="213"/>
    </row>
    <row r="1471" spans="1:11" ht="25.5">
      <c r="A1471" s="266">
        <v>2018</v>
      </c>
      <c r="B1471" s="6" t="s">
        <v>22</v>
      </c>
      <c r="C1471" s="112" t="s">
        <v>23</v>
      </c>
      <c r="D1471" s="6" t="s">
        <v>24</v>
      </c>
      <c r="E1471" s="12"/>
      <c r="F1471" s="263" t="s">
        <v>25</v>
      </c>
      <c r="G1471" s="264" t="s">
        <v>26</v>
      </c>
      <c r="H1471" s="265">
        <v>4999045</v>
      </c>
      <c r="I1471" s="213" t="b">
        <v>0</v>
      </c>
      <c r="J1471" s="213"/>
      <c r="K1471" s="213"/>
    </row>
    <row r="1472" spans="1:11" ht="51">
      <c r="A1472" s="266">
        <v>2018</v>
      </c>
      <c r="B1472" s="5" t="s">
        <v>22</v>
      </c>
      <c r="C1472" s="112" t="s">
        <v>23</v>
      </c>
      <c r="D1472" s="6" t="s">
        <v>24</v>
      </c>
      <c r="E1472" s="12"/>
      <c r="F1472" s="263" t="s">
        <v>5366</v>
      </c>
      <c r="G1472" s="264" t="s">
        <v>5367</v>
      </c>
      <c r="H1472" s="265">
        <v>3635732</v>
      </c>
      <c r="I1472" s="213" t="b">
        <v>0</v>
      </c>
      <c r="J1472" s="213"/>
      <c r="K1472" s="213"/>
    </row>
    <row r="1473" spans="1:11" ht="38.25">
      <c r="A1473" s="266">
        <v>2018</v>
      </c>
      <c r="B1473" s="6" t="s">
        <v>22</v>
      </c>
      <c r="C1473" s="112" t="s">
        <v>23</v>
      </c>
      <c r="D1473" s="6" t="s">
        <v>24</v>
      </c>
      <c r="E1473" s="12"/>
      <c r="F1473" s="263" t="s">
        <v>30</v>
      </c>
      <c r="G1473" s="264" t="s">
        <v>5368</v>
      </c>
      <c r="H1473" s="265">
        <v>3058155.2</v>
      </c>
      <c r="I1473" s="213" t="b">
        <v>0</v>
      </c>
      <c r="J1473" s="213"/>
      <c r="K1473" s="213"/>
    </row>
    <row r="1474" spans="1:11" ht="38.25">
      <c r="A1474" s="266">
        <v>2018</v>
      </c>
      <c r="B1474" s="5" t="s">
        <v>22</v>
      </c>
      <c r="C1474" s="112" t="s">
        <v>23</v>
      </c>
      <c r="D1474" s="6" t="s">
        <v>24</v>
      </c>
      <c r="E1474" s="12"/>
      <c r="F1474" s="263" t="s">
        <v>34</v>
      </c>
      <c r="G1474" s="264" t="s">
        <v>5369</v>
      </c>
      <c r="H1474" s="265">
        <v>3551018</v>
      </c>
      <c r="I1474" s="213" t="b">
        <v>0</v>
      </c>
      <c r="J1474" s="213"/>
      <c r="K1474" s="213"/>
    </row>
    <row r="1475" spans="1:11" ht="51">
      <c r="A1475" s="266">
        <v>2018</v>
      </c>
      <c r="B1475" s="6" t="s">
        <v>22</v>
      </c>
      <c r="C1475" s="112" t="s">
        <v>23</v>
      </c>
      <c r="D1475" s="6" t="s">
        <v>24</v>
      </c>
      <c r="E1475" s="12"/>
      <c r="F1475" s="263" t="s">
        <v>5370</v>
      </c>
      <c r="G1475" s="264" t="s">
        <v>5371</v>
      </c>
      <c r="H1475" s="265">
        <v>3888581.6</v>
      </c>
      <c r="I1475" s="213" t="b">
        <v>0</v>
      </c>
      <c r="J1475" s="213"/>
      <c r="K1475" s="213"/>
    </row>
    <row r="1476" spans="1:11" ht="63.75">
      <c r="A1476" s="266">
        <v>2018</v>
      </c>
      <c r="B1476" s="5" t="s">
        <v>22</v>
      </c>
      <c r="C1476" s="112" t="s">
        <v>23</v>
      </c>
      <c r="D1476" s="6" t="s">
        <v>24</v>
      </c>
      <c r="E1476" s="12"/>
      <c r="F1476" s="263" t="s">
        <v>5372</v>
      </c>
      <c r="G1476" s="264" t="s">
        <v>5373</v>
      </c>
      <c r="H1476" s="265">
        <v>4030446.84</v>
      </c>
      <c r="I1476" s="213" t="b">
        <v>0</v>
      </c>
      <c r="J1476" s="213"/>
      <c r="K1476" s="213"/>
    </row>
    <row r="1477" spans="1:11" ht="38.25">
      <c r="A1477" s="266">
        <v>2019</v>
      </c>
      <c r="B1477" s="6" t="s">
        <v>22</v>
      </c>
      <c r="C1477" s="112" t="s">
        <v>23</v>
      </c>
      <c r="D1477" s="6" t="s">
        <v>24</v>
      </c>
      <c r="E1477" s="12"/>
      <c r="F1477" s="263" t="s">
        <v>38</v>
      </c>
      <c r="G1477" s="264" t="s">
        <v>39</v>
      </c>
      <c r="H1477" s="269">
        <v>1636971</v>
      </c>
      <c r="I1477" s="213" t="b">
        <v>0</v>
      </c>
      <c r="J1477" s="213"/>
      <c r="K1477" s="213"/>
    </row>
    <row r="1478" spans="1:11" ht="51">
      <c r="A1478" s="266">
        <v>2019</v>
      </c>
      <c r="B1478" s="5" t="s">
        <v>22</v>
      </c>
      <c r="C1478" s="112" t="s">
        <v>23</v>
      </c>
      <c r="D1478" s="6" t="s">
        <v>24</v>
      </c>
      <c r="E1478" s="12"/>
      <c r="F1478" s="263" t="s">
        <v>42</v>
      </c>
      <c r="G1478" s="264" t="s">
        <v>43</v>
      </c>
      <c r="H1478" s="269">
        <v>3258768</v>
      </c>
      <c r="I1478" s="213" t="b">
        <v>0</v>
      </c>
      <c r="J1478" s="213"/>
      <c r="K1478" s="213"/>
    </row>
    <row r="1479" spans="1:11" ht="38.25">
      <c r="A1479" s="266">
        <v>2019</v>
      </c>
      <c r="B1479" s="6" t="s">
        <v>22</v>
      </c>
      <c r="C1479" s="112" t="s">
        <v>23</v>
      </c>
      <c r="D1479" s="6" t="s">
        <v>24</v>
      </c>
      <c r="E1479" s="12"/>
      <c r="F1479" s="263" t="s">
        <v>46</v>
      </c>
      <c r="G1479" s="264" t="s">
        <v>47</v>
      </c>
      <c r="H1479" s="269">
        <v>4019382</v>
      </c>
      <c r="I1479" s="213" t="b">
        <v>0</v>
      </c>
      <c r="J1479" s="213"/>
      <c r="K1479" s="213"/>
    </row>
    <row r="1480" spans="1:11" ht="38.25">
      <c r="A1480" s="266">
        <v>2019</v>
      </c>
      <c r="B1480" s="5" t="s">
        <v>22</v>
      </c>
      <c r="C1480" s="112" t="s">
        <v>23</v>
      </c>
      <c r="D1480" s="6" t="s">
        <v>24</v>
      </c>
      <c r="E1480" s="12"/>
      <c r="F1480" s="263" t="s">
        <v>50</v>
      </c>
      <c r="G1480" s="264" t="s">
        <v>362</v>
      </c>
      <c r="H1480" s="269">
        <v>3135851.2</v>
      </c>
      <c r="I1480" s="213" t="b">
        <v>0</v>
      </c>
      <c r="J1480" s="213"/>
      <c r="K1480" s="213"/>
    </row>
    <row r="1481" spans="1:11" ht="38.25">
      <c r="A1481" s="266">
        <v>2019</v>
      </c>
      <c r="B1481" s="6" t="s">
        <v>22</v>
      </c>
      <c r="C1481" s="112" t="s">
        <v>23</v>
      </c>
      <c r="D1481" s="6" t="s">
        <v>24</v>
      </c>
      <c r="E1481" s="12"/>
      <c r="F1481" s="263" t="s">
        <v>5347</v>
      </c>
      <c r="G1481" s="264" t="s">
        <v>5348</v>
      </c>
      <c r="H1481" s="269">
        <v>4999038.84</v>
      </c>
      <c r="I1481" s="213" t="b">
        <v>0</v>
      </c>
      <c r="J1481" s="213"/>
      <c r="K1481" s="213"/>
    </row>
    <row r="1482" spans="1:11" ht="51">
      <c r="A1482" s="266">
        <v>2019</v>
      </c>
      <c r="B1482" s="5" t="s">
        <v>22</v>
      </c>
      <c r="C1482" s="112" t="s">
        <v>23</v>
      </c>
      <c r="D1482" s="6" t="s">
        <v>24</v>
      </c>
      <c r="E1482" s="12"/>
      <c r="F1482" s="263" t="s">
        <v>5349</v>
      </c>
      <c r="G1482" s="264" t="s">
        <v>644</v>
      </c>
      <c r="H1482" s="269">
        <v>4814788.5999999996</v>
      </c>
      <c r="I1482" s="213" t="b">
        <v>0</v>
      </c>
      <c r="J1482" s="213"/>
      <c r="K1482" s="213"/>
    </row>
    <row r="1483" spans="1:11" ht="15">
      <c r="A1483" s="266">
        <v>2019</v>
      </c>
      <c r="B1483" s="6" t="s">
        <v>22</v>
      </c>
      <c r="C1483" s="112" t="s">
        <v>23</v>
      </c>
      <c r="D1483" s="6" t="s">
        <v>24</v>
      </c>
      <c r="E1483" s="12"/>
      <c r="F1483" s="263" t="s">
        <v>5350</v>
      </c>
      <c r="G1483" s="264" t="s">
        <v>5351</v>
      </c>
      <c r="H1483" s="269">
        <v>5194524.74</v>
      </c>
      <c r="I1483" s="213" t="b">
        <v>0</v>
      </c>
      <c r="J1483" s="213"/>
      <c r="K1483" s="213"/>
    </row>
    <row r="1484" spans="1:11" ht="38.25">
      <c r="A1484" s="266">
        <v>2019</v>
      </c>
      <c r="B1484" s="5" t="s">
        <v>22</v>
      </c>
      <c r="C1484" s="112" t="s">
        <v>23</v>
      </c>
      <c r="D1484" s="6" t="s">
        <v>24</v>
      </c>
      <c r="E1484" s="12"/>
      <c r="F1484" s="263" t="s">
        <v>53</v>
      </c>
      <c r="G1484" s="264" t="s">
        <v>54</v>
      </c>
      <c r="H1484" s="269">
        <v>16926594.199999999</v>
      </c>
      <c r="I1484" s="213" t="b">
        <v>0</v>
      </c>
      <c r="J1484" s="213"/>
      <c r="K1484" s="213"/>
    </row>
    <row r="1485" spans="1:11" ht="76.5">
      <c r="A1485" s="266">
        <v>2019</v>
      </c>
      <c r="B1485" s="6" t="s">
        <v>22</v>
      </c>
      <c r="C1485" s="112" t="s">
        <v>23</v>
      </c>
      <c r="D1485" s="6" t="s">
        <v>24</v>
      </c>
      <c r="E1485" s="12"/>
      <c r="F1485" s="263" t="s">
        <v>57</v>
      </c>
      <c r="G1485" s="264" t="s">
        <v>5352</v>
      </c>
      <c r="H1485" s="269">
        <v>4394800</v>
      </c>
      <c r="I1485" s="213" t="b">
        <v>0</v>
      </c>
      <c r="J1485" s="213"/>
      <c r="K1485" s="213"/>
    </row>
  </sheetData>
  <autoFilter ref="A1:I1447" xr:uid="{00000000-0009-0000-0000-00000B000000}">
    <filterColumn colId="2">
      <filters>
        <filter val="APPROVAL"/>
        <filter val="DEFERMENT"/>
        <filter val="Extension"/>
        <filter val="GUIDELINES"/>
        <filter val="PAC"/>
        <filter val="REALIGNMENT"/>
        <filter val="Termination"/>
      </filters>
    </filterColumn>
    <filterColumn colId="3">
      <filters>
        <filter val="ACU-I"/>
        <filter val="ACU-N"/>
        <filter val="AWARD"/>
        <filter val="BLANK"/>
        <filter val="CONCEPT PROTO"/>
        <filter val="DEC/BAC"/>
        <filter val="EVFP"/>
        <filter val="HIRANG 2.0"/>
        <filter val="IBED I"/>
        <filter val="IDAF"/>
        <filter val="IMPAKT"/>
        <filter val="ITECH"/>
        <filter val="I-TECH"/>
        <filter val="NA"/>
        <filter val="Pilot Production Assistance Program"/>
        <filter val="PMAP"/>
        <filter val="PROTOTYPE ASSISTANCE"/>
        <filter val="Prototype Development and Testing Assistance Program"/>
        <filter val="RICE"/>
        <filter val="TECHNICOM"/>
        <filter val="TECHNICOM 1.0"/>
        <filter val="Testing"/>
        <filter val="TIPD"/>
        <filter val="VFP"/>
      </filters>
    </filterColumn>
  </autoFilter>
  <conditionalFormatting sqref="C1:C122 C124:C204 C1175:C1317">
    <cfRule type="containsText" dxfId="4" priority="1" operator="containsText" text="Allocation">
      <formula>NOT(ISERROR(SEARCH(("Allocation"),(C1))))</formula>
    </cfRule>
  </conditionalFormatting>
  <dataValidations count="4">
    <dataValidation type="list" allowBlank="1" sqref="D1057:E1057 D1059:E1059 D1061:E1062 D1064:E1068 D1070:E1072 D1074:E1078 E1080 D1081:E1084 D1086:E1088 D1092:E1094 D1104:E1110 E1111 D1112:E1131 D1133:E1177 D1179:E1183 D1185:E1185 D1187:E1188 D1191:E1194 D1197:E1197 D1204:E1225 D1227:E1230 D1232:E1233 D1235:E1259 D1261:E1261 D1274:E1274 D1281:E1281 D1283:E1283 D1285:E1287 D1289:E1290 D1293:E1293 D1298:E1298 D1305:E1349 D1361:E1361 D1369:E1369 D1381:E1381 D1384:E1385 D1387:E1390 D1397:E1397 D1399:E1399 D1411:E1412 D1414:E1415 D1417:E1417 D1420:E1420 D1423:E1423 D1425:E1425 D1427:E1427 D1434:E1434 D1436:E1436 D1438:E1445" xr:uid="{00000000-0002-0000-0B00-000000000000}">
      <formula1>"IPRAP,IBED,IBID,Testing and Analyses,TechniCom,ISP,IGF,Accreditation,Enforcement,ISTE,ACU-N,ACU-I,MAP,PMAP,TBED,DTTC,VFP,I-TECH,IBED 2,DATBED,YET,CAMPI,MPEX,DTTC,TIFT"</formula1>
    </dataValidation>
    <dataValidation type="list" allowBlank="1" showInputMessage="1" prompt="Click and enter a value from the list of items" sqref="C1087 C1205" xr:uid="{00000000-0002-0000-0B00-000001000000}">
      <formula1>"Allocation,Termination,Guidelines"</formula1>
    </dataValidation>
    <dataValidation type="list" allowBlank="1" sqref="D1260:E1260 D1262:E1262 D1266:E1266 D1273:E1273 D1275:E1275 D1277:E1278 D1280:E1280 D1282:E1282 D1284:E1284 D1288:E1288 D1292:E1292 D1295:E1295 D1299:E1299 D1364:E1364 D1370:E1370 D1379:E1379 D1382:E1382 D1386:E1386 D1426:E1426" xr:uid="{00000000-0002-0000-0B00-000002000000}">
      <formula1>"IPRAP,IBED,IBID,Testing and Analyses,TechniCom,ISP,IGF,Accreditation,Enforcement,ISTE,RICE/NICE,ACU-N,ACU-I,MAP,PMAP,TBED,DTTC,VFP,I-TECH,IBED 2,DATBED,YET,CAMPI,MPEX,DTTC,TIFT,Pilot"</formula1>
    </dataValidation>
    <dataValidation type="list" allowBlank="1" sqref="C1269 C1323" xr:uid="{00000000-0002-0000-0B00-000003000000}">
      <formula1>"Allocation,Termination,Guidelines"</formula1>
    </dataValidation>
  </dataValidations>
  <printOptions horizontalCentered="1" gridLines="1"/>
  <pageMargins left="0.7" right="0.7" top="0.75" bottom="0.75" header="0" footer="0"/>
  <pageSetup paperSize="5" fitToHeight="0" pageOrder="overThenDown" orientation="portrait"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U1005"/>
  <sheetViews>
    <sheetView workbookViewId="0"/>
  </sheetViews>
  <sheetFormatPr defaultColWidth="12.5703125" defaultRowHeight="15.75" customHeight="1"/>
  <cols>
    <col min="6" max="6" width="31.85546875" customWidth="1"/>
    <col min="7" max="7" width="19.42578125" customWidth="1"/>
    <col min="9" max="9" width="12.5703125" hidden="1"/>
    <col min="10" max="10" width="23.85546875" customWidth="1"/>
    <col min="14" max="14" width="33.28515625" customWidth="1"/>
  </cols>
  <sheetData>
    <row r="1" spans="1:21" ht="55.5" customHeight="1">
      <c r="A1" s="270" t="s">
        <v>1</v>
      </c>
      <c r="B1" s="270" t="s">
        <v>2</v>
      </c>
      <c r="C1" s="271" t="s">
        <v>389</v>
      </c>
      <c r="D1" s="271" t="s">
        <v>4</v>
      </c>
      <c r="E1" s="272" t="s">
        <v>5</v>
      </c>
      <c r="F1" s="271" t="s">
        <v>6</v>
      </c>
      <c r="G1" s="271" t="s">
        <v>7</v>
      </c>
      <c r="H1" s="273" t="s">
        <v>5627</v>
      </c>
      <c r="I1" s="274" t="s">
        <v>5628</v>
      </c>
      <c r="J1" s="271" t="s">
        <v>8</v>
      </c>
      <c r="K1" s="271" t="s">
        <v>5629</v>
      </c>
      <c r="L1" s="271" t="s">
        <v>1821</v>
      </c>
      <c r="M1" s="271" t="s">
        <v>5305</v>
      </c>
      <c r="N1" s="271" t="s">
        <v>1822</v>
      </c>
      <c r="O1" s="271" t="s">
        <v>5630</v>
      </c>
      <c r="P1" s="271" t="s">
        <v>5631</v>
      </c>
      <c r="Q1" s="271" t="s">
        <v>5632</v>
      </c>
      <c r="R1" s="271" t="s">
        <v>5633</v>
      </c>
      <c r="S1" s="271" t="s">
        <v>1818</v>
      </c>
      <c r="T1" s="274" t="s">
        <v>5634</v>
      </c>
      <c r="U1" s="275"/>
    </row>
    <row r="2" spans="1:21" ht="25.5">
      <c r="A2" s="6">
        <v>2025</v>
      </c>
      <c r="B2" s="61">
        <v>45658</v>
      </c>
      <c r="C2" s="6" t="s">
        <v>5408</v>
      </c>
      <c r="D2" s="6" t="s">
        <v>1862</v>
      </c>
      <c r="E2" s="7"/>
      <c r="F2" s="6" t="s">
        <v>5409</v>
      </c>
      <c r="G2" s="6" t="s">
        <v>5410</v>
      </c>
      <c r="H2" s="8"/>
      <c r="I2" s="6"/>
      <c r="J2" s="6"/>
      <c r="K2" s="9"/>
      <c r="L2" s="9"/>
      <c r="M2" s="9"/>
      <c r="N2" s="9"/>
      <c r="O2" s="9"/>
      <c r="P2" s="9"/>
      <c r="Q2" s="9"/>
      <c r="R2" s="9"/>
      <c r="S2" s="9"/>
      <c r="T2" s="9"/>
      <c r="U2" s="36"/>
    </row>
    <row r="3" spans="1:21" ht="25.5">
      <c r="A3" s="6">
        <v>2025</v>
      </c>
      <c r="B3" s="61">
        <v>45689</v>
      </c>
      <c r="C3" s="6" t="s">
        <v>5408</v>
      </c>
      <c r="D3" s="6" t="s">
        <v>1862</v>
      </c>
      <c r="E3" s="7"/>
      <c r="F3" s="6" t="s">
        <v>5411</v>
      </c>
      <c r="G3" s="6" t="s">
        <v>5410</v>
      </c>
      <c r="H3" s="8"/>
      <c r="I3" s="6"/>
      <c r="J3" s="6"/>
      <c r="K3" s="9"/>
      <c r="L3" s="9"/>
      <c r="M3" s="9"/>
      <c r="N3" s="9"/>
      <c r="O3" s="9"/>
      <c r="P3" s="9"/>
      <c r="Q3" s="9"/>
      <c r="R3" s="9"/>
      <c r="S3" s="9"/>
      <c r="T3" s="9"/>
      <c r="U3" s="36"/>
    </row>
    <row r="4" spans="1:21" ht="63.75">
      <c r="A4" s="6">
        <v>2025</v>
      </c>
      <c r="B4" s="61">
        <v>45717</v>
      </c>
      <c r="C4" s="6" t="s">
        <v>1867</v>
      </c>
      <c r="D4" s="6" t="s">
        <v>62</v>
      </c>
      <c r="E4" s="7">
        <v>45694</v>
      </c>
      <c r="F4" s="6" t="s">
        <v>1079</v>
      </c>
      <c r="G4" s="6" t="s">
        <v>5412</v>
      </c>
      <c r="H4" s="8"/>
      <c r="I4" s="6"/>
      <c r="J4" s="6" t="s">
        <v>5635</v>
      </c>
      <c r="K4" s="9"/>
      <c r="L4" s="9"/>
      <c r="M4" s="9"/>
      <c r="N4" s="9"/>
      <c r="O4" s="9"/>
      <c r="P4" s="9"/>
      <c r="Q4" s="9"/>
      <c r="R4" s="9"/>
      <c r="S4" s="9"/>
      <c r="T4" s="9"/>
      <c r="U4" s="36"/>
    </row>
    <row r="5" spans="1:21" ht="51">
      <c r="A5" s="6">
        <v>2025</v>
      </c>
      <c r="B5" s="61">
        <v>45748</v>
      </c>
      <c r="C5" s="6" t="s">
        <v>5408</v>
      </c>
      <c r="D5" s="6" t="s">
        <v>1838</v>
      </c>
      <c r="E5" s="7">
        <v>45694</v>
      </c>
      <c r="F5" s="6" t="s">
        <v>5413</v>
      </c>
      <c r="G5" s="6" t="s">
        <v>1349</v>
      </c>
      <c r="H5" s="8">
        <v>47400</v>
      </c>
      <c r="I5" s="6"/>
      <c r="J5" s="6"/>
      <c r="K5" s="9"/>
      <c r="L5" s="9"/>
      <c r="M5" s="9"/>
      <c r="N5" s="9"/>
      <c r="O5" s="9"/>
      <c r="P5" s="9"/>
      <c r="Q5" s="9"/>
      <c r="R5" s="9"/>
      <c r="S5" s="9"/>
      <c r="T5" s="9"/>
      <c r="U5" s="36"/>
    </row>
    <row r="6" spans="1:21" ht="102">
      <c r="A6" s="6">
        <v>2025</v>
      </c>
      <c r="B6" s="61">
        <v>45778</v>
      </c>
      <c r="C6" s="6"/>
      <c r="D6" s="6" t="s">
        <v>1340</v>
      </c>
      <c r="E6" s="7">
        <v>45694</v>
      </c>
      <c r="F6" s="6" t="s">
        <v>1341</v>
      </c>
      <c r="G6" s="6" t="s">
        <v>1342</v>
      </c>
      <c r="H6" s="8">
        <v>2535792</v>
      </c>
      <c r="I6" s="6"/>
      <c r="J6" s="6"/>
      <c r="K6" s="9"/>
      <c r="L6" s="9"/>
      <c r="M6" s="9"/>
      <c r="N6" s="9"/>
      <c r="O6" s="9"/>
      <c r="P6" s="9"/>
      <c r="Q6" s="9"/>
      <c r="R6" s="9"/>
      <c r="S6" s="9"/>
      <c r="T6" s="9"/>
      <c r="U6" s="36"/>
    </row>
    <row r="7" spans="1:21" ht="25.5">
      <c r="A7" s="6"/>
      <c r="B7" s="6" t="s">
        <v>5414</v>
      </c>
      <c r="C7" s="6" t="s">
        <v>5415</v>
      </c>
      <c r="D7" s="6" t="s">
        <v>1340</v>
      </c>
      <c r="E7" s="7">
        <v>45694</v>
      </c>
      <c r="F7" s="6" t="s">
        <v>5416</v>
      </c>
      <c r="G7" s="6" t="s">
        <v>5417</v>
      </c>
      <c r="H7" s="8">
        <v>1885973.42</v>
      </c>
      <c r="I7" s="6"/>
      <c r="J7" s="6"/>
      <c r="K7" s="9"/>
      <c r="L7" s="9"/>
      <c r="M7" s="9"/>
      <c r="N7" s="9"/>
      <c r="O7" s="9"/>
      <c r="P7" s="9"/>
      <c r="Q7" s="9"/>
      <c r="R7" s="9"/>
      <c r="S7" s="9"/>
      <c r="T7" s="9"/>
      <c r="U7" s="36"/>
    </row>
    <row r="8" spans="1:21" ht="76.5">
      <c r="A8" s="6">
        <v>2025</v>
      </c>
      <c r="B8" s="61">
        <v>45901</v>
      </c>
      <c r="C8" s="6" t="s">
        <v>5415</v>
      </c>
      <c r="D8" s="6" t="s">
        <v>85</v>
      </c>
      <c r="E8" s="7">
        <v>45708</v>
      </c>
      <c r="F8" s="6" t="s">
        <v>392</v>
      </c>
      <c r="G8" s="6" t="s">
        <v>393</v>
      </c>
      <c r="H8" s="8">
        <v>81439.679999999993</v>
      </c>
      <c r="I8" s="6"/>
      <c r="J8" s="6"/>
      <c r="K8" s="9"/>
      <c r="L8" s="9"/>
      <c r="M8" s="9"/>
      <c r="N8" s="9"/>
      <c r="O8" s="9"/>
      <c r="P8" s="9"/>
      <c r="Q8" s="9"/>
      <c r="R8" s="9"/>
      <c r="S8" s="9"/>
      <c r="T8" s="9"/>
      <c r="U8" s="36"/>
    </row>
    <row r="9" spans="1:21" ht="51">
      <c r="A9" s="6">
        <v>2025</v>
      </c>
      <c r="B9" s="62">
        <v>45931</v>
      </c>
      <c r="C9" s="6" t="s">
        <v>5415</v>
      </c>
      <c r="D9" s="6" t="s">
        <v>394</v>
      </c>
      <c r="E9" s="7">
        <v>45708</v>
      </c>
      <c r="F9" s="6" t="s">
        <v>395</v>
      </c>
      <c r="G9" s="6" t="s">
        <v>396</v>
      </c>
      <c r="H9" s="8">
        <v>110000</v>
      </c>
      <c r="I9" s="6"/>
      <c r="J9" s="6"/>
      <c r="K9" s="9"/>
      <c r="L9" s="9"/>
      <c r="M9" s="9"/>
      <c r="N9" s="9"/>
      <c r="O9" s="9"/>
      <c r="P9" s="9"/>
      <c r="Q9" s="9"/>
      <c r="R9" s="9"/>
      <c r="S9" s="9"/>
      <c r="T9" s="9"/>
      <c r="U9" s="36"/>
    </row>
    <row r="10" spans="1:21" ht="51">
      <c r="A10" s="6">
        <v>2025</v>
      </c>
      <c r="B10" s="62">
        <v>45962</v>
      </c>
      <c r="C10" s="6" t="s">
        <v>5415</v>
      </c>
      <c r="D10" s="6" t="s">
        <v>394</v>
      </c>
      <c r="E10" s="7">
        <v>45708</v>
      </c>
      <c r="F10" s="6" t="s">
        <v>397</v>
      </c>
      <c r="G10" s="6" t="s">
        <v>398</v>
      </c>
      <c r="H10" s="8">
        <v>21000</v>
      </c>
      <c r="I10" s="6"/>
      <c r="J10" s="6"/>
      <c r="K10" s="9"/>
      <c r="L10" s="9"/>
      <c r="M10" s="9"/>
      <c r="N10" s="9"/>
      <c r="O10" s="9"/>
      <c r="P10" s="9"/>
      <c r="Q10" s="9"/>
      <c r="R10" s="9"/>
      <c r="S10" s="9"/>
      <c r="T10" s="9"/>
      <c r="U10" s="36"/>
    </row>
    <row r="11" spans="1:21" ht="25.5">
      <c r="A11" s="6">
        <v>2025</v>
      </c>
      <c r="B11" s="62">
        <v>45992</v>
      </c>
      <c r="C11" s="6" t="s">
        <v>1867</v>
      </c>
      <c r="D11" s="6" t="s">
        <v>1262</v>
      </c>
      <c r="E11" s="7">
        <v>45708</v>
      </c>
      <c r="F11" s="6" t="s">
        <v>5418</v>
      </c>
      <c r="G11" s="6" t="s">
        <v>5419</v>
      </c>
      <c r="H11" s="8"/>
      <c r="I11" s="6"/>
      <c r="J11" s="6"/>
      <c r="K11" s="9"/>
      <c r="L11" s="9" t="s">
        <v>1828</v>
      </c>
      <c r="M11" s="9"/>
      <c r="N11" s="9"/>
      <c r="O11" s="9"/>
      <c r="P11" s="9"/>
      <c r="Q11" s="9"/>
      <c r="R11" s="9"/>
      <c r="S11" s="9"/>
      <c r="T11" s="9"/>
      <c r="U11" s="36"/>
    </row>
    <row r="12" spans="1:21" ht="114.75">
      <c r="A12" s="6">
        <v>2025</v>
      </c>
      <c r="B12" s="6" t="s">
        <v>993</v>
      </c>
      <c r="C12" s="6"/>
      <c r="D12" s="6" t="s">
        <v>994</v>
      </c>
      <c r="E12" s="111">
        <v>45743</v>
      </c>
      <c r="F12" s="6" t="s">
        <v>995</v>
      </c>
      <c r="G12" s="6" t="s">
        <v>5420</v>
      </c>
      <c r="H12" s="8">
        <v>4100000</v>
      </c>
      <c r="I12" s="6"/>
      <c r="J12" s="6" t="s">
        <v>5636</v>
      </c>
      <c r="K12" s="9"/>
      <c r="L12" s="9"/>
      <c r="M12" s="9"/>
      <c r="N12" s="9"/>
      <c r="O12" s="9"/>
      <c r="P12" s="9"/>
      <c r="Q12" s="9"/>
      <c r="R12" s="9"/>
      <c r="S12" s="9"/>
      <c r="T12" s="9"/>
      <c r="U12" s="36"/>
    </row>
    <row r="13" spans="1:21" ht="51">
      <c r="A13" s="6">
        <v>2025</v>
      </c>
      <c r="B13" s="6" t="s">
        <v>5421</v>
      </c>
      <c r="C13" s="6" t="s">
        <v>1867</v>
      </c>
      <c r="D13" s="6" t="s">
        <v>62</v>
      </c>
      <c r="E13" s="111">
        <v>45743</v>
      </c>
      <c r="F13" s="6" t="s">
        <v>3176</v>
      </c>
      <c r="G13" s="6" t="s">
        <v>5422</v>
      </c>
      <c r="H13" s="8"/>
      <c r="I13" s="6"/>
      <c r="J13" s="6"/>
      <c r="K13" s="9"/>
      <c r="L13" s="9"/>
      <c r="M13" s="9"/>
      <c r="N13" s="9"/>
      <c r="O13" s="9"/>
      <c r="P13" s="9"/>
      <c r="Q13" s="9"/>
      <c r="R13" s="9"/>
      <c r="S13" s="9"/>
      <c r="T13" s="9"/>
      <c r="U13" s="36"/>
    </row>
    <row r="14" spans="1:21" ht="25.5">
      <c r="A14" s="6">
        <v>2025</v>
      </c>
      <c r="B14" s="6" t="s">
        <v>5423</v>
      </c>
      <c r="C14" s="6" t="s">
        <v>1867</v>
      </c>
      <c r="D14" s="6" t="s">
        <v>62</v>
      </c>
      <c r="E14" s="111">
        <v>45743</v>
      </c>
      <c r="F14" s="6" t="s">
        <v>5424</v>
      </c>
      <c r="G14" s="6" t="s">
        <v>5425</v>
      </c>
      <c r="H14" s="8"/>
      <c r="I14" s="6"/>
      <c r="J14" s="6" t="s">
        <v>2383</v>
      </c>
      <c r="K14" s="9"/>
      <c r="L14" s="9"/>
      <c r="M14" s="9"/>
      <c r="N14" s="9"/>
      <c r="O14" s="9"/>
      <c r="P14" s="9"/>
      <c r="Q14" s="9"/>
      <c r="R14" s="9"/>
      <c r="S14" s="9"/>
      <c r="T14" s="9"/>
      <c r="U14" s="36"/>
    </row>
    <row r="15" spans="1:21" ht="51">
      <c r="A15" s="6">
        <v>2025</v>
      </c>
      <c r="B15" s="9" t="s">
        <v>5426</v>
      </c>
      <c r="C15" s="9" t="s">
        <v>1867</v>
      </c>
      <c r="D15" s="9" t="s">
        <v>5427</v>
      </c>
      <c r="E15" s="111">
        <v>45743</v>
      </c>
      <c r="F15" s="6" t="s">
        <v>5428</v>
      </c>
      <c r="G15" s="6" t="s">
        <v>5429</v>
      </c>
      <c r="H15" s="13"/>
      <c r="I15" s="9"/>
      <c r="J15" s="6" t="s">
        <v>5637</v>
      </c>
      <c r="K15" s="9"/>
      <c r="L15" s="9"/>
      <c r="M15" s="9"/>
      <c r="N15" s="9"/>
      <c r="O15" s="9"/>
      <c r="P15" s="9"/>
      <c r="Q15" s="9"/>
      <c r="R15" s="9"/>
      <c r="S15" s="9"/>
      <c r="T15" s="9"/>
      <c r="U15" s="36"/>
    </row>
    <row r="16" spans="1:21" ht="127.5">
      <c r="A16" s="6">
        <v>2025</v>
      </c>
      <c r="B16" s="9" t="s">
        <v>98</v>
      </c>
      <c r="C16" s="9" t="s">
        <v>5415</v>
      </c>
      <c r="D16" s="6" t="s">
        <v>85</v>
      </c>
      <c r="E16" s="7">
        <v>45777</v>
      </c>
      <c r="F16" s="6" t="s">
        <v>5430</v>
      </c>
      <c r="G16" s="6" t="s">
        <v>5431</v>
      </c>
      <c r="H16" s="8">
        <v>358538</v>
      </c>
      <c r="I16" s="9"/>
      <c r="J16" s="6"/>
      <c r="K16" s="9"/>
      <c r="L16" s="9"/>
      <c r="M16" s="9"/>
      <c r="N16" s="9"/>
      <c r="O16" s="9"/>
      <c r="P16" s="9"/>
      <c r="Q16" s="9"/>
      <c r="R16" s="9"/>
      <c r="S16" s="9"/>
      <c r="T16" s="9"/>
      <c r="U16" s="36"/>
    </row>
    <row r="17" spans="1:21" ht="102">
      <c r="A17" s="6">
        <v>2025</v>
      </c>
      <c r="B17" s="9" t="s">
        <v>1804</v>
      </c>
      <c r="C17" s="9" t="s">
        <v>5415</v>
      </c>
      <c r="D17" s="9" t="s">
        <v>85</v>
      </c>
      <c r="E17" s="111">
        <v>45777</v>
      </c>
      <c r="F17" s="6" t="s">
        <v>316</v>
      </c>
      <c r="G17" s="6" t="s">
        <v>5432</v>
      </c>
      <c r="H17" s="8">
        <v>229654</v>
      </c>
      <c r="I17" s="9"/>
      <c r="J17" s="6"/>
      <c r="K17" s="9"/>
      <c r="L17" s="9"/>
      <c r="M17" s="9"/>
      <c r="N17" s="9"/>
      <c r="O17" s="9"/>
      <c r="P17" s="9"/>
      <c r="Q17" s="9"/>
      <c r="R17" s="9"/>
      <c r="S17" s="9"/>
      <c r="T17" s="9"/>
      <c r="U17" s="36"/>
    </row>
    <row r="18" spans="1:21" ht="51">
      <c r="A18" s="6">
        <v>2025</v>
      </c>
      <c r="B18" s="9" t="s">
        <v>401</v>
      </c>
      <c r="C18" s="9" t="s">
        <v>5415</v>
      </c>
      <c r="D18" s="9" t="s">
        <v>394</v>
      </c>
      <c r="E18" s="111">
        <v>45777</v>
      </c>
      <c r="F18" s="6" t="s">
        <v>5433</v>
      </c>
      <c r="G18" s="6" t="s">
        <v>403</v>
      </c>
      <c r="H18" s="13">
        <v>75000</v>
      </c>
      <c r="I18" s="9"/>
      <c r="J18" s="6"/>
      <c r="K18" s="9"/>
      <c r="L18" s="9"/>
      <c r="M18" s="9"/>
      <c r="N18" s="9"/>
      <c r="O18" s="9"/>
      <c r="P18" s="9"/>
      <c r="Q18" s="9"/>
      <c r="R18" s="9"/>
      <c r="S18" s="9"/>
      <c r="T18" s="9"/>
      <c r="U18" s="36"/>
    </row>
    <row r="19" spans="1:21" ht="38.25">
      <c r="A19" s="6">
        <v>2025</v>
      </c>
      <c r="B19" s="9" t="s">
        <v>404</v>
      </c>
      <c r="C19" s="9" t="s">
        <v>5415</v>
      </c>
      <c r="D19" s="9" t="s">
        <v>394</v>
      </c>
      <c r="E19" s="111">
        <v>45777</v>
      </c>
      <c r="F19" s="6" t="s">
        <v>405</v>
      </c>
      <c r="G19" s="6" t="s">
        <v>406</v>
      </c>
      <c r="H19" s="13">
        <v>65000</v>
      </c>
      <c r="I19" s="9"/>
      <c r="J19" s="6"/>
      <c r="K19" s="9"/>
      <c r="L19" s="9"/>
      <c r="M19" s="9"/>
      <c r="N19" s="9"/>
      <c r="O19" s="9"/>
      <c r="P19" s="9"/>
      <c r="Q19" s="9"/>
      <c r="R19" s="9"/>
      <c r="S19" s="9"/>
      <c r="T19" s="9"/>
      <c r="U19" s="36"/>
    </row>
    <row r="20" spans="1:21" ht="38.25">
      <c r="A20" s="6">
        <v>2025</v>
      </c>
      <c r="B20" s="9" t="s">
        <v>407</v>
      </c>
      <c r="C20" s="9" t="s">
        <v>5415</v>
      </c>
      <c r="D20" s="9" t="s">
        <v>394</v>
      </c>
      <c r="E20" s="111">
        <v>45777</v>
      </c>
      <c r="F20" s="6" t="s">
        <v>1001</v>
      </c>
      <c r="G20" s="6" t="s">
        <v>409</v>
      </c>
      <c r="H20" s="13">
        <v>75000</v>
      </c>
      <c r="I20" s="9"/>
      <c r="J20" s="6"/>
      <c r="K20" s="9"/>
      <c r="L20" s="9"/>
      <c r="M20" s="9"/>
      <c r="N20" s="9"/>
      <c r="O20" s="9"/>
      <c r="P20" s="9"/>
      <c r="Q20" s="9"/>
      <c r="R20" s="9"/>
      <c r="S20" s="9"/>
      <c r="T20" s="9"/>
      <c r="U20" s="36"/>
    </row>
    <row r="21" spans="1:21" ht="63.75">
      <c r="A21" s="6">
        <v>2025</v>
      </c>
      <c r="B21" s="9" t="s">
        <v>998</v>
      </c>
      <c r="C21" s="9" t="s">
        <v>5415</v>
      </c>
      <c r="D21" s="9" t="s">
        <v>999</v>
      </c>
      <c r="E21" s="111">
        <v>45777</v>
      </c>
      <c r="F21" s="6" t="s">
        <v>1000</v>
      </c>
      <c r="G21" s="6" t="s">
        <v>1001</v>
      </c>
      <c r="H21" s="13">
        <v>2500000</v>
      </c>
      <c r="I21" s="9"/>
      <c r="J21" s="6"/>
      <c r="K21" s="9"/>
      <c r="L21" s="9"/>
      <c r="M21" s="9"/>
      <c r="N21" s="9"/>
      <c r="O21" s="9"/>
      <c r="P21" s="9"/>
      <c r="Q21" s="9"/>
      <c r="R21" s="9"/>
      <c r="S21" s="9"/>
      <c r="T21" s="9"/>
      <c r="U21" s="36"/>
    </row>
    <row r="22" spans="1:21" ht="38.25">
      <c r="A22" s="6">
        <v>2025</v>
      </c>
      <c r="B22" s="9" t="s">
        <v>1343</v>
      </c>
      <c r="C22" s="9" t="s">
        <v>5415</v>
      </c>
      <c r="D22" s="9" t="s">
        <v>1344</v>
      </c>
      <c r="E22" s="111">
        <v>45803</v>
      </c>
      <c r="F22" s="6" t="s">
        <v>1345</v>
      </c>
      <c r="G22" s="6" t="s">
        <v>1346</v>
      </c>
      <c r="H22" s="13">
        <v>200000</v>
      </c>
      <c r="I22" s="9"/>
      <c r="J22" s="6"/>
      <c r="K22" s="9"/>
      <c r="L22" s="9"/>
      <c r="M22" s="9"/>
      <c r="N22" s="9"/>
      <c r="O22" s="9"/>
      <c r="P22" s="9"/>
      <c r="Q22" s="9"/>
      <c r="R22" s="9"/>
      <c r="S22" s="9"/>
      <c r="T22" s="9"/>
      <c r="U22" s="36"/>
    </row>
    <row r="23" spans="1:21" ht="12.75">
      <c r="A23" s="6">
        <v>2025</v>
      </c>
      <c r="B23" s="9" t="s">
        <v>5434</v>
      </c>
      <c r="C23" s="9"/>
      <c r="D23" s="9"/>
      <c r="E23" s="9"/>
      <c r="F23" s="6"/>
      <c r="G23" s="6"/>
      <c r="H23" s="13"/>
      <c r="I23" s="9"/>
      <c r="J23" s="6"/>
      <c r="K23" s="9"/>
      <c r="L23" s="9"/>
      <c r="M23" s="9"/>
      <c r="N23" s="9"/>
      <c r="O23" s="9"/>
      <c r="P23" s="9"/>
      <c r="Q23" s="9"/>
      <c r="R23" s="9"/>
      <c r="S23" s="9"/>
      <c r="T23" s="9"/>
      <c r="U23" s="36"/>
    </row>
    <row r="24" spans="1:21" ht="12.75">
      <c r="A24" s="6">
        <v>2025</v>
      </c>
      <c r="B24" s="9" t="s">
        <v>1347</v>
      </c>
      <c r="C24" s="9"/>
      <c r="D24" s="9"/>
      <c r="E24" s="9"/>
      <c r="F24" s="6"/>
      <c r="G24" s="6"/>
      <c r="H24" s="13"/>
      <c r="I24" s="9"/>
      <c r="J24" s="6"/>
      <c r="K24" s="9"/>
      <c r="L24" s="9"/>
      <c r="M24" s="9"/>
      <c r="N24" s="9"/>
      <c r="O24" s="9"/>
      <c r="P24" s="9"/>
      <c r="Q24" s="9"/>
      <c r="R24" s="9"/>
      <c r="S24" s="9"/>
      <c r="T24" s="9"/>
      <c r="U24" s="36"/>
    </row>
    <row r="25" spans="1:21" ht="63.75">
      <c r="A25" s="6">
        <v>2025</v>
      </c>
      <c r="B25" s="9" t="s">
        <v>410</v>
      </c>
      <c r="C25" s="9" t="s">
        <v>5415</v>
      </c>
      <c r="D25" s="9" t="s">
        <v>85</v>
      </c>
      <c r="E25" s="111">
        <v>45777</v>
      </c>
      <c r="F25" s="6" t="s">
        <v>411</v>
      </c>
      <c r="G25" s="6" t="s">
        <v>412</v>
      </c>
      <c r="H25" s="13">
        <v>263282.5</v>
      </c>
      <c r="I25" s="9"/>
      <c r="J25" s="6"/>
      <c r="K25" s="9"/>
      <c r="L25" s="9"/>
      <c r="M25" s="9"/>
      <c r="N25" s="9"/>
      <c r="O25" s="9"/>
      <c r="P25" s="9"/>
      <c r="Q25" s="9"/>
      <c r="R25" s="9"/>
      <c r="S25" s="9"/>
      <c r="T25" s="9"/>
      <c r="U25" s="36"/>
    </row>
    <row r="26" spans="1:21" ht="12.75">
      <c r="A26" s="9"/>
      <c r="B26" s="9"/>
      <c r="C26" s="9"/>
      <c r="D26" s="9"/>
      <c r="E26" s="111"/>
      <c r="F26" s="6"/>
      <c r="G26" s="6"/>
      <c r="H26" s="13"/>
      <c r="I26" s="9"/>
      <c r="J26" s="6"/>
      <c r="K26" s="9"/>
      <c r="L26" s="9"/>
      <c r="M26" s="9"/>
      <c r="N26" s="9"/>
      <c r="O26" s="9"/>
      <c r="P26" s="9"/>
      <c r="Q26" s="9"/>
      <c r="R26" s="9"/>
      <c r="S26" s="9"/>
      <c r="T26" s="9"/>
      <c r="U26" s="36"/>
    </row>
    <row r="27" spans="1:21" ht="12.75">
      <c r="A27" s="9"/>
      <c r="B27" s="9"/>
      <c r="C27" s="9"/>
      <c r="D27" s="9"/>
      <c r="E27" s="111"/>
      <c r="F27" s="6"/>
      <c r="G27" s="6"/>
      <c r="H27" s="13"/>
      <c r="I27" s="9"/>
      <c r="J27" s="6"/>
      <c r="K27" s="9"/>
      <c r="L27" s="9"/>
      <c r="M27" s="9"/>
      <c r="N27" s="9"/>
      <c r="O27" s="9"/>
      <c r="P27" s="9"/>
      <c r="Q27" s="9"/>
      <c r="R27" s="9"/>
      <c r="S27" s="9"/>
      <c r="T27" s="9"/>
      <c r="U27" s="36"/>
    </row>
    <row r="28" spans="1:21" ht="12.75">
      <c r="A28" s="9"/>
      <c r="B28" s="9"/>
      <c r="C28" s="9"/>
      <c r="D28" s="9"/>
      <c r="E28" s="9"/>
      <c r="F28" s="6"/>
      <c r="G28" s="6"/>
      <c r="H28" s="13"/>
      <c r="I28" s="9"/>
      <c r="J28" s="6"/>
      <c r="K28" s="9"/>
      <c r="L28" s="9"/>
      <c r="M28" s="9"/>
      <c r="N28" s="9"/>
      <c r="O28" s="9"/>
      <c r="P28" s="9"/>
      <c r="Q28" s="9"/>
      <c r="R28" s="9"/>
      <c r="S28" s="9"/>
      <c r="T28" s="9"/>
      <c r="U28" s="36"/>
    </row>
    <row r="29" spans="1:21" ht="12.75">
      <c r="A29" s="9"/>
      <c r="B29" s="9"/>
      <c r="C29" s="9"/>
      <c r="D29" s="9"/>
      <c r="E29" s="9"/>
      <c r="F29" s="6"/>
      <c r="G29" s="6"/>
      <c r="H29" s="13"/>
      <c r="I29" s="9"/>
      <c r="J29" s="6"/>
      <c r="K29" s="9"/>
      <c r="L29" s="9"/>
      <c r="M29" s="9"/>
      <c r="N29" s="9"/>
      <c r="O29" s="9"/>
      <c r="P29" s="9"/>
      <c r="Q29" s="9"/>
      <c r="R29" s="9"/>
      <c r="S29" s="9"/>
      <c r="T29" s="9"/>
      <c r="U29" s="36"/>
    </row>
    <row r="30" spans="1:21" ht="12.75">
      <c r="A30" s="9"/>
      <c r="B30" s="9"/>
      <c r="C30" s="9"/>
      <c r="D30" s="9"/>
      <c r="E30" s="9"/>
      <c r="F30" s="6"/>
      <c r="G30" s="6"/>
      <c r="H30" s="13"/>
      <c r="I30" s="9"/>
      <c r="J30" s="6"/>
      <c r="K30" s="9"/>
      <c r="L30" s="9"/>
      <c r="M30" s="9"/>
      <c r="N30" s="9"/>
      <c r="O30" s="9"/>
      <c r="P30" s="9"/>
      <c r="Q30" s="9"/>
      <c r="R30" s="9"/>
      <c r="S30" s="9"/>
      <c r="T30" s="9"/>
      <c r="U30" s="36"/>
    </row>
    <row r="31" spans="1:21" ht="12.75">
      <c r="A31" s="9"/>
      <c r="B31" s="9"/>
      <c r="C31" s="9"/>
      <c r="D31" s="9"/>
      <c r="E31" s="9"/>
      <c r="F31" s="6"/>
      <c r="G31" s="6"/>
      <c r="H31" s="13"/>
      <c r="I31" s="9"/>
      <c r="J31" s="6"/>
      <c r="K31" s="9"/>
      <c r="L31" s="9"/>
      <c r="M31" s="9"/>
      <c r="N31" s="9"/>
      <c r="O31" s="9"/>
      <c r="P31" s="9"/>
      <c r="Q31" s="9"/>
      <c r="R31" s="9"/>
      <c r="S31" s="9"/>
      <c r="T31" s="9"/>
      <c r="U31" s="36"/>
    </row>
    <row r="32" spans="1:21" ht="12.75">
      <c r="A32" s="9"/>
      <c r="B32" s="9"/>
      <c r="C32" s="9"/>
      <c r="D32" s="9"/>
      <c r="E32" s="9"/>
      <c r="F32" s="6"/>
      <c r="G32" s="6"/>
      <c r="H32" s="13"/>
      <c r="I32" s="9"/>
      <c r="J32" s="6"/>
      <c r="K32" s="9"/>
      <c r="L32" s="9"/>
      <c r="M32" s="9"/>
      <c r="N32" s="9"/>
      <c r="O32" s="9"/>
      <c r="P32" s="9"/>
      <c r="Q32" s="9"/>
      <c r="R32" s="9"/>
      <c r="S32" s="9"/>
      <c r="T32" s="9"/>
      <c r="U32" s="36"/>
    </row>
    <row r="33" spans="1:21" ht="12.75">
      <c r="A33" s="9"/>
      <c r="B33" s="9"/>
      <c r="C33" s="9"/>
      <c r="D33" s="9"/>
      <c r="E33" s="9"/>
      <c r="F33" s="6"/>
      <c r="G33" s="6"/>
      <c r="H33" s="13"/>
      <c r="I33" s="9"/>
      <c r="J33" s="6"/>
      <c r="K33" s="9"/>
      <c r="L33" s="9"/>
      <c r="M33" s="9"/>
      <c r="N33" s="9"/>
      <c r="O33" s="9"/>
      <c r="P33" s="9"/>
      <c r="Q33" s="9"/>
      <c r="R33" s="9"/>
      <c r="S33" s="9"/>
      <c r="T33" s="9"/>
      <c r="U33" s="36"/>
    </row>
    <row r="34" spans="1:21" ht="12.75">
      <c r="A34" s="9"/>
      <c r="B34" s="9"/>
      <c r="C34" s="9"/>
      <c r="D34" s="9"/>
      <c r="E34" s="9"/>
      <c r="F34" s="6"/>
      <c r="G34" s="6"/>
      <c r="H34" s="13"/>
      <c r="I34" s="9"/>
      <c r="J34" s="6"/>
      <c r="K34" s="9"/>
      <c r="L34" s="9"/>
      <c r="M34" s="9"/>
      <c r="N34" s="9"/>
      <c r="O34" s="9"/>
      <c r="P34" s="9"/>
      <c r="Q34" s="9"/>
      <c r="R34" s="9"/>
      <c r="S34" s="9"/>
      <c r="T34" s="9"/>
      <c r="U34" s="36"/>
    </row>
    <row r="35" spans="1:21" ht="12.75">
      <c r="A35" s="9"/>
      <c r="B35" s="9"/>
      <c r="C35" s="9"/>
      <c r="D35" s="9"/>
      <c r="E35" s="9"/>
      <c r="F35" s="6"/>
      <c r="G35" s="6"/>
      <c r="H35" s="13"/>
      <c r="I35" s="9"/>
      <c r="J35" s="6"/>
      <c r="K35" s="9"/>
      <c r="L35" s="9"/>
      <c r="M35" s="9"/>
      <c r="N35" s="9"/>
      <c r="O35" s="9"/>
      <c r="P35" s="9"/>
      <c r="Q35" s="9"/>
      <c r="R35" s="9"/>
      <c r="S35" s="9"/>
      <c r="T35" s="9"/>
      <c r="U35" s="36"/>
    </row>
    <row r="36" spans="1:21" ht="12.75">
      <c r="A36" s="9"/>
      <c r="B36" s="9"/>
      <c r="C36" s="9"/>
      <c r="D36" s="9"/>
      <c r="E36" s="9"/>
      <c r="F36" s="6"/>
      <c r="G36" s="6"/>
      <c r="H36" s="13"/>
      <c r="I36" s="9"/>
      <c r="J36" s="6"/>
      <c r="K36" s="9"/>
      <c r="L36" s="9"/>
      <c r="M36" s="9"/>
      <c r="N36" s="9"/>
      <c r="O36" s="9"/>
      <c r="P36" s="9"/>
      <c r="Q36" s="9"/>
      <c r="R36" s="9"/>
      <c r="S36" s="9"/>
      <c r="T36" s="9"/>
      <c r="U36" s="36"/>
    </row>
    <row r="37" spans="1:21" ht="12.75">
      <c r="A37" s="9"/>
      <c r="B37" s="9"/>
      <c r="C37" s="9"/>
      <c r="D37" s="9"/>
      <c r="E37" s="9"/>
      <c r="F37" s="6"/>
      <c r="G37" s="6"/>
      <c r="H37" s="13"/>
      <c r="I37" s="9"/>
      <c r="J37" s="6"/>
      <c r="K37" s="9"/>
      <c r="L37" s="9"/>
      <c r="M37" s="9"/>
      <c r="N37" s="9"/>
      <c r="O37" s="9"/>
      <c r="P37" s="9"/>
      <c r="Q37" s="9"/>
      <c r="R37" s="9"/>
      <c r="S37" s="9"/>
      <c r="T37" s="9"/>
      <c r="U37" s="36"/>
    </row>
    <row r="38" spans="1:21" ht="12.75">
      <c r="A38" s="9"/>
      <c r="B38" s="9"/>
      <c r="C38" s="9"/>
      <c r="D38" s="9"/>
      <c r="E38" s="9"/>
      <c r="F38" s="6"/>
      <c r="G38" s="6"/>
      <c r="H38" s="13"/>
      <c r="I38" s="9"/>
      <c r="J38" s="6"/>
      <c r="K38" s="9"/>
      <c r="L38" s="9"/>
      <c r="M38" s="9"/>
      <c r="N38" s="9"/>
      <c r="O38" s="9"/>
      <c r="P38" s="9"/>
      <c r="Q38" s="9"/>
      <c r="R38" s="9"/>
      <c r="S38" s="9"/>
      <c r="T38" s="9"/>
      <c r="U38" s="36"/>
    </row>
    <row r="39" spans="1:21" ht="12.75">
      <c r="A39" s="9"/>
      <c r="B39" s="9"/>
      <c r="C39" s="9"/>
      <c r="D39" s="9"/>
      <c r="E39" s="9"/>
      <c r="F39" s="6"/>
      <c r="G39" s="6"/>
      <c r="H39" s="13"/>
      <c r="I39" s="9"/>
      <c r="J39" s="6"/>
      <c r="K39" s="9"/>
      <c r="L39" s="9"/>
      <c r="M39" s="9"/>
      <c r="N39" s="9"/>
      <c r="O39" s="9"/>
      <c r="P39" s="9"/>
      <c r="Q39" s="9"/>
      <c r="R39" s="9"/>
      <c r="S39" s="9"/>
      <c r="T39" s="9"/>
      <c r="U39" s="36"/>
    </row>
    <row r="40" spans="1:21" ht="12.75">
      <c r="A40" s="9"/>
      <c r="B40" s="9"/>
      <c r="C40" s="9"/>
      <c r="D40" s="9"/>
      <c r="E40" s="9"/>
      <c r="F40" s="6"/>
      <c r="G40" s="6"/>
      <c r="H40" s="13"/>
      <c r="I40" s="9"/>
      <c r="J40" s="6"/>
      <c r="K40" s="9"/>
      <c r="L40" s="9"/>
      <c r="M40" s="9"/>
      <c r="N40" s="9"/>
      <c r="O40" s="9"/>
      <c r="P40" s="9"/>
      <c r="Q40" s="9"/>
      <c r="R40" s="9"/>
      <c r="S40" s="9"/>
      <c r="T40" s="9"/>
      <c r="U40" s="36"/>
    </row>
    <row r="41" spans="1:21" ht="12.75">
      <c r="A41" s="9"/>
      <c r="B41" s="9"/>
      <c r="C41" s="9"/>
      <c r="D41" s="9"/>
      <c r="E41" s="9"/>
      <c r="F41" s="6"/>
      <c r="G41" s="6"/>
      <c r="H41" s="13"/>
      <c r="I41" s="9"/>
      <c r="J41" s="6"/>
      <c r="K41" s="9"/>
      <c r="L41" s="9"/>
      <c r="M41" s="9"/>
      <c r="N41" s="9"/>
      <c r="O41" s="9"/>
      <c r="P41" s="9"/>
      <c r="Q41" s="9"/>
      <c r="R41" s="9"/>
      <c r="S41" s="9"/>
      <c r="T41" s="9"/>
      <c r="U41" s="36"/>
    </row>
    <row r="42" spans="1:21" ht="12.75">
      <c r="A42" s="9"/>
      <c r="B42" s="9"/>
      <c r="C42" s="9"/>
      <c r="D42" s="9"/>
      <c r="E42" s="9"/>
      <c r="F42" s="6"/>
      <c r="G42" s="6"/>
      <c r="H42" s="13"/>
      <c r="I42" s="9"/>
      <c r="J42" s="6"/>
      <c r="K42" s="9"/>
      <c r="L42" s="9"/>
      <c r="M42" s="9"/>
      <c r="N42" s="9"/>
      <c r="O42" s="9"/>
      <c r="P42" s="9"/>
      <c r="Q42" s="9"/>
      <c r="R42" s="9"/>
      <c r="S42" s="9"/>
      <c r="T42" s="9"/>
      <c r="U42" s="36"/>
    </row>
    <row r="43" spans="1:21" ht="12.75">
      <c r="A43" s="9"/>
      <c r="B43" s="9"/>
      <c r="C43" s="9"/>
      <c r="D43" s="9"/>
      <c r="E43" s="9"/>
      <c r="F43" s="6"/>
      <c r="G43" s="6"/>
      <c r="H43" s="13"/>
      <c r="I43" s="9"/>
      <c r="J43" s="6"/>
      <c r="K43" s="9"/>
      <c r="L43" s="9"/>
      <c r="M43" s="9"/>
      <c r="N43" s="9"/>
      <c r="O43" s="9"/>
      <c r="P43" s="9"/>
      <c r="Q43" s="9"/>
      <c r="R43" s="9"/>
      <c r="S43" s="9"/>
      <c r="T43" s="9"/>
      <c r="U43" s="36"/>
    </row>
    <row r="44" spans="1:21" ht="12.75">
      <c r="A44" s="9"/>
      <c r="B44" s="9"/>
      <c r="C44" s="9"/>
      <c r="D44" s="9"/>
      <c r="E44" s="9"/>
      <c r="F44" s="6"/>
      <c r="G44" s="6"/>
      <c r="H44" s="13"/>
      <c r="I44" s="9"/>
      <c r="J44" s="6"/>
      <c r="K44" s="9"/>
      <c r="L44" s="9"/>
      <c r="M44" s="9"/>
      <c r="N44" s="9"/>
      <c r="O44" s="9"/>
      <c r="P44" s="9"/>
      <c r="Q44" s="9"/>
      <c r="R44" s="9"/>
      <c r="S44" s="9"/>
      <c r="T44" s="9"/>
      <c r="U44" s="36"/>
    </row>
    <row r="45" spans="1:21" ht="12.75">
      <c r="A45" s="44"/>
      <c r="B45" s="44"/>
      <c r="C45" s="44"/>
      <c r="D45" s="44"/>
      <c r="E45" s="44"/>
      <c r="F45" s="34"/>
      <c r="G45" s="34"/>
      <c r="H45" s="45"/>
      <c r="I45" s="44"/>
      <c r="J45" s="34"/>
      <c r="K45" s="44"/>
      <c r="L45" s="44"/>
      <c r="M45" s="44"/>
      <c r="N45" s="44"/>
      <c r="O45" s="44"/>
      <c r="P45" s="44"/>
      <c r="Q45" s="44"/>
      <c r="R45" s="44"/>
      <c r="S45" s="44"/>
      <c r="T45" s="44"/>
      <c r="U45" s="36"/>
    </row>
    <row r="46" spans="1:21" ht="12.75">
      <c r="A46" s="44"/>
      <c r="B46" s="44"/>
      <c r="C46" s="44"/>
      <c r="D46" s="44"/>
      <c r="E46" s="44"/>
      <c r="F46" s="34"/>
      <c r="G46" s="34"/>
      <c r="H46" s="45"/>
      <c r="I46" s="44"/>
      <c r="J46" s="34"/>
      <c r="K46" s="44"/>
      <c r="L46" s="44"/>
      <c r="M46" s="44"/>
      <c r="N46" s="44"/>
      <c r="O46" s="44"/>
      <c r="P46" s="44"/>
      <c r="Q46" s="44"/>
      <c r="R46" s="44"/>
      <c r="S46" s="44"/>
      <c r="T46" s="44"/>
      <c r="U46" s="36"/>
    </row>
    <row r="47" spans="1:21" ht="12.75">
      <c r="A47" s="44"/>
      <c r="B47" s="44"/>
      <c r="C47" s="44"/>
      <c r="D47" s="44"/>
      <c r="E47" s="44"/>
      <c r="F47" s="34"/>
      <c r="G47" s="34"/>
      <c r="H47" s="45"/>
      <c r="I47" s="44"/>
      <c r="J47" s="34"/>
      <c r="K47" s="44"/>
      <c r="L47" s="44"/>
      <c r="M47" s="44"/>
      <c r="N47" s="44"/>
      <c r="O47" s="44"/>
      <c r="P47" s="44"/>
      <c r="Q47" s="44"/>
      <c r="R47" s="44"/>
      <c r="S47" s="44"/>
      <c r="T47" s="44"/>
      <c r="U47" s="36"/>
    </row>
    <row r="48" spans="1:21" ht="12.75">
      <c r="A48" s="44"/>
      <c r="B48" s="44"/>
      <c r="C48" s="44"/>
      <c r="D48" s="44"/>
      <c r="E48" s="44"/>
      <c r="F48" s="34"/>
      <c r="G48" s="34"/>
      <c r="H48" s="45"/>
      <c r="I48" s="44"/>
      <c r="J48" s="34"/>
      <c r="K48" s="44"/>
      <c r="L48" s="44"/>
      <c r="M48" s="44"/>
      <c r="N48" s="44"/>
      <c r="O48" s="44"/>
      <c r="P48" s="44"/>
      <c r="Q48" s="44"/>
      <c r="R48" s="44"/>
      <c r="S48" s="44"/>
      <c r="T48" s="44"/>
      <c r="U48" s="36"/>
    </row>
    <row r="49" spans="1:21" ht="12.75">
      <c r="A49" s="44"/>
      <c r="B49" s="44"/>
      <c r="C49" s="44"/>
      <c r="D49" s="44"/>
      <c r="E49" s="44"/>
      <c r="F49" s="34"/>
      <c r="G49" s="34"/>
      <c r="H49" s="45"/>
      <c r="I49" s="44"/>
      <c r="J49" s="34"/>
      <c r="K49" s="44"/>
      <c r="L49" s="44"/>
      <c r="M49" s="44"/>
      <c r="N49" s="44"/>
      <c r="O49" s="44"/>
      <c r="P49" s="44"/>
      <c r="Q49" s="44"/>
      <c r="R49" s="44"/>
      <c r="S49" s="44"/>
      <c r="T49" s="44"/>
      <c r="U49" s="36"/>
    </row>
    <row r="50" spans="1:21" ht="12.75">
      <c r="A50" s="44"/>
      <c r="B50" s="44"/>
      <c r="C50" s="44"/>
      <c r="D50" s="44"/>
      <c r="E50" s="44"/>
      <c r="F50" s="34"/>
      <c r="G50" s="34"/>
      <c r="H50" s="45"/>
      <c r="I50" s="44"/>
      <c r="J50" s="34"/>
      <c r="K50" s="44"/>
      <c r="L50" s="44"/>
      <c r="M50" s="44"/>
      <c r="N50" s="44"/>
      <c r="O50" s="44"/>
      <c r="P50" s="44"/>
      <c r="Q50" s="44"/>
      <c r="R50" s="44"/>
      <c r="S50" s="44"/>
      <c r="T50" s="44"/>
      <c r="U50" s="36"/>
    </row>
    <row r="51" spans="1:21" ht="12.75">
      <c r="A51" s="44"/>
      <c r="B51" s="44"/>
      <c r="C51" s="44"/>
      <c r="D51" s="44"/>
      <c r="E51" s="44"/>
      <c r="F51" s="34"/>
      <c r="G51" s="34"/>
      <c r="H51" s="45"/>
      <c r="I51" s="44"/>
      <c r="J51" s="34"/>
      <c r="K51" s="44"/>
      <c r="L51" s="44"/>
      <c r="M51" s="44"/>
      <c r="N51" s="44"/>
      <c r="O51" s="44"/>
      <c r="P51" s="44"/>
      <c r="Q51" s="44"/>
      <c r="R51" s="44"/>
      <c r="S51" s="44"/>
      <c r="T51" s="44"/>
      <c r="U51" s="36"/>
    </row>
    <row r="52" spans="1:21" ht="12.75">
      <c r="A52" s="44"/>
      <c r="B52" s="44"/>
      <c r="C52" s="44"/>
      <c r="D52" s="44"/>
      <c r="E52" s="44"/>
      <c r="F52" s="34"/>
      <c r="G52" s="34"/>
      <c r="H52" s="45"/>
      <c r="I52" s="44"/>
      <c r="J52" s="34"/>
      <c r="K52" s="44"/>
      <c r="L52" s="44"/>
      <c r="M52" s="44"/>
      <c r="N52" s="44"/>
      <c r="O52" s="44"/>
      <c r="P52" s="44"/>
      <c r="Q52" s="44"/>
      <c r="R52" s="44"/>
      <c r="S52" s="44"/>
      <c r="T52" s="44"/>
      <c r="U52" s="36"/>
    </row>
    <row r="53" spans="1:21" ht="12.75">
      <c r="A53" s="44"/>
      <c r="B53" s="44"/>
      <c r="C53" s="44"/>
      <c r="D53" s="44"/>
      <c r="E53" s="44"/>
      <c r="F53" s="34"/>
      <c r="G53" s="34"/>
      <c r="H53" s="45"/>
      <c r="I53" s="44"/>
      <c r="J53" s="34"/>
      <c r="K53" s="44"/>
      <c r="L53" s="44"/>
      <c r="M53" s="44"/>
      <c r="N53" s="44"/>
      <c r="O53" s="44"/>
      <c r="P53" s="44"/>
      <c r="Q53" s="44"/>
      <c r="R53" s="44"/>
      <c r="S53" s="44"/>
      <c r="T53" s="44"/>
      <c r="U53" s="36"/>
    </row>
    <row r="54" spans="1:21" ht="12.75">
      <c r="A54" s="44"/>
      <c r="B54" s="44"/>
      <c r="C54" s="44"/>
      <c r="D54" s="44"/>
      <c r="E54" s="44"/>
      <c r="F54" s="34"/>
      <c r="G54" s="34"/>
      <c r="H54" s="45"/>
      <c r="I54" s="44"/>
      <c r="J54" s="34"/>
      <c r="K54" s="44"/>
      <c r="L54" s="44"/>
      <c r="M54" s="44"/>
      <c r="N54" s="44"/>
      <c r="O54" s="44"/>
      <c r="P54" s="44"/>
      <c r="Q54" s="44"/>
      <c r="R54" s="44"/>
      <c r="S54" s="44"/>
      <c r="T54" s="44"/>
      <c r="U54" s="36"/>
    </row>
    <row r="55" spans="1:21" ht="12.75">
      <c r="A55" s="44"/>
      <c r="B55" s="44"/>
      <c r="C55" s="44"/>
      <c r="D55" s="44"/>
      <c r="E55" s="44"/>
      <c r="F55" s="34"/>
      <c r="G55" s="34"/>
      <c r="H55" s="45"/>
      <c r="I55" s="44"/>
      <c r="J55" s="34"/>
      <c r="K55" s="44"/>
      <c r="L55" s="44"/>
      <c r="M55" s="44"/>
      <c r="N55" s="44"/>
      <c r="O55" s="44"/>
      <c r="P55" s="44"/>
      <c r="Q55" s="44"/>
      <c r="R55" s="44"/>
      <c r="S55" s="44"/>
      <c r="T55" s="44"/>
      <c r="U55" s="36"/>
    </row>
    <row r="56" spans="1:21" ht="12.75">
      <c r="A56" s="44"/>
      <c r="B56" s="44"/>
      <c r="C56" s="44"/>
      <c r="D56" s="44"/>
      <c r="E56" s="44"/>
      <c r="F56" s="34"/>
      <c r="G56" s="34"/>
      <c r="H56" s="45"/>
      <c r="I56" s="44"/>
      <c r="J56" s="34"/>
      <c r="K56" s="44"/>
      <c r="L56" s="44"/>
      <c r="M56" s="44"/>
      <c r="N56" s="44"/>
      <c r="O56" s="44"/>
      <c r="P56" s="44"/>
      <c r="Q56" s="44"/>
      <c r="R56" s="44"/>
      <c r="S56" s="44"/>
      <c r="T56" s="44"/>
      <c r="U56" s="36"/>
    </row>
    <row r="57" spans="1:21" ht="12.75">
      <c r="A57" s="44"/>
      <c r="B57" s="44"/>
      <c r="C57" s="44"/>
      <c r="D57" s="44"/>
      <c r="E57" s="44"/>
      <c r="F57" s="34"/>
      <c r="G57" s="34"/>
      <c r="H57" s="45"/>
      <c r="I57" s="44"/>
      <c r="J57" s="34"/>
      <c r="K57" s="44"/>
      <c r="L57" s="44"/>
      <c r="M57" s="44"/>
      <c r="N57" s="44"/>
      <c r="O57" s="44"/>
      <c r="P57" s="44"/>
      <c r="Q57" s="44"/>
      <c r="R57" s="44"/>
      <c r="S57" s="44"/>
      <c r="T57" s="44"/>
      <c r="U57" s="36"/>
    </row>
    <row r="58" spans="1:21" ht="12.75">
      <c r="A58" s="44"/>
      <c r="B58" s="44"/>
      <c r="C58" s="44"/>
      <c r="D58" s="44"/>
      <c r="E58" s="44"/>
      <c r="F58" s="34"/>
      <c r="G58" s="34"/>
      <c r="H58" s="45"/>
      <c r="I58" s="44"/>
      <c r="J58" s="34"/>
      <c r="K58" s="44"/>
      <c r="L58" s="44"/>
      <c r="M58" s="44"/>
      <c r="N58" s="44"/>
      <c r="O58" s="44"/>
      <c r="P58" s="44"/>
      <c r="Q58" s="44"/>
      <c r="R58" s="44"/>
      <c r="S58" s="44"/>
      <c r="T58" s="44"/>
      <c r="U58" s="36"/>
    </row>
    <row r="59" spans="1:21" ht="12.75">
      <c r="A59" s="44"/>
      <c r="B59" s="44"/>
      <c r="C59" s="44"/>
      <c r="D59" s="44"/>
      <c r="E59" s="44"/>
      <c r="F59" s="34"/>
      <c r="G59" s="34"/>
      <c r="H59" s="45"/>
      <c r="I59" s="44"/>
      <c r="J59" s="34"/>
      <c r="K59" s="44"/>
      <c r="L59" s="44"/>
      <c r="M59" s="44"/>
      <c r="N59" s="44"/>
      <c r="O59" s="44"/>
      <c r="P59" s="44"/>
      <c r="Q59" s="44"/>
      <c r="R59" s="44"/>
      <c r="S59" s="44"/>
      <c r="T59" s="44"/>
      <c r="U59" s="36"/>
    </row>
    <row r="60" spans="1:21" ht="12.75">
      <c r="A60" s="44"/>
      <c r="B60" s="44"/>
      <c r="C60" s="44"/>
      <c r="D60" s="44"/>
      <c r="E60" s="44"/>
      <c r="F60" s="34"/>
      <c r="G60" s="34"/>
      <c r="H60" s="45"/>
      <c r="I60" s="44"/>
      <c r="J60" s="34"/>
      <c r="K60" s="44"/>
      <c r="L60" s="44"/>
      <c r="M60" s="44"/>
      <c r="N60" s="44"/>
      <c r="O60" s="44"/>
      <c r="P60" s="44"/>
      <c r="Q60" s="44"/>
      <c r="R60" s="44"/>
      <c r="S60" s="44"/>
      <c r="T60" s="44"/>
      <c r="U60" s="36"/>
    </row>
    <row r="61" spans="1:21" ht="12.75">
      <c r="A61" s="44"/>
      <c r="B61" s="44"/>
      <c r="C61" s="44"/>
      <c r="D61" s="44"/>
      <c r="E61" s="44"/>
      <c r="F61" s="34"/>
      <c r="G61" s="34"/>
      <c r="H61" s="45"/>
      <c r="I61" s="44"/>
      <c r="J61" s="34"/>
      <c r="K61" s="44"/>
      <c r="L61" s="44"/>
      <c r="M61" s="44"/>
      <c r="N61" s="44"/>
      <c r="O61" s="44"/>
      <c r="P61" s="44"/>
      <c r="Q61" s="44"/>
      <c r="R61" s="44"/>
      <c r="S61" s="44"/>
      <c r="T61" s="44"/>
      <c r="U61" s="36"/>
    </row>
    <row r="62" spans="1:21" ht="12.75">
      <c r="A62" s="44"/>
      <c r="B62" s="44"/>
      <c r="C62" s="44"/>
      <c r="D62" s="44"/>
      <c r="E62" s="44"/>
      <c r="F62" s="34"/>
      <c r="G62" s="34"/>
      <c r="H62" s="45"/>
      <c r="I62" s="44"/>
      <c r="J62" s="34"/>
      <c r="K62" s="44"/>
      <c r="L62" s="44"/>
      <c r="M62" s="44"/>
      <c r="N62" s="44"/>
      <c r="O62" s="44"/>
      <c r="P62" s="44"/>
      <c r="Q62" s="44"/>
      <c r="R62" s="44"/>
      <c r="S62" s="44"/>
      <c r="T62" s="44"/>
      <c r="U62" s="36"/>
    </row>
    <row r="63" spans="1:21" ht="12.75">
      <c r="A63" s="44"/>
      <c r="B63" s="44"/>
      <c r="C63" s="44"/>
      <c r="D63" s="44"/>
      <c r="E63" s="44"/>
      <c r="F63" s="34"/>
      <c r="G63" s="34"/>
      <c r="H63" s="45"/>
      <c r="I63" s="44"/>
      <c r="J63" s="34"/>
      <c r="K63" s="44"/>
      <c r="L63" s="44"/>
      <c r="M63" s="44"/>
      <c r="N63" s="44"/>
      <c r="O63" s="44"/>
      <c r="P63" s="44"/>
      <c r="Q63" s="44"/>
      <c r="R63" s="44"/>
      <c r="S63" s="44"/>
      <c r="T63" s="44"/>
      <c r="U63" s="36"/>
    </row>
    <row r="64" spans="1:21" ht="12.75">
      <c r="A64" s="44"/>
      <c r="B64" s="44"/>
      <c r="C64" s="44"/>
      <c r="D64" s="44"/>
      <c r="E64" s="44"/>
      <c r="F64" s="34"/>
      <c r="G64" s="34"/>
      <c r="H64" s="45"/>
      <c r="I64" s="44"/>
      <c r="J64" s="34"/>
      <c r="K64" s="44"/>
      <c r="L64" s="44"/>
      <c r="M64" s="44"/>
      <c r="N64" s="44"/>
      <c r="O64" s="44"/>
      <c r="P64" s="44"/>
      <c r="Q64" s="44"/>
      <c r="R64" s="44"/>
      <c r="S64" s="44"/>
      <c r="T64" s="44"/>
      <c r="U64" s="36"/>
    </row>
    <row r="65" spans="1:21" ht="12.75">
      <c r="A65" s="44"/>
      <c r="B65" s="44"/>
      <c r="C65" s="44"/>
      <c r="D65" s="44"/>
      <c r="E65" s="44"/>
      <c r="F65" s="34"/>
      <c r="G65" s="34"/>
      <c r="H65" s="45"/>
      <c r="I65" s="44"/>
      <c r="J65" s="34"/>
      <c r="K65" s="44"/>
      <c r="L65" s="44"/>
      <c r="M65" s="44"/>
      <c r="N65" s="44"/>
      <c r="O65" s="44"/>
      <c r="P65" s="44"/>
      <c r="Q65" s="44"/>
      <c r="R65" s="44"/>
      <c r="S65" s="44"/>
      <c r="T65" s="44"/>
      <c r="U65" s="36"/>
    </row>
    <row r="66" spans="1:21" ht="12.75">
      <c r="A66" s="44"/>
      <c r="B66" s="44"/>
      <c r="C66" s="44"/>
      <c r="D66" s="44"/>
      <c r="E66" s="44"/>
      <c r="F66" s="34"/>
      <c r="G66" s="34"/>
      <c r="H66" s="45"/>
      <c r="I66" s="44"/>
      <c r="J66" s="34"/>
      <c r="K66" s="44"/>
      <c r="L66" s="44"/>
      <c r="M66" s="44"/>
      <c r="N66" s="44"/>
      <c r="O66" s="44"/>
      <c r="P66" s="44"/>
      <c r="Q66" s="44"/>
      <c r="R66" s="44"/>
      <c r="S66" s="44"/>
      <c r="T66" s="44"/>
      <c r="U66" s="36"/>
    </row>
    <row r="67" spans="1:21" ht="12.75">
      <c r="A67" s="44"/>
      <c r="B67" s="44"/>
      <c r="C67" s="44"/>
      <c r="D67" s="44"/>
      <c r="E67" s="44"/>
      <c r="F67" s="34"/>
      <c r="G67" s="34"/>
      <c r="H67" s="45"/>
      <c r="I67" s="44"/>
      <c r="J67" s="34"/>
      <c r="K67" s="44"/>
      <c r="L67" s="44"/>
      <c r="M67" s="44"/>
      <c r="N67" s="44"/>
      <c r="O67" s="44"/>
      <c r="P67" s="44"/>
      <c r="Q67" s="44"/>
      <c r="R67" s="44"/>
      <c r="S67" s="44"/>
      <c r="T67" s="44"/>
      <c r="U67" s="36"/>
    </row>
    <row r="68" spans="1:21" ht="12.75">
      <c r="A68" s="44"/>
      <c r="B68" s="44"/>
      <c r="C68" s="44"/>
      <c r="D68" s="44"/>
      <c r="E68" s="44"/>
      <c r="F68" s="34"/>
      <c r="G68" s="34"/>
      <c r="H68" s="45"/>
      <c r="I68" s="44"/>
      <c r="J68" s="34"/>
      <c r="K68" s="44"/>
      <c r="L68" s="44"/>
      <c r="M68" s="44"/>
      <c r="N68" s="44"/>
      <c r="O68" s="44"/>
      <c r="P68" s="44"/>
      <c r="Q68" s="44"/>
      <c r="R68" s="44"/>
      <c r="S68" s="44"/>
      <c r="T68" s="44"/>
      <c r="U68" s="36"/>
    </row>
    <row r="69" spans="1:21" ht="12.75">
      <c r="A69" s="44"/>
      <c r="B69" s="44"/>
      <c r="C69" s="44"/>
      <c r="D69" s="44"/>
      <c r="E69" s="44"/>
      <c r="F69" s="34"/>
      <c r="G69" s="34"/>
      <c r="H69" s="45"/>
      <c r="I69" s="44"/>
      <c r="J69" s="34"/>
      <c r="K69" s="44"/>
      <c r="L69" s="44"/>
      <c r="M69" s="44"/>
      <c r="N69" s="44"/>
      <c r="O69" s="44"/>
      <c r="P69" s="44"/>
      <c r="Q69" s="44"/>
      <c r="R69" s="44"/>
      <c r="S69" s="44"/>
      <c r="T69" s="44"/>
      <c r="U69" s="36"/>
    </row>
    <row r="70" spans="1:21" ht="12.75">
      <c r="A70" s="44"/>
      <c r="B70" s="44"/>
      <c r="C70" s="44"/>
      <c r="D70" s="44"/>
      <c r="E70" s="44"/>
      <c r="F70" s="34"/>
      <c r="G70" s="34"/>
      <c r="H70" s="45"/>
      <c r="I70" s="44"/>
      <c r="J70" s="34"/>
      <c r="K70" s="44"/>
      <c r="L70" s="44"/>
      <c r="M70" s="44"/>
      <c r="N70" s="44"/>
      <c r="O70" s="44"/>
      <c r="P70" s="44"/>
      <c r="Q70" s="44"/>
      <c r="R70" s="44"/>
      <c r="S70" s="44"/>
      <c r="T70" s="44"/>
      <c r="U70" s="36"/>
    </row>
    <row r="71" spans="1:21" ht="12.75">
      <c r="A71" s="44"/>
      <c r="B71" s="44"/>
      <c r="C71" s="44"/>
      <c r="D71" s="44"/>
      <c r="E71" s="44"/>
      <c r="F71" s="34"/>
      <c r="G71" s="34"/>
      <c r="H71" s="45"/>
      <c r="I71" s="44"/>
      <c r="J71" s="34"/>
      <c r="K71" s="44"/>
      <c r="L71" s="44"/>
      <c r="M71" s="44"/>
      <c r="N71" s="44"/>
      <c r="O71" s="44"/>
      <c r="P71" s="44"/>
      <c r="Q71" s="44"/>
      <c r="R71" s="44"/>
      <c r="S71" s="44"/>
      <c r="T71" s="44"/>
      <c r="U71" s="36"/>
    </row>
    <row r="72" spans="1:21" ht="12.75">
      <c r="A72" s="44"/>
      <c r="B72" s="44"/>
      <c r="C72" s="44"/>
      <c r="D72" s="44"/>
      <c r="E72" s="44"/>
      <c r="F72" s="34"/>
      <c r="G72" s="34"/>
      <c r="H72" s="45"/>
      <c r="I72" s="44"/>
      <c r="J72" s="34"/>
      <c r="K72" s="44"/>
      <c r="L72" s="44"/>
      <c r="M72" s="44"/>
      <c r="N72" s="44"/>
      <c r="O72" s="44"/>
      <c r="P72" s="44"/>
      <c r="Q72" s="44"/>
      <c r="R72" s="44"/>
      <c r="S72" s="44"/>
      <c r="T72" s="44"/>
      <c r="U72" s="36"/>
    </row>
    <row r="73" spans="1:21" ht="12.75">
      <c r="A73" s="44"/>
      <c r="B73" s="44"/>
      <c r="C73" s="44"/>
      <c r="D73" s="44"/>
      <c r="E73" s="44"/>
      <c r="F73" s="34"/>
      <c r="G73" s="34"/>
      <c r="H73" s="45"/>
      <c r="I73" s="44"/>
      <c r="J73" s="34"/>
      <c r="K73" s="44"/>
      <c r="L73" s="44"/>
      <c r="M73" s="44"/>
      <c r="N73" s="44"/>
      <c r="O73" s="44"/>
      <c r="P73" s="44"/>
      <c r="Q73" s="44"/>
      <c r="R73" s="44"/>
      <c r="S73" s="44"/>
      <c r="T73" s="44"/>
      <c r="U73" s="36"/>
    </row>
    <row r="74" spans="1:21" ht="12.75">
      <c r="A74" s="44"/>
      <c r="B74" s="44"/>
      <c r="C74" s="44"/>
      <c r="D74" s="44"/>
      <c r="E74" s="44"/>
      <c r="F74" s="34"/>
      <c r="G74" s="34"/>
      <c r="H74" s="45"/>
      <c r="I74" s="44"/>
      <c r="J74" s="34"/>
      <c r="K74" s="44"/>
      <c r="L74" s="44"/>
      <c r="M74" s="44"/>
      <c r="N74" s="44"/>
      <c r="O74" s="44"/>
      <c r="P74" s="44"/>
      <c r="Q74" s="44"/>
      <c r="R74" s="44"/>
      <c r="S74" s="44"/>
      <c r="T74" s="44"/>
      <c r="U74" s="36"/>
    </row>
    <row r="75" spans="1:21" ht="12.75">
      <c r="A75" s="44"/>
      <c r="B75" s="44"/>
      <c r="C75" s="44"/>
      <c r="D75" s="44"/>
      <c r="E75" s="44"/>
      <c r="F75" s="34"/>
      <c r="G75" s="34"/>
      <c r="H75" s="45"/>
      <c r="I75" s="44"/>
      <c r="J75" s="34"/>
      <c r="K75" s="44"/>
      <c r="L75" s="44"/>
      <c r="M75" s="44"/>
      <c r="N75" s="44"/>
      <c r="O75" s="44"/>
      <c r="P75" s="44"/>
      <c r="Q75" s="44"/>
      <c r="R75" s="44"/>
      <c r="S75" s="44"/>
      <c r="T75" s="44"/>
      <c r="U75" s="36"/>
    </row>
    <row r="76" spans="1:21" ht="12.75">
      <c r="A76" s="44"/>
      <c r="B76" s="44"/>
      <c r="C76" s="44"/>
      <c r="D76" s="44"/>
      <c r="E76" s="44"/>
      <c r="F76" s="34"/>
      <c r="G76" s="34"/>
      <c r="H76" s="45"/>
      <c r="I76" s="44"/>
      <c r="J76" s="34"/>
      <c r="K76" s="44"/>
      <c r="L76" s="44"/>
      <c r="M76" s="44"/>
      <c r="N76" s="44"/>
      <c r="O76" s="44"/>
      <c r="P76" s="44"/>
      <c r="Q76" s="44"/>
      <c r="R76" s="44"/>
      <c r="S76" s="44"/>
      <c r="T76" s="44"/>
      <c r="U76" s="36"/>
    </row>
    <row r="77" spans="1:21" ht="12.75">
      <c r="A77" s="44"/>
      <c r="B77" s="44"/>
      <c r="C77" s="44"/>
      <c r="D77" s="44"/>
      <c r="E77" s="44"/>
      <c r="F77" s="34"/>
      <c r="G77" s="34"/>
      <c r="H77" s="45"/>
      <c r="I77" s="44"/>
      <c r="J77" s="34"/>
      <c r="K77" s="44"/>
      <c r="L77" s="44"/>
      <c r="M77" s="44"/>
      <c r="N77" s="44"/>
      <c r="O77" s="44"/>
      <c r="P77" s="44"/>
      <c r="Q77" s="44"/>
      <c r="R77" s="44"/>
      <c r="S77" s="44"/>
      <c r="T77" s="44"/>
      <c r="U77" s="36"/>
    </row>
    <row r="78" spans="1:21" ht="12.75">
      <c r="A78" s="44"/>
      <c r="B78" s="44"/>
      <c r="C78" s="44"/>
      <c r="D78" s="44"/>
      <c r="E78" s="44"/>
      <c r="F78" s="34"/>
      <c r="G78" s="34"/>
      <c r="H78" s="45"/>
      <c r="I78" s="44"/>
      <c r="J78" s="34"/>
      <c r="K78" s="44"/>
      <c r="L78" s="44"/>
      <c r="M78" s="44"/>
      <c r="N78" s="44"/>
      <c r="O78" s="44"/>
      <c r="P78" s="44"/>
      <c r="Q78" s="44"/>
      <c r="R78" s="44"/>
      <c r="S78" s="44"/>
      <c r="T78" s="44"/>
      <c r="U78" s="36"/>
    </row>
    <row r="79" spans="1:21" ht="12.75">
      <c r="A79" s="44"/>
      <c r="B79" s="44"/>
      <c r="C79" s="44"/>
      <c r="D79" s="44"/>
      <c r="E79" s="44"/>
      <c r="F79" s="34"/>
      <c r="G79" s="34"/>
      <c r="H79" s="45"/>
      <c r="I79" s="44"/>
      <c r="J79" s="34"/>
      <c r="K79" s="44"/>
      <c r="L79" s="44"/>
      <c r="M79" s="44"/>
      <c r="N79" s="44"/>
      <c r="O79" s="44"/>
      <c r="P79" s="44"/>
      <c r="Q79" s="44"/>
      <c r="R79" s="44"/>
      <c r="S79" s="44"/>
      <c r="T79" s="44"/>
      <c r="U79" s="36"/>
    </row>
    <row r="80" spans="1:21" ht="12.75">
      <c r="A80" s="44"/>
      <c r="B80" s="44"/>
      <c r="C80" s="44"/>
      <c r="D80" s="44"/>
      <c r="E80" s="44"/>
      <c r="F80" s="34"/>
      <c r="G80" s="34"/>
      <c r="H80" s="45"/>
      <c r="I80" s="44"/>
      <c r="J80" s="34"/>
      <c r="K80" s="44"/>
      <c r="L80" s="44"/>
      <c r="M80" s="44"/>
      <c r="N80" s="44"/>
      <c r="O80" s="44"/>
      <c r="P80" s="44"/>
      <c r="Q80" s="44"/>
      <c r="R80" s="44"/>
      <c r="S80" s="44"/>
      <c r="T80" s="44"/>
      <c r="U80" s="36"/>
    </row>
    <row r="81" spans="1:21" ht="12.75">
      <c r="A81" s="44"/>
      <c r="B81" s="44"/>
      <c r="C81" s="44"/>
      <c r="D81" s="44"/>
      <c r="E81" s="44"/>
      <c r="F81" s="34"/>
      <c r="G81" s="34"/>
      <c r="H81" s="45"/>
      <c r="I81" s="44"/>
      <c r="J81" s="34"/>
      <c r="K81" s="44"/>
      <c r="L81" s="44"/>
      <c r="M81" s="44"/>
      <c r="N81" s="44"/>
      <c r="O81" s="44"/>
      <c r="P81" s="44"/>
      <c r="Q81" s="44"/>
      <c r="R81" s="44"/>
      <c r="S81" s="44"/>
      <c r="T81" s="44"/>
      <c r="U81" s="36"/>
    </row>
    <row r="82" spans="1:21" ht="12.75">
      <c r="A82" s="44"/>
      <c r="B82" s="44"/>
      <c r="C82" s="44"/>
      <c r="D82" s="44"/>
      <c r="E82" s="44"/>
      <c r="F82" s="34"/>
      <c r="G82" s="34"/>
      <c r="H82" s="45"/>
      <c r="I82" s="44"/>
      <c r="J82" s="34"/>
      <c r="K82" s="44"/>
      <c r="L82" s="44"/>
      <c r="M82" s="44"/>
      <c r="N82" s="44"/>
      <c r="O82" s="44"/>
      <c r="P82" s="44"/>
      <c r="Q82" s="44"/>
      <c r="R82" s="44"/>
      <c r="S82" s="44"/>
      <c r="T82" s="44"/>
      <c r="U82" s="36"/>
    </row>
    <row r="83" spans="1:21" ht="12.75">
      <c r="A83" s="44"/>
      <c r="B83" s="44"/>
      <c r="C83" s="44"/>
      <c r="D83" s="44"/>
      <c r="E83" s="44"/>
      <c r="F83" s="34"/>
      <c r="G83" s="34"/>
      <c r="H83" s="45"/>
      <c r="I83" s="44"/>
      <c r="J83" s="34"/>
      <c r="K83" s="44"/>
      <c r="L83" s="44"/>
      <c r="M83" s="44"/>
      <c r="N83" s="44"/>
      <c r="O83" s="44"/>
      <c r="P83" s="44"/>
      <c r="Q83" s="44"/>
      <c r="R83" s="44"/>
      <c r="S83" s="44"/>
      <c r="T83" s="44"/>
      <c r="U83" s="36"/>
    </row>
    <row r="84" spans="1:21" ht="12.75">
      <c r="A84" s="44"/>
      <c r="B84" s="44"/>
      <c r="C84" s="44"/>
      <c r="D84" s="44"/>
      <c r="E84" s="44"/>
      <c r="F84" s="34"/>
      <c r="G84" s="34"/>
      <c r="H84" s="45"/>
      <c r="I84" s="44"/>
      <c r="J84" s="34"/>
      <c r="K84" s="44"/>
      <c r="L84" s="44"/>
      <c r="M84" s="44"/>
      <c r="N84" s="44"/>
      <c r="O84" s="44"/>
      <c r="P84" s="44"/>
      <c r="Q84" s="44"/>
      <c r="R84" s="44"/>
      <c r="S84" s="44"/>
      <c r="T84" s="44"/>
      <c r="U84" s="36"/>
    </row>
    <row r="85" spans="1:21" ht="12.75">
      <c r="A85" s="44"/>
      <c r="B85" s="44"/>
      <c r="C85" s="44"/>
      <c r="D85" s="44"/>
      <c r="E85" s="44"/>
      <c r="F85" s="34"/>
      <c r="G85" s="34"/>
      <c r="H85" s="45"/>
      <c r="I85" s="44"/>
      <c r="J85" s="34"/>
      <c r="K85" s="44"/>
      <c r="L85" s="44"/>
      <c r="M85" s="44"/>
      <c r="N85" s="44"/>
      <c r="O85" s="44"/>
      <c r="P85" s="44"/>
      <c r="Q85" s="44"/>
      <c r="R85" s="44"/>
      <c r="S85" s="44"/>
      <c r="T85" s="44"/>
      <c r="U85" s="36"/>
    </row>
    <row r="86" spans="1:21" ht="12.75">
      <c r="A86" s="44"/>
      <c r="B86" s="44"/>
      <c r="C86" s="44"/>
      <c r="D86" s="44"/>
      <c r="E86" s="44"/>
      <c r="F86" s="34"/>
      <c r="G86" s="34"/>
      <c r="H86" s="45"/>
      <c r="I86" s="44"/>
      <c r="J86" s="34"/>
      <c r="K86" s="44"/>
      <c r="L86" s="44"/>
      <c r="M86" s="44"/>
      <c r="N86" s="44"/>
      <c r="O86" s="44"/>
      <c r="P86" s="44"/>
      <c r="Q86" s="44"/>
      <c r="R86" s="44"/>
      <c r="S86" s="44"/>
      <c r="T86" s="44"/>
      <c r="U86" s="36"/>
    </row>
    <row r="87" spans="1:21" ht="12.75">
      <c r="A87" s="44"/>
      <c r="B87" s="44"/>
      <c r="C87" s="44"/>
      <c r="D87" s="44"/>
      <c r="E87" s="44"/>
      <c r="F87" s="34"/>
      <c r="G87" s="34"/>
      <c r="H87" s="45"/>
      <c r="I87" s="44"/>
      <c r="J87" s="34"/>
      <c r="K87" s="44"/>
      <c r="L87" s="44"/>
      <c r="M87" s="44"/>
      <c r="N87" s="44"/>
      <c r="O87" s="44"/>
      <c r="P87" s="44"/>
      <c r="Q87" s="44"/>
      <c r="R87" s="44"/>
      <c r="S87" s="44"/>
      <c r="T87" s="44"/>
      <c r="U87" s="36"/>
    </row>
    <row r="88" spans="1:21" ht="12.75">
      <c r="A88" s="44"/>
      <c r="B88" s="44"/>
      <c r="C88" s="44"/>
      <c r="D88" s="44"/>
      <c r="E88" s="44"/>
      <c r="F88" s="34"/>
      <c r="G88" s="34"/>
      <c r="H88" s="45"/>
      <c r="I88" s="44"/>
      <c r="J88" s="34"/>
      <c r="K88" s="44"/>
      <c r="L88" s="44"/>
      <c r="M88" s="44"/>
      <c r="N88" s="44"/>
      <c r="O88" s="44"/>
      <c r="P88" s="44"/>
      <c r="Q88" s="44"/>
      <c r="R88" s="44"/>
      <c r="S88" s="44"/>
      <c r="T88" s="44"/>
      <c r="U88" s="36"/>
    </row>
    <row r="89" spans="1:21" ht="12.75">
      <c r="A89" s="44"/>
      <c r="B89" s="44"/>
      <c r="C89" s="44"/>
      <c r="D89" s="44"/>
      <c r="E89" s="44"/>
      <c r="F89" s="34"/>
      <c r="G89" s="34"/>
      <c r="H89" s="45"/>
      <c r="I89" s="44"/>
      <c r="J89" s="34"/>
      <c r="K89" s="44"/>
      <c r="L89" s="44"/>
      <c r="M89" s="44"/>
      <c r="N89" s="44"/>
      <c r="O89" s="44"/>
      <c r="P89" s="44"/>
      <c r="Q89" s="44"/>
      <c r="R89" s="44"/>
      <c r="S89" s="44"/>
      <c r="T89" s="44"/>
      <c r="U89" s="36"/>
    </row>
    <row r="90" spans="1:21" ht="12.75">
      <c r="A90" s="44"/>
      <c r="B90" s="44"/>
      <c r="C90" s="44"/>
      <c r="D90" s="44"/>
      <c r="E90" s="44"/>
      <c r="F90" s="34"/>
      <c r="G90" s="34"/>
      <c r="H90" s="45"/>
      <c r="I90" s="44"/>
      <c r="J90" s="34"/>
      <c r="K90" s="44"/>
      <c r="L90" s="44"/>
      <c r="M90" s="44"/>
      <c r="N90" s="44"/>
      <c r="O90" s="44"/>
      <c r="P90" s="44"/>
      <c r="Q90" s="44"/>
      <c r="R90" s="44"/>
      <c r="S90" s="44"/>
      <c r="T90" s="44"/>
      <c r="U90" s="36"/>
    </row>
    <row r="91" spans="1:21" ht="12.75">
      <c r="A91" s="44"/>
      <c r="B91" s="44"/>
      <c r="C91" s="44"/>
      <c r="D91" s="44"/>
      <c r="E91" s="44"/>
      <c r="F91" s="34"/>
      <c r="G91" s="34"/>
      <c r="H91" s="45"/>
      <c r="I91" s="44"/>
      <c r="J91" s="34"/>
      <c r="K91" s="44"/>
      <c r="L91" s="44"/>
      <c r="M91" s="44"/>
      <c r="N91" s="44"/>
      <c r="O91" s="44"/>
      <c r="P91" s="44"/>
      <c r="Q91" s="44"/>
      <c r="R91" s="44"/>
      <c r="S91" s="44"/>
      <c r="T91" s="44"/>
      <c r="U91" s="36"/>
    </row>
    <row r="92" spans="1:21" ht="12.75">
      <c r="A92" s="44"/>
      <c r="B92" s="44"/>
      <c r="C92" s="44"/>
      <c r="D92" s="44"/>
      <c r="E92" s="44"/>
      <c r="F92" s="34"/>
      <c r="G92" s="34"/>
      <c r="H92" s="45"/>
      <c r="I92" s="44"/>
      <c r="J92" s="34"/>
      <c r="K92" s="44"/>
      <c r="L92" s="44"/>
      <c r="M92" s="44"/>
      <c r="N92" s="44"/>
      <c r="O92" s="44"/>
      <c r="P92" s="44"/>
      <c r="Q92" s="44"/>
      <c r="R92" s="44"/>
      <c r="S92" s="44"/>
      <c r="T92" s="44"/>
      <c r="U92" s="36"/>
    </row>
    <row r="93" spans="1:21" ht="12.75">
      <c r="A93" s="44"/>
      <c r="B93" s="44"/>
      <c r="C93" s="44"/>
      <c r="D93" s="44"/>
      <c r="E93" s="44"/>
      <c r="F93" s="34"/>
      <c r="G93" s="34"/>
      <c r="H93" s="45"/>
      <c r="I93" s="44"/>
      <c r="J93" s="34"/>
      <c r="K93" s="44"/>
      <c r="L93" s="44"/>
      <c r="M93" s="44"/>
      <c r="N93" s="44"/>
      <c r="O93" s="44"/>
      <c r="P93" s="44"/>
      <c r="Q93" s="44"/>
      <c r="R93" s="44"/>
      <c r="S93" s="44"/>
      <c r="T93" s="44"/>
      <c r="U93" s="36"/>
    </row>
    <row r="94" spans="1:21" ht="12.75">
      <c r="A94" s="44"/>
      <c r="B94" s="44"/>
      <c r="C94" s="44"/>
      <c r="D94" s="44"/>
      <c r="E94" s="44"/>
      <c r="F94" s="34"/>
      <c r="G94" s="34"/>
      <c r="H94" s="45"/>
      <c r="I94" s="44"/>
      <c r="J94" s="34"/>
      <c r="K94" s="44"/>
      <c r="L94" s="44"/>
      <c r="M94" s="44"/>
      <c r="N94" s="44"/>
      <c r="O94" s="44"/>
      <c r="P94" s="44"/>
      <c r="Q94" s="44"/>
      <c r="R94" s="44"/>
      <c r="S94" s="44"/>
      <c r="T94" s="44"/>
      <c r="U94" s="36"/>
    </row>
    <row r="95" spans="1:21" ht="12.75">
      <c r="A95" s="44"/>
      <c r="B95" s="44"/>
      <c r="C95" s="44"/>
      <c r="D95" s="44"/>
      <c r="E95" s="44"/>
      <c r="F95" s="34"/>
      <c r="G95" s="34"/>
      <c r="H95" s="45"/>
      <c r="I95" s="44"/>
      <c r="J95" s="34"/>
      <c r="K95" s="44"/>
      <c r="L95" s="44"/>
      <c r="M95" s="44"/>
      <c r="N95" s="44"/>
      <c r="O95" s="44"/>
      <c r="P95" s="44"/>
      <c r="Q95" s="44"/>
      <c r="R95" s="44"/>
      <c r="S95" s="44"/>
      <c r="T95" s="44"/>
      <c r="U95" s="36"/>
    </row>
    <row r="96" spans="1:21" ht="12.75">
      <c r="A96" s="44"/>
      <c r="B96" s="44"/>
      <c r="C96" s="44"/>
      <c r="D96" s="44"/>
      <c r="E96" s="44"/>
      <c r="F96" s="34"/>
      <c r="G96" s="34"/>
      <c r="H96" s="45"/>
      <c r="I96" s="44"/>
      <c r="J96" s="34"/>
      <c r="K96" s="44"/>
      <c r="L96" s="44"/>
      <c r="M96" s="44"/>
      <c r="N96" s="44"/>
      <c r="O96" s="44"/>
      <c r="P96" s="44"/>
      <c r="Q96" s="44"/>
      <c r="R96" s="44"/>
      <c r="S96" s="44"/>
      <c r="T96" s="44"/>
      <c r="U96" s="36"/>
    </row>
    <row r="97" spans="1:21" ht="12.75">
      <c r="A97" s="44"/>
      <c r="B97" s="44"/>
      <c r="C97" s="44"/>
      <c r="D97" s="44"/>
      <c r="E97" s="44"/>
      <c r="F97" s="34"/>
      <c r="G97" s="34"/>
      <c r="H97" s="45"/>
      <c r="I97" s="44"/>
      <c r="J97" s="34"/>
      <c r="K97" s="44"/>
      <c r="L97" s="44"/>
      <c r="M97" s="44"/>
      <c r="N97" s="44"/>
      <c r="O97" s="44"/>
      <c r="P97" s="44"/>
      <c r="Q97" s="44"/>
      <c r="R97" s="44"/>
      <c r="S97" s="44"/>
      <c r="T97" s="44"/>
      <c r="U97" s="36"/>
    </row>
    <row r="98" spans="1:21" ht="12.75">
      <c r="A98" s="44"/>
      <c r="B98" s="44"/>
      <c r="C98" s="44"/>
      <c r="D98" s="44"/>
      <c r="E98" s="44"/>
      <c r="F98" s="34"/>
      <c r="G98" s="34"/>
      <c r="H98" s="45"/>
      <c r="I98" s="44"/>
      <c r="J98" s="34"/>
      <c r="K98" s="44"/>
      <c r="L98" s="44"/>
      <c r="M98" s="44"/>
      <c r="N98" s="44"/>
      <c r="O98" s="44"/>
      <c r="P98" s="44"/>
      <c r="Q98" s="44"/>
      <c r="R98" s="44"/>
      <c r="S98" s="44"/>
      <c r="T98" s="44"/>
      <c r="U98" s="36"/>
    </row>
    <row r="99" spans="1:21" ht="12.75">
      <c r="A99" s="44"/>
      <c r="B99" s="44"/>
      <c r="C99" s="44"/>
      <c r="D99" s="44"/>
      <c r="E99" s="44"/>
      <c r="F99" s="34"/>
      <c r="G99" s="34"/>
      <c r="H99" s="45"/>
      <c r="I99" s="44"/>
      <c r="J99" s="34"/>
      <c r="K99" s="44"/>
      <c r="L99" s="44"/>
      <c r="M99" s="44"/>
      <c r="N99" s="44"/>
      <c r="O99" s="44"/>
      <c r="P99" s="44"/>
      <c r="Q99" s="44"/>
      <c r="R99" s="44"/>
      <c r="S99" s="44"/>
      <c r="T99" s="44"/>
      <c r="U99" s="36"/>
    </row>
    <row r="100" spans="1:21" ht="12.75">
      <c r="A100" s="44"/>
      <c r="B100" s="44"/>
      <c r="C100" s="44"/>
      <c r="D100" s="44"/>
      <c r="E100" s="44"/>
      <c r="F100" s="34"/>
      <c r="G100" s="34"/>
      <c r="H100" s="45"/>
      <c r="I100" s="44"/>
      <c r="J100" s="34"/>
      <c r="K100" s="44"/>
      <c r="L100" s="44"/>
      <c r="M100" s="44"/>
      <c r="N100" s="44"/>
      <c r="O100" s="44"/>
      <c r="P100" s="44"/>
      <c r="Q100" s="44"/>
      <c r="R100" s="44"/>
      <c r="S100" s="44"/>
      <c r="T100" s="44"/>
      <c r="U100" s="36"/>
    </row>
    <row r="101" spans="1:21" ht="12.75">
      <c r="A101" s="44"/>
      <c r="B101" s="44"/>
      <c r="C101" s="44"/>
      <c r="D101" s="44"/>
      <c r="E101" s="44"/>
      <c r="F101" s="34"/>
      <c r="G101" s="34"/>
      <c r="H101" s="45"/>
      <c r="I101" s="44"/>
      <c r="J101" s="34"/>
      <c r="K101" s="44"/>
      <c r="L101" s="44"/>
      <c r="M101" s="44"/>
      <c r="N101" s="44"/>
      <c r="O101" s="44"/>
      <c r="P101" s="44"/>
      <c r="Q101" s="44"/>
      <c r="R101" s="44"/>
      <c r="S101" s="44"/>
      <c r="T101" s="44"/>
      <c r="U101" s="36"/>
    </row>
    <row r="102" spans="1:21" ht="12.75">
      <c r="A102" s="44"/>
      <c r="B102" s="44"/>
      <c r="C102" s="44"/>
      <c r="D102" s="44"/>
      <c r="E102" s="44"/>
      <c r="F102" s="34"/>
      <c r="G102" s="34"/>
      <c r="H102" s="45"/>
      <c r="I102" s="44"/>
      <c r="J102" s="34"/>
      <c r="K102" s="44"/>
      <c r="L102" s="44"/>
      <c r="M102" s="44"/>
      <c r="N102" s="44"/>
      <c r="O102" s="44"/>
      <c r="P102" s="44"/>
      <c r="Q102" s="44"/>
      <c r="R102" s="44"/>
      <c r="S102" s="44"/>
      <c r="T102" s="44"/>
      <c r="U102" s="36"/>
    </row>
    <row r="103" spans="1:21" ht="12.75">
      <c r="A103" s="44"/>
      <c r="B103" s="44"/>
      <c r="C103" s="44"/>
      <c r="D103" s="44"/>
      <c r="E103" s="44"/>
      <c r="F103" s="34"/>
      <c r="G103" s="34"/>
      <c r="H103" s="45"/>
      <c r="I103" s="44"/>
      <c r="J103" s="34"/>
      <c r="K103" s="44"/>
      <c r="L103" s="44"/>
      <c r="M103" s="44"/>
      <c r="N103" s="44"/>
      <c r="O103" s="44"/>
      <c r="P103" s="44"/>
      <c r="Q103" s="44"/>
      <c r="R103" s="44"/>
      <c r="S103" s="44"/>
      <c r="T103" s="44"/>
      <c r="U103" s="36"/>
    </row>
    <row r="104" spans="1:21" ht="12.75">
      <c r="A104" s="44"/>
      <c r="B104" s="44"/>
      <c r="C104" s="44"/>
      <c r="D104" s="44"/>
      <c r="E104" s="44"/>
      <c r="F104" s="34"/>
      <c r="G104" s="34"/>
      <c r="H104" s="45"/>
      <c r="I104" s="44"/>
      <c r="J104" s="34"/>
      <c r="K104" s="44"/>
      <c r="L104" s="44"/>
      <c r="M104" s="44"/>
      <c r="N104" s="44"/>
      <c r="O104" s="44"/>
      <c r="P104" s="44"/>
      <c r="Q104" s="44"/>
      <c r="R104" s="44"/>
      <c r="S104" s="44"/>
      <c r="T104" s="44"/>
      <c r="U104" s="36"/>
    </row>
    <row r="105" spans="1:21" ht="12.75">
      <c r="A105" s="44"/>
      <c r="B105" s="44"/>
      <c r="C105" s="44"/>
      <c r="D105" s="44"/>
      <c r="E105" s="44"/>
      <c r="F105" s="34"/>
      <c r="G105" s="34"/>
      <c r="H105" s="45"/>
      <c r="I105" s="44"/>
      <c r="J105" s="34"/>
      <c r="K105" s="44"/>
      <c r="L105" s="44"/>
      <c r="M105" s="44"/>
      <c r="N105" s="44"/>
      <c r="O105" s="44"/>
      <c r="P105" s="44"/>
      <c r="Q105" s="44"/>
      <c r="R105" s="44"/>
      <c r="S105" s="44"/>
      <c r="T105" s="44"/>
      <c r="U105" s="36"/>
    </row>
    <row r="106" spans="1:21" ht="12.75">
      <c r="A106" s="44"/>
      <c r="B106" s="44"/>
      <c r="C106" s="44"/>
      <c r="D106" s="44"/>
      <c r="E106" s="44"/>
      <c r="F106" s="34"/>
      <c r="G106" s="34"/>
      <c r="H106" s="45"/>
      <c r="I106" s="44"/>
      <c r="J106" s="34"/>
      <c r="K106" s="44"/>
      <c r="L106" s="44"/>
      <c r="M106" s="44"/>
      <c r="N106" s="44"/>
      <c r="O106" s="44"/>
      <c r="P106" s="44"/>
      <c r="Q106" s="44"/>
      <c r="R106" s="44"/>
      <c r="S106" s="44"/>
      <c r="T106" s="44"/>
      <c r="U106" s="36"/>
    </row>
    <row r="107" spans="1:21" ht="12.75">
      <c r="A107" s="44"/>
      <c r="B107" s="44"/>
      <c r="C107" s="44"/>
      <c r="D107" s="44"/>
      <c r="E107" s="44"/>
      <c r="F107" s="34"/>
      <c r="G107" s="34"/>
      <c r="H107" s="45"/>
      <c r="I107" s="44"/>
      <c r="J107" s="34"/>
      <c r="K107" s="44"/>
      <c r="L107" s="44"/>
      <c r="M107" s="44"/>
      <c r="N107" s="44"/>
      <c r="O107" s="44"/>
      <c r="P107" s="44"/>
      <c r="Q107" s="44"/>
      <c r="R107" s="44"/>
      <c r="S107" s="44"/>
      <c r="T107" s="44"/>
      <c r="U107" s="36"/>
    </row>
    <row r="108" spans="1:21" ht="12.75">
      <c r="A108" s="44"/>
      <c r="B108" s="44"/>
      <c r="C108" s="44"/>
      <c r="D108" s="44"/>
      <c r="E108" s="44"/>
      <c r="F108" s="34"/>
      <c r="G108" s="34"/>
      <c r="H108" s="45"/>
      <c r="I108" s="44"/>
      <c r="J108" s="34"/>
      <c r="K108" s="44"/>
      <c r="L108" s="44"/>
      <c r="M108" s="44"/>
      <c r="N108" s="44"/>
      <c r="O108" s="44"/>
      <c r="P108" s="44"/>
      <c r="Q108" s="44"/>
      <c r="R108" s="44"/>
      <c r="S108" s="44"/>
      <c r="T108" s="44"/>
      <c r="U108" s="36"/>
    </row>
    <row r="109" spans="1:21" ht="12.75">
      <c r="A109" s="44"/>
      <c r="B109" s="44"/>
      <c r="C109" s="44"/>
      <c r="D109" s="44"/>
      <c r="E109" s="44"/>
      <c r="F109" s="34"/>
      <c r="G109" s="34"/>
      <c r="H109" s="45"/>
      <c r="I109" s="44"/>
      <c r="J109" s="34"/>
      <c r="K109" s="44"/>
      <c r="L109" s="44"/>
      <c r="M109" s="44"/>
      <c r="N109" s="44"/>
      <c r="O109" s="44"/>
      <c r="P109" s="44"/>
      <c r="Q109" s="44"/>
      <c r="R109" s="44"/>
      <c r="S109" s="44"/>
      <c r="T109" s="44"/>
      <c r="U109" s="36"/>
    </row>
    <row r="110" spans="1:21" ht="12.75">
      <c r="A110" s="44"/>
      <c r="B110" s="44"/>
      <c r="C110" s="44"/>
      <c r="D110" s="44"/>
      <c r="E110" s="44"/>
      <c r="F110" s="34"/>
      <c r="G110" s="34"/>
      <c r="H110" s="45"/>
      <c r="I110" s="44"/>
      <c r="J110" s="34"/>
      <c r="K110" s="44"/>
      <c r="L110" s="44"/>
      <c r="M110" s="44"/>
      <c r="N110" s="44"/>
      <c r="O110" s="44"/>
      <c r="P110" s="44"/>
      <c r="Q110" s="44"/>
      <c r="R110" s="44"/>
      <c r="S110" s="44"/>
      <c r="T110" s="44"/>
      <c r="U110" s="36"/>
    </row>
    <row r="111" spans="1:21" ht="12.75">
      <c r="A111" s="44"/>
      <c r="B111" s="44"/>
      <c r="C111" s="44"/>
      <c r="D111" s="44"/>
      <c r="E111" s="44"/>
      <c r="F111" s="34"/>
      <c r="G111" s="34"/>
      <c r="H111" s="45"/>
      <c r="I111" s="44"/>
      <c r="J111" s="34"/>
      <c r="K111" s="44"/>
      <c r="L111" s="44"/>
      <c r="M111" s="44"/>
      <c r="N111" s="44"/>
      <c r="O111" s="44"/>
      <c r="P111" s="44"/>
      <c r="Q111" s="44"/>
      <c r="R111" s="44"/>
      <c r="S111" s="44"/>
      <c r="T111" s="44"/>
      <c r="U111" s="36"/>
    </row>
    <row r="112" spans="1:21" ht="12.75">
      <c r="A112" s="44"/>
      <c r="B112" s="44"/>
      <c r="C112" s="44"/>
      <c r="D112" s="44"/>
      <c r="E112" s="44"/>
      <c r="F112" s="34"/>
      <c r="G112" s="34"/>
      <c r="H112" s="45"/>
      <c r="I112" s="44"/>
      <c r="J112" s="34"/>
      <c r="K112" s="44"/>
      <c r="L112" s="44"/>
      <c r="M112" s="44"/>
      <c r="N112" s="44"/>
      <c r="O112" s="44"/>
      <c r="P112" s="44"/>
      <c r="Q112" s="44"/>
      <c r="R112" s="44"/>
      <c r="S112" s="44"/>
      <c r="T112" s="44"/>
      <c r="U112" s="36"/>
    </row>
    <row r="113" spans="1:21" ht="12.75">
      <c r="A113" s="44"/>
      <c r="B113" s="44"/>
      <c r="C113" s="44"/>
      <c r="D113" s="44"/>
      <c r="E113" s="44"/>
      <c r="F113" s="34"/>
      <c r="G113" s="34"/>
      <c r="H113" s="45"/>
      <c r="I113" s="44"/>
      <c r="J113" s="34"/>
      <c r="K113" s="44"/>
      <c r="L113" s="44"/>
      <c r="M113" s="44"/>
      <c r="N113" s="44"/>
      <c r="O113" s="44"/>
      <c r="P113" s="44"/>
      <c r="Q113" s="44"/>
      <c r="R113" s="44"/>
      <c r="S113" s="44"/>
      <c r="T113" s="44"/>
      <c r="U113" s="36"/>
    </row>
    <row r="114" spans="1:21" ht="12.75">
      <c r="A114" s="44"/>
      <c r="B114" s="44"/>
      <c r="C114" s="44"/>
      <c r="D114" s="44"/>
      <c r="E114" s="44"/>
      <c r="F114" s="34"/>
      <c r="G114" s="34"/>
      <c r="H114" s="45"/>
      <c r="I114" s="44"/>
      <c r="J114" s="34"/>
      <c r="K114" s="44"/>
      <c r="L114" s="44"/>
      <c r="M114" s="44"/>
      <c r="N114" s="44"/>
      <c r="O114" s="44"/>
      <c r="P114" s="44"/>
      <c r="Q114" s="44"/>
      <c r="R114" s="44"/>
      <c r="S114" s="44"/>
      <c r="T114" s="44"/>
      <c r="U114" s="36"/>
    </row>
    <row r="115" spans="1:21" ht="12.75">
      <c r="A115" s="44"/>
      <c r="B115" s="44"/>
      <c r="C115" s="44"/>
      <c r="D115" s="44"/>
      <c r="E115" s="44"/>
      <c r="F115" s="34"/>
      <c r="G115" s="34"/>
      <c r="H115" s="45"/>
      <c r="I115" s="44"/>
      <c r="J115" s="34"/>
      <c r="K115" s="44"/>
      <c r="L115" s="44"/>
      <c r="M115" s="44"/>
      <c r="N115" s="44"/>
      <c r="O115" s="44"/>
      <c r="P115" s="44"/>
      <c r="Q115" s="44"/>
      <c r="R115" s="44"/>
      <c r="S115" s="44"/>
      <c r="T115" s="44"/>
      <c r="U115" s="36"/>
    </row>
    <row r="116" spans="1:21" ht="12.75">
      <c r="A116" s="44"/>
      <c r="B116" s="44"/>
      <c r="C116" s="44"/>
      <c r="D116" s="44"/>
      <c r="E116" s="44"/>
      <c r="F116" s="34"/>
      <c r="G116" s="34"/>
      <c r="H116" s="45"/>
      <c r="I116" s="44"/>
      <c r="J116" s="34"/>
      <c r="K116" s="44"/>
      <c r="L116" s="44"/>
      <c r="M116" s="44"/>
      <c r="N116" s="44"/>
      <c r="O116" s="44"/>
      <c r="P116" s="44"/>
      <c r="Q116" s="44"/>
      <c r="R116" s="44"/>
      <c r="S116" s="44"/>
      <c r="T116" s="44"/>
      <c r="U116" s="36"/>
    </row>
    <row r="117" spans="1:21" ht="12.75">
      <c r="A117" s="44"/>
      <c r="B117" s="44"/>
      <c r="C117" s="44"/>
      <c r="D117" s="44"/>
      <c r="E117" s="44"/>
      <c r="F117" s="34"/>
      <c r="G117" s="34"/>
      <c r="H117" s="45"/>
      <c r="I117" s="44"/>
      <c r="J117" s="34"/>
      <c r="K117" s="44"/>
      <c r="L117" s="44"/>
      <c r="M117" s="44"/>
      <c r="N117" s="44"/>
      <c r="O117" s="44"/>
      <c r="P117" s="44"/>
      <c r="Q117" s="44"/>
      <c r="R117" s="44"/>
      <c r="S117" s="44"/>
      <c r="T117" s="44"/>
      <c r="U117" s="36"/>
    </row>
    <row r="118" spans="1:21" ht="12.75">
      <c r="A118" s="44"/>
      <c r="B118" s="44"/>
      <c r="C118" s="44"/>
      <c r="D118" s="44"/>
      <c r="E118" s="44"/>
      <c r="F118" s="34"/>
      <c r="G118" s="34"/>
      <c r="H118" s="45"/>
      <c r="I118" s="44"/>
      <c r="J118" s="34"/>
      <c r="K118" s="44"/>
      <c r="L118" s="44"/>
      <c r="M118" s="44"/>
      <c r="N118" s="44"/>
      <c r="O118" s="44"/>
      <c r="P118" s="44"/>
      <c r="Q118" s="44"/>
      <c r="R118" s="44"/>
      <c r="S118" s="44"/>
      <c r="T118" s="44"/>
      <c r="U118" s="36"/>
    </row>
    <row r="119" spans="1:21" ht="12.75">
      <c r="A119" s="44"/>
      <c r="B119" s="44"/>
      <c r="C119" s="44"/>
      <c r="D119" s="44"/>
      <c r="E119" s="44"/>
      <c r="F119" s="34"/>
      <c r="G119" s="34"/>
      <c r="H119" s="45"/>
      <c r="I119" s="44"/>
      <c r="J119" s="34"/>
      <c r="K119" s="44"/>
      <c r="L119" s="44"/>
      <c r="M119" s="44"/>
      <c r="N119" s="44"/>
      <c r="O119" s="44"/>
      <c r="P119" s="44"/>
      <c r="Q119" s="44"/>
      <c r="R119" s="44"/>
      <c r="S119" s="44"/>
      <c r="T119" s="44"/>
      <c r="U119" s="36"/>
    </row>
    <row r="120" spans="1:21" ht="12.75">
      <c r="A120" s="44"/>
      <c r="B120" s="44"/>
      <c r="C120" s="44"/>
      <c r="D120" s="44"/>
      <c r="E120" s="44"/>
      <c r="F120" s="34"/>
      <c r="G120" s="34"/>
      <c r="H120" s="45"/>
      <c r="I120" s="44"/>
      <c r="J120" s="34"/>
      <c r="K120" s="44"/>
      <c r="L120" s="44"/>
      <c r="M120" s="44"/>
      <c r="N120" s="44"/>
      <c r="O120" s="44"/>
      <c r="P120" s="44"/>
      <c r="Q120" s="44"/>
      <c r="R120" s="44"/>
      <c r="S120" s="44"/>
      <c r="T120" s="44"/>
      <c r="U120" s="36"/>
    </row>
    <row r="121" spans="1:21" ht="12.75">
      <c r="A121" s="44"/>
      <c r="B121" s="44"/>
      <c r="C121" s="44"/>
      <c r="D121" s="44"/>
      <c r="E121" s="44"/>
      <c r="F121" s="34"/>
      <c r="G121" s="34"/>
      <c r="H121" s="45"/>
      <c r="I121" s="44"/>
      <c r="J121" s="34"/>
      <c r="K121" s="44"/>
      <c r="L121" s="44"/>
      <c r="M121" s="44"/>
      <c r="N121" s="44"/>
      <c r="O121" s="44"/>
      <c r="P121" s="44"/>
      <c r="Q121" s="44"/>
      <c r="R121" s="44"/>
      <c r="S121" s="44"/>
      <c r="T121" s="44"/>
      <c r="U121" s="36"/>
    </row>
    <row r="122" spans="1:21" ht="12.75">
      <c r="A122" s="44"/>
      <c r="B122" s="44"/>
      <c r="C122" s="44"/>
      <c r="D122" s="44"/>
      <c r="E122" s="44"/>
      <c r="F122" s="34"/>
      <c r="G122" s="34"/>
      <c r="H122" s="45"/>
      <c r="I122" s="44"/>
      <c r="J122" s="34"/>
      <c r="K122" s="44"/>
      <c r="L122" s="44"/>
      <c r="M122" s="44"/>
      <c r="N122" s="44"/>
      <c r="O122" s="44"/>
      <c r="P122" s="44"/>
      <c r="Q122" s="44"/>
      <c r="R122" s="44"/>
      <c r="S122" s="44"/>
      <c r="T122" s="44"/>
      <c r="U122" s="36"/>
    </row>
    <row r="123" spans="1:21" ht="12.75">
      <c r="A123" s="44"/>
      <c r="B123" s="44"/>
      <c r="C123" s="44"/>
      <c r="D123" s="44"/>
      <c r="E123" s="44"/>
      <c r="F123" s="34"/>
      <c r="G123" s="34"/>
      <c r="H123" s="45"/>
      <c r="I123" s="44"/>
      <c r="J123" s="34"/>
      <c r="K123" s="44"/>
      <c r="L123" s="44"/>
      <c r="M123" s="44"/>
      <c r="N123" s="44"/>
      <c r="O123" s="44"/>
      <c r="P123" s="44"/>
      <c r="Q123" s="44"/>
      <c r="R123" s="44"/>
      <c r="S123" s="44"/>
      <c r="T123" s="44"/>
      <c r="U123" s="36"/>
    </row>
    <row r="124" spans="1:21" ht="12.75">
      <c r="A124" s="44"/>
      <c r="B124" s="44"/>
      <c r="C124" s="44"/>
      <c r="D124" s="44"/>
      <c r="E124" s="44"/>
      <c r="F124" s="34"/>
      <c r="G124" s="34"/>
      <c r="H124" s="45"/>
      <c r="I124" s="44"/>
      <c r="J124" s="34"/>
      <c r="K124" s="44"/>
      <c r="L124" s="44"/>
      <c r="M124" s="44"/>
      <c r="N124" s="44"/>
      <c r="O124" s="44"/>
      <c r="P124" s="44"/>
      <c r="Q124" s="44"/>
      <c r="R124" s="44"/>
      <c r="S124" s="44"/>
      <c r="T124" s="44"/>
      <c r="U124" s="36"/>
    </row>
    <row r="125" spans="1:21" ht="12.75">
      <c r="A125" s="44"/>
      <c r="B125" s="44"/>
      <c r="C125" s="44"/>
      <c r="D125" s="44"/>
      <c r="E125" s="44"/>
      <c r="F125" s="34"/>
      <c r="G125" s="34"/>
      <c r="H125" s="45"/>
      <c r="I125" s="44"/>
      <c r="J125" s="34"/>
      <c r="K125" s="44"/>
      <c r="L125" s="44"/>
      <c r="M125" s="44"/>
      <c r="N125" s="44"/>
      <c r="O125" s="44"/>
      <c r="P125" s="44"/>
      <c r="Q125" s="44"/>
      <c r="R125" s="44"/>
      <c r="S125" s="44"/>
      <c r="T125" s="44"/>
      <c r="U125" s="36"/>
    </row>
    <row r="126" spans="1:21" ht="12.75">
      <c r="A126" s="44"/>
      <c r="B126" s="44"/>
      <c r="C126" s="44"/>
      <c r="D126" s="44"/>
      <c r="E126" s="44"/>
      <c r="F126" s="34"/>
      <c r="G126" s="34"/>
      <c r="H126" s="45"/>
      <c r="I126" s="44"/>
      <c r="J126" s="34"/>
      <c r="K126" s="44"/>
      <c r="L126" s="44"/>
      <c r="M126" s="44"/>
      <c r="N126" s="44"/>
      <c r="O126" s="44"/>
      <c r="P126" s="44"/>
      <c r="Q126" s="44"/>
      <c r="R126" s="44"/>
      <c r="S126" s="44"/>
      <c r="T126" s="44"/>
      <c r="U126" s="36"/>
    </row>
    <row r="127" spans="1:21" ht="12.75">
      <c r="A127" s="44"/>
      <c r="B127" s="44"/>
      <c r="C127" s="44"/>
      <c r="D127" s="44"/>
      <c r="E127" s="44"/>
      <c r="F127" s="34"/>
      <c r="G127" s="34"/>
      <c r="H127" s="45"/>
      <c r="I127" s="44"/>
      <c r="J127" s="34"/>
      <c r="K127" s="44"/>
      <c r="L127" s="44"/>
      <c r="M127" s="44"/>
      <c r="N127" s="44"/>
      <c r="O127" s="44"/>
      <c r="P127" s="44"/>
      <c r="Q127" s="44"/>
      <c r="R127" s="44"/>
      <c r="S127" s="44"/>
      <c r="T127" s="44"/>
      <c r="U127" s="36"/>
    </row>
    <row r="128" spans="1:21" ht="12.75">
      <c r="A128" s="44"/>
      <c r="B128" s="44"/>
      <c r="C128" s="44"/>
      <c r="D128" s="44"/>
      <c r="E128" s="44"/>
      <c r="F128" s="34"/>
      <c r="G128" s="34"/>
      <c r="H128" s="45"/>
      <c r="I128" s="44"/>
      <c r="J128" s="34"/>
      <c r="K128" s="44"/>
      <c r="L128" s="44"/>
      <c r="M128" s="44"/>
      <c r="N128" s="44"/>
      <c r="O128" s="44"/>
      <c r="P128" s="44"/>
      <c r="Q128" s="44"/>
      <c r="R128" s="44"/>
      <c r="S128" s="44"/>
      <c r="T128" s="44"/>
      <c r="U128" s="36"/>
    </row>
    <row r="129" spans="1:21" ht="12.75">
      <c r="A129" s="44"/>
      <c r="B129" s="44"/>
      <c r="C129" s="44"/>
      <c r="D129" s="44"/>
      <c r="E129" s="44"/>
      <c r="F129" s="34"/>
      <c r="G129" s="34"/>
      <c r="H129" s="45"/>
      <c r="I129" s="44"/>
      <c r="J129" s="34"/>
      <c r="K129" s="44"/>
      <c r="L129" s="44"/>
      <c r="M129" s="44"/>
      <c r="N129" s="44"/>
      <c r="O129" s="44"/>
      <c r="P129" s="44"/>
      <c r="Q129" s="44"/>
      <c r="R129" s="44"/>
      <c r="S129" s="44"/>
      <c r="T129" s="44"/>
      <c r="U129" s="36"/>
    </row>
    <row r="130" spans="1:21" ht="12.75">
      <c r="A130" s="44"/>
      <c r="B130" s="44"/>
      <c r="C130" s="44"/>
      <c r="D130" s="44"/>
      <c r="E130" s="44"/>
      <c r="F130" s="34"/>
      <c r="G130" s="34"/>
      <c r="H130" s="45"/>
      <c r="I130" s="44"/>
      <c r="J130" s="34"/>
      <c r="K130" s="44"/>
      <c r="L130" s="44"/>
      <c r="M130" s="44"/>
      <c r="N130" s="44"/>
      <c r="O130" s="44"/>
      <c r="P130" s="44"/>
      <c r="Q130" s="44"/>
      <c r="R130" s="44"/>
      <c r="S130" s="44"/>
      <c r="T130" s="44"/>
      <c r="U130" s="36"/>
    </row>
    <row r="131" spans="1:21" ht="12.75">
      <c r="A131" s="44"/>
      <c r="B131" s="44"/>
      <c r="C131" s="44"/>
      <c r="D131" s="44"/>
      <c r="E131" s="44"/>
      <c r="F131" s="34"/>
      <c r="G131" s="34"/>
      <c r="H131" s="45"/>
      <c r="I131" s="44"/>
      <c r="J131" s="34"/>
      <c r="K131" s="44"/>
      <c r="L131" s="44"/>
      <c r="M131" s="44"/>
      <c r="N131" s="44"/>
      <c r="O131" s="44"/>
      <c r="P131" s="44"/>
      <c r="Q131" s="44"/>
      <c r="R131" s="44"/>
      <c r="S131" s="44"/>
      <c r="T131" s="44"/>
      <c r="U131" s="36"/>
    </row>
    <row r="132" spans="1:21" ht="12.75">
      <c r="A132" s="44"/>
      <c r="B132" s="44"/>
      <c r="C132" s="44"/>
      <c r="D132" s="44"/>
      <c r="E132" s="44"/>
      <c r="F132" s="34"/>
      <c r="G132" s="34"/>
      <c r="H132" s="45"/>
      <c r="I132" s="44"/>
      <c r="J132" s="34"/>
      <c r="K132" s="44"/>
      <c r="L132" s="44"/>
      <c r="M132" s="44"/>
      <c r="N132" s="44"/>
      <c r="O132" s="44"/>
      <c r="P132" s="44"/>
      <c r="Q132" s="44"/>
      <c r="R132" s="44"/>
      <c r="S132" s="44"/>
      <c r="T132" s="44"/>
      <c r="U132" s="36"/>
    </row>
    <row r="133" spans="1:21" ht="12.75">
      <c r="A133" s="44"/>
      <c r="B133" s="44"/>
      <c r="C133" s="44"/>
      <c r="D133" s="44"/>
      <c r="E133" s="44"/>
      <c r="F133" s="34"/>
      <c r="G133" s="34"/>
      <c r="H133" s="45"/>
      <c r="I133" s="44"/>
      <c r="J133" s="34"/>
      <c r="K133" s="44"/>
      <c r="L133" s="44"/>
      <c r="M133" s="44"/>
      <c r="N133" s="44"/>
      <c r="O133" s="44"/>
      <c r="P133" s="44"/>
      <c r="Q133" s="44"/>
      <c r="R133" s="44"/>
      <c r="S133" s="44"/>
      <c r="T133" s="44"/>
      <c r="U133" s="36"/>
    </row>
    <row r="134" spans="1:21" ht="12.75">
      <c r="A134" s="44"/>
      <c r="B134" s="44"/>
      <c r="C134" s="44"/>
      <c r="D134" s="44"/>
      <c r="E134" s="44"/>
      <c r="F134" s="34"/>
      <c r="G134" s="34"/>
      <c r="H134" s="45"/>
      <c r="I134" s="44"/>
      <c r="J134" s="34"/>
      <c r="K134" s="44"/>
      <c r="L134" s="44"/>
      <c r="M134" s="44"/>
      <c r="N134" s="44"/>
      <c r="O134" s="44"/>
      <c r="P134" s="44"/>
      <c r="Q134" s="44"/>
      <c r="R134" s="44"/>
      <c r="S134" s="44"/>
      <c r="T134" s="44"/>
      <c r="U134" s="36"/>
    </row>
    <row r="135" spans="1:21" ht="12.75">
      <c r="A135" s="44"/>
      <c r="B135" s="44"/>
      <c r="C135" s="44"/>
      <c r="D135" s="44"/>
      <c r="E135" s="44"/>
      <c r="F135" s="34"/>
      <c r="G135" s="34"/>
      <c r="H135" s="45"/>
      <c r="I135" s="44"/>
      <c r="J135" s="34"/>
      <c r="K135" s="44"/>
      <c r="L135" s="44"/>
      <c r="M135" s="44"/>
      <c r="N135" s="44"/>
      <c r="O135" s="44"/>
      <c r="P135" s="44"/>
      <c r="Q135" s="44"/>
      <c r="R135" s="44"/>
      <c r="S135" s="44"/>
      <c r="T135" s="44"/>
      <c r="U135" s="36"/>
    </row>
    <row r="136" spans="1:21" ht="12.75">
      <c r="A136" s="44"/>
      <c r="B136" s="44"/>
      <c r="C136" s="44"/>
      <c r="D136" s="44"/>
      <c r="E136" s="44"/>
      <c r="F136" s="34"/>
      <c r="G136" s="34"/>
      <c r="H136" s="45"/>
      <c r="I136" s="44"/>
      <c r="J136" s="34"/>
      <c r="K136" s="44"/>
      <c r="L136" s="44"/>
      <c r="M136" s="44"/>
      <c r="N136" s="44"/>
      <c r="O136" s="44"/>
      <c r="P136" s="44"/>
      <c r="Q136" s="44"/>
      <c r="R136" s="44"/>
      <c r="S136" s="44"/>
      <c r="T136" s="44"/>
      <c r="U136" s="36"/>
    </row>
    <row r="137" spans="1:21" ht="12.75">
      <c r="A137" s="44"/>
      <c r="B137" s="44"/>
      <c r="C137" s="44"/>
      <c r="D137" s="44"/>
      <c r="E137" s="44"/>
      <c r="F137" s="34"/>
      <c r="G137" s="34"/>
      <c r="H137" s="45"/>
      <c r="I137" s="44"/>
      <c r="J137" s="34"/>
      <c r="K137" s="44"/>
      <c r="L137" s="44"/>
      <c r="M137" s="44"/>
      <c r="N137" s="44"/>
      <c r="O137" s="44"/>
      <c r="P137" s="44"/>
      <c r="Q137" s="44"/>
      <c r="R137" s="44"/>
      <c r="S137" s="44"/>
      <c r="T137" s="44"/>
      <c r="U137" s="36"/>
    </row>
    <row r="138" spans="1:21" ht="12.75">
      <c r="A138" s="44"/>
      <c r="B138" s="44"/>
      <c r="C138" s="44"/>
      <c r="D138" s="44"/>
      <c r="E138" s="44"/>
      <c r="F138" s="34"/>
      <c r="G138" s="34"/>
      <c r="H138" s="45"/>
      <c r="I138" s="44"/>
      <c r="J138" s="34"/>
      <c r="K138" s="44"/>
      <c r="L138" s="44"/>
      <c r="M138" s="44"/>
      <c r="N138" s="44"/>
      <c r="O138" s="44"/>
      <c r="P138" s="44"/>
      <c r="Q138" s="44"/>
      <c r="R138" s="44"/>
      <c r="S138" s="44"/>
      <c r="T138" s="44"/>
      <c r="U138" s="36"/>
    </row>
    <row r="139" spans="1:21" ht="12.75">
      <c r="A139" s="44"/>
      <c r="B139" s="44"/>
      <c r="C139" s="44"/>
      <c r="D139" s="44"/>
      <c r="E139" s="44"/>
      <c r="F139" s="34"/>
      <c r="G139" s="34"/>
      <c r="H139" s="45"/>
      <c r="I139" s="44"/>
      <c r="J139" s="34"/>
      <c r="K139" s="44"/>
      <c r="L139" s="44"/>
      <c r="M139" s="44"/>
      <c r="N139" s="44"/>
      <c r="O139" s="44"/>
      <c r="P139" s="44"/>
      <c r="Q139" s="44"/>
      <c r="R139" s="44"/>
      <c r="S139" s="44"/>
      <c r="T139" s="44"/>
      <c r="U139" s="36"/>
    </row>
    <row r="140" spans="1:21" ht="12.75">
      <c r="A140" s="44"/>
      <c r="B140" s="44"/>
      <c r="C140" s="44"/>
      <c r="D140" s="44"/>
      <c r="E140" s="44"/>
      <c r="F140" s="34"/>
      <c r="G140" s="34"/>
      <c r="H140" s="45"/>
      <c r="I140" s="44"/>
      <c r="J140" s="34"/>
      <c r="K140" s="44"/>
      <c r="L140" s="44"/>
      <c r="M140" s="44"/>
      <c r="N140" s="44"/>
      <c r="O140" s="44"/>
      <c r="P140" s="44"/>
      <c r="Q140" s="44"/>
      <c r="R140" s="44"/>
      <c r="S140" s="44"/>
      <c r="T140" s="44"/>
      <c r="U140" s="36"/>
    </row>
    <row r="141" spans="1:21" ht="12.75">
      <c r="A141" s="44"/>
      <c r="B141" s="44"/>
      <c r="C141" s="44"/>
      <c r="D141" s="44"/>
      <c r="E141" s="44"/>
      <c r="F141" s="34"/>
      <c r="G141" s="34"/>
      <c r="H141" s="45"/>
      <c r="I141" s="44"/>
      <c r="J141" s="34"/>
      <c r="K141" s="44"/>
      <c r="L141" s="44"/>
      <c r="M141" s="44"/>
      <c r="N141" s="44"/>
      <c r="O141" s="44"/>
      <c r="P141" s="44"/>
      <c r="Q141" s="44"/>
      <c r="R141" s="44"/>
      <c r="S141" s="44"/>
      <c r="T141" s="44"/>
      <c r="U141" s="36"/>
    </row>
    <row r="142" spans="1:21" ht="12.75">
      <c r="A142" s="44"/>
      <c r="B142" s="44"/>
      <c r="C142" s="44"/>
      <c r="D142" s="44"/>
      <c r="E142" s="44"/>
      <c r="F142" s="34"/>
      <c r="G142" s="34"/>
      <c r="H142" s="45"/>
      <c r="I142" s="44"/>
      <c r="J142" s="34"/>
      <c r="K142" s="44"/>
      <c r="L142" s="44"/>
      <c r="M142" s="44"/>
      <c r="N142" s="44"/>
      <c r="O142" s="44"/>
      <c r="P142" s="44"/>
      <c r="Q142" s="44"/>
      <c r="R142" s="44"/>
      <c r="S142" s="44"/>
      <c r="T142" s="44"/>
      <c r="U142" s="36"/>
    </row>
    <row r="143" spans="1:21" ht="12.75">
      <c r="A143" s="44"/>
      <c r="B143" s="44"/>
      <c r="C143" s="44"/>
      <c r="D143" s="44"/>
      <c r="E143" s="44"/>
      <c r="F143" s="34"/>
      <c r="G143" s="34"/>
      <c r="H143" s="45"/>
      <c r="I143" s="44"/>
      <c r="J143" s="34"/>
      <c r="K143" s="44"/>
      <c r="L143" s="44"/>
      <c r="M143" s="44"/>
      <c r="N143" s="44"/>
      <c r="O143" s="44"/>
      <c r="P143" s="44"/>
      <c r="Q143" s="44"/>
      <c r="R143" s="44"/>
      <c r="S143" s="44"/>
      <c r="T143" s="44"/>
      <c r="U143" s="36"/>
    </row>
    <row r="144" spans="1:21" ht="12.75">
      <c r="A144" s="44"/>
      <c r="B144" s="44"/>
      <c r="C144" s="44"/>
      <c r="D144" s="44"/>
      <c r="E144" s="44"/>
      <c r="F144" s="34"/>
      <c r="G144" s="34"/>
      <c r="H144" s="45"/>
      <c r="I144" s="44"/>
      <c r="J144" s="34"/>
      <c r="K144" s="44"/>
      <c r="L144" s="44"/>
      <c r="M144" s="44"/>
      <c r="N144" s="44"/>
      <c r="O144" s="44"/>
      <c r="P144" s="44"/>
      <c r="Q144" s="44"/>
      <c r="R144" s="44"/>
      <c r="S144" s="44"/>
      <c r="T144" s="44"/>
      <c r="U144" s="36"/>
    </row>
    <row r="145" spans="1:21" ht="12.75">
      <c r="A145" s="44"/>
      <c r="B145" s="44"/>
      <c r="C145" s="44"/>
      <c r="D145" s="44"/>
      <c r="E145" s="44"/>
      <c r="F145" s="34"/>
      <c r="G145" s="34"/>
      <c r="H145" s="45"/>
      <c r="I145" s="44"/>
      <c r="J145" s="34"/>
      <c r="K145" s="44"/>
      <c r="L145" s="44"/>
      <c r="M145" s="44"/>
      <c r="N145" s="44"/>
      <c r="O145" s="44"/>
      <c r="P145" s="44"/>
      <c r="Q145" s="44"/>
      <c r="R145" s="44"/>
      <c r="S145" s="44"/>
      <c r="T145" s="44"/>
      <c r="U145" s="36"/>
    </row>
    <row r="146" spans="1:21" ht="12.75">
      <c r="A146" s="44"/>
      <c r="B146" s="44"/>
      <c r="C146" s="44"/>
      <c r="D146" s="44"/>
      <c r="E146" s="44"/>
      <c r="F146" s="34"/>
      <c r="G146" s="34"/>
      <c r="H146" s="45"/>
      <c r="I146" s="44"/>
      <c r="J146" s="34"/>
      <c r="K146" s="44"/>
      <c r="L146" s="44"/>
      <c r="M146" s="44"/>
      <c r="N146" s="44"/>
      <c r="O146" s="44"/>
      <c r="P146" s="44"/>
      <c r="Q146" s="44"/>
      <c r="R146" s="44"/>
      <c r="S146" s="44"/>
      <c r="T146" s="44"/>
      <c r="U146" s="36"/>
    </row>
    <row r="147" spans="1:21" ht="12.75">
      <c r="A147" s="44"/>
      <c r="B147" s="44"/>
      <c r="C147" s="44"/>
      <c r="D147" s="44"/>
      <c r="E147" s="44"/>
      <c r="F147" s="34"/>
      <c r="G147" s="34"/>
      <c r="H147" s="45"/>
      <c r="I147" s="44"/>
      <c r="J147" s="34"/>
      <c r="K147" s="44"/>
      <c r="L147" s="44"/>
      <c r="M147" s="44"/>
      <c r="N147" s="44"/>
      <c r="O147" s="44"/>
      <c r="P147" s="44"/>
      <c r="Q147" s="44"/>
      <c r="R147" s="44"/>
      <c r="S147" s="44"/>
      <c r="T147" s="44"/>
      <c r="U147" s="36"/>
    </row>
    <row r="148" spans="1:21" ht="12.75">
      <c r="A148" s="44"/>
      <c r="B148" s="44"/>
      <c r="C148" s="44"/>
      <c r="D148" s="44"/>
      <c r="E148" s="44"/>
      <c r="F148" s="34"/>
      <c r="G148" s="34"/>
      <c r="H148" s="45"/>
      <c r="I148" s="44"/>
      <c r="J148" s="34"/>
      <c r="K148" s="44"/>
      <c r="L148" s="44"/>
      <c r="M148" s="44"/>
      <c r="N148" s="44"/>
      <c r="O148" s="44"/>
      <c r="P148" s="44"/>
      <c r="Q148" s="44"/>
      <c r="R148" s="44"/>
      <c r="S148" s="44"/>
      <c r="T148" s="44"/>
      <c r="U148" s="36"/>
    </row>
    <row r="149" spans="1:21" ht="12.75">
      <c r="A149" s="44"/>
      <c r="B149" s="44"/>
      <c r="C149" s="44"/>
      <c r="D149" s="44"/>
      <c r="E149" s="44"/>
      <c r="F149" s="34"/>
      <c r="G149" s="34"/>
      <c r="H149" s="45"/>
      <c r="I149" s="44"/>
      <c r="J149" s="34"/>
      <c r="K149" s="44"/>
      <c r="L149" s="44"/>
      <c r="M149" s="44"/>
      <c r="N149" s="44"/>
      <c r="O149" s="44"/>
      <c r="P149" s="44"/>
      <c r="Q149" s="44"/>
      <c r="R149" s="44"/>
      <c r="S149" s="44"/>
      <c r="T149" s="44"/>
      <c r="U149" s="36"/>
    </row>
    <row r="150" spans="1:21" ht="12.75">
      <c r="A150" s="44"/>
      <c r="B150" s="44"/>
      <c r="C150" s="44"/>
      <c r="D150" s="44"/>
      <c r="E150" s="44"/>
      <c r="F150" s="34"/>
      <c r="G150" s="34"/>
      <c r="H150" s="45"/>
      <c r="I150" s="44"/>
      <c r="J150" s="34"/>
      <c r="K150" s="44"/>
      <c r="L150" s="44"/>
      <c r="M150" s="44"/>
      <c r="N150" s="44"/>
      <c r="O150" s="44"/>
      <c r="P150" s="44"/>
      <c r="Q150" s="44"/>
      <c r="R150" s="44"/>
      <c r="S150" s="44"/>
      <c r="T150" s="44"/>
      <c r="U150" s="36"/>
    </row>
    <row r="151" spans="1:21" ht="12.75">
      <c r="A151" s="44"/>
      <c r="B151" s="44"/>
      <c r="C151" s="44"/>
      <c r="D151" s="44"/>
      <c r="E151" s="44"/>
      <c r="F151" s="34"/>
      <c r="G151" s="34"/>
      <c r="H151" s="45"/>
      <c r="I151" s="44"/>
      <c r="J151" s="34"/>
      <c r="K151" s="44"/>
      <c r="L151" s="44"/>
      <c r="M151" s="44"/>
      <c r="N151" s="44"/>
      <c r="O151" s="44"/>
      <c r="P151" s="44"/>
      <c r="Q151" s="44"/>
      <c r="R151" s="44"/>
      <c r="S151" s="44"/>
      <c r="T151" s="44"/>
      <c r="U151" s="36"/>
    </row>
    <row r="152" spans="1:21" ht="12.75">
      <c r="A152" s="44"/>
      <c r="B152" s="44"/>
      <c r="C152" s="44"/>
      <c r="D152" s="44"/>
      <c r="E152" s="44"/>
      <c r="F152" s="34"/>
      <c r="G152" s="34"/>
      <c r="H152" s="45"/>
      <c r="I152" s="44"/>
      <c r="J152" s="34"/>
      <c r="K152" s="44"/>
      <c r="L152" s="44"/>
      <c r="M152" s="44"/>
      <c r="N152" s="44"/>
      <c r="O152" s="44"/>
      <c r="P152" s="44"/>
      <c r="Q152" s="44"/>
      <c r="R152" s="44"/>
      <c r="S152" s="44"/>
      <c r="T152" s="44"/>
      <c r="U152" s="36"/>
    </row>
    <row r="153" spans="1:21" ht="12.75">
      <c r="A153" s="44"/>
      <c r="B153" s="44"/>
      <c r="C153" s="44"/>
      <c r="D153" s="44"/>
      <c r="E153" s="44"/>
      <c r="F153" s="34"/>
      <c r="G153" s="34"/>
      <c r="H153" s="45"/>
      <c r="I153" s="44"/>
      <c r="J153" s="34"/>
      <c r="K153" s="44"/>
      <c r="L153" s="44"/>
      <c r="M153" s="44"/>
      <c r="N153" s="44"/>
      <c r="O153" s="44"/>
      <c r="P153" s="44"/>
      <c r="Q153" s="44"/>
      <c r="R153" s="44"/>
      <c r="S153" s="44"/>
      <c r="T153" s="44"/>
      <c r="U153" s="36"/>
    </row>
    <row r="154" spans="1:21" ht="12.75">
      <c r="A154" s="44"/>
      <c r="B154" s="44"/>
      <c r="C154" s="44"/>
      <c r="D154" s="44"/>
      <c r="E154" s="44"/>
      <c r="F154" s="34"/>
      <c r="G154" s="34"/>
      <c r="H154" s="45"/>
      <c r="I154" s="44"/>
      <c r="J154" s="34"/>
      <c r="K154" s="44"/>
      <c r="L154" s="44"/>
      <c r="M154" s="44"/>
      <c r="N154" s="44"/>
      <c r="O154" s="44"/>
      <c r="P154" s="44"/>
      <c r="Q154" s="44"/>
      <c r="R154" s="44"/>
      <c r="S154" s="44"/>
      <c r="T154" s="44"/>
      <c r="U154" s="36"/>
    </row>
    <row r="155" spans="1:21" ht="12.75">
      <c r="A155" s="44"/>
      <c r="B155" s="44"/>
      <c r="C155" s="44"/>
      <c r="D155" s="44"/>
      <c r="E155" s="44"/>
      <c r="F155" s="34"/>
      <c r="G155" s="34"/>
      <c r="H155" s="45"/>
      <c r="I155" s="44"/>
      <c r="J155" s="34"/>
      <c r="K155" s="44"/>
      <c r="L155" s="44"/>
      <c r="M155" s="44"/>
      <c r="N155" s="44"/>
      <c r="O155" s="44"/>
      <c r="P155" s="44"/>
      <c r="Q155" s="44"/>
      <c r="R155" s="44"/>
      <c r="S155" s="44"/>
      <c r="T155" s="44"/>
      <c r="U155" s="36"/>
    </row>
    <row r="156" spans="1:21" ht="12.75">
      <c r="A156" s="44"/>
      <c r="B156" s="44"/>
      <c r="C156" s="44"/>
      <c r="D156" s="44"/>
      <c r="E156" s="44"/>
      <c r="F156" s="34"/>
      <c r="G156" s="34"/>
      <c r="H156" s="45"/>
      <c r="I156" s="44"/>
      <c r="J156" s="34"/>
      <c r="K156" s="44"/>
      <c r="L156" s="44"/>
      <c r="M156" s="44"/>
      <c r="N156" s="44"/>
      <c r="O156" s="44"/>
      <c r="P156" s="44"/>
      <c r="Q156" s="44"/>
      <c r="R156" s="44"/>
      <c r="S156" s="44"/>
      <c r="T156" s="44"/>
      <c r="U156" s="36"/>
    </row>
    <row r="157" spans="1:21" ht="12.75">
      <c r="A157" s="44"/>
      <c r="B157" s="44"/>
      <c r="C157" s="44"/>
      <c r="D157" s="44"/>
      <c r="E157" s="44"/>
      <c r="F157" s="34"/>
      <c r="G157" s="34"/>
      <c r="H157" s="45"/>
      <c r="I157" s="44"/>
      <c r="J157" s="34"/>
      <c r="K157" s="44"/>
      <c r="L157" s="44"/>
      <c r="M157" s="44"/>
      <c r="N157" s="44"/>
      <c r="O157" s="44"/>
      <c r="P157" s="44"/>
      <c r="Q157" s="44"/>
      <c r="R157" s="44"/>
      <c r="S157" s="44"/>
      <c r="T157" s="44"/>
      <c r="U157" s="36"/>
    </row>
    <row r="158" spans="1:21" ht="12.75">
      <c r="A158" s="44"/>
      <c r="B158" s="44"/>
      <c r="C158" s="44"/>
      <c r="D158" s="44"/>
      <c r="E158" s="44"/>
      <c r="F158" s="34"/>
      <c r="G158" s="34"/>
      <c r="H158" s="45"/>
      <c r="I158" s="44"/>
      <c r="J158" s="34"/>
      <c r="K158" s="44"/>
      <c r="L158" s="44"/>
      <c r="M158" s="44"/>
      <c r="N158" s="44"/>
      <c r="O158" s="44"/>
      <c r="P158" s="44"/>
      <c r="Q158" s="44"/>
      <c r="R158" s="44"/>
      <c r="S158" s="44"/>
      <c r="T158" s="44"/>
      <c r="U158" s="36"/>
    </row>
    <row r="159" spans="1:21" ht="12.75">
      <c r="A159" s="44"/>
      <c r="B159" s="44"/>
      <c r="C159" s="44"/>
      <c r="D159" s="44"/>
      <c r="E159" s="44"/>
      <c r="F159" s="34"/>
      <c r="G159" s="34"/>
      <c r="H159" s="45"/>
      <c r="I159" s="44"/>
      <c r="J159" s="34"/>
      <c r="K159" s="44"/>
      <c r="L159" s="44"/>
      <c r="M159" s="44"/>
      <c r="N159" s="44"/>
      <c r="O159" s="44"/>
      <c r="P159" s="44"/>
      <c r="Q159" s="44"/>
      <c r="R159" s="44"/>
      <c r="S159" s="44"/>
      <c r="T159" s="44"/>
      <c r="U159" s="36"/>
    </row>
    <row r="160" spans="1:21" ht="12.75">
      <c r="A160" s="44"/>
      <c r="B160" s="44"/>
      <c r="C160" s="44"/>
      <c r="D160" s="44"/>
      <c r="E160" s="44"/>
      <c r="F160" s="34"/>
      <c r="G160" s="34"/>
      <c r="H160" s="45"/>
      <c r="I160" s="44"/>
      <c r="J160" s="34"/>
      <c r="K160" s="44"/>
      <c r="L160" s="44"/>
      <c r="M160" s="44"/>
      <c r="N160" s="44"/>
      <c r="O160" s="44"/>
      <c r="P160" s="44"/>
      <c r="Q160" s="44"/>
      <c r="R160" s="44"/>
      <c r="S160" s="44"/>
      <c r="T160" s="44"/>
      <c r="U160" s="36"/>
    </row>
    <row r="161" spans="1:21" ht="12.75">
      <c r="A161" s="44"/>
      <c r="B161" s="44"/>
      <c r="C161" s="44"/>
      <c r="D161" s="44"/>
      <c r="E161" s="44"/>
      <c r="F161" s="34"/>
      <c r="G161" s="34"/>
      <c r="H161" s="45"/>
      <c r="I161" s="44"/>
      <c r="J161" s="34"/>
      <c r="K161" s="44"/>
      <c r="L161" s="44"/>
      <c r="M161" s="44"/>
      <c r="N161" s="44"/>
      <c r="O161" s="44"/>
      <c r="P161" s="44"/>
      <c r="Q161" s="44"/>
      <c r="R161" s="44"/>
      <c r="S161" s="44"/>
      <c r="T161" s="44"/>
      <c r="U161" s="36"/>
    </row>
    <row r="162" spans="1:21" ht="12.75">
      <c r="A162" s="44"/>
      <c r="B162" s="44"/>
      <c r="C162" s="44"/>
      <c r="D162" s="44"/>
      <c r="E162" s="44"/>
      <c r="F162" s="34"/>
      <c r="G162" s="34"/>
      <c r="H162" s="45"/>
      <c r="I162" s="44"/>
      <c r="J162" s="34"/>
      <c r="K162" s="44"/>
      <c r="L162" s="44"/>
      <c r="M162" s="44"/>
      <c r="N162" s="44"/>
      <c r="O162" s="44"/>
      <c r="P162" s="44"/>
      <c r="Q162" s="44"/>
      <c r="R162" s="44"/>
      <c r="S162" s="44"/>
      <c r="T162" s="44"/>
      <c r="U162" s="36"/>
    </row>
    <row r="163" spans="1:21" ht="12.75">
      <c r="A163" s="44"/>
      <c r="B163" s="44"/>
      <c r="C163" s="44"/>
      <c r="D163" s="44"/>
      <c r="E163" s="44"/>
      <c r="F163" s="34"/>
      <c r="G163" s="34"/>
      <c r="H163" s="45"/>
      <c r="I163" s="44"/>
      <c r="J163" s="34"/>
      <c r="K163" s="44"/>
      <c r="L163" s="44"/>
      <c r="M163" s="44"/>
      <c r="N163" s="44"/>
      <c r="O163" s="44"/>
      <c r="P163" s="44"/>
      <c r="Q163" s="44"/>
      <c r="R163" s="44"/>
      <c r="S163" s="44"/>
      <c r="T163" s="44"/>
      <c r="U163" s="36"/>
    </row>
    <row r="164" spans="1:21" ht="12.75">
      <c r="A164" s="44"/>
      <c r="B164" s="44"/>
      <c r="C164" s="44"/>
      <c r="D164" s="44"/>
      <c r="E164" s="44"/>
      <c r="F164" s="34"/>
      <c r="G164" s="34"/>
      <c r="H164" s="45"/>
      <c r="I164" s="44"/>
      <c r="J164" s="34"/>
      <c r="K164" s="44"/>
      <c r="L164" s="44"/>
      <c r="M164" s="44"/>
      <c r="N164" s="44"/>
      <c r="O164" s="44"/>
      <c r="P164" s="44"/>
      <c r="Q164" s="44"/>
      <c r="R164" s="44"/>
      <c r="S164" s="44"/>
      <c r="T164" s="44"/>
      <c r="U164" s="36"/>
    </row>
    <row r="165" spans="1:21" ht="12.75">
      <c r="A165" s="44"/>
      <c r="B165" s="44"/>
      <c r="C165" s="44"/>
      <c r="D165" s="44"/>
      <c r="E165" s="44"/>
      <c r="F165" s="34"/>
      <c r="G165" s="34"/>
      <c r="H165" s="45"/>
      <c r="I165" s="44"/>
      <c r="J165" s="34"/>
      <c r="K165" s="44"/>
      <c r="L165" s="44"/>
      <c r="M165" s="44"/>
      <c r="N165" s="44"/>
      <c r="O165" s="44"/>
      <c r="P165" s="44"/>
      <c r="Q165" s="44"/>
      <c r="R165" s="44"/>
      <c r="S165" s="44"/>
      <c r="T165" s="44"/>
      <c r="U165" s="36"/>
    </row>
    <row r="166" spans="1:21" ht="12.75">
      <c r="A166" s="44"/>
      <c r="B166" s="44"/>
      <c r="C166" s="44"/>
      <c r="D166" s="44"/>
      <c r="E166" s="44"/>
      <c r="F166" s="34"/>
      <c r="G166" s="34"/>
      <c r="H166" s="45"/>
      <c r="I166" s="44"/>
      <c r="J166" s="34"/>
      <c r="K166" s="44"/>
      <c r="L166" s="44"/>
      <c r="M166" s="44"/>
      <c r="N166" s="44"/>
      <c r="O166" s="44"/>
      <c r="P166" s="44"/>
      <c r="Q166" s="44"/>
      <c r="R166" s="44"/>
      <c r="S166" s="44"/>
      <c r="T166" s="44"/>
      <c r="U166" s="36"/>
    </row>
    <row r="167" spans="1:21" ht="12.75">
      <c r="A167" s="44"/>
      <c r="B167" s="44"/>
      <c r="C167" s="44"/>
      <c r="D167" s="44"/>
      <c r="E167" s="44"/>
      <c r="F167" s="34"/>
      <c r="G167" s="34"/>
      <c r="H167" s="45"/>
      <c r="I167" s="44"/>
      <c r="J167" s="34"/>
      <c r="K167" s="44"/>
      <c r="L167" s="44"/>
      <c r="M167" s="44"/>
      <c r="N167" s="44"/>
      <c r="O167" s="44"/>
      <c r="P167" s="44"/>
      <c r="Q167" s="44"/>
      <c r="R167" s="44"/>
      <c r="S167" s="44"/>
      <c r="T167" s="44"/>
      <c r="U167" s="36"/>
    </row>
    <row r="168" spans="1:21" ht="12.75">
      <c r="A168" s="44"/>
      <c r="B168" s="44"/>
      <c r="C168" s="44"/>
      <c r="D168" s="44"/>
      <c r="E168" s="44"/>
      <c r="F168" s="34"/>
      <c r="G168" s="34"/>
      <c r="H168" s="45"/>
      <c r="I168" s="44"/>
      <c r="J168" s="34"/>
      <c r="K168" s="44"/>
      <c r="L168" s="44"/>
      <c r="M168" s="44"/>
      <c r="N168" s="44"/>
      <c r="O168" s="44"/>
      <c r="P168" s="44"/>
      <c r="Q168" s="44"/>
      <c r="R168" s="44"/>
      <c r="S168" s="44"/>
      <c r="T168" s="44"/>
      <c r="U168" s="36"/>
    </row>
    <row r="169" spans="1:21" ht="12.75">
      <c r="A169" s="44"/>
      <c r="B169" s="44"/>
      <c r="C169" s="44"/>
      <c r="D169" s="44"/>
      <c r="E169" s="44"/>
      <c r="F169" s="34"/>
      <c r="G169" s="34"/>
      <c r="H169" s="45"/>
      <c r="I169" s="44"/>
      <c r="J169" s="34"/>
      <c r="K169" s="44"/>
      <c r="L169" s="44"/>
      <c r="M169" s="44"/>
      <c r="N169" s="44"/>
      <c r="O169" s="44"/>
      <c r="P169" s="44"/>
      <c r="Q169" s="44"/>
      <c r="R169" s="44"/>
      <c r="S169" s="44"/>
      <c r="T169" s="44"/>
      <c r="U169" s="36"/>
    </row>
    <row r="170" spans="1:21" ht="12.75">
      <c r="A170" s="44"/>
      <c r="B170" s="44"/>
      <c r="C170" s="44"/>
      <c r="D170" s="44"/>
      <c r="E170" s="44"/>
      <c r="F170" s="34"/>
      <c r="G170" s="34"/>
      <c r="H170" s="45"/>
      <c r="I170" s="44"/>
      <c r="J170" s="34"/>
      <c r="K170" s="44"/>
      <c r="L170" s="44"/>
      <c r="M170" s="44"/>
      <c r="N170" s="44"/>
      <c r="O170" s="44"/>
      <c r="P170" s="44"/>
      <c r="Q170" s="44"/>
      <c r="R170" s="44"/>
      <c r="S170" s="44"/>
      <c r="T170" s="44"/>
      <c r="U170" s="36"/>
    </row>
    <row r="171" spans="1:21" ht="12.75">
      <c r="A171" s="44"/>
      <c r="B171" s="44"/>
      <c r="C171" s="44"/>
      <c r="D171" s="44"/>
      <c r="E171" s="44"/>
      <c r="F171" s="34"/>
      <c r="G171" s="34"/>
      <c r="H171" s="45"/>
      <c r="I171" s="44"/>
      <c r="J171" s="34"/>
      <c r="K171" s="44"/>
      <c r="L171" s="44"/>
      <c r="M171" s="44"/>
      <c r="N171" s="44"/>
      <c r="O171" s="44"/>
      <c r="P171" s="44"/>
      <c r="Q171" s="44"/>
      <c r="R171" s="44"/>
      <c r="S171" s="44"/>
      <c r="T171" s="44"/>
      <c r="U171" s="36"/>
    </row>
    <row r="172" spans="1:21" ht="12.75">
      <c r="A172" s="44"/>
      <c r="B172" s="44"/>
      <c r="C172" s="44"/>
      <c r="D172" s="44"/>
      <c r="E172" s="44"/>
      <c r="F172" s="34"/>
      <c r="G172" s="34"/>
      <c r="H172" s="45"/>
      <c r="I172" s="44"/>
      <c r="J172" s="34"/>
      <c r="K172" s="44"/>
      <c r="L172" s="44"/>
      <c r="M172" s="44"/>
      <c r="N172" s="44"/>
      <c r="O172" s="44"/>
      <c r="P172" s="44"/>
      <c r="Q172" s="44"/>
      <c r="R172" s="44"/>
      <c r="S172" s="44"/>
      <c r="T172" s="44"/>
      <c r="U172" s="36"/>
    </row>
    <row r="173" spans="1:21" ht="12.75">
      <c r="A173" s="44"/>
      <c r="B173" s="44"/>
      <c r="C173" s="44"/>
      <c r="D173" s="44"/>
      <c r="E173" s="44"/>
      <c r="F173" s="34"/>
      <c r="G173" s="34"/>
      <c r="H173" s="45"/>
      <c r="I173" s="44"/>
      <c r="J173" s="34"/>
      <c r="K173" s="44"/>
      <c r="L173" s="44"/>
      <c r="M173" s="44"/>
      <c r="N173" s="44"/>
      <c r="O173" s="44"/>
      <c r="P173" s="44"/>
      <c r="Q173" s="44"/>
      <c r="R173" s="44"/>
      <c r="S173" s="44"/>
      <c r="T173" s="44"/>
      <c r="U173" s="36"/>
    </row>
    <row r="174" spans="1:21" ht="12.75">
      <c r="A174" s="44"/>
      <c r="B174" s="44"/>
      <c r="C174" s="44"/>
      <c r="D174" s="44"/>
      <c r="E174" s="44"/>
      <c r="F174" s="34"/>
      <c r="G174" s="34"/>
      <c r="H174" s="45"/>
      <c r="I174" s="44"/>
      <c r="J174" s="34"/>
      <c r="K174" s="44"/>
      <c r="L174" s="44"/>
      <c r="M174" s="44"/>
      <c r="N174" s="44"/>
      <c r="O174" s="44"/>
      <c r="P174" s="44"/>
      <c r="Q174" s="44"/>
      <c r="R174" s="44"/>
      <c r="S174" s="44"/>
      <c r="T174" s="44"/>
      <c r="U174" s="36"/>
    </row>
    <row r="175" spans="1:21" ht="12.75">
      <c r="A175" s="44"/>
      <c r="B175" s="44"/>
      <c r="C175" s="44"/>
      <c r="D175" s="44"/>
      <c r="E175" s="44"/>
      <c r="F175" s="34"/>
      <c r="G175" s="34"/>
      <c r="H175" s="45"/>
      <c r="I175" s="44"/>
      <c r="J175" s="34"/>
      <c r="K175" s="44"/>
      <c r="L175" s="44"/>
      <c r="M175" s="44"/>
      <c r="N175" s="44"/>
      <c r="O175" s="44"/>
      <c r="P175" s="44"/>
      <c r="Q175" s="44"/>
      <c r="R175" s="44"/>
      <c r="S175" s="44"/>
      <c r="T175" s="44"/>
      <c r="U175" s="36"/>
    </row>
    <row r="176" spans="1:21" ht="12.75">
      <c r="A176" s="44"/>
      <c r="B176" s="44"/>
      <c r="C176" s="44"/>
      <c r="D176" s="44"/>
      <c r="E176" s="44"/>
      <c r="F176" s="34"/>
      <c r="G176" s="34"/>
      <c r="H176" s="45"/>
      <c r="I176" s="44"/>
      <c r="J176" s="34"/>
      <c r="K176" s="44"/>
      <c r="L176" s="44"/>
      <c r="M176" s="44"/>
      <c r="N176" s="44"/>
      <c r="O176" s="44"/>
      <c r="P176" s="44"/>
      <c r="Q176" s="44"/>
      <c r="R176" s="44"/>
      <c r="S176" s="44"/>
      <c r="T176" s="44"/>
      <c r="U176" s="36"/>
    </row>
    <row r="177" spans="1:21" ht="12.75">
      <c r="A177" s="44"/>
      <c r="B177" s="44"/>
      <c r="C177" s="44"/>
      <c r="D177" s="44"/>
      <c r="E177" s="44"/>
      <c r="F177" s="34"/>
      <c r="G177" s="34"/>
      <c r="H177" s="45"/>
      <c r="I177" s="44"/>
      <c r="J177" s="34"/>
      <c r="K177" s="44"/>
      <c r="L177" s="44"/>
      <c r="M177" s="44"/>
      <c r="N177" s="44"/>
      <c r="O177" s="44"/>
      <c r="P177" s="44"/>
      <c r="Q177" s="44"/>
      <c r="R177" s="44"/>
      <c r="S177" s="44"/>
      <c r="T177" s="44"/>
      <c r="U177" s="36"/>
    </row>
    <row r="178" spans="1:21" ht="12.75">
      <c r="A178" s="44"/>
      <c r="B178" s="44"/>
      <c r="C178" s="44"/>
      <c r="D178" s="44"/>
      <c r="E178" s="44"/>
      <c r="F178" s="34"/>
      <c r="G178" s="34"/>
      <c r="H178" s="45"/>
      <c r="I178" s="44"/>
      <c r="J178" s="34"/>
      <c r="K178" s="44"/>
      <c r="L178" s="44"/>
      <c r="M178" s="44"/>
      <c r="N178" s="44"/>
      <c r="O178" s="44"/>
      <c r="P178" s="44"/>
      <c r="Q178" s="44"/>
      <c r="R178" s="44"/>
      <c r="S178" s="44"/>
      <c r="T178" s="44"/>
      <c r="U178" s="36"/>
    </row>
    <row r="179" spans="1:21" ht="12.75">
      <c r="A179" s="44"/>
      <c r="B179" s="44"/>
      <c r="C179" s="44"/>
      <c r="D179" s="44"/>
      <c r="E179" s="44"/>
      <c r="F179" s="34"/>
      <c r="G179" s="34"/>
      <c r="H179" s="45"/>
      <c r="I179" s="44"/>
      <c r="J179" s="34"/>
      <c r="K179" s="44"/>
      <c r="L179" s="44"/>
      <c r="M179" s="44"/>
      <c r="N179" s="44"/>
      <c r="O179" s="44"/>
      <c r="P179" s="44"/>
      <c r="Q179" s="44"/>
      <c r="R179" s="44"/>
      <c r="S179" s="44"/>
      <c r="T179" s="44"/>
      <c r="U179" s="36"/>
    </row>
    <row r="180" spans="1:21" ht="12.75">
      <c r="A180" s="44"/>
      <c r="B180" s="44"/>
      <c r="C180" s="44"/>
      <c r="D180" s="44"/>
      <c r="E180" s="44"/>
      <c r="F180" s="34"/>
      <c r="G180" s="34"/>
      <c r="H180" s="45"/>
      <c r="I180" s="44"/>
      <c r="J180" s="34"/>
      <c r="K180" s="44"/>
      <c r="L180" s="44"/>
      <c r="M180" s="44"/>
      <c r="N180" s="44"/>
      <c r="O180" s="44"/>
      <c r="P180" s="44"/>
      <c r="Q180" s="44"/>
      <c r="R180" s="44"/>
      <c r="S180" s="44"/>
      <c r="T180" s="44"/>
      <c r="U180" s="36"/>
    </row>
    <row r="181" spans="1:21" ht="12.75">
      <c r="A181" s="44"/>
      <c r="B181" s="44"/>
      <c r="C181" s="44"/>
      <c r="D181" s="44"/>
      <c r="E181" s="44"/>
      <c r="F181" s="34"/>
      <c r="G181" s="34"/>
      <c r="H181" s="45"/>
      <c r="I181" s="44"/>
      <c r="J181" s="34"/>
      <c r="K181" s="44"/>
      <c r="L181" s="44"/>
      <c r="M181" s="44"/>
      <c r="N181" s="44"/>
      <c r="O181" s="44"/>
      <c r="P181" s="44"/>
      <c r="Q181" s="44"/>
      <c r="R181" s="44"/>
      <c r="S181" s="44"/>
      <c r="T181" s="44"/>
      <c r="U181" s="36"/>
    </row>
    <row r="182" spans="1:21" ht="12.75">
      <c r="A182" s="44"/>
      <c r="B182" s="44"/>
      <c r="C182" s="44"/>
      <c r="D182" s="44"/>
      <c r="E182" s="44"/>
      <c r="F182" s="34"/>
      <c r="G182" s="34"/>
      <c r="H182" s="45"/>
      <c r="I182" s="44"/>
      <c r="J182" s="34"/>
      <c r="K182" s="44"/>
      <c r="L182" s="44"/>
      <c r="M182" s="44"/>
      <c r="N182" s="44"/>
      <c r="O182" s="44"/>
      <c r="P182" s="44"/>
      <c r="Q182" s="44"/>
      <c r="R182" s="44"/>
      <c r="S182" s="44"/>
      <c r="T182" s="44"/>
      <c r="U182" s="36"/>
    </row>
    <row r="183" spans="1:21" ht="12.75">
      <c r="A183" s="44"/>
      <c r="B183" s="44"/>
      <c r="C183" s="44"/>
      <c r="D183" s="44"/>
      <c r="E183" s="44"/>
      <c r="F183" s="34"/>
      <c r="G183" s="34"/>
      <c r="H183" s="45"/>
      <c r="I183" s="44"/>
      <c r="J183" s="34"/>
      <c r="K183" s="44"/>
      <c r="L183" s="44"/>
      <c r="M183" s="44"/>
      <c r="N183" s="44"/>
      <c r="O183" s="44"/>
      <c r="P183" s="44"/>
      <c r="Q183" s="44"/>
      <c r="R183" s="44"/>
      <c r="S183" s="44"/>
      <c r="T183" s="44"/>
      <c r="U183" s="36"/>
    </row>
    <row r="184" spans="1:21" ht="12.75">
      <c r="A184" s="44"/>
      <c r="B184" s="44"/>
      <c r="C184" s="44"/>
      <c r="D184" s="44"/>
      <c r="E184" s="44"/>
      <c r="F184" s="34"/>
      <c r="G184" s="34"/>
      <c r="H184" s="45"/>
      <c r="I184" s="44"/>
      <c r="J184" s="34"/>
      <c r="K184" s="44"/>
      <c r="L184" s="44"/>
      <c r="M184" s="44"/>
      <c r="N184" s="44"/>
      <c r="O184" s="44"/>
      <c r="P184" s="44"/>
      <c r="Q184" s="44"/>
      <c r="R184" s="44"/>
      <c r="S184" s="44"/>
      <c r="T184" s="44"/>
      <c r="U184" s="36"/>
    </row>
    <row r="185" spans="1:21" ht="12.75">
      <c r="A185" s="44"/>
      <c r="B185" s="44"/>
      <c r="C185" s="44"/>
      <c r="D185" s="44"/>
      <c r="E185" s="44"/>
      <c r="F185" s="34"/>
      <c r="G185" s="34"/>
      <c r="H185" s="45"/>
      <c r="I185" s="44"/>
      <c r="J185" s="34"/>
      <c r="K185" s="44"/>
      <c r="L185" s="44"/>
      <c r="M185" s="44"/>
      <c r="N185" s="44"/>
      <c r="O185" s="44"/>
      <c r="P185" s="44"/>
      <c r="Q185" s="44"/>
      <c r="R185" s="44"/>
      <c r="S185" s="44"/>
      <c r="T185" s="44"/>
      <c r="U185" s="36"/>
    </row>
    <row r="186" spans="1:21" ht="12.75">
      <c r="A186" s="44"/>
      <c r="B186" s="44"/>
      <c r="C186" s="44"/>
      <c r="D186" s="44"/>
      <c r="E186" s="44"/>
      <c r="F186" s="34"/>
      <c r="G186" s="34"/>
      <c r="H186" s="45"/>
      <c r="I186" s="44"/>
      <c r="J186" s="34"/>
      <c r="K186" s="44"/>
      <c r="L186" s="44"/>
      <c r="M186" s="44"/>
      <c r="N186" s="44"/>
      <c r="O186" s="44"/>
      <c r="P186" s="44"/>
      <c r="Q186" s="44"/>
      <c r="R186" s="44"/>
      <c r="S186" s="44"/>
      <c r="T186" s="44"/>
      <c r="U186" s="36"/>
    </row>
    <row r="187" spans="1:21" ht="12.75">
      <c r="A187" s="44"/>
      <c r="B187" s="44"/>
      <c r="C187" s="44"/>
      <c r="D187" s="44"/>
      <c r="E187" s="44"/>
      <c r="F187" s="34"/>
      <c r="G187" s="34"/>
      <c r="H187" s="45"/>
      <c r="I187" s="44"/>
      <c r="J187" s="34"/>
      <c r="K187" s="44"/>
      <c r="L187" s="44"/>
      <c r="M187" s="44"/>
      <c r="N187" s="44"/>
      <c r="O187" s="44"/>
      <c r="P187" s="44"/>
      <c r="Q187" s="44"/>
      <c r="R187" s="44"/>
      <c r="S187" s="44"/>
      <c r="T187" s="44"/>
      <c r="U187" s="36"/>
    </row>
    <row r="188" spans="1:21" ht="12.75">
      <c r="A188" s="44"/>
      <c r="B188" s="44"/>
      <c r="C188" s="44"/>
      <c r="D188" s="44"/>
      <c r="E188" s="44"/>
      <c r="F188" s="34"/>
      <c r="G188" s="34"/>
      <c r="H188" s="45"/>
      <c r="I188" s="44"/>
      <c r="J188" s="34"/>
      <c r="K188" s="44"/>
      <c r="L188" s="44"/>
      <c r="M188" s="44"/>
      <c r="N188" s="44"/>
      <c r="O188" s="44"/>
      <c r="P188" s="44"/>
      <c r="Q188" s="44"/>
      <c r="R188" s="44"/>
      <c r="S188" s="44"/>
      <c r="T188" s="44"/>
      <c r="U188" s="36"/>
    </row>
    <row r="189" spans="1:21" ht="12.75">
      <c r="A189" s="44"/>
      <c r="B189" s="44"/>
      <c r="C189" s="44"/>
      <c r="D189" s="44"/>
      <c r="E189" s="44"/>
      <c r="F189" s="34"/>
      <c r="G189" s="34"/>
      <c r="H189" s="45"/>
      <c r="I189" s="44"/>
      <c r="J189" s="34"/>
      <c r="K189" s="44"/>
      <c r="L189" s="44"/>
      <c r="M189" s="44"/>
      <c r="N189" s="44"/>
      <c r="O189" s="44"/>
      <c r="P189" s="44"/>
      <c r="Q189" s="44"/>
      <c r="R189" s="44"/>
      <c r="S189" s="44"/>
      <c r="T189" s="44"/>
      <c r="U189" s="36"/>
    </row>
    <row r="190" spans="1:21" ht="12.75">
      <c r="A190" s="44"/>
      <c r="B190" s="44"/>
      <c r="C190" s="44"/>
      <c r="D190" s="44"/>
      <c r="E190" s="44"/>
      <c r="F190" s="34"/>
      <c r="G190" s="34"/>
      <c r="H190" s="45"/>
      <c r="I190" s="44"/>
      <c r="J190" s="34"/>
      <c r="K190" s="44"/>
      <c r="L190" s="44"/>
      <c r="M190" s="44"/>
      <c r="N190" s="44"/>
      <c r="O190" s="44"/>
      <c r="P190" s="44"/>
      <c r="Q190" s="44"/>
      <c r="R190" s="44"/>
      <c r="S190" s="44"/>
      <c r="T190" s="44"/>
      <c r="U190" s="36"/>
    </row>
    <row r="191" spans="1:21" ht="12.75">
      <c r="A191" s="44"/>
      <c r="B191" s="44"/>
      <c r="C191" s="44"/>
      <c r="D191" s="44"/>
      <c r="E191" s="44"/>
      <c r="F191" s="34"/>
      <c r="G191" s="34"/>
      <c r="H191" s="45"/>
      <c r="I191" s="44"/>
      <c r="J191" s="34"/>
      <c r="K191" s="44"/>
      <c r="L191" s="44"/>
      <c r="M191" s="44"/>
      <c r="N191" s="44"/>
      <c r="O191" s="44"/>
      <c r="P191" s="44"/>
      <c r="Q191" s="44"/>
      <c r="R191" s="44"/>
      <c r="S191" s="44"/>
      <c r="T191" s="44"/>
      <c r="U191" s="36"/>
    </row>
    <row r="192" spans="1:21" ht="12.75">
      <c r="A192" s="44"/>
      <c r="B192" s="44"/>
      <c r="C192" s="44"/>
      <c r="D192" s="44"/>
      <c r="E192" s="44"/>
      <c r="F192" s="34"/>
      <c r="G192" s="34"/>
      <c r="H192" s="45"/>
      <c r="I192" s="44"/>
      <c r="J192" s="34"/>
      <c r="K192" s="44"/>
      <c r="L192" s="44"/>
      <c r="M192" s="44"/>
      <c r="N192" s="44"/>
      <c r="O192" s="44"/>
      <c r="P192" s="44"/>
      <c r="Q192" s="44"/>
      <c r="R192" s="44"/>
      <c r="S192" s="44"/>
      <c r="T192" s="44"/>
      <c r="U192" s="36"/>
    </row>
    <row r="193" spans="1:21" ht="12.75">
      <c r="A193" s="44"/>
      <c r="B193" s="44"/>
      <c r="C193" s="44"/>
      <c r="D193" s="44"/>
      <c r="E193" s="44"/>
      <c r="F193" s="34"/>
      <c r="G193" s="34"/>
      <c r="H193" s="45"/>
      <c r="I193" s="44"/>
      <c r="J193" s="34"/>
      <c r="K193" s="44"/>
      <c r="L193" s="44"/>
      <c r="M193" s="44"/>
      <c r="N193" s="44"/>
      <c r="O193" s="44"/>
      <c r="P193" s="44"/>
      <c r="Q193" s="44"/>
      <c r="R193" s="44"/>
      <c r="S193" s="44"/>
      <c r="T193" s="44"/>
      <c r="U193" s="36"/>
    </row>
    <row r="194" spans="1:21" ht="12.75">
      <c r="A194" s="44"/>
      <c r="B194" s="44"/>
      <c r="C194" s="44"/>
      <c r="D194" s="44"/>
      <c r="E194" s="44"/>
      <c r="F194" s="34"/>
      <c r="G194" s="34"/>
      <c r="H194" s="45"/>
      <c r="I194" s="44"/>
      <c r="J194" s="34"/>
      <c r="K194" s="44"/>
      <c r="L194" s="44"/>
      <c r="M194" s="44"/>
      <c r="N194" s="44"/>
      <c r="O194" s="44"/>
      <c r="P194" s="44"/>
      <c r="Q194" s="44"/>
      <c r="R194" s="44"/>
      <c r="S194" s="44"/>
      <c r="T194" s="44"/>
      <c r="U194" s="36"/>
    </row>
    <row r="195" spans="1:21" ht="12.75">
      <c r="A195" s="44"/>
      <c r="B195" s="44"/>
      <c r="C195" s="44"/>
      <c r="D195" s="44"/>
      <c r="E195" s="44"/>
      <c r="F195" s="34"/>
      <c r="G195" s="34"/>
      <c r="H195" s="45"/>
      <c r="I195" s="44"/>
      <c r="J195" s="34"/>
      <c r="K195" s="44"/>
      <c r="L195" s="44"/>
      <c r="M195" s="44"/>
      <c r="N195" s="44"/>
      <c r="O195" s="44"/>
      <c r="P195" s="44"/>
      <c r="Q195" s="44"/>
      <c r="R195" s="44"/>
      <c r="S195" s="44"/>
      <c r="T195" s="44"/>
      <c r="U195" s="36"/>
    </row>
    <row r="196" spans="1:21" ht="12.75">
      <c r="A196" s="44"/>
      <c r="B196" s="44"/>
      <c r="C196" s="44"/>
      <c r="D196" s="44"/>
      <c r="E196" s="44"/>
      <c r="F196" s="34"/>
      <c r="G196" s="34"/>
      <c r="H196" s="45"/>
      <c r="I196" s="44"/>
      <c r="J196" s="34"/>
      <c r="K196" s="44"/>
      <c r="L196" s="44"/>
      <c r="M196" s="44"/>
      <c r="N196" s="44"/>
      <c r="O196" s="44"/>
      <c r="P196" s="44"/>
      <c r="Q196" s="44"/>
      <c r="R196" s="44"/>
      <c r="S196" s="44"/>
      <c r="T196" s="44"/>
      <c r="U196" s="36"/>
    </row>
    <row r="197" spans="1:21" ht="12.75">
      <c r="A197" s="44"/>
      <c r="B197" s="44"/>
      <c r="C197" s="44"/>
      <c r="D197" s="44"/>
      <c r="E197" s="44"/>
      <c r="F197" s="34"/>
      <c r="G197" s="34"/>
      <c r="H197" s="45"/>
      <c r="I197" s="44"/>
      <c r="J197" s="34"/>
      <c r="K197" s="44"/>
      <c r="L197" s="44"/>
      <c r="M197" s="44"/>
      <c r="N197" s="44"/>
      <c r="O197" s="44"/>
      <c r="P197" s="44"/>
      <c r="Q197" s="44"/>
      <c r="R197" s="44"/>
      <c r="S197" s="44"/>
      <c r="T197" s="44"/>
      <c r="U197" s="36"/>
    </row>
    <row r="198" spans="1:21" ht="12.75">
      <c r="A198" s="44"/>
      <c r="B198" s="44"/>
      <c r="C198" s="44"/>
      <c r="D198" s="44"/>
      <c r="E198" s="44"/>
      <c r="F198" s="34"/>
      <c r="G198" s="34"/>
      <c r="H198" s="45"/>
      <c r="I198" s="44"/>
      <c r="J198" s="34"/>
      <c r="K198" s="44"/>
      <c r="L198" s="44"/>
      <c r="M198" s="44"/>
      <c r="N198" s="44"/>
      <c r="O198" s="44"/>
      <c r="P198" s="44"/>
      <c r="Q198" s="44"/>
      <c r="R198" s="44"/>
      <c r="S198" s="44"/>
      <c r="T198" s="44"/>
      <c r="U198" s="36"/>
    </row>
    <row r="199" spans="1:21" ht="12.75">
      <c r="A199" s="44"/>
      <c r="B199" s="44"/>
      <c r="C199" s="44"/>
      <c r="D199" s="44"/>
      <c r="E199" s="44"/>
      <c r="F199" s="34"/>
      <c r="G199" s="34"/>
      <c r="H199" s="45"/>
      <c r="I199" s="44"/>
      <c r="J199" s="34"/>
      <c r="K199" s="44"/>
      <c r="L199" s="44"/>
      <c r="M199" s="44"/>
      <c r="N199" s="44"/>
      <c r="O199" s="44"/>
      <c r="P199" s="44"/>
      <c r="Q199" s="44"/>
      <c r="R199" s="44"/>
      <c r="S199" s="44"/>
      <c r="T199" s="44"/>
      <c r="U199" s="36"/>
    </row>
    <row r="200" spans="1:21" ht="12.75">
      <c r="A200" s="44"/>
      <c r="B200" s="44"/>
      <c r="C200" s="44"/>
      <c r="D200" s="44"/>
      <c r="E200" s="44"/>
      <c r="F200" s="34"/>
      <c r="G200" s="34"/>
      <c r="H200" s="45"/>
      <c r="I200" s="44"/>
      <c r="J200" s="34"/>
      <c r="K200" s="44"/>
      <c r="L200" s="44"/>
      <c r="M200" s="44"/>
      <c r="N200" s="44"/>
      <c r="O200" s="44"/>
      <c r="P200" s="44"/>
      <c r="Q200" s="44"/>
      <c r="R200" s="44"/>
      <c r="S200" s="44"/>
      <c r="T200" s="44"/>
      <c r="U200" s="36"/>
    </row>
    <row r="201" spans="1:21" ht="12.75">
      <c r="A201" s="44"/>
      <c r="B201" s="44"/>
      <c r="C201" s="44"/>
      <c r="D201" s="44"/>
      <c r="E201" s="44"/>
      <c r="F201" s="34"/>
      <c r="G201" s="34"/>
      <c r="H201" s="45"/>
      <c r="I201" s="44"/>
      <c r="J201" s="34"/>
      <c r="K201" s="44"/>
      <c r="L201" s="44"/>
      <c r="M201" s="44"/>
      <c r="N201" s="44"/>
      <c r="O201" s="44"/>
      <c r="P201" s="44"/>
      <c r="Q201" s="44"/>
      <c r="R201" s="44"/>
      <c r="S201" s="44"/>
      <c r="T201" s="44"/>
      <c r="U201" s="36"/>
    </row>
    <row r="202" spans="1:21" ht="12.75">
      <c r="A202" s="44"/>
      <c r="B202" s="44"/>
      <c r="C202" s="44"/>
      <c r="D202" s="44"/>
      <c r="E202" s="44"/>
      <c r="F202" s="34"/>
      <c r="G202" s="34"/>
      <c r="H202" s="45"/>
      <c r="I202" s="44"/>
      <c r="J202" s="34"/>
      <c r="K202" s="44"/>
      <c r="L202" s="44"/>
      <c r="M202" s="44"/>
      <c r="N202" s="44"/>
      <c r="O202" s="44"/>
      <c r="P202" s="44"/>
      <c r="Q202" s="44"/>
      <c r="R202" s="44"/>
      <c r="S202" s="44"/>
      <c r="T202" s="44"/>
      <c r="U202" s="36"/>
    </row>
    <row r="203" spans="1:21" ht="12.75">
      <c r="A203" s="44"/>
      <c r="B203" s="44"/>
      <c r="C203" s="44"/>
      <c r="D203" s="44"/>
      <c r="E203" s="44"/>
      <c r="F203" s="34"/>
      <c r="G203" s="34"/>
      <c r="H203" s="45"/>
      <c r="I203" s="44"/>
      <c r="J203" s="34"/>
      <c r="K203" s="44"/>
      <c r="L203" s="44"/>
      <c r="M203" s="44"/>
      <c r="N203" s="44"/>
      <c r="O203" s="44"/>
      <c r="P203" s="44"/>
      <c r="Q203" s="44"/>
      <c r="R203" s="44"/>
      <c r="S203" s="44"/>
      <c r="T203" s="44"/>
      <c r="U203" s="36"/>
    </row>
    <row r="204" spans="1:21" ht="12.75">
      <c r="A204" s="44"/>
      <c r="B204" s="44"/>
      <c r="C204" s="44"/>
      <c r="D204" s="44"/>
      <c r="E204" s="44"/>
      <c r="F204" s="34"/>
      <c r="G204" s="34"/>
      <c r="H204" s="45"/>
      <c r="I204" s="44"/>
      <c r="J204" s="34"/>
      <c r="K204" s="44"/>
      <c r="L204" s="44"/>
      <c r="M204" s="44"/>
      <c r="N204" s="44"/>
      <c r="O204" s="44"/>
      <c r="P204" s="44"/>
      <c r="Q204" s="44"/>
      <c r="R204" s="44"/>
      <c r="S204" s="44"/>
      <c r="T204" s="44"/>
      <c r="U204" s="36"/>
    </row>
    <row r="205" spans="1:21" ht="12.75">
      <c r="A205" s="44"/>
      <c r="B205" s="44"/>
      <c r="C205" s="44"/>
      <c r="D205" s="44"/>
      <c r="E205" s="44"/>
      <c r="F205" s="34"/>
      <c r="G205" s="34"/>
      <c r="H205" s="45"/>
      <c r="I205" s="44"/>
      <c r="J205" s="34"/>
      <c r="K205" s="44"/>
      <c r="L205" s="44"/>
      <c r="M205" s="44"/>
      <c r="N205" s="44"/>
      <c r="O205" s="44"/>
      <c r="P205" s="44"/>
      <c r="Q205" s="44"/>
      <c r="R205" s="44"/>
      <c r="S205" s="44"/>
      <c r="T205" s="44"/>
      <c r="U205" s="36"/>
    </row>
    <row r="206" spans="1:21" ht="12.75">
      <c r="A206" s="44"/>
      <c r="B206" s="44"/>
      <c r="C206" s="44"/>
      <c r="D206" s="44"/>
      <c r="E206" s="44"/>
      <c r="F206" s="34"/>
      <c r="G206" s="34"/>
      <c r="H206" s="45"/>
      <c r="I206" s="44"/>
      <c r="J206" s="34"/>
      <c r="K206" s="44"/>
      <c r="L206" s="44"/>
      <c r="M206" s="44"/>
      <c r="N206" s="44"/>
      <c r="O206" s="44"/>
      <c r="P206" s="44"/>
      <c r="Q206" s="44"/>
      <c r="R206" s="44"/>
      <c r="S206" s="44"/>
      <c r="T206" s="44"/>
      <c r="U206" s="36"/>
    </row>
    <row r="207" spans="1:21" ht="12.75">
      <c r="A207" s="44"/>
      <c r="B207" s="44"/>
      <c r="C207" s="44"/>
      <c r="D207" s="44"/>
      <c r="E207" s="44"/>
      <c r="F207" s="34"/>
      <c r="G207" s="34"/>
      <c r="H207" s="45"/>
      <c r="I207" s="44"/>
      <c r="J207" s="34"/>
      <c r="K207" s="44"/>
      <c r="L207" s="44"/>
      <c r="M207" s="44"/>
      <c r="N207" s="44"/>
      <c r="O207" s="44"/>
      <c r="P207" s="44"/>
      <c r="Q207" s="44"/>
      <c r="R207" s="44"/>
      <c r="S207" s="44"/>
      <c r="T207" s="44"/>
      <c r="U207" s="36"/>
    </row>
    <row r="208" spans="1:21" ht="12.75">
      <c r="A208" s="44"/>
      <c r="B208" s="44"/>
      <c r="C208" s="44"/>
      <c r="D208" s="44"/>
      <c r="E208" s="44"/>
      <c r="F208" s="34"/>
      <c r="G208" s="34"/>
      <c r="H208" s="45"/>
      <c r="I208" s="44"/>
      <c r="J208" s="34"/>
      <c r="K208" s="44"/>
      <c r="L208" s="44"/>
      <c r="M208" s="44"/>
      <c r="N208" s="44"/>
      <c r="O208" s="44"/>
      <c r="P208" s="44"/>
      <c r="Q208" s="44"/>
      <c r="R208" s="44"/>
      <c r="S208" s="44"/>
      <c r="T208" s="44"/>
      <c r="U208" s="36"/>
    </row>
    <row r="209" spans="1:21" ht="12.75">
      <c r="A209" s="44"/>
      <c r="B209" s="44"/>
      <c r="C209" s="44"/>
      <c r="D209" s="44"/>
      <c r="E209" s="44"/>
      <c r="F209" s="34"/>
      <c r="G209" s="34"/>
      <c r="H209" s="45"/>
      <c r="I209" s="44"/>
      <c r="J209" s="34"/>
      <c r="K209" s="44"/>
      <c r="L209" s="44"/>
      <c r="M209" s="44"/>
      <c r="N209" s="44"/>
      <c r="O209" s="44"/>
      <c r="P209" s="44"/>
      <c r="Q209" s="44"/>
      <c r="R209" s="44"/>
      <c r="S209" s="44"/>
      <c r="T209" s="44"/>
      <c r="U209" s="36"/>
    </row>
    <row r="210" spans="1:21" ht="12.75">
      <c r="A210" s="44"/>
      <c r="B210" s="44"/>
      <c r="C210" s="44"/>
      <c r="D210" s="44"/>
      <c r="E210" s="44"/>
      <c r="F210" s="34"/>
      <c r="G210" s="34"/>
      <c r="H210" s="45"/>
      <c r="I210" s="44"/>
      <c r="J210" s="34"/>
      <c r="K210" s="44"/>
      <c r="L210" s="44"/>
      <c r="M210" s="44"/>
      <c r="N210" s="44"/>
      <c r="O210" s="44"/>
      <c r="P210" s="44"/>
      <c r="Q210" s="44"/>
      <c r="R210" s="44"/>
      <c r="S210" s="44"/>
      <c r="T210" s="44"/>
      <c r="U210" s="36"/>
    </row>
    <row r="211" spans="1:21" ht="12.75">
      <c r="A211" s="44"/>
      <c r="B211" s="44"/>
      <c r="C211" s="44"/>
      <c r="D211" s="44"/>
      <c r="E211" s="44"/>
      <c r="F211" s="34"/>
      <c r="G211" s="34"/>
      <c r="H211" s="45"/>
      <c r="I211" s="44"/>
      <c r="J211" s="34"/>
      <c r="K211" s="44"/>
      <c r="L211" s="44"/>
      <c r="M211" s="44"/>
      <c r="N211" s="44"/>
      <c r="O211" s="44"/>
      <c r="P211" s="44"/>
      <c r="Q211" s="44"/>
      <c r="R211" s="44"/>
      <c r="S211" s="44"/>
      <c r="T211" s="44"/>
      <c r="U211" s="36"/>
    </row>
    <row r="212" spans="1:21" ht="12.75">
      <c r="A212" s="44"/>
      <c r="B212" s="44"/>
      <c r="C212" s="44"/>
      <c r="D212" s="44"/>
      <c r="E212" s="44"/>
      <c r="F212" s="34"/>
      <c r="G212" s="34"/>
      <c r="H212" s="45"/>
      <c r="I212" s="44"/>
      <c r="J212" s="34"/>
      <c r="K212" s="44"/>
      <c r="L212" s="44"/>
      <c r="M212" s="44"/>
      <c r="N212" s="44"/>
      <c r="O212" s="44"/>
      <c r="P212" s="44"/>
      <c r="Q212" s="44"/>
      <c r="R212" s="44"/>
      <c r="S212" s="44"/>
      <c r="T212" s="44"/>
      <c r="U212" s="36"/>
    </row>
    <row r="213" spans="1:21" ht="12.75">
      <c r="A213" s="44"/>
      <c r="B213" s="44"/>
      <c r="C213" s="44"/>
      <c r="D213" s="44"/>
      <c r="E213" s="44"/>
      <c r="F213" s="34"/>
      <c r="G213" s="34"/>
      <c r="H213" s="45"/>
      <c r="I213" s="44"/>
      <c r="J213" s="34"/>
      <c r="K213" s="44"/>
      <c r="L213" s="44"/>
      <c r="M213" s="44"/>
      <c r="N213" s="44"/>
      <c r="O213" s="44"/>
      <c r="P213" s="44"/>
      <c r="Q213" s="44"/>
      <c r="R213" s="44"/>
      <c r="S213" s="44"/>
      <c r="T213" s="44"/>
      <c r="U213" s="36"/>
    </row>
    <row r="214" spans="1:21" ht="12.75">
      <c r="A214" s="44"/>
      <c r="B214" s="44"/>
      <c r="C214" s="44"/>
      <c r="D214" s="44"/>
      <c r="E214" s="44"/>
      <c r="F214" s="34"/>
      <c r="G214" s="34"/>
      <c r="H214" s="45"/>
      <c r="I214" s="44"/>
      <c r="J214" s="34"/>
      <c r="K214" s="44"/>
      <c r="L214" s="44"/>
      <c r="M214" s="44"/>
      <c r="N214" s="44"/>
      <c r="O214" s="44"/>
      <c r="P214" s="44"/>
      <c r="Q214" s="44"/>
      <c r="R214" s="44"/>
      <c r="S214" s="44"/>
      <c r="T214" s="44"/>
      <c r="U214" s="36"/>
    </row>
    <row r="215" spans="1:21" ht="12.75">
      <c r="A215" s="44"/>
      <c r="B215" s="44"/>
      <c r="C215" s="44"/>
      <c r="D215" s="44"/>
      <c r="E215" s="44"/>
      <c r="F215" s="34"/>
      <c r="G215" s="34"/>
      <c r="H215" s="45"/>
      <c r="I215" s="44"/>
      <c r="J215" s="34"/>
      <c r="K215" s="44"/>
      <c r="L215" s="44"/>
      <c r="M215" s="44"/>
      <c r="N215" s="44"/>
      <c r="O215" s="44"/>
      <c r="P215" s="44"/>
      <c r="Q215" s="44"/>
      <c r="R215" s="44"/>
      <c r="S215" s="44"/>
      <c r="T215" s="44"/>
      <c r="U215" s="36"/>
    </row>
    <row r="216" spans="1:21" ht="12.75">
      <c r="A216" s="44"/>
      <c r="B216" s="44"/>
      <c r="C216" s="44"/>
      <c r="D216" s="44"/>
      <c r="E216" s="44"/>
      <c r="F216" s="34"/>
      <c r="G216" s="34"/>
      <c r="H216" s="45"/>
      <c r="I216" s="44"/>
      <c r="J216" s="34"/>
      <c r="K216" s="44"/>
      <c r="L216" s="44"/>
      <c r="M216" s="44"/>
      <c r="N216" s="44"/>
      <c r="O216" s="44"/>
      <c r="P216" s="44"/>
      <c r="Q216" s="44"/>
      <c r="R216" s="44"/>
      <c r="S216" s="44"/>
      <c r="T216" s="44"/>
      <c r="U216" s="36"/>
    </row>
    <row r="217" spans="1:21" ht="12.75">
      <c r="A217" s="44"/>
      <c r="B217" s="44"/>
      <c r="C217" s="44"/>
      <c r="D217" s="44"/>
      <c r="E217" s="44"/>
      <c r="F217" s="34"/>
      <c r="G217" s="34"/>
      <c r="H217" s="45"/>
      <c r="I217" s="44"/>
      <c r="J217" s="34"/>
      <c r="K217" s="44"/>
      <c r="L217" s="44"/>
      <c r="M217" s="44"/>
      <c r="N217" s="44"/>
      <c r="O217" s="44"/>
      <c r="P217" s="44"/>
      <c r="Q217" s="44"/>
      <c r="R217" s="44"/>
      <c r="S217" s="44"/>
      <c r="T217" s="44"/>
      <c r="U217" s="36"/>
    </row>
    <row r="218" spans="1:21" ht="12.75">
      <c r="A218" s="44"/>
      <c r="B218" s="44"/>
      <c r="C218" s="44"/>
      <c r="D218" s="44"/>
      <c r="E218" s="44"/>
      <c r="F218" s="34"/>
      <c r="G218" s="34"/>
      <c r="H218" s="45"/>
      <c r="I218" s="44"/>
      <c r="J218" s="34"/>
      <c r="K218" s="44"/>
      <c r="L218" s="44"/>
      <c r="M218" s="44"/>
      <c r="N218" s="44"/>
      <c r="O218" s="44"/>
      <c r="P218" s="44"/>
      <c r="Q218" s="44"/>
      <c r="R218" s="44"/>
      <c r="S218" s="44"/>
      <c r="T218" s="44"/>
      <c r="U218" s="36"/>
    </row>
    <row r="219" spans="1:21" ht="12.75">
      <c r="A219" s="44"/>
      <c r="B219" s="44"/>
      <c r="C219" s="44"/>
      <c r="D219" s="44"/>
      <c r="E219" s="44"/>
      <c r="F219" s="34"/>
      <c r="G219" s="34"/>
      <c r="H219" s="45"/>
      <c r="I219" s="44"/>
      <c r="J219" s="34"/>
      <c r="K219" s="44"/>
      <c r="L219" s="44"/>
      <c r="M219" s="44"/>
      <c r="N219" s="44"/>
      <c r="O219" s="44"/>
      <c r="P219" s="44"/>
      <c r="Q219" s="44"/>
      <c r="R219" s="44"/>
      <c r="S219" s="44"/>
      <c r="T219" s="44"/>
      <c r="U219" s="36"/>
    </row>
    <row r="220" spans="1:21" ht="12.75">
      <c r="A220" s="44"/>
      <c r="B220" s="44"/>
      <c r="C220" s="44"/>
      <c r="D220" s="44"/>
      <c r="E220" s="44"/>
      <c r="F220" s="34"/>
      <c r="G220" s="34"/>
      <c r="H220" s="45"/>
      <c r="I220" s="44"/>
      <c r="J220" s="34"/>
      <c r="K220" s="44"/>
      <c r="L220" s="44"/>
      <c r="M220" s="44"/>
      <c r="N220" s="44"/>
      <c r="O220" s="44"/>
      <c r="P220" s="44"/>
      <c r="Q220" s="44"/>
      <c r="R220" s="44"/>
      <c r="S220" s="44"/>
      <c r="T220" s="44"/>
      <c r="U220" s="36"/>
    </row>
    <row r="221" spans="1:21" ht="12.75">
      <c r="A221" s="44"/>
      <c r="B221" s="44"/>
      <c r="C221" s="44"/>
      <c r="D221" s="44"/>
      <c r="E221" s="44"/>
      <c r="F221" s="34"/>
      <c r="G221" s="34"/>
      <c r="H221" s="45"/>
      <c r="I221" s="44"/>
      <c r="J221" s="34"/>
      <c r="K221" s="44"/>
      <c r="L221" s="44"/>
      <c r="M221" s="44"/>
      <c r="N221" s="44"/>
      <c r="O221" s="44"/>
      <c r="P221" s="44"/>
      <c r="Q221" s="44"/>
      <c r="R221" s="44"/>
      <c r="S221" s="44"/>
      <c r="T221" s="44"/>
      <c r="U221" s="36"/>
    </row>
    <row r="222" spans="1:21" ht="12.75">
      <c r="A222" s="44"/>
      <c r="B222" s="44"/>
      <c r="C222" s="44"/>
      <c r="D222" s="44"/>
      <c r="E222" s="44"/>
      <c r="F222" s="34"/>
      <c r="G222" s="34"/>
      <c r="H222" s="45"/>
      <c r="I222" s="44"/>
      <c r="J222" s="34"/>
      <c r="K222" s="44"/>
      <c r="L222" s="44"/>
      <c r="M222" s="44"/>
      <c r="N222" s="44"/>
      <c r="O222" s="44"/>
      <c r="P222" s="44"/>
      <c r="Q222" s="44"/>
      <c r="R222" s="44"/>
      <c r="S222" s="44"/>
      <c r="T222" s="44"/>
      <c r="U222" s="36"/>
    </row>
    <row r="223" spans="1:21" ht="12.75">
      <c r="A223" s="44"/>
      <c r="B223" s="44"/>
      <c r="C223" s="44"/>
      <c r="D223" s="44"/>
      <c r="E223" s="44"/>
      <c r="F223" s="34"/>
      <c r="G223" s="34"/>
      <c r="H223" s="45"/>
      <c r="I223" s="44"/>
      <c r="J223" s="34"/>
      <c r="K223" s="44"/>
      <c r="L223" s="44"/>
      <c r="M223" s="44"/>
      <c r="N223" s="44"/>
      <c r="O223" s="44"/>
      <c r="P223" s="44"/>
      <c r="Q223" s="44"/>
      <c r="R223" s="44"/>
      <c r="S223" s="44"/>
      <c r="T223" s="44"/>
      <c r="U223" s="36"/>
    </row>
    <row r="224" spans="1:21" ht="12.75">
      <c r="A224" s="44"/>
      <c r="B224" s="44"/>
      <c r="C224" s="44"/>
      <c r="D224" s="44"/>
      <c r="E224" s="44"/>
      <c r="F224" s="34"/>
      <c r="G224" s="34"/>
      <c r="H224" s="45"/>
      <c r="I224" s="44"/>
      <c r="J224" s="34"/>
      <c r="K224" s="44"/>
      <c r="L224" s="44"/>
      <c r="M224" s="44"/>
      <c r="N224" s="44"/>
      <c r="O224" s="44"/>
      <c r="P224" s="44"/>
      <c r="Q224" s="44"/>
      <c r="R224" s="44"/>
      <c r="S224" s="44"/>
      <c r="T224" s="44"/>
      <c r="U224" s="36"/>
    </row>
    <row r="225" spans="1:21" ht="12.75">
      <c r="A225" s="44"/>
      <c r="B225" s="44"/>
      <c r="C225" s="44"/>
      <c r="D225" s="44"/>
      <c r="E225" s="44"/>
      <c r="F225" s="34"/>
      <c r="G225" s="34"/>
      <c r="H225" s="45"/>
      <c r="I225" s="44"/>
      <c r="J225" s="34"/>
      <c r="K225" s="44"/>
      <c r="L225" s="44"/>
      <c r="M225" s="44"/>
      <c r="N225" s="44"/>
      <c r="O225" s="44"/>
      <c r="P225" s="44"/>
      <c r="Q225" s="44"/>
      <c r="R225" s="44"/>
      <c r="S225" s="44"/>
      <c r="T225" s="44"/>
      <c r="U225" s="36"/>
    </row>
    <row r="226" spans="1:21" ht="12.75">
      <c r="A226" s="44"/>
      <c r="B226" s="44"/>
      <c r="C226" s="44"/>
      <c r="D226" s="44"/>
      <c r="E226" s="44"/>
      <c r="F226" s="34"/>
      <c r="G226" s="34"/>
      <c r="H226" s="45"/>
      <c r="I226" s="44"/>
      <c r="J226" s="34"/>
      <c r="K226" s="44"/>
      <c r="L226" s="44"/>
      <c r="M226" s="44"/>
      <c r="N226" s="44"/>
      <c r="O226" s="44"/>
      <c r="P226" s="44"/>
      <c r="Q226" s="44"/>
      <c r="R226" s="44"/>
      <c r="S226" s="44"/>
      <c r="T226" s="44"/>
      <c r="U226" s="36"/>
    </row>
    <row r="227" spans="1:21" ht="12.75">
      <c r="A227" s="44"/>
      <c r="B227" s="44"/>
      <c r="C227" s="44"/>
      <c r="D227" s="44"/>
      <c r="E227" s="44"/>
      <c r="F227" s="34"/>
      <c r="G227" s="34"/>
      <c r="H227" s="45"/>
      <c r="I227" s="44"/>
      <c r="J227" s="34"/>
      <c r="K227" s="44"/>
      <c r="L227" s="44"/>
      <c r="M227" s="44"/>
      <c r="N227" s="44"/>
      <c r="O227" s="44"/>
      <c r="P227" s="44"/>
      <c r="Q227" s="44"/>
      <c r="R227" s="44"/>
      <c r="S227" s="44"/>
      <c r="T227" s="44"/>
      <c r="U227" s="36"/>
    </row>
    <row r="228" spans="1:21" ht="12.75">
      <c r="A228" s="44"/>
      <c r="B228" s="44"/>
      <c r="C228" s="44"/>
      <c r="D228" s="44"/>
      <c r="E228" s="44"/>
      <c r="F228" s="34"/>
      <c r="G228" s="34"/>
      <c r="H228" s="45"/>
      <c r="I228" s="44"/>
      <c r="J228" s="34"/>
      <c r="K228" s="44"/>
      <c r="L228" s="44"/>
      <c r="M228" s="44"/>
      <c r="N228" s="44"/>
      <c r="O228" s="44"/>
      <c r="P228" s="44"/>
      <c r="Q228" s="44"/>
      <c r="R228" s="44"/>
      <c r="S228" s="44"/>
      <c r="T228" s="44"/>
      <c r="U228" s="36"/>
    </row>
    <row r="229" spans="1:21" ht="12.75">
      <c r="A229" s="44"/>
      <c r="B229" s="44"/>
      <c r="C229" s="44"/>
      <c r="D229" s="44"/>
      <c r="E229" s="44"/>
      <c r="F229" s="34"/>
      <c r="G229" s="34"/>
      <c r="H229" s="45"/>
      <c r="I229" s="44"/>
      <c r="J229" s="34"/>
      <c r="K229" s="44"/>
      <c r="L229" s="44"/>
      <c r="M229" s="44"/>
      <c r="N229" s="44"/>
      <c r="O229" s="44"/>
      <c r="P229" s="44"/>
      <c r="Q229" s="44"/>
      <c r="R229" s="44"/>
      <c r="S229" s="44"/>
      <c r="T229" s="44"/>
      <c r="U229" s="36"/>
    </row>
    <row r="230" spans="1:21" ht="12.75">
      <c r="A230" s="44"/>
      <c r="B230" s="44"/>
      <c r="C230" s="44"/>
      <c r="D230" s="44"/>
      <c r="E230" s="44"/>
      <c r="F230" s="34"/>
      <c r="G230" s="34"/>
      <c r="H230" s="45"/>
      <c r="I230" s="44"/>
      <c r="J230" s="34"/>
      <c r="K230" s="44"/>
      <c r="L230" s="44"/>
      <c r="M230" s="44"/>
      <c r="N230" s="44"/>
      <c r="O230" s="44"/>
      <c r="P230" s="44"/>
      <c r="Q230" s="44"/>
      <c r="R230" s="44"/>
      <c r="S230" s="44"/>
      <c r="T230" s="44"/>
      <c r="U230" s="36"/>
    </row>
    <row r="231" spans="1:21" ht="12.75">
      <c r="A231" s="44"/>
      <c r="B231" s="44"/>
      <c r="C231" s="44"/>
      <c r="D231" s="44"/>
      <c r="E231" s="44"/>
      <c r="F231" s="34"/>
      <c r="G231" s="34"/>
      <c r="H231" s="45"/>
      <c r="I231" s="44"/>
      <c r="J231" s="34"/>
      <c r="K231" s="44"/>
      <c r="L231" s="44"/>
      <c r="M231" s="44"/>
      <c r="N231" s="44"/>
      <c r="O231" s="44"/>
      <c r="P231" s="44"/>
      <c r="Q231" s="44"/>
      <c r="R231" s="44"/>
      <c r="S231" s="44"/>
      <c r="T231" s="44"/>
      <c r="U231" s="36"/>
    </row>
    <row r="232" spans="1:21" ht="12.75">
      <c r="A232" s="44"/>
      <c r="B232" s="44"/>
      <c r="C232" s="44"/>
      <c r="D232" s="44"/>
      <c r="E232" s="44"/>
      <c r="F232" s="34"/>
      <c r="G232" s="34"/>
      <c r="H232" s="45"/>
      <c r="I232" s="44"/>
      <c r="J232" s="34"/>
      <c r="K232" s="44"/>
      <c r="L232" s="44"/>
      <c r="M232" s="44"/>
      <c r="N232" s="44"/>
      <c r="O232" s="44"/>
      <c r="P232" s="44"/>
      <c r="Q232" s="44"/>
      <c r="R232" s="44"/>
      <c r="S232" s="44"/>
      <c r="T232" s="44"/>
      <c r="U232" s="36"/>
    </row>
    <row r="233" spans="1:21" ht="12.75">
      <c r="A233" s="44"/>
      <c r="B233" s="44"/>
      <c r="C233" s="44"/>
      <c r="D233" s="44"/>
      <c r="E233" s="44"/>
      <c r="F233" s="34"/>
      <c r="G233" s="34"/>
      <c r="H233" s="45"/>
      <c r="I233" s="44"/>
      <c r="J233" s="34"/>
      <c r="K233" s="44"/>
      <c r="L233" s="44"/>
      <c r="M233" s="44"/>
      <c r="N233" s="44"/>
      <c r="O233" s="44"/>
      <c r="P233" s="44"/>
      <c r="Q233" s="44"/>
      <c r="R233" s="44"/>
      <c r="S233" s="44"/>
      <c r="T233" s="44"/>
      <c r="U233" s="36"/>
    </row>
    <row r="234" spans="1:21" ht="12.75">
      <c r="A234" s="44"/>
      <c r="B234" s="44"/>
      <c r="C234" s="44"/>
      <c r="D234" s="44"/>
      <c r="E234" s="44"/>
      <c r="F234" s="34"/>
      <c r="G234" s="34"/>
      <c r="H234" s="45"/>
      <c r="I234" s="44"/>
      <c r="J234" s="34"/>
      <c r="K234" s="44"/>
      <c r="L234" s="44"/>
      <c r="M234" s="44"/>
      <c r="N234" s="44"/>
      <c r="O234" s="44"/>
      <c r="P234" s="44"/>
      <c r="Q234" s="44"/>
      <c r="R234" s="44"/>
      <c r="S234" s="44"/>
      <c r="T234" s="44"/>
      <c r="U234" s="36"/>
    </row>
    <row r="235" spans="1:21" ht="12.75">
      <c r="A235" s="44"/>
      <c r="B235" s="44"/>
      <c r="C235" s="44"/>
      <c r="D235" s="44"/>
      <c r="E235" s="44"/>
      <c r="F235" s="34"/>
      <c r="G235" s="34"/>
      <c r="H235" s="45"/>
      <c r="I235" s="44"/>
      <c r="J235" s="34"/>
      <c r="K235" s="44"/>
      <c r="L235" s="44"/>
      <c r="M235" s="44"/>
      <c r="N235" s="44"/>
      <c r="O235" s="44"/>
      <c r="P235" s="44"/>
      <c r="Q235" s="44"/>
      <c r="R235" s="44"/>
      <c r="S235" s="44"/>
      <c r="T235" s="44"/>
      <c r="U235" s="36"/>
    </row>
    <row r="236" spans="1:21" ht="12.75">
      <c r="A236" s="44"/>
      <c r="B236" s="44"/>
      <c r="C236" s="44"/>
      <c r="D236" s="44"/>
      <c r="E236" s="44"/>
      <c r="F236" s="34"/>
      <c r="G236" s="34"/>
      <c r="H236" s="45"/>
      <c r="I236" s="44"/>
      <c r="J236" s="34"/>
      <c r="K236" s="44"/>
      <c r="L236" s="44"/>
      <c r="M236" s="44"/>
      <c r="N236" s="44"/>
      <c r="O236" s="44"/>
      <c r="P236" s="44"/>
      <c r="Q236" s="44"/>
      <c r="R236" s="44"/>
      <c r="S236" s="44"/>
      <c r="T236" s="44"/>
      <c r="U236" s="36"/>
    </row>
    <row r="237" spans="1:21" ht="12.75">
      <c r="A237" s="44"/>
      <c r="B237" s="44"/>
      <c r="C237" s="44"/>
      <c r="D237" s="44"/>
      <c r="E237" s="44"/>
      <c r="F237" s="34"/>
      <c r="G237" s="34"/>
      <c r="H237" s="45"/>
      <c r="I237" s="44"/>
      <c r="J237" s="34"/>
      <c r="K237" s="44"/>
      <c r="L237" s="44"/>
      <c r="M237" s="44"/>
      <c r="N237" s="44"/>
      <c r="O237" s="44"/>
      <c r="P237" s="44"/>
      <c r="Q237" s="44"/>
      <c r="R237" s="44"/>
      <c r="S237" s="44"/>
      <c r="T237" s="44"/>
      <c r="U237" s="36"/>
    </row>
    <row r="238" spans="1:21" ht="12.75">
      <c r="A238" s="44"/>
      <c r="B238" s="44"/>
      <c r="C238" s="44"/>
      <c r="D238" s="44"/>
      <c r="E238" s="44"/>
      <c r="F238" s="34"/>
      <c r="G238" s="34"/>
      <c r="H238" s="45"/>
      <c r="I238" s="44"/>
      <c r="J238" s="34"/>
      <c r="K238" s="44"/>
      <c r="L238" s="44"/>
      <c r="M238" s="44"/>
      <c r="N238" s="44"/>
      <c r="O238" s="44"/>
      <c r="P238" s="44"/>
      <c r="Q238" s="44"/>
      <c r="R238" s="44"/>
      <c r="S238" s="44"/>
      <c r="T238" s="44"/>
      <c r="U238" s="36"/>
    </row>
    <row r="239" spans="1:21" ht="12.75">
      <c r="A239" s="44"/>
      <c r="B239" s="44"/>
      <c r="C239" s="44"/>
      <c r="D239" s="44"/>
      <c r="E239" s="44"/>
      <c r="F239" s="34"/>
      <c r="G239" s="34"/>
      <c r="H239" s="45"/>
      <c r="I239" s="44"/>
      <c r="J239" s="34"/>
      <c r="K239" s="44"/>
      <c r="L239" s="44"/>
      <c r="M239" s="44"/>
      <c r="N239" s="44"/>
      <c r="O239" s="44"/>
      <c r="P239" s="44"/>
      <c r="Q239" s="44"/>
      <c r="R239" s="44"/>
      <c r="S239" s="44"/>
      <c r="T239" s="44"/>
      <c r="U239" s="36"/>
    </row>
    <row r="240" spans="1:21" ht="12.75">
      <c r="A240" s="44"/>
      <c r="B240" s="44"/>
      <c r="C240" s="44"/>
      <c r="D240" s="44"/>
      <c r="E240" s="44"/>
      <c r="F240" s="34"/>
      <c r="G240" s="34"/>
      <c r="H240" s="45"/>
      <c r="I240" s="44"/>
      <c r="J240" s="34"/>
      <c r="K240" s="44"/>
      <c r="L240" s="44"/>
      <c r="M240" s="44"/>
      <c r="N240" s="44"/>
      <c r="O240" s="44"/>
      <c r="P240" s="44"/>
      <c r="Q240" s="44"/>
      <c r="R240" s="44"/>
      <c r="S240" s="44"/>
      <c r="T240" s="44"/>
      <c r="U240" s="36"/>
    </row>
    <row r="241" spans="1:21" ht="12.75">
      <c r="A241" s="44"/>
      <c r="B241" s="44"/>
      <c r="C241" s="44"/>
      <c r="D241" s="44"/>
      <c r="E241" s="44"/>
      <c r="F241" s="34"/>
      <c r="G241" s="34"/>
      <c r="H241" s="45"/>
      <c r="I241" s="44"/>
      <c r="J241" s="34"/>
      <c r="K241" s="44"/>
      <c r="L241" s="44"/>
      <c r="M241" s="44"/>
      <c r="N241" s="44"/>
      <c r="O241" s="44"/>
      <c r="P241" s="44"/>
      <c r="Q241" s="44"/>
      <c r="R241" s="44"/>
      <c r="S241" s="44"/>
      <c r="T241" s="44"/>
      <c r="U241" s="36"/>
    </row>
    <row r="242" spans="1:21" ht="12.75">
      <c r="A242" s="44"/>
      <c r="B242" s="44"/>
      <c r="C242" s="44"/>
      <c r="D242" s="44"/>
      <c r="E242" s="44"/>
      <c r="F242" s="34"/>
      <c r="G242" s="34"/>
      <c r="H242" s="45"/>
      <c r="I242" s="44"/>
      <c r="J242" s="34"/>
      <c r="K242" s="44"/>
      <c r="L242" s="44"/>
      <c r="M242" s="44"/>
      <c r="N242" s="44"/>
      <c r="O242" s="44"/>
      <c r="P242" s="44"/>
      <c r="Q242" s="44"/>
      <c r="R242" s="44"/>
      <c r="S242" s="44"/>
      <c r="T242" s="44"/>
      <c r="U242" s="36"/>
    </row>
    <row r="243" spans="1:21" ht="12.75">
      <c r="A243" s="44"/>
      <c r="B243" s="44"/>
      <c r="C243" s="44"/>
      <c r="D243" s="44"/>
      <c r="E243" s="44"/>
      <c r="F243" s="34"/>
      <c r="G243" s="34"/>
      <c r="H243" s="45"/>
      <c r="I243" s="44"/>
      <c r="J243" s="34"/>
      <c r="K243" s="44"/>
      <c r="L243" s="44"/>
      <c r="M243" s="44"/>
      <c r="N243" s="44"/>
      <c r="O243" s="44"/>
      <c r="P243" s="44"/>
      <c r="Q243" s="44"/>
      <c r="R243" s="44"/>
      <c r="S243" s="44"/>
      <c r="T243" s="44"/>
      <c r="U243" s="36"/>
    </row>
    <row r="244" spans="1:21" ht="12.75">
      <c r="A244" s="44"/>
      <c r="B244" s="44"/>
      <c r="C244" s="44"/>
      <c r="D244" s="44"/>
      <c r="E244" s="44"/>
      <c r="F244" s="34"/>
      <c r="G244" s="34"/>
      <c r="H244" s="45"/>
      <c r="I244" s="44"/>
      <c r="J244" s="34"/>
      <c r="K244" s="44"/>
      <c r="L244" s="44"/>
      <c r="M244" s="44"/>
      <c r="N244" s="44"/>
      <c r="O244" s="44"/>
      <c r="P244" s="44"/>
      <c r="Q244" s="44"/>
      <c r="R244" s="44"/>
      <c r="S244" s="44"/>
      <c r="T244" s="44"/>
      <c r="U244" s="36"/>
    </row>
    <row r="245" spans="1:21" ht="12.75">
      <c r="A245" s="44"/>
      <c r="B245" s="44"/>
      <c r="C245" s="44"/>
      <c r="D245" s="44"/>
      <c r="E245" s="44"/>
      <c r="F245" s="34"/>
      <c r="G245" s="34"/>
      <c r="H245" s="45"/>
      <c r="I245" s="44"/>
      <c r="J245" s="34"/>
      <c r="K245" s="44"/>
      <c r="L245" s="44"/>
      <c r="M245" s="44"/>
      <c r="N245" s="44"/>
      <c r="O245" s="44"/>
      <c r="P245" s="44"/>
      <c r="Q245" s="44"/>
      <c r="R245" s="44"/>
      <c r="S245" s="44"/>
      <c r="T245" s="44"/>
      <c r="U245" s="36"/>
    </row>
    <row r="246" spans="1:21" ht="12.75">
      <c r="A246" s="44"/>
      <c r="B246" s="44"/>
      <c r="C246" s="44"/>
      <c r="D246" s="44"/>
      <c r="E246" s="44"/>
      <c r="F246" s="34"/>
      <c r="G246" s="34"/>
      <c r="H246" s="45"/>
      <c r="I246" s="44"/>
      <c r="J246" s="34"/>
      <c r="K246" s="44"/>
      <c r="L246" s="44"/>
      <c r="M246" s="44"/>
      <c r="N246" s="44"/>
      <c r="O246" s="44"/>
      <c r="P246" s="44"/>
      <c r="Q246" s="44"/>
      <c r="R246" s="44"/>
      <c r="S246" s="44"/>
      <c r="T246" s="44"/>
      <c r="U246" s="36"/>
    </row>
    <row r="247" spans="1:21" ht="12.75">
      <c r="A247" s="44"/>
      <c r="B247" s="44"/>
      <c r="C247" s="44"/>
      <c r="D247" s="44"/>
      <c r="E247" s="44"/>
      <c r="F247" s="34"/>
      <c r="G247" s="34"/>
      <c r="H247" s="45"/>
      <c r="I247" s="44"/>
      <c r="J247" s="34"/>
      <c r="K247" s="44"/>
      <c r="L247" s="44"/>
      <c r="M247" s="44"/>
      <c r="N247" s="44"/>
      <c r="O247" s="44"/>
      <c r="P247" s="44"/>
      <c r="Q247" s="44"/>
      <c r="R247" s="44"/>
      <c r="S247" s="44"/>
      <c r="T247" s="44"/>
      <c r="U247" s="36"/>
    </row>
    <row r="248" spans="1:21" ht="12.75">
      <c r="A248" s="44"/>
      <c r="B248" s="44"/>
      <c r="C248" s="44"/>
      <c r="D248" s="44"/>
      <c r="E248" s="44"/>
      <c r="F248" s="34"/>
      <c r="G248" s="34"/>
      <c r="H248" s="45"/>
      <c r="I248" s="44"/>
      <c r="J248" s="34"/>
      <c r="K248" s="44"/>
      <c r="L248" s="44"/>
      <c r="M248" s="44"/>
      <c r="N248" s="44"/>
      <c r="O248" s="44"/>
      <c r="P248" s="44"/>
      <c r="Q248" s="44"/>
      <c r="R248" s="44"/>
      <c r="S248" s="44"/>
      <c r="T248" s="44"/>
      <c r="U248" s="36"/>
    </row>
    <row r="249" spans="1:21" ht="12.75">
      <c r="A249" s="44"/>
      <c r="B249" s="44"/>
      <c r="C249" s="44"/>
      <c r="D249" s="44"/>
      <c r="E249" s="44"/>
      <c r="F249" s="34"/>
      <c r="G249" s="34"/>
      <c r="H249" s="45"/>
      <c r="I249" s="44"/>
      <c r="J249" s="34"/>
      <c r="K249" s="44"/>
      <c r="L249" s="44"/>
      <c r="M249" s="44"/>
      <c r="N249" s="44"/>
      <c r="O249" s="44"/>
      <c r="P249" s="44"/>
      <c r="Q249" s="44"/>
      <c r="R249" s="44"/>
      <c r="S249" s="44"/>
      <c r="T249" s="44"/>
      <c r="U249" s="36"/>
    </row>
    <row r="250" spans="1:21" ht="12.75">
      <c r="A250" s="44"/>
      <c r="B250" s="44"/>
      <c r="C250" s="44"/>
      <c r="D250" s="44"/>
      <c r="E250" s="44"/>
      <c r="F250" s="34"/>
      <c r="G250" s="34"/>
      <c r="H250" s="45"/>
      <c r="I250" s="44"/>
      <c r="J250" s="34"/>
      <c r="K250" s="44"/>
      <c r="L250" s="44"/>
      <c r="M250" s="44"/>
      <c r="N250" s="44"/>
      <c r="O250" s="44"/>
      <c r="P250" s="44"/>
      <c r="Q250" s="44"/>
      <c r="R250" s="44"/>
      <c r="S250" s="44"/>
      <c r="T250" s="44"/>
      <c r="U250" s="36"/>
    </row>
    <row r="251" spans="1:21" ht="12.75">
      <c r="A251" s="44"/>
      <c r="B251" s="44"/>
      <c r="C251" s="44"/>
      <c r="D251" s="44"/>
      <c r="E251" s="44"/>
      <c r="F251" s="34"/>
      <c r="G251" s="34"/>
      <c r="H251" s="45"/>
      <c r="I251" s="44"/>
      <c r="J251" s="34"/>
      <c r="K251" s="44"/>
      <c r="L251" s="44"/>
      <c r="M251" s="44"/>
      <c r="N251" s="44"/>
      <c r="O251" s="44"/>
      <c r="P251" s="44"/>
      <c r="Q251" s="44"/>
      <c r="R251" s="44"/>
      <c r="S251" s="44"/>
      <c r="T251" s="44"/>
      <c r="U251" s="36"/>
    </row>
    <row r="252" spans="1:21" ht="12.75">
      <c r="A252" s="44"/>
      <c r="B252" s="44"/>
      <c r="C252" s="44"/>
      <c r="D252" s="44"/>
      <c r="E252" s="44"/>
      <c r="F252" s="34"/>
      <c r="G252" s="34"/>
      <c r="H252" s="45"/>
      <c r="I252" s="44"/>
      <c r="J252" s="34"/>
      <c r="K252" s="44"/>
      <c r="L252" s="44"/>
      <c r="M252" s="44"/>
      <c r="N252" s="44"/>
      <c r="O252" s="44"/>
      <c r="P252" s="44"/>
      <c r="Q252" s="44"/>
      <c r="R252" s="44"/>
      <c r="S252" s="44"/>
      <c r="T252" s="44"/>
      <c r="U252" s="36"/>
    </row>
    <row r="253" spans="1:21" ht="12.75">
      <c r="A253" s="44"/>
      <c r="B253" s="44"/>
      <c r="C253" s="44"/>
      <c r="D253" s="44"/>
      <c r="E253" s="44"/>
      <c r="F253" s="34"/>
      <c r="G253" s="34"/>
      <c r="H253" s="45"/>
      <c r="I253" s="44"/>
      <c r="J253" s="34"/>
      <c r="K253" s="44"/>
      <c r="L253" s="44"/>
      <c r="M253" s="44"/>
      <c r="N253" s="44"/>
      <c r="O253" s="44"/>
      <c r="P253" s="44"/>
      <c r="Q253" s="44"/>
      <c r="R253" s="44"/>
      <c r="S253" s="44"/>
      <c r="T253" s="44"/>
      <c r="U253" s="36"/>
    </row>
    <row r="254" spans="1:21" ht="12.75">
      <c r="A254" s="44"/>
      <c r="B254" s="44"/>
      <c r="C254" s="44"/>
      <c r="D254" s="44"/>
      <c r="E254" s="44"/>
      <c r="F254" s="34"/>
      <c r="G254" s="34"/>
      <c r="H254" s="45"/>
      <c r="I254" s="44"/>
      <c r="J254" s="34"/>
      <c r="K254" s="44"/>
      <c r="L254" s="44"/>
      <c r="M254" s="44"/>
      <c r="N254" s="44"/>
      <c r="O254" s="44"/>
      <c r="P254" s="44"/>
      <c r="Q254" s="44"/>
      <c r="R254" s="44"/>
      <c r="S254" s="44"/>
      <c r="T254" s="44"/>
      <c r="U254" s="36"/>
    </row>
    <row r="255" spans="1:21" ht="12.75">
      <c r="A255" s="44"/>
      <c r="B255" s="44"/>
      <c r="C255" s="44"/>
      <c r="D255" s="44"/>
      <c r="E255" s="44"/>
      <c r="F255" s="34"/>
      <c r="G255" s="34"/>
      <c r="H255" s="45"/>
      <c r="I255" s="44"/>
      <c r="J255" s="34"/>
      <c r="K255" s="44"/>
      <c r="L255" s="44"/>
      <c r="M255" s="44"/>
      <c r="N255" s="44"/>
      <c r="O255" s="44"/>
      <c r="P255" s="44"/>
      <c r="Q255" s="44"/>
      <c r="R255" s="44"/>
      <c r="S255" s="44"/>
      <c r="T255" s="44"/>
      <c r="U255" s="36"/>
    </row>
    <row r="256" spans="1:21" ht="12.75">
      <c r="A256" s="44"/>
      <c r="B256" s="44"/>
      <c r="C256" s="44"/>
      <c r="D256" s="44"/>
      <c r="E256" s="44"/>
      <c r="F256" s="34"/>
      <c r="G256" s="34"/>
      <c r="H256" s="45"/>
      <c r="I256" s="44"/>
      <c r="J256" s="34"/>
      <c r="K256" s="44"/>
      <c r="L256" s="44"/>
      <c r="M256" s="44"/>
      <c r="N256" s="44"/>
      <c r="O256" s="44"/>
      <c r="P256" s="44"/>
      <c r="Q256" s="44"/>
      <c r="R256" s="44"/>
      <c r="S256" s="44"/>
      <c r="T256" s="44"/>
      <c r="U256" s="36"/>
    </row>
    <row r="257" spans="1:21" ht="12.75">
      <c r="A257" s="44"/>
      <c r="B257" s="44"/>
      <c r="C257" s="44"/>
      <c r="D257" s="44"/>
      <c r="E257" s="44"/>
      <c r="F257" s="34"/>
      <c r="G257" s="34"/>
      <c r="H257" s="45"/>
      <c r="I257" s="44"/>
      <c r="J257" s="34"/>
      <c r="K257" s="44"/>
      <c r="L257" s="44"/>
      <c r="M257" s="44"/>
      <c r="N257" s="44"/>
      <c r="O257" s="44"/>
      <c r="P257" s="44"/>
      <c r="Q257" s="44"/>
      <c r="R257" s="44"/>
      <c r="S257" s="44"/>
      <c r="T257" s="44"/>
      <c r="U257" s="36"/>
    </row>
    <row r="258" spans="1:21" ht="12.75">
      <c r="A258" s="44"/>
      <c r="B258" s="44"/>
      <c r="C258" s="44"/>
      <c r="D258" s="44"/>
      <c r="E258" s="44"/>
      <c r="F258" s="34"/>
      <c r="G258" s="34"/>
      <c r="H258" s="45"/>
      <c r="I258" s="44"/>
      <c r="J258" s="34"/>
      <c r="K258" s="44"/>
      <c r="L258" s="44"/>
      <c r="M258" s="44"/>
      <c r="N258" s="44"/>
      <c r="O258" s="44"/>
      <c r="P258" s="44"/>
      <c r="Q258" s="44"/>
      <c r="R258" s="44"/>
      <c r="S258" s="44"/>
      <c r="T258" s="44"/>
      <c r="U258" s="36"/>
    </row>
    <row r="259" spans="1:21" ht="12.75">
      <c r="A259" s="44"/>
      <c r="B259" s="44"/>
      <c r="C259" s="44"/>
      <c r="D259" s="44"/>
      <c r="E259" s="44"/>
      <c r="F259" s="34"/>
      <c r="G259" s="34"/>
      <c r="H259" s="45"/>
      <c r="I259" s="44"/>
      <c r="J259" s="34"/>
      <c r="K259" s="44"/>
      <c r="L259" s="44"/>
      <c r="M259" s="44"/>
      <c r="N259" s="44"/>
      <c r="O259" s="44"/>
      <c r="P259" s="44"/>
      <c r="Q259" s="44"/>
      <c r="R259" s="44"/>
      <c r="S259" s="44"/>
      <c r="T259" s="44"/>
      <c r="U259" s="36"/>
    </row>
    <row r="260" spans="1:21" ht="12.75">
      <c r="A260" s="44"/>
      <c r="B260" s="44"/>
      <c r="C260" s="44"/>
      <c r="D260" s="44"/>
      <c r="E260" s="44"/>
      <c r="F260" s="34"/>
      <c r="G260" s="34"/>
      <c r="H260" s="45"/>
      <c r="I260" s="44"/>
      <c r="J260" s="34"/>
      <c r="K260" s="44"/>
      <c r="L260" s="44"/>
      <c r="M260" s="44"/>
      <c r="N260" s="44"/>
      <c r="O260" s="44"/>
      <c r="P260" s="44"/>
      <c r="Q260" s="44"/>
      <c r="R260" s="44"/>
      <c r="S260" s="44"/>
      <c r="T260" s="44"/>
      <c r="U260" s="36"/>
    </row>
    <row r="261" spans="1:21" ht="12.75">
      <c r="A261" s="44"/>
      <c r="B261" s="44"/>
      <c r="C261" s="44"/>
      <c r="D261" s="44"/>
      <c r="E261" s="44"/>
      <c r="F261" s="34"/>
      <c r="G261" s="34"/>
      <c r="H261" s="45"/>
      <c r="I261" s="44"/>
      <c r="J261" s="34"/>
      <c r="K261" s="44"/>
      <c r="L261" s="44"/>
      <c r="M261" s="44"/>
      <c r="N261" s="44"/>
      <c r="O261" s="44"/>
      <c r="P261" s="44"/>
      <c r="Q261" s="44"/>
      <c r="R261" s="44"/>
      <c r="S261" s="44"/>
      <c r="T261" s="44"/>
      <c r="U261" s="36"/>
    </row>
    <row r="262" spans="1:21" ht="12.75">
      <c r="A262" s="44"/>
      <c r="B262" s="44"/>
      <c r="C262" s="44"/>
      <c r="D262" s="44"/>
      <c r="E262" s="44"/>
      <c r="F262" s="34"/>
      <c r="G262" s="34"/>
      <c r="H262" s="45"/>
      <c r="I262" s="44"/>
      <c r="J262" s="34"/>
      <c r="K262" s="44"/>
      <c r="L262" s="44"/>
      <c r="M262" s="44"/>
      <c r="N262" s="44"/>
      <c r="O262" s="44"/>
      <c r="P262" s="44"/>
      <c r="Q262" s="44"/>
      <c r="R262" s="44"/>
      <c r="S262" s="44"/>
      <c r="T262" s="44"/>
      <c r="U262" s="36"/>
    </row>
    <row r="263" spans="1:21" ht="12.75">
      <c r="A263" s="44"/>
      <c r="B263" s="44"/>
      <c r="C263" s="44"/>
      <c r="D263" s="44"/>
      <c r="E263" s="44"/>
      <c r="F263" s="34"/>
      <c r="G263" s="34"/>
      <c r="H263" s="45"/>
      <c r="I263" s="44"/>
      <c r="J263" s="34"/>
      <c r="K263" s="44"/>
      <c r="L263" s="44"/>
      <c r="M263" s="44"/>
      <c r="N263" s="44"/>
      <c r="O263" s="44"/>
      <c r="P263" s="44"/>
      <c r="Q263" s="44"/>
      <c r="R263" s="44"/>
      <c r="S263" s="44"/>
      <c r="T263" s="44"/>
      <c r="U263" s="36"/>
    </row>
    <row r="264" spans="1:21" ht="12.75">
      <c r="A264" s="44"/>
      <c r="B264" s="44"/>
      <c r="C264" s="44"/>
      <c r="D264" s="44"/>
      <c r="E264" s="44"/>
      <c r="F264" s="34"/>
      <c r="G264" s="34"/>
      <c r="H264" s="45"/>
      <c r="I264" s="44"/>
      <c r="J264" s="34"/>
      <c r="K264" s="44"/>
      <c r="L264" s="44"/>
      <c r="M264" s="44"/>
      <c r="N264" s="44"/>
      <c r="O264" s="44"/>
      <c r="P264" s="44"/>
      <c r="Q264" s="44"/>
      <c r="R264" s="44"/>
      <c r="S264" s="44"/>
      <c r="T264" s="44"/>
      <c r="U264" s="36"/>
    </row>
    <row r="265" spans="1:21" ht="12.75">
      <c r="A265" s="44"/>
      <c r="B265" s="44"/>
      <c r="C265" s="44"/>
      <c r="D265" s="44"/>
      <c r="E265" s="44"/>
      <c r="F265" s="34"/>
      <c r="G265" s="34"/>
      <c r="H265" s="45"/>
      <c r="I265" s="44"/>
      <c r="J265" s="34"/>
      <c r="K265" s="44"/>
      <c r="L265" s="44"/>
      <c r="M265" s="44"/>
      <c r="N265" s="44"/>
      <c r="O265" s="44"/>
      <c r="P265" s="44"/>
      <c r="Q265" s="44"/>
      <c r="R265" s="44"/>
      <c r="S265" s="44"/>
      <c r="T265" s="44"/>
      <c r="U265" s="36"/>
    </row>
    <row r="266" spans="1:21" ht="12.75">
      <c r="A266" s="44"/>
      <c r="B266" s="44"/>
      <c r="C266" s="44"/>
      <c r="D266" s="44"/>
      <c r="E266" s="44"/>
      <c r="F266" s="34"/>
      <c r="G266" s="34"/>
      <c r="H266" s="45"/>
      <c r="I266" s="44"/>
      <c r="J266" s="34"/>
      <c r="K266" s="44"/>
      <c r="L266" s="44"/>
      <c r="M266" s="44"/>
      <c r="N266" s="44"/>
      <c r="O266" s="44"/>
      <c r="P266" s="44"/>
      <c r="Q266" s="44"/>
      <c r="R266" s="44"/>
      <c r="S266" s="44"/>
      <c r="T266" s="44"/>
      <c r="U266" s="36"/>
    </row>
    <row r="267" spans="1:21" ht="12.75">
      <c r="A267" s="44"/>
      <c r="B267" s="44"/>
      <c r="C267" s="44"/>
      <c r="D267" s="44"/>
      <c r="E267" s="44"/>
      <c r="F267" s="34"/>
      <c r="G267" s="34"/>
      <c r="H267" s="45"/>
      <c r="I267" s="44"/>
      <c r="J267" s="34"/>
      <c r="K267" s="44"/>
      <c r="L267" s="44"/>
      <c r="M267" s="44"/>
      <c r="N267" s="44"/>
      <c r="O267" s="44"/>
      <c r="P267" s="44"/>
      <c r="Q267" s="44"/>
      <c r="R267" s="44"/>
      <c r="S267" s="44"/>
      <c r="T267" s="44"/>
      <c r="U267" s="36"/>
    </row>
    <row r="268" spans="1:21" ht="12.75">
      <c r="A268" s="44"/>
      <c r="B268" s="44"/>
      <c r="C268" s="44"/>
      <c r="D268" s="44"/>
      <c r="E268" s="44"/>
      <c r="F268" s="34"/>
      <c r="G268" s="34"/>
      <c r="H268" s="45"/>
      <c r="I268" s="44"/>
      <c r="J268" s="34"/>
      <c r="K268" s="44"/>
      <c r="L268" s="44"/>
      <c r="M268" s="44"/>
      <c r="N268" s="44"/>
      <c r="O268" s="44"/>
      <c r="P268" s="44"/>
      <c r="Q268" s="44"/>
      <c r="R268" s="44"/>
      <c r="S268" s="44"/>
      <c r="T268" s="44"/>
      <c r="U268" s="36"/>
    </row>
    <row r="269" spans="1:21" ht="12.75">
      <c r="A269" s="44"/>
      <c r="B269" s="44"/>
      <c r="C269" s="44"/>
      <c r="D269" s="44"/>
      <c r="E269" s="44"/>
      <c r="F269" s="34"/>
      <c r="G269" s="34"/>
      <c r="H269" s="45"/>
      <c r="I269" s="44"/>
      <c r="J269" s="34"/>
      <c r="K269" s="44"/>
      <c r="L269" s="44"/>
      <c r="M269" s="44"/>
      <c r="N269" s="44"/>
      <c r="O269" s="44"/>
      <c r="P269" s="44"/>
      <c r="Q269" s="44"/>
      <c r="R269" s="44"/>
      <c r="S269" s="44"/>
      <c r="T269" s="44"/>
      <c r="U269" s="36"/>
    </row>
    <row r="270" spans="1:21" ht="12.75">
      <c r="A270" s="44"/>
      <c r="B270" s="44"/>
      <c r="C270" s="44"/>
      <c r="D270" s="44"/>
      <c r="E270" s="44"/>
      <c r="F270" s="34"/>
      <c r="G270" s="34"/>
      <c r="H270" s="45"/>
      <c r="I270" s="44"/>
      <c r="J270" s="34"/>
      <c r="K270" s="44"/>
      <c r="L270" s="44"/>
      <c r="M270" s="44"/>
      <c r="N270" s="44"/>
      <c r="O270" s="44"/>
      <c r="P270" s="44"/>
      <c r="Q270" s="44"/>
      <c r="R270" s="44"/>
      <c r="S270" s="44"/>
      <c r="T270" s="44"/>
      <c r="U270" s="36"/>
    </row>
    <row r="271" spans="1:21" ht="12.75">
      <c r="A271" s="44"/>
      <c r="B271" s="44"/>
      <c r="C271" s="44"/>
      <c r="D271" s="44"/>
      <c r="E271" s="44"/>
      <c r="F271" s="34"/>
      <c r="G271" s="34"/>
      <c r="H271" s="45"/>
      <c r="I271" s="44"/>
      <c r="J271" s="34"/>
      <c r="K271" s="44"/>
      <c r="L271" s="44"/>
      <c r="M271" s="44"/>
      <c r="N271" s="44"/>
      <c r="O271" s="44"/>
      <c r="P271" s="44"/>
      <c r="Q271" s="44"/>
      <c r="R271" s="44"/>
      <c r="S271" s="44"/>
      <c r="T271" s="44"/>
      <c r="U271" s="36"/>
    </row>
    <row r="272" spans="1:21" ht="12.75">
      <c r="A272" s="44"/>
      <c r="B272" s="44"/>
      <c r="C272" s="44"/>
      <c r="D272" s="44"/>
      <c r="E272" s="44"/>
      <c r="F272" s="34"/>
      <c r="G272" s="34"/>
      <c r="H272" s="45"/>
      <c r="I272" s="44"/>
      <c r="J272" s="34"/>
      <c r="K272" s="44"/>
      <c r="L272" s="44"/>
      <c r="M272" s="44"/>
      <c r="N272" s="44"/>
      <c r="O272" s="44"/>
      <c r="P272" s="44"/>
      <c r="Q272" s="44"/>
      <c r="R272" s="44"/>
      <c r="S272" s="44"/>
      <c r="T272" s="44"/>
      <c r="U272" s="36"/>
    </row>
    <row r="273" spans="1:21" ht="12.75">
      <c r="A273" s="44"/>
      <c r="B273" s="44"/>
      <c r="C273" s="44"/>
      <c r="D273" s="44"/>
      <c r="E273" s="44"/>
      <c r="F273" s="34"/>
      <c r="G273" s="34"/>
      <c r="H273" s="45"/>
      <c r="I273" s="44"/>
      <c r="J273" s="34"/>
      <c r="K273" s="44"/>
      <c r="L273" s="44"/>
      <c r="M273" s="44"/>
      <c r="N273" s="44"/>
      <c r="O273" s="44"/>
      <c r="P273" s="44"/>
      <c r="Q273" s="44"/>
      <c r="R273" s="44"/>
      <c r="S273" s="44"/>
      <c r="T273" s="44"/>
      <c r="U273" s="36"/>
    </row>
    <row r="274" spans="1:21" ht="12.75">
      <c r="A274" s="44"/>
      <c r="B274" s="44"/>
      <c r="C274" s="44"/>
      <c r="D274" s="44"/>
      <c r="E274" s="44"/>
      <c r="F274" s="34"/>
      <c r="G274" s="34"/>
      <c r="H274" s="45"/>
      <c r="I274" s="44"/>
      <c r="J274" s="34"/>
      <c r="K274" s="44"/>
      <c r="L274" s="44"/>
      <c r="M274" s="44"/>
      <c r="N274" s="44"/>
      <c r="O274" s="44"/>
      <c r="P274" s="44"/>
      <c r="Q274" s="44"/>
      <c r="R274" s="44"/>
      <c r="S274" s="44"/>
      <c r="T274" s="44"/>
      <c r="U274" s="36"/>
    </row>
    <row r="275" spans="1:21" ht="12.75">
      <c r="A275" s="44"/>
      <c r="B275" s="44"/>
      <c r="C275" s="44"/>
      <c r="D275" s="44"/>
      <c r="E275" s="44"/>
      <c r="F275" s="34"/>
      <c r="G275" s="34"/>
      <c r="H275" s="45"/>
      <c r="I275" s="44"/>
      <c r="J275" s="34"/>
      <c r="K275" s="44"/>
      <c r="L275" s="44"/>
      <c r="M275" s="44"/>
      <c r="N275" s="44"/>
      <c r="O275" s="44"/>
      <c r="P275" s="44"/>
      <c r="Q275" s="44"/>
      <c r="R275" s="44"/>
      <c r="S275" s="44"/>
      <c r="T275" s="44"/>
      <c r="U275" s="36"/>
    </row>
    <row r="276" spans="1:21" ht="12.75">
      <c r="A276" s="44"/>
      <c r="B276" s="44"/>
      <c r="C276" s="44"/>
      <c r="D276" s="44"/>
      <c r="E276" s="44"/>
      <c r="F276" s="34"/>
      <c r="G276" s="34"/>
      <c r="H276" s="45"/>
      <c r="I276" s="44"/>
      <c r="J276" s="34"/>
      <c r="K276" s="44"/>
      <c r="L276" s="44"/>
      <c r="M276" s="44"/>
      <c r="N276" s="44"/>
      <c r="O276" s="44"/>
      <c r="P276" s="44"/>
      <c r="Q276" s="44"/>
      <c r="R276" s="44"/>
      <c r="S276" s="44"/>
      <c r="T276" s="44"/>
      <c r="U276" s="36"/>
    </row>
    <row r="277" spans="1:21" ht="12.75">
      <c r="A277" s="44"/>
      <c r="B277" s="44"/>
      <c r="C277" s="44"/>
      <c r="D277" s="44"/>
      <c r="E277" s="44"/>
      <c r="F277" s="34"/>
      <c r="G277" s="34"/>
      <c r="H277" s="45"/>
      <c r="I277" s="44"/>
      <c r="J277" s="34"/>
      <c r="K277" s="44"/>
      <c r="L277" s="44"/>
      <c r="M277" s="44"/>
      <c r="N277" s="44"/>
      <c r="O277" s="44"/>
      <c r="P277" s="44"/>
      <c r="Q277" s="44"/>
      <c r="R277" s="44"/>
      <c r="S277" s="44"/>
      <c r="T277" s="44"/>
      <c r="U277" s="36"/>
    </row>
    <row r="278" spans="1:21" ht="12.75">
      <c r="A278" s="44"/>
      <c r="B278" s="44"/>
      <c r="C278" s="44"/>
      <c r="D278" s="44"/>
      <c r="E278" s="44"/>
      <c r="F278" s="34"/>
      <c r="G278" s="34"/>
      <c r="H278" s="45"/>
      <c r="I278" s="44"/>
      <c r="J278" s="34"/>
      <c r="K278" s="44"/>
      <c r="L278" s="44"/>
      <c r="M278" s="44"/>
      <c r="N278" s="44"/>
      <c r="O278" s="44"/>
      <c r="P278" s="44"/>
      <c r="Q278" s="44"/>
      <c r="R278" s="44"/>
      <c r="S278" s="44"/>
      <c r="T278" s="44"/>
      <c r="U278" s="36"/>
    </row>
    <row r="279" spans="1:21" ht="12.75">
      <c r="A279" s="44"/>
      <c r="B279" s="44"/>
      <c r="C279" s="44"/>
      <c r="D279" s="44"/>
      <c r="E279" s="44"/>
      <c r="F279" s="34"/>
      <c r="G279" s="34"/>
      <c r="H279" s="45"/>
      <c r="I279" s="44"/>
      <c r="J279" s="34"/>
      <c r="K279" s="44"/>
      <c r="L279" s="44"/>
      <c r="M279" s="44"/>
      <c r="N279" s="44"/>
      <c r="O279" s="44"/>
      <c r="P279" s="44"/>
      <c r="Q279" s="44"/>
      <c r="R279" s="44"/>
      <c r="S279" s="44"/>
      <c r="T279" s="44"/>
      <c r="U279" s="36"/>
    </row>
    <row r="280" spans="1:21" ht="12.75">
      <c r="A280" s="44"/>
      <c r="B280" s="44"/>
      <c r="C280" s="44"/>
      <c r="D280" s="44"/>
      <c r="E280" s="44"/>
      <c r="F280" s="34"/>
      <c r="G280" s="34"/>
      <c r="H280" s="45"/>
      <c r="I280" s="44"/>
      <c r="J280" s="34"/>
      <c r="K280" s="44"/>
      <c r="L280" s="44"/>
      <c r="M280" s="44"/>
      <c r="N280" s="44"/>
      <c r="O280" s="44"/>
      <c r="P280" s="44"/>
      <c r="Q280" s="44"/>
      <c r="R280" s="44"/>
      <c r="S280" s="44"/>
      <c r="T280" s="44"/>
      <c r="U280" s="36"/>
    </row>
    <row r="281" spans="1:21" ht="12.75">
      <c r="A281" s="44"/>
      <c r="B281" s="44"/>
      <c r="C281" s="44"/>
      <c r="D281" s="44"/>
      <c r="E281" s="44"/>
      <c r="F281" s="34"/>
      <c r="G281" s="34"/>
      <c r="H281" s="45"/>
      <c r="I281" s="44"/>
      <c r="J281" s="34"/>
      <c r="K281" s="44"/>
      <c r="L281" s="44"/>
      <c r="M281" s="44"/>
      <c r="N281" s="44"/>
      <c r="O281" s="44"/>
      <c r="P281" s="44"/>
      <c r="Q281" s="44"/>
      <c r="R281" s="44"/>
      <c r="S281" s="44"/>
      <c r="T281" s="44"/>
      <c r="U281" s="36"/>
    </row>
    <row r="282" spans="1:21" ht="12.75">
      <c r="A282" s="44"/>
      <c r="B282" s="44"/>
      <c r="C282" s="44"/>
      <c r="D282" s="44"/>
      <c r="E282" s="44"/>
      <c r="F282" s="34"/>
      <c r="G282" s="34"/>
      <c r="H282" s="45"/>
      <c r="I282" s="44"/>
      <c r="J282" s="34"/>
      <c r="K282" s="44"/>
      <c r="L282" s="44"/>
      <c r="M282" s="44"/>
      <c r="N282" s="44"/>
      <c r="O282" s="44"/>
      <c r="P282" s="44"/>
      <c r="Q282" s="44"/>
      <c r="R282" s="44"/>
      <c r="S282" s="44"/>
      <c r="T282" s="44"/>
      <c r="U282" s="36"/>
    </row>
    <row r="283" spans="1:21" ht="12.75">
      <c r="A283" s="44"/>
      <c r="B283" s="44"/>
      <c r="C283" s="44"/>
      <c r="D283" s="44"/>
      <c r="E283" s="44"/>
      <c r="F283" s="34"/>
      <c r="G283" s="34"/>
      <c r="H283" s="45"/>
      <c r="I283" s="44"/>
      <c r="J283" s="34"/>
      <c r="K283" s="44"/>
      <c r="L283" s="44"/>
      <c r="M283" s="44"/>
      <c r="N283" s="44"/>
      <c r="O283" s="44"/>
      <c r="P283" s="44"/>
      <c r="Q283" s="44"/>
      <c r="R283" s="44"/>
      <c r="S283" s="44"/>
      <c r="T283" s="44"/>
      <c r="U283" s="36"/>
    </row>
    <row r="284" spans="1:21" ht="12.75">
      <c r="A284" s="44"/>
      <c r="B284" s="44"/>
      <c r="C284" s="44"/>
      <c r="D284" s="44"/>
      <c r="E284" s="44"/>
      <c r="F284" s="34"/>
      <c r="G284" s="34"/>
      <c r="H284" s="45"/>
      <c r="I284" s="44"/>
      <c r="J284" s="34"/>
      <c r="K284" s="44"/>
      <c r="L284" s="44"/>
      <c r="M284" s="44"/>
      <c r="N284" s="44"/>
      <c r="O284" s="44"/>
      <c r="P284" s="44"/>
      <c r="Q284" s="44"/>
      <c r="R284" s="44"/>
      <c r="S284" s="44"/>
      <c r="T284" s="44"/>
      <c r="U284" s="36"/>
    </row>
    <row r="285" spans="1:21" ht="12.75">
      <c r="A285" s="44"/>
      <c r="B285" s="44"/>
      <c r="C285" s="44"/>
      <c r="D285" s="44"/>
      <c r="E285" s="44"/>
      <c r="F285" s="34"/>
      <c r="G285" s="34"/>
      <c r="H285" s="45"/>
      <c r="I285" s="44"/>
      <c r="J285" s="34"/>
      <c r="K285" s="44"/>
      <c r="L285" s="44"/>
      <c r="M285" s="44"/>
      <c r="N285" s="44"/>
      <c r="O285" s="44"/>
      <c r="P285" s="44"/>
      <c r="Q285" s="44"/>
      <c r="R285" s="44"/>
      <c r="S285" s="44"/>
      <c r="T285" s="44"/>
      <c r="U285" s="36"/>
    </row>
    <row r="286" spans="1:21" ht="12.75">
      <c r="A286" s="44"/>
      <c r="B286" s="44"/>
      <c r="C286" s="44"/>
      <c r="D286" s="44"/>
      <c r="E286" s="44"/>
      <c r="F286" s="34"/>
      <c r="G286" s="34"/>
      <c r="H286" s="45"/>
      <c r="I286" s="44"/>
      <c r="J286" s="34"/>
      <c r="K286" s="44"/>
      <c r="L286" s="44"/>
      <c r="M286" s="44"/>
      <c r="N286" s="44"/>
      <c r="O286" s="44"/>
      <c r="P286" s="44"/>
      <c r="Q286" s="44"/>
      <c r="R286" s="44"/>
      <c r="S286" s="44"/>
      <c r="T286" s="44"/>
      <c r="U286" s="36"/>
    </row>
    <row r="287" spans="1:21" ht="12.75">
      <c r="A287" s="44"/>
      <c r="B287" s="44"/>
      <c r="C287" s="44"/>
      <c r="D287" s="44"/>
      <c r="E287" s="44"/>
      <c r="F287" s="34"/>
      <c r="G287" s="34"/>
      <c r="H287" s="45"/>
      <c r="I287" s="44"/>
      <c r="J287" s="34"/>
      <c r="K287" s="44"/>
      <c r="L287" s="44"/>
      <c r="M287" s="44"/>
      <c r="N287" s="44"/>
      <c r="O287" s="44"/>
      <c r="P287" s="44"/>
      <c r="Q287" s="44"/>
      <c r="R287" s="44"/>
      <c r="S287" s="44"/>
      <c r="T287" s="44"/>
      <c r="U287" s="36"/>
    </row>
    <row r="288" spans="1:21" ht="12.75">
      <c r="A288" s="44"/>
      <c r="B288" s="44"/>
      <c r="C288" s="44"/>
      <c r="D288" s="44"/>
      <c r="E288" s="44"/>
      <c r="F288" s="34"/>
      <c r="G288" s="34"/>
      <c r="H288" s="45"/>
      <c r="I288" s="44"/>
      <c r="J288" s="34"/>
      <c r="K288" s="44"/>
      <c r="L288" s="44"/>
      <c r="M288" s="44"/>
      <c r="N288" s="44"/>
      <c r="O288" s="44"/>
      <c r="P288" s="44"/>
      <c r="Q288" s="44"/>
      <c r="R288" s="44"/>
      <c r="S288" s="44"/>
      <c r="T288" s="44"/>
      <c r="U288" s="36"/>
    </row>
    <row r="289" spans="1:21" ht="12.75">
      <c r="A289" s="44"/>
      <c r="B289" s="44"/>
      <c r="C289" s="44"/>
      <c r="D289" s="44"/>
      <c r="E289" s="44"/>
      <c r="F289" s="34"/>
      <c r="G289" s="34"/>
      <c r="H289" s="45"/>
      <c r="I289" s="44"/>
      <c r="J289" s="34"/>
      <c r="K289" s="44"/>
      <c r="L289" s="44"/>
      <c r="M289" s="44"/>
      <c r="N289" s="44"/>
      <c r="O289" s="44"/>
      <c r="P289" s="44"/>
      <c r="Q289" s="44"/>
      <c r="R289" s="44"/>
      <c r="S289" s="44"/>
      <c r="T289" s="44"/>
      <c r="U289" s="36"/>
    </row>
    <row r="290" spans="1:21" ht="12.75">
      <c r="A290" s="44"/>
      <c r="B290" s="44"/>
      <c r="C290" s="44"/>
      <c r="D290" s="44"/>
      <c r="E290" s="44"/>
      <c r="F290" s="34"/>
      <c r="G290" s="34"/>
      <c r="H290" s="45"/>
      <c r="I290" s="44"/>
      <c r="J290" s="34"/>
      <c r="K290" s="44"/>
      <c r="L290" s="44"/>
      <c r="M290" s="44"/>
      <c r="N290" s="44"/>
      <c r="O290" s="44"/>
      <c r="P290" s="44"/>
      <c r="Q290" s="44"/>
      <c r="R290" s="44"/>
      <c r="S290" s="44"/>
      <c r="T290" s="44"/>
      <c r="U290" s="36"/>
    </row>
    <row r="291" spans="1:21" ht="12.75">
      <c r="A291" s="44"/>
      <c r="B291" s="44"/>
      <c r="C291" s="44"/>
      <c r="D291" s="44"/>
      <c r="E291" s="44"/>
      <c r="F291" s="34"/>
      <c r="G291" s="34"/>
      <c r="H291" s="45"/>
      <c r="I291" s="44"/>
      <c r="J291" s="34"/>
      <c r="K291" s="44"/>
      <c r="L291" s="44"/>
      <c r="M291" s="44"/>
      <c r="N291" s="44"/>
      <c r="O291" s="44"/>
      <c r="P291" s="44"/>
      <c r="Q291" s="44"/>
      <c r="R291" s="44"/>
      <c r="S291" s="44"/>
      <c r="T291" s="44"/>
      <c r="U291" s="36"/>
    </row>
    <row r="292" spans="1:21" ht="12.75">
      <c r="A292" s="44"/>
      <c r="B292" s="44"/>
      <c r="C292" s="44"/>
      <c r="D292" s="44"/>
      <c r="E292" s="44"/>
      <c r="F292" s="34"/>
      <c r="G292" s="34"/>
      <c r="H292" s="45"/>
      <c r="I292" s="44"/>
      <c r="J292" s="34"/>
      <c r="K292" s="44"/>
      <c r="L292" s="44"/>
      <c r="M292" s="44"/>
      <c r="N292" s="44"/>
      <c r="O292" s="44"/>
      <c r="P292" s="44"/>
      <c r="Q292" s="44"/>
      <c r="R292" s="44"/>
      <c r="S292" s="44"/>
      <c r="T292" s="44"/>
      <c r="U292" s="36"/>
    </row>
    <row r="293" spans="1:21" ht="12.75">
      <c r="A293" s="44"/>
      <c r="B293" s="44"/>
      <c r="C293" s="44"/>
      <c r="D293" s="44"/>
      <c r="E293" s="44"/>
      <c r="F293" s="34"/>
      <c r="G293" s="34"/>
      <c r="H293" s="45"/>
      <c r="I293" s="44"/>
      <c r="J293" s="34"/>
      <c r="K293" s="44"/>
      <c r="L293" s="44"/>
      <c r="M293" s="44"/>
      <c r="N293" s="44"/>
      <c r="O293" s="44"/>
      <c r="P293" s="44"/>
      <c r="Q293" s="44"/>
      <c r="R293" s="44"/>
      <c r="S293" s="44"/>
      <c r="T293" s="44"/>
      <c r="U293" s="36"/>
    </row>
    <row r="294" spans="1:21" ht="12.75">
      <c r="A294" s="44"/>
      <c r="B294" s="44"/>
      <c r="C294" s="44"/>
      <c r="D294" s="44"/>
      <c r="E294" s="44"/>
      <c r="F294" s="34"/>
      <c r="G294" s="34"/>
      <c r="H294" s="45"/>
      <c r="I294" s="44"/>
      <c r="J294" s="34"/>
      <c r="K294" s="44"/>
      <c r="L294" s="44"/>
      <c r="M294" s="44"/>
      <c r="N294" s="44"/>
      <c r="O294" s="44"/>
      <c r="P294" s="44"/>
      <c r="Q294" s="44"/>
      <c r="R294" s="44"/>
      <c r="S294" s="44"/>
      <c r="T294" s="44"/>
      <c r="U294" s="36"/>
    </row>
    <row r="295" spans="1:21" ht="12.75">
      <c r="A295" s="44"/>
      <c r="B295" s="44"/>
      <c r="C295" s="44"/>
      <c r="D295" s="44"/>
      <c r="E295" s="44"/>
      <c r="F295" s="34"/>
      <c r="G295" s="34"/>
      <c r="H295" s="45"/>
      <c r="I295" s="44"/>
      <c r="J295" s="34"/>
      <c r="K295" s="44"/>
      <c r="L295" s="44"/>
      <c r="M295" s="44"/>
      <c r="N295" s="44"/>
      <c r="O295" s="44"/>
      <c r="P295" s="44"/>
      <c r="Q295" s="44"/>
      <c r="R295" s="44"/>
      <c r="S295" s="44"/>
      <c r="T295" s="44"/>
      <c r="U295" s="36"/>
    </row>
    <row r="296" spans="1:21" ht="12.75">
      <c r="A296" s="44"/>
      <c r="B296" s="44"/>
      <c r="C296" s="44"/>
      <c r="D296" s="44"/>
      <c r="E296" s="44"/>
      <c r="F296" s="34"/>
      <c r="G296" s="34"/>
      <c r="H296" s="45"/>
      <c r="I296" s="44"/>
      <c r="J296" s="34"/>
      <c r="K296" s="44"/>
      <c r="L296" s="44"/>
      <c r="M296" s="44"/>
      <c r="N296" s="44"/>
      <c r="O296" s="44"/>
      <c r="P296" s="44"/>
      <c r="Q296" s="44"/>
      <c r="R296" s="44"/>
      <c r="S296" s="44"/>
      <c r="T296" s="44"/>
      <c r="U296" s="36"/>
    </row>
    <row r="297" spans="1:21" ht="12.75">
      <c r="A297" s="44"/>
      <c r="B297" s="44"/>
      <c r="C297" s="44"/>
      <c r="D297" s="44"/>
      <c r="E297" s="44"/>
      <c r="F297" s="34"/>
      <c r="G297" s="34"/>
      <c r="H297" s="45"/>
      <c r="I297" s="44"/>
      <c r="J297" s="34"/>
      <c r="K297" s="44"/>
      <c r="L297" s="44"/>
      <c r="M297" s="44"/>
      <c r="N297" s="44"/>
      <c r="O297" s="44"/>
      <c r="P297" s="44"/>
      <c r="Q297" s="44"/>
      <c r="R297" s="44"/>
      <c r="S297" s="44"/>
      <c r="T297" s="44"/>
      <c r="U297" s="36"/>
    </row>
    <row r="298" spans="1:21" ht="12.75">
      <c r="A298" s="44"/>
      <c r="B298" s="44"/>
      <c r="C298" s="44"/>
      <c r="D298" s="44"/>
      <c r="E298" s="44"/>
      <c r="F298" s="34"/>
      <c r="G298" s="34"/>
      <c r="H298" s="45"/>
      <c r="I298" s="44"/>
      <c r="J298" s="34"/>
      <c r="K298" s="44"/>
      <c r="L298" s="44"/>
      <c r="M298" s="44"/>
      <c r="N298" s="44"/>
      <c r="O298" s="44"/>
      <c r="P298" s="44"/>
      <c r="Q298" s="44"/>
      <c r="R298" s="44"/>
      <c r="S298" s="44"/>
      <c r="T298" s="44"/>
      <c r="U298" s="36"/>
    </row>
    <row r="299" spans="1:21" ht="12.75">
      <c r="A299" s="44"/>
      <c r="B299" s="44"/>
      <c r="C299" s="44"/>
      <c r="D299" s="44"/>
      <c r="E299" s="44"/>
      <c r="F299" s="34"/>
      <c r="G299" s="34"/>
      <c r="H299" s="45"/>
      <c r="I299" s="44"/>
      <c r="J299" s="34"/>
      <c r="K299" s="44"/>
      <c r="L299" s="44"/>
      <c r="M299" s="44"/>
      <c r="N299" s="44"/>
      <c r="O299" s="44"/>
      <c r="P299" s="44"/>
      <c r="Q299" s="44"/>
      <c r="R299" s="44"/>
      <c r="S299" s="44"/>
      <c r="T299" s="44"/>
      <c r="U299" s="36"/>
    </row>
    <row r="300" spans="1:21" ht="12.75">
      <c r="A300" s="44"/>
      <c r="B300" s="44"/>
      <c r="C300" s="44"/>
      <c r="D300" s="44"/>
      <c r="E300" s="44"/>
      <c r="F300" s="34"/>
      <c r="G300" s="34"/>
      <c r="H300" s="45"/>
      <c r="I300" s="44"/>
      <c r="J300" s="34"/>
      <c r="K300" s="44"/>
      <c r="L300" s="44"/>
      <c r="M300" s="44"/>
      <c r="N300" s="44"/>
      <c r="O300" s="44"/>
      <c r="P300" s="44"/>
      <c r="Q300" s="44"/>
      <c r="R300" s="44"/>
      <c r="S300" s="44"/>
      <c r="T300" s="44"/>
      <c r="U300" s="36"/>
    </row>
    <row r="301" spans="1:21" ht="12.75">
      <c r="A301" s="44"/>
      <c r="B301" s="44"/>
      <c r="C301" s="44"/>
      <c r="D301" s="44"/>
      <c r="E301" s="44"/>
      <c r="F301" s="34"/>
      <c r="G301" s="34"/>
      <c r="H301" s="45"/>
      <c r="I301" s="44"/>
      <c r="J301" s="34"/>
      <c r="K301" s="44"/>
      <c r="L301" s="44"/>
      <c r="M301" s="44"/>
      <c r="N301" s="44"/>
      <c r="O301" s="44"/>
      <c r="P301" s="44"/>
      <c r="Q301" s="44"/>
      <c r="R301" s="44"/>
      <c r="S301" s="44"/>
      <c r="T301" s="44"/>
      <c r="U301" s="36"/>
    </row>
    <row r="302" spans="1:21" ht="12.75">
      <c r="A302" s="44"/>
      <c r="B302" s="44"/>
      <c r="C302" s="44"/>
      <c r="D302" s="44"/>
      <c r="E302" s="44"/>
      <c r="F302" s="34"/>
      <c r="G302" s="34"/>
      <c r="H302" s="45"/>
      <c r="I302" s="44"/>
      <c r="J302" s="34"/>
      <c r="K302" s="44"/>
      <c r="L302" s="44"/>
      <c r="M302" s="44"/>
      <c r="N302" s="44"/>
      <c r="O302" s="44"/>
      <c r="P302" s="44"/>
      <c r="Q302" s="44"/>
      <c r="R302" s="44"/>
      <c r="S302" s="44"/>
      <c r="T302" s="44"/>
      <c r="U302" s="36"/>
    </row>
    <row r="303" spans="1:21" ht="12.75">
      <c r="A303" s="44"/>
      <c r="B303" s="44"/>
      <c r="C303" s="44"/>
      <c r="D303" s="44"/>
      <c r="E303" s="44"/>
      <c r="F303" s="34"/>
      <c r="G303" s="34"/>
      <c r="H303" s="45"/>
      <c r="I303" s="44"/>
      <c r="J303" s="34"/>
      <c r="K303" s="44"/>
      <c r="L303" s="44"/>
      <c r="M303" s="44"/>
      <c r="N303" s="44"/>
      <c r="O303" s="44"/>
      <c r="P303" s="44"/>
      <c r="Q303" s="44"/>
      <c r="R303" s="44"/>
      <c r="S303" s="44"/>
      <c r="T303" s="44"/>
      <c r="U303" s="36"/>
    </row>
    <row r="304" spans="1:21" ht="12.75">
      <c r="A304" s="44"/>
      <c r="B304" s="44"/>
      <c r="C304" s="44"/>
      <c r="D304" s="44"/>
      <c r="E304" s="44"/>
      <c r="F304" s="34"/>
      <c r="G304" s="34"/>
      <c r="H304" s="45"/>
      <c r="I304" s="44"/>
      <c r="J304" s="34"/>
      <c r="K304" s="44"/>
      <c r="L304" s="44"/>
      <c r="M304" s="44"/>
      <c r="N304" s="44"/>
      <c r="O304" s="44"/>
      <c r="P304" s="44"/>
      <c r="Q304" s="44"/>
      <c r="R304" s="44"/>
      <c r="S304" s="44"/>
      <c r="T304" s="44"/>
      <c r="U304" s="36"/>
    </row>
    <row r="305" spans="1:21" ht="12.75">
      <c r="A305" s="44"/>
      <c r="B305" s="44"/>
      <c r="C305" s="44"/>
      <c r="D305" s="44"/>
      <c r="E305" s="44"/>
      <c r="F305" s="34"/>
      <c r="G305" s="34"/>
      <c r="H305" s="45"/>
      <c r="I305" s="44"/>
      <c r="J305" s="34"/>
      <c r="K305" s="44"/>
      <c r="L305" s="44"/>
      <c r="M305" s="44"/>
      <c r="N305" s="44"/>
      <c r="O305" s="44"/>
      <c r="P305" s="44"/>
      <c r="Q305" s="44"/>
      <c r="R305" s="44"/>
      <c r="S305" s="44"/>
      <c r="T305" s="44"/>
      <c r="U305" s="36"/>
    </row>
    <row r="306" spans="1:21" ht="12.75">
      <c r="A306" s="44"/>
      <c r="B306" s="44"/>
      <c r="C306" s="44"/>
      <c r="D306" s="44"/>
      <c r="E306" s="44"/>
      <c r="F306" s="34"/>
      <c r="G306" s="34"/>
      <c r="H306" s="45"/>
      <c r="I306" s="44"/>
      <c r="J306" s="34"/>
      <c r="K306" s="44"/>
      <c r="L306" s="44"/>
      <c r="M306" s="44"/>
      <c r="N306" s="44"/>
      <c r="O306" s="44"/>
      <c r="P306" s="44"/>
      <c r="Q306" s="44"/>
      <c r="R306" s="44"/>
      <c r="S306" s="44"/>
      <c r="T306" s="44"/>
      <c r="U306" s="36"/>
    </row>
    <row r="307" spans="1:21" ht="12.75">
      <c r="A307" s="44"/>
      <c r="B307" s="44"/>
      <c r="C307" s="44"/>
      <c r="D307" s="44"/>
      <c r="E307" s="44"/>
      <c r="F307" s="34"/>
      <c r="G307" s="34"/>
      <c r="H307" s="45"/>
      <c r="I307" s="44"/>
      <c r="J307" s="34"/>
      <c r="K307" s="44"/>
      <c r="L307" s="44"/>
      <c r="M307" s="44"/>
      <c r="N307" s="44"/>
      <c r="O307" s="44"/>
      <c r="P307" s="44"/>
      <c r="Q307" s="44"/>
      <c r="R307" s="44"/>
      <c r="S307" s="44"/>
      <c r="T307" s="44"/>
      <c r="U307" s="36"/>
    </row>
    <row r="308" spans="1:21" ht="12.75">
      <c r="A308" s="44"/>
      <c r="B308" s="44"/>
      <c r="C308" s="44"/>
      <c r="D308" s="44"/>
      <c r="E308" s="44"/>
      <c r="F308" s="34"/>
      <c r="G308" s="34"/>
      <c r="H308" s="45"/>
      <c r="I308" s="44"/>
      <c r="J308" s="34"/>
      <c r="K308" s="44"/>
      <c r="L308" s="44"/>
      <c r="M308" s="44"/>
      <c r="N308" s="44"/>
      <c r="O308" s="44"/>
      <c r="P308" s="44"/>
      <c r="Q308" s="44"/>
      <c r="R308" s="44"/>
      <c r="S308" s="44"/>
      <c r="T308" s="44"/>
      <c r="U308" s="36"/>
    </row>
    <row r="309" spans="1:21" ht="12.75">
      <c r="A309" s="44"/>
      <c r="B309" s="44"/>
      <c r="C309" s="44"/>
      <c r="D309" s="44"/>
      <c r="E309" s="44"/>
      <c r="F309" s="34"/>
      <c r="G309" s="34"/>
      <c r="H309" s="45"/>
      <c r="I309" s="44"/>
      <c r="J309" s="34"/>
      <c r="K309" s="44"/>
      <c r="L309" s="44"/>
      <c r="M309" s="44"/>
      <c r="N309" s="44"/>
      <c r="O309" s="44"/>
      <c r="P309" s="44"/>
      <c r="Q309" s="44"/>
      <c r="R309" s="44"/>
      <c r="S309" s="44"/>
      <c r="T309" s="44"/>
      <c r="U309" s="36"/>
    </row>
    <row r="310" spans="1:21" ht="12.75">
      <c r="A310" s="44"/>
      <c r="B310" s="44"/>
      <c r="C310" s="44"/>
      <c r="D310" s="44"/>
      <c r="E310" s="44"/>
      <c r="F310" s="34"/>
      <c r="G310" s="34"/>
      <c r="H310" s="45"/>
      <c r="I310" s="44"/>
      <c r="J310" s="34"/>
      <c r="K310" s="44"/>
      <c r="L310" s="44"/>
      <c r="M310" s="44"/>
      <c r="N310" s="44"/>
      <c r="O310" s="44"/>
      <c r="P310" s="44"/>
      <c r="Q310" s="44"/>
      <c r="R310" s="44"/>
      <c r="S310" s="44"/>
      <c r="T310" s="44"/>
      <c r="U310" s="36"/>
    </row>
    <row r="311" spans="1:21" ht="12.75">
      <c r="A311" s="44"/>
      <c r="B311" s="44"/>
      <c r="C311" s="44"/>
      <c r="D311" s="44"/>
      <c r="E311" s="44"/>
      <c r="F311" s="34"/>
      <c r="G311" s="34"/>
      <c r="H311" s="45"/>
      <c r="I311" s="44"/>
      <c r="J311" s="34"/>
      <c r="K311" s="44"/>
      <c r="L311" s="44"/>
      <c r="M311" s="44"/>
      <c r="N311" s="44"/>
      <c r="O311" s="44"/>
      <c r="P311" s="44"/>
      <c r="Q311" s="44"/>
      <c r="R311" s="44"/>
      <c r="S311" s="44"/>
      <c r="T311" s="44"/>
      <c r="U311" s="36"/>
    </row>
    <row r="312" spans="1:21" ht="12.75">
      <c r="A312" s="44"/>
      <c r="B312" s="44"/>
      <c r="C312" s="44"/>
      <c r="D312" s="44"/>
      <c r="E312" s="44"/>
      <c r="F312" s="34"/>
      <c r="G312" s="34"/>
      <c r="H312" s="45"/>
      <c r="I312" s="44"/>
      <c r="J312" s="34"/>
      <c r="K312" s="44"/>
      <c r="L312" s="44"/>
      <c r="M312" s="44"/>
      <c r="N312" s="44"/>
      <c r="O312" s="44"/>
      <c r="P312" s="44"/>
      <c r="Q312" s="44"/>
      <c r="R312" s="44"/>
      <c r="S312" s="44"/>
      <c r="T312" s="44"/>
      <c r="U312" s="36"/>
    </row>
    <row r="313" spans="1:21" ht="12.75">
      <c r="A313" s="44"/>
      <c r="B313" s="44"/>
      <c r="C313" s="44"/>
      <c r="D313" s="44"/>
      <c r="E313" s="44"/>
      <c r="F313" s="34"/>
      <c r="G313" s="34"/>
      <c r="H313" s="45"/>
      <c r="I313" s="44"/>
      <c r="J313" s="34"/>
      <c r="K313" s="44"/>
      <c r="L313" s="44"/>
      <c r="M313" s="44"/>
      <c r="N313" s="44"/>
      <c r="O313" s="44"/>
      <c r="P313" s="44"/>
      <c r="Q313" s="44"/>
      <c r="R313" s="44"/>
      <c r="S313" s="44"/>
      <c r="T313" s="44"/>
      <c r="U313" s="36"/>
    </row>
    <row r="314" spans="1:21" ht="12.75">
      <c r="A314" s="44"/>
      <c r="B314" s="44"/>
      <c r="C314" s="44"/>
      <c r="D314" s="44"/>
      <c r="E314" s="44"/>
      <c r="F314" s="34"/>
      <c r="G314" s="34"/>
      <c r="H314" s="45"/>
      <c r="I314" s="44"/>
      <c r="J314" s="34"/>
      <c r="K314" s="44"/>
      <c r="L314" s="44"/>
      <c r="M314" s="44"/>
      <c r="N314" s="44"/>
      <c r="O314" s="44"/>
      <c r="P314" s="44"/>
      <c r="Q314" s="44"/>
      <c r="R314" s="44"/>
      <c r="S314" s="44"/>
      <c r="T314" s="44"/>
      <c r="U314" s="36"/>
    </row>
    <row r="315" spans="1:21" ht="12.75">
      <c r="A315" s="44"/>
      <c r="B315" s="44"/>
      <c r="C315" s="44"/>
      <c r="D315" s="44"/>
      <c r="E315" s="44"/>
      <c r="F315" s="34"/>
      <c r="G315" s="34"/>
      <c r="H315" s="45"/>
      <c r="I315" s="44"/>
      <c r="J315" s="34"/>
      <c r="K315" s="44"/>
      <c r="L315" s="44"/>
      <c r="M315" s="44"/>
      <c r="N315" s="44"/>
      <c r="O315" s="44"/>
      <c r="P315" s="44"/>
      <c r="Q315" s="44"/>
      <c r="R315" s="44"/>
      <c r="S315" s="44"/>
      <c r="T315" s="44"/>
      <c r="U315" s="36"/>
    </row>
    <row r="316" spans="1:21" ht="12.75">
      <c r="A316" s="44"/>
      <c r="B316" s="44"/>
      <c r="C316" s="44"/>
      <c r="D316" s="44"/>
      <c r="E316" s="44"/>
      <c r="F316" s="34"/>
      <c r="G316" s="34"/>
      <c r="H316" s="45"/>
      <c r="I316" s="44"/>
      <c r="J316" s="34"/>
      <c r="K316" s="44"/>
      <c r="L316" s="44"/>
      <c r="M316" s="44"/>
      <c r="N316" s="44"/>
      <c r="O316" s="44"/>
      <c r="P316" s="44"/>
      <c r="Q316" s="44"/>
      <c r="R316" s="44"/>
      <c r="S316" s="44"/>
      <c r="T316" s="44"/>
      <c r="U316" s="36"/>
    </row>
    <row r="317" spans="1:21" ht="12.75">
      <c r="A317" s="44"/>
      <c r="B317" s="44"/>
      <c r="C317" s="44"/>
      <c r="D317" s="44"/>
      <c r="E317" s="44"/>
      <c r="F317" s="34"/>
      <c r="G317" s="34"/>
      <c r="H317" s="45"/>
      <c r="I317" s="44"/>
      <c r="J317" s="34"/>
      <c r="K317" s="44"/>
      <c r="L317" s="44"/>
      <c r="M317" s="44"/>
      <c r="N317" s="44"/>
      <c r="O317" s="44"/>
      <c r="P317" s="44"/>
      <c r="Q317" s="44"/>
      <c r="R317" s="44"/>
      <c r="S317" s="44"/>
      <c r="T317" s="44"/>
      <c r="U317" s="36"/>
    </row>
    <row r="318" spans="1:21" ht="12.75">
      <c r="A318" s="44"/>
      <c r="B318" s="44"/>
      <c r="C318" s="44"/>
      <c r="D318" s="44"/>
      <c r="E318" s="44"/>
      <c r="F318" s="34"/>
      <c r="G318" s="34"/>
      <c r="H318" s="45"/>
      <c r="I318" s="44"/>
      <c r="J318" s="34"/>
      <c r="K318" s="44"/>
      <c r="L318" s="44"/>
      <c r="M318" s="44"/>
      <c r="N318" s="44"/>
      <c r="O318" s="44"/>
      <c r="P318" s="44"/>
      <c r="Q318" s="44"/>
      <c r="R318" s="44"/>
      <c r="S318" s="44"/>
      <c r="T318" s="44"/>
      <c r="U318" s="36"/>
    </row>
    <row r="319" spans="1:21" ht="12.75">
      <c r="A319" s="44"/>
      <c r="B319" s="44"/>
      <c r="C319" s="44"/>
      <c r="D319" s="44"/>
      <c r="E319" s="44"/>
      <c r="F319" s="34"/>
      <c r="G319" s="34"/>
      <c r="H319" s="45"/>
      <c r="I319" s="44"/>
      <c r="J319" s="34"/>
      <c r="K319" s="44"/>
      <c r="L319" s="44"/>
      <c r="M319" s="44"/>
      <c r="N319" s="44"/>
      <c r="O319" s="44"/>
      <c r="P319" s="44"/>
      <c r="Q319" s="44"/>
      <c r="R319" s="44"/>
      <c r="S319" s="44"/>
      <c r="T319" s="44"/>
      <c r="U319" s="36"/>
    </row>
    <row r="320" spans="1:21" ht="12.75">
      <c r="A320" s="44"/>
      <c r="B320" s="44"/>
      <c r="C320" s="44"/>
      <c r="D320" s="44"/>
      <c r="E320" s="44"/>
      <c r="F320" s="34"/>
      <c r="G320" s="34"/>
      <c r="H320" s="45"/>
      <c r="I320" s="44"/>
      <c r="J320" s="34"/>
      <c r="K320" s="44"/>
      <c r="L320" s="44"/>
      <c r="M320" s="44"/>
      <c r="N320" s="44"/>
      <c r="O320" s="44"/>
      <c r="P320" s="44"/>
      <c r="Q320" s="44"/>
      <c r="R320" s="44"/>
      <c r="S320" s="44"/>
      <c r="T320" s="44"/>
      <c r="U320" s="36"/>
    </row>
    <row r="321" spans="1:21" ht="12.75">
      <c r="A321" s="44"/>
      <c r="B321" s="44"/>
      <c r="C321" s="44"/>
      <c r="D321" s="44"/>
      <c r="E321" s="44"/>
      <c r="F321" s="34"/>
      <c r="G321" s="34"/>
      <c r="H321" s="45"/>
      <c r="I321" s="44"/>
      <c r="J321" s="34"/>
      <c r="K321" s="44"/>
      <c r="L321" s="44"/>
      <c r="M321" s="44"/>
      <c r="N321" s="44"/>
      <c r="O321" s="44"/>
      <c r="P321" s="44"/>
      <c r="Q321" s="44"/>
      <c r="R321" s="44"/>
      <c r="S321" s="44"/>
      <c r="T321" s="44"/>
      <c r="U321" s="36"/>
    </row>
    <row r="322" spans="1:21" ht="12.75">
      <c r="A322" s="44"/>
      <c r="B322" s="44"/>
      <c r="C322" s="44"/>
      <c r="D322" s="44"/>
      <c r="E322" s="44"/>
      <c r="F322" s="34"/>
      <c r="G322" s="34"/>
      <c r="H322" s="45"/>
      <c r="I322" s="44"/>
      <c r="J322" s="34"/>
      <c r="K322" s="44"/>
      <c r="L322" s="44"/>
      <c r="M322" s="44"/>
      <c r="N322" s="44"/>
      <c r="O322" s="44"/>
      <c r="P322" s="44"/>
      <c r="Q322" s="44"/>
      <c r="R322" s="44"/>
      <c r="S322" s="44"/>
      <c r="T322" s="44"/>
      <c r="U322" s="36"/>
    </row>
    <row r="323" spans="1:21" ht="12.75">
      <c r="A323" s="44"/>
      <c r="B323" s="44"/>
      <c r="C323" s="44"/>
      <c r="D323" s="44"/>
      <c r="E323" s="44"/>
      <c r="F323" s="34"/>
      <c r="G323" s="34"/>
      <c r="H323" s="45"/>
      <c r="I323" s="44"/>
      <c r="J323" s="34"/>
      <c r="K323" s="44"/>
      <c r="L323" s="44"/>
      <c r="M323" s="44"/>
      <c r="N323" s="44"/>
      <c r="O323" s="44"/>
      <c r="P323" s="44"/>
      <c r="Q323" s="44"/>
      <c r="R323" s="44"/>
      <c r="S323" s="44"/>
      <c r="T323" s="44"/>
      <c r="U323" s="36"/>
    </row>
    <row r="324" spans="1:21" ht="12.75">
      <c r="A324" s="44"/>
      <c r="B324" s="44"/>
      <c r="C324" s="44"/>
      <c r="D324" s="44"/>
      <c r="E324" s="44"/>
      <c r="F324" s="34"/>
      <c r="G324" s="34"/>
      <c r="H324" s="45"/>
      <c r="I324" s="44"/>
      <c r="J324" s="34"/>
      <c r="K324" s="44"/>
      <c r="L324" s="44"/>
      <c r="M324" s="44"/>
      <c r="N324" s="44"/>
      <c r="O324" s="44"/>
      <c r="P324" s="44"/>
      <c r="Q324" s="44"/>
      <c r="R324" s="44"/>
      <c r="S324" s="44"/>
      <c r="T324" s="44"/>
      <c r="U324" s="36"/>
    </row>
    <row r="325" spans="1:21" ht="12.75">
      <c r="A325" s="44"/>
      <c r="B325" s="44"/>
      <c r="C325" s="44"/>
      <c r="D325" s="44"/>
      <c r="E325" s="44"/>
      <c r="F325" s="34"/>
      <c r="G325" s="34"/>
      <c r="H325" s="45"/>
      <c r="I325" s="44"/>
      <c r="J325" s="34"/>
      <c r="K325" s="44"/>
      <c r="L325" s="44"/>
      <c r="M325" s="44"/>
      <c r="N325" s="44"/>
      <c r="O325" s="44"/>
      <c r="P325" s="44"/>
      <c r="Q325" s="44"/>
      <c r="R325" s="44"/>
      <c r="S325" s="44"/>
      <c r="T325" s="44"/>
      <c r="U325" s="36"/>
    </row>
    <row r="326" spans="1:21" ht="12.75">
      <c r="A326" s="44"/>
      <c r="B326" s="44"/>
      <c r="C326" s="44"/>
      <c r="D326" s="44"/>
      <c r="E326" s="44"/>
      <c r="F326" s="34"/>
      <c r="G326" s="34"/>
      <c r="H326" s="45"/>
      <c r="I326" s="44"/>
      <c r="J326" s="34"/>
      <c r="K326" s="44"/>
      <c r="L326" s="44"/>
      <c r="M326" s="44"/>
      <c r="N326" s="44"/>
      <c r="O326" s="44"/>
      <c r="P326" s="44"/>
      <c r="Q326" s="44"/>
      <c r="R326" s="44"/>
      <c r="S326" s="44"/>
      <c r="T326" s="44"/>
      <c r="U326" s="36"/>
    </row>
    <row r="327" spans="1:21" ht="12.75">
      <c r="A327" s="44"/>
      <c r="B327" s="44"/>
      <c r="C327" s="44"/>
      <c r="D327" s="44"/>
      <c r="E327" s="44"/>
      <c r="F327" s="34"/>
      <c r="G327" s="34"/>
      <c r="H327" s="45"/>
      <c r="I327" s="44"/>
      <c r="J327" s="34"/>
      <c r="K327" s="44"/>
      <c r="L327" s="44"/>
      <c r="M327" s="44"/>
      <c r="N327" s="44"/>
      <c r="O327" s="44"/>
      <c r="P327" s="44"/>
      <c r="Q327" s="44"/>
      <c r="R327" s="44"/>
      <c r="S327" s="44"/>
      <c r="T327" s="44"/>
      <c r="U327" s="36"/>
    </row>
    <row r="328" spans="1:21" ht="12.75">
      <c r="A328" s="44"/>
      <c r="B328" s="44"/>
      <c r="C328" s="44"/>
      <c r="D328" s="44"/>
      <c r="E328" s="44"/>
      <c r="F328" s="34"/>
      <c r="G328" s="34"/>
      <c r="H328" s="45"/>
      <c r="I328" s="44"/>
      <c r="J328" s="34"/>
      <c r="K328" s="44"/>
      <c r="L328" s="44"/>
      <c r="M328" s="44"/>
      <c r="N328" s="44"/>
      <c r="O328" s="44"/>
      <c r="P328" s="44"/>
      <c r="Q328" s="44"/>
      <c r="R328" s="44"/>
      <c r="S328" s="44"/>
      <c r="T328" s="44"/>
      <c r="U328" s="36"/>
    </row>
    <row r="329" spans="1:21" ht="12.75">
      <c r="A329" s="44"/>
      <c r="B329" s="44"/>
      <c r="C329" s="44"/>
      <c r="D329" s="44"/>
      <c r="E329" s="44"/>
      <c r="F329" s="34"/>
      <c r="G329" s="34"/>
      <c r="H329" s="45"/>
      <c r="I329" s="44"/>
      <c r="J329" s="34"/>
      <c r="K329" s="44"/>
      <c r="L329" s="44"/>
      <c r="M329" s="44"/>
      <c r="N329" s="44"/>
      <c r="O329" s="44"/>
      <c r="P329" s="44"/>
      <c r="Q329" s="44"/>
      <c r="R329" s="44"/>
      <c r="S329" s="44"/>
      <c r="T329" s="44"/>
      <c r="U329" s="36"/>
    </row>
    <row r="330" spans="1:21" ht="12.75">
      <c r="A330" s="44"/>
      <c r="B330" s="44"/>
      <c r="C330" s="44"/>
      <c r="D330" s="44"/>
      <c r="E330" s="44"/>
      <c r="F330" s="34"/>
      <c r="G330" s="34"/>
      <c r="H330" s="45"/>
      <c r="I330" s="44"/>
      <c r="J330" s="34"/>
      <c r="K330" s="44"/>
      <c r="L330" s="44"/>
      <c r="M330" s="44"/>
      <c r="N330" s="44"/>
      <c r="O330" s="44"/>
      <c r="P330" s="44"/>
      <c r="Q330" s="44"/>
      <c r="R330" s="44"/>
      <c r="S330" s="44"/>
      <c r="T330" s="44"/>
      <c r="U330" s="36"/>
    </row>
    <row r="331" spans="1:21" ht="12.75">
      <c r="A331" s="44"/>
      <c r="B331" s="44"/>
      <c r="C331" s="44"/>
      <c r="D331" s="44"/>
      <c r="E331" s="44"/>
      <c r="F331" s="34"/>
      <c r="G331" s="34"/>
      <c r="H331" s="45"/>
      <c r="I331" s="44"/>
      <c r="J331" s="34"/>
      <c r="K331" s="44"/>
      <c r="L331" s="44"/>
      <c r="M331" s="44"/>
      <c r="N331" s="44"/>
      <c r="O331" s="44"/>
      <c r="P331" s="44"/>
      <c r="Q331" s="44"/>
      <c r="R331" s="44"/>
      <c r="S331" s="44"/>
      <c r="T331" s="44"/>
      <c r="U331" s="36"/>
    </row>
    <row r="332" spans="1:21" ht="12.75">
      <c r="A332" s="44"/>
      <c r="B332" s="44"/>
      <c r="C332" s="44"/>
      <c r="D332" s="44"/>
      <c r="E332" s="44"/>
      <c r="F332" s="34"/>
      <c r="G332" s="34"/>
      <c r="H332" s="45"/>
      <c r="I332" s="44"/>
      <c r="J332" s="34"/>
      <c r="K332" s="44"/>
      <c r="L332" s="44"/>
      <c r="M332" s="44"/>
      <c r="N332" s="44"/>
      <c r="O332" s="44"/>
      <c r="P332" s="44"/>
      <c r="Q332" s="44"/>
      <c r="R332" s="44"/>
      <c r="S332" s="44"/>
      <c r="T332" s="44"/>
      <c r="U332" s="36"/>
    </row>
    <row r="333" spans="1:21" ht="12.75">
      <c r="A333" s="44"/>
      <c r="B333" s="44"/>
      <c r="C333" s="44"/>
      <c r="D333" s="44"/>
      <c r="E333" s="44"/>
      <c r="F333" s="34"/>
      <c r="G333" s="34"/>
      <c r="H333" s="45"/>
      <c r="I333" s="44"/>
      <c r="J333" s="34"/>
      <c r="K333" s="44"/>
      <c r="L333" s="44"/>
      <c r="M333" s="44"/>
      <c r="N333" s="44"/>
      <c r="O333" s="44"/>
      <c r="P333" s="44"/>
      <c r="Q333" s="44"/>
      <c r="R333" s="44"/>
      <c r="S333" s="44"/>
      <c r="T333" s="44"/>
      <c r="U333" s="36"/>
    </row>
    <row r="334" spans="1:21" ht="12.75">
      <c r="A334" s="44"/>
      <c r="B334" s="44"/>
      <c r="C334" s="44"/>
      <c r="D334" s="44"/>
      <c r="E334" s="44"/>
      <c r="F334" s="34"/>
      <c r="G334" s="34"/>
      <c r="H334" s="45"/>
      <c r="I334" s="44"/>
      <c r="J334" s="34"/>
      <c r="K334" s="44"/>
      <c r="L334" s="44"/>
      <c r="M334" s="44"/>
      <c r="N334" s="44"/>
      <c r="O334" s="44"/>
      <c r="P334" s="44"/>
      <c r="Q334" s="44"/>
      <c r="R334" s="44"/>
      <c r="S334" s="44"/>
      <c r="T334" s="44"/>
      <c r="U334" s="36"/>
    </row>
    <row r="335" spans="1:21" ht="12.75">
      <c r="A335" s="44"/>
      <c r="B335" s="44"/>
      <c r="C335" s="44"/>
      <c r="D335" s="44"/>
      <c r="E335" s="44"/>
      <c r="F335" s="34"/>
      <c r="G335" s="34"/>
      <c r="H335" s="45"/>
      <c r="I335" s="44"/>
      <c r="J335" s="34"/>
      <c r="K335" s="44"/>
      <c r="L335" s="44"/>
      <c r="M335" s="44"/>
      <c r="N335" s="44"/>
      <c r="O335" s="44"/>
      <c r="P335" s="44"/>
      <c r="Q335" s="44"/>
      <c r="R335" s="44"/>
      <c r="S335" s="44"/>
      <c r="T335" s="44"/>
      <c r="U335" s="36"/>
    </row>
    <row r="336" spans="1:21" ht="12.75">
      <c r="A336" s="44"/>
      <c r="B336" s="44"/>
      <c r="C336" s="44"/>
      <c r="D336" s="44"/>
      <c r="E336" s="44"/>
      <c r="F336" s="34"/>
      <c r="G336" s="34"/>
      <c r="H336" s="45"/>
      <c r="I336" s="44"/>
      <c r="J336" s="34"/>
      <c r="K336" s="44"/>
      <c r="L336" s="44"/>
      <c r="M336" s="44"/>
      <c r="N336" s="44"/>
      <c r="O336" s="44"/>
      <c r="P336" s="44"/>
      <c r="Q336" s="44"/>
      <c r="R336" s="44"/>
      <c r="S336" s="44"/>
      <c r="T336" s="44"/>
      <c r="U336" s="36"/>
    </row>
    <row r="337" spans="1:21" ht="12.75">
      <c r="A337" s="44"/>
      <c r="B337" s="44"/>
      <c r="C337" s="44"/>
      <c r="D337" s="44"/>
      <c r="E337" s="44"/>
      <c r="F337" s="34"/>
      <c r="G337" s="34"/>
      <c r="H337" s="45"/>
      <c r="I337" s="44"/>
      <c r="J337" s="34"/>
      <c r="K337" s="44"/>
      <c r="L337" s="44"/>
      <c r="M337" s="44"/>
      <c r="N337" s="44"/>
      <c r="O337" s="44"/>
      <c r="P337" s="44"/>
      <c r="Q337" s="44"/>
      <c r="R337" s="44"/>
      <c r="S337" s="44"/>
      <c r="T337" s="44"/>
      <c r="U337" s="36"/>
    </row>
    <row r="338" spans="1:21" ht="12.75">
      <c r="A338" s="44"/>
      <c r="B338" s="44"/>
      <c r="C338" s="44"/>
      <c r="D338" s="44"/>
      <c r="E338" s="44"/>
      <c r="F338" s="34"/>
      <c r="G338" s="34"/>
      <c r="H338" s="45"/>
      <c r="I338" s="44"/>
      <c r="J338" s="34"/>
      <c r="K338" s="44"/>
      <c r="L338" s="44"/>
      <c r="M338" s="44"/>
      <c r="N338" s="44"/>
      <c r="O338" s="44"/>
      <c r="P338" s="44"/>
      <c r="Q338" s="44"/>
      <c r="R338" s="44"/>
      <c r="S338" s="44"/>
      <c r="T338" s="44"/>
      <c r="U338" s="36"/>
    </row>
    <row r="339" spans="1:21" ht="12.75">
      <c r="A339" s="44"/>
      <c r="B339" s="44"/>
      <c r="C339" s="44"/>
      <c r="D339" s="44"/>
      <c r="E339" s="44"/>
      <c r="F339" s="34"/>
      <c r="G339" s="34"/>
      <c r="H339" s="45"/>
      <c r="I339" s="44"/>
      <c r="J339" s="34"/>
      <c r="K339" s="44"/>
      <c r="L339" s="44"/>
      <c r="M339" s="44"/>
      <c r="N339" s="44"/>
      <c r="O339" s="44"/>
      <c r="P339" s="44"/>
      <c r="Q339" s="44"/>
      <c r="R339" s="44"/>
      <c r="S339" s="44"/>
      <c r="T339" s="44"/>
      <c r="U339" s="36"/>
    </row>
    <row r="340" spans="1:21" ht="12.75">
      <c r="A340" s="44"/>
      <c r="B340" s="44"/>
      <c r="C340" s="44"/>
      <c r="D340" s="44"/>
      <c r="E340" s="44"/>
      <c r="F340" s="34"/>
      <c r="G340" s="34"/>
      <c r="H340" s="45"/>
      <c r="I340" s="44"/>
      <c r="J340" s="34"/>
      <c r="K340" s="44"/>
      <c r="L340" s="44"/>
      <c r="M340" s="44"/>
      <c r="N340" s="44"/>
      <c r="O340" s="44"/>
      <c r="P340" s="44"/>
      <c r="Q340" s="44"/>
      <c r="R340" s="44"/>
      <c r="S340" s="44"/>
      <c r="T340" s="44"/>
      <c r="U340" s="36"/>
    </row>
    <row r="341" spans="1:21" ht="12.75">
      <c r="A341" s="44"/>
      <c r="B341" s="44"/>
      <c r="C341" s="44"/>
      <c r="D341" s="44"/>
      <c r="E341" s="44"/>
      <c r="F341" s="34"/>
      <c r="G341" s="34"/>
      <c r="H341" s="45"/>
      <c r="I341" s="44"/>
      <c r="J341" s="34"/>
      <c r="K341" s="44"/>
      <c r="L341" s="44"/>
      <c r="M341" s="44"/>
      <c r="N341" s="44"/>
      <c r="O341" s="44"/>
      <c r="P341" s="44"/>
      <c r="Q341" s="44"/>
      <c r="R341" s="44"/>
      <c r="S341" s="44"/>
      <c r="T341" s="44"/>
      <c r="U341" s="36"/>
    </row>
    <row r="342" spans="1:21" ht="12.75">
      <c r="A342" s="44"/>
      <c r="B342" s="44"/>
      <c r="C342" s="44"/>
      <c r="D342" s="44"/>
      <c r="E342" s="44"/>
      <c r="F342" s="34"/>
      <c r="G342" s="34"/>
      <c r="H342" s="45"/>
      <c r="I342" s="44"/>
      <c r="J342" s="34"/>
      <c r="K342" s="44"/>
      <c r="L342" s="44"/>
      <c r="M342" s="44"/>
      <c r="N342" s="44"/>
      <c r="O342" s="44"/>
      <c r="P342" s="44"/>
      <c r="Q342" s="44"/>
      <c r="R342" s="44"/>
      <c r="S342" s="44"/>
      <c r="T342" s="44"/>
      <c r="U342" s="36"/>
    </row>
    <row r="343" spans="1:21" ht="12.75">
      <c r="A343" s="44"/>
      <c r="B343" s="44"/>
      <c r="C343" s="44"/>
      <c r="D343" s="44"/>
      <c r="E343" s="44"/>
      <c r="F343" s="34"/>
      <c r="G343" s="34"/>
      <c r="H343" s="45"/>
      <c r="I343" s="44"/>
      <c r="J343" s="34"/>
      <c r="K343" s="44"/>
      <c r="L343" s="44"/>
      <c r="M343" s="44"/>
      <c r="N343" s="44"/>
      <c r="O343" s="44"/>
      <c r="P343" s="44"/>
      <c r="Q343" s="44"/>
      <c r="R343" s="44"/>
      <c r="S343" s="44"/>
      <c r="T343" s="44"/>
      <c r="U343" s="36"/>
    </row>
    <row r="344" spans="1:21" ht="12.75">
      <c r="A344" s="44"/>
      <c r="B344" s="44"/>
      <c r="C344" s="44"/>
      <c r="D344" s="44"/>
      <c r="E344" s="44"/>
      <c r="F344" s="34"/>
      <c r="G344" s="34"/>
      <c r="H344" s="45"/>
      <c r="I344" s="44"/>
      <c r="J344" s="34"/>
      <c r="K344" s="44"/>
      <c r="L344" s="44"/>
      <c r="M344" s="44"/>
      <c r="N344" s="44"/>
      <c r="O344" s="44"/>
      <c r="P344" s="44"/>
      <c r="Q344" s="44"/>
      <c r="R344" s="44"/>
      <c r="S344" s="44"/>
      <c r="T344" s="44"/>
      <c r="U344" s="36"/>
    </row>
    <row r="345" spans="1:21" ht="12.75">
      <c r="A345" s="44"/>
      <c r="B345" s="44"/>
      <c r="C345" s="44"/>
      <c r="D345" s="44"/>
      <c r="E345" s="44"/>
      <c r="F345" s="34"/>
      <c r="G345" s="34"/>
      <c r="H345" s="45"/>
      <c r="I345" s="44"/>
      <c r="J345" s="34"/>
      <c r="K345" s="44"/>
      <c r="L345" s="44"/>
      <c r="M345" s="44"/>
      <c r="N345" s="44"/>
      <c r="O345" s="44"/>
      <c r="P345" s="44"/>
      <c r="Q345" s="44"/>
      <c r="R345" s="44"/>
      <c r="S345" s="44"/>
      <c r="T345" s="44"/>
      <c r="U345" s="36"/>
    </row>
    <row r="346" spans="1:21" ht="12.75">
      <c r="A346" s="44"/>
      <c r="B346" s="44"/>
      <c r="C346" s="44"/>
      <c r="D346" s="44"/>
      <c r="E346" s="44"/>
      <c r="F346" s="34"/>
      <c r="G346" s="34"/>
      <c r="H346" s="45"/>
      <c r="I346" s="44"/>
      <c r="J346" s="34"/>
      <c r="K346" s="44"/>
      <c r="L346" s="44"/>
      <c r="M346" s="44"/>
      <c r="N346" s="44"/>
      <c r="O346" s="44"/>
      <c r="P346" s="44"/>
      <c r="Q346" s="44"/>
      <c r="R346" s="44"/>
      <c r="S346" s="44"/>
      <c r="T346" s="44"/>
      <c r="U346" s="36"/>
    </row>
    <row r="347" spans="1:21" ht="12.75">
      <c r="A347" s="44"/>
      <c r="B347" s="44"/>
      <c r="C347" s="44"/>
      <c r="D347" s="44"/>
      <c r="E347" s="44"/>
      <c r="F347" s="34"/>
      <c r="G347" s="34"/>
      <c r="H347" s="45"/>
      <c r="I347" s="44"/>
      <c r="J347" s="34"/>
      <c r="K347" s="44"/>
      <c r="L347" s="44"/>
      <c r="M347" s="44"/>
      <c r="N347" s="44"/>
      <c r="O347" s="44"/>
      <c r="P347" s="44"/>
      <c r="Q347" s="44"/>
      <c r="R347" s="44"/>
      <c r="S347" s="44"/>
      <c r="T347" s="44"/>
      <c r="U347" s="36"/>
    </row>
    <row r="348" spans="1:21" ht="12.75">
      <c r="A348" s="44"/>
      <c r="B348" s="44"/>
      <c r="C348" s="44"/>
      <c r="D348" s="44"/>
      <c r="E348" s="44"/>
      <c r="F348" s="34"/>
      <c r="G348" s="34"/>
      <c r="H348" s="45"/>
      <c r="I348" s="44"/>
      <c r="J348" s="34"/>
      <c r="K348" s="44"/>
      <c r="L348" s="44"/>
      <c r="M348" s="44"/>
      <c r="N348" s="44"/>
      <c r="O348" s="44"/>
      <c r="P348" s="44"/>
      <c r="Q348" s="44"/>
      <c r="R348" s="44"/>
      <c r="S348" s="44"/>
      <c r="T348" s="44"/>
      <c r="U348" s="36"/>
    </row>
    <row r="349" spans="1:21" ht="12.75">
      <c r="A349" s="44"/>
      <c r="B349" s="44"/>
      <c r="C349" s="44"/>
      <c r="D349" s="44"/>
      <c r="E349" s="44"/>
      <c r="F349" s="34"/>
      <c r="G349" s="34"/>
      <c r="H349" s="45"/>
      <c r="I349" s="44"/>
      <c r="J349" s="34"/>
      <c r="K349" s="44"/>
      <c r="L349" s="44"/>
      <c r="M349" s="44"/>
      <c r="N349" s="44"/>
      <c r="O349" s="44"/>
      <c r="P349" s="44"/>
      <c r="Q349" s="44"/>
      <c r="R349" s="44"/>
      <c r="S349" s="44"/>
      <c r="T349" s="44"/>
      <c r="U349" s="36"/>
    </row>
    <row r="350" spans="1:21" ht="12.75">
      <c r="A350" s="44"/>
      <c r="B350" s="44"/>
      <c r="C350" s="44"/>
      <c r="D350" s="44"/>
      <c r="E350" s="44"/>
      <c r="F350" s="34"/>
      <c r="G350" s="34"/>
      <c r="H350" s="45"/>
      <c r="I350" s="44"/>
      <c r="J350" s="34"/>
      <c r="K350" s="44"/>
      <c r="L350" s="44"/>
      <c r="M350" s="44"/>
      <c r="N350" s="44"/>
      <c r="O350" s="44"/>
      <c r="P350" s="44"/>
      <c r="Q350" s="44"/>
      <c r="R350" s="44"/>
      <c r="S350" s="44"/>
      <c r="T350" s="44"/>
      <c r="U350" s="36"/>
    </row>
    <row r="351" spans="1:21" ht="12.75">
      <c r="A351" s="44"/>
      <c r="B351" s="44"/>
      <c r="C351" s="44"/>
      <c r="D351" s="44"/>
      <c r="E351" s="44"/>
      <c r="F351" s="34"/>
      <c r="G351" s="34"/>
      <c r="H351" s="45"/>
      <c r="I351" s="44"/>
      <c r="J351" s="34"/>
      <c r="K351" s="44"/>
      <c r="L351" s="44"/>
      <c r="M351" s="44"/>
      <c r="N351" s="44"/>
      <c r="O351" s="44"/>
      <c r="P351" s="44"/>
      <c r="Q351" s="44"/>
      <c r="R351" s="44"/>
      <c r="S351" s="44"/>
      <c r="T351" s="44"/>
      <c r="U351" s="36"/>
    </row>
    <row r="352" spans="1:21" ht="12.75">
      <c r="A352" s="44"/>
      <c r="B352" s="44"/>
      <c r="C352" s="44"/>
      <c r="D352" s="44"/>
      <c r="E352" s="44"/>
      <c r="F352" s="34"/>
      <c r="G352" s="34"/>
      <c r="H352" s="45"/>
      <c r="I352" s="44"/>
      <c r="J352" s="34"/>
      <c r="K352" s="44"/>
      <c r="L352" s="44"/>
      <c r="M352" s="44"/>
      <c r="N352" s="44"/>
      <c r="O352" s="44"/>
      <c r="P352" s="44"/>
      <c r="Q352" s="44"/>
      <c r="R352" s="44"/>
      <c r="S352" s="44"/>
      <c r="T352" s="44"/>
      <c r="U352" s="36"/>
    </row>
    <row r="353" spans="1:21" ht="12.75">
      <c r="A353" s="44"/>
      <c r="B353" s="44"/>
      <c r="C353" s="44"/>
      <c r="D353" s="44"/>
      <c r="E353" s="44"/>
      <c r="F353" s="34"/>
      <c r="G353" s="34"/>
      <c r="H353" s="45"/>
      <c r="I353" s="44"/>
      <c r="J353" s="34"/>
      <c r="K353" s="44"/>
      <c r="L353" s="44"/>
      <c r="M353" s="44"/>
      <c r="N353" s="44"/>
      <c r="O353" s="44"/>
      <c r="P353" s="44"/>
      <c r="Q353" s="44"/>
      <c r="R353" s="44"/>
      <c r="S353" s="44"/>
      <c r="T353" s="44"/>
      <c r="U353" s="36"/>
    </row>
    <row r="354" spans="1:21" ht="12.75">
      <c r="A354" s="44"/>
      <c r="B354" s="44"/>
      <c r="C354" s="44"/>
      <c r="D354" s="44"/>
      <c r="E354" s="44"/>
      <c r="F354" s="34"/>
      <c r="G354" s="34"/>
      <c r="H354" s="45"/>
      <c r="I354" s="44"/>
      <c r="J354" s="34"/>
      <c r="K354" s="44"/>
      <c r="L354" s="44"/>
      <c r="M354" s="44"/>
      <c r="N354" s="44"/>
      <c r="O354" s="44"/>
      <c r="P354" s="44"/>
      <c r="Q354" s="44"/>
      <c r="R354" s="44"/>
      <c r="S354" s="44"/>
      <c r="T354" s="44"/>
      <c r="U354" s="36"/>
    </row>
    <row r="355" spans="1:21" ht="12.75">
      <c r="A355" s="44"/>
      <c r="B355" s="44"/>
      <c r="C355" s="44"/>
      <c r="D355" s="44"/>
      <c r="E355" s="44"/>
      <c r="F355" s="34"/>
      <c r="G355" s="34"/>
      <c r="H355" s="45"/>
      <c r="I355" s="44"/>
      <c r="J355" s="34"/>
      <c r="K355" s="44"/>
      <c r="L355" s="44"/>
      <c r="M355" s="44"/>
      <c r="N355" s="44"/>
      <c r="O355" s="44"/>
      <c r="P355" s="44"/>
      <c r="Q355" s="44"/>
      <c r="R355" s="44"/>
      <c r="S355" s="44"/>
      <c r="T355" s="44"/>
      <c r="U355" s="36"/>
    </row>
    <row r="356" spans="1:21" ht="12.75">
      <c r="A356" s="44"/>
      <c r="B356" s="44"/>
      <c r="C356" s="44"/>
      <c r="D356" s="44"/>
      <c r="E356" s="44"/>
      <c r="F356" s="34"/>
      <c r="G356" s="34"/>
      <c r="H356" s="45"/>
      <c r="I356" s="44"/>
      <c r="J356" s="34"/>
      <c r="K356" s="44"/>
      <c r="L356" s="44"/>
      <c r="M356" s="44"/>
      <c r="N356" s="44"/>
      <c r="O356" s="44"/>
      <c r="P356" s="44"/>
      <c r="Q356" s="44"/>
      <c r="R356" s="44"/>
      <c r="S356" s="44"/>
      <c r="T356" s="44"/>
      <c r="U356" s="36"/>
    </row>
    <row r="357" spans="1:21" ht="12.75">
      <c r="A357" s="44"/>
      <c r="B357" s="44"/>
      <c r="C357" s="44"/>
      <c r="D357" s="44"/>
      <c r="E357" s="44"/>
      <c r="F357" s="34"/>
      <c r="G357" s="34"/>
      <c r="H357" s="45"/>
      <c r="I357" s="44"/>
      <c r="J357" s="34"/>
      <c r="K357" s="44"/>
      <c r="L357" s="44"/>
      <c r="M357" s="44"/>
      <c r="N357" s="44"/>
      <c r="O357" s="44"/>
      <c r="P357" s="44"/>
      <c r="Q357" s="44"/>
      <c r="R357" s="44"/>
      <c r="S357" s="44"/>
      <c r="T357" s="44"/>
      <c r="U357" s="36"/>
    </row>
    <row r="358" spans="1:21" ht="12.75">
      <c r="A358" s="44"/>
      <c r="B358" s="44"/>
      <c r="C358" s="44"/>
      <c r="D358" s="44"/>
      <c r="E358" s="44"/>
      <c r="F358" s="34"/>
      <c r="G358" s="34"/>
      <c r="H358" s="45"/>
      <c r="I358" s="44"/>
      <c r="J358" s="34"/>
      <c r="K358" s="44"/>
      <c r="L358" s="44"/>
      <c r="M358" s="44"/>
      <c r="N358" s="44"/>
      <c r="O358" s="44"/>
      <c r="P358" s="44"/>
      <c r="Q358" s="44"/>
      <c r="R358" s="44"/>
      <c r="S358" s="44"/>
      <c r="T358" s="44"/>
      <c r="U358" s="36"/>
    </row>
    <row r="359" spans="1:21" ht="12.75">
      <c r="A359" s="44"/>
      <c r="B359" s="44"/>
      <c r="C359" s="44"/>
      <c r="D359" s="44"/>
      <c r="E359" s="44"/>
      <c r="F359" s="34"/>
      <c r="G359" s="34"/>
      <c r="H359" s="45"/>
      <c r="I359" s="44"/>
      <c r="J359" s="34"/>
      <c r="K359" s="44"/>
      <c r="L359" s="44"/>
      <c r="M359" s="44"/>
      <c r="N359" s="44"/>
      <c r="O359" s="44"/>
      <c r="P359" s="44"/>
      <c r="Q359" s="44"/>
      <c r="R359" s="44"/>
      <c r="S359" s="44"/>
      <c r="T359" s="44"/>
      <c r="U359" s="36"/>
    </row>
    <row r="360" spans="1:21" ht="12.75">
      <c r="A360" s="44"/>
      <c r="B360" s="44"/>
      <c r="C360" s="44"/>
      <c r="D360" s="44"/>
      <c r="E360" s="44"/>
      <c r="F360" s="34"/>
      <c r="G360" s="34"/>
      <c r="H360" s="45"/>
      <c r="I360" s="44"/>
      <c r="J360" s="34"/>
      <c r="K360" s="44"/>
      <c r="L360" s="44"/>
      <c r="M360" s="44"/>
      <c r="N360" s="44"/>
      <c r="O360" s="44"/>
      <c r="P360" s="44"/>
      <c r="Q360" s="44"/>
      <c r="R360" s="44"/>
      <c r="S360" s="44"/>
      <c r="T360" s="44"/>
      <c r="U360" s="36"/>
    </row>
    <row r="361" spans="1:21" ht="12.75">
      <c r="A361" s="44"/>
      <c r="B361" s="44"/>
      <c r="C361" s="44"/>
      <c r="D361" s="44"/>
      <c r="E361" s="44"/>
      <c r="F361" s="34"/>
      <c r="G361" s="34"/>
      <c r="H361" s="45"/>
      <c r="I361" s="44"/>
      <c r="J361" s="34"/>
      <c r="K361" s="44"/>
      <c r="L361" s="44"/>
      <c r="M361" s="44"/>
      <c r="N361" s="44"/>
      <c r="O361" s="44"/>
      <c r="P361" s="44"/>
      <c r="Q361" s="44"/>
      <c r="R361" s="44"/>
      <c r="S361" s="44"/>
      <c r="T361" s="44"/>
      <c r="U361" s="36"/>
    </row>
    <row r="362" spans="1:21" ht="12.75">
      <c r="A362" s="44"/>
      <c r="B362" s="44"/>
      <c r="C362" s="44"/>
      <c r="D362" s="44"/>
      <c r="E362" s="44"/>
      <c r="F362" s="34"/>
      <c r="G362" s="34"/>
      <c r="H362" s="45"/>
      <c r="I362" s="44"/>
      <c r="J362" s="34"/>
      <c r="K362" s="44"/>
      <c r="L362" s="44"/>
      <c r="M362" s="44"/>
      <c r="N362" s="44"/>
      <c r="O362" s="44"/>
      <c r="P362" s="44"/>
      <c r="Q362" s="44"/>
      <c r="R362" s="44"/>
      <c r="S362" s="44"/>
      <c r="T362" s="44"/>
      <c r="U362" s="36"/>
    </row>
    <row r="363" spans="1:21" ht="12.75">
      <c r="A363" s="44"/>
      <c r="B363" s="44"/>
      <c r="C363" s="44"/>
      <c r="D363" s="44"/>
      <c r="E363" s="44"/>
      <c r="F363" s="34"/>
      <c r="G363" s="34"/>
      <c r="H363" s="45"/>
      <c r="I363" s="44"/>
      <c r="J363" s="34"/>
      <c r="K363" s="44"/>
      <c r="L363" s="44"/>
      <c r="M363" s="44"/>
      <c r="N363" s="44"/>
      <c r="O363" s="44"/>
      <c r="P363" s="44"/>
      <c r="Q363" s="44"/>
      <c r="R363" s="44"/>
      <c r="S363" s="44"/>
      <c r="T363" s="44"/>
      <c r="U363" s="36"/>
    </row>
    <row r="364" spans="1:21" ht="12.75">
      <c r="A364" s="44"/>
      <c r="B364" s="44"/>
      <c r="C364" s="44"/>
      <c r="D364" s="44"/>
      <c r="E364" s="44"/>
      <c r="F364" s="34"/>
      <c r="G364" s="34"/>
      <c r="H364" s="45"/>
      <c r="I364" s="44"/>
      <c r="J364" s="34"/>
      <c r="K364" s="44"/>
      <c r="L364" s="44"/>
      <c r="M364" s="44"/>
      <c r="N364" s="44"/>
      <c r="O364" s="44"/>
      <c r="P364" s="44"/>
      <c r="Q364" s="44"/>
      <c r="R364" s="44"/>
      <c r="S364" s="44"/>
      <c r="T364" s="44"/>
      <c r="U364" s="36"/>
    </row>
    <row r="365" spans="1:21" ht="12.75">
      <c r="A365" s="44"/>
      <c r="B365" s="44"/>
      <c r="C365" s="44"/>
      <c r="D365" s="44"/>
      <c r="E365" s="44"/>
      <c r="F365" s="34"/>
      <c r="G365" s="34"/>
      <c r="H365" s="45"/>
      <c r="I365" s="44"/>
      <c r="J365" s="34"/>
      <c r="K365" s="44"/>
      <c r="L365" s="44"/>
      <c r="M365" s="44"/>
      <c r="N365" s="44"/>
      <c r="O365" s="44"/>
      <c r="P365" s="44"/>
      <c r="Q365" s="44"/>
      <c r="R365" s="44"/>
      <c r="S365" s="44"/>
      <c r="T365" s="44"/>
      <c r="U365" s="36"/>
    </row>
    <row r="366" spans="1:21" ht="12.75">
      <c r="A366" s="44"/>
      <c r="B366" s="44"/>
      <c r="C366" s="44"/>
      <c r="D366" s="44"/>
      <c r="E366" s="44"/>
      <c r="F366" s="34"/>
      <c r="G366" s="34"/>
      <c r="H366" s="45"/>
      <c r="I366" s="44"/>
      <c r="J366" s="34"/>
      <c r="K366" s="44"/>
      <c r="L366" s="44"/>
      <c r="M366" s="44"/>
      <c r="N366" s="44"/>
      <c r="O366" s="44"/>
      <c r="P366" s="44"/>
      <c r="Q366" s="44"/>
      <c r="R366" s="44"/>
      <c r="S366" s="44"/>
      <c r="T366" s="44"/>
      <c r="U366" s="36"/>
    </row>
    <row r="367" spans="1:21" ht="12.75">
      <c r="A367" s="44"/>
      <c r="B367" s="44"/>
      <c r="C367" s="44"/>
      <c r="D367" s="44"/>
      <c r="E367" s="44"/>
      <c r="F367" s="34"/>
      <c r="G367" s="34"/>
      <c r="H367" s="45"/>
      <c r="I367" s="44"/>
      <c r="J367" s="34"/>
      <c r="K367" s="44"/>
      <c r="L367" s="44"/>
      <c r="M367" s="44"/>
      <c r="N367" s="44"/>
      <c r="O367" s="44"/>
      <c r="P367" s="44"/>
      <c r="Q367" s="44"/>
      <c r="R367" s="44"/>
      <c r="S367" s="44"/>
      <c r="T367" s="44"/>
      <c r="U367" s="36"/>
    </row>
    <row r="368" spans="1:21" ht="12.75">
      <c r="A368" s="44"/>
      <c r="B368" s="44"/>
      <c r="C368" s="44"/>
      <c r="D368" s="44"/>
      <c r="E368" s="44"/>
      <c r="F368" s="34"/>
      <c r="G368" s="34"/>
      <c r="H368" s="45"/>
      <c r="I368" s="44"/>
      <c r="J368" s="34"/>
      <c r="K368" s="44"/>
      <c r="L368" s="44"/>
      <c r="M368" s="44"/>
      <c r="N368" s="44"/>
      <c r="O368" s="44"/>
      <c r="P368" s="44"/>
      <c r="Q368" s="44"/>
      <c r="R368" s="44"/>
      <c r="S368" s="44"/>
      <c r="T368" s="44"/>
      <c r="U368" s="36"/>
    </row>
    <row r="369" spans="1:21" ht="12.75">
      <c r="A369" s="44"/>
      <c r="B369" s="44"/>
      <c r="C369" s="44"/>
      <c r="D369" s="44"/>
      <c r="E369" s="44"/>
      <c r="F369" s="34"/>
      <c r="G369" s="34"/>
      <c r="H369" s="45"/>
      <c r="I369" s="44"/>
      <c r="J369" s="34"/>
      <c r="K369" s="44"/>
      <c r="L369" s="44"/>
      <c r="M369" s="44"/>
      <c r="N369" s="44"/>
      <c r="O369" s="44"/>
      <c r="P369" s="44"/>
      <c r="Q369" s="44"/>
      <c r="R369" s="44"/>
      <c r="S369" s="44"/>
      <c r="T369" s="44"/>
      <c r="U369" s="36"/>
    </row>
    <row r="370" spans="1:21" ht="12.75">
      <c r="A370" s="44"/>
      <c r="B370" s="44"/>
      <c r="C370" s="44"/>
      <c r="D370" s="44"/>
      <c r="E370" s="44"/>
      <c r="F370" s="34"/>
      <c r="G370" s="34"/>
      <c r="H370" s="45"/>
      <c r="I370" s="44"/>
      <c r="J370" s="34"/>
      <c r="K370" s="44"/>
      <c r="L370" s="44"/>
      <c r="M370" s="44"/>
      <c r="N370" s="44"/>
      <c r="O370" s="44"/>
      <c r="P370" s="44"/>
      <c r="Q370" s="44"/>
      <c r="R370" s="44"/>
      <c r="S370" s="44"/>
      <c r="T370" s="44"/>
      <c r="U370" s="36"/>
    </row>
    <row r="371" spans="1:21" ht="12.75">
      <c r="A371" s="44"/>
      <c r="B371" s="44"/>
      <c r="C371" s="44"/>
      <c r="D371" s="44"/>
      <c r="E371" s="44"/>
      <c r="F371" s="34"/>
      <c r="G371" s="34"/>
      <c r="H371" s="45"/>
      <c r="I371" s="44"/>
      <c r="J371" s="34"/>
      <c r="K371" s="44"/>
      <c r="L371" s="44"/>
      <c r="M371" s="44"/>
      <c r="N371" s="44"/>
      <c r="O371" s="44"/>
      <c r="P371" s="44"/>
      <c r="Q371" s="44"/>
      <c r="R371" s="44"/>
      <c r="S371" s="44"/>
      <c r="T371" s="44"/>
      <c r="U371" s="36"/>
    </row>
    <row r="372" spans="1:21" ht="12.75">
      <c r="A372" s="44"/>
      <c r="B372" s="44"/>
      <c r="C372" s="44"/>
      <c r="D372" s="44"/>
      <c r="E372" s="44"/>
      <c r="F372" s="34"/>
      <c r="G372" s="34"/>
      <c r="H372" s="45"/>
      <c r="I372" s="44"/>
      <c r="J372" s="34"/>
      <c r="K372" s="44"/>
      <c r="L372" s="44"/>
      <c r="M372" s="44"/>
      <c r="N372" s="44"/>
      <c r="O372" s="44"/>
      <c r="P372" s="44"/>
      <c r="Q372" s="44"/>
      <c r="R372" s="44"/>
      <c r="S372" s="44"/>
      <c r="T372" s="44"/>
      <c r="U372" s="36"/>
    </row>
    <row r="373" spans="1:21" ht="12.75">
      <c r="A373" s="44"/>
      <c r="B373" s="44"/>
      <c r="C373" s="44"/>
      <c r="D373" s="44"/>
      <c r="E373" s="44"/>
      <c r="F373" s="34"/>
      <c r="G373" s="34"/>
      <c r="H373" s="45"/>
      <c r="I373" s="44"/>
      <c r="J373" s="34"/>
      <c r="K373" s="44"/>
      <c r="L373" s="44"/>
      <c r="M373" s="44"/>
      <c r="N373" s="44"/>
      <c r="O373" s="44"/>
      <c r="P373" s="44"/>
      <c r="Q373" s="44"/>
      <c r="R373" s="44"/>
      <c r="S373" s="44"/>
      <c r="T373" s="44"/>
      <c r="U373" s="36"/>
    </row>
    <row r="374" spans="1:21" ht="12.75">
      <c r="A374" s="44"/>
      <c r="B374" s="44"/>
      <c r="C374" s="44"/>
      <c r="D374" s="44"/>
      <c r="E374" s="44"/>
      <c r="F374" s="34"/>
      <c r="G374" s="34"/>
      <c r="H374" s="45"/>
      <c r="I374" s="44"/>
      <c r="J374" s="34"/>
      <c r="K374" s="44"/>
      <c r="L374" s="44"/>
      <c r="M374" s="44"/>
      <c r="N374" s="44"/>
      <c r="O374" s="44"/>
      <c r="P374" s="44"/>
      <c r="Q374" s="44"/>
      <c r="R374" s="44"/>
      <c r="S374" s="44"/>
      <c r="T374" s="44"/>
      <c r="U374" s="36"/>
    </row>
    <row r="375" spans="1:21" ht="12.75">
      <c r="A375" s="44"/>
      <c r="B375" s="44"/>
      <c r="C375" s="44"/>
      <c r="D375" s="44"/>
      <c r="E375" s="44"/>
      <c r="F375" s="34"/>
      <c r="G375" s="34"/>
      <c r="H375" s="45"/>
      <c r="I375" s="44"/>
      <c r="J375" s="34"/>
      <c r="K375" s="44"/>
      <c r="L375" s="44"/>
      <c r="M375" s="44"/>
      <c r="N375" s="44"/>
      <c r="O375" s="44"/>
      <c r="P375" s="44"/>
      <c r="Q375" s="44"/>
      <c r="R375" s="44"/>
      <c r="S375" s="44"/>
      <c r="T375" s="44"/>
      <c r="U375" s="36"/>
    </row>
    <row r="376" spans="1:21" ht="12.75">
      <c r="A376" s="44"/>
      <c r="B376" s="44"/>
      <c r="C376" s="44"/>
      <c r="D376" s="44"/>
      <c r="E376" s="44"/>
      <c r="F376" s="34"/>
      <c r="G376" s="34"/>
      <c r="H376" s="45"/>
      <c r="I376" s="44"/>
      <c r="J376" s="34"/>
      <c r="K376" s="44"/>
      <c r="L376" s="44"/>
      <c r="M376" s="44"/>
      <c r="N376" s="44"/>
      <c r="O376" s="44"/>
      <c r="P376" s="44"/>
      <c r="Q376" s="44"/>
      <c r="R376" s="44"/>
      <c r="S376" s="44"/>
      <c r="T376" s="44"/>
      <c r="U376" s="36"/>
    </row>
    <row r="377" spans="1:21" ht="12.75">
      <c r="A377" s="44"/>
      <c r="B377" s="44"/>
      <c r="C377" s="44"/>
      <c r="D377" s="44"/>
      <c r="E377" s="44"/>
      <c r="F377" s="34"/>
      <c r="G377" s="34"/>
      <c r="H377" s="45"/>
      <c r="I377" s="44"/>
      <c r="J377" s="34"/>
      <c r="K377" s="44"/>
      <c r="L377" s="44"/>
      <c r="M377" s="44"/>
      <c r="N377" s="44"/>
      <c r="O377" s="44"/>
      <c r="P377" s="44"/>
      <c r="Q377" s="44"/>
      <c r="R377" s="44"/>
      <c r="S377" s="44"/>
      <c r="T377" s="44"/>
      <c r="U377" s="36"/>
    </row>
    <row r="378" spans="1:21" ht="12.75">
      <c r="A378" s="44"/>
      <c r="B378" s="44"/>
      <c r="C378" s="44"/>
      <c r="D378" s="44"/>
      <c r="E378" s="44"/>
      <c r="F378" s="34"/>
      <c r="G378" s="34"/>
      <c r="H378" s="45"/>
      <c r="I378" s="44"/>
      <c r="J378" s="34"/>
      <c r="K378" s="44"/>
      <c r="L378" s="44"/>
      <c r="M378" s="44"/>
      <c r="N378" s="44"/>
      <c r="O378" s="44"/>
      <c r="P378" s="44"/>
      <c r="Q378" s="44"/>
      <c r="R378" s="44"/>
      <c r="S378" s="44"/>
      <c r="T378" s="44"/>
      <c r="U378" s="36"/>
    </row>
    <row r="379" spans="1:21" ht="12.75">
      <c r="A379" s="44"/>
      <c r="B379" s="44"/>
      <c r="C379" s="44"/>
      <c r="D379" s="44"/>
      <c r="E379" s="44"/>
      <c r="F379" s="34"/>
      <c r="G379" s="34"/>
      <c r="H379" s="45"/>
      <c r="I379" s="44"/>
      <c r="J379" s="34"/>
      <c r="K379" s="44"/>
      <c r="L379" s="44"/>
      <c r="M379" s="44"/>
      <c r="N379" s="44"/>
      <c r="O379" s="44"/>
      <c r="P379" s="44"/>
      <c r="Q379" s="44"/>
      <c r="R379" s="44"/>
      <c r="S379" s="44"/>
      <c r="T379" s="44"/>
      <c r="U379" s="36"/>
    </row>
    <row r="380" spans="1:21" ht="12.75">
      <c r="A380" s="44"/>
      <c r="B380" s="44"/>
      <c r="C380" s="44"/>
      <c r="D380" s="44"/>
      <c r="E380" s="44"/>
      <c r="F380" s="34"/>
      <c r="G380" s="34"/>
      <c r="H380" s="45"/>
      <c r="I380" s="44"/>
      <c r="J380" s="34"/>
      <c r="K380" s="44"/>
      <c r="L380" s="44"/>
      <c r="M380" s="44"/>
      <c r="N380" s="44"/>
      <c r="O380" s="44"/>
      <c r="P380" s="44"/>
      <c r="Q380" s="44"/>
      <c r="R380" s="44"/>
      <c r="S380" s="44"/>
      <c r="T380" s="44"/>
      <c r="U380" s="36"/>
    </row>
    <row r="381" spans="1:21" ht="12.75">
      <c r="A381" s="44"/>
      <c r="B381" s="44"/>
      <c r="C381" s="44"/>
      <c r="D381" s="44"/>
      <c r="E381" s="44"/>
      <c r="F381" s="34"/>
      <c r="G381" s="34"/>
      <c r="H381" s="45"/>
      <c r="I381" s="44"/>
      <c r="J381" s="34"/>
      <c r="K381" s="44"/>
      <c r="L381" s="44"/>
      <c r="M381" s="44"/>
      <c r="N381" s="44"/>
      <c r="O381" s="44"/>
      <c r="P381" s="44"/>
      <c r="Q381" s="44"/>
      <c r="R381" s="44"/>
      <c r="S381" s="44"/>
      <c r="T381" s="44"/>
      <c r="U381" s="36"/>
    </row>
    <row r="382" spans="1:21" ht="12.75">
      <c r="A382" s="44"/>
      <c r="B382" s="44"/>
      <c r="C382" s="44"/>
      <c r="D382" s="44"/>
      <c r="E382" s="44"/>
      <c r="F382" s="34"/>
      <c r="G382" s="34"/>
      <c r="H382" s="45"/>
      <c r="I382" s="44"/>
      <c r="J382" s="34"/>
      <c r="K382" s="44"/>
      <c r="L382" s="44"/>
      <c r="M382" s="44"/>
      <c r="N382" s="44"/>
      <c r="O382" s="44"/>
      <c r="P382" s="44"/>
      <c r="Q382" s="44"/>
      <c r="R382" s="44"/>
      <c r="S382" s="44"/>
      <c r="T382" s="44"/>
      <c r="U382" s="36"/>
    </row>
    <row r="383" spans="1:21" ht="12.75">
      <c r="A383" s="44"/>
      <c r="B383" s="44"/>
      <c r="C383" s="44"/>
      <c r="D383" s="44"/>
      <c r="E383" s="44"/>
      <c r="F383" s="34"/>
      <c r="G383" s="34"/>
      <c r="H383" s="45"/>
      <c r="I383" s="44"/>
      <c r="J383" s="34"/>
      <c r="K383" s="44"/>
      <c r="L383" s="44"/>
      <c r="M383" s="44"/>
      <c r="N383" s="44"/>
      <c r="O383" s="44"/>
      <c r="P383" s="44"/>
      <c r="Q383" s="44"/>
      <c r="R383" s="44"/>
      <c r="S383" s="44"/>
      <c r="T383" s="44"/>
      <c r="U383" s="36"/>
    </row>
    <row r="384" spans="1:21" ht="12.75">
      <c r="A384" s="44"/>
      <c r="B384" s="44"/>
      <c r="C384" s="44"/>
      <c r="D384" s="44"/>
      <c r="E384" s="44"/>
      <c r="F384" s="34"/>
      <c r="G384" s="34"/>
      <c r="H384" s="45"/>
      <c r="I384" s="44"/>
      <c r="J384" s="34"/>
      <c r="K384" s="44"/>
      <c r="L384" s="44"/>
      <c r="M384" s="44"/>
      <c r="N384" s="44"/>
      <c r="O384" s="44"/>
      <c r="P384" s="44"/>
      <c r="Q384" s="44"/>
      <c r="R384" s="44"/>
      <c r="S384" s="44"/>
      <c r="T384" s="44"/>
      <c r="U384" s="36"/>
    </row>
    <row r="385" spans="1:21" ht="12.75">
      <c r="A385" s="44"/>
      <c r="B385" s="44"/>
      <c r="C385" s="44"/>
      <c r="D385" s="44"/>
      <c r="E385" s="44"/>
      <c r="F385" s="34"/>
      <c r="G385" s="34"/>
      <c r="H385" s="45"/>
      <c r="I385" s="44"/>
      <c r="J385" s="34"/>
      <c r="K385" s="44"/>
      <c r="L385" s="44"/>
      <c r="M385" s="44"/>
      <c r="N385" s="44"/>
      <c r="O385" s="44"/>
      <c r="P385" s="44"/>
      <c r="Q385" s="44"/>
      <c r="R385" s="44"/>
      <c r="S385" s="44"/>
      <c r="T385" s="44"/>
      <c r="U385" s="36"/>
    </row>
    <row r="386" spans="1:21" ht="12.75">
      <c r="A386" s="44"/>
      <c r="B386" s="44"/>
      <c r="C386" s="44"/>
      <c r="D386" s="44"/>
      <c r="E386" s="44"/>
      <c r="F386" s="34"/>
      <c r="G386" s="34"/>
      <c r="H386" s="45"/>
      <c r="I386" s="44"/>
      <c r="J386" s="34"/>
      <c r="K386" s="44"/>
      <c r="L386" s="44"/>
      <c r="M386" s="44"/>
      <c r="N386" s="44"/>
      <c r="O386" s="44"/>
      <c r="P386" s="44"/>
      <c r="Q386" s="44"/>
      <c r="R386" s="44"/>
      <c r="S386" s="44"/>
      <c r="T386" s="44"/>
      <c r="U386" s="36"/>
    </row>
    <row r="387" spans="1:21" ht="12.75">
      <c r="A387" s="44"/>
      <c r="B387" s="44"/>
      <c r="C387" s="44"/>
      <c r="D387" s="44"/>
      <c r="E387" s="44"/>
      <c r="F387" s="34"/>
      <c r="G387" s="34"/>
      <c r="H387" s="45"/>
      <c r="I387" s="44"/>
      <c r="J387" s="34"/>
      <c r="K387" s="44"/>
      <c r="L387" s="44"/>
      <c r="M387" s="44"/>
      <c r="N387" s="44"/>
      <c r="O387" s="44"/>
      <c r="P387" s="44"/>
      <c r="Q387" s="44"/>
      <c r="R387" s="44"/>
      <c r="S387" s="44"/>
      <c r="T387" s="44"/>
      <c r="U387" s="36"/>
    </row>
    <row r="388" spans="1:21" ht="12.75">
      <c r="A388" s="44"/>
      <c r="B388" s="44"/>
      <c r="C388" s="44"/>
      <c r="D388" s="44"/>
      <c r="E388" s="44"/>
      <c r="F388" s="34"/>
      <c r="G388" s="34"/>
      <c r="H388" s="45"/>
      <c r="I388" s="44"/>
      <c r="J388" s="34"/>
      <c r="K388" s="44"/>
      <c r="L388" s="44"/>
      <c r="M388" s="44"/>
      <c r="N388" s="44"/>
      <c r="O388" s="44"/>
      <c r="P388" s="44"/>
      <c r="Q388" s="44"/>
      <c r="R388" s="44"/>
      <c r="S388" s="44"/>
      <c r="T388" s="44"/>
      <c r="U388" s="36"/>
    </row>
    <row r="389" spans="1:21" ht="12.75">
      <c r="A389" s="44"/>
      <c r="B389" s="44"/>
      <c r="C389" s="44"/>
      <c r="D389" s="44"/>
      <c r="E389" s="44"/>
      <c r="F389" s="34"/>
      <c r="G389" s="34"/>
      <c r="H389" s="45"/>
      <c r="I389" s="44"/>
      <c r="J389" s="34"/>
      <c r="K389" s="44"/>
      <c r="L389" s="44"/>
      <c r="M389" s="44"/>
      <c r="N389" s="44"/>
      <c r="O389" s="44"/>
      <c r="P389" s="44"/>
      <c r="Q389" s="44"/>
      <c r="R389" s="44"/>
      <c r="S389" s="44"/>
      <c r="T389" s="44"/>
      <c r="U389" s="36"/>
    </row>
    <row r="390" spans="1:21" ht="12.75">
      <c r="A390" s="44"/>
      <c r="B390" s="44"/>
      <c r="C390" s="44"/>
      <c r="D390" s="44"/>
      <c r="E390" s="44"/>
      <c r="F390" s="34"/>
      <c r="G390" s="34"/>
      <c r="H390" s="45"/>
      <c r="I390" s="44"/>
      <c r="J390" s="34"/>
      <c r="K390" s="44"/>
      <c r="L390" s="44"/>
      <c r="M390" s="44"/>
      <c r="N390" s="44"/>
      <c r="O390" s="44"/>
      <c r="P390" s="44"/>
      <c r="Q390" s="44"/>
      <c r="R390" s="44"/>
      <c r="S390" s="44"/>
      <c r="T390" s="44"/>
      <c r="U390" s="36"/>
    </row>
    <row r="391" spans="1:21" ht="12.75">
      <c r="A391" s="44"/>
      <c r="B391" s="44"/>
      <c r="C391" s="44"/>
      <c r="D391" s="44"/>
      <c r="E391" s="44"/>
      <c r="F391" s="34"/>
      <c r="G391" s="34"/>
      <c r="H391" s="45"/>
      <c r="I391" s="44"/>
      <c r="J391" s="34"/>
      <c r="K391" s="44"/>
      <c r="L391" s="44"/>
      <c r="M391" s="44"/>
      <c r="N391" s="44"/>
      <c r="O391" s="44"/>
      <c r="P391" s="44"/>
      <c r="Q391" s="44"/>
      <c r="R391" s="44"/>
      <c r="S391" s="44"/>
      <c r="T391" s="44"/>
      <c r="U391" s="36"/>
    </row>
    <row r="392" spans="1:21" ht="12.75">
      <c r="A392" s="44"/>
      <c r="B392" s="44"/>
      <c r="C392" s="44"/>
      <c r="D392" s="44"/>
      <c r="E392" s="44"/>
      <c r="F392" s="34"/>
      <c r="G392" s="34"/>
      <c r="H392" s="45"/>
      <c r="I392" s="44"/>
      <c r="J392" s="34"/>
      <c r="K392" s="44"/>
      <c r="L392" s="44"/>
      <c r="M392" s="44"/>
      <c r="N392" s="44"/>
      <c r="O392" s="44"/>
      <c r="P392" s="44"/>
      <c r="Q392" s="44"/>
      <c r="R392" s="44"/>
      <c r="S392" s="44"/>
      <c r="T392" s="44"/>
      <c r="U392" s="36"/>
    </row>
    <row r="393" spans="1:21" ht="12.75">
      <c r="A393" s="44"/>
      <c r="B393" s="44"/>
      <c r="C393" s="44"/>
      <c r="D393" s="44"/>
      <c r="E393" s="44"/>
      <c r="F393" s="34"/>
      <c r="G393" s="34"/>
      <c r="H393" s="45"/>
      <c r="I393" s="44"/>
      <c r="J393" s="34"/>
      <c r="K393" s="44"/>
      <c r="L393" s="44"/>
      <c r="M393" s="44"/>
      <c r="N393" s="44"/>
      <c r="O393" s="44"/>
      <c r="P393" s="44"/>
      <c r="Q393" s="44"/>
      <c r="R393" s="44"/>
      <c r="S393" s="44"/>
      <c r="T393" s="44"/>
      <c r="U393" s="36"/>
    </row>
    <row r="394" spans="1:21" ht="12.75">
      <c r="A394" s="44"/>
      <c r="B394" s="44"/>
      <c r="C394" s="44"/>
      <c r="D394" s="44"/>
      <c r="E394" s="44"/>
      <c r="F394" s="34"/>
      <c r="G394" s="34"/>
      <c r="H394" s="45"/>
      <c r="I394" s="44"/>
      <c r="J394" s="34"/>
      <c r="K394" s="44"/>
      <c r="L394" s="44"/>
      <c r="M394" s="44"/>
      <c r="N394" s="44"/>
      <c r="O394" s="44"/>
      <c r="P394" s="44"/>
      <c r="Q394" s="44"/>
      <c r="R394" s="44"/>
      <c r="S394" s="44"/>
      <c r="T394" s="44"/>
      <c r="U394" s="36"/>
    </row>
    <row r="395" spans="1:21" ht="12.75">
      <c r="A395" s="44"/>
      <c r="B395" s="44"/>
      <c r="C395" s="44"/>
      <c r="D395" s="44"/>
      <c r="E395" s="44"/>
      <c r="F395" s="34"/>
      <c r="G395" s="34"/>
      <c r="H395" s="45"/>
      <c r="I395" s="44"/>
      <c r="J395" s="34"/>
      <c r="K395" s="44"/>
      <c r="L395" s="44"/>
      <c r="M395" s="44"/>
      <c r="N395" s="44"/>
      <c r="O395" s="44"/>
      <c r="P395" s="44"/>
      <c r="Q395" s="44"/>
      <c r="R395" s="44"/>
      <c r="S395" s="44"/>
      <c r="T395" s="44"/>
      <c r="U395" s="36"/>
    </row>
    <row r="396" spans="1:21" ht="12.75">
      <c r="A396" s="44"/>
      <c r="B396" s="44"/>
      <c r="C396" s="44"/>
      <c r="D396" s="44"/>
      <c r="E396" s="44"/>
      <c r="F396" s="34"/>
      <c r="G396" s="34"/>
      <c r="H396" s="45"/>
      <c r="I396" s="44"/>
      <c r="J396" s="34"/>
      <c r="K396" s="44"/>
      <c r="L396" s="44"/>
      <c r="M396" s="44"/>
      <c r="N396" s="44"/>
      <c r="O396" s="44"/>
      <c r="P396" s="44"/>
      <c r="Q396" s="44"/>
      <c r="R396" s="44"/>
      <c r="S396" s="44"/>
      <c r="T396" s="44"/>
      <c r="U396" s="36"/>
    </row>
    <row r="397" spans="1:21" ht="12.75">
      <c r="A397" s="44"/>
      <c r="B397" s="44"/>
      <c r="C397" s="44"/>
      <c r="D397" s="44"/>
      <c r="E397" s="44"/>
      <c r="F397" s="34"/>
      <c r="G397" s="34"/>
      <c r="H397" s="45"/>
      <c r="I397" s="44"/>
      <c r="J397" s="34"/>
      <c r="K397" s="44"/>
      <c r="L397" s="44"/>
      <c r="M397" s="44"/>
      <c r="N397" s="44"/>
      <c r="O397" s="44"/>
      <c r="P397" s="44"/>
      <c r="Q397" s="44"/>
      <c r="R397" s="44"/>
      <c r="S397" s="44"/>
      <c r="T397" s="44"/>
      <c r="U397" s="36"/>
    </row>
    <row r="398" spans="1:21" ht="12.75">
      <c r="A398" s="44"/>
      <c r="B398" s="44"/>
      <c r="C398" s="44"/>
      <c r="D398" s="44"/>
      <c r="E398" s="44"/>
      <c r="F398" s="34"/>
      <c r="G398" s="34"/>
      <c r="H398" s="45"/>
      <c r="I398" s="44"/>
      <c r="J398" s="34"/>
      <c r="K398" s="44"/>
      <c r="L398" s="44"/>
      <c r="M398" s="44"/>
      <c r="N398" s="44"/>
      <c r="O398" s="44"/>
      <c r="P398" s="44"/>
      <c r="Q398" s="44"/>
      <c r="R398" s="44"/>
      <c r="S398" s="44"/>
      <c r="T398" s="44"/>
      <c r="U398" s="36"/>
    </row>
    <row r="399" spans="1:21" ht="12.75">
      <c r="A399" s="44"/>
      <c r="B399" s="44"/>
      <c r="C399" s="44"/>
      <c r="D399" s="44"/>
      <c r="E399" s="44"/>
      <c r="F399" s="34"/>
      <c r="G399" s="34"/>
      <c r="H399" s="45"/>
      <c r="I399" s="44"/>
      <c r="J399" s="34"/>
      <c r="K399" s="44"/>
      <c r="L399" s="44"/>
      <c r="M399" s="44"/>
      <c r="N399" s="44"/>
      <c r="O399" s="44"/>
      <c r="P399" s="44"/>
      <c r="Q399" s="44"/>
      <c r="R399" s="44"/>
      <c r="S399" s="44"/>
      <c r="T399" s="44"/>
      <c r="U399" s="36"/>
    </row>
    <row r="400" spans="1:21" ht="12.75">
      <c r="A400" s="44"/>
      <c r="B400" s="44"/>
      <c r="C400" s="44"/>
      <c r="D400" s="44"/>
      <c r="E400" s="44"/>
      <c r="F400" s="34"/>
      <c r="G400" s="34"/>
      <c r="H400" s="45"/>
      <c r="I400" s="44"/>
      <c r="J400" s="34"/>
      <c r="K400" s="44"/>
      <c r="L400" s="44"/>
      <c r="M400" s="44"/>
      <c r="N400" s="44"/>
      <c r="O400" s="44"/>
      <c r="P400" s="44"/>
      <c r="Q400" s="44"/>
      <c r="R400" s="44"/>
      <c r="S400" s="44"/>
      <c r="T400" s="44"/>
      <c r="U400" s="36"/>
    </row>
    <row r="401" spans="1:21" ht="12.75">
      <c r="A401" s="44"/>
      <c r="B401" s="44"/>
      <c r="C401" s="44"/>
      <c r="D401" s="44"/>
      <c r="E401" s="44"/>
      <c r="F401" s="34"/>
      <c r="G401" s="34"/>
      <c r="H401" s="45"/>
      <c r="I401" s="44"/>
      <c r="J401" s="34"/>
      <c r="K401" s="44"/>
      <c r="L401" s="44"/>
      <c r="M401" s="44"/>
      <c r="N401" s="44"/>
      <c r="O401" s="44"/>
      <c r="P401" s="44"/>
      <c r="Q401" s="44"/>
      <c r="R401" s="44"/>
      <c r="S401" s="44"/>
      <c r="T401" s="44"/>
      <c r="U401" s="36"/>
    </row>
    <row r="402" spans="1:21" ht="12.75">
      <c r="A402" s="44"/>
      <c r="B402" s="44"/>
      <c r="C402" s="44"/>
      <c r="D402" s="44"/>
      <c r="E402" s="44"/>
      <c r="F402" s="34"/>
      <c r="G402" s="34"/>
      <c r="H402" s="45"/>
      <c r="I402" s="44"/>
      <c r="J402" s="34"/>
      <c r="K402" s="44"/>
      <c r="L402" s="44"/>
      <c r="M402" s="44"/>
      <c r="N402" s="44"/>
      <c r="O402" s="44"/>
      <c r="P402" s="44"/>
      <c r="Q402" s="44"/>
      <c r="R402" s="44"/>
      <c r="S402" s="44"/>
      <c r="T402" s="44"/>
      <c r="U402" s="36"/>
    </row>
    <row r="403" spans="1:21" ht="12.75">
      <c r="A403" s="44"/>
      <c r="B403" s="44"/>
      <c r="C403" s="44"/>
      <c r="D403" s="44"/>
      <c r="E403" s="44"/>
      <c r="F403" s="34"/>
      <c r="G403" s="34"/>
      <c r="H403" s="45"/>
      <c r="I403" s="44"/>
      <c r="J403" s="34"/>
      <c r="K403" s="44"/>
      <c r="L403" s="44"/>
      <c r="M403" s="44"/>
      <c r="N403" s="44"/>
      <c r="O403" s="44"/>
      <c r="P403" s="44"/>
      <c r="Q403" s="44"/>
      <c r="R403" s="44"/>
      <c r="S403" s="44"/>
      <c r="T403" s="44"/>
      <c r="U403" s="36"/>
    </row>
    <row r="404" spans="1:21" ht="12.75">
      <c r="A404" s="44"/>
      <c r="B404" s="44"/>
      <c r="C404" s="44"/>
      <c r="D404" s="44"/>
      <c r="E404" s="44"/>
      <c r="F404" s="34"/>
      <c r="G404" s="34"/>
      <c r="H404" s="45"/>
      <c r="I404" s="44"/>
      <c r="J404" s="34"/>
      <c r="K404" s="44"/>
      <c r="L404" s="44"/>
      <c r="M404" s="44"/>
      <c r="N404" s="44"/>
      <c r="O404" s="44"/>
      <c r="P404" s="44"/>
      <c r="Q404" s="44"/>
      <c r="R404" s="44"/>
      <c r="S404" s="44"/>
      <c r="T404" s="44"/>
      <c r="U404" s="36"/>
    </row>
    <row r="405" spans="1:21" ht="12.75">
      <c r="A405" s="44"/>
      <c r="B405" s="44"/>
      <c r="C405" s="44"/>
      <c r="D405" s="44"/>
      <c r="E405" s="44"/>
      <c r="F405" s="34"/>
      <c r="G405" s="34"/>
      <c r="H405" s="45"/>
      <c r="I405" s="44"/>
      <c r="J405" s="34"/>
      <c r="K405" s="44"/>
      <c r="L405" s="44"/>
      <c r="M405" s="44"/>
      <c r="N405" s="44"/>
      <c r="O405" s="44"/>
      <c r="P405" s="44"/>
      <c r="Q405" s="44"/>
      <c r="R405" s="44"/>
      <c r="S405" s="44"/>
      <c r="T405" s="44"/>
      <c r="U405" s="36"/>
    </row>
    <row r="406" spans="1:21" ht="12.75">
      <c r="A406" s="44"/>
      <c r="B406" s="44"/>
      <c r="C406" s="44"/>
      <c r="D406" s="44"/>
      <c r="E406" s="44"/>
      <c r="F406" s="34"/>
      <c r="G406" s="34"/>
      <c r="H406" s="45"/>
      <c r="I406" s="44"/>
      <c r="J406" s="34"/>
      <c r="K406" s="44"/>
      <c r="L406" s="44"/>
      <c r="M406" s="44"/>
      <c r="N406" s="44"/>
      <c r="O406" s="44"/>
      <c r="P406" s="44"/>
      <c r="Q406" s="44"/>
      <c r="R406" s="44"/>
      <c r="S406" s="44"/>
      <c r="T406" s="44"/>
      <c r="U406" s="36"/>
    </row>
    <row r="407" spans="1:21" ht="12.75">
      <c r="A407" s="44"/>
      <c r="B407" s="44"/>
      <c r="C407" s="44"/>
      <c r="D407" s="44"/>
      <c r="E407" s="44"/>
      <c r="F407" s="34"/>
      <c r="G407" s="34"/>
      <c r="H407" s="45"/>
      <c r="I407" s="44"/>
      <c r="J407" s="34"/>
      <c r="K407" s="44"/>
      <c r="L407" s="44"/>
      <c r="M407" s="44"/>
      <c r="N407" s="44"/>
      <c r="O407" s="44"/>
      <c r="P407" s="44"/>
      <c r="Q407" s="44"/>
      <c r="R407" s="44"/>
      <c r="S407" s="44"/>
      <c r="T407" s="44"/>
      <c r="U407" s="36"/>
    </row>
    <row r="408" spans="1:21" ht="12.75">
      <c r="A408" s="44"/>
      <c r="B408" s="44"/>
      <c r="C408" s="44"/>
      <c r="D408" s="44"/>
      <c r="E408" s="44"/>
      <c r="F408" s="34"/>
      <c r="G408" s="34"/>
      <c r="H408" s="45"/>
      <c r="I408" s="44"/>
      <c r="J408" s="34"/>
      <c r="K408" s="44"/>
      <c r="L408" s="44"/>
      <c r="M408" s="44"/>
      <c r="N408" s="44"/>
      <c r="O408" s="44"/>
      <c r="P408" s="44"/>
      <c r="Q408" s="44"/>
      <c r="R408" s="44"/>
      <c r="S408" s="44"/>
      <c r="T408" s="44"/>
      <c r="U408" s="36"/>
    </row>
    <row r="409" spans="1:21" ht="12.75">
      <c r="A409" s="44"/>
      <c r="B409" s="44"/>
      <c r="C409" s="44"/>
      <c r="D409" s="44"/>
      <c r="E409" s="44"/>
      <c r="F409" s="34"/>
      <c r="G409" s="34"/>
      <c r="H409" s="45"/>
      <c r="I409" s="44"/>
      <c r="J409" s="34"/>
      <c r="K409" s="44"/>
      <c r="L409" s="44"/>
      <c r="M409" s="44"/>
      <c r="N409" s="44"/>
      <c r="O409" s="44"/>
      <c r="P409" s="44"/>
      <c r="Q409" s="44"/>
      <c r="R409" s="44"/>
      <c r="S409" s="44"/>
      <c r="T409" s="44"/>
      <c r="U409" s="36"/>
    </row>
    <row r="410" spans="1:21" ht="12.75">
      <c r="A410" s="44"/>
      <c r="B410" s="44"/>
      <c r="C410" s="44"/>
      <c r="D410" s="44"/>
      <c r="E410" s="44"/>
      <c r="F410" s="34"/>
      <c r="G410" s="34"/>
      <c r="H410" s="45"/>
      <c r="I410" s="44"/>
      <c r="J410" s="34"/>
      <c r="K410" s="44"/>
      <c r="L410" s="44"/>
      <c r="M410" s="44"/>
      <c r="N410" s="44"/>
      <c r="O410" s="44"/>
      <c r="P410" s="44"/>
      <c r="Q410" s="44"/>
      <c r="R410" s="44"/>
      <c r="S410" s="44"/>
      <c r="T410" s="44"/>
      <c r="U410" s="36"/>
    </row>
    <row r="411" spans="1:21" ht="12.75">
      <c r="A411" s="44"/>
      <c r="B411" s="44"/>
      <c r="C411" s="44"/>
      <c r="D411" s="44"/>
      <c r="E411" s="44"/>
      <c r="F411" s="34"/>
      <c r="G411" s="34"/>
      <c r="H411" s="45"/>
      <c r="I411" s="44"/>
      <c r="J411" s="34"/>
      <c r="K411" s="44"/>
      <c r="L411" s="44"/>
      <c r="M411" s="44"/>
      <c r="N411" s="44"/>
      <c r="O411" s="44"/>
      <c r="P411" s="44"/>
      <c r="Q411" s="44"/>
      <c r="R411" s="44"/>
      <c r="S411" s="44"/>
      <c r="T411" s="44"/>
      <c r="U411" s="36"/>
    </row>
    <row r="412" spans="1:21" ht="12.75">
      <c r="A412" s="44"/>
      <c r="B412" s="44"/>
      <c r="C412" s="44"/>
      <c r="D412" s="44"/>
      <c r="E412" s="44"/>
      <c r="F412" s="34"/>
      <c r="G412" s="34"/>
      <c r="H412" s="45"/>
      <c r="I412" s="44"/>
      <c r="J412" s="34"/>
      <c r="K412" s="44"/>
      <c r="L412" s="44"/>
      <c r="M412" s="44"/>
      <c r="N412" s="44"/>
      <c r="O412" s="44"/>
      <c r="P412" s="44"/>
      <c r="Q412" s="44"/>
      <c r="R412" s="44"/>
      <c r="S412" s="44"/>
      <c r="T412" s="44"/>
      <c r="U412" s="36"/>
    </row>
    <row r="413" spans="1:21" ht="12.75">
      <c r="A413" s="44"/>
      <c r="B413" s="44"/>
      <c r="C413" s="44"/>
      <c r="D413" s="44"/>
      <c r="E413" s="44"/>
      <c r="F413" s="34"/>
      <c r="G413" s="34"/>
      <c r="H413" s="45"/>
      <c r="I413" s="44"/>
      <c r="J413" s="34"/>
      <c r="K413" s="44"/>
      <c r="L413" s="44"/>
      <c r="M413" s="44"/>
      <c r="N413" s="44"/>
      <c r="O413" s="44"/>
      <c r="P413" s="44"/>
      <c r="Q413" s="44"/>
      <c r="R413" s="44"/>
      <c r="S413" s="44"/>
      <c r="T413" s="44"/>
      <c r="U413" s="36"/>
    </row>
    <row r="414" spans="1:21" ht="12.75">
      <c r="A414" s="44"/>
      <c r="B414" s="44"/>
      <c r="C414" s="44"/>
      <c r="D414" s="44"/>
      <c r="E414" s="44"/>
      <c r="F414" s="34"/>
      <c r="G414" s="34"/>
      <c r="H414" s="45"/>
      <c r="I414" s="44"/>
      <c r="J414" s="34"/>
      <c r="K414" s="44"/>
      <c r="L414" s="44"/>
      <c r="M414" s="44"/>
      <c r="N414" s="44"/>
      <c r="O414" s="44"/>
      <c r="P414" s="44"/>
      <c r="Q414" s="44"/>
      <c r="R414" s="44"/>
      <c r="S414" s="44"/>
      <c r="T414" s="44"/>
      <c r="U414" s="36"/>
    </row>
    <row r="415" spans="1:21" ht="12.75">
      <c r="A415" s="44"/>
      <c r="B415" s="44"/>
      <c r="C415" s="44"/>
      <c r="D415" s="44"/>
      <c r="E415" s="44"/>
      <c r="F415" s="34"/>
      <c r="G415" s="34"/>
      <c r="H415" s="45"/>
      <c r="I415" s="44"/>
      <c r="J415" s="34"/>
      <c r="K415" s="44"/>
      <c r="L415" s="44"/>
      <c r="M415" s="44"/>
      <c r="N415" s="44"/>
      <c r="O415" s="44"/>
      <c r="P415" s="44"/>
      <c r="Q415" s="44"/>
      <c r="R415" s="44"/>
      <c r="S415" s="44"/>
      <c r="T415" s="44"/>
      <c r="U415" s="36"/>
    </row>
    <row r="416" spans="1:21" ht="12.75">
      <c r="A416" s="44"/>
      <c r="B416" s="44"/>
      <c r="C416" s="44"/>
      <c r="D416" s="44"/>
      <c r="E416" s="44"/>
      <c r="F416" s="34"/>
      <c r="G416" s="34"/>
      <c r="H416" s="45"/>
      <c r="I416" s="44"/>
      <c r="J416" s="34"/>
      <c r="K416" s="44"/>
      <c r="L416" s="44"/>
      <c r="M416" s="44"/>
      <c r="N416" s="44"/>
      <c r="O416" s="44"/>
      <c r="P416" s="44"/>
      <c r="Q416" s="44"/>
      <c r="R416" s="44"/>
      <c r="S416" s="44"/>
      <c r="T416" s="44"/>
      <c r="U416" s="36"/>
    </row>
    <row r="417" spans="1:21" ht="12.75">
      <c r="A417" s="44"/>
      <c r="B417" s="44"/>
      <c r="C417" s="44"/>
      <c r="D417" s="44"/>
      <c r="E417" s="44"/>
      <c r="F417" s="34"/>
      <c r="G417" s="34"/>
      <c r="H417" s="45"/>
      <c r="I417" s="44"/>
      <c r="J417" s="34"/>
      <c r="K417" s="44"/>
      <c r="L417" s="44"/>
      <c r="M417" s="44"/>
      <c r="N417" s="44"/>
      <c r="O417" s="44"/>
      <c r="P417" s="44"/>
      <c r="Q417" s="44"/>
      <c r="R417" s="44"/>
      <c r="S417" s="44"/>
      <c r="T417" s="44"/>
      <c r="U417" s="36"/>
    </row>
    <row r="418" spans="1:21" ht="12.75">
      <c r="A418" s="44"/>
      <c r="B418" s="44"/>
      <c r="C418" s="44"/>
      <c r="D418" s="44"/>
      <c r="E418" s="44"/>
      <c r="F418" s="34"/>
      <c r="G418" s="34"/>
      <c r="H418" s="45"/>
      <c r="I418" s="44"/>
      <c r="J418" s="34"/>
      <c r="K418" s="44"/>
      <c r="L418" s="44"/>
      <c r="M418" s="44"/>
      <c r="N418" s="44"/>
      <c r="O418" s="44"/>
      <c r="P418" s="44"/>
      <c r="Q418" s="44"/>
      <c r="R418" s="44"/>
      <c r="S418" s="44"/>
      <c r="T418" s="44"/>
      <c r="U418" s="36"/>
    </row>
    <row r="419" spans="1:21" ht="12.75">
      <c r="A419" s="44"/>
      <c r="B419" s="44"/>
      <c r="C419" s="44"/>
      <c r="D419" s="44"/>
      <c r="E419" s="44"/>
      <c r="F419" s="34"/>
      <c r="G419" s="34"/>
      <c r="H419" s="45"/>
      <c r="I419" s="44"/>
      <c r="J419" s="34"/>
      <c r="K419" s="44"/>
      <c r="L419" s="44"/>
      <c r="M419" s="44"/>
      <c r="N419" s="44"/>
      <c r="O419" s="44"/>
      <c r="P419" s="44"/>
      <c r="Q419" s="44"/>
      <c r="R419" s="44"/>
      <c r="S419" s="44"/>
      <c r="T419" s="44"/>
      <c r="U419" s="36"/>
    </row>
    <row r="420" spans="1:21" ht="12.75">
      <c r="A420" s="44"/>
      <c r="B420" s="44"/>
      <c r="C420" s="44"/>
      <c r="D420" s="44"/>
      <c r="E420" s="44"/>
      <c r="F420" s="34"/>
      <c r="G420" s="34"/>
      <c r="H420" s="45"/>
      <c r="I420" s="44"/>
      <c r="J420" s="34"/>
      <c r="K420" s="44"/>
      <c r="L420" s="44"/>
      <c r="M420" s="44"/>
      <c r="N420" s="44"/>
      <c r="O420" s="44"/>
      <c r="P420" s="44"/>
      <c r="Q420" s="44"/>
      <c r="R420" s="44"/>
      <c r="S420" s="44"/>
      <c r="T420" s="44"/>
      <c r="U420" s="36"/>
    </row>
    <row r="421" spans="1:21" ht="12.75">
      <c r="A421" s="44"/>
      <c r="B421" s="44"/>
      <c r="C421" s="44"/>
      <c r="D421" s="44"/>
      <c r="E421" s="44"/>
      <c r="F421" s="34"/>
      <c r="G421" s="34"/>
      <c r="H421" s="45"/>
      <c r="I421" s="44"/>
      <c r="J421" s="34"/>
      <c r="K421" s="44"/>
      <c r="L421" s="44"/>
      <c r="M421" s="44"/>
      <c r="N421" s="44"/>
      <c r="O421" s="44"/>
      <c r="P421" s="44"/>
      <c r="Q421" s="44"/>
      <c r="R421" s="44"/>
      <c r="S421" s="44"/>
      <c r="T421" s="44"/>
      <c r="U421" s="36"/>
    </row>
    <row r="422" spans="1:21" ht="12.75">
      <c r="A422" s="44"/>
      <c r="B422" s="44"/>
      <c r="C422" s="44"/>
      <c r="D422" s="44"/>
      <c r="E422" s="44"/>
      <c r="F422" s="34"/>
      <c r="G422" s="34"/>
      <c r="H422" s="45"/>
      <c r="I422" s="44"/>
      <c r="J422" s="34"/>
      <c r="K422" s="44"/>
      <c r="L422" s="44"/>
      <c r="M422" s="44"/>
      <c r="N422" s="44"/>
      <c r="O422" s="44"/>
      <c r="P422" s="44"/>
      <c r="Q422" s="44"/>
      <c r="R422" s="44"/>
      <c r="S422" s="44"/>
      <c r="T422" s="44"/>
      <c r="U422" s="36"/>
    </row>
    <row r="423" spans="1:21" ht="12.75">
      <c r="A423" s="44"/>
      <c r="B423" s="44"/>
      <c r="C423" s="44"/>
      <c r="D423" s="44"/>
      <c r="E423" s="44"/>
      <c r="F423" s="34"/>
      <c r="G423" s="34"/>
      <c r="H423" s="45"/>
      <c r="I423" s="44"/>
      <c r="J423" s="34"/>
      <c r="K423" s="44"/>
      <c r="L423" s="44"/>
      <c r="M423" s="44"/>
      <c r="N423" s="44"/>
      <c r="O423" s="44"/>
      <c r="P423" s="44"/>
      <c r="Q423" s="44"/>
      <c r="R423" s="44"/>
      <c r="S423" s="44"/>
      <c r="T423" s="44"/>
      <c r="U423" s="36"/>
    </row>
    <row r="424" spans="1:21" ht="12.75">
      <c r="A424" s="44"/>
      <c r="B424" s="44"/>
      <c r="C424" s="44"/>
      <c r="D424" s="44"/>
      <c r="E424" s="44"/>
      <c r="F424" s="34"/>
      <c r="G424" s="34"/>
      <c r="H424" s="45"/>
      <c r="I424" s="44"/>
      <c r="J424" s="34"/>
      <c r="K424" s="44"/>
      <c r="L424" s="44"/>
      <c r="M424" s="44"/>
      <c r="N424" s="44"/>
      <c r="O424" s="44"/>
      <c r="P424" s="44"/>
      <c r="Q424" s="44"/>
      <c r="R424" s="44"/>
      <c r="S424" s="44"/>
      <c r="T424" s="44"/>
      <c r="U424" s="36"/>
    </row>
    <row r="425" spans="1:21" ht="12.75">
      <c r="A425" s="44"/>
      <c r="B425" s="44"/>
      <c r="C425" s="44"/>
      <c r="D425" s="44"/>
      <c r="E425" s="44"/>
      <c r="F425" s="34"/>
      <c r="G425" s="34"/>
      <c r="H425" s="45"/>
      <c r="I425" s="44"/>
      <c r="J425" s="34"/>
      <c r="K425" s="44"/>
      <c r="L425" s="44"/>
      <c r="M425" s="44"/>
      <c r="N425" s="44"/>
      <c r="O425" s="44"/>
      <c r="P425" s="44"/>
      <c r="Q425" s="44"/>
      <c r="R425" s="44"/>
      <c r="S425" s="44"/>
      <c r="T425" s="44"/>
      <c r="U425" s="36"/>
    </row>
    <row r="426" spans="1:21" ht="12.75">
      <c r="A426" s="44"/>
      <c r="B426" s="44"/>
      <c r="C426" s="44"/>
      <c r="D426" s="44"/>
      <c r="E426" s="44"/>
      <c r="F426" s="34"/>
      <c r="G426" s="34"/>
      <c r="H426" s="45"/>
      <c r="I426" s="44"/>
      <c r="J426" s="34"/>
      <c r="K426" s="44"/>
      <c r="L426" s="44"/>
      <c r="M426" s="44"/>
      <c r="N426" s="44"/>
      <c r="O426" s="44"/>
      <c r="P426" s="44"/>
      <c r="Q426" s="44"/>
      <c r="R426" s="44"/>
      <c r="S426" s="44"/>
      <c r="T426" s="44"/>
      <c r="U426" s="36"/>
    </row>
    <row r="427" spans="1:21" ht="12.75">
      <c r="A427" s="44"/>
      <c r="B427" s="44"/>
      <c r="C427" s="44"/>
      <c r="D427" s="44"/>
      <c r="E427" s="44"/>
      <c r="F427" s="34"/>
      <c r="G427" s="34"/>
      <c r="H427" s="45"/>
      <c r="I427" s="44"/>
      <c r="J427" s="34"/>
      <c r="K427" s="44"/>
      <c r="L427" s="44"/>
      <c r="M427" s="44"/>
      <c r="N427" s="44"/>
      <c r="O427" s="44"/>
      <c r="P427" s="44"/>
      <c r="Q427" s="44"/>
      <c r="R427" s="44"/>
      <c r="S427" s="44"/>
      <c r="T427" s="44"/>
      <c r="U427" s="36"/>
    </row>
    <row r="428" spans="1:21" ht="12.75">
      <c r="A428" s="44"/>
      <c r="B428" s="44"/>
      <c r="C428" s="44"/>
      <c r="D428" s="44"/>
      <c r="E428" s="44"/>
      <c r="F428" s="34"/>
      <c r="G428" s="34"/>
      <c r="H428" s="45"/>
      <c r="I428" s="44"/>
      <c r="J428" s="34"/>
      <c r="K428" s="44"/>
      <c r="L428" s="44"/>
      <c r="M428" s="44"/>
      <c r="N428" s="44"/>
      <c r="O428" s="44"/>
      <c r="P428" s="44"/>
      <c r="Q428" s="44"/>
      <c r="R428" s="44"/>
      <c r="S428" s="44"/>
      <c r="T428" s="44"/>
      <c r="U428" s="36"/>
    </row>
    <row r="429" spans="1:21" ht="12.75">
      <c r="A429" s="44"/>
      <c r="B429" s="44"/>
      <c r="C429" s="44"/>
      <c r="D429" s="44"/>
      <c r="E429" s="44"/>
      <c r="F429" s="34"/>
      <c r="G429" s="34"/>
      <c r="H429" s="45"/>
      <c r="I429" s="44"/>
      <c r="J429" s="34"/>
      <c r="K429" s="44"/>
      <c r="L429" s="44"/>
      <c r="M429" s="44"/>
      <c r="N429" s="44"/>
      <c r="O429" s="44"/>
      <c r="P429" s="44"/>
      <c r="Q429" s="44"/>
      <c r="R429" s="44"/>
      <c r="S429" s="44"/>
      <c r="T429" s="44"/>
      <c r="U429" s="36"/>
    </row>
    <row r="430" spans="1:21" ht="12.75">
      <c r="A430" s="44"/>
      <c r="B430" s="44"/>
      <c r="C430" s="44"/>
      <c r="D430" s="44"/>
      <c r="E430" s="44"/>
      <c r="F430" s="34"/>
      <c r="G430" s="34"/>
      <c r="H430" s="45"/>
      <c r="I430" s="44"/>
      <c r="J430" s="34"/>
      <c r="K430" s="44"/>
      <c r="L430" s="44"/>
      <c r="M430" s="44"/>
      <c r="N430" s="44"/>
      <c r="O430" s="44"/>
      <c r="P430" s="44"/>
      <c r="Q430" s="44"/>
      <c r="R430" s="44"/>
      <c r="S430" s="44"/>
      <c r="T430" s="44"/>
      <c r="U430" s="36"/>
    </row>
    <row r="431" spans="1:21" ht="12.75">
      <c r="A431" s="44"/>
      <c r="B431" s="44"/>
      <c r="C431" s="44"/>
      <c r="D431" s="44"/>
      <c r="E431" s="44"/>
      <c r="F431" s="34"/>
      <c r="G431" s="34"/>
      <c r="H431" s="45"/>
      <c r="I431" s="44"/>
      <c r="J431" s="34"/>
      <c r="K431" s="44"/>
      <c r="L431" s="44"/>
      <c r="M431" s="44"/>
      <c r="N431" s="44"/>
      <c r="O431" s="44"/>
      <c r="P431" s="44"/>
      <c r="Q431" s="44"/>
      <c r="R431" s="44"/>
      <c r="S431" s="44"/>
      <c r="T431" s="44"/>
      <c r="U431" s="36"/>
    </row>
    <row r="432" spans="1:21" ht="12.75">
      <c r="A432" s="44"/>
      <c r="B432" s="44"/>
      <c r="C432" s="44"/>
      <c r="D432" s="44"/>
      <c r="E432" s="44"/>
      <c r="F432" s="34"/>
      <c r="G432" s="34"/>
      <c r="H432" s="45"/>
      <c r="I432" s="44"/>
      <c r="J432" s="34"/>
      <c r="K432" s="44"/>
      <c r="L432" s="44"/>
      <c r="M432" s="44"/>
      <c r="N432" s="44"/>
      <c r="O432" s="44"/>
      <c r="P432" s="44"/>
      <c r="Q432" s="44"/>
      <c r="R432" s="44"/>
      <c r="S432" s="44"/>
      <c r="T432" s="44"/>
      <c r="U432" s="36"/>
    </row>
    <row r="433" spans="1:21" ht="12.75">
      <c r="A433" s="44"/>
      <c r="B433" s="44"/>
      <c r="C433" s="44"/>
      <c r="D433" s="44"/>
      <c r="E433" s="44"/>
      <c r="F433" s="34"/>
      <c r="G433" s="34"/>
      <c r="H433" s="45"/>
      <c r="I433" s="44"/>
      <c r="J433" s="34"/>
      <c r="K433" s="44"/>
      <c r="L433" s="44"/>
      <c r="M433" s="44"/>
      <c r="N433" s="44"/>
      <c r="O433" s="44"/>
      <c r="P433" s="44"/>
      <c r="Q433" s="44"/>
      <c r="R433" s="44"/>
      <c r="S433" s="44"/>
      <c r="T433" s="44"/>
      <c r="U433" s="36"/>
    </row>
    <row r="434" spans="1:21" ht="12.75">
      <c r="A434" s="44"/>
      <c r="B434" s="44"/>
      <c r="C434" s="44"/>
      <c r="D434" s="44"/>
      <c r="E434" s="44"/>
      <c r="F434" s="34"/>
      <c r="G434" s="34"/>
      <c r="H434" s="45"/>
      <c r="I434" s="44"/>
      <c r="J434" s="34"/>
      <c r="K434" s="44"/>
      <c r="L434" s="44"/>
      <c r="M434" s="44"/>
      <c r="N434" s="44"/>
      <c r="O434" s="44"/>
      <c r="P434" s="44"/>
      <c r="Q434" s="44"/>
      <c r="R434" s="44"/>
      <c r="S434" s="44"/>
      <c r="T434" s="44"/>
      <c r="U434" s="36"/>
    </row>
    <row r="435" spans="1:21" ht="12.75">
      <c r="A435" s="44"/>
      <c r="B435" s="44"/>
      <c r="C435" s="44"/>
      <c r="D435" s="44"/>
      <c r="E435" s="44"/>
      <c r="F435" s="34"/>
      <c r="G435" s="34"/>
      <c r="H435" s="45"/>
      <c r="I435" s="44"/>
      <c r="J435" s="34"/>
      <c r="K435" s="44"/>
      <c r="L435" s="44"/>
      <c r="M435" s="44"/>
      <c r="N435" s="44"/>
      <c r="O435" s="44"/>
      <c r="P435" s="44"/>
      <c r="Q435" s="44"/>
      <c r="R435" s="44"/>
      <c r="S435" s="44"/>
      <c r="T435" s="44"/>
      <c r="U435" s="36"/>
    </row>
    <row r="436" spans="1:21" ht="12.75">
      <c r="A436" s="44"/>
      <c r="B436" s="44"/>
      <c r="C436" s="44"/>
      <c r="D436" s="44"/>
      <c r="E436" s="44"/>
      <c r="F436" s="34"/>
      <c r="G436" s="34"/>
      <c r="H436" s="45"/>
      <c r="I436" s="44"/>
      <c r="J436" s="34"/>
      <c r="K436" s="44"/>
      <c r="L436" s="44"/>
      <c r="M436" s="44"/>
      <c r="N436" s="44"/>
      <c r="O436" s="44"/>
      <c r="P436" s="44"/>
      <c r="Q436" s="44"/>
      <c r="R436" s="44"/>
      <c r="S436" s="44"/>
      <c r="T436" s="44"/>
      <c r="U436" s="36"/>
    </row>
    <row r="437" spans="1:21" ht="12.75">
      <c r="A437" s="44"/>
      <c r="B437" s="44"/>
      <c r="C437" s="44"/>
      <c r="D437" s="44"/>
      <c r="E437" s="44"/>
      <c r="F437" s="34"/>
      <c r="G437" s="34"/>
      <c r="H437" s="45"/>
      <c r="I437" s="44"/>
      <c r="J437" s="34"/>
      <c r="K437" s="44"/>
      <c r="L437" s="44"/>
      <c r="M437" s="44"/>
      <c r="N437" s="44"/>
      <c r="O437" s="44"/>
      <c r="P437" s="44"/>
      <c r="Q437" s="44"/>
      <c r="R437" s="44"/>
      <c r="S437" s="44"/>
      <c r="T437" s="44"/>
      <c r="U437" s="36"/>
    </row>
    <row r="438" spans="1:21" ht="12.75">
      <c r="A438" s="44"/>
      <c r="B438" s="44"/>
      <c r="C438" s="44"/>
      <c r="D438" s="44"/>
      <c r="E438" s="44"/>
      <c r="F438" s="34"/>
      <c r="G438" s="34"/>
      <c r="H438" s="45"/>
      <c r="I438" s="44"/>
      <c r="J438" s="34"/>
      <c r="K438" s="44"/>
      <c r="L438" s="44"/>
      <c r="M438" s="44"/>
      <c r="N438" s="44"/>
      <c r="O438" s="44"/>
      <c r="P438" s="44"/>
      <c r="Q438" s="44"/>
      <c r="R438" s="44"/>
      <c r="S438" s="44"/>
      <c r="T438" s="44"/>
      <c r="U438" s="36"/>
    </row>
    <row r="439" spans="1:21" ht="12.75">
      <c r="A439" s="44"/>
      <c r="B439" s="44"/>
      <c r="C439" s="44"/>
      <c r="D439" s="44"/>
      <c r="E439" s="44"/>
      <c r="F439" s="34"/>
      <c r="G439" s="34"/>
      <c r="H439" s="45"/>
      <c r="I439" s="44"/>
      <c r="J439" s="34"/>
      <c r="K439" s="44"/>
      <c r="L439" s="44"/>
      <c r="M439" s="44"/>
      <c r="N439" s="44"/>
      <c r="O439" s="44"/>
      <c r="P439" s="44"/>
      <c r="Q439" s="44"/>
      <c r="R439" s="44"/>
      <c r="S439" s="44"/>
      <c r="T439" s="44"/>
      <c r="U439" s="36"/>
    </row>
    <row r="440" spans="1:21" ht="12.75">
      <c r="A440" s="44"/>
      <c r="B440" s="44"/>
      <c r="C440" s="44"/>
      <c r="D440" s="44"/>
      <c r="E440" s="44"/>
      <c r="F440" s="34"/>
      <c r="G440" s="34"/>
      <c r="H440" s="45"/>
      <c r="I440" s="44"/>
      <c r="J440" s="34"/>
      <c r="K440" s="44"/>
      <c r="L440" s="44"/>
      <c r="M440" s="44"/>
      <c r="N440" s="44"/>
      <c r="O440" s="44"/>
      <c r="P440" s="44"/>
      <c r="Q440" s="44"/>
      <c r="R440" s="44"/>
      <c r="S440" s="44"/>
      <c r="T440" s="44"/>
      <c r="U440" s="36"/>
    </row>
    <row r="441" spans="1:21" ht="12.75">
      <c r="A441" s="44"/>
      <c r="B441" s="44"/>
      <c r="C441" s="44"/>
      <c r="D441" s="44"/>
      <c r="E441" s="44"/>
      <c r="F441" s="34"/>
      <c r="G441" s="34"/>
      <c r="H441" s="45"/>
      <c r="I441" s="44"/>
      <c r="J441" s="34"/>
      <c r="K441" s="44"/>
      <c r="L441" s="44"/>
      <c r="M441" s="44"/>
      <c r="N441" s="44"/>
      <c r="O441" s="44"/>
      <c r="P441" s="44"/>
      <c r="Q441" s="44"/>
      <c r="R441" s="44"/>
      <c r="S441" s="44"/>
      <c r="T441" s="44"/>
      <c r="U441" s="36"/>
    </row>
    <row r="442" spans="1:21" ht="12.75">
      <c r="A442" s="44"/>
      <c r="B442" s="44"/>
      <c r="C442" s="44"/>
      <c r="D442" s="44"/>
      <c r="E442" s="44"/>
      <c r="F442" s="34"/>
      <c r="G442" s="34"/>
      <c r="H442" s="45"/>
      <c r="I442" s="44"/>
      <c r="J442" s="34"/>
      <c r="K442" s="44"/>
      <c r="L442" s="44"/>
      <c r="M442" s="44"/>
      <c r="N442" s="44"/>
      <c r="O442" s="44"/>
      <c r="P442" s="44"/>
      <c r="Q442" s="44"/>
      <c r="R442" s="44"/>
      <c r="S442" s="44"/>
      <c r="T442" s="44"/>
      <c r="U442" s="36"/>
    </row>
    <row r="443" spans="1:21" ht="12.75">
      <c r="A443" s="44"/>
      <c r="B443" s="44"/>
      <c r="C443" s="44"/>
      <c r="D443" s="44"/>
      <c r="E443" s="44"/>
      <c r="F443" s="34"/>
      <c r="G443" s="34"/>
      <c r="H443" s="45"/>
      <c r="I443" s="44"/>
      <c r="J443" s="34"/>
      <c r="K443" s="44"/>
      <c r="L443" s="44"/>
      <c r="M443" s="44"/>
      <c r="N443" s="44"/>
      <c r="O443" s="44"/>
      <c r="P443" s="44"/>
      <c r="Q443" s="44"/>
      <c r="R443" s="44"/>
      <c r="S443" s="44"/>
      <c r="T443" s="44"/>
      <c r="U443" s="36"/>
    </row>
    <row r="444" spans="1:21" ht="12.75">
      <c r="A444" s="44"/>
      <c r="B444" s="44"/>
      <c r="C444" s="44"/>
      <c r="D444" s="44"/>
      <c r="E444" s="44"/>
      <c r="F444" s="34"/>
      <c r="G444" s="34"/>
      <c r="H444" s="45"/>
      <c r="I444" s="44"/>
      <c r="J444" s="34"/>
      <c r="K444" s="44"/>
      <c r="L444" s="44"/>
      <c r="M444" s="44"/>
      <c r="N444" s="44"/>
      <c r="O444" s="44"/>
      <c r="P444" s="44"/>
      <c r="Q444" s="44"/>
      <c r="R444" s="44"/>
      <c r="S444" s="44"/>
      <c r="T444" s="44"/>
      <c r="U444" s="36"/>
    </row>
    <row r="445" spans="1:21" ht="12.75">
      <c r="A445" s="44"/>
      <c r="B445" s="44"/>
      <c r="C445" s="44"/>
      <c r="D445" s="44"/>
      <c r="E445" s="44"/>
      <c r="F445" s="34"/>
      <c r="G445" s="34"/>
      <c r="H445" s="45"/>
      <c r="I445" s="44"/>
      <c r="J445" s="34"/>
      <c r="K445" s="44"/>
      <c r="L445" s="44"/>
      <c r="M445" s="44"/>
      <c r="N445" s="44"/>
      <c r="O445" s="44"/>
      <c r="P445" s="44"/>
      <c r="Q445" s="44"/>
      <c r="R445" s="44"/>
      <c r="S445" s="44"/>
      <c r="T445" s="44"/>
      <c r="U445" s="36"/>
    </row>
    <row r="446" spans="1:21" ht="12.75">
      <c r="A446" s="44"/>
      <c r="B446" s="44"/>
      <c r="C446" s="44"/>
      <c r="D446" s="44"/>
      <c r="E446" s="44"/>
      <c r="F446" s="34"/>
      <c r="G446" s="34"/>
      <c r="H446" s="45"/>
      <c r="I446" s="44"/>
      <c r="J446" s="34"/>
      <c r="K446" s="44"/>
      <c r="L446" s="44"/>
      <c r="M446" s="44"/>
      <c r="N446" s="44"/>
      <c r="O446" s="44"/>
      <c r="P446" s="44"/>
      <c r="Q446" s="44"/>
      <c r="R446" s="44"/>
      <c r="S446" s="44"/>
      <c r="T446" s="44"/>
      <c r="U446" s="36"/>
    </row>
    <row r="447" spans="1:21" ht="12.75">
      <c r="A447" s="44"/>
      <c r="B447" s="44"/>
      <c r="C447" s="44"/>
      <c r="D447" s="44"/>
      <c r="E447" s="44"/>
      <c r="F447" s="34"/>
      <c r="G447" s="34"/>
      <c r="H447" s="45"/>
      <c r="I447" s="44"/>
      <c r="J447" s="34"/>
      <c r="K447" s="44"/>
      <c r="L447" s="44"/>
      <c r="M447" s="44"/>
      <c r="N447" s="44"/>
      <c r="O447" s="44"/>
      <c r="P447" s="44"/>
      <c r="Q447" s="44"/>
      <c r="R447" s="44"/>
      <c r="S447" s="44"/>
      <c r="T447" s="44"/>
      <c r="U447" s="36"/>
    </row>
    <row r="448" spans="1:21" ht="12.75">
      <c r="A448" s="44"/>
      <c r="B448" s="44"/>
      <c r="C448" s="44"/>
      <c r="D448" s="44"/>
      <c r="E448" s="44"/>
      <c r="F448" s="34"/>
      <c r="G448" s="34"/>
      <c r="H448" s="45"/>
      <c r="I448" s="44"/>
      <c r="J448" s="34"/>
      <c r="K448" s="44"/>
      <c r="L448" s="44"/>
      <c r="M448" s="44"/>
      <c r="N448" s="44"/>
      <c r="O448" s="44"/>
      <c r="P448" s="44"/>
      <c r="Q448" s="44"/>
      <c r="R448" s="44"/>
      <c r="S448" s="44"/>
      <c r="T448" s="44"/>
      <c r="U448" s="36"/>
    </row>
    <row r="449" spans="1:21" ht="12.75">
      <c r="A449" s="44"/>
      <c r="B449" s="44"/>
      <c r="C449" s="44"/>
      <c r="D449" s="44"/>
      <c r="E449" s="44"/>
      <c r="F449" s="34"/>
      <c r="G449" s="34"/>
      <c r="H449" s="45"/>
      <c r="I449" s="44"/>
      <c r="J449" s="34"/>
      <c r="K449" s="44"/>
      <c r="L449" s="44"/>
      <c r="M449" s="44"/>
      <c r="N449" s="44"/>
      <c r="O449" s="44"/>
      <c r="P449" s="44"/>
      <c r="Q449" s="44"/>
      <c r="R449" s="44"/>
      <c r="S449" s="44"/>
      <c r="T449" s="44"/>
      <c r="U449" s="36"/>
    </row>
    <row r="450" spans="1:21" ht="12.75">
      <c r="A450" s="44"/>
      <c r="B450" s="44"/>
      <c r="C450" s="44"/>
      <c r="D450" s="44"/>
      <c r="E450" s="44"/>
      <c r="F450" s="34"/>
      <c r="G450" s="34"/>
      <c r="H450" s="45"/>
      <c r="I450" s="44"/>
      <c r="J450" s="34"/>
      <c r="K450" s="44"/>
      <c r="L450" s="44"/>
      <c r="M450" s="44"/>
      <c r="N450" s="44"/>
      <c r="O450" s="44"/>
      <c r="P450" s="44"/>
      <c r="Q450" s="44"/>
      <c r="R450" s="44"/>
      <c r="S450" s="44"/>
      <c r="T450" s="44"/>
      <c r="U450" s="36"/>
    </row>
    <row r="451" spans="1:21" ht="12.75">
      <c r="A451" s="44"/>
      <c r="B451" s="44"/>
      <c r="C451" s="44"/>
      <c r="D451" s="44"/>
      <c r="E451" s="44"/>
      <c r="F451" s="34"/>
      <c r="G451" s="34"/>
      <c r="H451" s="45"/>
      <c r="I451" s="44"/>
      <c r="J451" s="34"/>
      <c r="K451" s="44"/>
      <c r="L451" s="44"/>
      <c r="M451" s="44"/>
      <c r="N451" s="44"/>
      <c r="O451" s="44"/>
      <c r="P451" s="44"/>
      <c r="Q451" s="44"/>
      <c r="R451" s="44"/>
      <c r="S451" s="44"/>
      <c r="T451" s="44"/>
      <c r="U451" s="36"/>
    </row>
    <row r="452" spans="1:21" ht="12.75">
      <c r="A452" s="44"/>
      <c r="B452" s="44"/>
      <c r="C452" s="44"/>
      <c r="D452" s="44"/>
      <c r="E452" s="44"/>
      <c r="F452" s="34"/>
      <c r="G452" s="34"/>
      <c r="H452" s="45"/>
      <c r="I452" s="44"/>
      <c r="J452" s="34"/>
      <c r="K452" s="44"/>
      <c r="L452" s="44"/>
      <c r="M452" s="44"/>
      <c r="N452" s="44"/>
      <c r="O452" s="44"/>
      <c r="P452" s="44"/>
      <c r="Q452" s="44"/>
      <c r="R452" s="44"/>
      <c r="S452" s="44"/>
      <c r="T452" s="44"/>
      <c r="U452" s="36"/>
    </row>
    <row r="453" spans="1:21" ht="12.75">
      <c r="A453" s="44"/>
      <c r="B453" s="44"/>
      <c r="C453" s="44"/>
      <c r="D453" s="44"/>
      <c r="E453" s="44"/>
      <c r="F453" s="34"/>
      <c r="G453" s="34"/>
      <c r="H453" s="45"/>
      <c r="I453" s="44"/>
      <c r="J453" s="34"/>
      <c r="K453" s="44"/>
      <c r="L453" s="44"/>
      <c r="M453" s="44"/>
      <c r="N453" s="44"/>
      <c r="O453" s="44"/>
      <c r="P453" s="44"/>
      <c r="Q453" s="44"/>
      <c r="R453" s="44"/>
      <c r="S453" s="44"/>
      <c r="T453" s="44"/>
      <c r="U453" s="36"/>
    </row>
    <row r="454" spans="1:21" ht="12.75">
      <c r="A454" s="44"/>
      <c r="B454" s="44"/>
      <c r="C454" s="44"/>
      <c r="D454" s="44"/>
      <c r="E454" s="44"/>
      <c r="F454" s="34"/>
      <c r="G454" s="34"/>
      <c r="H454" s="45"/>
      <c r="I454" s="44"/>
      <c r="J454" s="34"/>
      <c r="K454" s="44"/>
      <c r="L454" s="44"/>
      <c r="M454" s="44"/>
      <c r="N454" s="44"/>
      <c r="O454" s="44"/>
      <c r="P454" s="44"/>
      <c r="Q454" s="44"/>
      <c r="R454" s="44"/>
      <c r="S454" s="44"/>
      <c r="T454" s="44"/>
      <c r="U454" s="36"/>
    </row>
    <row r="455" spans="1:21" ht="12.75">
      <c r="A455" s="44"/>
      <c r="B455" s="44"/>
      <c r="C455" s="44"/>
      <c r="D455" s="44"/>
      <c r="E455" s="44"/>
      <c r="F455" s="34"/>
      <c r="G455" s="34"/>
      <c r="H455" s="45"/>
      <c r="I455" s="44"/>
      <c r="J455" s="34"/>
      <c r="K455" s="44"/>
      <c r="L455" s="44"/>
      <c r="M455" s="44"/>
      <c r="N455" s="44"/>
      <c r="O455" s="44"/>
      <c r="P455" s="44"/>
      <c r="Q455" s="44"/>
      <c r="R455" s="44"/>
      <c r="S455" s="44"/>
      <c r="T455" s="44"/>
      <c r="U455" s="36"/>
    </row>
    <row r="456" spans="1:21" ht="12.75">
      <c r="A456" s="44"/>
      <c r="B456" s="44"/>
      <c r="C456" s="44"/>
      <c r="D456" s="44"/>
      <c r="E456" s="44"/>
      <c r="F456" s="34"/>
      <c r="G456" s="34"/>
      <c r="H456" s="45"/>
      <c r="I456" s="44"/>
      <c r="J456" s="34"/>
      <c r="K456" s="44"/>
      <c r="L456" s="44"/>
      <c r="M456" s="44"/>
      <c r="N456" s="44"/>
      <c r="O456" s="44"/>
      <c r="P456" s="44"/>
      <c r="Q456" s="44"/>
      <c r="R456" s="44"/>
      <c r="S456" s="44"/>
      <c r="T456" s="44"/>
      <c r="U456" s="36"/>
    </row>
    <row r="457" spans="1:21" ht="12.75">
      <c r="A457" s="44"/>
      <c r="B457" s="44"/>
      <c r="C457" s="44"/>
      <c r="D457" s="44"/>
      <c r="E457" s="44"/>
      <c r="F457" s="34"/>
      <c r="G457" s="34"/>
      <c r="H457" s="45"/>
      <c r="I457" s="44"/>
      <c r="J457" s="34"/>
      <c r="K457" s="44"/>
      <c r="L457" s="44"/>
      <c r="M457" s="44"/>
      <c r="N457" s="44"/>
      <c r="O457" s="44"/>
      <c r="P457" s="44"/>
      <c r="Q457" s="44"/>
      <c r="R457" s="44"/>
      <c r="S457" s="44"/>
      <c r="T457" s="44"/>
      <c r="U457" s="36"/>
    </row>
    <row r="458" spans="1:21" ht="12.75">
      <c r="A458" s="44"/>
      <c r="B458" s="44"/>
      <c r="C458" s="44"/>
      <c r="D458" s="44"/>
      <c r="E458" s="44"/>
      <c r="F458" s="34"/>
      <c r="G458" s="34"/>
      <c r="H458" s="45"/>
      <c r="I458" s="44"/>
      <c r="J458" s="34"/>
      <c r="K458" s="44"/>
      <c r="L458" s="44"/>
      <c r="M458" s="44"/>
      <c r="N458" s="44"/>
      <c r="O458" s="44"/>
      <c r="P458" s="44"/>
      <c r="Q458" s="44"/>
      <c r="R458" s="44"/>
      <c r="S458" s="44"/>
      <c r="T458" s="44"/>
      <c r="U458" s="36"/>
    </row>
    <row r="459" spans="1:21" ht="12.75">
      <c r="A459" s="44"/>
      <c r="B459" s="44"/>
      <c r="C459" s="44"/>
      <c r="D459" s="44"/>
      <c r="E459" s="44"/>
      <c r="F459" s="34"/>
      <c r="G459" s="34"/>
      <c r="H459" s="45"/>
      <c r="I459" s="44"/>
      <c r="J459" s="34"/>
      <c r="K459" s="44"/>
      <c r="L459" s="44"/>
      <c r="M459" s="44"/>
      <c r="N459" s="44"/>
      <c r="O459" s="44"/>
      <c r="P459" s="44"/>
      <c r="Q459" s="44"/>
      <c r="R459" s="44"/>
      <c r="S459" s="44"/>
      <c r="T459" s="44"/>
      <c r="U459" s="36"/>
    </row>
    <row r="460" spans="1:21" ht="12.75">
      <c r="A460" s="44"/>
      <c r="B460" s="44"/>
      <c r="C460" s="44"/>
      <c r="D460" s="44"/>
      <c r="E460" s="44"/>
      <c r="F460" s="34"/>
      <c r="G460" s="34"/>
      <c r="H460" s="45"/>
      <c r="I460" s="44"/>
      <c r="J460" s="34"/>
      <c r="K460" s="44"/>
      <c r="L460" s="44"/>
      <c r="M460" s="44"/>
      <c r="N460" s="44"/>
      <c r="O460" s="44"/>
      <c r="P460" s="44"/>
      <c r="Q460" s="44"/>
      <c r="R460" s="44"/>
      <c r="S460" s="44"/>
      <c r="T460" s="44"/>
      <c r="U460" s="36"/>
    </row>
    <row r="461" spans="1:21" ht="12.75">
      <c r="A461" s="44"/>
      <c r="B461" s="44"/>
      <c r="C461" s="44"/>
      <c r="D461" s="44"/>
      <c r="E461" s="44"/>
      <c r="F461" s="34"/>
      <c r="G461" s="34"/>
      <c r="H461" s="45"/>
      <c r="I461" s="44"/>
      <c r="J461" s="34"/>
      <c r="K461" s="44"/>
      <c r="L461" s="44"/>
      <c r="M461" s="44"/>
      <c r="N461" s="44"/>
      <c r="O461" s="44"/>
      <c r="P461" s="44"/>
      <c r="Q461" s="44"/>
      <c r="R461" s="44"/>
      <c r="S461" s="44"/>
      <c r="T461" s="44"/>
      <c r="U461" s="36"/>
    </row>
    <row r="462" spans="1:21" ht="12.75">
      <c r="A462" s="44"/>
      <c r="B462" s="44"/>
      <c r="C462" s="44"/>
      <c r="D462" s="44"/>
      <c r="E462" s="44"/>
      <c r="F462" s="34"/>
      <c r="G462" s="34"/>
      <c r="H462" s="45"/>
      <c r="I462" s="44"/>
      <c r="J462" s="34"/>
      <c r="K462" s="44"/>
      <c r="L462" s="44"/>
      <c r="M462" s="44"/>
      <c r="N462" s="44"/>
      <c r="O462" s="44"/>
      <c r="P462" s="44"/>
      <c r="Q462" s="44"/>
      <c r="R462" s="44"/>
      <c r="S462" s="44"/>
      <c r="T462" s="44"/>
      <c r="U462" s="36"/>
    </row>
    <row r="463" spans="1:21" ht="12.75">
      <c r="A463" s="44"/>
      <c r="B463" s="44"/>
      <c r="C463" s="44"/>
      <c r="D463" s="44"/>
      <c r="E463" s="44"/>
      <c r="F463" s="34"/>
      <c r="G463" s="34"/>
      <c r="H463" s="45"/>
      <c r="I463" s="44"/>
      <c r="J463" s="34"/>
      <c r="K463" s="44"/>
      <c r="L463" s="44"/>
      <c r="M463" s="44"/>
      <c r="N463" s="44"/>
      <c r="O463" s="44"/>
      <c r="P463" s="44"/>
      <c r="Q463" s="44"/>
      <c r="R463" s="44"/>
      <c r="S463" s="44"/>
      <c r="T463" s="44"/>
      <c r="U463" s="36"/>
    </row>
    <row r="464" spans="1:21" ht="12.75">
      <c r="A464" s="44"/>
      <c r="B464" s="44"/>
      <c r="C464" s="44"/>
      <c r="D464" s="44"/>
      <c r="E464" s="44"/>
      <c r="F464" s="34"/>
      <c r="G464" s="34"/>
      <c r="H464" s="45"/>
      <c r="I464" s="44"/>
      <c r="J464" s="34"/>
      <c r="K464" s="44"/>
      <c r="L464" s="44"/>
      <c r="M464" s="44"/>
      <c r="N464" s="44"/>
      <c r="O464" s="44"/>
      <c r="P464" s="44"/>
      <c r="Q464" s="44"/>
      <c r="R464" s="44"/>
      <c r="S464" s="44"/>
      <c r="T464" s="44"/>
      <c r="U464" s="36"/>
    </row>
    <row r="465" spans="1:21" ht="12.75">
      <c r="A465" s="44"/>
      <c r="B465" s="44"/>
      <c r="C465" s="44"/>
      <c r="D465" s="44"/>
      <c r="E465" s="44"/>
      <c r="F465" s="34"/>
      <c r="G465" s="34"/>
      <c r="H465" s="45"/>
      <c r="I465" s="44"/>
      <c r="J465" s="34"/>
      <c r="K465" s="44"/>
      <c r="L465" s="44"/>
      <c r="M465" s="44"/>
      <c r="N465" s="44"/>
      <c r="O465" s="44"/>
      <c r="P465" s="44"/>
      <c r="Q465" s="44"/>
      <c r="R465" s="44"/>
      <c r="S465" s="44"/>
      <c r="T465" s="44"/>
      <c r="U465" s="36"/>
    </row>
    <row r="466" spans="1:21" ht="12.75">
      <c r="A466" s="44"/>
      <c r="B466" s="44"/>
      <c r="C466" s="44"/>
      <c r="D466" s="44"/>
      <c r="E466" s="44"/>
      <c r="F466" s="34"/>
      <c r="G466" s="34"/>
      <c r="H466" s="45"/>
      <c r="I466" s="44"/>
      <c r="J466" s="34"/>
      <c r="K466" s="44"/>
      <c r="L466" s="44"/>
      <c r="M466" s="44"/>
      <c r="N466" s="44"/>
      <c r="O466" s="44"/>
      <c r="P466" s="44"/>
      <c r="Q466" s="44"/>
      <c r="R466" s="44"/>
      <c r="S466" s="44"/>
      <c r="T466" s="44"/>
      <c r="U466" s="36"/>
    </row>
    <row r="467" spans="1:21" ht="12.75">
      <c r="A467" s="44"/>
      <c r="B467" s="44"/>
      <c r="C467" s="44"/>
      <c r="D467" s="44"/>
      <c r="E467" s="44"/>
      <c r="F467" s="34"/>
      <c r="G467" s="34"/>
      <c r="H467" s="45"/>
      <c r="I467" s="44"/>
      <c r="J467" s="34"/>
      <c r="K467" s="44"/>
      <c r="L467" s="44"/>
      <c r="M467" s="44"/>
      <c r="N467" s="44"/>
      <c r="O467" s="44"/>
      <c r="P467" s="44"/>
      <c r="Q467" s="44"/>
      <c r="R467" s="44"/>
      <c r="S467" s="44"/>
      <c r="T467" s="44"/>
      <c r="U467" s="36"/>
    </row>
    <row r="468" spans="1:21" ht="12.75">
      <c r="A468" s="44"/>
      <c r="B468" s="44"/>
      <c r="C468" s="44"/>
      <c r="D468" s="44"/>
      <c r="E468" s="44"/>
      <c r="F468" s="34"/>
      <c r="G468" s="34"/>
      <c r="H468" s="45"/>
      <c r="I468" s="44"/>
      <c r="J468" s="34"/>
      <c r="K468" s="44"/>
      <c r="L468" s="44"/>
      <c r="M468" s="44"/>
      <c r="N468" s="44"/>
      <c r="O468" s="44"/>
      <c r="P468" s="44"/>
      <c r="Q468" s="44"/>
      <c r="R468" s="44"/>
      <c r="S468" s="44"/>
      <c r="T468" s="44"/>
      <c r="U468" s="36"/>
    </row>
    <row r="469" spans="1:21" ht="12.75">
      <c r="A469" s="44"/>
      <c r="B469" s="44"/>
      <c r="C469" s="44"/>
      <c r="D469" s="44"/>
      <c r="E469" s="44"/>
      <c r="F469" s="34"/>
      <c r="G469" s="34"/>
      <c r="H469" s="45"/>
      <c r="I469" s="44"/>
      <c r="J469" s="34"/>
      <c r="K469" s="44"/>
      <c r="L469" s="44"/>
      <c r="M469" s="44"/>
      <c r="N469" s="44"/>
      <c r="O469" s="44"/>
      <c r="P469" s="44"/>
      <c r="Q469" s="44"/>
      <c r="R469" s="44"/>
      <c r="S469" s="44"/>
      <c r="T469" s="44"/>
      <c r="U469" s="36"/>
    </row>
    <row r="470" spans="1:21" ht="12.75">
      <c r="A470" s="44"/>
      <c r="B470" s="44"/>
      <c r="C470" s="44"/>
      <c r="D470" s="44"/>
      <c r="E470" s="44"/>
      <c r="F470" s="34"/>
      <c r="G470" s="34"/>
      <c r="H470" s="45"/>
      <c r="I470" s="44"/>
      <c r="J470" s="34"/>
      <c r="K470" s="44"/>
      <c r="L470" s="44"/>
      <c r="M470" s="44"/>
      <c r="N470" s="44"/>
      <c r="O470" s="44"/>
      <c r="P470" s="44"/>
      <c r="Q470" s="44"/>
      <c r="R470" s="44"/>
      <c r="S470" s="44"/>
      <c r="T470" s="44"/>
      <c r="U470" s="36"/>
    </row>
    <row r="471" spans="1:21" ht="12.75">
      <c r="A471" s="44"/>
      <c r="B471" s="44"/>
      <c r="C471" s="44"/>
      <c r="D471" s="44"/>
      <c r="E471" s="44"/>
      <c r="F471" s="34"/>
      <c r="G471" s="34"/>
      <c r="H471" s="45"/>
      <c r="I471" s="44"/>
      <c r="J471" s="34"/>
      <c r="K471" s="44"/>
      <c r="L471" s="44"/>
      <c r="M471" s="44"/>
      <c r="N471" s="44"/>
      <c r="O471" s="44"/>
      <c r="P471" s="44"/>
      <c r="Q471" s="44"/>
      <c r="R471" s="44"/>
      <c r="S471" s="44"/>
      <c r="T471" s="44"/>
      <c r="U471" s="36"/>
    </row>
    <row r="472" spans="1:21" ht="12.75">
      <c r="A472" s="44"/>
      <c r="B472" s="44"/>
      <c r="C472" s="44"/>
      <c r="D472" s="44"/>
      <c r="E472" s="44"/>
      <c r="F472" s="34"/>
      <c r="G472" s="34"/>
      <c r="H472" s="45"/>
      <c r="I472" s="44"/>
      <c r="J472" s="34"/>
      <c r="K472" s="44"/>
      <c r="L472" s="44"/>
      <c r="M472" s="44"/>
      <c r="N472" s="44"/>
      <c r="O472" s="44"/>
      <c r="P472" s="44"/>
      <c r="Q472" s="44"/>
      <c r="R472" s="44"/>
      <c r="S472" s="44"/>
      <c r="T472" s="44"/>
      <c r="U472" s="36"/>
    </row>
    <row r="473" spans="1:21" ht="12.75">
      <c r="A473" s="44"/>
      <c r="B473" s="44"/>
      <c r="C473" s="44"/>
      <c r="D473" s="44"/>
      <c r="E473" s="44"/>
      <c r="F473" s="34"/>
      <c r="G473" s="34"/>
      <c r="H473" s="45"/>
      <c r="I473" s="44"/>
      <c r="J473" s="34"/>
      <c r="K473" s="44"/>
      <c r="L473" s="44"/>
      <c r="M473" s="44"/>
      <c r="N473" s="44"/>
      <c r="O473" s="44"/>
      <c r="P473" s="44"/>
      <c r="Q473" s="44"/>
      <c r="R473" s="44"/>
      <c r="S473" s="44"/>
      <c r="T473" s="44"/>
      <c r="U473" s="36"/>
    </row>
    <row r="474" spans="1:21" ht="12.75">
      <c r="A474" s="44"/>
      <c r="B474" s="44"/>
      <c r="C474" s="44"/>
      <c r="D474" s="44"/>
      <c r="E474" s="44"/>
      <c r="F474" s="34"/>
      <c r="G474" s="34"/>
      <c r="H474" s="45"/>
      <c r="I474" s="44"/>
      <c r="J474" s="34"/>
      <c r="K474" s="44"/>
      <c r="L474" s="44"/>
      <c r="M474" s="44"/>
      <c r="N474" s="44"/>
      <c r="O474" s="44"/>
      <c r="P474" s="44"/>
      <c r="Q474" s="44"/>
      <c r="R474" s="44"/>
      <c r="S474" s="44"/>
      <c r="T474" s="44"/>
      <c r="U474" s="36"/>
    </row>
    <row r="475" spans="1:21" ht="12.75">
      <c r="A475" s="44"/>
      <c r="B475" s="44"/>
      <c r="C475" s="44"/>
      <c r="D475" s="44"/>
      <c r="E475" s="44"/>
      <c r="F475" s="34"/>
      <c r="G475" s="34"/>
      <c r="H475" s="45"/>
      <c r="I475" s="44"/>
      <c r="J475" s="34"/>
      <c r="K475" s="44"/>
      <c r="L475" s="44"/>
      <c r="M475" s="44"/>
      <c r="N475" s="44"/>
      <c r="O475" s="44"/>
      <c r="P475" s="44"/>
      <c r="Q475" s="44"/>
      <c r="R475" s="44"/>
      <c r="S475" s="44"/>
      <c r="T475" s="44"/>
      <c r="U475" s="36"/>
    </row>
    <row r="476" spans="1:21" ht="12.75">
      <c r="A476" s="44"/>
      <c r="B476" s="44"/>
      <c r="C476" s="44"/>
      <c r="D476" s="44"/>
      <c r="E476" s="44"/>
      <c r="F476" s="34"/>
      <c r="G476" s="34"/>
      <c r="H476" s="45"/>
      <c r="I476" s="44"/>
      <c r="J476" s="34"/>
      <c r="K476" s="44"/>
      <c r="L476" s="44"/>
      <c r="M476" s="44"/>
      <c r="N476" s="44"/>
      <c r="O476" s="44"/>
      <c r="P476" s="44"/>
      <c r="Q476" s="44"/>
      <c r="R476" s="44"/>
      <c r="S476" s="44"/>
      <c r="T476" s="44"/>
      <c r="U476" s="36"/>
    </row>
    <row r="477" spans="1:21" ht="12.75">
      <c r="A477" s="44"/>
      <c r="B477" s="44"/>
      <c r="C477" s="44"/>
      <c r="D477" s="44"/>
      <c r="E477" s="44"/>
      <c r="F477" s="34"/>
      <c r="G477" s="34"/>
      <c r="H477" s="45"/>
      <c r="I477" s="44"/>
      <c r="J477" s="34"/>
      <c r="K477" s="44"/>
      <c r="L477" s="44"/>
      <c r="M477" s="44"/>
      <c r="N477" s="44"/>
      <c r="O477" s="44"/>
      <c r="P477" s="44"/>
      <c r="Q477" s="44"/>
      <c r="R477" s="44"/>
      <c r="S477" s="44"/>
      <c r="T477" s="44"/>
      <c r="U477" s="36"/>
    </row>
    <row r="478" spans="1:21" ht="12.75">
      <c r="A478" s="44"/>
      <c r="B478" s="44"/>
      <c r="C478" s="44"/>
      <c r="D478" s="44"/>
      <c r="E478" s="44"/>
      <c r="F478" s="34"/>
      <c r="G478" s="34"/>
      <c r="H478" s="45"/>
      <c r="I478" s="44"/>
      <c r="J478" s="34"/>
      <c r="K478" s="44"/>
      <c r="L478" s="44"/>
      <c r="M478" s="44"/>
      <c r="N478" s="44"/>
      <c r="O478" s="44"/>
      <c r="P478" s="44"/>
      <c r="Q478" s="44"/>
      <c r="R478" s="44"/>
      <c r="S478" s="44"/>
      <c r="T478" s="44"/>
      <c r="U478" s="36"/>
    </row>
    <row r="479" spans="1:21" ht="12.75">
      <c r="A479" s="44"/>
      <c r="B479" s="44"/>
      <c r="C479" s="44"/>
      <c r="D479" s="44"/>
      <c r="E479" s="44"/>
      <c r="F479" s="34"/>
      <c r="G479" s="34"/>
      <c r="H479" s="45"/>
      <c r="I479" s="44"/>
      <c r="J479" s="34"/>
      <c r="K479" s="44"/>
      <c r="L479" s="44"/>
      <c r="M479" s="44"/>
      <c r="N479" s="44"/>
      <c r="O479" s="44"/>
      <c r="P479" s="44"/>
      <c r="Q479" s="44"/>
      <c r="R479" s="44"/>
      <c r="S479" s="44"/>
      <c r="T479" s="44"/>
      <c r="U479" s="36"/>
    </row>
    <row r="480" spans="1:21" ht="12.75">
      <c r="A480" s="44"/>
      <c r="B480" s="44"/>
      <c r="C480" s="44"/>
      <c r="D480" s="44"/>
      <c r="E480" s="44"/>
      <c r="F480" s="34"/>
      <c r="G480" s="34"/>
      <c r="H480" s="45"/>
      <c r="I480" s="44"/>
      <c r="J480" s="34"/>
      <c r="K480" s="44"/>
      <c r="L480" s="44"/>
      <c r="M480" s="44"/>
      <c r="N480" s="44"/>
      <c r="O480" s="44"/>
      <c r="P480" s="44"/>
      <c r="Q480" s="44"/>
      <c r="R480" s="44"/>
      <c r="S480" s="44"/>
      <c r="T480" s="44"/>
      <c r="U480" s="36"/>
    </row>
    <row r="481" spans="1:21" ht="12.75">
      <c r="A481" s="44"/>
      <c r="B481" s="44"/>
      <c r="C481" s="44"/>
      <c r="D481" s="44"/>
      <c r="E481" s="44"/>
      <c r="F481" s="34"/>
      <c r="G481" s="34"/>
      <c r="H481" s="45"/>
      <c r="I481" s="44"/>
      <c r="J481" s="34"/>
      <c r="K481" s="44"/>
      <c r="L481" s="44"/>
      <c r="M481" s="44"/>
      <c r="N481" s="44"/>
      <c r="O481" s="44"/>
      <c r="P481" s="44"/>
      <c r="Q481" s="44"/>
      <c r="R481" s="44"/>
      <c r="S481" s="44"/>
      <c r="T481" s="44"/>
      <c r="U481" s="36"/>
    </row>
    <row r="482" spans="1:21" ht="12.75">
      <c r="A482" s="44"/>
      <c r="B482" s="44"/>
      <c r="C482" s="44"/>
      <c r="D482" s="44"/>
      <c r="E482" s="44"/>
      <c r="F482" s="34"/>
      <c r="G482" s="34"/>
      <c r="H482" s="45"/>
      <c r="I482" s="44"/>
      <c r="J482" s="34"/>
      <c r="K482" s="44"/>
      <c r="L482" s="44"/>
      <c r="M482" s="44"/>
      <c r="N482" s="44"/>
      <c r="O482" s="44"/>
      <c r="P482" s="44"/>
      <c r="Q482" s="44"/>
      <c r="R482" s="44"/>
      <c r="S482" s="44"/>
      <c r="T482" s="44"/>
      <c r="U482" s="36"/>
    </row>
    <row r="483" spans="1:21" ht="12.75">
      <c r="A483" s="44"/>
      <c r="B483" s="44"/>
      <c r="C483" s="44"/>
      <c r="D483" s="44"/>
      <c r="E483" s="44"/>
      <c r="F483" s="34"/>
      <c r="G483" s="34"/>
      <c r="H483" s="45"/>
      <c r="I483" s="44"/>
      <c r="J483" s="34"/>
      <c r="K483" s="44"/>
      <c r="L483" s="44"/>
      <c r="M483" s="44"/>
      <c r="N483" s="44"/>
      <c r="O483" s="44"/>
      <c r="P483" s="44"/>
      <c r="Q483" s="44"/>
      <c r="R483" s="44"/>
      <c r="S483" s="44"/>
      <c r="T483" s="44"/>
      <c r="U483" s="36"/>
    </row>
    <row r="484" spans="1:21" ht="12.75">
      <c r="A484" s="44"/>
      <c r="B484" s="44"/>
      <c r="C484" s="44"/>
      <c r="D484" s="44"/>
      <c r="E484" s="44"/>
      <c r="F484" s="34"/>
      <c r="G484" s="34"/>
      <c r="H484" s="45"/>
      <c r="I484" s="44"/>
      <c r="J484" s="34"/>
      <c r="K484" s="44"/>
      <c r="L484" s="44"/>
      <c r="M484" s="44"/>
      <c r="N484" s="44"/>
      <c r="O484" s="44"/>
      <c r="P484" s="44"/>
      <c r="Q484" s="44"/>
      <c r="R484" s="44"/>
      <c r="S484" s="44"/>
      <c r="T484" s="44"/>
      <c r="U484" s="36"/>
    </row>
    <row r="485" spans="1:21" ht="12.75">
      <c r="A485" s="44"/>
      <c r="B485" s="44"/>
      <c r="C485" s="44"/>
      <c r="D485" s="44"/>
      <c r="E485" s="44"/>
      <c r="F485" s="34"/>
      <c r="G485" s="34"/>
      <c r="H485" s="45"/>
      <c r="I485" s="44"/>
      <c r="J485" s="34"/>
      <c r="K485" s="44"/>
      <c r="L485" s="44"/>
      <c r="M485" s="44"/>
      <c r="N485" s="44"/>
      <c r="O485" s="44"/>
      <c r="P485" s="44"/>
      <c r="Q485" s="44"/>
      <c r="R485" s="44"/>
      <c r="S485" s="44"/>
      <c r="T485" s="44"/>
      <c r="U485" s="36"/>
    </row>
    <row r="486" spans="1:21" ht="12.75">
      <c r="A486" s="44"/>
      <c r="B486" s="44"/>
      <c r="C486" s="44"/>
      <c r="D486" s="44"/>
      <c r="E486" s="44"/>
      <c r="F486" s="34"/>
      <c r="G486" s="34"/>
      <c r="H486" s="45"/>
      <c r="I486" s="44"/>
      <c r="J486" s="34"/>
      <c r="K486" s="44"/>
      <c r="L486" s="44"/>
      <c r="M486" s="44"/>
      <c r="N486" s="44"/>
      <c r="O486" s="44"/>
      <c r="P486" s="44"/>
      <c r="Q486" s="44"/>
      <c r="R486" s="44"/>
      <c r="S486" s="44"/>
      <c r="T486" s="44"/>
      <c r="U486" s="36"/>
    </row>
    <row r="487" spans="1:21" ht="12.75">
      <c r="A487" s="44"/>
      <c r="B487" s="44"/>
      <c r="C487" s="44"/>
      <c r="D487" s="44"/>
      <c r="E487" s="44"/>
      <c r="F487" s="34"/>
      <c r="G487" s="34"/>
      <c r="H487" s="45"/>
      <c r="I487" s="44"/>
      <c r="J487" s="34"/>
      <c r="K487" s="44"/>
      <c r="L487" s="44"/>
      <c r="M487" s="44"/>
      <c r="N487" s="44"/>
      <c r="O487" s="44"/>
      <c r="P487" s="44"/>
      <c r="Q487" s="44"/>
      <c r="R487" s="44"/>
      <c r="S487" s="44"/>
      <c r="T487" s="44"/>
      <c r="U487" s="36"/>
    </row>
    <row r="488" spans="1:21" ht="12.75">
      <c r="A488" s="44"/>
      <c r="B488" s="44"/>
      <c r="C488" s="44"/>
      <c r="D488" s="44"/>
      <c r="E488" s="44"/>
      <c r="F488" s="34"/>
      <c r="G488" s="34"/>
      <c r="H488" s="45"/>
      <c r="I488" s="44"/>
      <c r="J488" s="34"/>
      <c r="K488" s="44"/>
      <c r="L488" s="44"/>
      <c r="M488" s="44"/>
      <c r="N488" s="44"/>
      <c r="O488" s="44"/>
      <c r="P488" s="44"/>
      <c r="Q488" s="44"/>
      <c r="R488" s="44"/>
      <c r="S488" s="44"/>
      <c r="T488" s="44"/>
      <c r="U488" s="36"/>
    </row>
    <row r="489" spans="1:21" ht="12.75">
      <c r="A489" s="44"/>
      <c r="B489" s="44"/>
      <c r="C489" s="44"/>
      <c r="D489" s="44"/>
      <c r="E489" s="44"/>
      <c r="F489" s="34"/>
      <c r="G489" s="34"/>
      <c r="H489" s="45"/>
      <c r="I489" s="44"/>
      <c r="J489" s="34"/>
      <c r="K489" s="44"/>
      <c r="L489" s="44"/>
      <c r="M489" s="44"/>
      <c r="N489" s="44"/>
      <c r="O489" s="44"/>
      <c r="P489" s="44"/>
      <c r="Q489" s="44"/>
      <c r="R489" s="44"/>
      <c r="S489" s="44"/>
      <c r="T489" s="44"/>
      <c r="U489" s="36"/>
    </row>
    <row r="490" spans="1:21" ht="12.75">
      <c r="A490" s="44"/>
      <c r="B490" s="44"/>
      <c r="C490" s="44"/>
      <c r="D490" s="44"/>
      <c r="E490" s="44"/>
      <c r="F490" s="34"/>
      <c r="G490" s="34"/>
      <c r="H490" s="45"/>
      <c r="I490" s="44"/>
      <c r="J490" s="34"/>
      <c r="K490" s="44"/>
      <c r="L490" s="44"/>
      <c r="M490" s="44"/>
      <c r="N490" s="44"/>
      <c r="O490" s="44"/>
      <c r="P490" s="44"/>
      <c r="Q490" s="44"/>
      <c r="R490" s="44"/>
      <c r="S490" s="44"/>
      <c r="T490" s="44"/>
      <c r="U490" s="36"/>
    </row>
    <row r="491" spans="1:21" ht="12.75">
      <c r="A491" s="44"/>
      <c r="B491" s="44"/>
      <c r="C491" s="44"/>
      <c r="D491" s="44"/>
      <c r="E491" s="44"/>
      <c r="F491" s="34"/>
      <c r="G491" s="34"/>
      <c r="H491" s="45"/>
      <c r="I491" s="44"/>
      <c r="J491" s="34"/>
      <c r="K491" s="44"/>
      <c r="L491" s="44"/>
      <c r="M491" s="44"/>
      <c r="N491" s="44"/>
      <c r="O491" s="44"/>
      <c r="P491" s="44"/>
      <c r="Q491" s="44"/>
      <c r="R491" s="44"/>
      <c r="S491" s="44"/>
      <c r="T491" s="44"/>
      <c r="U491" s="36"/>
    </row>
    <row r="492" spans="1:21" ht="12.75">
      <c r="A492" s="44"/>
      <c r="B492" s="44"/>
      <c r="C492" s="44"/>
      <c r="D492" s="44"/>
      <c r="E492" s="44"/>
      <c r="F492" s="34"/>
      <c r="G492" s="34"/>
      <c r="H492" s="45"/>
      <c r="I492" s="44"/>
      <c r="J492" s="34"/>
      <c r="K492" s="44"/>
      <c r="L492" s="44"/>
      <c r="M492" s="44"/>
      <c r="N492" s="44"/>
      <c r="O492" s="44"/>
      <c r="P492" s="44"/>
      <c r="Q492" s="44"/>
      <c r="R492" s="44"/>
      <c r="S492" s="44"/>
      <c r="T492" s="44"/>
      <c r="U492" s="36"/>
    </row>
    <row r="493" spans="1:21" ht="12.75">
      <c r="A493" s="44"/>
      <c r="B493" s="44"/>
      <c r="C493" s="44"/>
      <c r="D493" s="44"/>
      <c r="E493" s="44"/>
      <c r="F493" s="34"/>
      <c r="G493" s="34"/>
      <c r="H493" s="45"/>
      <c r="I493" s="44"/>
      <c r="J493" s="34"/>
      <c r="K493" s="44"/>
      <c r="L493" s="44"/>
      <c r="M493" s="44"/>
      <c r="N493" s="44"/>
      <c r="O493" s="44"/>
      <c r="P493" s="44"/>
      <c r="Q493" s="44"/>
      <c r="R493" s="44"/>
      <c r="S493" s="44"/>
      <c r="T493" s="44"/>
      <c r="U493" s="36"/>
    </row>
    <row r="494" spans="1:21" ht="12.75">
      <c r="A494" s="44"/>
      <c r="B494" s="44"/>
      <c r="C494" s="44"/>
      <c r="D494" s="44"/>
      <c r="E494" s="44"/>
      <c r="F494" s="34"/>
      <c r="G494" s="34"/>
      <c r="H494" s="45"/>
      <c r="I494" s="44"/>
      <c r="J494" s="34"/>
      <c r="K494" s="44"/>
      <c r="L494" s="44"/>
      <c r="M494" s="44"/>
      <c r="N494" s="44"/>
      <c r="O494" s="44"/>
      <c r="P494" s="44"/>
      <c r="Q494" s="44"/>
      <c r="R494" s="44"/>
      <c r="S494" s="44"/>
      <c r="T494" s="44"/>
      <c r="U494" s="36"/>
    </row>
    <row r="495" spans="1:21" ht="12.75">
      <c r="A495" s="44"/>
      <c r="B495" s="44"/>
      <c r="C495" s="44"/>
      <c r="D495" s="44"/>
      <c r="E495" s="44"/>
      <c r="F495" s="34"/>
      <c r="G495" s="34"/>
      <c r="H495" s="45"/>
      <c r="I495" s="44"/>
      <c r="J495" s="34"/>
      <c r="K495" s="44"/>
      <c r="L495" s="44"/>
      <c r="M495" s="44"/>
      <c r="N495" s="44"/>
      <c r="O495" s="44"/>
      <c r="P495" s="44"/>
      <c r="Q495" s="44"/>
      <c r="R495" s="44"/>
      <c r="S495" s="44"/>
      <c r="T495" s="44"/>
      <c r="U495" s="36"/>
    </row>
    <row r="496" spans="1:21" ht="12.75">
      <c r="A496" s="44"/>
      <c r="B496" s="44"/>
      <c r="C496" s="44"/>
      <c r="D496" s="44"/>
      <c r="E496" s="44"/>
      <c r="F496" s="34"/>
      <c r="G496" s="34"/>
      <c r="H496" s="45"/>
      <c r="I496" s="44"/>
      <c r="J496" s="34"/>
      <c r="K496" s="44"/>
      <c r="L496" s="44"/>
      <c r="M496" s="44"/>
      <c r="N496" s="44"/>
      <c r="O496" s="44"/>
      <c r="P496" s="44"/>
      <c r="Q496" s="44"/>
      <c r="R496" s="44"/>
      <c r="S496" s="44"/>
      <c r="T496" s="44"/>
      <c r="U496" s="36"/>
    </row>
    <row r="497" spans="1:21" ht="12.75">
      <c r="A497" s="44"/>
      <c r="B497" s="44"/>
      <c r="C497" s="44"/>
      <c r="D497" s="44"/>
      <c r="E497" s="44"/>
      <c r="F497" s="34"/>
      <c r="G497" s="34"/>
      <c r="H497" s="45"/>
      <c r="I497" s="44"/>
      <c r="J497" s="34"/>
      <c r="K497" s="44"/>
      <c r="L497" s="44"/>
      <c r="M497" s="44"/>
      <c r="N497" s="44"/>
      <c r="O497" s="44"/>
      <c r="P497" s="44"/>
      <c r="Q497" s="44"/>
      <c r="R497" s="44"/>
      <c r="S497" s="44"/>
      <c r="T497" s="44"/>
      <c r="U497" s="36"/>
    </row>
    <row r="498" spans="1:21" ht="12.75">
      <c r="A498" s="44"/>
      <c r="B498" s="44"/>
      <c r="C498" s="44"/>
      <c r="D498" s="44"/>
      <c r="E498" s="44"/>
      <c r="F498" s="34"/>
      <c r="G498" s="34"/>
      <c r="H498" s="45"/>
      <c r="I498" s="44"/>
      <c r="J498" s="34"/>
      <c r="K498" s="44"/>
      <c r="L498" s="44"/>
      <c r="M498" s="44"/>
      <c r="N498" s="44"/>
      <c r="O498" s="44"/>
      <c r="P498" s="44"/>
      <c r="Q498" s="44"/>
      <c r="R498" s="44"/>
      <c r="S498" s="44"/>
      <c r="T498" s="44"/>
      <c r="U498" s="36"/>
    </row>
    <row r="499" spans="1:21" ht="12.75">
      <c r="A499" s="44"/>
      <c r="B499" s="44"/>
      <c r="C499" s="44"/>
      <c r="D499" s="44"/>
      <c r="E499" s="44"/>
      <c r="F499" s="34"/>
      <c r="G499" s="34"/>
      <c r="H499" s="45"/>
      <c r="I499" s="44"/>
      <c r="J499" s="34"/>
      <c r="K499" s="44"/>
      <c r="L499" s="44"/>
      <c r="M499" s="44"/>
      <c r="N499" s="44"/>
      <c r="O499" s="44"/>
      <c r="P499" s="44"/>
      <c r="Q499" s="44"/>
      <c r="R499" s="44"/>
      <c r="S499" s="44"/>
      <c r="T499" s="44"/>
      <c r="U499" s="36"/>
    </row>
    <row r="500" spans="1:21" ht="12.75">
      <c r="A500" s="44"/>
      <c r="B500" s="44"/>
      <c r="C500" s="44"/>
      <c r="D500" s="44"/>
      <c r="E500" s="44"/>
      <c r="F500" s="34"/>
      <c r="G500" s="34"/>
      <c r="H500" s="45"/>
      <c r="I500" s="44"/>
      <c r="J500" s="34"/>
      <c r="K500" s="44"/>
      <c r="L500" s="44"/>
      <c r="M500" s="44"/>
      <c r="N500" s="44"/>
      <c r="O500" s="44"/>
      <c r="P500" s="44"/>
      <c r="Q500" s="44"/>
      <c r="R500" s="44"/>
      <c r="S500" s="44"/>
      <c r="T500" s="44"/>
      <c r="U500" s="36"/>
    </row>
    <row r="501" spans="1:21" ht="12.75">
      <c r="A501" s="44"/>
      <c r="B501" s="44"/>
      <c r="C501" s="44"/>
      <c r="D501" s="44"/>
      <c r="E501" s="44"/>
      <c r="F501" s="34"/>
      <c r="G501" s="34"/>
      <c r="H501" s="45"/>
      <c r="I501" s="44"/>
      <c r="J501" s="34"/>
      <c r="K501" s="44"/>
      <c r="L501" s="44"/>
      <c r="M501" s="44"/>
      <c r="N501" s="44"/>
      <c r="O501" s="44"/>
      <c r="P501" s="44"/>
      <c r="Q501" s="44"/>
      <c r="R501" s="44"/>
      <c r="S501" s="44"/>
      <c r="T501" s="44"/>
      <c r="U501" s="36"/>
    </row>
    <row r="502" spans="1:21" ht="12.75">
      <c r="A502" s="44"/>
      <c r="B502" s="44"/>
      <c r="C502" s="44"/>
      <c r="D502" s="44"/>
      <c r="E502" s="44"/>
      <c r="F502" s="34"/>
      <c r="G502" s="34"/>
      <c r="H502" s="45"/>
      <c r="I502" s="44"/>
      <c r="J502" s="34"/>
      <c r="K502" s="44"/>
      <c r="L502" s="44"/>
      <c r="M502" s="44"/>
      <c r="N502" s="44"/>
      <c r="O502" s="44"/>
      <c r="P502" s="44"/>
      <c r="Q502" s="44"/>
      <c r="R502" s="44"/>
      <c r="S502" s="44"/>
      <c r="T502" s="44"/>
      <c r="U502" s="36"/>
    </row>
    <row r="503" spans="1:21" ht="12.75">
      <c r="A503" s="44"/>
      <c r="B503" s="44"/>
      <c r="C503" s="44"/>
      <c r="D503" s="44"/>
      <c r="E503" s="44"/>
      <c r="F503" s="34"/>
      <c r="G503" s="34"/>
      <c r="H503" s="45"/>
      <c r="I503" s="44"/>
      <c r="J503" s="34"/>
      <c r="K503" s="44"/>
      <c r="L503" s="44"/>
      <c r="M503" s="44"/>
      <c r="N503" s="44"/>
      <c r="O503" s="44"/>
      <c r="P503" s="44"/>
      <c r="Q503" s="44"/>
      <c r="R503" s="44"/>
      <c r="S503" s="44"/>
      <c r="T503" s="44"/>
      <c r="U503" s="36"/>
    </row>
    <row r="504" spans="1:21" ht="12.75">
      <c r="A504" s="44"/>
      <c r="B504" s="44"/>
      <c r="C504" s="44"/>
      <c r="D504" s="44"/>
      <c r="E504" s="44"/>
      <c r="F504" s="34"/>
      <c r="G504" s="34"/>
      <c r="H504" s="45"/>
      <c r="I504" s="44"/>
      <c r="J504" s="34"/>
      <c r="K504" s="44"/>
      <c r="L504" s="44"/>
      <c r="M504" s="44"/>
      <c r="N504" s="44"/>
      <c r="O504" s="44"/>
      <c r="P504" s="44"/>
      <c r="Q504" s="44"/>
      <c r="R504" s="44"/>
      <c r="S504" s="44"/>
      <c r="T504" s="44"/>
      <c r="U504" s="36"/>
    </row>
    <row r="505" spans="1:21" ht="12.75">
      <c r="A505" s="44"/>
      <c r="B505" s="44"/>
      <c r="C505" s="44"/>
      <c r="D505" s="44"/>
      <c r="E505" s="44"/>
      <c r="F505" s="34"/>
      <c r="G505" s="34"/>
      <c r="H505" s="45"/>
      <c r="I505" s="44"/>
      <c r="J505" s="34"/>
      <c r="K505" s="44"/>
      <c r="L505" s="44"/>
      <c r="M505" s="44"/>
      <c r="N505" s="44"/>
      <c r="O505" s="44"/>
      <c r="P505" s="44"/>
      <c r="Q505" s="44"/>
      <c r="R505" s="44"/>
      <c r="S505" s="44"/>
      <c r="T505" s="44"/>
      <c r="U505" s="36"/>
    </row>
    <row r="506" spans="1:21" ht="12.75">
      <c r="A506" s="44"/>
      <c r="B506" s="44"/>
      <c r="C506" s="44"/>
      <c r="D506" s="44"/>
      <c r="E506" s="44"/>
      <c r="F506" s="34"/>
      <c r="G506" s="34"/>
      <c r="H506" s="45"/>
      <c r="I506" s="44"/>
      <c r="J506" s="34"/>
      <c r="K506" s="44"/>
      <c r="L506" s="44"/>
      <c r="M506" s="44"/>
      <c r="N506" s="44"/>
      <c r="O506" s="44"/>
      <c r="P506" s="44"/>
      <c r="Q506" s="44"/>
      <c r="R506" s="44"/>
      <c r="S506" s="44"/>
      <c r="T506" s="44"/>
      <c r="U506" s="36"/>
    </row>
    <row r="507" spans="1:21" ht="12.75">
      <c r="A507" s="44"/>
      <c r="B507" s="44"/>
      <c r="C507" s="44"/>
      <c r="D507" s="44"/>
      <c r="E507" s="44"/>
      <c r="F507" s="34"/>
      <c r="G507" s="34"/>
      <c r="H507" s="45"/>
      <c r="I507" s="44"/>
      <c r="J507" s="34"/>
      <c r="K507" s="44"/>
      <c r="L507" s="44"/>
      <c r="M507" s="44"/>
      <c r="N507" s="44"/>
      <c r="O507" s="44"/>
      <c r="P507" s="44"/>
      <c r="Q507" s="44"/>
      <c r="R507" s="44"/>
      <c r="S507" s="44"/>
      <c r="T507" s="44"/>
      <c r="U507" s="36"/>
    </row>
    <row r="508" spans="1:21" ht="12.75">
      <c r="A508" s="44"/>
      <c r="B508" s="44"/>
      <c r="C508" s="44"/>
      <c r="D508" s="44"/>
      <c r="E508" s="44"/>
      <c r="F508" s="34"/>
      <c r="G508" s="34"/>
      <c r="H508" s="45"/>
      <c r="I508" s="44"/>
      <c r="J508" s="34"/>
      <c r="K508" s="44"/>
      <c r="L508" s="44"/>
      <c r="M508" s="44"/>
      <c r="N508" s="44"/>
      <c r="O508" s="44"/>
      <c r="P508" s="44"/>
      <c r="Q508" s="44"/>
      <c r="R508" s="44"/>
      <c r="S508" s="44"/>
      <c r="T508" s="44"/>
      <c r="U508" s="36"/>
    </row>
    <row r="509" spans="1:21" ht="12.75">
      <c r="A509" s="44"/>
      <c r="B509" s="44"/>
      <c r="C509" s="44"/>
      <c r="D509" s="44"/>
      <c r="E509" s="44"/>
      <c r="F509" s="34"/>
      <c r="G509" s="34"/>
      <c r="H509" s="45"/>
      <c r="I509" s="44"/>
      <c r="J509" s="34"/>
      <c r="K509" s="44"/>
      <c r="L509" s="44"/>
      <c r="M509" s="44"/>
      <c r="N509" s="44"/>
      <c r="O509" s="44"/>
      <c r="P509" s="44"/>
      <c r="Q509" s="44"/>
      <c r="R509" s="44"/>
      <c r="S509" s="44"/>
      <c r="T509" s="44"/>
      <c r="U509" s="36"/>
    </row>
    <row r="510" spans="1:21" ht="12.75">
      <c r="A510" s="44"/>
      <c r="B510" s="44"/>
      <c r="C510" s="44"/>
      <c r="D510" s="44"/>
      <c r="E510" s="44"/>
      <c r="F510" s="34"/>
      <c r="G510" s="34"/>
      <c r="H510" s="45"/>
      <c r="I510" s="44"/>
      <c r="J510" s="34"/>
      <c r="K510" s="44"/>
      <c r="L510" s="44"/>
      <c r="M510" s="44"/>
      <c r="N510" s="44"/>
      <c r="O510" s="44"/>
      <c r="P510" s="44"/>
      <c r="Q510" s="44"/>
      <c r="R510" s="44"/>
      <c r="S510" s="44"/>
      <c r="T510" s="44"/>
      <c r="U510" s="36"/>
    </row>
    <row r="511" spans="1:21" ht="12.75">
      <c r="A511" s="44"/>
      <c r="B511" s="44"/>
      <c r="C511" s="44"/>
      <c r="D511" s="44"/>
      <c r="E511" s="44"/>
      <c r="F511" s="34"/>
      <c r="G511" s="34"/>
      <c r="H511" s="45"/>
      <c r="I511" s="44"/>
      <c r="J511" s="34"/>
      <c r="K511" s="44"/>
      <c r="L511" s="44"/>
      <c r="M511" s="44"/>
      <c r="N511" s="44"/>
      <c r="O511" s="44"/>
      <c r="P511" s="44"/>
      <c r="Q511" s="44"/>
      <c r="R511" s="44"/>
      <c r="S511" s="44"/>
      <c r="T511" s="44"/>
      <c r="U511" s="36"/>
    </row>
    <row r="512" spans="1:21" ht="12.75">
      <c r="A512" s="44"/>
      <c r="B512" s="44"/>
      <c r="C512" s="44"/>
      <c r="D512" s="44"/>
      <c r="E512" s="44"/>
      <c r="F512" s="34"/>
      <c r="G512" s="34"/>
      <c r="H512" s="45"/>
      <c r="I512" s="44"/>
      <c r="J512" s="34"/>
      <c r="K512" s="44"/>
      <c r="L512" s="44"/>
      <c r="M512" s="44"/>
      <c r="N512" s="44"/>
      <c r="O512" s="44"/>
      <c r="P512" s="44"/>
      <c r="Q512" s="44"/>
      <c r="R512" s="44"/>
      <c r="S512" s="44"/>
      <c r="T512" s="44"/>
      <c r="U512" s="36"/>
    </row>
    <row r="513" spans="1:21" ht="12.75">
      <c r="A513" s="44"/>
      <c r="B513" s="44"/>
      <c r="C513" s="44"/>
      <c r="D513" s="44"/>
      <c r="E513" s="44"/>
      <c r="F513" s="34"/>
      <c r="G513" s="34"/>
      <c r="H513" s="45"/>
      <c r="I513" s="44"/>
      <c r="J513" s="34"/>
      <c r="K513" s="44"/>
      <c r="L513" s="44"/>
      <c r="M513" s="44"/>
      <c r="N513" s="44"/>
      <c r="O513" s="44"/>
      <c r="P513" s="44"/>
      <c r="Q513" s="44"/>
      <c r="R513" s="44"/>
      <c r="S513" s="44"/>
      <c r="T513" s="44"/>
      <c r="U513" s="36"/>
    </row>
    <row r="514" spans="1:21" ht="12.75">
      <c r="A514" s="44"/>
      <c r="B514" s="44"/>
      <c r="C514" s="44"/>
      <c r="D514" s="44"/>
      <c r="E514" s="44"/>
      <c r="F514" s="34"/>
      <c r="G514" s="34"/>
      <c r="H514" s="45"/>
      <c r="I514" s="44"/>
      <c r="J514" s="34"/>
      <c r="K514" s="44"/>
      <c r="L514" s="44"/>
      <c r="M514" s="44"/>
      <c r="N514" s="44"/>
      <c r="O514" s="44"/>
      <c r="P514" s="44"/>
      <c r="Q514" s="44"/>
      <c r="R514" s="44"/>
      <c r="S514" s="44"/>
      <c r="T514" s="44"/>
      <c r="U514" s="36"/>
    </row>
    <row r="515" spans="1:21" ht="12.75">
      <c r="A515" s="44"/>
      <c r="B515" s="44"/>
      <c r="C515" s="44"/>
      <c r="D515" s="44"/>
      <c r="E515" s="44"/>
      <c r="F515" s="34"/>
      <c r="G515" s="34"/>
      <c r="H515" s="45"/>
      <c r="I515" s="44"/>
      <c r="J515" s="34"/>
      <c r="K515" s="44"/>
      <c r="L515" s="44"/>
      <c r="M515" s="44"/>
      <c r="N515" s="44"/>
      <c r="O515" s="44"/>
      <c r="P515" s="44"/>
      <c r="Q515" s="44"/>
      <c r="R515" s="44"/>
      <c r="S515" s="44"/>
      <c r="T515" s="44"/>
      <c r="U515" s="36"/>
    </row>
    <row r="516" spans="1:21" ht="12.75">
      <c r="A516" s="44"/>
      <c r="B516" s="44"/>
      <c r="C516" s="44"/>
      <c r="D516" s="44"/>
      <c r="E516" s="44"/>
      <c r="F516" s="34"/>
      <c r="G516" s="34"/>
      <c r="H516" s="45"/>
      <c r="I516" s="44"/>
      <c r="J516" s="34"/>
      <c r="K516" s="44"/>
      <c r="L516" s="44"/>
      <c r="M516" s="44"/>
      <c r="N516" s="44"/>
      <c r="O516" s="44"/>
      <c r="P516" s="44"/>
      <c r="Q516" s="44"/>
      <c r="R516" s="44"/>
      <c r="S516" s="44"/>
      <c r="T516" s="44"/>
      <c r="U516" s="36"/>
    </row>
    <row r="517" spans="1:21" ht="12.75">
      <c r="A517" s="44"/>
      <c r="B517" s="44"/>
      <c r="C517" s="44"/>
      <c r="D517" s="44"/>
      <c r="E517" s="44"/>
      <c r="F517" s="34"/>
      <c r="G517" s="34"/>
      <c r="H517" s="45"/>
      <c r="I517" s="44"/>
      <c r="J517" s="34"/>
      <c r="K517" s="44"/>
      <c r="L517" s="44"/>
      <c r="M517" s="44"/>
      <c r="N517" s="44"/>
      <c r="O517" s="44"/>
      <c r="P517" s="44"/>
      <c r="Q517" s="44"/>
      <c r="R517" s="44"/>
      <c r="S517" s="44"/>
      <c r="T517" s="44"/>
      <c r="U517" s="36"/>
    </row>
    <row r="518" spans="1:21" ht="12.75">
      <c r="A518" s="44"/>
      <c r="B518" s="44"/>
      <c r="C518" s="44"/>
      <c r="D518" s="44"/>
      <c r="E518" s="44"/>
      <c r="F518" s="34"/>
      <c r="G518" s="34"/>
      <c r="H518" s="45"/>
      <c r="I518" s="44"/>
      <c r="J518" s="34"/>
      <c r="K518" s="44"/>
      <c r="L518" s="44"/>
      <c r="M518" s="44"/>
      <c r="N518" s="44"/>
      <c r="O518" s="44"/>
      <c r="P518" s="44"/>
      <c r="Q518" s="44"/>
      <c r="R518" s="44"/>
      <c r="S518" s="44"/>
      <c r="T518" s="44"/>
      <c r="U518" s="36"/>
    </row>
    <row r="519" spans="1:21" ht="12.75">
      <c r="A519" s="44"/>
      <c r="B519" s="44"/>
      <c r="C519" s="44"/>
      <c r="D519" s="44"/>
      <c r="E519" s="44"/>
      <c r="F519" s="34"/>
      <c r="G519" s="34"/>
      <c r="H519" s="45"/>
      <c r="I519" s="44"/>
      <c r="J519" s="34"/>
      <c r="K519" s="44"/>
      <c r="L519" s="44"/>
      <c r="M519" s="44"/>
      <c r="N519" s="44"/>
      <c r="O519" s="44"/>
      <c r="P519" s="44"/>
      <c r="Q519" s="44"/>
      <c r="R519" s="44"/>
      <c r="S519" s="44"/>
      <c r="T519" s="44"/>
      <c r="U519" s="36"/>
    </row>
    <row r="520" spans="1:21" ht="12.75">
      <c r="A520" s="44"/>
      <c r="B520" s="44"/>
      <c r="C520" s="44"/>
      <c r="D520" s="44"/>
      <c r="E520" s="44"/>
      <c r="F520" s="34"/>
      <c r="G520" s="34"/>
      <c r="H520" s="45"/>
      <c r="I520" s="44"/>
      <c r="J520" s="34"/>
      <c r="K520" s="44"/>
      <c r="L520" s="44"/>
      <c r="M520" s="44"/>
      <c r="N520" s="44"/>
      <c r="O520" s="44"/>
      <c r="P520" s="44"/>
      <c r="Q520" s="44"/>
      <c r="R520" s="44"/>
      <c r="S520" s="44"/>
      <c r="T520" s="44"/>
      <c r="U520" s="36"/>
    </row>
    <row r="521" spans="1:21" ht="12.75">
      <c r="A521" s="44"/>
      <c r="B521" s="44"/>
      <c r="C521" s="44"/>
      <c r="D521" s="44"/>
      <c r="E521" s="44"/>
      <c r="F521" s="34"/>
      <c r="G521" s="34"/>
      <c r="H521" s="45"/>
      <c r="I521" s="44"/>
      <c r="J521" s="34"/>
      <c r="K521" s="44"/>
      <c r="L521" s="44"/>
      <c r="M521" s="44"/>
      <c r="N521" s="44"/>
      <c r="O521" s="44"/>
      <c r="P521" s="44"/>
      <c r="Q521" s="44"/>
      <c r="R521" s="44"/>
      <c r="S521" s="44"/>
      <c r="T521" s="44"/>
      <c r="U521" s="36"/>
    </row>
    <row r="522" spans="1:21" ht="12.75">
      <c r="A522" s="44"/>
      <c r="B522" s="44"/>
      <c r="C522" s="44"/>
      <c r="D522" s="44"/>
      <c r="E522" s="44"/>
      <c r="F522" s="34"/>
      <c r="G522" s="34"/>
      <c r="H522" s="45"/>
      <c r="I522" s="44"/>
      <c r="J522" s="34"/>
      <c r="K522" s="44"/>
      <c r="L522" s="44"/>
      <c r="M522" s="44"/>
      <c r="N522" s="44"/>
      <c r="O522" s="44"/>
      <c r="P522" s="44"/>
      <c r="Q522" s="44"/>
      <c r="R522" s="44"/>
      <c r="S522" s="44"/>
      <c r="T522" s="44"/>
      <c r="U522" s="36"/>
    </row>
    <row r="523" spans="1:21" ht="12.75">
      <c r="A523" s="44"/>
      <c r="B523" s="44"/>
      <c r="C523" s="44"/>
      <c r="D523" s="44"/>
      <c r="E523" s="44"/>
      <c r="F523" s="34"/>
      <c r="G523" s="34"/>
      <c r="H523" s="45"/>
      <c r="I523" s="44"/>
      <c r="J523" s="34"/>
      <c r="K523" s="44"/>
      <c r="L523" s="44"/>
      <c r="M523" s="44"/>
      <c r="N523" s="44"/>
      <c r="O523" s="44"/>
      <c r="P523" s="44"/>
      <c r="Q523" s="44"/>
      <c r="R523" s="44"/>
      <c r="S523" s="44"/>
      <c r="T523" s="44"/>
      <c r="U523" s="36"/>
    </row>
    <row r="524" spans="1:21" ht="12.75">
      <c r="A524" s="44"/>
      <c r="B524" s="44"/>
      <c r="C524" s="44"/>
      <c r="D524" s="44"/>
      <c r="E524" s="44"/>
      <c r="F524" s="34"/>
      <c r="G524" s="34"/>
      <c r="H524" s="45"/>
      <c r="I524" s="44"/>
      <c r="J524" s="34"/>
      <c r="K524" s="44"/>
      <c r="L524" s="44"/>
      <c r="M524" s="44"/>
      <c r="N524" s="44"/>
      <c r="O524" s="44"/>
      <c r="P524" s="44"/>
      <c r="Q524" s="44"/>
      <c r="R524" s="44"/>
      <c r="S524" s="44"/>
      <c r="T524" s="44"/>
      <c r="U524" s="36"/>
    </row>
    <row r="525" spans="1:21" ht="12.75">
      <c r="A525" s="44"/>
      <c r="B525" s="44"/>
      <c r="C525" s="44"/>
      <c r="D525" s="44"/>
      <c r="E525" s="44"/>
      <c r="F525" s="34"/>
      <c r="G525" s="34"/>
      <c r="H525" s="45"/>
      <c r="I525" s="44"/>
      <c r="J525" s="34"/>
      <c r="K525" s="44"/>
      <c r="L525" s="44"/>
      <c r="M525" s="44"/>
      <c r="N525" s="44"/>
      <c r="O525" s="44"/>
      <c r="P525" s="44"/>
      <c r="Q525" s="44"/>
      <c r="R525" s="44"/>
      <c r="S525" s="44"/>
      <c r="T525" s="44"/>
      <c r="U525" s="36"/>
    </row>
    <row r="526" spans="1:21" ht="12.75">
      <c r="A526" s="44"/>
      <c r="B526" s="44"/>
      <c r="C526" s="44"/>
      <c r="D526" s="44"/>
      <c r="E526" s="44"/>
      <c r="F526" s="34"/>
      <c r="G526" s="34"/>
      <c r="H526" s="45"/>
      <c r="I526" s="44"/>
      <c r="J526" s="34"/>
      <c r="K526" s="44"/>
      <c r="L526" s="44"/>
      <c r="M526" s="44"/>
      <c r="N526" s="44"/>
      <c r="O526" s="44"/>
      <c r="P526" s="44"/>
      <c r="Q526" s="44"/>
      <c r="R526" s="44"/>
      <c r="S526" s="44"/>
      <c r="T526" s="44"/>
      <c r="U526" s="36"/>
    </row>
    <row r="527" spans="1:21" ht="12.75">
      <c r="A527" s="44"/>
      <c r="B527" s="44"/>
      <c r="C527" s="44"/>
      <c r="D527" s="44"/>
      <c r="E527" s="44"/>
      <c r="F527" s="34"/>
      <c r="G527" s="34"/>
      <c r="H527" s="45"/>
      <c r="I527" s="44"/>
      <c r="J527" s="34"/>
      <c r="K527" s="44"/>
      <c r="L527" s="44"/>
      <c r="M527" s="44"/>
      <c r="N527" s="44"/>
      <c r="O527" s="44"/>
      <c r="P527" s="44"/>
      <c r="Q527" s="44"/>
      <c r="R527" s="44"/>
      <c r="S527" s="44"/>
      <c r="T527" s="44"/>
      <c r="U527" s="36"/>
    </row>
    <row r="528" spans="1:21" ht="12.75">
      <c r="A528" s="44"/>
      <c r="B528" s="44"/>
      <c r="C528" s="44"/>
      <c r="D528" s="44"/>
      <c r="E528" s="44"/>
      <c r="F528" s="34"/>
      <c r="G528" s="34"/>
      <c r="H528" s="45"/>
      <c r="I528" s="44"/>
      <c r="J528" s="34"/>
      <c r="K528" s="44"/>
      <c r="L528" s="44"/>
      <c r="M528" s="44"/>
      <c r="N528" s="44"/>
      <c r="O528" s="44"/>
      <c r="P528" s="44"/>
      <c r="Q528" s="44"/>
      <c r="R528" s="44"/>
      <c r="S528" s="44"/>
      <c r="T528" s="44"/>
      <c r="U528" s="36"/>
    </row>
    <row r="529" spans="1:21" ht="12.75">
      <c r="A529" s="44"/>
      <c r="B529" s="44"/>
      <c r="C529" s="44"/>
      <c r="D529" s="44"/>
      <c r="E529" s="44"/>
      <c r="F529" s="34"/>
      <c r="G529" s="34"/>
      <c r="H529" s="45"/>
      <c r="I529" s="44"/>
      <c r="J529" s="34"/>
      <c r="K529" s="44"/>
      <c r="L529" s="44"/>
      <c r="M529" s="44"/>
      <c r="N529" s="44"/>
      <c r="O529" s="44"/>
      <c r="P529" s="44"/>
      <c r="Q529" s="44"/>
      <c r="R529" s="44"/>
      <c r="S529" s="44"/>
      <c r="T529" s="44"/>
      <c r="U529" s="36"/>
    </row>
    <row r="530" spans="1:21" ht="12.75">
      <c r="A530" s="44"/>
      <c r="B530" s="44"/>
      <c r="C530" s="44"/>
      <c r="D530" s="44"/>
      <c r="E530" s="44"/>
      <c r="F530" s="34"/>
      <c r="G530" s="34"/>
      <c r="H530" s="45"/>
      <c r="I530" s="44"/>
      <c r="J530" s="34"/>
      <c r="K530" s="44"/>
      <c r="L530" s="44"/>
      <c r="M530" s="44"/>
      <c r="N530" s="44"/>
      <c r="O530" s="44"/>
      <c r="P530" s="44"/>
      <c r="Q530" s="44"/>
      <c r="R530" s="44"/>
      <c r="S530" s="44"/>
      <c r="T530" s="44"/>
      <c r="U530" s="36"/>
    </row>
    <row r="531" spans="1:21" ht="12.75">
      <c r="A531" s="44"/>
      <c r="B531" s="44"/>
      <c r="C531" s="44"/>
      <c r="D531" s="44"/>
      <c r="E531" s="44"/>
      <c r="F531" s="34"/>
      <c r="G531" s="34"/>
      <c r="H531" s="45"/>
      <c r="I531" s="44"/>
      <c r="J531" s="34"/>
      <c r="K531" s="44"/>
      <c r="L531" s="44"/>
      <c r="M531" s="44"/>
      <c r="N531" s="44"/>
      <c r="O531" s="44"/>
      <c r="P531" s="44"/>
      <c r="Q531" s="44"/>
      <c r="R531" s="44"/>
      <c r="S531" s="44"/>
      <c r="T531" s="44"/>
      <c r="U531" s="36"/>
    </row>
    <row r="532" spans="1:21" ht="12.75">
      <c r="A532" s="44"/>
      <c r="B532" s="44"/>
      <c r="C532" s="44"/>
      <c r="D532" s="44"/>
      <c r="E532" s="44"/>
      <c r="F532" s="34"/>
      <c r="G532" s="34"/>
      <c r="H532" s="45"/>
      <c r="I532" s="44"/>
      <c r="J532" s="34"/>
      <c r="K532" s="44"/>
      <c r="L532" s="44"/>
      <c r="M532" s="44"/>
      <c r="N532" s="44"/>
      <c r="O532" s="44"/>
      <c r="P532" s="44"/>
      <c r="Q532" s="44"/>
      <c r="R532" s="44"/>
      <c r="S532" s="44"/>
      <c r="T532" s="44"/>
      <c r="U532" s="36"/>
    </row>
    <row r="533" spans="1:21" ht="12.75">
      <c r="A533" s="44"/>
      <c r="B533" s="44"/>
      <c r="C533" s="44"/>
      <c r="D533" s="44"/>
      <c r="E533" s="44"/>
      <c r="F533" s="34"/>
      <c r="G533" s="34"/>
      <c r="H533" s="45"/>
      <c r="I533" s="44"/>
      <c r="J533" s="34"/>
      <c r="K533" s="44"/>
      <c r="L533" s="44"/>
      <c r="M533" s="44"/>
      <c r="N533" s="44"/>
      <c r="O533" s="44"/>
      <c r="P533" s="44"/>
      <c r="Q533" s="44"/>
      <c r="R533" s="44"/>
      <c r="S533" s="44"/>
      <c r="T533" s="44"/>
      <c r="U533" s="36"/>
    </row>
    <row r="534" spans="1:21" ht="12.75">
      <c r="A534" s="44"/>
      <c r="B534" s="44"/>
      <c r="C534" s="44"/>
      <c r="D534" s="44"/>
      <c r="E534" s="44"/>
      <c r="F534" s="34"/>
      <c r="G534" s="34"/>
      <c r="H534" s="45"/>
      <c r="I534" s="44"/>
      <c r="J534" s="34"/>
      <c r="K534" s="44"/>
      <c r="L534" s="44"/>
      <c r="M534" s="44"/>
      <c r="N534" s="44"/>
      <c r="O534" s="44"/>
      <c r="P534" s="44"/>
      <c r="Q534" s="44"/>
      <c r="R534" s="44"/>
      <c r="S534" s="44"/>
      <c r="T534" s="44"/>
      <c r="U534" s="36"/>
    </row>
    <row r="535" spans="1:21" ht="12.75">
      <c r="A535" s="44"/>
      <c r="B535" s="44"/>
      <c r="C535" s="44"/>
      <c r="D535" s="44"/>
      <c r="E535" s="44"/>
      <c r="F535" s="34"/>
      <c r="G535" s="34"/>
      <c r="H535" s="45"/>
      <c r="I535" s="44"/>
      <c r="J535" s="34"/>
      <c r="K535" s="44"/>
      <c r="L535" s="44"/>
      <c r="M535" s="44"/>
      <c r="N535" s="44"/>
      <c r="O535" s="44"/>
      <c r="P535" s="44"/>
      <c r="Q535" s="44"/>
      <c r="R535" s="44"/>
      <c r="S535" s="44"/>
      <c r="T535" s="44"/>
      <c r="U535" s="36"/>
    </row>
    <row r="536" spans="1:21" ht="12.75">
      <c r="A536" s="44"/>
      <c r="B536" s="44"/>
      <c r="C536" s="44"/>
      <c r="D536" s="44"/>
      <c r="E536" s="44"/>
      <c r="F536" s="34"/>
      <c r="G536" s="34"/>
      <c r="H536" s="45"/>
      <c r="I536" s="44"/>
      <c r="J536" s="34"/>
      <c r="K536" s="44"/>
      <c r="L536" s="44"/>
      <c r="M536" s="44"/>
      <c r="N536" s="44"/>
      <c r="O536" s="44"/>
      <c r="P536" s="44"/>
      <c r="Q536" s="44"/>
      <c r="R536" s="44"/>
      <c r="S536" s="44"/>
      <c r="T536" s="44"/>
      <c r="U536" s="36"/>
    </row>
    <row r="537" spans="1:21" ht="12.75">
      <c r="A537" s="44"/>
      <c r="B537" s="44"/>
      <c r="C537" s="44"/>
      <c r="D537" s="44"/>
      <c r="E537" s="44"/>
      <c r="F537" s="34"/>
      <c r="G537" s="34"/>
      <c r="H537" s="45"/>
      <c r="I537" s="44"/>
      <c r="J537" s="34"/>
      <c r="K537" s="44"/>
      <c r="L537" s="44"/>
      <c r="M537" s="44"/>
      <c r="N537" s="44"/>
      <c r="O537" s="44"/>
      <c r="P537" s="44"/>
      <c r="Q537" s="44"/>
      <c r="R537" s="44"/>
      <c r="S537" s="44"/>
      <c r="T537" s="44"/>
      <c r="U537" s="36"/>
    </row>
    <row r="538" spans="1:21" ht="12.75">
      <c r="A538" s="44"/>
      <c r="B538" s="44"/>
      <c r="C538" s="44"/>
      <c r="D538" s="44"/>
      <c r="E538" s="44"/>
      <c r="F538" s="34"/>
      <c r="G538" s="34"/>
      <c r="H538" s="45"/>
      <c r="I538" s="44"/>
      <c r="J538" s="34"/>
      <c r="K538" s="44"/>
      <c r="L538" s="44"/>
      <c r="M538" s="44"/>
      <c r="N538" s="44"/>
      <c r="O538" s="44"/>
      <c r="P538" s="44"/>
      <c r="Q538" s="44"/>
      <c r="R538" s="44"/>
      <c r="S538" s="44"/>
      <c r="T538" s="44"/>
      <c r="U538" s="36"/>
    </row>
    <row r="539" spans="1:21" ht="12.75">
      <c r="A539" s="44"/>
      <c r="B539" s="44"/>
      <c r="C539" s="44"/>
      <c r="D539" s="44"/>
      <c r="E539" s="44"/>
      <c r="F539" s="34"/>
      <c r="G539" s="34"/>
      <c r="H539" s="45"/>
      <c r="I539" s="44"/>
      <c r="J539" s="34"/>
      <c r="K539" s="44"/>
      <c r="L539" s="44"/>
      <c r="M539" s="44"/>
      <c r="N539" s="44"/>
      <c r="O539" s="44"/>
      <c r="P539" s="44"/>
      <c r="Q539" s="44"/>
      <c r="R539" s="44"/>
      <c r="S539" s="44"/>
      <c r="T539" s="44"/>
      <c r="U539" s="36"/>
    </row>
    <row r="540" spans="1:21" ht="12.75">
      <c r="A540" s="44"/>
      <c r="B540" s="44"/>
      <c r="C540" s="44"/>
      <c r="D540" s="44"/>
      <c r="E540" s="44"/>
      <c r="F540" s="34"/>
      <c r="G540" s="34"/>
      <c r="H540" s="45"/>
      <c r="I540" s="44"/>
      <c r="J540" s="34"/>
      <c r="K540" s="44"/>
      <c r="L540" s="44"/>
      <c r="M540" s="44"/>
      <c r="N540" s="44"/>
      <c r="O540" s="44"/>
      <c r="P540" s="44"/>
      <c r="Q540" s="44"/>
      <c r="R540" s="44"/>
      <c r="S540" s="44"/>
      <c r="T540" s="44"/>
      <c r="U540" s="36"/>
    </row>
    <row r="541" spans="1:21" ht="12.75">
      <c r="A541" s="44"/>
      <c r="B541" s="44"/>
      <c r="C541" s="44"/>
      <c r="D541" s="44"/>
      <c r="E541" s="44"/>
      <c r="F541" s="34"/>
      <c r="G541" s="34"/>
      <c r="H541" s="45"/>
      <c r="I541" s="44"/>
      <c r="J541" s="34"/>
      <c r="K541" s="44"/>
      <c r="L541" s="44"/>
      <c r="M541" s="44"/>
      <c r="N541" s="44"/>
      <c r="O541" s="44"/>
      <c r="P541" s="44"/>
      <c r="Q541" s="44"/>
      <c r="R541" s="44"/>
      <c r="S541" s="44"/>
      <c r="T541" s="44"/>
      <c r="U541" s="36"/>
    </row>
    <row r="542" spans="1:21" ht="12.75">
      <c r="A542" s="44"/>
      <c r="B542" s="44"/>
      <c r="C542" s="44"/>
      <c r="D542" s="44"/>
      <c r="E542" s="44"/>
      <c r="F542" s="34"/>
      <c r="G542" s="34"/>
      <c r="H542" s="45"/>
      <c r="I542" s="44"/>
      <c r="J542" s="34"/>
      <c r="K542" s="44"/>
      <c r="L542" s="44"/>
      <c r="M542" s="44"/>
      <c r="N542" s="44"/>
      <c r="O542" s="44"/>
      <c r="P542" s="44"/>
      <c r="Q542" s="44"/>
      <c r="R542" s="44"/>
      <c r="S542" s="44"/>
      <c r="T542" s="44"/>
      <c r="U542" s="36"/>
    </row>
    <row r="543" spans="1:21" ht="12.75">
      <c r="A543" s="44"/>
      <c r="B543" s="44"/>
      <c r="C543" s="44"/>
      <c r="D543" s="44"/>
      <c r="E543" s="44"/>
      <c r="F543" s="34"/>
      <c r="G543" s="34"/>
      <c r="H543" s="45"/>
      <c r="I543" s="44"/>
      <c r="J543" s="34"/>
      <c r="K543" s="44"/>
      <c r="L543" s="44"/>
      <c r="M543" s="44"/>
      <c r="N543" s="44"/>
      <c r="O543" s="44"/>
      <c r="P543" s="44"/>
      <c r="Q543" s="44"/>
      <c r="R543" s="44"/>
      <c r="S543" s="44"/>
      <c r="T543" s="44"/>
      <c r="U543" s="36"/>
    </row>
    <row r="544" spans="1:21" ht="12.75">
      <c r="A544" s="44"/>
      <c r="B544" s="44"/>
      <c r="C544" s="44"/>
      <c r="D544" s="44"/>
      <c r="E544" s="44"/>
      <c r="F544" s="34"/>
      <c r="G544" s="34"/>
      <c r="H544" s="45"/>
      <c r="I544" s="44"/>
      <c r="J544" s="34"/>
      <c r="K544" s="44"/>
      <c r="L544" s="44"/>
      <c r="M544" s="44"/>
      <c r="N544" s="44"/>
      <c r="O544" s="44"/>
      <c r="P544" s="44"/>
      <c r="Q544" s="44"/>
      <c r="R544" s="44"/>
      <c r="S544" s="44"/>
      <c r="T544" s="44"/>
      <c r="U544" s="36"/>
    </row>
    <row r="545" spans="1:21" ht="12.75">
      <c r="A545" s="44"/>
      <c r="B545" s="44"/>
      <c r="C545" s="44"/>
      <c r="D545" s="44"/>
      <c r="E545" s="44"/>
      <c r="F545" s="34"/>
      <c r="G545" s="34"/>
      <c r="H545" s="45"/>
      <c r="I545" s="44"/>
      <c r="J545" s="34"/>
      <c r="K545" s="44"/>
      <c r="L545" s="44"/>
      <c r="M545" s="44"/>
      <c r="N545" s="44"/>
      <c r="O545" s="44"/>
      <c r="P545" s="44"/>
      <c r="Q545" s="44"/>
      <c r="R545" s="44"/>
      <c r="S545" s="44"/>
      <c r="T545" s="44"/>
      <c r="U545" s="36"/>
    </row>
    <row r="546" spans="1:21" ht="12.75">
      <c r="A546" s="44"/>
      <c r="B546" s="44"/>
      <c r="C546" s="44"/>
      <c r="D546" s="44"/>
      <c r="E546" s="44"/>
      <c r="F546" s="34"/>
      <c r="G546" s="34"/>
      <c r="H546" s="45"/>
      <c r="I546" s="44"/>
      <c r="J546" s="34"/>
      <c r="K546" s="44"/>
      <c r="L546" s="44"/>
      <c r="M546" s="44"/>
      <c r="N546" s="44"/>
      <c r="O546" s="44"/>
      <c r="P546" s="44"/>
      <c r="Q546" s="44"/>
      <c r="R546" s="44"/>
      <c r="S546" s="44"/>
      <c r="T546" s="44"/>
      <c r="U546" s="36"/>
    </row>
    <row r="547" spans="1:21" ht="12.75">
      <c r="A547" s="44"/>
      <c r="B547" s="44"/>
      <c r="C547" s="44"/>
      <c r="D547" s="44"/>
      <c r="E547" s="44"/>
      <c r="F547" s="34"/>
      <c r="G547" s="34"/>
      <c r="H547" s="45"/>
      <c r="I547" s="44"/>
      <c r="J547" s="34"/>
      <c r="K547" s="44"/>
      <c r="L547" s="44"/>
      <c r="M547" s="44"/>
      <c r="N547" s="44"/>
      <c r="O547" s="44"/>
      <c r="P547" s="44"/>
      <c r="Q547" s="44"/>
      <c r="R547" s="44"/>
      <c r="S547" s="44"/>
      <c r="T547" s="44"/>
      <c r="U547" s="36"/>
    </row>
    <row r="548" spans="1:21" ht="12.75">
      <c r="A548" s="44"/>
      <c r="B548" s="44"/>
      <c r="C548" s="44"/>
      <c r="D548" s="44"/>
      <c r="E548" s="44"/>
      <c r="F548" s="34"/>
      <c r="G548" s="34"/>
      <c r="H548" s="45"/>
      <c r="I548" s="44"/>
      <c r="J548" s="34"/>
      <c r="K548" s="44"/>
      <c r="L548" s="44"/>
      <c r="M548" s="44"/>
      <c r="N548" s="44"/>
      <c r="O548" s="44"/>
      <c r="P548" s="44"/>
      <c r="Q548" s="44"/>
      <c r="R548" s="44"/>
      <c r="S548" s="44"/>
      <c r="T548" s="44"/>
      <c r="U548" s="36"/>
    </row>
    <row r="549" spans="1:21" ht="12.75">
      <c r="A549" s="44"/>
      <c r="B549" s="44"/>
      <c r="C549" s="44"/>
      <c r="D549" s="44"/>
      <c r="E549" s="44"/>
      <c r="F549" s="34"/>
      <c r="G549" s="34"/>
      <c r="H549" s="45"/>
      <c r="I549" s="44"/>
      <c r="J549" s="34"/>
      <c r="K549" s="44"/>
      <c r="L549" s="44"/>
      <c r="M549" s="44"/>
      <c r="N549" s="44"/>
      <c r="O549" s="44"/>
      <c r="P549" s="44"/>
      <c r="Q549" s="44"/>
      <c r="R549" s="44"/>
      <c r="S549" s="44"/>
      <c r="T549" s="44"/>
      <c r="U549" s="36"/>
    </row>
    <row r="550" spans="1:21" ht="12.75">
      <c r="A550" s="44"/>
      <c r="B550" s="44"/>
      <c r="C550" s="44"/>
      <c r="D550" s="44"/>
      <c r="E550" s="44"/>
      <c r="F550" s="34"/>
      <c r="G550" s="34"/>
      <c r="H550" s="45"/>
      <c r="I550" s="44"/>
      <c r="J550" s="34"/>
      <c r="K550" s="44"/>
      <c r="L550" s="44"/>
      <c r="M550" s="44"/>
      <c r="N550" s="44"/>
      <c r="O550" s="44"/>
      <c r="P550" s="44"/>
      <c r="Q550" s="44"/>
      <c r="R550" s="44"/>
      <c r="S550" s="44"/>
      <c r="T550" s="44"/>
      <c r="U550" s="36"/>
    </row>
    <row r="551" spans="1:21" ht="12.75">
      <c r="A551" s="44"/>
      <c r="B551" s="44"/>
      <c r="C551" s="44"/>
      <c r="D551" s="44"/>
      <c r="E551" s="44"/>
      <c r="F551" s="34"/>
      <c r="G551" s="34"/>
      <c r="H551" s="45"/>
      <c r="I551" s="44"/>
      <c r="J551" s="34"/>
      <c r="K551" s="44"/>
      <c r="L551" s="44"/>
      <c r="M551" s="44"/>
      <c r="N551" s="44"/>
      <c r="O551" s="44"/>
      <c r="P551" s="44"/>
      <c r="Q551" s="44"/>
      <c r="R551" s="44"/>
      <c r="S551" s="44"/>
      <c r="T551" s="44"/>
      <c r="U551" s="36"/>
    </row>
    <row r="552" spans="1:21" ht="12.75">
      <c r="A552" s="44"/>
      <c r="B552" s="44"/>
      <c r="C552" s="44"/>
      <c r="D552" s="44"/>
      <c r="E552" s="44"/>
      <c r="F552" s="34"/>
      <c r="G552" s="34"/>
      <c r="H552" s="45"/>
      <c r="I552" s="44"/>
      <c r="J552" s="34"/>
      <c r="K552" s="44"/>
      <c r="L552" s="44"/>
      <c r="M552" s="44"/>
      <c r="N552" s="44"/>
      <c r="O552" s="44"/>
      <c r="P552" s="44"/>
      <c r="Q552" s="44"/>
      <c r="R552" s="44"/>
      <c r="S552" s="44"/>
      <c r="T552" s="44"/>
      <c r="U552" s="36"/>
    </row>
    <row r="553" spans="1:21" ht="12.75">
      <c r="A553" s="44"/>
      <c r="B553" s="44"/>
      <c r="C553" s="44"/>
      <c r="D553" s="44"/>
      <c r="E553" s="44"/>
      <c r="F553" s="34"/>
      <c r="G553" s="34"/>
      <c r="H553" s="45"/>
      <c r="I553" s="44"/>
      <c r="J553" s="34"/>
      <c r="K553" s="44"/>
      <c r="L553" s="44"/>
      <c r="M553" s="44"/>
      <c r="N553" s="44"/>
      <c r="O553" s="44"/>
      <c r="P553" s="44"/>
      <c r="Q553" s="44"/>
      <c r="R553" s="44"/>
      <c r="S553" s="44"/>
      <c r="T553" s="44"/>
      <c r="U553" s="36"/>
    </row>
    <row r="554" spans="1:21" ht="12.75">
      <c r="A554" s="44"/>
      <c r="B554" s="44"/>
      <c r="C554" s="44"/>
      <c r="D554" s="44"/>
      <c r="E554" s="44"/>
      <c r="F554" s="34"/>
      <c r="G554" s="34"/>
      <c r="H554" s="45"/>
      <c r="I554" s="44"/>
      <c r="J554" s="34"/>
      <c r="K554" s="44"/>
      <c r="L554" s="44"/>
      <c r="M554" s="44"/>
      <c r="N554" s="44"/>
      <c r="O554" s="44"/>
      <c r="P554" s="44"/>
      <c r="Q554" s="44"/>
      <c r="R554" s="44"/>
      <c r="S554" s="44"/>
      <c r="T554" s="44"/>
      <c r="U554" s="36"/>
    </row>
    <row r="555" spans="1:21" ht="12.75">
      <c r="A555" s="44"/>
      <c r="B555" s="44"/>
      <c r="C555" s="44"/>
      <c r="D555" s="44"/>
      <c r="E555" s="44"/>
      <c r="F555" s="34"/>
      <c r="G555" s="34"/>
      <c r="H555" s="45"/>
      <c r="I555" s="44"/>
      <c r="J555" s="34"/>
      <c r="K555" s="44"/>
      <c r="L555" s="44"/>
      <c r="M555" s="44"/>
      <c r="N555" s="44"/>
      <c r="O555" s="44"/>
      <c r="P555" s="44"/>
      <c r="Q555" s="44"/>
      <c r="R555" s="44"/>
      <c r="S555" s="44"/>
      <c r="T555" s="44"/>
      <c r="U555" s="36"/>
    </row>
    <row r="556" spans="1:21" ht="12.75">
      <c r="A556" s="44"/>
      <c r="B556" s="44"/>
      <c r="C556" s="44"/>
      <c r="D556" s="44"/>
      <c r="E556" s="44"/>
      <c r="F556" s="34"/>
      <c r="G556" s="34"/>
      <c r="H556" s="45"/>
      <c r="I556" s="44"/>
      <c r="J556" s="34"/>
      <c r="K556" s="44"/>
      <c r="L556" s="44"/>
      <c r="M556" s="44"/>
      <c r="N556" s="44"/>
      <c r="O556" s="44"/>
      <c r="P556" s="44"/>
      <c r="Q556" s="44"/>
      <c r="R556" s="44"/>
      <c r="S556" s="44"/>
      <c r="T556" s="44"/>
      <c r="U556" s="36"/>
    </row>
    <row r="557" spans="1:21" ht="12.75">
      <c r="A557" s="44"/>
      <c r="B557" s="44"/>
      <c r="C557" s="44"/>
      <c r="D557" s="44"/>
      <c r="E557" s="44"/>
      <c r="F557" s="34"/>
      <c r="G557" s="34"/>
      <c r="H557" s="45"/>
      <c r="I557" s="44"/>
      <c r="J557" s="34"/>
      <c r="K557" s="44"/>
      <c r="L557" s="44"/>
      <c r="M557" s="44"/>
      <c r="N557" s="44"/>
      <c r="O557" s="44"/>
      <c r="P557" s="44"/>
      <c r="Q557" s="44"/>
      <c r="R557" s="44"/>
      <c r="S557" s="44"/>
      <c r="T557" s="44"/>
      <c r="U557" s="36"/>
    </row>
    <row r="558" spans="1:21" ht="12.75">
      <c r="A558" s="44"/>
      <c r="B558" s="44"/>
      <c r="C558" s="44"/>
      <c r="D558" s="44"/>
      <c r="E558" s="44"/>
      <c r="F558" s="34"/>
      <c r="G558" s="34"/>
      <c r="H558" s="45"/>
      <c r="I558" s="44"/>
      <c r="J558" s="34"/>
      <c r="K558" s="44"/>
      <c r="L558" s="44"/>
      <c r="M558" s="44"/>
      <c r="N558" s="44"/>
      <c r="O558" s="44"/>
      <c r="P558" s="44"/>
      <c r="Q558" s="44"/>
      <c r="R558" s="44"/>
      <c r="S558" s="44"/>
      <c r="T558" s="44"/>
      <c r="U558" s="36"/>
    </row>
    <row r="559" spans="1:21" ht="12.75">
      <c r="A559" s="44"/>
      <c r="B559" s="44"/>
      <c r="C559" s="44"/>
      <c r="D559" s="44"/>
      <c r="E559" s="44"/>
      <c r="F559" s="34"/>
      <c r="G559" s="34"/>
      <c r="H559" s="45"/>
      <c r="I559" s="44"/>
      <c r="J559" s="34"/>
      <c r="K559" s="44"/>
      <c r="L559" s="44"/>
      <c r="M559" s="44"/>
      <c r="N559" s="44"/>
      <c r="O559" s="44"/>
      <c r="P559" s="44"/>
      <c r="Q559" s="44"/>
      <c r="R559" s="44"/>
      <c r="S559" s="44"/>
      <c r="T559" s="44"/>
      <c r="U559" s="36"/>
    </row>
    <row r="560" spans="1:21" ht="12.75">
      <c r="A560" s="44"/>
      <c r="B560" s="44"/>
      <c r="C560" s="44"/>
      <c r="D560" s="44"/>
      <c r="E560" s="44"/>
      <c r="F560" s="34"/>
      <c r="G560" s="34"/>
      <c r="H560" s="45"/>
      <c r="I560" s="44"/>
      <c r="J560" s="34"/>
      <c r="K560" s="44"/>
      <c r="L560" s="44"/>
      <c r="M560" s="44"/>
      <c r="N560" s="44"/>
      <c r="O560" s="44"/>
      <c r="P560" s="44"/>
      <c r="Q560" s="44"/>
      <c r="R560" s="44"/>
      <c r="S560" s="44"/>
      <c r="T560" s="44"/>
      <c r="U560" s="36"/>
    </row>
    <row r="561" spans="1:21" ht="12.75">
      <c r="A561" s="44"/>
      <c r="B561" s="44"/>
      <c r="C561" s="44"/>
      <c r="D561" s="44"/>
      <c r="E561" s="44"/>
      <c r="F561" s="34"/>
      <c r="G561" s="34"/>
      <c r="H561" s="45"/>
      <c r="I561" s="44"/>
      <c r="J561" s="34"/>
      <c r="K561" s="44"/>
      <c r="L561" s="44"/>
      <c r="M561" s="44"/>
      <c r="N561" s="44"/>
      <c r="O561" s="44"/>
      <c r="P561" s="44"/>
      <c r="Q561" s="44"/>
      <c r="R561" s="44"/>
      <c r="S561" s="44"/>
      <c r="T561" s="44"/>
      <c r="U561" s="36"/>
    </row>
    <row r="562" spans="1:21" ht="12.75">
      <c r="A562" s="44"/>
      <c r="B562" s="44"/>
      <c r="C562" s="44"/>
      <c r="D562" s="44"/>
      <c r="E562" s="44"/>
      <c r="F562" s="34"/>
      <c r="G562" s="34"/>
      <c r="H562" s="45"/>
      <c r="I562" s="44"/>
      <c r="J562" s="34"/>
      <c r="K562" s="44"/>
      <c r="L562" s="44"/>
      <c r="M562" s="44"/>
      <c r="N562" s="44"/>
      <c r="O562" s="44"/>
      <c r="P562" s="44"/>
      <c r="Q562" s="44"/>
      <c r="R562" s="44"/>
      <c r="S562" s="44"/>
      <c r="T562" s="44"/>
      <c r="U562" s="36"/>
    </row>
    <row r="563" spans="1:21" ht="12.75">
      <c r="A563" s="44"/>
      <c r="B563" s="44"/>
      <c r="C563" s="44"/>
      <c r="D563" s="44"/>
      <c r="E563" s="44"/>
      <c r="F563" s="34"/>
      <c r="G563" s="34"/>
      <c r="H563" s="45"/>
      <c r="I563" s="44"/>
      <c r="J563" s="34"/>
      <c r="K563" s="44"/>
      <c r="L563" s="44"/>
      <c r="M563" s="44"/>
      <c r="N563" s="44"/>
      <c r="O563" s="44"/>
      <c r="P563" s="44"/>
      <c r="Q563" s="44"/>
      <c r="R563" s="44"/>
      <c r="S563" s="44"/>
      <c r="T563" s="44"/>
      <c r="U563" s="36"/>
    </row>
    <row r="564" spans="1:21" ht="12.75">
      <c r="A564" s="44"/>
      <c r="B564" s="44"/>
      <c r="C564" s="44"/>
      <c r="D564" s="44"/>
      <c r="E564" s="44"/>
      <c r="F564" s="34"/>
      <c r="G564" s="34"/>
      <c r="H564" s="45"/>
      <c r="I564" s="44"/>
      <c r="J564" s="34"/>
      <c r="K564" s="44"/>
      <c r="L564" s="44"/>
      <c r="M564" s="44"/>
      <c r="N564" s="44"/>
      <c r="O564" s="44"/>
      <c r="P564" s="44"/>
      <c r="Q564" s="44"/>
      <c r="R564" s="44"/>
      <c r="S564" s="44"/>
      <c r="T564" s="44"/>
      <c r="U564" s="36"/>
    </row>
    <row r="565" spans="1:21" ht="12.75">
      <c r="A565" s="44"/>
      <c r="B565" s="44"/>
      <c r="C565" s="44"/>
      <c r="D565" s="44"/>
      <c r="E565" s="44"/>
      <c r="F565" s="34"/>
      <c r="G565" s="34"/>
      <c r="H565" s="45"/>
      <c r="I565" s="44"/>
      <c r="J565" s="34"/>
      <c r="K565" s="44"/>
      <c r="L565" s="44"/>
      <c r="M565" s="44"/>
      <c r="N565" s="44"/>
      <c r="O565" s="44"/>
      <c r="P565" s="44"/>
      <c r="Q565" s="44"/>
      <c r="R565" s="44"/>
      <c r="S565" s="44"/>
      <c r="T565" s="44"/>
      <c r="U565" s="36"/>
    </row>
    <row r="566" spans="1:21" ht="12.75">
      <c r="A566" s="44"/>
      <c r="B566" s="44"/>
      <c r="C566" s="44"/>
      <c r="D566" s="44"/>
      <c r="E566" s="44"/>
      <c r="F566" s="34"/>
      <c r="G566" s="34"/>
      <c r="H566" s="45"/>
      <c r="I566" s="44"/>
      <c r="J566" s="34"/>
      <c r="K566" s="44"/>
      <c r="L566" s="44"/>
      <c r="M566" s="44"/>
      <c r="N566" s="44"/>
      <c r="O566" s="44"/>
      <c r="P566" s="44"/>
      <c r="Q566" s="44"/>
      <c r="R566" s="44"/>
      <c r="S566" s="44"/>
      <c r="T566" s="44"/>
      <c r="U566" s="36"/>
    </row>
    <row r="567" spans="1:21" ht="12.75">
      <c r="A567" s="44"/>
      <c r="B567" s="44"/>
      <c r="C567" s="44"/>
      <c r="D567" s="44"/>
      <c r="E567" s="44"/>
      <c r="F567" s="34"/>
      <c r="G567" s="34"/>
      <c r="H567" s="45"/>
      <c r="I567" s="44"/>
      <c r="J567" s="34"/>
      <c r="K567" s="44"/>
      <c r="L567" s="44"/>
      <c r="M567" s="44"/>
      <c r="N567" s="44"/>
      <c r="O567" s="44"/>
      <c r="P567" s="44"/>
      <c r="Q567" s="44"/>
      <c r="R567" s="44"/>
      <c r="S567" s="44"/>
      <c r="T567" s="44"/>
      <c r="U567" s="36"/>
    </row>
    <row r="568" spans="1:21" ht="12.75">
      <c r="A568" s="44"/>
      <c r="B568" s="44"/>
      <c r="C568" s="44"/>
      <c r="D568" s="44"/>
      <c r="E568" s="44"/>
      <c r="F568" s="34"/>
      <c r="G568" s="34"/>
      <c r="H568" s="45"/>
      <c r="I568" s="44"/>
      <c r="J568" s="34"/>
      <c r="K568" s="44"/>
      <c r="L568" s="44"/>
      <c r="M568" s="44"/>
      <c r="N568" s="44"/>
      <c r="O568" s="44"/>
      <c r="P568" s="44"/>
      <c r="Q568" s="44"/>
      <c r="R568" s="44"/>
      <c r="S568" s="44"/>
      <c r="T568" s="44"/>
      <c r="U568" s="36"/>
    </row>
    <row r="569" spans="1:21" ht="12.75">
      <c r="A569" s="44"/>
      <c r="B569" s="44"/>
      <c r="C569" s="44"/>
      <c r="D569" s="44"/>
      <c r="E569" s="44"/>
      <c r="F569" s="34"/>
      <c r="G569" s="34"/>
      <c r="H569" s="45"/>
      <c r="I569" s="44"/>
      <c r="J569" s="34"/>
      <c r="K569" s="44"/>
      <c r="L569" s="44"/>
      <c r="M569" s="44"/>
      <c r="N569" s="44"/>
      <c r="O569" s="44"/>
      <c r="P569" s="44"/>
      <c r="Q569" s="44"/>
      <c r="R569" s="44"/>
      <c r="S569" s="44"/>
      <c r="T569" s="44"/>
      <c r="U569" s="36"/>
    </row>
    <row r="570" spans="1:21" ht="12.75">
      <c r="A570" s="44"/>
      <c r="B570" s="44"/>
      <c r="C570" s="44"/>
      <c r="D570" s="44"/>
      <c r="E570" s="44"/>
      <c r="F570" s="34"/>
      <c r="G570" s="34"/>
      <c r="H570" s="45"/>
      <c r="I570" s="44"/>
      <c r="J570" s="34"/>
      <c r="K570" s="44"/>
      <c r="L570" s="44"/>
      <c r="M570" s="44"/>
      <c r="N570" s="44"/>
      <c r="O570" s="44"/>
      <c r="P570" s="44"/>
      <c r="Q570" s="44"/>
      <c r="R570" s="44"/>
      <c r="S570" s="44"/>
      <c r="T570" s="44"/>
      <c r="U570" s="36"/>
    </row>
    <row r="571" spans="1:21" ht="12.75">
      <c r="A571" s="44"/>
      <c r="B571" s="44"/>
      <c r="C571" s="44"/>
      <c r="D571" s="44"/>
      <c r="E571" s="44"/>
      <c r="F571" s="34"/>
      <c r="G571" s="34"/>
      <c r="H571" s="45"/>
      <c r="I571" s="44"/>
      <c r="J571" s="34"/>
      <c r="K571" s="44"/>
      <c r="L571" s="44"/>
      <c r="M571" s="44"/>
      <c r="N571" s="44"/>
      <c r="O571" s="44"/>
      <c r="P571" s="44"/>
      <c r="Q571" s="44"/>
      <c r="R571" s="44"/>
      <c r="S571" s="44"/>
      <c r="T571" s="44"/>
      <c r="U571" s="36"/>
    </row>
    <row r="572" spans="1:21" ht="12.75">
      <c r="A572" s="44"/>
      <c r="B572" s="44"/>
      <c r="C572" s="44"/>
      <c r="D572" s="44"/>
      <c r="E572" s="44"/>
      <c r="F572" s="34"/>
      <c r="G572" s="34"/>
      <c r="H572" s="45"/>
      <c r="I572" s="44"/>
      <c r="J572" s="34"/>
      <c r="K572" s="44"/>
      <c r="L572" s="44"/>
      <c r="M572" s="44"/>
      <c r="N572" s="44"/>
      <c r="O572" s="44"/>
      <c r="P572" s="44"/>
      <c r="Q572" s="44"/>
      <c r="R572" s="44"/>
      <c r="S572" s="44"/>
      <c r="T572" s="44"/>
      <c r="U572" s="36"/>
    </row>
    <row r="573" spans="1:21" ht="12.75">
      <c r="A573" s="44"/>
      <c r="B573" s="44"/>
      <c r="C573" s="44"/>
      <c r="D573" s="44"/>
      <c r="E573" s="44"/>
      <c r="F573" s="34"/>
      <c r="G573" s="34"/>
      <c r="H573" s="45"/>
      <c r="I573" s="44"/>
      <c r="J573" s="34"/>
      <c r="K573" s="44"/>
      <c r="L573" s="44"/>
      <c r="M573" s="44"/>
      <c r="N573" s="44"/>
      <c r="O573" s="44"/>
      <c r="P573" s="44"/>
      <c r="Q573" s="44"/>
      <c r="R573" s="44"/>
      <c r="S573" s="44"/>
      <c r="T573" s="44"/>
      <c r="U573" s="36"/>
    </row>
    <row r="574" spans="1:21" ht="12.75">
      <c r="A574" s="44"/>
      <c r="B574" s="44"/>
      <c r="C574" s="44"/>
      <c r="D574" s="44"/>
      <c r="E574" s="44"/>
      <c r="F574" s="34"/>
      <c r="G574" s="34"/>
      <c r="H574" s="45"/>
      <c r="I574" s="44"/>
      <c r="J574" s="34"/>
      <c r="K574" s="44"/>
      <c r="L574" s="44"/>
      <c r="M574" s="44"/>
      <c r="N574" s="44"/>
      <c r="O574" s="44"/>
      <c r="P574" s="44"/>
      <c r="Q574" s="44"/>
      <c r="R574" s="44"/>
      <c r="S574" s="44"/>
      <c r="T574" s="44"/>
      <c r="U574" s="36"/>
    </row>
    <row r="575" spans="1:21" ht="12.75">
      <c r="A575" s="44"/>
      <c r="B575" s="44"/>
      <c r="C575" s="44"/>
      <c r="D575" s="44"/>
      <c r="E575" s="44"/>
      <c r="F575" s="34"/>
      <c r="G575" s="34"/>
      <c r="H575" s="45"/>
      <c r="I575" s="44"/>
      <c r="J575" s="34"/>
      <c r="K575" s="44"/>
      <c r="L575" s="44"/>
      <c r="M575" s="44"/>
      <c r="N575" s="44"/>
      <c r="O575" s="44"/>
      <c r="P575" s="44"/>
      <c r="Q575" s="44"/>
      <c r="R575" s="44"/>
      <c r="S575" s="44"/>
      <c r="T575" s="44"/>
      <c r="U575" s="36"/>
    </row>
    <row r="576" spans="1:21" ht="12.75">
      <c r="A576" s="44"/>
      <c r="B576" s="44"/>
      <c r="C576" s="44"/>
      <c r="D576" s="44"/>
      <c r="E576" s="44"/>
      <c r="F576" s="34"/>
      <c r="G576" s="34"/>
      <c r="H576" s="45"/>
      <c r="I576" s="44"/>
      <c r="J576" s="34"/>
      <c r="K576" s="44"/>
      <c r="L576" s="44"/>
      <c r="M576" s="44"/>
      <c r="N576" s="44"/>
      <c r="O576" s="44"/>
      <c r="P576" s="44"/>
      <c r="Q576" s="44"/>
      <c r="R576" s="44"/>
      <c r="S576" s="44"/>
      <c r="T576" s="44"/>
      <c r="U576" s="36"/>
    </row>
    <row r="577" spans="1:21" ht="12.75">
      <c r="A577" s="44"/>
      <c r="B577" s="44"/>
      <c r="C577" s="44"/>
      <c r="D577" s="44"/>
      <c r="E577" s="44"/>
      <c r="F577" s="34"/>
      <c r="G577" s="34"/>
      <c r="H577" s="45"/>
      <c r="I577" s="44"/>
      <c r="J577" s="34"/>
      <c r="K577" s="44"/>
      <c r="L577" s="44"/>
      <c r="M577" s="44"/>
      <c r="N577" s="44"/>
      <c r="O577" s="44"/>
      <c r="P577" s="44"/>
      <c r="Q577" s="44"/>
      <c r="R577" s="44"/>
      <c r="S577" s="44"/>
      <c r="T577" s="44"/>
      <c r="U577" s="36"/>
    </row>
    <row r="578" spans="1:21" ht="12.75">
      <c r="A578" s="44"/>
      <c r="B578" s="44"/>
      <c r="C578" s="44"/>
      <c r="D578" s="44"/>
      <c r="E578" s="44"/>
      <c r="F578" s="34"/>
      <c r="G578" s="34"/>
      <c r="H578" s="45"/>
      <c r="I578" s="44"/>
      <c r="J578" s="34"/>
      <c r="K578" s="44"/>
      <c r="L578" s="44"/>
      <c r="M578" s="44"/>
      <c r="N578" s="44"/>
      <c r="O578" s="44"/>
      <c r="P578" s="44"/>
      <c r="Q578" s="44"/>
      <c r="R578" s="44"/>
      <c r="S578" s="44"/>
      <c r="T578" s="44"/>
      <c r="U578" s="36"/>
    </row>
    <row r="579" spans="1:21" ht="12.75">
      <c r="A579" s="44"/>
      <c r="B579" s="44"/>
      <c r="C579" s="44"/>
      <c r="D579" s="44"/>
      <c r="E579" s="44"/>
      <c r="F579" s="34"/>
      <c r="G579" s="34"/>
      <c r="H579" s="45"/>
      <c r="I579" s="44"/>
      <c r="J579" s="34"/>
      <c r="K579" s="44"/>
      <c r="L579" s="44"/>
      <c r="M579" s="44"/>
      <c r="N579" s="44"/>
      <c r="O579" s="44"/>
      <c r="P579" s="44"/>
      <c r="Q579" s="44"/>
      <c r="R579" s="44"/>
      <c r="S579" s="44"/>
      <c r="T579" s="44"/>
      <c r="U579" s="36"/>
    </row>
    <row r="580" spans="1:21" ht="12.75">
      <c r="A580" s="44"/>
      <c r="B580" s="44"/>
      <c r="C580" s="44"/>
      <c r="D580" s="44"/>
      <c r="E580" s="44"/>
      <c r="F580" s="34"/>
      <c r="G580" s="34"/>
      <c r="H580" s="45"/>
      <c r="I580" s="44"/>
      <c r="J580" s="34"/>
      <c r="K580" s="44"/>
      <c r="L580" s="44"/>
      <c r="M580" s="44"/>
      <c r="N580" s="44"/>
      <c r="O580" s="44"/>
      <c r="P580" s="44"/>
      <c r="Q580" s="44"/>
      <c r="R580" s="44"/>
      <c r="S580" s="44"/>
      <c r="T580" s="44"/>
      <c r="U580" s="36"/>
    </row>
    <row r="581" spans="1:21" ht="12.75">
      <c r="A581" s="44"/>
      <c r="B581" s="44"/>
      <c r="C581" s="44"/>
      <c r="D581" s="44"/>
      <c r="E581" s="44"/>
      <c r="F581" s="34"/>
      <c r="G581" s="34"/>
      <c r="H581" s="45"/>
      <c r="I581" s="44"/>
      <c r="J581" s="34"/>
      <c r="K581" s="44"/>
      <c r="L581" s="44"/>
      <c r="M581" s="44"/>
      <c r="N581" s="44"/>
      <c r="O581" s="44"/>
      <c r="P581" s="44"/>
      <c r="Q581" s="44"/>
      <c r="R581" s="44"/>
      <c r="S581" s="44"/>
      <c r="T581" s="44"/>
      <c r="U581" s="36"/>
    </row>
    <row r="582" spans="1:21" ht="12.75">
      <c r="A582" s="44"/>
      <c r="B582" s="44"/>
      <c r="C582" s="44"/>
      <c r="D582" s="44"/>
      <c r="E582" s="44"/>
      <c r="F582" s="34"/>
      <c r="G582" s="34"/>
      <c r="H582" s="45"/>
      <c r="I582" s="44"/>
      <c r="J582" s="34"/>
      <c r="K582" s="44"/>
      <c r="L582" s="44"/>
      <c r="M582" s="44"/>
      <c r="N582" s="44"/>
      <c r="O582" s="44"/>
      <c r="P582" s="44"/>
      <c r="Q582" s="44"/>
      <c r="R582" s="44"/>
      <c r="S582" s="44"/>
      <c r="T582" s="44"/>
      <c r="U582" s="36"/>
    </row>
    <row r="583" spans="1:21" ht="12.75">
      <c r="A583" s="44"/>
      <c r="B583" s="44"/>
      <c r="C583" s="44"/>
      <c r="D583" s="44"/>
      <c r="E583" s="44"/>
      <c r="F583" s="34"/>
      <c r="G583" s="34"/>
      <c r="H583" s="45"/>
      <c r="I583" s="44"/>
      <c r="J583" s="34"/>
      <c r="K583" s="44"/>
      <c r="L583" s="44"/>
      <c r="M583" s="44"/>
      <c r="N583" s="44"/>
      <c r="O583" s="44"/>
      <c r="P583" s="44"/>
      <c r="Q583" s="44"/>
      <c r="R583" s="44"/>
      <c r="S583" s="44"/>
      <c r="T583" s="44"/>
      <c r="U583" s="36"/>
    </row>
    <row r="584" spans="1:21" ht="12.75">
      <c r="A584" s="44"/>
      <c r="B584" s="44"/>
      <c r="C584" s="44"/>
      <c r="D584" s="44"/>
      <c r="E584" s="44"/>
      <c r="F584" s="34"/>
      <c r="G584" s="34"/>
      <c r="H584" s="45"/>
      <c r="I584" s="44"/>
      <c r="J584" s="34"/>
      <c r="K584" s="44"/>
      <c r="L584" s="44"/>
      <c r="M584" s="44"/>
      <c r="N584" s="44"/>
      <c r="O584" s="44"/>
      <c r="P584" s="44"/>
      <c r="Q584" s="44"/>
      <c r="R584" s="44"/>
      <c r="S584" s="44"/>
      <c r="T584" s="44"/>
      <c r="U584" s="36"/>
    </row>
    <row r="585" spans="1:21" ht="12.75">
      <c r="A585" s="44"/>
      <c r="B585" s="44"/>
      <c r="C585" s="44"/>
      <c r="D585" s="44"/>
      <c r="E585" s="44"/>
      <c r="F585" s="34"/>
      <c r="G585" s="34"/>
      <c r="H585" s="45"/>
      <c r="I585" s="44"/>
      <c r="J585" s="34"/>
      <c r="K585" s="44"/>
      <c r="L585" s="44"/>
      <c r="M585" s="44"/>
      <c r="N585" s="44"/>
      <c r="O585" s="44"/>
      <c r="P585" s="44"/>
      <c r="Q585" s="44"/>
      <c r="R585" s="44"/>
      <c r="S585" s="44"/>
      <c r="T585" s="44"/>
      <c r="U585" s="36"/>
    </row>
    <row r="586" spans="1:21" ht="12.75">
      <c r="A586" s="44"/>
      <c r="B586" s="44"/>
      <c r="C586" s="44"/>
      <c r="D586" s="44"/>
      <c r="E586" s="44"/>
      <c r="F586" s="34"/>
      <c r="G586" s="34"/>
      <c r="H586" s="45"/>
      <c r="I586" s="44"/>
      <c r="J586" s="34"/>
      <c r="K586" s="44"/>
      <c r="L586" s="44"/>
      <c r="M586" s="44"/>
      <c r="N586" s="44"/>
      <c r="O586" s="44"/>
      <c r="P586" s="44"/>
      <c r="Q586" s="44"/>
      <c r="R586" s="44"/>
      <c r="S586" s="44"/>
      <c r="T586" s="44"/>
      <c r="U586" s="36"/>
    </row>
    <row r="587" spans="1:21" ht="12.75">
      <c r="A587" s="44"/>
      <c r="B587" s="44"/>
      <c r="C587" s="44"/>
      <c r="D587" s="44"/>
      <c r="E587" s="44"/>
      <c r="F587" s="34"/>
      <c r="G587" s="34"/>
      <c r="H587" s="45"/>
      <c r="I587" s="44"/>
      <c r="J587" s="34"/>
      <c r="K587" s="44"/>
      <c r="L587" s="44"/>
      <c r="M587" s="44"/>
      <c r="N587" s="44"/>
      <c r="O587" s="44"/>
      <c r="P587" s="44"/>
      <c r="Q587" s="44"/>
      <c r="R587" s="44"/>
      <c r="S587" s="44"/>
      <c r="T587" s="44"/>
      <c r="U587" s="36"/>
    </row>
    <row r="588" spans="1:21" ht="12.75">
      <c r="A588" s="44"/>
      <c r="B588" s="44"/>
      <c r="C588" s="44"/>
      <c r="D588" s="44"/>
      <c r="E588" s="44"/>
      <c r="F588" s="34"/>
      <c r="G588" s="34"/>
      <c r="H588" s="45"/>
      <c r="I588" s="44"/>
      <c r="J588" s="34"/>
      <c r="K588" s="44"/>
      <c r="L588" s="44"/>
      <c r="M588" s="44"/>
      <c r="N588" s="44"/>
      <c r="O588" s="44"/>
      <c r="P588" s="44"/>
      <c r="Q588" s="44"/>
      <c r="R588" s="44"/>
      <c r="S588" s="44"/>
      <c r="T588" s="44"/>
      <c r="U588" s="36"/>
    </row>
    <row r="589" spans="1:21" ht="12.75">
      <c r="A589" s="44"/>
      <c r="B589" s="44"/>
      <c r="C589" s="44"/>
      <c r="D589" s="44"/>
      <c r="E589" s="44"/>
      <c r="F589" s="34"/>
      <c r="G589" s="34"/>
      <c r="H589" s="45"/>
      <c r="I589" s="44"/>
      <c r="J589" s="34"/>
      <c r="K589" s="44"/>
      <c r="L589" s="44"/>
      <c r="M589" s="44"/>
      <c r="N589" s="44"/>
      <c r="O589" s="44"/>
      <c r="P589" s="44"/>
      <c r="Q589" s="44"/>
      <c r="R589" s="44"/>
      <c r="S589" s="44"/>
      <c r="T589" s="44"/>
      <c r="U589" s="36"/>
    </row>
    <row r="590" spans="1:21" ht="12.75">
      <c r="A590" s="44"/>
      <c r="B590" s="44"/>
      <c r="C590" s="44"/>
      <c r="D590" s="44"/>
      <c r="E590" s="44"/>
      <c r="F590" s="34"/>
      <c r="G590" s="34"/>
      <c r="H590" s="45"/>
      <c r="I590" s="44"/>
      <c r="J590" s="34"/>
      <c r="K590" s="44"/>
      <c r="L590" s="44"/>
      <c r="M590" s="44"/>
      <c r="N590" s="44"/>
      <c r="O590" s="44"/>
      <c r="P590" s="44"/>
      <c r="Q590" s="44"/>
      <c r="R590" s="44"/>
      <c r="S590" s="44"/>
      <c r="T590" s="44"/>
      <c r="U590" s="36"/>
    </row>
    <row r="591" spans="1:21" ht="12.75">
      <c r="A591" s="44"/>
      <c r="B591" s="44"/>
      <c r="C591" s="44"/>
      <c r="D591" s="44"/>
      <c r="E591" s="44"/>
      <c r="F591" s="34"/>
      <c r="G591" s="34"/>
      <c r="H591" s="45"/>
      <c r="I591" s="44"/>
      <c r="J591" s="34"/>
      <c r="K591" s="44"/>
      <c r="L591" s="44"/>
      <c r="M591" s="44"/>
      <c r="N591" s="44"/>
      <c r="O591" s="44"/>
      <c r="P591" s="44"/>
      <c r="Q591" s="44"/>
      <c r="R591" s="44"/>
      <c r="S591" s="44"/>
      <c r="T591" s="44"/>
      <c r="U591" s="36"/>
    </row>
    <row r="592" spans="1:21" ht="12.75">
      <c r="A592" s="44"/>
      <c r="B592" s="44"/>
      <c r="C592" s="44"/>
      <c r="D592" s="44"/>
      <c r="E592" s="44"/>
      <c r="F592" s="34"/>
      <c r="G592" s="34"/>
      <c r="H592" s="45"/>
      <c r="I592" s="44"/>
      <c r="J592" s="34"/>
      <c r="K592" s="44"/>
      <c r="L592" s="44"/>
      <c r="M592" s="44"/>
      <c r="N592" s="44"/>
      <c r="O592" s="44"/>
      <c r="P592" s="44"/>
      <c r="Q592" s="44"/>
      <c r="R592" s="44"/>
      <c r="S592" s="44"/>
      <c r="T592" s="44"/>
      <c r="U592" s="36"/>
    </row>
    <row r="593" spans="1:21" ht="12.75">
      <c r="A593" s="44"/>
      <c r="B593" s="44"/>
      <c r="C593" s="44"/>
      <c r="D593" s="44"/>
      <c r="E593" s="44"/>
      <c r="F593" s="34"/>
      <c r="G593" s="34"/>
      <c r="H593" s="45"/>
      <c r="I593" s="44"/>
      <c r="J593" s="34"/>
      <c r="K593" s="44"/>
      <c r="L593" s="44"/>
      <c r="M593" s="44"/>
      <c r="N593" s="44"/>
      <c r="O593" s="44"/>
      <c r="P593" s="44"/>
      <c r="Q593" s="44"/>
      <c r="R593" s="44"/>
      <c r="S593" s="44"/>
      <c r="T593" s="44"/>
      <c r="U593" s="36"/>
    </row>
    <row r="594" spans="1:21" ht="12.75">
      <c r="A594" s="44"/>
      <c r="B594" s="44"/>
      <c r="C594" s="44"/>
      <c r="D594" s="44"/>
      <c r="E594" s="44"/>
      <c r="F594" s="34"/>
      <c r="G594" s="34"/>
      <c r="H594" s="45"/>
      <c r="I594" s="44"/>
      <c r="J594" s="34"/>
      <c r="K594" s="44"/>
      <c r="L594" s="44"/>
      <c r="M594" s="44"/>
      <c r="N594" s="44"/>
      <c r="O594" s="44"/>
      <c r="P594" s="44"/>
      <c r="Q594" s="44"/>
      <c r="R594" s="44"/>
      <c r="S594" s="44"/>
      <c r="T594" s="44"/>
      <c r="U594" s="36"/>
    </row>
    <row r="595" spans="1:21" ht="12.75">
      <c r="A595" s="44"/>
      <c r="B595" s="44"/>
      <c r="C595" s="44"/>
      <c r="D595" s="44"/>
      <c r="E595" s="44"/>
      <c r="F595" s="34"/>
      <c r="G595" s="34"/>
      <c r="H595" s="45"/>
      <c r="I595" s="44"/>
      <c r="J595" s="34"/>
      <c r="K595" s="44"/>
      <c r="L595" s="44"/>
      <c r="M595" s="44"/>
      <c r="N595" s="44"/>
      <c r="O595" s="44"/>
      <c r="P595" s="44"/>
      <c r="Q595" s="44"/>
      <c r="R595" s="44"/>
      <c r="S595" s="44"/>
      <c r="T595" s="44"/>
      <c r="U595" s="36"/>
    </row>
    <row r="596" spans="1:21" ht="12.75">
      <c r="A596" s="44"/>
      <c r="B596" s="44"/>
      <c r="C596" s="44"/>
      <c r="D596" s="44"/>
      <c r="E596" s="44"/>
      <c r="F596" s="34"/>
      <c r="G596" s="34"/>
      <c r="H596" s="45"/>
      <c r="I596" s="44"/>
      <c r="J596" s="34"/>
      <c r="K596" s="44"/>
      <c r="L596" s="44"/>
      <c r="M596" s="44"/>
      <c r="N596" s="44"/>
      <c r="O596" s="44"/>
      <c r="P596" s="44"/>
      <c r="Q596" s="44"/>
      <c r="R596" s="44"/>
      <c r="S596" s="44"/>
      <c r="T596" s="44"/>
      <c r="U596" s="36"/>
    </row>
    <row r="597" spans="1:21" ht="12.75">
      <c r="A597" s="44"/>
      <c r="B597" s="44"/>
      <c r="C597" s="44"/>
      <c r="D597" s="44"/>
      <c r="E597" s="44"/>
      <c r="F597" s="34"/>
      <c r="G597" s="34"/>
      <c r="H597" s="45"/>
      <c r="I597" s="44"/>
      <c r="J597" s="34"/>
      <c r="K597" s="44"/>
      <c r="L597" s="44"/>
      <c r="M597" s="44"/>
      <c r="N597" s="44"/>
      <c r="O597" s="44"/>
      <c r="P597" s="44"/>
      <c r="Q597" s="44"/>
      <c r="R597" s="44"/>
      <c r="S597" s="44"/>
      <c r="T597" s="44"/>
      <c r="U597" s="36"/>
    </row>
    <row r="598" spans="1:21" ht="12.75">
      <c r="A598" s="44"/>
      <c r="B598" s="44"/>
      <c r="C598" s="44"/>
      <c r="D598" s="44"/>
      <c r="E598" s="44"/>
      <c r="F598" s="34"/>
      <c r="G598" s="34"/>
      <c r="H598" s="45"/>
      <c r="I598" s="44"/>
      <c r="J598" s="34"/>
      <c r="K598" s="44"/>
      <c r="L598" s="44"/>
      <c r="M598" s="44"/>
      <c r="N598" s="44"/>
      <c r="O598" s="44"/>
      <c r="P598" s="44"/>
      <c r="Q598" s="44"/>
      <c r="R598" s="44"/>
      <c r="S598" s="44"/>
      <c r="T598" s="44"/>
      <c r="U598" s="36"/>
    </row>
    <row r="599" spans="1:21" ht="12.75">
      <c r="A599" s="44"/>
      <c r="B599" s="44"/>
      <c r="C599" s="44"/>
      <c r="D599" s="44"/>
      <c r="E599" s="44"/>
      <c r="F599" s="34"/>
      <c r="G599" s="34"/>
      <c r="H599" s="45"/>
      <c r="I599" s="44"/>
      <c r="J599" s="34"/>
      <c r="K599" s="44"/>
      <c r="L599" s="44"/>
      <c r="M599" s="44"/>
      <c r="N599" s="44"/>
      <c r="O599" s="44"/>
      <c r="P599" s="44"/>
      <c r="Q599" s="44"/>
      <c r="R599" s="44"/>
      <c r="S599" s="44"/>
      <c r="T599" s="44"/>
      <c r="U599" s="36"/>
    </row>
    <row r="600" spans="1:21" ht="12.75">
      <c r="A600" s="44"/>
      <c r="B600" s="44"/>
      <c r="C600" s="44"/>
      <c r="D600" s="44"/>
      <c r="E600" s="44"/>
      <c r="F600" s="34"/>
      <c r="G600" s="34"/>
      <c r="H600" s="45"/>
      <c r="I600" s="44"/>
      <c r="J600" s="34"/>
      <c r="K600" s="44"/>
      <c r="L600" s="44"/>
      <c r="M600" s="44"/>
      <c r="N600" s="44"/>
      <c r="O600" s="44"/>
      <c r="P600" s="44"/>
      <c r="Q600" s="44"/>
      <c r="R600" s="44"/>
      <c r="S600" s="44"/>
      <c r="T600" s="44"/>
      <c r="U600" s="36"/>
    </row>
    <row r="601" spans="1:21" ht="12.75">
      <c r="A601" s="44"/>
      <c r="B601" s="44"/>
      <c r="C601" s="44"/>
      <c r="D601" s="44"/>
      <c r="E601" s="44"/>
      <c r="F601" s="34"/>
      <c r="G601" s="34"/>
      <c r="H601" s="45"/>
      <c r="I601" s="44"/>
      <c r="J601" s="34"/>
      <c r="K601" s="44"/>
      <c r="L601" s="44"/>
      <c r="M601" s="44"/>
      <c r="N601" s="44"/>
      <c r="O601" s="44"/>
      <c r="P601" s="44"/>
      <c r="Q601" s="44"/>
      <c r="R601" s="44"/>
      <c r="S601" s="44"/>
      <c r="T601" s="44"/>
      <c r="U601" s="36"/>
    </row>
    <row r="602" spans="1:21" ht="12.75">
      <c r="A602" s="44"/>
      <c r="B602" s="44"/>
      <c r="C602" s="44"/>
      <c r="D602" s="44"/>
      <c r="E602" s="44"/>
      <c r="F602" s="34"/>
      <c r="G602" s="34"/>
      <c r="H602" s="45"/>
      <c r="I602" s="44"/>
      <c r="J602" s="34"/>
      <c r="K602" s="44"/>
      <c r="L602" s="44"/>
      <c r="M602" s="44"/>
      <c r="N602" s="44"/>
      <c r="O602" s="44"/>
      <c r="P602" s="44"/>
      <c r="Q602" s="44"/>
      <c r="R602" s="44"/>
      <c r="S602" s="44"/>
      <c r="T602" s="44"/>
      <c r="U602" s="36"/>
    </row>
    <row r="603" spans="1:21" ht="12.75">
      <c r="A603" s="44"/>
      <c r="B603" s="44"/>
      <c r="C603" s="44"/>
      <c r="D603" s="44"/>
      <c r="E603" s="44"/>
      <c r="F603" s="34"/>
      <c r="G603" s="34"/>
      <c r="H603" s="45"/>
      <c r="I603" s="44"/>
      <c r="J603" s="34"/>
      <c r="K603" s="44"/>
      <c r="L603" s="44"/>
      <c r="M603" s="44"/>
      <c r="N603" s="44"/>
      <c r="O603" s="44"/>
      <c r="P603" s="44"/>
      <c r="Q603" s="44"/>
      <c r="R603" s="44"/>
      <c r="S603" s="44"/>
      <c r="T603" s="44"/>
      <c r="U603" s="36"/>
    </row>
    <row r="604" spans="1:21" ht="12.75">
      <c r="A604" s="44"/>
      <c r="B604" s="44"/>
      <c r="C604" s="44"/>
      <c r="D604" s="44"/>
      <c r="E604" s="44"/>
      <c r="F604" s="34"/>
      <c r="G604" s="34"/>
      <c r="H604" s="45"/>
      <c r="I604" s="44"/>
      <c r="J604" s="34"/>
      <c r="K604" s="44"/>
      <c r="L604" s="44"/>
      <c r="M604" s="44"/>
      <c r="N604" s="44"/>
      <c r="O604" s="44"/>
      <c r="P604" s="44"/>
      <c r="Q604" s="44"/>
      <c r="R604" s="44"/>
      <c r="S604" s="44"/>
      <c r="T604" s="44"/>
      <c r="U604" s="36"/>
    </row>
    <row r="605" spans="1:21" ht="12.75">
      <c r="A605" s="44"/>
      <c r="B605" s="44"/>
      <c r="C605" s="44"/>
      <c r="D605" s="44"/>
      <c r="E605" s="44"/>
      <c r="F605" s="34"/>
      <c r="G605" s="34"/>
      <c r="H605" s="45"/>
      <c r="I605" s="44"/>
      <c r="J605" s="34"/>
      <c r="K605" s="44"/>
      <c r="L605" s="44"/>
      <c r="M605" s="44"/>
      <c r="N605" s="44"/>
      <c r="O605" s="44"/>
      <c r="P605" s="44"/>
      <c r="Q605" s="44"/>
      <c r="R605" s="44"/>
      <c r="S605" s="44"/>
      <c r="T605" s="44"/>
      <c r="U605" s="36"/>
    </row>
    <row r="606" spans="1:21" ht="12.75">
      <c r="A606" s="44"/>
      <c r="B606" s="44"/>
      <c r="C606" s="44"/>
      <c r="D606" s="44"/>
      <c r="E606" s="44"/>
      <c r="F606" s="34"/>
      <c r="G606" s="34"/>
      <c r="H606" s="45"/>
      <c r="I606" s="44"/>
      <c r="J606" s="34"/>
      <c r="K606" s="44"/>
      <c r="L606" s="44"/>
      <c r="M606" s="44"/>
      <c r="N606" s="44"/>
      <c r="O606" s="44"/>
      <c r="P606" s="44"/>
      <c r="Q606" s="44"/>
      <c r="R606" s="44"/>
      <c r="S606" s="44"/>
      <c r="T606" s="44"/>
      <c r="U606" s="36"/>
    </row>
    <row r="607" spans="1:21" ht="12.75">
      <c r="A607" s="44"/>
      <c r="B607" s="44"/>
      <c r="C607" s="44"/>
      <c r="D607" s="44"/>
      <c r="E607" s="44"/>
      <c r="F607" s="34"/>
      <c r="G607" s="34"/>
      <c r="H607" s="45"/>
      <c r="I607" s="44"/>
      <c r="J607" s="34"/>
      <c r="K607" s="44"/>
      <c r="L607" s="44"/>
      <c r="M607" s="44"/>
      <c r="N607" s="44"/>
      <c r="O607" s="44"/>
      <c r="P607" s="44"/>
      <c r="Q607" s="44"/>
      <c r="R607" s="44"/>
      <c r="S607" s="44"/>
      <c r="T607" s="44"/>
      <c r="U607" s="36"/>
    </row>
    <row r="608" spans="1:21" ht="12.75">
      <c r="A608" s="44"/>
      <c r="B608" s="44"/>
      <c r="C608" s="44"/>
      <c r="D608" s="44"/>
      <c r="E608" s="44"/>
      <c r="F608" s="34"/>
      <c r="G608" s="34"/>
      <c r="H608" s="45"/>
      <c r="I608" s="44"/>
      <c r="J608" s="34"/>
      <c r="K608" s="44"/>
      <c r="L608" s="44"/>
      <c r="M608" s="44"/>
      <c r="N608" s="44"/>
      <c r="O608" s="44"/>
      <c r="P608" s="44"/>
      <c r="Q608" s="44"/>
      <c r="R608" s="44"/>
      <c r="S608" s="44"/>
      <c r="T608" s="44"/>
      <c r="U608" s="36"/>
    </row>
    <row r="609" spans="1:21" ht="12.75">
      <c r="A609" s="44"/>
      <c r="B609" s="44"/>
      <c r="C609" s="44"/>
      <c r="D609" s="44"/>
      <c r="E609" s="44"/>
      <c r="F609" s="34"/>
      <c r="G609" s="34"/>
      <c r="H609" s="45"/>
      <c r="I609" s="44"/>
      <c r="J609" s="34"/>
      <c r="K609" s="44"/>
      <c r="L609" s="44"/>
      <c r="M609" s="44"/>
      <c r="N609" s="44"/>
      <c r="O609" s="44"/>
      <c r="P609" s="44"/>
      <c r="Q609" s="44"/>
      <c r="R609" s="44"/>
      <c r="S609" s="44"/>
      <c r="T609" s="44"/>
      <c r="U609" s="36"/>
    </row>
    <row r="610" spans="1:21" ht="12.75">
      <c r="A610" s="44"/>
      <c r="B610" s="44"/>
      <c r="C610" s="44"/>
      <c r="D610" s="44"/>
      <c r="E610" s="44"/>
      <c r="F610" s="34"/>
      <c r="G610" s="34"/>
      <c r="H610" s="45"/>
      <c r="I610" s="44"/>
      <c r="J610" s="34"/>
      <c r="K610" s="44"/>
      <c r="L610" s="44"/>
      <c r="M610" s="44"/>
      <c r="N610" s="44"/>
      <c r="O610" s="44"/>
      <c r="P610" s="44"/>
      <c r="Q610" s="44"/>
      <c r="R610" s="44"/>
      <c r="S610" s="44"/>
      <c r="T610" s="44"/>
      <c r="U610" s="36"/>
    </row>
    <row r="611" spans="1:21" ht="12.75">
      <c r="A611" s="44"/>
      <c r="B611" s="44"/>
      <c r="C611" s="44"/>
      <c r="D611" s="44"/>
      <c r="E611" s="44"/>
      <c r="F611" s="34"/>
      <c r="G611" s="34"/>
      <c r="H611" s="45"/>
      <c r="I611" s="44"/>
      <c r="J611" s="34"/>
      <c r="K611" s="44"/>
      <c r="L611" s="44"/>
      <c r="M611" s="44"/>
      <c r="N611" s="44"/>
      <c r="O611" s="44"/>
      <c r="P611" s="44"/>
      <c r="Q611" s="44"/>
      <c r="R611" s="44"/>
      <c r="S611" s="44"/>
      <c r="T611" s="44"/>
      <c r="U611" s="36"/>
    </row>
    <row r="612" spans="1:21" ht="12.75">
      <c r="A612" s="44"/>
      <c r="B612" s="44"/>
      <c r="C612" s="44"/>
      <c r="D612" s="44"/>
      <c r="E612" s="44"/>
      <c r="F612" s="34"/>
      <c r="G612" s="34"/>
      <c r="H612" s="45"/>
      <c r="I612" s="44"/>
      <c r="J612" s="34"/>
      <c r="K612" s="44"/>
      <c r="L612" s="44"/>
      <c r="M612" s="44"/>
      <c r="N612" s="44"/>
      <c r="O612" s="44"/>
      <c r="P612" s="44"/>
      <c r="Q612" s="44"/>
      <c r="R612" s="44"/>
      <c r="S612" s="44"/>
      <c r="T612" s="44"/>
      <c r="U612" s="36"/>
    </row>
    <row r="613" spans="1:21" ht="12.75">
      <c r="A613" s="44"/>
      <c r="B613" s="44"/>
      <c r="C613" s="44"/>
      <c r="D613" s="44"/>
      <c r="E613" s="44"/>
      <c r="F613" s="34"/>
      <c r="G613" s="34"/>
      <c r="H613" s="45"/>
      <c r="I613" s="44"/>
      <c r="J613" s="34"/>
      <c r="K613" s="44"/>
      <c r="L613" s="44"/>
      <c r="M613" s="44"/>
      <c r="N613" s="44"/>
      <c r="O613" s="44"/>
      <c r="P613" s="44"/>
      <c r="Q613" s="44"/>
      <c r="R613" s="44"/>
      <c r="S613" s="44"/>
      <c r="T613" s="44"/>
      <c r="U613" s="36"/>
    </row>
    <row r="614" spans="1:21" ht="12.75">
      <c r="A614" s="44"/>
      <c r="B614" s="44"/>
      <c r="C614" s="44"/>
      <c r="D614" s="44"/>
      <c r="E614" s="44"/>
      <c r="F614" s="34"/>
      <c r="G614" s="34"/>
      <c r="H614" s="45"/>
      <c r="I614" s="44"/>
      <c r="J614" s="34"/>
      <c r="K614" s="44"/>
      <c r="L614" s="44"/>
      <c r="M614" s="44"/>
      <c r="N614" s="44"/>
      <c r="O614" s="44"/>
      <c r="P614" s="44"/>
      <c r="Q614" s="44"/>
      <c r="R614" s="44"/>
      <c r="S614" s="44"/>
      <c r="T614" s="44"/>
      <c r="U614" s="36"/>
    </row>
    <row r="615" spans="1:21" ht="12.75">
      <c r="A615" s="44"/>
      <c r="B615" s="44"/>
      <c r="C615" s="44"/>
      <c r="D615" s="44"/>
      <c r="E615" s="44"/>
      <c r="F615" s="34"/>
      <c r="G615" s="34"/>
      <c r="H615" s="45"/>
      <c r="I615" s="44"/>
      <c r="J615" s="34"/>
      <c r="K615" s="44"/>
      <c r="L615" s="44"/>
      <c r="M615" s="44"/>
      <c r="N615" s="44"/>
      <c r="O615" s="44"/>
      <c r="P615" s="44"/>
      <c r="Q615" s="44"/>
      <c r="R615" s="44"/>
      <c r="S615" s="44"/>
      <c r="T615" s="44"/>
      <c r="U615" s="36"/>
    </row>
    <row r="616" spans="1:21" ht="12.75">
      <c r="A616" s="44"/>
      <c r="B616" s="44"/>
      <c r="C616" s="44"/>
      <c r="D616" s="44"/>
      <c r="E616" s="44"/>
      <c r="F616" s="34"/>
      <c r="G616" s="34"/>
      <c r="H616" s="45"/>
      <c r="I616" s="44"/>
      <c r="J616" s="34"/>
      <c r="K616" s="44"/>
      <c r="L616" s="44"/>
      <c r="M616" s="44"/>
      <c r="N616" s="44"/>
      <c r="O616" s="44"/>
      <c r="P616" s="44"/>
      <c r="Q616" s="44"/>
      <c r="R616" s="44"/>
      <c r="S616" s="44"/>
      <c r="T616" s="44"/>
      <c r="U616" s="36"/>
    </row>
    <row r="617" spans="1:21" ht="12.75">
      <c r="A617" s="44"/>
      <c r="B617" s="44"/>
      <c r="C617" s="44"/>
      <c r="D617" s="44"/>
      <c r="E617" s="44"/>
      <c r="F617" s="34"/>
      <c r="G617" s="34"/>
      <c r="H617" s="45"/>
      <c r="I617" s="44"/>
      <c r="J617" s="34"/>
      <c r="K617" s="44"/>
      <c r="L617" s="44"/>
      <c r="M617" s="44"/>
      <c r="N617" s="44"/>
      <c r="O617" s="44"/>
      <c r="P617" s="44"/>
      <c r="Q617" s="44"/>
      <c r="R617" s="44"/>
      <c r="S617" s="44"/>
      <c r="T617" s="44"/>
      <c r="U617" s="36"/>
    </row>
    <row r="618" spans="1:21" ht="12.75">
      <c r="A618" s="44"/>
      <c r="B618" s="44"/>
      <c r="C618" s="44"/>
      <c r="D618" s="44"/>
      <c r="E618" s="44"/>
      <c r="F618" s="34"/>
      <c r="G618" s="34"/>
      <c r="H618" s="45"/>
      <c r="I618" s="44"/>
      <c r="J618" s="34"/>
      <c r="K618" s="44"/>
      <c r="L618" s="44"/>
      <c r="M618" s="44"/>
      <c r="N618" s="44"/>
      <c r="O618" s="44"/>
      <c r="P618" s="44"/>
      <c r="Q618" s="44"/>
      <c r="R618" s="44"/>
      <c r="S618" s="44"/>
      <c r="T618" s="44"/>
      <c r="U618" s="36"/>
    </row>
    <row r="619" spans="1:21" ht="12.75">
      <c r="A619" s="44"/>
      <c r="B619" s="44"/>
      <c r="C619" s="44"/>
      <c r="D619" s="44"/>
      <c r="E619" s="44"/>
      <c r="F619" s="34"/>
      <c r="G619" s="34"/>
      <c r="H619" s="45"/>
      <c r="I619" s="44"/>
      <c r="J619" s="34"/>
      <c r="K619" s="44"/>
      <c r="L619" s="44"/>
      <c r="M619" s="44"/>
      <c r="N619" s="44"/>
      <c r="O619" s="44"/>
      <c r="P619" s="44"/>
      <c r="Q619" s="44"/>
      <c r="R619" s="44"/>
      <c r="S619" s="44"/>
      <c r="T619" s="44"/>
      <c r="U619" s="36"/>
    </row>
    <row r="620" spans="1:21" ht="12.75">
      <c r="A620" s="44"/>
      <c r="B620" s="44"/>
      <c r="C620" s="44"/>
      <c r="D620" s="44"/>
      <c r="E620" s="44"/>
      <c r="F620" s="34"/>
      <c r="G620" s="34"/>
      <c r="H620" s="45"/>
      <c r="I620" s="44"/>
      <c r="J620" s="34"/>
      <c r="K620" s="44"/>
      <c r="L620" s="44"/>
      <c r="M620" s="44"/>
      <c r="N620" s="44"/>
      <c r="O620" s="44"/>
      <c r="P620" s="44"/>
      <c r="Q620" s="44"/>
      <c r="R620" s="44"/>
      <c r="S620" s="44"/>
      <c r="T620" s="44"/>
      <c r="U620" s="36"/>
    </row>
    <row r="621" spans="1:21" ht="12.75">
      <c r="A621" s="44"/>
      <c r="B621" s="44"/>
      <c r="C621" s="44"/>
      <c r="D621" s="44"/>
      <c r="E621" s="44"/>
      <c r="F621" s="34"/>
      <c r="G621" s="34"/>
      <c r="H621" s="45"/>
      <c r="I621" s="44"/>
      <c r="J621" s="34"/>
      <c r="K621" s="44"/>
      <c r="L621" s="44"/>
      <c r="M621" s="44"/>
      <c r="N621" s="44"/>
      <c r="O621" s="44"/>
      <c r="P621" s="44"/>
      <c r="Q621" s="44"/>
      <c r="R621" s="44"/>
      <c r="S621" s="44"/>
      <c r="T621" s="44"/>
      <c r="U621" s="36"/>
    </row>
    <row r="622" spans="1:21" ht="12.75">
      <c r="A622" s="44"/>
      <c r="B622" s="44"/>
      <c r="C622" s="44"/>
      <c r="D622" s="44"/>
      <c r="E622" s="44"/>
      <c r="F622" s="34"/>
      <c r="G622" s="34"/>
      <c r="H622" s="45"/>
      <c r="I622" s="44"/>
      <c r="J622" s="34"/>
      <c r="K622" s="44"/>
      <c r="L622" s="44"/>
      <c r="M622" s="44"/>
      <c r="N622" s="44"/>
      <c r="O622" s="44"/>
      <c r="P622" s="44"/>
      <c r="Q622" s="44"/>
      <c r="R622" s="44"/>
      <c r="S622" s="44"/>
      <c r="T622" s="44"/>
      <c r="U622" s="36"/>
    </row>
    <row r="623" spans="1:21" ht="12.75">
      <c r="A623" s="44"/>
      <c r="B623" s="44"/>
      <c r="C623" s="44"/>
      <c r="D623" s="44"/>
      <c r="E623" s="44"/>
      <c r="F623" s="34"/>
      <c r="G623" s="34"/>
      <c r="H623" s="45"/>
      <c r="I623" s="44"/>
      <c r="J623" s="34"/>
      <c r="K623" s="44"/>
      <c r="L623" s="44"/>
      <c r="M623" s="44"/>
      <c r="N623" s="44"/>
      <c r="O623" s="44"/>
      <c r="P623" s="44"/>
      <c r="Q623" s="44"/>
      <c r="R623" s="44"/>
      <c r="S623" s="44"/>
      <c r="T623" s="44"/>
      <c r="U623" s="36"/>
    </row>
    <row r="624" spans="1:21" ht="12.75">
      <c r="A624" s="44"/>
      <c r="B624" s="44"/>
      <c r="C624" s="44"/>
      <c r="D624" s="44"/>
      <c r="E624" s="44"/>
      <c r="F624" s="34"/>
      <c r="G624" s="34"/>
      <c r="H624" s="45"/>
      <c r="I624" s="44"/>
      <c r="J624" s="34"/>
      <c r="K624" s="44"/>
      <c r="L624" s="44"/>
      <c r="M624" s="44"/>
      <c r="N624" s="44"/>
      <c r="O624" s="44"/>
      <c r="P624" s="44"/>
      <c r="Q624" s="44"/>
      <c r="R624" s="44"/>
      <c r="S624" s="44"/>
      <c r="T624" s="44"/>
      <c r="U624" s="36"/>
    </row>
    <row r="625" spans="1:21" ht="12.75">
      <c r="A625" s="44"/>
      <c r="B625" s="44"/>
      <c r="C625" s="44"/>
      <c r="D625" s="44"/>
      <c r="E625" s="44"/>
      <c r="F625" s="34"/>
      <c r="G625" s="34"/>
      <c r="H625" s="45"/>
      <c r="I625" s="44"/>
      <c r="J625" s="34"/>
      <c r="K625" s="44"/>
      <c r="L625" s="44"/>
      <c r="M625" s="44"/>
      <c r="N625" s="44"/>
      <c r="O625" s="44"/>
      <c r="P625" s="44"/>
      <c r="Q625" s="44"/>
      <c r="R625" s="44"/>
      <c r="S625" s="44"/>
      <c r="T625" s="44"/>
      <c r="U625" s="36"/>
    </row>
    <row r="626" spans="1:21" ht="12.75">
      <c r="A626" s="44"/>
      <c r="B626" s="44"/>
      <c r="C626" s="44"/>
      <c r="D626" s="44"/>
      <c r="E626" s="44"/>
      <c r="F626" s="34"/>
      <c r="G626" s="34"/>
      <c r="H626" s="45"/>
      <c r="I626" s="44"/>
      <c r="J626" s="34"/>
      <c r="K626" s="44"/>
      <c r="L626" s="44"/>
      <c r="M626" s="44"/>
      <c r="N626" s="44"/>
      <c r="O626" s="44"/>
      <c r="P626" s="44"/>
      <c r="Q626" s="44"/>
      <c r="R626" s="44"/>
      <c r="S626" s="44"/>
      <c r="T626" s="44"/>
      <c r="U626" s="36"/>
    </row>
    <row r="627" spans="1:21" ht="12.75">
      <c r="A627" s="44"/>
      <c r="B627" s="44"/>
      <c r="C627" s="44"/>
      <c r="D627" s="44"/>
      <c r="E627" s="44"/>
      <c r="F627" s="34"/>
      <c r="G627" s="34"/>
      <c r="H627" s="45"/>
      <c r="I627" s="44"/>
      <c r="J627" s="34"/>
      <c r="K627" s="44"/>
      <c r="L627" s="44"/>
      <c r="M627" s="44"/>
      <c r="N627" s="44"/>
      <c r="O627" s="44"/>
      <c r="P627" s="44"/>
      <c r="Q627" s="44"/>
      <c r="R627" s="44"/>
      <c r="S627" s="44"/>
      <c r="T627" s="44"/>
      <c r="U627" s="36"/>
    </row>
    <row r="628" spans="1:21" ht="12.75">
      <c r="A628" s="44"/>
      <c r="B628" s="44"/>
      <c r="C628" s="44"/>
      <c r="D628" s="44"/>
      <c r="E628" s="44"/>
      <c r="F628" s="34"/>
      <c r="G628" s="34"/>
      <c r="H628" s="45"/>
      <c r="I628" s="44"/>
      <c r="J628" s="34"/>
      <c r="K628" s="44"/>
      <c r="L628" s="44"/>
      <c r="M628" s="44"/>
      <c r="N628" s="44"/>
      <c r="O628" s="44"/>
      <c r="P628" s="44"/>
      <c r="Q628" s="44"/>
      <c r="R628" s="44"/>
      <c r="S628" s="44"/>
      <c r="T628" s="44"/>
      <c r="U628" s="36"/>
    </row>
    <row r="629" spans="1:21" ht="12.75">
      <c r="A629" s="44"/>
      <c r="B629" s="44"/>
      <c r="C629" s="44"/>
      <c r="D629" s="44"/>
      <c r="E629" s="44"/>
      <c r="F629" s="34"/>
      <c r="G629" s="34"/>
      <c r="H629" s="45"/>
      <c r="I629" s="44"/>
      <c r="J629" s="34"/>
      <c r="K629" s="44"/>
      <c r="L629" s="44"/>
      <c r="M629" s="44"/>
      <c r="N629" s="44"/>
      <c r="O629" s="44"/>
      <c r="P629" s="44"/>
      <c r="Q629" s="44"/>
      <c r="R629" s="44"/>
      <c r="S629" s="44"/>
      <c r="T629" s="44"/>
      <c r="U629" s="36"/>
    </row>
    <row r="630" spans="1:21" ht="12.75">
      <c r="A630" s="44"/>
      <c r="B630" s="44"/>
      <c r="C630" s="44"/>
      <c r="D630" s="44"/>
      <c r="E630" s="44"/>
      <c r="F630" s="34"/>
      <c r="G630" s="34"/>
      <c r="H630" s="45"/>
      <c r="I630" s="44"/>
      <c r="J630" s="34"/>
      <c r="K630" s="44"/>
      <c r="L630" s="44"/>
      <c r="M630" s="44"/>
      <c r="N630" s="44"/>
      <c r="O630" s="44"/>
      <c r="P630" s="44"/>
      <c r="Q630" s="44"/>
      <c r="R630" s="44"/>
      <c r="S630" s="44"/>
      <c r="T630" s="44"/>
      <c r="U630" s="36"/>
    </row>
    <row r="631" spans="1:21" ht="12.75">
      <c r="A631" s="44"/>
      <c r="B631" s="44"/>
      <c r="C631" s="44"/>
      <c r="D631" s="44"/>
      <c r="E631" s="44"/>
      <c r="F631" s="34"/>
      <c r="G631" s="34"/>
      <c r="H631" s="45"/>
      <c r="I631" s="44"/>
      <c r="J631" s="34"/>
      <c r="K631" s="44"/>
      <c r="L631" s="44"/>
      <c r="M631" s="44"/>
      <c r="N631" s="44"/>
      <c r="O631" s="44"/>
      <c r="P631" s="44"/>
      <c r="Q631" s="44"/>
      <c r="R631" s="44"/>
      <c r="S631" s="44"/>
      <c r="T631" s="44"/>
      <c r="U631" s="36"/>
    </row>
    <row r="632" spans="1:21" ht="12.75">
      <c r="A632" s="44"/>
      <c r="B632" s="44"/>
      <c r="C632" s="44"/>
      <c r="D632" s="44"/>
      <c r="E632" s="44"/>
      <c r="F632" s="34"/>
      <c r="G632" s="34"/>
      <c r="H632" s="45"/>
      <c r="I632" s="44"/>
      <c r="J632" s="34"/>
      <c r="K632" s="44"/>
      <c r="L632" s="44"/>
      <c r="M632" s="44"/>
      <c r="N632" s="44"/>
      <c r="O632" s="44"/>
      <c r="P632" s="44"/>
      <c r="Q632" s="44"/>
      <c r="R632" s="44"/>
      <c r="S632" s="44"/>
      <c r="T632" s="44"/>
      <c r="U632" s="36"/>
    </row>
    <row r="633" spans="1:21" ht="12.75">
      <c r="A633" s="44"/>
      <c r="B633" s="44"/>
      <c r="C633" s="44"/>
      <c r="D633" s="44"/>
      <c r="E633" s="44"/>
      <c r="F633" s="34"/>
      <c r="G633" s="34"/>
      <c r="H633" s="45"/>
      <c r="I633" s="44"/>
      <c r="J633" s="34"/>
      <c r="K633" s="44"/>
      <c r="L633" s="44"/>
      <c r="M633" s="44"/>
      <c r="N633" s="44"/>
      <c r="O633" s="44"/>
      <c r="P633" s="44"/>
      <c r="Q633" s="44"/>
      <c r="R633" s="44"/>
      <c r="S633" s="44"/>
      <c r="T633" s="44"/>
      <c r="U633" s="36"/>
    </row>
    <row r="634" spans="1:21" ht="12.75">
      <c r="A634" s="44"/>
      <c r="B634" s="44"/>
      <c r="C634" s="44"/>
      <c r="D634" s="44"/>
      <c r="E634" s="44"/>
      <c r="F634" s="34"/>
      <c r="G634" s="34"/>
      <c r="H634" s="45"/>
      <c r="I634" s="44"/>
      <c r="J634" s="34"/>
      <c r="K634" s="44"/>
      <c r="L634" s="44"/>
      <c r="M634" s="44"/>
      <c r="N634" s="44"/>
      <c r="O634" s="44"/>
      <c r="P634" s="44"/>
      <c r="Q634" s="44"/>
      <c r="R634" s="44"/>
      <c r="S634" s="44"/>
      <c r="T634" s="44"/>
      <c r="U634" s="36"/>
    </row>
    <row r="635" spans="1:21" ht="12.75">
      <c r="A635" s="44"/>
      <c r="B635" s="44"/>
      <c r="C635" s="44"/>
      <c r="D635" s="44"/>
      <c r="E635" s="44"/>
      <c r="F635" s="34"/>
      <c r="G635" s="34"/>
      <c r="H635" s="45"/>
      <c r="I635" s="44"/>
      <c r="J635" s="34"/>
      <c r="K635" s="44"/>
      <c r="L635" s="44"/>
      <c r="M635" s="44"/>
      <c r="N635" s="44"/>
      <c r="O635" s="44"/>
      <c r="P635" s="44"/>
      <c r="Q635" s="44"/>
      <c r="R635" s="44"/>
      <c r="S635" s="44"/>
      <c r="T635" s="44"/>
      <c r="U635" s="36"/>
    </row>
    <row r="636" spans="1:21" ht="12.75">
      <c r="A636" s="44"/>
      <c r="B636" s="44"/>
      <c r="C636" s="44"/>
      <c r="D636" s="44"/>
      <c r="E636" s="44"/>
      <c r="F636" s="34"/>
      <c r="G636" s="34"/>
      <c r="H636" s="45"/>
      <c r="I636" s="44"/>
      <c r="J636" s="34"/>
      <c r="K636" s="44"/>
      <c r="L636" s="44"/>
      <c r="M636" s="44"/>
      <c r="N636" s="44"/>
      <c r="O636" s="44"/>
      <c r="P636" s="44"/>
      <c r="Q636" s="44"/>
      <c r="R636" s="44"/>
      <c r="S636" s="44"/>
      <c r="T636" s="44"/>
      <c r="U636" s="36"/>
    </row>
    <row r="637" spans="1:21" ht="12.75">
      <c r="A637" s="44"/>
      <c r="B637" s="44"/>
      <c r="C637" s="44"/>
      <c r="D637" s="44"/>
      <c r="E637" s="44"/>
      <c r="F637" s="34"/>
      <c r="G637" s="34"/>
      <c r="H637" s="45"/>
      <c r="I637" s="44"/>
      <c r="J637" s="34"/>
      <c r="K637" s="44"/>
      <c r="L637" s="44"/>
      <c r="M637" s="44"/>
      <c r="N637" s="44"/>
      <c r="O637" s="44"/>
      <c r="P637" s="44"/>
      <c r="Q637" s="44"/>
      <c r="R637" s="44"/>
      <c r="S637" s="44"/>
      <c r="T637" s="44"/>
      <c r="U637" s="36"/>
    </row>
    <row r="638" spans="1:21" ht="12.75">
      <c r="A638" s="44"/>
      <c r="B638" s="44"/>
      <c r="C638" s="44"/>
      <c r="D638" s="44"/>
      <c r="E638" s="44"/>
      <c r="F638" s="34"/>
      <c r="G638" s="34"/>
      <c r="H638" s="45"/>
      <c r="I638" s="44"/>
      <c r="J638" s="34"/>
      <c r="K638" s="44"/>
      <c r="L638" s="44"/>
      <c r="M638" s="44"/>
      <c r="N638" s="44"/>
      <c r="O638" s="44"/>
      <c r="P638" s="44"/>
      <c r="Q638" s="44"/>
      <c r="R638" s="44"/>
      <c r="S638" s="44"/>
      <c r="T638" s="44"/>
      <c r="U638" s="36"/>
    </row>
    <row r="639" spans="1:21" ht="12.75">
      <c r="A639" s="44"/>
      <c r="B639" s="44"/>
      <c r="C639" s="44"/>
      <c r="D639" s="44"/>
      <c r="E639" s="44"/>
      <c r="F639" s="34"/>
      <c r="G639" s="34"/>
      <c r="H639" s="45"/>
      <c r="I639" s="44"/>
      <c r="J639" s="34"/>
      <c r="K639" s="44"/>
      <c r="L639" s="44"/>
      <c r="M639" s="44"/>
      <c r="N639" s="44"/>
      <c r="O639" s="44"/>
      <c r="P639" s="44"/>
      <c r="Q639" s="44"/>
      <c r="R639" s="44"/>
      <c r="S639" s="44"/>
      <c r="T639" s="44"/>
      <c r="U639" s="36"/>
    </row>
    <row r="640" spans="1:21" ht="12.75">
      <c r="A640" s="44"/>
      <c r="B640" s="44"/>
      <c r="C640" s="44"/>
      <c r="D640" s="44"/>
      <c r="E640" s="44"/>
      <c r="F640" s="34"/>
      <c r="G640" s="34"/>
      <c r="H640" s="45"/>
      <c r="I640" s="44"/>
      <c r="J640" s="34"/>
      <c r="K640" s="44"/>
      <c r="L640" s="44"/>
      <c r="M640" s="44"/>
      <c r="N640" s="44"/>
      <c r="O640" s="44"/>
      <c r="P640" s="44"/>
      <c r="Q640" s="44"/>
      <c r="R640" s="44"/>
      <c r="S640" s="44"/>
      <c r="T640" s="44"/>
      <c r="U640" s="36"/>
    </row>
    <row r="641" spans="1:21" ht="12.75">
      <c r="A641" s="44"/>
      <c r="B641" s="44"/>
      <c r="C641" s="44"/>
      <c r="D641" s="44"/>
      <c r="E641" s="44"/>
      <c r="F641" s="34"/>
      <c r="G641" s="34"/>
      <c r="H641" s="45"/>
      <c r="I641" s="44"/>
      <c r="J641" s="34"/>
      <c r="K641" s="44"/>
      <c r="L641" s="44"/>
      <c r="M641" s="44"/>
      <c r="N641" s="44"/>
      <c r="O641" s="44"/>
      <c r="P641" s="44"/>
      <c r="Q641" s="44"/>
      <c r="R641" s="44"/>
      <c r="S641" s="44"/>
      <c r="T641" s="44"/>
      <c r="U641" s="36"/>
    </row>
    <row r="642" spans="1:21" ht="12.75">
      <c r="A642" s="44"/>
      <c r="B642" s="44"/>
      <c r="C642" s="44"/>
      <c r="D642" s="44"/>
      <c r="E642" s="44"/>
      <c r="F642" s="34"/>
      <c r="G642" s="34"/>
      <c r="H642" s="45"/>
      <c r="I642" s="44"/>
      <c r="J642" s="34"/>
      <c r="K642" s="44"/>
      <c r="L642" s="44"/>
      <c r="M642" s="44"/>
      <c r="N642" s="44"/>
      <c r="O642" s="44"/>
      <c r="P642" s="44"/>
      <c r="Q642" s="44"/>
      <c r="R642" s="44"/>
      <c r="S642" s="44"/>
      <c r="T642" s="44"/>
      <c r="U642" s="36"/>
    </row>
    <row r="643" spans="1:21" ht="12.75">
      <c r="A643" s="44"/>
      <c r="B643" s="44"/>
      <c r="C643" s="44"/>
      <c r="D643" s="44"/>
      <c r="E643" s="44"/>
      <c r="F643" s="34"/>
      <c r="G643" s="34"/>
      <c r="H643" s="45"/>
      <c r="I643" s="44"/>
      <c r="J643" s="34"/>
      <c r="K643" s="44"/>
      <c r="L643" s="44"/>
      <c r="M643" s="44"/>
      <c r="N643" s="44"/>
      <c r="O643" s="44"/>
      <c r="P643" s="44"/>
      <c r="Q643" s="44"/>
      <c r="R643" s="44"/>
      <c r="S643" s="44"/>
      <c r="T643" s="44"/>
      <c r="U643" s="36"/>
    </row>
    <row r="644" spans="1:21" ht="12.75">
      <c r="A644" s="44"/>
      <c r="B644" s="44"/>
      <c r="C644" s="44"/>
      <c r="D644" s="44"/>
      <c r="E644" s="44"/>
      <c r="F644" s="34"/>
      <c r="G644" s="34"/>
      <c r="H644" s="45"/>
      <c r="I644" s="44"/>
      <c r="J644" s="34"/>
      <c r="K644" s="44"/>
      <c r="L644" s="44"/>
      <c r="M644" s="44"/>
      <c r="N644" s="44"/>
      <c r="O644" s="44"/>
      <c r="P644" s="44"/>
      <c r="Q644" s="44"/>
      <c r="R644" s="44"/>
      <c r="S644" s="44"/>
      <c r="T644" s="44"/>
      <c r="U644" s="36"/>
    </row>
    <row r="645" spans="1:21" ht="12.75">
      <c r="A645" s="44"/>
      <c r="B645" s="44"/>
      <c r="C645" s="44"/>
      <c r="D645" s="44"/>
      <c r="E645" s="44"/>
      <c r="F645" s="34"/>
      <c r="G645" s="34"/>
      <c r="H645" s="45"/>
      <c r="I645" s="44"/>
      <c r="J645" s="34"/>
      <c r="K645" s="44"/>
      <c r="L645" s="44"/>
      <c r="M645" s="44"/>
      <c r="N645" s="44"/>
      <c r="O645" s="44"/>
      <c r="P645" s="44"/>
      <c r="Q645" s="44"/>
      <c r="R645" s="44"/>
      <c r="S645" s="44"/>
      <c r="T645" s="44"/>
      <c r="U645" s="36"/>
    </row>
    <row r="646" spans="1:21" ht="12.75">
      <c r="A646" s="44"/>
      <c r="B646" s="44"/>
      <c r="C646" s="44"/>
      <c r="D646" s="44"/>
      <c r="E646" s="44"/>
      <c r="F646" s="34"/>
      <c r="G646" s="34"/>
      <c r="H646" s="45"/>
      <c r="I646" s="44"/>
      <c r="J646" s="34"/>
      <c r="K646" s="44"/>
      <c r="L646" s="44"/>
      <c r="M646" s="44"/>
      <c r="N646" s="44"/>
      <c r="O646" s="44"/>
      <c r="P646" s="44"/>
      <c r="Q646" s="44"/>
      <c r="R646" s="44"/>
      <c r="S646" s="44"/>
      <c r="T646" s="44"/>
      <c r="U646" s="36"/>
    </row>
    <row r="647" spans="1:21" ht="12.75">
      <c r="A647" s="44"/>
      <c r="B647" s="44"/>
      <c r="C647" s="44"/>
      <c r="D647" s="44"/>
      <c r="E647" s="44"/>
      <c r="F647" s="34"/>
      <c r="G647" s="34"/>
      <c r="H647" s="45"/>
      <c r="I647" s="44"/>
      <c r="J647" s="34"/>
      <c r="K647" s="44"/>
      <c r="L647" s="44"/>
      <c r="M647" s="44"/>
      <c r="N647" s="44"/>
      <c r="O647" s="44"/>
      <c r="P647" s="44"/>
      <c r="Q647" s="44"/>
      <c r="R647" s="44"/>
      <c r="S647" s="44"/>
      <c r="T647" s="44"/>
      <c r="U647" s="36"/>
    </row>
    <row r="648" spans="1:21" ht="12.75">
      <c r="A648" s="44"/>
      <c r="B648" s="44"/>
      <c r="C648" s="44"/>
      <c r="D648" s="44"/>
      <c r="E648" s="44"/>
      <c r="F648" s="34"/>
      <c r="G648" s="34"/>
      <c r="H648" s="45"/>
      <c r="I648" s="44"/>
      <c r="J648" s="34"/>
      <c r="K648" s="44"/>
      <c r="L648" s="44"/>
      <c r="M648" s="44"/>
      <c r="N648" s="44"/>
      <c r="O648" s="44"/>
      <c r="P648" s="44"/>
      <c r="Q648" s="44"/>
      <c r="R648" s="44"/>
      <c r="S648" s="44"/>
      <c r="T648" s="44"/>
      <c r="U648" s="36"/>
    </row>
    <row r="649" spans="1:21" ht="12.75">
      <c r="A649" s="44"/>
      <c r="B649" s="44"/>
      <c r="C649" s="44"/>
      <c r="D649" s="44"/>
      <c r="E649" s="44"/>
      <c r="F649" s="34"/>
      <c r="G649" s="34"/>
      <c r="H649" s="45"/>
      <c r="I649" s="44"/>
      <c r="J649" s="34"/>
      <c r="K649" s="44"/>
      <c r="L649" s="44"/>
      <c r="M649" s="44"/>
      <c r="N649" s="44"/>
      <c r="O649" s="44"/>
      <c r="P649" s="44"/>
      <c r="Q649" s="44"/>
      <c r="R649" s="44"/>
      <c r="S649" s="44"/>
      <c r="T649" s="44"/>
      <c r="U649" s="36"/>
    </row>
    <row r="650" spans="1:21" ht="12.75">
      <c r="A650" s="44"/>
      <c r="B650" s="44"/>
      <c r="C650" s="44"/>
      <c r="D650" s="44"/>
      <c r="E650" s="44"/>
      <c r="F650" s="34"/>
      <c r="G650" s="34"/>
      <c r="H650" s="45"/>
      <c r="I650" s="44"/>
      <c r="J650" s="34"/>
      <c r="K650" s="44"/>
      <c r="L650" s="44"/>
      <c r="M650" s="44"/>
      <c r="N650" s="44"/>
      <c r="O650" s="44"/>
      <c r="P650" s="44"/>
      <c r="Q650" s="44"/>
      <c r="R650" s="44"/>
      <c r="S650" s="44"/>
      <c r="T650" s="44"/>
      <c r="U650" s="36"/>
    </row>
    <row r="651" spans="1:21" ht="12.75">
      <c r="A651" s="44"/>
      <c r="B651" s="44"/>
      <c r="C651" s="44"/>
      <c r="D651" s="44"/>
      <c r="E651" s="44"/>
      <c r="F651" s="34"/>
      <c r="G651" s="34"/>
      <c r="H651" s="45"/>
      <c r="I651" s="44"/>
      <c r="J651" s="34"/>
      <c r="K651" s="44"/>
      <c r="L651" s="44"/>
      <c r="M651" s="44"/>
      <c r="N651" s="44"/>
      <c r="O651" s="44"/>
      <c r="P651" s="44"/>
      <c r="Q651" s="44"/>
      <c r="R651" s="44"/>
      <c r="S651" s="44"/>
      <c r="T651" s="44"/>
      <c r="U651" s="36"/>
    </row>
    <row r="652" spans="1:21" ht="12.75">
      <c r="A652" s="44"/>
      <c r="B652" s="44"/>
      <c r="C652" s="44"/>
      <c r="D652" s="44"/>
      <c r="E652" s="44"/>
      <c r="F652" s="34"/>
      <c r="G652" s="34"/>
      <c r="H652" s="45"/>
      <c r="I652" s="44"/>
      <c r="J652" s="34"/>
      <c r="K652" s="44"/>
      <c r="L652" s="44"/>
      <c r="M652" s="44"/>
      <c r="N652" s="44"/>
      <c r="O652" s="44"/>
      <c r="P652" s="44"/>
      <c r="Q652" s="44"/>
      <c r="R652" s="44"/>
      <c r="S652" s="44"/>
      <c r="T652" s="44"/>
      <c r="U652" s="36"/>
    </row>
    <row r="653" spans="1:21" ht="12.75">
      <c r="A653" s="44"/>
      <c r="B653" s="44"/>
      <c r="C653" s="44"/>
      <c r="D653" s="44"/>
      <c r="E653" s="44"/>
      <c r="F653" s="34"/>
      <c r="G653" s="34"/>
      <c r="H653" s="45"/>
      <c r="I653" s="44"/>
      <c r="J653" s="34"/>
      <c r="K653" s="44"/>
      <c r="L653" s="44"/>
      <c r="M653" s="44"/>
      <c r="N653" s="44"/>
      <c r="O653" s="44"/>
      <c r="P653" s="44"/>
      <c r="Q653" s="44"/>
      <c r="R653" s="44"/>
      <c r="S653" s="44"/>
      <c r="T653" s="44"/>
      <c r="U653" s="36"/>
    </row>
    <row r="654" spans="1:21" ht="12.75">
      <c r="A654" s="44"/>
      <c r="B654" s="44"/>
      <c r="C654" s="44"/>
      <c r="D654" s="44"/>
      <c r="E654" s="44"/>
      <c r="F654" s="34"/>
      <c r="G654" s="34"/>
      <c r="H654" s="45"/>
      <c r="I654" s="44"/>
      <c r="J654" s="34"/>
      <c r="K654" s="44"/>
      <c r="L654" s="44"/>
      <c r="M654" s="44"/>
      <c r="N654" s="44"/>
      <c r="O654" s="44"/>
      <c r="P654" s="44"/>
      <c r="Q654" s="44"/>
      <c r="R654" s="44"/>
      <c r="S654" s="44"/>
      <c r="T654" s="44"/>
      <c r="U654" s="36"/>
    </row>
    <row r="655" spans="1:21" ht="12.75">
      <c r="A655" s="44"/>
      <c r="B655" s="44"/>
      <c r="C655" s="44"/>
      <c r="D655" s="44"/>
      <c r="E655" s="44"/>
      <c r="F655" s="34"/>
      <c r="G655" s="34"/>
      <c r="H655" s="45"/>
      <c r="I655" s="44"/>
      <c r="J655" s="34"/>
      <c r="K655" s="44"/>
      <c r="L655" s="44"/>
      <c r="M655" s="44"/>
      <c r="N655" s="44"/>
      <c r="O655" s="44"/>
      <c r="P655" s="44"/>
      <c r="Q655" s="44"/>
      <c r="R655" s="44"/>
      <c r="S655" s="44"/>
      <c r="T655" s="44"/>
      <c r="U655" s="36"/>
    </row>
    <row r="656" spans="1:21" ht="12.75">
      <c r="A656" s="44"/>
      <c r="B656" s="44"/>
      <c r="C656" s="44"/>
      <c r="D656" s="44"/>
      <c r="E656" s="44"/>
      <c r="F656" s="34"/>
      <c r="G656" s="34"/>
      <c r="H656" s="45"/>
      <c r="I656" s="44"/>
      <c r="J656" s="34"/>
      <c r="K656" s="44"/>
      <c r="L656" s="44"/>
      <c r="M656" s="44"/>
      <c r="N656" s="44"/>
      <c r="O656" s="44"/>
      <c r="P656" s="44"/>
      <c r="Q656" s="44"/>
      <c r="R656" s="44"/>
      <c r="S656" s="44"/>
      <c r="T656" s="44"/>
      <c r="U656" s="36"/>
    </row>
    <row r="657" spans="1:21" ht="12.75">
      <c r="A657" s="44"/>
      <c r="B657" s="44"/>
      <c r="C657" s="44"/>
      <c r="D657" s="44"/>
      <c r="E657" s="44"/>
      <c r="F657" s="34"/>
      <c r="G657" s="34"/>
      <c r="H657" s="45"/>
      <c r="I657" s="44"/>
      <c r="J657" s="34"/>
      <c r="K657" s="44"/>
      <c r="L657" s="44"/>
      <c r="M657" s="44"/>
      <c r="N657" s="44"/>
      <c r="O657" s="44"/>
      <c r="P657" s="44"/>
      <c r="Q657" s="44"/>
      <c r="R657" s="44"/>
      <c r="S657" s="44"/>
      <c r="T657" s="44"/>
      <c r="U657" s="36"/>
    </row>
    <row r="658" spans="1:21" ht="12.75">
      <c r="A658" s="44"/>
      <c r="B658" s="44"/>
      <c r="C658" s="44"/>
      <c r="D658" s="44"/>
      <c r="E658" s="44"/>
      <c r="F658" s="34"/>
      <c r="G658" s="34"/>
      <c r="H658" s="45"/>
      <c r="I658" s="44"/>
      <c r="J658" s="34"/>
      <c r="K658" s="44"/>
      <c r="L658" s="44"/>
      <c r="M658" s="44"/>
      <c r="N658" s="44"/>
      <c r="O658" s="44"/>
      <c r="P658" s="44"/>
      <c r="Q658" s="44"/>
      <c r="R658" s="44"/>
      <c r="S658" s="44"/>
      <c r="T658" s="44"/>
      <c r="U658" s="36"/>
    </row>
    <row r="659" spans="1:21" ht="12.75">
      <c r="A659" s="44"/>
      <c r="B659" s="44"/>
      <c r="C659" s="44"/>
      <c r="D659" s="44"/>
      <c r="E659" s="44"/>
      <c r="F659" s="34"/>
      <c r="G659" s="34"/>
      <c r="H659" s="45"/>
      <c r="I659" s="44"/>
      <c r="J659" s="34"/>
      <c r="K659" s="44"/>
      <c r="L659" s="44"/>
      <c r="M659" s="44"/>
      <c r="N659" s="44"/>
      <c r="O659" s="44"/>
      <c r="P659" s="44"/>
      <c r="Q659" s="44"/>
      <c r="R659" s="44"/>
      <c r="S659" s="44"/>
      <c r="T659" s="44"/>
      <c r="U659" s="36"/>
    </row>
    <row r="660" spans="1:21" ht="12.75">
      <c r="A660" s="44"/>
      <c r="B660" s="44"/>
      <c r="C660" s="44"/>
      <c r="D660" s="44"/>
      <c r="E660" s="44"/>
      <c r="F660" s="34"/>
      <c r="G660" s="34"/>
      <c r="H660" s="45"/>
      <c r="I660" s="44"/>
      <c r="J660" s="34"/>
      <c r="K660" s="44"/>
      <c r="L660" s="44"/>
      <c r="M660" s="44"/>
      <c r="N660" s="44"/>
      <c r="O660" s="44"/>
      <c r="P660" s="44"/>
      <c r="Q660" s="44"/>
      <c r="R660" s="44"/>
      <c r="S660" s="44"/>
      <c r="T660" s="44"/>
      <c r="U660" s="36"/>
    </row>
    <row r="661" spans="1:21" ht="12.75">
      <c r="A661" s="44"/>
      <c r="B661" s="44"/>
      <c r="C661" s="44"/>
      <c r="D661" s="44"/>
      <c r="E661" s="44"/>
      <c r="F661" s="34"/>
      <c r="G661" s="34"/>
      <c r="H661" s="45"/>
      <c r="I661" s="44"/>
      <c r="J661" s="34"/>
      <c r="K661" s="44"/>
      <c r="L661" s="44"/>
      <c r="M661" s="44"/>
      <c r="N661" s="44"/>
      <c r="O661" s="44"/>
      <c r="P661" s="44"/>
      <c r="Q661" s="44"/>
      <c r="R661" s="44"/>
      <c r="S661" s="44"/>
      <c r="T661" s="44"/>
      <c r="U661" s="36"/>
    </row>
    <row r="662" spans="1:21" ht="12.75">
      <c r="A662" s="44"/>
      <c r="B662" s="44"/>
      <c r="C662" s="44"/>
      <c r="D662" s="44"/>
      <c r="E662" s="44"/>
      <c r="F662" s="34"/>
      <c r="G662" s="34"/>
      <c r="H662" s="45"/>
      <c r="I662" s="44"/>
      <c r="J662" s="34"/>
      <c r="K662" s="44"/>
      <c r="L662" s="44"/>
      <c r="M662" s="44"/>
      <c r="N662" s="44"/>
      <c r="O662" s="44"/>
      <c r="P662" s="44"/>
      <c r="Q662" s="44"/>
      <c r="R662" s="44"/>
      <c r="S662" s="44"/>
      <c r="T662" s="44"/>
      <c r="U662" s="36"/>
    </row>
    <row r="663" spans="1:21" ht="12.75">
      <c r="A663" s="44"/>
      <c r="B663" s="44"/>
      <c r="C663" s="44"/>
      <c r="D663" s="44"/>
      <c r="E663" s="44"/>
      <c r="F663" s="34"/>
      <c r="G663" s="34"/>
      <c r="H663" s="45"/>
      <c r="I663" s="44"/>
      <c r="J663" s="34"/>
      <c r="K663" s="44"/>
      <c r="L663" s="44"/>
      <c r="M663" s="44"/>
      <c r="N663" s="44"/>
      <c r="O663" s="44"/>
      <c r="P663" s="44"/>
      <c r="Q663" s="44"/>
      <c r="R663" s="44"/>
      <c r="S663" s="44"/>
      <c r="T663" s="44"/>
      <c r="U663" s="36"/>
    </row>
    <row r="664" spans="1:21" ht="12.75">
      <c r="A664" s="44"/>
      <c r="B664" s="44"/>
      <c r="C664" s="44"/>
      <c r="D664" s="44"/>
      <c r="E664" s="44"/>
      <c r="F664" s="34"/>
      <c r="G664" s="34"/>
      <c r="H664" s="45"/>
      <c r="I664" s="44"/>
      <c r="J664" s="34"/>
      <c r="K664" s="44"/>
      <c r="L664" s="44"/>
      <c r="M664" s="44"/>
      <c r="N664" s="44"/>
      <c r="O664" s="44"/>
      <c r="P664" s="44"/>
      <c r="Q664" s="44"/>
      <c r="R664" s="44"/>
      <c r="S664" s="44"/>
      <c r="T664" s="44"/>
      <c r="U664" s="36"/>
    </row>
    <row r="665" spans="1:21" ht="12.75">
      <c r="A665" s="44"/>
      <c r="B665" s="44"/>
      <c r="C665" s="44"/>
      <c r="D665" s="44"/>
      <c r="E665" s="44"/>
      <c r="F665" s="34"/>
      <c r="G665" s="34"/>
      <c r="H665" s="45"/>
      <c r="I665" s="44"/>
      <c r="J665" s="34"/>
      <c r="K665" s="44"/>
      <c r="L665" s="44"/>
      <c r="M665" s="44"/>
      <c r="N665" s="44"/>
      <c r="O665" s="44"/>
      <c r="P665" s="44"/>
      <c r="Q665" s="44"/>
      <c r="R665" s="44"/>
      <c r="S665" s="44"/>
      <c r="T665" s="44"/>
      <c r="U665" s="36"/>
    </row>
    <row r="666" spans="1:21" ht="12.75">
      <c r="A666" s="44"/>
      <c r="B666" s="44"/>
      <c r="C666" s="44"/>
      <c r="D666" s="44"/>
      <c r="E666" s="44"/>
      <c r="F666" s="34"/>
      <c r="G666" s="34"/>
      <c r="H666" s="45"/>
      <c r="I666" s="44"/>
      <c r="J666" s="34"/>
      <c r="K666" s="44"/>
      <c r="L666" s="44"/>
      <c r="M666" s="44"/>
      <c r="N666" s="44"/>
      <c r="O666" s="44"/>
      <c r="P666" s="44"/>
      <c r="Q666" s="44"/>
      <c r="R666" s="44"/>
      <c r="S666" s="44"/>
      <c r="T666" s="44"/>
      <c r="U666" s="36"/>
    </row>
    <row r="667" spans="1:21" ht="12.75">
      <c r="A667" s="44"/>
      <c r="B667" s="44"/>
      <c r="C667" s="44"/>
      <c r="D667" s="44"/>
      <c r="E667" s="44"/>
      <c r="F667" s="34"/>
      <c r="G667" s="34"/>
      <c r="H667" s="45"/>
      <c r="I667" s="44"/>
      <c r="J667" s="34"/>
      <c r="K667" s="44"/>
      <c r="L667" s="44"/>
      <c r="M667" s="44"/>
      <c r="N667" s="44"/>
      <c r="O667" s="44"/>
      <c r="P667" s="44"/>
      <c r="Q667" s="44"/>
      <c r="R667" s="44"/>
      <c r="S667" s="44"/>
      <c r="T667" s="44"/>
      <c r="U667" s="36"/>
    </row>
    <row r="668" spans="1:21" ht="12.75">
      <c r="A668" s="44"/>
      <c r="B668" s="44"/>
      <c r="C668" s="44"/>
      <c r="D668" s="44"/>
      <c r="E668" s="44"/>
      <c r="F668" s="34"/>
      <c r="G668" s="34"/>
      <c r="H668" s="45"/>
      <c r="I668" s="44"/>
      <c r="J668" s="34"/>
      <c r="K668" s="44"/>
      <c r="L668" s="44"/>
      <c r="M668" s="44"/>
      <c r="N668" s="44"/>
      <c r="O668" s="44"/>
      <c r="P668" s="44"/>
      <c r="Q668" s="44"/>
      <c r="R668" s="44"/>
      <c r="S668" s="44"/>
      <c r="T668" s="44"/>
      <c r="U668" s="36"/>
    </row>
    <row r="669" spans="1:21" ht="12.75">
      <c r="A669" s="44"/>
      <c r="B669" s="44"/>
      <c r="C669" s="44"/>
      <c r="D669" s="44"/>
      <c r="E669" s="44"/>
      <c r="F669" s="34"/>
      <c r="G669" s="34"/>
      <c r="H669" s="45"/>
      <c r="I669" s="44"/>
      <c r="J669" s="34"/>
      <c r="K669" s="44"/>
      <c r="L669" s="44"/>
      <c r="M669" s="44"/>
      <c r="N669" s="44"/>
      <c r="O669" s="44"/>
      <c r="P669" s="44"/>
      <c r="Q669" s="44"/>
      <c r="R669" s="44"/>
      <c r="S669" s="44"/>
      <c r="T669" s="44"/>
      <c r="U669" s="36"/>
    </row>
    <row r="670" spans="1:21" ht="12.75">
      <c r="A670" s="44"/>
      <c r="B670" s="44"/>
      <c r="C670" s="44"/>
      <c r="D670" s="44"/>
      <c r="E670" s="44"/>
      <c r="F670" s="34"/>
      <c r="G670" s="34"/>
      <c r="H670" s="45"/>
      <c r="I670" s="44"/>
      <c r="J670" s="34"/>
      <c r="K670" s="44"/>
      <c r="L670" s="44"/>
      <c r="M670" s="44"/>
      <c r="N670" s="44"/>
      <c r="O670" s="44"/>
      <c r="P670" s="44"/>
      <c r="Q670" s="44"/>
      <c r="R670" s="44"/>
      <c r="S670" s="44"/>
      <c r="T670" s="44"/>
      <c r="U670" s="36"/>
    </row>
    <row r="671" spans="1:21" ht="12.75">
      <c r="A671" s="44"/>
      <c r="B671" s="44"/>
      <c r="C671" s="44"/>
      <c r="D671" s="44"/>
      <c r="E671" s="44"/>
      <c r="F671" s="34"/>
      <c r="G671" s="34"/>
      <c r="H671" s="45"/>
      <c r="I671" s="44"/>
      <c r="J671" s="34"/>
      <c r="K671" s="44"/>
      <c r="L671" s="44"/>
      <c r="M671" s="44"/>
      <c r="N671" s="44"/>
      <c r="O671" s="44"/>
      <c r="P671" s="44"/>
      <c r="Q671" s="44"/>
      <c r="R671" s="44"/>
      <c r="S671" s="44"/>
      <c r="T671" s="44"/>
      <c r="U671" s="36"/>
    </row>
    <row r="672" spans="1:21" ht="12.75">
      <c r="A672" s="44"/>
      <c r="B672" s="44"/>
      <c r="C672" s="44"/>
      <c r="D672" s="44"/>
      <c r="E672" s="44"/>
      <c r="F672" s="34"/>
      <c r="G672" s="34"/>
      <c r="H672" s="45"/>
      <c r="I672" s="44"/>
      <c r="J672" s="34"/>
      <c r="K672" s="44"/>
      <c r="L672" s="44"/>
      <c r="M672" s="44"/>
      <c r="N672" s="44"/>
      <c r="O672" s="44"/>
      <c r="P672" s="44"/>
      <c r="Q672" s="44"/>
      <c r="R672" s="44"/>
      <c r="S672" s="44"/>
      <c r="T672" s="44"/>
      <c r="U672" s="36"/>
    </row>
    <row r="673" spans="1:21" ht="12.75">
      <c r="A673" s="44"/>
      <c r="B673" s="44"/>
      <c r="C673" s="44"/>
      <c r="D673" s="44"/>
      <c r="E673" s="44"/>
      <c r="F673" s="34"/>
      <c r="G673" s="34"/>
      <c r="H673" s="45"/>
      <c r="I673" s="44"/>
      <c r="J673" s="34"/>
      <c r="K673" s="44"/>
      <c r="L673" s="44"/>
      <c r="M673" s="44"/>
      <c r="N673" s="44"/>
      <c r="O673" s="44"/>
      <c r="P673" s="44"/>
      <c r="Q673" s="44"/>
      <c r="R673" s="44"/>
      <c r="S673" s="44"/>
      <c r="T673" s="44"/>
      <c r="U673" s="36"/>
    </row>
    <row r="674" spans="1:21" ht="12.75">
      <c r="A674" s="44"/>
      <c r="B674" s="44"/>
      <c r="C674" s="44"/>
      <c r="D674" s="44"/>
      <c r="E674" s="44"/>
      <c r="F674" s="34"/>
      <c r="G674" s="34"/>
      <c r="H674" s="45"/>
      <c r="I674" s="44"/>
      <c r="J674" s="34"/>
      <c r="K674" s="44"/>
      <c r="L674" s="44"/>
      <c r="M674" s="44"/>
      <c r="N674" s="44"/>
      <c r="O674" s="44"/>
      <c r="P674" s="44"/>
      <c r="Q674" s="44"/>
      <c r="R674" s="44"/>
      <c r="S674" s="44"/>
      <c r="T674" s="44"/>
      <c r="U674" s="36"/>
    </row>
    <row r="675" spans="1:21" ht="12.75">
      <c r="A675" s="44"/>
      <c r="B675" s="44"/>
      <c r="C675" s="44"/>
      <c r="D675" s="44"/>
      <c r="E675" s="44"/>
      <c r="F675" s="34"/>
      <c r="G675" s="34"/>
      <c r="H675" s="45"/>
      <c r="I675" s="44"/>
      <c r="J675" s="34"/>
      <c r="K675" s="44"/>
      <c r="L675" s="44"/>
      <c r="M675" s="44"/>
      <c r="N675" s="44"/>
      <c r="O675" s="44"/>
      <c r="P675" s="44"/>
      <c r="Q675" s="44"/>
      <c r="R675" s="44"/>
      <c r="S675" s="44"/>
      <c r="T675" s="44"/>
      <c r="U675" s="36"/>
    </row>
    <row r="676" spans="1:21" ht="12.75">
      <c r="A676" s="44"/>
      <c r="B676" s="44"/>
      <c r="C676" s="44"/>
      <c r="D676" s="44"/>
      <c r="E676" s="44"/>
      <c r="F676" s="34"/>
      <c r="G676" s="34"/>
      <c r="H676" s="45"/>
      <c r="I676" s="44"/>
      <c r="J676" s="34"/>
      <c r="K676" s="44"/>
      <c r="L676" s="44"/>
      <c r="M676" s="44"/>
      <c r="N676" s="44"/>
      <c r="O676" s="44"/>
      <c r="P676" s="44"/>
      <c r="Q676" s="44"/>
      <c r="R676" s="44"/>
      <c r="S676" s="44"/>
      <c r="T676" s="44"/>
      <c r="U676" s="36"/>
    </row>
    <row r="677" spans="1:21" ht="12.75">
      <c r="A677" s="44"/>
      <c r="B677" s="44"/>
      <c r="C677" s="44"/>
      <c r="D677" s="44"/>
      <c r="E677" s="44"/>
      <c r="F677" s="34"/>
      <c r="G677" s="34"/>
      <c r="H677" s="45"/>
      <c r="I677" s="44"/>
      <c r="J677" s="34"/>
      <c r="K677" s="44"/>
      <c r="L677" s="44"/>
      <c r="M677" s="44"/>
      <c r="N677" s="44"/>
      <c r="O677" s="44"/>
      <c r="P677" s="44"/>
      <c r="Q677" s="44"/>
      <c r="R677" s="44"/>
      <c r="S677" s="44"/>
      <c r="T677" s="44"/>
      <c r="U677" s="36"/>
    </row>
    <row r="678" spans="1:21" ht="12.75">
      <c r="A678" s="44"/>
      <c r="B678" s="44"/>
      <c r="C678" s="44"/>
      <c r="D678" s="44"/>
      <c r="E678" s="44"/>
      <c r="F678" s="34"/>
      <c r="G678" s="34"/>
      <c r="H678" s="45"/>
      <c r="I678" s="44"/>
      <c r="J678" s="34"/>
      <c r="K678" s="44"/>
      <c r="L678" s="44"/>
      <c r="M678" s="44"/>
      <c r="N678" s="44"/>
      <c r="O678" s="44"/>
      <c r="P678" s="44"/>
      <c r="Q678" s="44"/>
      <c r="R678" s="44"/>
      <c r="S678" s="44"/>
      <c r="T678" s="44"/>
      <c r="U678" s="36"/>
    </row>
    <row r="679" spans="1:21" ht="12.75">
      <c r="A679" s="44"/>
      <c r="B679" s="44"/>
      <c r="C679" s="44"/>
      <c r="D679" s="44"/>
      <c r="E679" s="44"/>
      <c r="F679" s="34"/>
      <c r="G679" s="34"/>
      <c r="H679" s="45"/>
      <c r="I679" s="44"/>
      <c r="J679" s="34"/>
      <c r="K679" s="44"/>
      <c r="L679" s="44"/>
      <c r="M679" s="44"/>
      <c r="N679" s="44"/>
      <c r="O679" s="44"/>
      <c r="P679" s="44"/>
      <c r="Q679" s="44"/>
      <c r="R679" s="44"/>
      <c r="S679" s="44"/>
      <c r="T679" s="44"/>
      <c r="U679" s="36"/>
    </row>
    <row r="680" spans="1:21" ht="12.75">
      <c r="A680" s="44"/>
      <c r="B680" s="44"/>
      <c r="C680" s="44"/>
      <c r="D680" s="44"/>
      <c r="E680" s="44"/>
      <c r="F680" s="34"/>
      <c r="G680" s="34"/>
      <c r="H680" s="45"/>
      <c r="I680" s="44"/>
      <c r="J680" s="34"/>
      <c r="K680" s="44"/>
      <c r="L680" s="44"/>
      <c r="M680" s="44"/>
      <c r="N680" s="44"/>
      <c r="O680" s="44"/>
      <c r="P680" s="44"/>
      <c r="Q680" s="44"/>
      <c r="R680" s="44"/>
      <c r="S680" s="44"/>
      <c r="T680" s="44"/>
      <c r="U680" s="36"/>
    </row>
    <row r="681" spans="1:21" ht="12.75">
      <c r="A681" s="44"/>
      <c r="B681" s="44"/>
      <c r="C681" s="44"/>
      <c r="D681" s="44"/>
      <c r="E681" s="44"/>
      <c r="F681" s="34"/>
      <c r="G681" s="34"/>
      <c r="H681" s="45"/>
      <c r="I681" s="44"/>
      <c r="J681" s="34"/>
      <c r="K681" s="44"/>
      <c r="L681" s="44"/>
      <c r="M681" s="44"/>
      <c r="N681" s="44"/>
      <c r="O681" s="44"/>
      <c r="P681" s="44"/>
      <c r="Q681" s="44"/>
      <c r="R681" s="44"/>
      <c r="S681" s="44"/>
      <c r="T681" s="44"/>
      <c r="U681" s="36"/>
    </row>
    <row r="682" spans="1:21" ht="12.75">
      <c r="A682" s="44"/>
      <c r="B682" s="44"/>
      <c r="C682" s="44"/>
      <c r="D682" s="44"/>
      <c r="E682" s="44"/>
      <c r="F682" s="34"/>
      <c r="G682" s="34"/>
      <c r="H682" s="45"/>
      <c r="I682" s="44"/>
      <c r="J682" s="34"/>
      <c r="K682" s="44"/>
      <c r="L682" s="44"/>
      <c r="M682" s="44"/>
      <c r="N682" s="44"/>
      <c r="O682" s="44"/>
      <c r="P682" s="44"/>
      <c r="Q682" s="44"/>
      <c r="R682" s="44"/>
      <c r="S682" s="44"/>
      <c r="T682" s="44"/>
      <c r="U682" s="36"/>
    </row>
    <row r="683" spans="1:21" ht="12.75">
      <c r="A683" s="44"/>
      <c r="B683" s="44"/>
      <c r="C683" s="44"/>
      <c r="D683" s="44"/>
      <c r="E683" s="44"/>
      <c r="F683" s="34"/>
      <c r="G683" s="34"/>
      <c r="H683" s="45"/>
      <c r="I683" s="44"/>
      <c r="J683" s="34"/>
      <c r="K683" s="44"/>
      <c r="L683" s="44"/>
      <c r="M683" s="44"/>
      <c r="N683" s="44"/>
      <c r="O683" s="44"/>
      <c r="P683" s="44"/>
      <c r="Q683" s="44"/>
      <c r="R683" s="44"/>
      <c r="S683" s="44"/>
      <c r="T683" s="44"/>
      <c r="U683" s="36"/>
    </row>
    <row r="684" spans="1:21" ht="12.75">
      <c r="A684" s="44"/>
      <c r="B684" s="44"/>
      <c r="C684" s="44"/>
      <c r="D684" s="44"/>
      <c r="E684" s="44"/>
      <c r="F684" s="34"/>
      <c r="G684" s="34"/>
      <c r="H684" s="45"/>
      <c r="I684" s="44"/>
      <c r="J684" s="34"/>
      <c r="K684" s="44"/>
      <c r="L684" s="44"/>
      <c r="M684" s="44"/>
      <c r="N684" s="44"/>
      <c r="O684" s="44"/>
      <c r="P684" s="44"/>
      <c r="Q684" s="44"/>
      <c r="R684" s="44"/>
      <c r="S684" s="44"/>
      <c r="T684" s="44"/>
      <c r="U684" s="36"/>
    </row>
    <row r="685" spans="1:21" ht="12.75">
      <c r="A685" s="44"/>
      <c r="B685" s="44"/>
      <c r="C685" s="44"/>
      <c r="D685" s="44"/>
      <c r="E685" s="44"/>
      <c r="F685" s="34"/>
      <c r="G685" s="34"/>
      <c r="H685" s="45"/>
      <c r="I685" s="44"/>
      <c r="J685" s="34"/>
      <c r="K685" s="44"/>
      <c r="L685" s="44"/>
      <c r="M685" s="44"/>
      <c r="N685" s="44"/>
      <c r="O685" s="44"/>
      <c r="P685" s="44"/>
      <c r="Q685" s="44"/>
      <c r="R685" s="44"/>
      <c r="S685" s="44"/>
      <c r="T685" s="44"/>
      <c r="U685" s="36"/>
    </row>
    <row r="686" spans="1:21" ht="12.75">
      <c r="A686" s="44"/>
      <c r="B686" s="44"/>
      <c r="C686" s="44"/>
      <c r="D686" s="44"/>
      <c r="E686" s="44"/>
      <c r="F686" s="34"/>
      <c r="G686" s="34"/>
      <c r="H686" s="45"/>
      <c r="I686" s="44"/>
      <c r="J686" s="34"/>
      <c r="K686" s="44"/>
      <c r="L686" s="44"/>
      <c r="M686" s="44"/>
      <c r="N686" s="44"/>
      <c r="O686" s="44"/>
      <c r="P686" s="44"/>
      <c r="Q686" s="44"/>
      <c r="R686" s="44"/>
      <c r="S686" s="44"/>
      <c r="T686" s="44"/>
      <c r="U686" s="36"/>
    </row>
    <row r="687" spans="1:21" ht="12.75">
      <c r="A687" s="44"/>
      <c r="B687" s="44"/>
      <c r="C687" s="44"/>
      <c r="D687" s="44"/>
      <c r="E687" s="44"/>
      <c r="F687" s="34"/>
      <c r="G687" s="34"/>
      <c r="H687" s="45"/>
      <c r="I687" s="44"/>
      <c r="J687" s="34"/>
      <c r="K687" s="44"/>
      <c r="L687" s="44"/>
      <c r="M687" s="44"/>
      <c r="N687" s="44"/>
      <c r="O687" s="44"/>
      <c r="P687" s="44"/>
      <c r="Q687" s="44"/>
      <c r="R687" s="44"/>
      <c r="S687" s="44"/>
      <c r="T687" s="44"/>
      <c r="U687" s="36"/>
    </row>
    <row r="688" spans="1:21" ht="12.75">
      <c r="A688" s="44"/>
      <c r="B688" s="44"/>
      <c r="C688" s="44"/>
      <c r="D688" s="44"/>
      <c r="E688" s="44"/>
      <c r="F688" s="34"/>
      <c r="G688" s="34"/>
      <c r="H688" s="45"/>
      <c r="I688" s="44"/>
      <c r="J688" s="34"/>
      <c r="K688" s="44"/>
      <c r="L688" s="44"/>
      <c r="M688" s="44"/>
      <c r="N688" s="44"/>
      <c r="O688" s="44"/>
      <c r="P688" s="44"/>
      <c r="Q688" s="44"/>
      <c r="R688" s="44"/>
      <c r="S688" s="44"/>
      <c r="T688" s="44"/>
      <c r="U688" s="36"/>
    </row>
    <row r="689" spans="1:21" ht="12.75">
      <c r="A689" s="44"/>
      <c r="B689" s="44"/>
      <c r="C689" s="44"/>
      <c r="D689" s="44"/>
      <c r="E689" s="44"/>
      <c r="F689" s="34"/>
      <c r="G689" s="34"/>
      <c r="H689" s="45"/>
      <c r="I689" s="44"/>
      <c r="J689" s="34"/>
      <c r="K689" s="44"/>
      <c r="L689" s="44"/>
      <c r="M689" s="44"/>
      <c r="N689" s="44"/>
      <c r="O689" s="44"/>
      <c r="P689" s="44"/>
      <c r="Q689" s="44"/>
      <c r="R689" s="44"/>
      <c r="S689" s="44"/>
      <c r="T689" s="44"/>
      <c r="U689" s="36"/>
    </row>
    <row r="690" spans="1:21" ht="12.75">
      <c r="A690" s="44"/>
      <c r="B690" s="44"/>
      <c r="C690" s="44"/>
      <c r="D690" s="44"/>
      <c r="E690" s="44"/>
      <c r="F690" s="34"/>
      <c r="G690" s="34"/>
      <c r="H690" s="45"/>
      <c r="I690" s="44"/>
      <c r="J690" s="34"/>
      <c r="K690" s="44"/>
      <c r="L690" s="44"/>
      <c r="M690" s="44"/>
      <c r="N690" s="44"/>
      <c r="O690" s="44"/>
      <c r="P690" s="44"/>
      <c r="Q690" s="44"/>
      <c r="R690" s="44"/>
      <c r="S690" s="44"/>
      <c r="T690" s="44"/>
      <c r="U690" s="36"/>
    </row>
    <row r="691" spans="1:21" ht="12.75">
      <c r="A691" s="44"/>
      <c r="B691" s="44"/>
      <c r="C691" s="44"/>
      <c r="D691" s="44"/>
      <c r="E691" s="44"/>
      <c r="F691" s="34"/>
      <c r="G691" s="34"/>
      <c r="H691" s="45"/>
      <c r="I691" s="44"/>
      <c r="J691" s="34"/>
      <c r="K691" s="44"/>
      <c r="L691" s="44"/>
      <c r="M691" s="44"/>
      <c r="N691" s="44"/>
      <c r="O691" s="44"/>
      <c r="P691" s="44"/>
      <c r="Q691" s="44"/>
      <c r="R691" s="44"/>
      <c r="S691" s="44"/>
      <c r="T691" s="44"/>
      <c r="U691" s="36"/>
    </row>
    <row r="692" spans="1:21" ht="12.75">
      <c r="A692" s="44"/>
      <c r="B692" s="44"/>
      <c r="C692" s="44"/>
      <c r="D692" s="44"/>
      <c r="E692" s="44"/>
      <c r="F692" s="34"/>
      <c r="G692" s="34"/>
      <c r="H692" s="45"/>
      <c r="I692" s="44"/>
      <c r="J692" s="34"/>
      <c r="K692" s="44"/>
      <c r="L692" s="44"/>
      <c r="M692" s="44"/>
      <c r="N692" s="44"/>
      <c r="O692" s="44"/>
      <c r="P692" s="44"/>
      <c r="Q692" s="44"/>
      <c r="R692" s="44"/>
      <c r="S692" s="44"/>
      <c r="T692" s="44"/>
      <c r="U692" s="36"/>
    </row>
    <row r="693" spans="1:21" ht="12.75">
      <c r="A693" s="44"/>
      <c r="B693" s="44"/>
      <c r="C693" s="44"/>
      <c r="D693" s="44"/>
      <c r="E693" s="44"/>
      <c r="F693" s="34"/>
      <c r="G693" s="34"/>
      <c r="H693" s="45"/>
      <c r="I693" s="44"/>
      <c r="J693" s="34"/>
      <c r="K693" s="44"/>
      <c r="L693" s="44"/>
      <c r="M693" s="44"/>
      <c r="N693" s="44"/>
      <c r="O693" s="44"/>
      <c r="P693" s="44"/>
      <c r="Q693" s="44"/>
      <c r="R693" s="44"/>
      <c r="S693" s="44"/>
      <c r="T693" s="44"/>
      <c r="U693" s="36"/>
    </row>
    <row r="694" spans="1:21" ht="12.75">
      <c r="A694" s="44"/>
      <c r="B694" s="44"/>
      <c r="C694" s="44"/>
      <c r="D694" s="44"/>
      <c r="E694" s="44"/>
      <c r="F694" s="34"/>
      <c r="G694" s="34"/>
      <c r="H694" s="45"/>
      <c r="I694" s="44"/>
      <c r="J694" s="34"/>
      <c r="K694" s="44"/>
      <c r="L694" s="44"/>
      <c r="M694" s="44"/>
      <c r="N694" s="44"/>
      <c r="O694" s="44"/>
      <c r="P694" s="44"/>
      <c r="Q694" s="44"/>
      <c r="R694" s="44"/>
      <c r="S694" s="44"/>
      <c r="T694" s="44"/>
      <c r="U694" s="36"/>
    </row>
    <row r="695" spans="1:21" ht="12.75">
      <c r="A695" s="44"/>
      <c r="B695" s="44"/>
      <c r="C695" s="44"/>
      <c r="D695" s="44"/>
      <c r="E695" s="44"/>
      <c r="F695" s="34"/>
      <c r="G695" s="34"/>
      <c r="H695" s="45"/>
      <c r="I695" s="44"/>
      <c r="J695" s="34"/>
      <c r="K695" s="44"/>
      <c r="L695" s="44"/>
      <c r="M695" s="44"/>
      <c r="N695" s="44"/>
      <c r="O695" s="44"/>
      <c r="P695" s="44"/>
      <c r="Q695" s="44"/>
      <c r="R695" s="44"/>
      <c r="S695" s="44"/>
      <c r="T695" s="44"/>
      <c r="U695" s="36"/>
    </row>
    <row r="696" spans="1:21" ht="12.75">
      <c r="A696" s="44"/>
      <c r="B696" s="44"/>
      <c r="C696" s="44"/>
      <c r="D696" s="44"/>
      <c r="E696" s="44"/>
      <c r="F696" s="34"/>
      <c r="G696" s="34"/>
      <c r="H696" s="45"/>
      <c r="I696" s="44"/>
      <c r="J696" s="34"/>
      <c r="K696" s="44"/>
      <c r="L696" s="44"/>
      <c r="M696" s="44"/>
      <c r="N696" s="44"/>
      <c r="O696" s="44"/>
      <c r="P696" s="44"/>
      <c r="Q696" s="44"/>
      <c r="R696" s="44"/>
      <c r="S696" s="44"/>
      <c r="T696" s="44"/>
      <c r="U696" s="36"/>
    </row>
    <row r="697" spans="1:21" ht="12.75">
      <c r="A697" s="44"/>
      <c r="B697" s="44"/>
      <c r="C697" s="44"/>
      <c r="D697" s="44"/>
      <c r="E697" s="44"/>
      <c r="F697" s="34"/>
      <c r="G697" s="34"/>
      <c r="H697" s="45"/>
      <c r="I697" s="44"/>
      <c r="J697" s="34"/>
      <c r="K697" s="44"/>
      <c r="L697" s="44"/>
      <c r="M697" s="44"/>
      <c r="N697" s="44"/>
      <c r="O697" s="44"/>
      <c r="P697" s="44"/>
      <c r="Q697" s="44"/>
      <c r="R697" s="44"/>
      <c r="S697" s="44"/>
      <c r="T697" s="44"/>
      <c r="U697" s="36"/>
    </row>
    <row r="698" spans="1:21" ht="12.75">
      <c r="A698" s="44"/>
      <c r="B698" s="44"/>
      <c r="C698" s="44"/>
      <c r="D698" s="44"/>
      <c r="E698" s="44"/>
      <c r="F698" s="34"/>
      <c r="G698" s="34"/>
      <c r="H698" s="45"/>
      <c r="I698" s="44"/>
      <c r="J698" s="34"/>
      <c r="K698" s="44"/>
      <c r="L698" s="44"/>
      <c r="M698" s="44"/>
      <c r="N698" s="44"/>
      <c r="O698" s="44"/>
      <c r="P698" s="44"/>
      <c r="Q698" s="44"/>
      <c r="R698" s="44"/>
      <c r="S698" s="44"/>
      <c r="T698" s="44"/>
      <c r="U698" s="36"/>
    </row>
    <row r="699" spans="1:21" ht="12.75">
      <c r="A699" s="44"/>
      <c r="B699" s="44"/>
      <c r="C699" s="44"/>
      <c r="D699" s="44"/>
      <c r="E699" s="44"/>
      <c r="F699" s="34"/>
      <c r="G699" s="34"/>
      <c r="H699" s="45"/>
      <c r="I699" s="44"/>
      <c r="J699" s="34"/>
      <c r="K699" s="44"/>
      <c r="L699" s="44"/>
      <c r="M699" s="44"/>
      <c r="N699" s="44"/>
      <c r="O699" s="44"/>
      <c r="P699" s="44"/>
      <c r="Q699" s="44"/>
      <c r="R699" s="44"/>
      <c r="S699" s="44"/>
      <c r="T699" s="44"/>
      <c r="U699" s="36"/>
    </row>
    <row r="700" spans="1:21" ht="12.75">
      <c r="A700" s="44"/>
      <c r="B700" s="44"/>
      <c r="C700" s="44"/>
      <c r="D700" s="44"/>
      <c r="E700" s="44"/>
      <c r="F700" s="34"/>
      <c r="G700" s="34"/>
      <c r="H700" s="45"/>
      <c r="I700" s="44"/>
      <c r="J700" s="34"/>
      <c r="K700" s="44"/>
      <c r="L700" s="44"/>
      <c r="M700" s="44"/>
      <c r="N700" s="44"/>
      <c r="O700" s="44"/>
      <c r="P700" s="44"/>
      <c r="Q700" s="44"/>
      <c r="R700" s="44"/>
      <c r="S700" s="44"/>
      <c r="T700" s="44"/>
      <c r="U700" s="36"/>
    </row>
    <row r="701" spans="1:21" ht="12.75">
      <c r="A701" s="44"/>
      <c r="B701" s="44"/>
      <c r="C701" s="44"/>
      <c r="D701" s="44"/>
      <c r="E701" s="44"/>
      <c r="F701" s="34"/>
      <c r="G701" s="34"/>
      <c r="H701" s="45"/>
      <c r="I701" s="44"/>
      <c r="J701" s="34"/>
      <c r="K701" s="44"/>
      <c r="L701" s="44"/>
      <c r="M701" s="44"/>
      <c r="N701" s="44"/>
      <c r="O701" s="44"/>
      <c r="P701" s="44"/>
      <c r="Q701" s="44"/>
      <c r="R701" s="44"/>
      <c r="S701" s="44"/>
      <c r="T701" s="44"/>
      <c r="U701" s="36"/>
    </row>
    <row r="702" spans="1:21" ht="12.75">
      <c r="A702" s="44"/>
      <c r="B702" s="44"/>
      <c r="C702" s="44"/>
      <c r="D702" s="44"/>
      <c r="E702" s="44"/>
      <c r="F702" s="34"/>
      <c r="G702" s="34"/>
      <c r="H702" s="45"/>
      <c r="I702" s="44"/>
      <c r="J702" s="34"/>
      <c r="K702" s="44"/>
      <c r="L702" s="44"/>
      <c r="M702" s="44"/>
      <c r="N702" s="44"/>
      <c r="O702" s="44"/>
      <c r="P702" s="44"/>
      <c r="Q702" s="44"/>
      <c r="R702" s="44"/>
      <c r="S702" s="44"/>
      <c r="T702" s="44"/>
      <c r="U702" s="36"/>
    </row>
    <row r="703" spans="1:21" ht="12.75">
      <c r="A703" s="44"/>
      <c r="B703" s="44"/>
      <c r="C703" s="44"/>
      <c r="D703" s="44"/>
      <c r="E703" s="44"/>
      <c r="F703" s="34"/>
      <c r="G703" s="34"/>
      <c r="H703" s="45"/>
      <c r="I703" s="44"/>
      <c r="J703" s="34"/>
      <c r="K703" s="44"/>
      <c r="L703" s="44"/>
      <c r="M703" s="44"/>
      <c r="N703" s="44"/>
      <c r="O703" s="44"/>
      <c r="P703" s="44"/>
      <c r="Q703" s="44"/>
      <c r="R703" s="44"/>
      <c r="S703" s="44"/>
      <c r="T703" s="44"/>
      <c r="U703" s="36"/>
    </row>
    <row r="704" spans="1:21" ht="12.75">
      <c r="A704" s="44"/>
      <c r="B704" s="44"/>
      <c r="C704" s="44"/>
      <c r="D704" s="44"/>
      <c r="E704" s="44"/>
      <c r="F704" s="34"/>
      <c r="G704" s="34"/>
      <c r="H704" s="45"/>
      <c r="I704" s="44"/>
      <c r="J704" s="34"/>
      <c r="K704" s="44"/>
      <c r="L704" s="44"/>
      <c r="M704" s="44"/>
      <c r="N704" s="44"/>
      <c r="O704" s="44"/>
      <c r="P704" s="44"/>
      <c r="Q704" s="44"/>
      <c r="R704" s="44"/>
      <c r="S704" s="44"/>
      <c r="T704" s="44"/>
      <c r="U704" s="36"/>
    </row>
    <row r="705" spans="1:21" ht="12.75">
      <c r="A705" s="44"/>
      <c r="B705" s="44"/>
      <c r="C705" s="44"/>
      <c r="D705" s="44"/>
      <c r="E705" s="44"/>
      <c r="F705" s="34"/>
      <c r="G705" s="34"/>
      <c r="H705" s="45"/>
      <c r="I705" s="44"/>
      <c r="J705" s="34"/>
      <c r="K705" s="44"/>
      <c r="L705" s="44"/>
      <c r="M705" s="44"/>
      <c r="N705" s="44"/>
      <c r="O705" s="44"/>
      <c r="P705" s="44"/>
      <c r="Q705" s="44"/>
      <c r="R705" s="44"/>
      <c r="S705" s="44"/>
      <c r="T705" s="44"/>
      <c r="U705" s="36"/>
    </row>
    <row r="706" spans="1:21" ht="12.75">
      <c r="A706" s="44"/>
      <c r="B706" s="44"/>
      <c r="C706" s="44"/>
      <c r="D706" s="44"/>
      <c r="E706" s="44"/>
      <c r="F706" s="34"/>
      <c r="G706" s="34"/>
      <c r="H706" s="45"/>
      <c r="I706" s="44"/>
      <c r="J706" s="34"/>
      <c r="K706" s="44"/>
      <c r="L706" s="44"/>
      <c r="M706" s="44"/>
      <c r="N706" s="44"/>
      <c r="O706" s="44"/>
      <c r="P706" s="44"/>
      <c r="Q706" s="44"/>
      <c r="R706" s="44"/>
      <c r="S706" s="44"/>
      <c r="T706" s="44"/>
      <c r="U706" s="36"/>
    </row>
    <row r="707" spans="1:21" ht="12.75">
      <c r="A707" s="44"/>
      <c r="B707" s="44"/>
      <c r="C707" s="44"/>
      <c r="D707" s="44"/>
      <c r="E707" s="44"/>
      <c r="F707" s="34"/>
      <c r="G707" s="34"/>
      <c r="H707" s="45"/>
      <c r="I707" s="44"/>
      <c r="J707" s="34"/>
      <c r="K707" s="44"/>
      <c r="L707" s="44"/>
      <c r="M707" s="44"/>
      <c r="N707" s="44"/>
      <c r="O707" s="44"/>
      <c r="P707" s="44"/>
      <c r="Q707" s="44"/>
      <c r="R707" s="44"/>
      <c r="S707" s="44"/>
      <c r="T707" s="44"/>
      <c r="U707" s="36"/>
    </row>
    <row r="708" spans="1:21" ht="12.75">
      <c r="A708" s="44"/>
      <c r="B708" s="44"/>
      <c r="C708" s="44"/>
      <c r="D708" s="44"/>
      <c r="E708" s="44"/>
      <c r="F708" s="34"/>
      <c r="G708" s="34"/>
      <c r="H708" s="45"/>
      <c r="I708" s="44"/>
      <c r="J708" s="34"/>
      <c r="K708" s="44"/>
      <c r="L708" s="44"/>
      <c r="M708" s="44"/>
      <c r="N708" s="44"/>
      <c r="O708" s="44"/>
      <c r="P708" s="44"/>
      <c r="Q708" s="44"/>
      <c r="R708" s="44"/>
      <c r="S708" s="44"/>
      <c r="T708" s="44"/>
      <c r="U708" s="36"/>
    </row>
    <row r="709" spans="1:21" ht="12.75">
      <c r="A709" s="44"/>
      <c r="B709" s="44"/>
      <c r="C709" s="44"/>
      <c r="D709" s="44"/>
      <c r="E709" s="44"/>
      <c r="F709" s="34"/>
      <c r="G709" s="34"/>
      <c r="H709" s="45"/>
      <c r="I709" s="44"/>
      <c r="J709" s="34"/>
      <c r="K709" s="44"/>
      <c r="L709" s="44"/>
      <c r="M709" s="44"/>
      <c r="N709" s="44"/>
      <c r="O709" s="44"/>
      <c r="P709" s="44"/>
      <c r="Q709" s="44"/>
      <c r="R709" s="44"/>
      <c r="S709" s="44"/>
      <c r="T709" s="44"/>
      <c r="U709" s="36"/>
    </row>
    <row r="710" spans="1:21" ht="12.75">
      <c r="A710" s="44"/>
      <c r="B710" s="44"/>
      <c r="C710" s="44"/>
      <c r="D710" s="44"/>
      <c r="E710" s="44"/>
      <c r="F710" s="34"/>
      <c r="G710" s="34"/>
      <c r="H710" s="45"/>
      <c r="I710" s="44"/>
      <c r="J710" s="34"/>
      <c r="K710" s="44"/>
      <c r="L710" s="44"/>
      <c r="M710" s="44"/>
      <c r="N710" s="44"/>
      <c r="O710" s="44"/>
      <c r="P710" s="44"/>
      <c r="Q710" s="44"/>
      <c r="R710" s="44"/>
      <c r="S710" s="44"/>
      <c r="T710" s="44"/>
      <c r="U710" s="36"/>
    </row>
    <row r="711" spans="1:21" ht="12.75">
      <c r="A711" s="44"/>
      <c r="B711" s="44"/>
      <c r="C711" s="44"/>
      <c r="D711" s="44"/>
      <c r="E711" s="44"/>
      <c r="F711" s="34"/>
      <c r="G711" s="34"/>
      <c r="H711" s="45"/>
      <c r="I711" s="44"/>
      <c r="J711" s="34"/>
      <c r="K711" s="44"/>
      <c r="L711" s="44"/>
      <c r="M711" s="44"/>
      <c r="N711" s="44"/>
      <c r="O711" s="44"/>
      <c r="P711" s="44"/>
      <c r="Q711" s="44"/>
      <c r="R711" s="44"/>
      <c r="S711" s="44"/>
      <c r="T711" s="44"/>
      <c r="U711" s="36"/>
    </row>
    <row r="712" spans="1:21" ht="12.75">
      <c r="A712" s="44"/>
      <c r="B712" s="44"/>
      <c r="C712" s="44"/>
      <c r="D712" s="44"/>
      <c r="E712" s="44"/>
      <c r="F712" s="34"/>
      <c r="G712" s="34"/>
      <c r="H712" s="45"/>
      <c r="I712" s="44"/>
      <c r="J712" s="34"/>
      <c r="K712" s="44"/>
      <c r="L712" s="44"/>
      <c r="M712" s="44"/>
      <c r="N712" s="44"/>
      <c r="O712" s="44"/>
      <c r="P712" s="44"/>
      <c r="Q712" s="44"/>
      <c r="R712" s="44"/>
      <c r="S712" s="44"/>
      <c r="T712" s="44"/>
      <c r="U712" s="36"/>
    </row>
    <row r="713" spans="1:21" ht="12.75">
      <c r="A713" s="44"/>
      <c r="B713" s="44"/>
      <c r="C713" s="44"/>
      <c r="D713" s="44"/>
      <c r="E713" s="44"/>
      <c r="F713" s="34"/>
      <c r="G713" s="34"/>
      <c r="H713" s="45"/>
      <c r="I713" s="44"/>
      <c r="J713" s="34"/>
      <c r="K713" s="44"/>
      <c r="L713" s="44"/>
      <c r="M713" s="44"/>
      <c r="N713" s="44"/>
      <c r="O713" s="44"/>
      <c r="P713" s="44"/>
      <c r="Q713" s="44"/>
      <c r="R713" s="44"/>
      <c r="S713" s="44"/>
      <c r="T713" s="44"/>
      <c r="U713" s="36"/>
    </row>
    <row r="714" spans="1:21" ht="12.75">
      <c r="A714" s="44"/>
      <c r="B714" s="44"/>
      <c r="C714" s="44"/>
      <c r="D714" s="44"/>
      <c r="E714" s="44"/>
      <c r="F714" s="34"/>
      <c r="G714" s="34"/>
      <c r="H714" s="45"/>
      <c r="I714" s="44"/>
      <c r="J714" s="34"/>
      <c r="K714" s="44"/>
      <c r="L714" s="44"/>
      <c r="M714" s="44"/>
      <c r="N714" s="44"/>
      <c r="O714" s="44"/>
      <c r="P714" s="44"/>
      <c r="Q714" s="44"/>
      <c r="R714" s="44"/>
      <c r="S714" s="44"/>
      <c r="T714" s="44"/>
      <c r="U714" s="36"/>
    </row>
    <row r="715" spans="1:21" ht="12.75">
      <c r="A715" s="44"/>
      <c r="B715" s="44"/>
      <c r="C715" s="44"/>
      <c r="D715" s="44"/>
      <c r="E715" s="44"/>
      <c r="F715" s="34"/>
      <c r="G715" s="34"/>
      <c r="H715" s="45"/>
      <c r="I715" s="44"/>
      <c r="J715" s="34"/>
      <c r="K715" s="44"/>
      <c r="L715" s="44"/>
      <c r="M715" s="44"/>
      <c r="N715" s="44"/>
      <c r="O715" s="44"/>
      <c r="P715" s="44"/>
      <c r="Q715" s="44"/>
      <c r="R715" s="44"/>
      <c r="S715" s="44"/>
      <c r="T715" s="44"/>
      <c r="U715" s="36"/>
    </row>
    <row r="716" spans="1:21" ht="12.75">
      <c r="A716" s="44"/>
      <c r="B716" s="44"/>
      <c r="C716" s="44"/>
      <c r="D716" s="44"/>
      <c r="E716" s="44"/>
      <c r="F716" s="34"/>
      <c r="G716" s="34"/>
      <c r="H716" s="45"/>
      <c r="I716" s="44"/>
      <c r="J716" s="34"/>
      <c r="K716" s="44"/>
      <c r="L716" s="44"/>
      <c r="M716" s="44"/>
      <c r="N716" s="44"/>
      <c r="O716" s="44"/>
      <c r="P716" s="44"/>
      <c r="Q716" s="44"/>
      <c r="R716" s="44"/>
      <c r="S716" s="44"/>
      <c r="T716" s="44"/>
      <c r="U716" s="36"/>
    </row>
    <row r="717" spans="1:21" ht="12.75">
      <c r="A717" s="44"/>
      <c r="B717" s="44"/>
      <c r="C717" s="44"/>
      <c r="D717" s="44"/>
      <c r="E717" s="44"/>
      <c r="F717" s="34"/>
      <c r="G717" s="34"/>
      <c r="H717" s="45"/>
      <c r="I717" s="44"/>
      <c r="J717" s="34"/>
      <c r="K717" s="44"/>
      <c r="L717" s="44"/>
      <c r="M717" s="44"/>
      <c r="N717" s="44"/>
      <c r="O717" s="44"/>
      <c r="P717" s="44"/>
      <c r="Q717" s="44"/>
      <c r="R717" s="44"/>
      <c r="S717" s="44"/>
      <c r="T717" s="44"/>
      <c r="U717" s="36"/>
    </row>
    <row r="718" spans="1:21" ht="12.75">
      <c r="A718" s="44"/>
      <c r="B718" s="44"/>
      <c r="C718" s="44"/>
      <c r="D718" s="44"/>
      <c r="E718" s="44"/>
      <c r="F718" s="34"/>
      <c r="G718" s="34"/>
      <c r="H718" s="45"/>
      <c r="I718" s="44"/>
      <c r="J718" s="34"/>
      <c r="K718" s="44"/>
      <c r="L718" s="44"/>
      <c r="M718" s="44"/>
      <c r="N718" s="44"/>
      <c r="O718" s="44"/>
      <c r="P718" s="44"/>
      <c r="Q718" s="44"/>
      <c r="R718" s="44"/>
      <c r="S718" s="44"/>
      <c r="T718" s="44"/>
      <c r="U718" s="36"/>
    </row>
    <row r="719" spans="1:21" ht="12.75">
      <c r="A719" s="44"/>
      <c r="B719" s="44"/>
      <c r="C719" s="44"/>
      <c r="D719" s="44"/>
      <c r="E719" s="44"/>
      <c r="F719" s="34"/>
      <c r="G719" s="34"/>
      <c r="H719" s="45"/>
      <c r="I719" s="44"/>
      <c r="J719" s="34"/>
      <c r="K719" s="44"/>
      <c r="L719" s="44"/>
      <c r="M719" s="44"/>
      <c r="N719" s="44"/>
      <c r="O719" s="44"/>
      <c r="P719" s="44"/>
      <c r="Q719" s="44"/>
      <c r="R719" s="44"/>
      <c r="S719" s="44"/>
      <c r="T719" s="44"/>
      <c r="U719" s="36"/>
    </row>
    <row r="720" spans="1:21" ht="12.75">
      <c r="A720" s="44"/>
      <c r="B720" s="44"/>
      <c r="C720" s="44"/>
      <c r="D720" s="44"/>
      <c r="E720" s="44"/>
      <c r="F720" s="34"/>
      <c r="G720" s="34"/>
      <c r="H720" s="45"/>
      <c r="I720" s="44"/>
      <c r="J720" s="34"/>
      <c r="K720" s="44"/>
      <c r="L720" s="44"/>
      <c r="M720" s="44"/>
      <c r="N720" s="44"/>
      <c r="O720" s="44"/>
      <c r="P720" s="44"/>
      <c r="Q720" s="44"/>
      <c r="R720" s="44"/>
      <c r="S720" s="44"/>
      <c r="T720" s="44"/>
      <c r="U720" s="36"/>
    </row>
    <row r="721" spans="1:21" ht="12.75">
      <c r="A721" s="44"/>
      <c r="B721" s="44"/>
      <c r="C721" s="44"/>
      <c r="D721" s="44"/>
      <c r="E721" s="44"/>
      <c r="F721" s="34"/>
      <c r="G721" s="34"/>
      <c r="H721" s="45"/>
      <c r="I721" s="44"/>
      <c r="J721" s="34"/>
      <c r="K721" s="44"/>
      <c r="L721" s="44"/>
      <c r="M721" s="44"/>
      <c r="N721" s="44"/>
      <c r="O721" s="44"/>
      <c r="P721" s="44"/>
      <c r="Q721" s="44"/>
      <c r="R721" s="44"/>
      <c r="S721" s="44"/>
      <c r="T721" s="44"/>
      <c r="U721" s="36"/>
    </row>
    <row r="722" spans="1:21" ht="12.75">
      <c r="A722" s="44"/>
      <c r="B722" s="44"/>
      <c r="C722" s="44"/>
      <c r="D722" s="44"/>
      <c r="E722" s="44"/>
      <c r="F722" s="34"/>
      <c r="G722" s="34"/>
      <c r="H722" s="45"/>
      <c r="I722" s="44"/>
      <c r="J722" s="34"/>
      <c r="K722" s="44"/>
      <c r="L722" s="44"/>
      <c r="M722" s="44"/>
      <c r="N722" s="44"/>
      <c r="O722" s="44"/>
      <c r="P722" s="44"/>
      <c r="Q722" s="44"/>
      <c r="R722" s="44"/>
      <c r="S722" s="44"/>
      <c r="T722" s="44"/>
      <c r="U722" s="36"/>
    </row>
    <row r="723" spans="1:21" ht="12.75">
      <c r="A723" s="44"/>
      <c r="B723" s="44"/>
      <c r="C723" s="44"/>
      <c r="D723" s="44"/>
      <c r="E723" s="44"/>
      <c r="F723" s="34"/>
      <c r="G723" s="34"/>
      <c r="H723" s="45"/>
      <c r="I723" s="44"/>
      <c r="J723" s="34"/>
      <c r="K723" s="44"/>
      <c r="L723" s="44"/>
      <c r="M723" s="44"/>
      <c r="N723" s="44"/>
      <c r="O723" s="44"/>
      <c r="P723" s="44"/>
      <c r="Q723" s="44"/>
      <c r="R723" s="44"/>
      <c r="S723" s="44"/>
      <c r="T723" s="44"/>
      <c r="U723" s="36"/>
    </row>
    <row r="724" spans="1:21" ht="12.75">
      <c r="A724" s="44"/>
      <c r="B724" s="44"/>
      <c r="C724" s="44"/>
      <c r="D724" s="44"/>
      <c r="E724" s="44"/>
      <c r="F724" s="34"/>
      <c r="G724" s="34"/>
      <c r="H724" s="45"/>
      <c r="I724" s="44"/>
      <c r="J724" s="34"/>
      <c r="K724" s="44"/>
      <c r="L724" s="44"/>
      <c r="M724" s="44"/>
      <c r="N724" s="44"/>
      <c r="O724" s="44"/>
      <c r="P724" s="44"/>
      <c r="Q724" s="44"/>
      <c r="R724" s="44"/>
      <c r="S724" s="44"/>
      <c r="T724" s="44"/>
      <c r="U724" s="36"/>
    </row>
    <row r="725" spans="1:21" ht="12.75">
      <c r="A725" s="44"/>
      <c r="B725" s="44"/>
      <c r="C725" s="44"/>
      <c r="D725" s="44"/>
      <c r="E725" s="44"/>
      <c r="F725" s="34"/>
      <c r="G725" s="34"/>
      <c r="H725" s="45"/>
      <c r="I725" s="44"/>
      <c r="J725" s="34"/>
      <c r="K725" s="44"/>
      <c r="L725" s="44"/>
      <c r="M725" s="44"/>
      <c r="N725" s="44"/>
      <c r="O725" s="44"/>
      <c r="P725" s="44"/>
      <c r="Q725" s="44"/>
      <c r="R725" s="44"/>
      <c r="S725" s="44"/>
      <c r="T725" s="44"/>
      <c r="U725" s="36"/>
    </row>
    <row r="726" spans="1:21" ht="12.75">
      <c r="A726" s="44"/>
      <c r="B726" s="44"/>
      <c r="C726" s="44"/>
      <c r="D726" s="44"/>
      <c r="E726" s="44"/>
      <c r="F726" s="34"/>
      <c r="G726" s="34"/>
      <c r="H726" s="45"/>
      <c r="I726" s="44"/>
      <c r="J726" s="34"/>
      <c r="K726" s="44"/>
      <c r="L726" s="44"/>
      <c r="M726" s="44"/>
      <c r="N726" s="44"/>
      <c r="O726" s="44"/>
      <c r="P726" s="44"/>
      <c r="Q726" s="44"/>
      <c r="R726" s="44"/>
      <c r="S726" s="44"/>
      <c r="T726" s="44"/>
      <c r="U726" s="36"/>
    </row>
    <row r="727" spans="1:21" ht="12.75">
      <c r="A727" s="44"/>
      <c r="B727" s="44"/>
      <c r="C727" s="44"/>
      <c r="D727" s="44"/>
      <c r="E727" s="44"/>
      <c r="F727" s="34"/>
      <c r="G727" s="34"/>
      <c r="H727" s="45"/>
      <c r="I727" s="44"/>
      <c r="J727" s="34"/>
      <c r="K727" s="44"/>
      <c r="L727" s="44"/>
      <c r="M727" s="44"/>
      <c r="N727" s="44"/>
      <c r="O727" s="44"/>
      <c r="P727" s="44"/>
      <c r="Q727" s="44"/>
      <c r="R727" s="44"/>
      <c r="S727" s="44"/>
      <c r="T727" s="44"/>
      <c r="U727" s="36"/>
    </row>
    <row r="728" spans="1:21" ht="12.75">
      <c r="A728" s="44"/>
      <c r="B728" s="44"/>
      <c r="C728" s="44"/>
      <c r="D728" s="44"/>
      <c r="E728" s="44"/>
      <c r="F728" s="34"/>
      <c r="G728" s="34"/>
      <c r="H728" s="45"/>
      <c r="I728" s="44"/>
      <c r="J728" s="34"/>
      <c r="K728" s="44"/>
      <c r="L728" s="44"/>
      <c r="M728" s="44"/>
      <c r="N728" s="44"/>
      <c r="O728" s="44"/>
      <c r="P728" s="44"/>
      <c r="Q728" s="44"/>
      <c r="R728" s="44"/>
      <c r="S728" s="44"/>
      <c r="T728" s="44"/>
      <c r="U728" s="36"/>
    </row>
    <row r="729" spans="1:21" ht="12.75">
      <c r="A729" s="44"/>
      <c r="B729" s="44"/>
      <c r="C729" s="44"/>
      <c r="D729" s="44"/>
      <c r="E729" s="44"/>
      <c r="F729" s="34"/>
      <c r="G729" s="34"/>
      <c r="H729" s="45"/>
      <c r="I729" s="44"/>
      <c r="J729" s="34"/>
      <c r="K729" s="44"/>
      <c r="L729" s="44"/>
      <c r="M729" s="44"/>
      <c r="N729" s="44"/>
      <c r="O729" s="44"/>
      <c r="P729" s="44"/>
      <c r="Q729" s="44"/>
      <c r="R729" s="44"/>
      <c r="S729" s="44"/>
      <c r="T729" s="44"/>
      <c r="U729" s="36"/>
    </row>
    <row r="730" spans="1:21" ht="12.75">
      <c r="A730" s="44"/>
      <c r="B730" s="44"/>
      <c r="C730" s="44"/>
      <c r="D730" s="44"/>
      <c r="E730" s="44"/>
      <c r="F730" s="34"/>
      <c r="G730" s="34"/>
      <c r="H730" s="45"/>
      <c r="I730" s="44"/>
      <c r="J730" s="34"/>
      <c r="K730" s="44"/>
      <c r="L730" s="44"/>
      <c r="M730" s="44"/>
      <c r="N730" s="44"/>
      <c r="O730" s="44"/>
      <c r="P730" s="44"/>
      <c r="Q730" s="44"/>
      <c r="R730" s="44"/>
      <c r="S730" s="44"/>
      <c r="T730" s="44"/>
      <c r="U730" s="36"/>
    </row>
    <row r="731" spans="1:21" ht="12.75">
      <c r="A731" s="44"/>
      <c r="B731" s="44"/>
      <c r="C731" s="44"/>
      <c r="D731" s="44"/>
      <c r="E731" s="44"/>
      <c r="F731" s="34"/>
      <c r="G731" s="34"/>
      <c r="H731" s="45"/>
      <c r="I731" s="44"/>
      <c r="J731" s="34"/>
      <c r="K731" s="44"/>
      <c r="L731" s="44"/>
      <c r="M731" s="44"/>
      <c r="N731" s="44"/>
      <c r="O731" s="44"/>
      <c r="P731" s="44"/>
      <c r="Q731" s="44"/>
      <c r="R731" s="44"/>
      <c r="S731" s="44"/>
      <c r="T731" s="44"/>
      <c r="U731" s="36"/>
    </row>
    <row r="732" spans="1:21" ht="12.75">
      <c r="A732" s="44"/>
      <c r="B732" s="44"/>
      <c r="C732" s="44"/>
      <c r="D732" s="44"/>
      <c r="E732" s="44"/>
      <c r="F732" s="34"/>
      <c r="G732" s="34"/>
      <c r="H732" s="45"/>
      <c r="I732" s="44"/>
      <c r="J732" s="34"/>
      <c r="K732" s="44"/>
      <c r="L732" s="44"/>
      <c r="M732" s="44"/>
      <c r="N732" s="44"/>
      <c r="O732" s="44"/>
      <c r="P732" s="44"/>
      <c r="Q732" s="44"/>
      <c r="R732" s="44"/>
      <c r="S732" s="44"/>
      <c r="T732" s="44"/>
      <c r="U732" s="36"/>
    </row>
    <row r="733" spans="1:21" ht="12.75">
      <c r="A733" s="44"/>
      <c r="B733" s="44"/>
      <c r="C733" s="44"/>
      <c r="D733" s="44"/>
      <c r="E733" s="44"/>
      <c r="F733" s="34"/>
      <c r="G733" s="34"/>
      <c r="H733" s="45"/>
      <c r="I733" s="44"/>
      <c r="J733" s="34"/>
      <c r="K733" s="44"/>
      <c r="L733" s="44"/>
      <c r="M733" s="44"/>
      <c r="N733" s="44"/>
      <c r="O733" s="44"/>
      <c r="P733" s="44"/>
      <c r="Q733" s="44"/>
      <c r="R733" s="44"/>
      <c r="S733" s="44"/>
      <c r="T733" s="44"/>
      <c r="U733" s="36"/>
    </row>
    <row r="734" spans="1:21" ht="12.75">
      <c r="A734" s="44"/>
      <c r="B734" s="44"/>
      <c r="C734" s="44"/>
      <c r="D734" s="44"/>
      <c r="E734" s="44"/>
      <c r="F734" s="34"/>
      <c r="G734" s="34"/>
      <c r="H734" s="45"/>
      <c r="I734" s="44"/>
      <c r="J734" s="34"/>
      <c r="K734" s="44"/>
      <c r="L734" s="44"/>
      <c r="M734" s="44"/>
      <c r="N734" s="44"/>
      <c r="O734" s="44"/>
      <c r="P734" s="44"/>
      <c r="Q734" s="44"/>
      <c r="R734" s="44"/>
      <c r="S734" s="44"/>
      <c r="T734" s="44"/>
      <c r="U734" s="36"/>
    </row>
    <row r="735" spans="1:21" ht="12.75">
      <c r="A735" s="44"/>
      <c r="B735" s="44"/>
      <c r="C735" s="44"/>
      <c r="D735" s="44"/>
      <c r="E735" s="44"/>
      <c r="F735" s="34"/>
      <c r="G735" s="34"/>
      <c r="H735" s="45"/>
      <c r="I735" s="44"/>
      <c r="J735" s="34"/>
      <c r="K735" s="44"/>
      <c r="L735" s="44"/>
      <c r="M735" s="44"/>
      <c r="N735" s="44"/>
      <c r="O735" s="44"/>
      <c r="P735" s="44"/>
      <c r="Q735" s="44"/>
      <c r="R735" s="44"/>
      <c r="S735" s="44"/>
      <c r="T735" s="44"/>
      <c r="U735" s="36"/>
    </row>
    <row r="736" spans="1:21" ht="12.75">
      <c r="A736" s="44"/>
      <c r="B736" s="44"/>
      <c r="C736" s="44"/>
      <c r="D736" s="44"/>
      <c r="E736" s="44"/>
      <c r="F736" s="34"/>
      <c r="G736" s="34"/>
      <c r="H736" s="45"/>
      <c r="I736" s="44"/>
      <c r="J736" s="34"/>
      <c r="K736" s="44"/>
      <c r="L736" s="44"/>
      <c r="M736" s="44"/>
      <c r="N736" s="44"/>
      <c r="O736" s="44"/>
      <c r="P736" s="44"/>
      <c r="Q736" s="44"/>
      <c r="R736" s="44"/>
      <c r="S736" s="44"/>
      <c r="T736" s="44"/>
      <c r="U736" s="36"/>
    </row>
    <row r="737" spans="1:21" ht="12.75">
      <c r="A737" s="44"/>
      <c r="B737" s="44"/>
      <c r="C737" s="44"/>
      <c r="D737" s="44"/>
      <c r="E737" s="44"/>
      <c r="F737" s="34"/>
      <c r="G737" s="34"/>
      <c r="H737" s="45"/>
      <c r="I737" s="44"/>
      <c r="J737" s="34"/>
      <c r="K737" s="44"/>
      <c r="L737" s="44"/>
      <c r="M737" s="44"/>
      <c r="N737" s="44"/>
      <c r="O737" s="44"/>
      <c r="P737" s="44"/>
      <c r="Q737" s="44"/>
      <c r="R737" s="44"/>
      <c r="S737" s="44"/>
      <c r="T737" s="44"/>
      <c r="U737" s="36"/>
    </row>
    <row r="738" spans="1:21" ht="12.75">
      <c r="A738" s="44"/>
      <c r="B738" s="44"/>
      <c r="C738" s="44"/>
      <c r="D738" s="44"/>
      <c r="E738" s="44"/>
      <c r="F738" s="34"/>
      <c r="G738" s="34"/>
      <c r="H738" s="45"/>
      <c r="I738" s="44"/>
      <c r="J738" s="34"/>
      <c r="K738" s="44"/>
      <c r="L738" s="44"/>
      <c r="M738" s="44"/>
      <c r="N738" s="44"/>
      <c r="O738" s="44"/>
      <c r="P738" s="44"/>
      <c r="Q738" s="44"/>
      <c r="R738" s="44"/>
      <c r="S738" s="44"/>
      <c r="T738" s="44"/>
      <c r="U738" s="36"/>
    </row>
    <row r="739" spans="1:21" ht="12.75">
      <c r="A739" s="44"/>
      <c r="B739" s="44"/>
      <c r="C739" s="44"/>
      <c r="D739" s="44"/>
      <c r="E739" s="44"/>
      <c r="F739" s="34"/>
      <c r="G739" s="34"/>
      <c r="H739" s="45"/>
      <c r="I739" s="44"/>
      <c r="J739" s="34"/>
      <c r="K739" s="44"/>
      <c r="L739" s="44"/>
      <c r="M739" s="44"/>
      <c r="N739" s="44"/>
      <c r="O739" s="44"/>
      <c r="P739" s="44"/>
      <c r="Q739" s="44"/>
      <c r="R739" s="44"/>
      <c r="S739" s="44"/>
      <c r="T739" s="44"/>
      <c r="U739" s="36"/>
    </row>
    <row r="740" spans="1:21" ht="12.75">
      <c r="A740" s="44"/>
      <c r="B740" s="44"/>
      <c r="C740" s="44"/>
      <c r="D740" s="44"/>
      <c r="E740" s="44"/>
      <c r="F740" s="34"/>
      <c r="G740" s="34"/>
      <c r="H740" s="45"/>
      <c r="I740" s="44"/>
      <c r="J740" s="34"/>
      <c r="K740" s="44"/>
      <c r="L740" s="44"/>
      <c r="M740" s="44"/>
      <c r="N740" s="44"/>
      <c r="O740" s="44"/>
      <c r="P740" s="44"/>
      <c r="Q740" s="44"/>
      <c r="R740" s="44"/>
      <c r="S740" s="44"/>
      <c r="T740" s="44"/>
      <c r="U740" s="36"/>
    </row>
    <row r="741" spans="1:21" ht="12.75">
      <c r="A741" s="44"/>
      <c r="B741" s="44"/>
      <c r="C741" s="44"/>
      <c r="D741" s="44"/>
      <c r="E741" s="44"/>
      <c r="F741" s="34"/>
      <c r="G741" s="34"/>
      <c r="H741" s="45"/>
      <c r="I741" s="44"/>
      <c r="J741" s="34"/>
      <c r="K741" s="44"/>
      <c r="L741" s="44"/>
      <c r="M741" s="44"/>
      <c r="N741" s="44"/>
      <c r="O741" s="44"/>
      <c r="P741" s="44"/>
      <c r="Q741" s="44"/>
      <c r="R741" s="44"/>
      <c r="S741" s="44"/>
      <c r="T741" s="44"/>
      <c r="U741" s="36"/>
    </row>
    <row r="742" spans="1:21" ht="12.75">
      <c r="A742" s="44"/>
      <c r="B742" s="44"/>
      <c r="C742" s="44"/>
      <c r="D742" s="44"/>
      <c r="E742" s="44"/>
      <c r="F742" s="34"/>
      <c r="G742" s="34"/>
      <c r="H742" s="45"/>
      <c r="I742" s="44"/>
      <c r="J742" s="34"/>
      <c r="K742" s="44"/>
      <c r="L742" s="44"/>
      <c r="M742" s="44"/>
      <c r="N742" s="44"/>
      <c r="O742" s="44"/>
      <c r="P742" s="44"/>
      <c r="Q742" s="44"/>
      <c r="R742" s="44"/>
      <c r="S742" s="44"/>
      <c r="T742" s="44"/>
      <c r="U742" s="36"/>
    </row>
    <row r="743" spans="1:21" ht="12.75">
      <c r="A743" s="44"/>
      <c r="B743" s="44"/>
      <c r="C743" s="44"/>
      <c r="D743" s="44"/>
      <c r="E743" s="44"/>
      <c r="F743" s="34"/>
      <c r="G743" s="34"/>
      <c r="H743" s="45"/>
      <c r="I743" s="44"/>
      <c r="J743" s="34"/>
      <c r="K743" s="44"/>
      <c r="L743" s="44"/>
      <c r="M743" s="44"/>
      <c r="N743" s="44"/>
      <c r="O743" s="44"/>
      <c r="P743" s="44"/>
      <c r="Q743" s="44"/>
      <c r="R743" s="44"/>
      <c r="S743" s="44"/>
      <c r="T743" s="44"/>
      <c r="U743" s="36"/>
    </row>
    <row r="744" spans="1:21" ht="12.75">
      <c r="A744" s="44"/>
      <c r="B744" s="44"/>
      <c r="C744" s="44"/>
      <c r="D744" s="44"/>
      <c r="E744" s="44"/>
      <c r="F744" s="34"/>
      <c r="G744" s="34"/>
      <c r="H744" s="45"/>
      <c r="I744" s="44"/>
      <c r="J744" s="34"/>
      <c r="K744" s="44"/>
      <c r="L744" s="44"/>
      <c r="M744" s="44"/>
      <c r="N744" s="44"/>
      <c r="O744" s="44"/>
      <c r="P744" s="44"/>
      <c r="Q744" s="44"/>
      <c r="R744" s="44"/>
      <c r="S744" s="44"/>
      <c r="T744" s="44"/>
      <c r="U744" s="36"/>
    </row>
    <row r="745" spans="1:21" ht="12.75">
      <c r="A745" s="44"/>
      <c r="B745" s="44"/>
      <c r="C745" s="44"/>
      <c r="D745" s="44"/>
      <c r="E745" s="44"/>
      <c r="F745" s="34"/>
      <c r="G745" s="34"/>
      <c r="H745" s="45"/>
      <c r="I745" s="44"/>
      <c r="J745" s="34"/>
      <c r="K745" s="44"/>
      <c r="L745" s="44"/>
      <c r="M745" s="44"/>
      <c r="N745" s="44"/>
      <c r="O745" s="44"/>
      <c r="P745" s="44"/>
      <c r="Q745" s="44"/>
      <c r="R745" s="44"/>
      <c r="S745" s="44"/>
      <c r="T745" s="44"/>
      <c r="U745" s="36"/>
    </row>
    <row r="746" spans="1:21" ht="12.75">
      <c r="A746" s="44"/>
      <c r="B746" s="44"/>
      <c r="C746" s="44"/>
      <c r="D746" s="44"/>
      <c r="E746" s="44"/>
      <c r="F746" s="34"/>
      <c r="G746" s="34"/>
      <c r="H746" s="45"/>
      <c r="I746" s="44"/>
      <c r="J746" s="34"/>
      <c r="K746" s="44"/>
      <c r="L746" s="44"/>
      <c r="M746" s="44"/>
      <c r="N746" s="44"/>
      <c r="O746" s="44"/>
      <c r="P746" s="44"/>
      <c r="Q746" s="44"/>
      <c r="R746" s="44"/>
      <c r="S746" s="44"/>
      <c r="T746" s="44"/>
      <c r="U746" s="36"/>
    </row>
    <row r="747" spans="1:21" ht="12.75">
      <c r="A747" s="44"/>
      <c r="B747" s="44"/>
      <c r="C747" s="44"/>
      <c r="D747" s="44"/>
      <c r="E747" s="44"/>
      <c r="F747" s="34"/>
      <c r="G747" s="34"/>
      <c r="H747" s="45"/>
      <c r="I747" s="44"/>
      <c r="J747" s="34"/>
      <c r="K747" s="44"/>
      <c r="L747" s="44"/>
      <c r="M747" s="44"/>
      <c r="N747" s="44"/>
      <c r="O747" s="44"/>
      <c r="P747" s="44"/>
      <c r="Q747" s="44"/>
      <c r="R747" s="44"/>
      <c r="S747" s="44"/>
      <c r="T747" s="44"/>
      <c r="U747" s="36"/>
    </row>
    <row r="748" spans="1:21" ht="12.75">
      <c r="A748" s="44"/>
      <c r="B748" s="44"/>
      <c r="C748" s="44"/>
      <c r="D748" s="44"/>
      <c r="E748" s="44"/>
      <c r="F748" s="34"/>
      <c r="G748" s="34"/>
      <c r="H748" s="45"/>
      <c r="I748" s="44"/>
      <c r="J748" s="34"/>
      <c r="K748" s="44"/>
      <c r="L748" s="44"/>
      <c r="M748" s="44"/>
      <c r="N748" s="44"/>
      <c r="O748" s="44"/>
      <c r="P748" s="44"/>
      <c r="Q748" s="44"/>
      <c r="R748" s="44"/>
      <c r="S748" s="44"/>
      <c r="T748" s="44"/>
      <c r="U748" s="36"/>
    </row>
    <row r="749" spans="1:21" ht="12.75">
      <c r="A749" s="44"/>
      <c r="B749" s="44"/>
      <c r="C749" s="44"/>
      <c r="D749" s="44"/>
      <c r="E749" s="44"/>
      <c r="F749" s="34"/>
      <c r="G749" s="34"/>
      <c r="H749" s="45"/>
      <c r="I749" s="44"/>
      <c r="J749" s="34"/>
      <c r="K749" s="44"/>
      <c r="L749" s="44"/>
      <c r="M749" s="44"/>
      <c r="N749" s="44"/>
      <c r="O749" s="44"/>
      <c r="P749" s="44"/>
      <c r="Q749" s="44"/>
      <c r="R749" s="44"/>
      <c r="S749" s="44"/>
      <c r="T749" s="44"/>
      <c r="U749" s="36"/>
    </row>
    <row r="750" spans="1:21" ht="12.75">
      <c r="A750" s="44"/>
      <c r="B750" s="44"/>
      <c r="C750" s="44"/>
      <c r="D750" s="44"/>
      <c r="E750" s="44"/>
      <c r="F750" s="34"/>
      <c r="G750" s="34"/>
      <c r="H750" s="45"/>
      <c r="I750" s="44"/>
      <c r="J750" s="34"/>
      <c r="K750" s="44"/>
      <c r="L750" s="44"/>
      <c r="M750" s="44"/>
      <c r="N750" s="44"/>
      <c r="O750" s="44"/>
      <c r="P750" s="44"/>
      <c r="Q750" s="44"/>
      <c r="R750" s="44"/>
      <c r="S750" s="44"/>
      <c r="T750" s="44"/>
      <c r="U750" s="36"/>
    </row>
    <row r="751" spans="1:21" ht="12.75">
      <c r="A751" s="44"/>
      <c r="B751" s="44"/>
      <c r="C751" s="44"/>
      <c r="D751" s="44"/>
      <c r="E751" s="44"/>
      <c r="F751" s="34"/>
      <c r="G751" s="34"/>
      <c r="H751" s="45"/>
      <c r="I751" s="44"/>
      <c r="J751" s="34"/>
      <c r="K751" s="44"/>
      <c r="L751" s="44"/>
      <c r="M751" s="44"/>
      <c r="N751" s="44"/>
      <c r="O751" s="44"/>
      <c r="P751" s="44"/>
      <c r="Q751" s="44"/>
      <c r="R751" s="44"/>
      <c r="S751" s="44"/>
      <c r="T751" s="44"/>
      <c r="U751" s="36"/>
    </row>
    <row r="752" spans="1:21" ht="12.75">
      <c r="A752" s="44"/>
      <c r="B752" s="44"/>
      <c r="C752" s="44"/>
      <c r="D752" s="44"/>
      <c r="E752" s="44"/>
      <c r="F752" s="34"/>
      <c r="G752" s="34"/>
      <c r="H752" s="45"/>
      <c r="I752" s="44"/>
      <c r="J752" s="34"/>
      <c r="K752" s="44"/>
      <c r="L752" s="44"/>
      <c r="M752" s="44"/>
      <c r="N752" s="44"/>
      <c r="O752" s="44"/>
      <c r="P752" s="44"/>
      <c r="Q752" s="44"/>
      <c r="R752" s="44"/>
      <c r="S752" s="44"/>
      <c r="T752" s="44"/>
      <c r="U752" s="36"/>
    </row>
    <row r="753" spans="1:21" ht="12.75">
      <c r="A753" s="44"/>
      <c r="B753" s="44"/>
      <c r="C753" s="44"/>
      <c r="D753" s="44"/>
      <c r="E753" s="44"/>
      <c r="F753" s="34"/>
      <c r="G753" s="34"/>
      <c r="H753" s="45"/>
      <c r="I753" s="44"/>
      <c r="J753" s="34"/>
      <c r="K753" s="44"/>
      <c r="L753" s="44"/>
      <c r="M753" s="44"/>
      <c r="N753" s="44"/>
      <c r="O753" s="44"/>
      <c r="P753" s="44"/>
      <c r="Q753" s="44"/>
      <c r="R753" s="44"/>
      <c r="S753" s="44"/>
      <c r="T753" s="44"/>
      <c r="U753" s="36"/>
    </row>
    <row r="754" spans="1:21" ht="12.75">
      <c r="A754" s="44"/>
      <c r="B754" s="44"/>
      <c r="C754" s="44"/>
      <c r="D754" s="44"/>
      <c r="E754" s="44"/>
      <c r="F754" s="34"/>
      <c r="G754" s="34"/>
      <c r="H754" s="45"/>
      <c r="I754" s="44"/>
      <c r="J754" s="34"/>
      <c r="K754" s="44"/>
      <c r="L754" s="44"/>
      <c r="M754" s="44"/>
      <c r="N754" s="44"/>
      <c r="O754" s="44"/>
      <c r="P754" s="44"/>
      <c r="Q754" s="44"/>
      <c r="R754" s="44"/>
      <c r="S754" s="44"/>
      <c r="T754" s="44"/>
      <c r="U754" s="36"/>
    </row>
    <row r="755" spans="1:21" ht="12.75">
      <c r="A755" s="44"/>
      <c r="B755" s="44"/>
      <c r="C755" s="44"/>
      <c r="D755" s="44"/>
      <c r="E755" s="44"/>
      <c r="F755" s="34"/>
      <c r="G755" s="34"/>
      <c r="H755" s="45"/>
      <c r="I755" s="44"/>
      <c r="J755" s="34"/>
      <c r="K755" s="44"/>
      <c r="L755" s="44"/>
      <c r="M755" s="44"/>
      <c r="N755" s="44"/>
      <c r="O755" s="44"/>
      <c r="P755" s="44"/>
      <c r="Q755" s="44"/>
      <c r="R755" s="44"/>
      <c r="S755" s="44"/>
      <c r="T755" s="44"/>
      <c r="U755" s="36"/>
    </row>
    <row r="756" spans="1:21" ht="12.75">
      <c r="A756" s="44"/>
      <c r="B756" s="44"/>
      <c r="C756" s="44"/>
      <c r="D756" s="44"/>
      <c r="E756" s="44"/>
      <c r="F756" s="34"/>
      <c r="G756" s="34"/>
      <c r="H756" s="45"/>
      <c r="I756" s="44"/>
      <c r="J756" s="34"/>
      <c r="K756" s="44"/>
      <c r="L756" s="44"/>
      <c r="M756" s="44"/>
      <c r="N756" s="44"/>
      <c r="O756" s="44"/>
      <c r="P756" s="44"/>
      <c r="Q756" s="44"/>
      <c r="R756" s="44"/>
      <c r="S756" s="44"/>
      <c r="T756" s="44"/>
      <c r="U756" s="36"/>
    </row>
    <row r="757" spans="1:21" ht="12.75">
      <c r="A757" s="44"/>
      <c r="B757" s="44"/>
      <c r="C757" s="44"/>
      <c r="D757" s="44"/>
      <c r="E757" s="44"/>
      <c r="F757" s="34"/>
      <c r="G757" s="34"/>
      <c r="H757" s="45"/>
      <c r="I757" s="44"/>
      <c r="J757" s="34"/>
      <c r="K757" s="44"/>
      <c r="L757" s="44"/>
      <c r="M757" s="44"/>
      <c r="N757" s="44"/>
      <c r="O757" s="44"/>
      <c r="P757" s="44"/>
      <c r="Q757" s="44"/>
      <c r="R757" s="44"/>
      <c r="S757" s="44"/>
      <c r="T757" s="44"/>
      <c r="U757" s="36"/>
    </row>
    <row r="758" spans="1:21" ht="12.75">
      <c r="A758" s="44"/>
      <c r="B758" s="44"/>
      <c r="C758" s="44"/>
      <c r="D758" s="44"/>
      <c r="E758" s="44"/>
      <c r="F758" s="34"/>
      <c r="G758" s="34"/>
      <c r="H758" s="45"/>
      <c r="I758" s="44"/>
      <c r="J758" s="34"/>
      <c r="K758" s="44"/>
      <c r="L758" s="44"/>
      <c r="M758" s="44"/>
      <c r="N758" s="44"/>
      <c r="O758" s="44"/>
      <c r="P758" s="44"/>
      <c r="Q758" s="44"/>
      <c r="R758" s="44"/>
      <c r="S758" s="44"/>
      <c r="T758" s="44"/>
      <c r="U758" s="36"/>
    </row>
    <row r="759" spans="1:21" ht="12.75">
      <c r="A759" s="44"/>
      <c r="B759" s="44"/>
      <c r="C759" s="44"/>
      <c r="D759" s="44"/>
      <c r="E759" s="44"/>
      <c r="F759" s="34"/>
      <c r="G759" s="34"/>
      <c r="H759" s="45"/>
      <c r="I759" s="44"/>
      <c r="J759" s="34"/>
      <c r="K759" s="44"/>
      <c r="L759" s="44"/>
      <c r="M759" s="44"/>
      <c r="N759" s="44"/>
      <c r="O759" s="44"/>
      <c r="P759" s="44"/>
      <c r="Q759" s="44"/>
      <c r="R759" s="44"/>
      <c r="S759" s="44"/>
      <c r="T759" s="44"/>
      <c r="U759" s="36"/>
    </row>
    <row r="760" spans="1:21" ht="12.75">
      <c r="A760" s="44"/>
      <c r="B760" s="44"/>
      <c r="C760" s="44"/>
      <c r="D760" s="44"/>
      <c r="E760" s="44"/>
      <c r="F760" s="34"/>
      <c r="G760" s="34"/>
      <c r="H760" s="45"/>
      <c r="I760" s="44"/>
      <c r="J760" s="34"/>
      <c r="K760" s="44"/>
      <c r="L760" s="44"/>
      <c r="M760" s="44"/>
      <c r="N760" s="44"/>
      <c r="O760" s="44"/>
      <c r="P760" s="44"/>
      <c r="Q760" s="44"/>
      <c r="R760" s="44"/>
      <c r="S760" s="44"/>
      <c r="T760" s="44"/>
      <c r="U760" s="36"/>
    </row>
    <row r="761" spans="1:21" ht="12.75">
      <c r="A761" s="44"/>
      <c r="B761" s="44"/>
      <c r="C761" s="44"/>
      <c r="D761" s="44"/>
      <c r="E761" s="44"/>
      <c r="F761" s="34"/>
      <c r="G761" s="34"/>
      <c r="H761" s="45"/>
      <c r="I761" s="44"/>
      <c r="J761" s="34"/>
      <c r="K761" s="44"/>
      <c r="L761" s="44"/>
      <c r="M761" s="44"/>
      <c r="N761" s="44"/>
      <c r="O761" s="44"/>
      <c r="P761" s="44"/>
      <c r="Q761" s="44"/>
      <c r="R761" s="44"/>
      <c r="S761" s="44"/>
      <c r="T761" s="44"/>
      <c r="U761" s="36"/>
    </row>
    <row r="762" spans="1:21" ht="12.75">
      <c r="A762" s="44"/>
      <c r="B762" s="44"/>
      <c r="C762" s="44"/>
      <c r="D762" s="44"/>
      <c r="E762" s="44"/>
      <c r="F762" s="34"/>
      <c r="G762" s="34"/>
      <c r="H762" s="45"/>
      <c r="I762" s="44"/>
      <c r="J762" s="34"/>
      <c r="K762" s="44"/>
      <c r="L762" s="44"/>
      <c r="M762" s="44"/>
      <c r="N762" s="44"/>
      <c r="O762" s="44"/>
      <c r="P762" s="44"/>
      <c r="Q762" s="44"/>
      <c r="R762" s="44"/>
      <c r="S762" s="44"/>
      <c r="T762" s="44"/>
      <c r="U762" s="36"/>
    </row>
    <row r="763" spans="1:21" ht="12.75">
      <c r="A763" s="44"/>
      <c r="B763" s="44"/>
      <c r="C763" s="44"/>
      <c r="D763" s="44"/>
      <c r="E763" s="44"/>
      <c r="F763" s="34"/>
      <c r="G763" s="34"/>
      <c r="H763" s="45"/>
      <c r="I763" s="44"/>
      <c r="J763" s="34"/>
      <c r="K763" s="44"/>
      <c r="L763" s="44"/>
      <c r="M763" s="44"/>
      <c r="N763" s="44"/>
      <c r="O763" s="44"/>
      <c r="P763" s="44"/>
      <c r="Q763" s="44"/>
      <c r="R763" s="44"/>
      <c r="S763" s="44"/>
      <c r="T763" s="44"/>
      <c r="U763" s="36"/>
    </row>
    <row r="764" spans="1:21" ht="12.75">
      <c r="A764" s="44"/>
      <c r="B764" s="44"/>
      <c r="C764" s="44"/>
      <c r="D764" s="44"/>
      <c r="E764" s="44"/>
      <c r="F764" s="34"/>
      <c r="G764" s="34"/>
      <c r="H764" s="45"/>
      <c r="I764" s="44"/>
      <c r="J764" s="34"/>
      <c r="K764" s="44"/>
      <c r="L764" s="44"/>
      <c r="M764" s="44"/>
      <c r="N764" s="44"/>
      <c r="O764" s="44"/>
      <c r="P764" s="44"/>
      <c r="Q764" s="44"/>
      <c r="R764" s="44"/>
      <c r="S764" s="44"/>
      <c r="T764" s="44"/>
      <c r="U764" s="36"/>
    </row>
    <row r="765" spans="1:21" ht="12.75">
      <c r="A765" s="44"/>
      <c r="B765" s="44"/>
      <c r="C765" s="44"/>
      <c r="D765" s="44"/>
      <c r="E765" s="44"/>
      <c r="F765" s="34"/>
      <c r="G765" s="34"/>
      <c r="H765" s="45"/>
      <c r="I765" s="44"/>
      <c r="J765" s="34"/>
      <c r="K765" s="44"/>
      <c r="L765" s="44"/>
      <c r="M765" s="44"/>
      <c r="N765" s="44"/>
      <c r="O765" s="44"/>
      <c r="P765" s="44"/>
      <c r="Q765" s="44"/>
      <c r="R765" s="44"/>
      <c r="S765" s="44"/>
      <c r="T765" s="44"/>
      <c r="U765" s="36"/>
    </row>
    <row r="766" spans="1:21" ht="12.75">
      <c r="A766" s="44"/>
      <c r="B766" s="44"/>
      <c r="C766" s="44"/>
      <c r="D766" s="44"/>
      <c r="E766" s="44"/>
      <c r="F766" s="34"/>
      <c r="G766" s="34"/>
      <c r="H766" s="45"/>
      <c r="I766" s="44"/>
      <c r="J766" s="34"/>
      <c r="K766" s="44"/>
      <c r="L766" s="44"/>
      <c r="M766" s="44"/>
      <c r="N766" s="44"/>
      <c r="O766" s="44"/>
      <c r="P766" s="44"/>
      <c r="Q766" s="44"/>
      <c r="R766" s="44"/>
      <c r="S766" s="44"/>
      <c r="T766" s="44"/>
      <c r="U766" s="36"/>
    </row>
    <row r="767" spans="1:21" ht="12.75">
      <c r="A767" s="44"/>
      <c r="B767" s="44"/>
      <c r="C767" s="44"/>
      <c r="D767" s="44"/>
      <c r="E767" s="44"/>
      <c r="F767" s="34"/>
      <c r="G767" s="34"/>
      <c r="H767" s="45"/>
      <c r="I767" s="44"/>
      <c r="J767" s="34"/>
      <c r="K767" s="44"/>
      <c r="L767" s="44"/>
      <c r="M767" s="44"/>
      <c r="N767" s="44"/>
      <c r="O767" s="44"/>
      <c r="P767" s="44"/>
      <c r="Q767" s="44"/>
      <c r="R767" s="44"/>
      <c r="S767" s="44"/>
      <c r="T767" s="44"/>
      <c r="U767" s="36"/>
    </row>
    <row r="768" spans="1:21" ht="12.75">
      <c r="A768" s="44"/>
      <c r="B768" s="44"/>
      <c r="C768" s="44"/>
      <c r="D768" s="44"/>
      <c r="E768" s="44"/>
      <c r="F768" s="34"/>
      <c r="G768" s="34"/>
      <c r="H768" s="45"/>
      <c r="I768" s="44"/>
      <c r="J768" s="34"/>
      <c r="K768" s="44"/>
      <c r="L768" s="44"/>
      <c r="M768" s="44"/>
      <c r="N768" s="44"/>
      <c r="O768" s="44"/>
      <c r="P768" s="44"/>
      <c r="Q768" s="44"/>
      <c r="R768" s="44"/>
      <c r="S768" s="44"/>
      <c r="T768" s="44"/>
      <c r="U768" s="36"/>
    </row>
    <row r="769" spans="1:21" ht="12.75">
      <c r="A769" s="44"/>
      <c r="B769" s="44"/>
      <c r="C769" s="44"/>
      <c r="D769" s="44"/>
      <c r="E769" s="44"/>
      <c r="F769" s="34"/>
      <c r="G769" s="34"/>
      <c r="H769" s="45"/>
      <c r="I769" s="44"/>
      <c r="J769" s="34"/>
      <c r="K769" s="44"/>
      <c r="L769" s="44"/>
      <c r="M769" s="44"/>
      <c r="N769" s="44"/>
      <c r="O769" s="44"/>
      <c r="P769" s="44"/>
      <c r="Q769" s="44"/>
      <c r="R769" s="44"/>
      <c r="S769" s="44"/>
      <c r="T769" s="44"/>
      <c r="U769" s="36"/>
    </row>
    <row r="770" spans="1:21" ht="12.75">
      <c r="A770" s="44"/>
      <c r="B770" s="44"/>
      <c r="C770" s="44"/>
      <c r="D770" s="44"/>
      <c r="E770" s="44"/>
      <c r="F770" s="34"/>
      <c r="G770" s="34"/>
      <c r="H770" s="45"/>
      <c r="I770" s="44"/>
      <c r="J770" s="34"/>
      <c r="K770" s="44"/>
      <c r="L770" s="44"/>
      <c r="M770" s="44"/>
      <c r="N770" s="44"/>
      <c r="O770" s="44"/>
      <c r="P770" s="44"/>
      <c r="Q770" s="44"/>
      <c r="R770" s="44"/>
      <c r="S770" s="44"/>
      <c r="T770" s="44"/>
      <c r="U770" s="36"/>
    </row>
    <row r="771" spans="1:21" ht="12.75">
      <c r="A771" s="44"/>
      <c r="B771" s="44"/>
      <c r="C771" s="44"/>
      <c r="D771" s="44"/>
      <c r="E771" s="44"/>
      <c r="F771" s="34"/>
      <c r="G771" s="34"/>
      <c r="H771" s="45"/>
      <c r="I771" s="44"/>
      <c r="J771" s="34"/>
      <c r="K771" s="44"/>
      <c r="L771" s="44"/>
      <c r="M771" s="44"/>
      <c r="N771" s="44"/>
      <c r="O771" s="44"/>
      <c r="P771" s="44"/>
      <c r="Q771" s="44"/>
      <c r="R771" s="44"/>
      <c r="S771" s="44"/>
      <c r="T771" s="44"/>
      <c r="U771" s="36"/>
    </row>
    <row r="772" spans="1:21" ht="12.75">
      <c r="A772" s="44"/>
      <c r="B772" s="44"/>
      <c r="C772" s="44"/>
      <c r="D772" s="44"/>
      <c r="E772" s="44"/>
      <c r="F772" s="34"/>
      <c r="G772" s="34"/>
      <c r="H772" s="45"/>
      <c r="I772" s="44"/>
      <c r="J772" s="34"/>
      <c r="K772" s="44"/>
      <c r="L772" s="44"/>
      <c r="M772" s="44"/>
      <c r="N772" s="44"/>
      <c r="O772" s="44"/>
      <c r="P772" s="44"/>
      <c r="Q772" s="44"/>
      <c r="R772" s="44"/>
      <c r="S772" s="44"/>
      <c r="T772" s="44"/>
      <c r="U772" s="36"/>
    </row>
    <row r="773" spans="1:21" ht="12.75">
      <c r="A773" s="44"/>
      <c r="B773" s="44"/>
      <c r="C773" s="44"/>
      <c r="D773" s="44"/>
      <c r="E773" s="44"/>
      <c r="F773" s="34"/>
      <c r="G773" s="34"/>
      <c r="H773" s="45"/>
      <c r="I773" s="44"/>
      <c r="J773" s="34"/>
      <c r="K773" s="44"/>
      <c r="L773" s="44"/>
      <c r="M773" s="44"/>
      <c r="N773" s="44"/>
      <c r="O773" s="44"/>
      <c r="P773" s="44"/>
      <c r="Q773" s="44"/>
      <c r="R773" s="44"/>
      <c r="S773" s="44"/>
      <c r="T773" s="44"/>
      <c r="U773" s="36"/>
    </row>
    <row r="774" spans="1:21" ht="12.75">
      <c r="A774" s="44"/>
      <c r="B774" s="44"/>
      <c r="C774" s="44"/>
      <c r="D774" s="44"/>
      <c r="E774" s="44"/>
      <c r="F774" s="34"/>
      <c r="G774" s="34"/>
      <c r="H774" s="45"/>
      <c r="I774" s="44"/>
      <c r="J774" s="34"/>
      <c r="K774" s="44"/>
      <c r="L774" s="44"/>
      <c r="M774" s="44"/>
      <c r="N774" s="44"/>
      <c r="O774" s="44"/>
      <c r="P774" s="44"/>
      <c r="Q774" s="44"/>
      <c r="R774" s="44"/>
      <c r="S774" s="44"/>
      <c r="T774" s="44"/>
      <c r="U774" s="36"/>
    </row>
    <row r="775" spans="1:21" ht="12.75">
      <c r="A775" s="44"/>
      <c r="B775" s="44"/>
      <c r="C775" s="44"/>
      <c r="D775" s="44"/>
      <c r="E775" s="44"/>
      <c r="F775" s="34"/>
      <c r="G775" s="34"/>
      <c r="H775" s="45"/>
      <c r="I775" s="44"/>
      <c r="J775" s="34"/>
      <c r="K775" s="44"/>
      <c r="L775" s="44"/>
      <c r="M775" s="44"/>
      <c r="N775" s="44"/>
      <c r="O775" s="44"/>
      <c r="P775" s="44"/>
      <c r="Q775" s="44"/>
      <c r="R775" s="44"/>
      <c r="S775" s="44"/>
      <c r="T775" s="44"/>
      <c r="U775" s="36"/>
    </row>
    <row r="776" spans="1:21" ht="12.75">
      <c r="A776" s="44"/>
      <c r="B776" s="44"/>
      <c r="C776" s="44"/>
      <c r="D776" s="44"/>
      <c r="E776" s="44"/>
      <c r="F776" s="34"/>
      <c r="G776" s="34"/>
      <c r="H776" s="45"/>
      <c r="I776" s="44"/>
      <c r="J776" s="34"/>
      <c r="K776" s="44"/>
      <c r="L776" s="44"/>
      <c r="M776" s="44"/>
      <c r="N776" s="44"/>
      <c r="O776" s="44"/>
      <c r="P776" s="44"/>
      <c r="Q776" s="44"/>
      <c r="R776" s="44"/>
      <c r="S776" s="44"/>
      <c r="T776" s="44"/>
      <c r="U776" s="36"/>
    </row>
    <row r="777" spans="1:21" ht="12.75">
      <c r="A777" s="44"/>
      <c r="B777" s="44"/>
      <c r="C777" s="44"/>
      <c r="D777" s="44"/>
      <c r="E777" s="44"/>
      <c r="F777" s="34"/>
      <c r="G777" s="34"/>
      <c r="H777" s="45"/>
      <c r="I777" s="44"/>
      <c r="J777" s="34"/>
      <c r="K777" s="44"/>
      <c r="L777" s="44"/>
      <c r="M777" s="44"/>
      <c r="N777" s="44"/>
      <c r="O777" s="44"/>
      <c r="P777" s="44"/>
      <c r="Q777" s="44"/>
      <c r="R777" s="44"/>
      <c r="S777" s="44"/>
      <c r="T777" s="44"/>
      <c r="U777" s="36"/>
    </row>
    <row r="778" spans="1:21" ht="12.75">
      <c r="A778" s="44"/>
      <c r="B778" s="44"/>
      <c r="C778" s="44"/>
      <c r="D778" s="44"/>
      <c r="E778" s="44"/>
      <c r="F778" s="34"/>
      <c r="G778" s="34"/>
      <c r="H778" s="45"/>
      <c r="I778" s="44"/>
      <c r="J778" s="34"/>
      <c r="K778" s="44"/>
      <c r="L778" s="44"/>
      <c r="M778" s="44"/>
      <c r="N778" s="44"/>
      <c r="O778" s="44"/>
      <c r="P778" s="44"/>
      <c r="Q778" s="44"/>
      <c r="R778" s="44"/>
      <c r="S778" s="44"/>
      <c r="T778" s="44"/>
      <c r="U778" s="36"/>
    </row>
    <row r="779" spans="1:21" ht="12.75">
      <c r="A779" s="44"/>
      <c r="B779" s="44"/>
      <c r="C779" s="44"/>
      <c r="D779" s="44"/>
      <c r="E779" s="44"/>
      <c r="F779" s="34"/>
      <c r="G779" s="34"/>
      <c r="H779" s="45"/>
      <c r="I779" s="44"/>
      <c r="J779" s="34"/>
      <c r="K779" s="44"/>
      <c r="L779" s="44"/>
      <c r="M779" s="44"/>
      <c r="N779" s="44"/>
      <c r="O779" s="44"/>
      <c r="P779" s="44"/>
      <c r="Q779" s="44"/>
      <c r="R779" s="44"/>
      <c r="S779" s="44"/>
      <c r="T779" s="44"/>
      <c r="U779" s="36"/>
    </row>
    <row r="780" spans="1:21" ht="12.75">
      <c r="A780" s="44"/>
      <c r="B780" s="44"/>
      <c r="C780" s="44"/>
      <c r="D780" s="44"/>
      <c r="E780" s="44"/>
      <c r="F780" s="34"/>
      <c r="G780" s="34"/>
      <c r="H780" s="45"/>
      <c r="I780" s="44"/>
      <c r="J780" s="34"/>
      <c r="K780" s="44"/>
      <c r="L780" s="44"/>
      <c r="M780" s="44"/>
      <c r="N780" s="44"/>
      <c r="O780" s="44"/>
      <c r="P780" s="44"/>
      <c r="Q780" s="44"/>
      <c r="R780" s="44"/>
      <c r="S780" s="44"/>
      <c r="T780" s="44"/>
      <c r="U780" s="36"/>
    </row>
    <row r="781" spans="1:21" ht="12.75">
      <c r="A781" s="44"/>
      <c r="B781" s="44"/>
      <c r="C781" s="44"/>
      <c r="D781" s="44"/>
      <c r="E781" s="44"/>
      <c r="F781" s="34"/>
      <c r="G781" s="34"/>
      <c r="H781" s="45"/>
      <c r="I781" s="44"/>
      <c r="J781" s="34"/>
      <c r="K781" s="44"/>
      <c r="L781" s="44"/>
      <c r="M781" s="44"/>
      <c r="N781" s="44"/>
      <c r="O781" s="44"/>
      <c r="P781" s="44"/>
      <c r="Q781" s="44"/>
      <c r="R781" s="44"/>
      <c r="S781" s="44"/>
      <c r="T781" s="44"/>
      <c r="U781" s="36"/>
    </row>
    <row r="782" spans="1:21" ht="12.75">
      <c r="A782" s="44"/>
      <c r="B782" s="44"/>
      <c r="C782" s="44"/>
      <c r="D782" s="44"/>
      <c r="E782" s="44"/>
      <c r="F782" s="34"/>
      <c r="G782" s="34"/>
      <c r="H782" s="45"/>
      <c r="I782" s="44"/>
      <c r="J782" s="34"/>
      <c r="K782" s="44"/>
      <c r="L782" s="44"/>
      <c r="M782" s="44"/>
      <c r="N782" s="44"/>
      <c r="O782" s="44"/>
      <c r="P782" s="44"/>
      <c r="Q782" s="44"/>
      <c r="R782" s="44"/>
      <c r="S782" s="44"/>
      <c r="T782" s="44"/>
      <c r="U782" s="36"/>
    </row>
    <row r="783" spans="1:21" ht="12.75">
      <c r="A783" s="44"/>
      <c r="B783" s="44"/>
      <c r="C783" s="44"/>
      <c r="D783" s="44"/>
      <c r="E783" s="44"/>
      <c r="F783" s="34"/>
      <c r="G783" s="34"/>
      <c r="H783" s="45"/>
      <c r="I783" s="44"/>
      <c r="J783" s="34"/>
      <c r="K783" s="44"/>
      <c r="L783" s="44"/>
      <c r="M783" s="44"/>
      <c r="N783" s="44"/>
      <c r="O783" s="44"/>
      <c r="P783" s="44"/>
      <c r="Q783" s="44"/>
      <c r="R783" s="44"/>
      <c r="S783" s="44"/>
      <c r="T783" s="44"/>
      <c r="U783" s="36"/>
    </row>
    <row r="784" spans="1:21" ht="12.75">
      <c r="A784" s="44"/>
      <c r="B784" s="44"/>
      <c r="C784" s="44"/>
      <c r="D784" s="44"/>
      <c r="E784" s="44"/>
      <c r="F784" s="34"/>
      <c r="G784" s="34"/>
      <c r="H784" s="45"/>
      <c r="I784" s="44"/>
      <c r="J784" s="34"/>
      <c r="K784" s="44"/>
      <c r="L784" s="44"/>
      <c r="M784" s="44"/>
      <c r="N784" s="44"/>
      <c r="O784" s="44"/>
      <c r="P784" s="44"/>
      <c r="Q784" s="44"/>
      <c r="R784" s="44"/>
      <c r="S784" s="44"/>
      <c r="T784" s="44"/>
      <c r="U784" s="36"/>
    </row>
    <row r="785" spans="1:21" ht="12.75">
      <c r="A785" s="44"/>
      <c r="B785" s="44"/>
      <c r="C785" s="44"/>
      <c r="D785" s="44"/>
      <c r="E785" s="44"/>
      <c r="F785" s="34"/>
      <c r="G785" s="34"/>
      <c r="H785" s="45"/>
      <c r="I785" s="44"/>
      <c r="J785" s="34"/>
      <c r="K785" s="44"/>
      <c r="L785" s="44"/>
      <c r="M785" s="44"/>
      <c r="N785" s="44"/>
      <c r="O785" s="44"/>
      <c r="P785" s="44"/>
      <c r="Q785" s="44"/>
      <c r="R785" s="44"/>
      <c r="S785" s="44"/>
      <c r="T785" s="44"/>
      <c r="U785" s="36"/>
    </row>
    <row r="786" spans="1:21" ht="12.75">
      <c r="A786" s="44"/>
      <c r="B786" s="44"/>
      <c r="C786" s="44"/>
      <c r="D786" s="44"/>
      <c r="E786" s="44"/>
      <c r="F786" s="34"/>
      <c r="G786" s="34"/>
      <c r="H786" s="45"/>
      <c r="I786" s="44"/>
      <c r="J786" s="34"/>
      <c r="K786" s="44"/>
      <c r="L786" s="44"/>
      <c r="M786" s="44"/>
      <c r="N786" s="44"/>
      <c r="O786" s="44"/>
      <c r="P786" s="44"/>
      <c r="Q786" s="44"/>
      <c r="R786" s="44"/>
      <c r="S786" s="44"/>
      <c r="T786" s="44"/>
      <c r="U786" s="36"/>
    </row>
    <row r="787" spans="1:21" ht="12.75">
      <c r="A787" s="44"/>
      <c r="B787" s="44"/>
      <c r="C787" s="44"/>
      <c r="D787" s="44"/>
      <c r="E787" s="44"/>
      <c r="F787" s="34"/>
      <c r="G787" s="34"/>
      <c r="H787" s="45"/>
      <c r="I787" s="44"/>
      <c r="J787" s="34"/>
      <c r="K787" s="44"/>
      <c r="L787" s="44"/>
      <c r="M787" s="44"/>
      <c r="N787" s="44"/>
      <c r="O787" s="44"/>
      <c r="P787" s="44"/>
      <c r="Q787" s="44"/>
      <c r="R787" s="44"/>
      <c r="S787" s="44"/>
      <c r="T787" s="44"/>
      <c r="U787" s="36"/>
    </row>
    <row r="788" spans="1:21" ht="12.75">
      <c r="A788" s="44"/>
      <c r="B788" s="44"/>
      <c r="C788" s="44"/>
      <c r="D788" s="44"/>
      <c r="E788" s="44"/>
      <c r="F788" s="34"/>
      <c r="G788" s="34"/>
      <c r="H788" s="45"/>
      <c r="I788" s="44"/>
      <c r="J788" s="34"/>
      <c r="K788" s="44"/>
      <c r="L788" s="44"/>
      <c r="M788" s="44"/>
      <c r="N788" s="44"/>
      <c r="O788" s="44"/>
      <c r="P788" s="44"/>
      <c r="Q788" s="44"/>
      <c r="R788" s="44"/>
      <c r="S788" s="44"/>
      <c r="T788" s="44"/>
      <c r="U788" s="36"/>
    </row>
    <row r="789" spans="1:21" ht="12.75">
      <c r="A789" s="44"/>
      <c r="B789" s="44"/>
      <c r="C789" s="44"/>
      <c r="D789" s="44"/>
      <c r="E789" s="44"/>
      <c r="F789" s="34"/>
      <c r="G789" s="34"/>
      <c r="H789" s="45"/>
      <c r="I789" s="44"/>
      <c r="J789" s="34"/>
      <c r="K789" s="44"/>
      <c r="L789" s="44"/>
      <c r="M789" s="44"/>
      <c r="N789" s="44"/>
      <c r="O789" s="44"/>
      <c r="P789" s="44"/>
      <c r="Q789" s="44"/>
      <c r="R789" s="44"/>
      <c r="S789" s="44"/>
      <c r="T789" s="44"/>
      <c r="U789" s="36"/>
    </row>
    <row r="790" spans="1:21" ht="12.75">
      <c r="A790" s="44"/>
      <c r="B790" s="44"/>
      <c r="C790" s="44"/>
      <c r="D790" s="44"/>
      <c r="E790" s="44"/>
      <c r="F790" s="34"/>
      <c r="G790" s="34"/>
      <c r="H790" s="45"/>
      <c r="I790" s="44"/>
      <c r="J790" s="34"/>
      <c r="K790" s="44"/>
      <c r="L790" s="44"/>
      <c r="M790" s="44"/>
      <c r="N790" s="44"/>
      <c r="O790" s="44"/>
      <c r="P790" s="44"/>
      <c r="Q790" s="44"/>
      <c r="R790" s="44"/>
      <c r="S790" s="44"/>
      <c r="T790" s="44"/>
      <c r="U790" s="36"/>
    </row>
    <row r="791" spans="1:21" ht="12.75">
      <c r="A791" s="44"/>
      <c r="B791" s="44"/>
      <c r="C791" s="44"/>
      <c r="D791" s="44"/>
      <c r="E791" s="44"/>
      <c r="F791" s="34"/>
      <c r="G791" s="34"/>
      <c r="H791" s="45"/>
      <c r="I791" s="44"/>
      <c r="J791" s="34"/>
      <c r="K791" s="44"/>
      <c r="L791" s="44"/>
      <c r="M791" s="44"/>
      <c r="N791" s="44"/>
      <c r="O791" s="44"/>
      <c r="P791" s="44"/>
      <c r="Q791" s="44"/>
      <c r="R791" s="44"/>
      <c r="S791" s="44"/>
      <c r="T791" s="44"/>
      <c r="U791" s="36"/>
    </row>
    <row r="792" spans="1:21" ht="12.75">
      <c r="A792" s="44"/>
      <c r="B792" s="44"/>
      <c r="C792" s="44"/>
      <c r="D792" s="44"/>
      <c r="E792" s="44"/>
      <c r="F792" s="34"/>
      <c r="G792" s="34"/>
      <c r="H792" s="45"/>
      <c r="I792" s="44"/>
      <c r="J792" s="34"/>
      <c r="K792" s="44"/>
      <c r="L792" s="44"/>
      <c r="M792" s="44"/>
      <c r="N792" s="44"/>
      <c r="O792" s="44"/>
      <c r="P792" s="44"/>
      <c r="Q792" s="44"/>
      <c r="R792" s="44"/>
      <c r="S792" s="44"/>
      <c r="T792" s="44"/>
      <c r="U792" s="36"/>
    </row>
    <row r="793" spans="1:21" ht="12.75">
      <c r="A793" s="44"/>
      <c r="B793" s="44"/>
      <c r="C793" s="44"/>
      <c r="D793" s="44"/>
      <c r="E793" s="44"/>
      <c r="F793" s="34"/>
      <c r="G793" s="34"/>
      <c r="H793" s="45"/>
      <c r="I793" s="44"/>
      <c r="J793" s="34"/>
      <c r="K793" s="44"/>
      <c r="L793" s="44"/>
      <c r="M793" s="44"/>
      <c r="N793" s="44"/>
      <c r="O793" s="44"/>
      <c r="P793" s="44"/>
      <c r="Q793" s="44"/>
      <c r="R793" s="44"/>
      <c r="S793" s="44"/>
      <c r="T793" s="44"/>
      <c r="U793" s="36"/>
    </row>
    <row r="794" spans="1:21" ht="12.75">
      <c r="A794" s="44"/>
      <c r="B794" s="44"/>
      <c r="C794" s="44"/>
      <c r="D794" s="44"/>
      <c r="E794" s="44"/>
      <c r="F794" s="34"/>
      <c r="G794" s="34"/>
      <c r="H794" s="45"/>
      <c r="I794" s="44"/>
      <c r="J794" s="34"/>
      <c r="K794" s="44"/>
      <c r="L794" s="44"/>
      <c r="M794" s="44"/>
      <c r="N794" s="44"/>
      <c r="O794" s="44"/>
      <c r="P794" s="44"/>
      <c r="Q794" s="44"/>
      <c r="R794" s="44"/>
      <c r="S794" s="44"/>
      <c r="T794" s="44"/>
      <c r="U794" s="36"/>
    </row>
    <row r="795" spans="1:21" ht="12.75">
      <c r="A795" s="44"/>
      <c r="B795" s="44"/>
      <c r="C795" s="44"/>
      <c r="D795" s="44"/>
      <c r="E795" s="44"/>
      <c r="F795" s="34"/>
      <c r="G795" s="34"/>
      <c r="H795" s="45"/>
      <c r="I795" s="44"/>
      <c r="J795" s="34"/>
      <c r="K795" s="44"/>
      <c r="L795" s="44"/>
      <c r="M795" s="44"/>
      <c r="N795" s="44"/>
      <c r="O795" s="44"/>
      <c r="P795" s="44"/>
      <c r="Q795" s="44"/>
      <c r="R795" s="44"/>
      <c r="S795" s="44"/>
      <c r="T795" s="44"/>
      <c r="U795" s="36"/>
    </row>
    <row r="796" spans="1:21" ht="12.75">
      <c r="A796" s="44"/>
      <c r="B796" s="44"/>
      <c r="C796" s="44"/>
      <c r="D796" s="44"/>
      <c r="E796" s="44"/>
      <c r="F796" s="34"/>
      <c r="G796" s="34"/>
      <c r="H796" s="45"/>
      <c r="I796" s="44"/>
      <c r="J796" s="34"/>
      <c r="K796" s="44"/>
      <c r="L796" s="44"/>
      <c r="M796" s="44"/>
      <c r="N796" s="44"/>
      <c r="O796" s="44"/>
      <c r="P796" s="44"/>
      <c r="Q796" s="44"/>
      <c r="R796" s="44"/>
      <c r="S796" s="44"/>
      <c r="T796" s="44"/>
      <c r="U796" s="36"/>
    </row>
    <row r="797" spans="1:21" ht="12.75">
      <c r="A797" s="44"/>
      <c r="B797" s="44"/>
      <c r="C797" s="44"/>
      <c r="D797" s="44"/>
      <c r="E797" s="44"/>
      <c r="F797" s="34"/>
      <c r="G797" s="34"/>
      <c r="H797" s="45"/>
      <c r="I797" s="44"/>
      <c r="J797" s="34"/>
      <c r="K797" s="44"/>
      <c r="L797" s="44"/>
      <c r="M797" s="44"/>
      <c r="N797" s="44"/>
      <c r="O797" s="44"/>
      <c r="P797" s="44"/>
      <c r="Q797" s="44"/>
      <c r="R797" s="44"/>
      <c r="S797" s="44"/>
      <c r="T797" s="44"/>
      <c r="U797" s="36"/>
    </row>
    <row r="798" spans="1:21" ht="12.75">
      <c r="A798" s="44"/>
      <c r="B798" s="44"/>
      <c r="C798" s="44"/>
      <c r="D798" s="44"/>
      <c r="E798" s="44"/>
      <c r="F798" s="34"/>
      <c r="G798" s="34"/>
      <c r="H798" s="45"/>
      <c r="I798" s="44"/>
      <c r="J798" s="34"/>
      <c r="K798" s="44"/>
      <c r="L798" s="44"/>
      <c r="M798" s="44"/>
      <c r="N798" s="44"/>
      <c r="O798" s="44"/>
      <c r="P798" s="44"/>
      <c r="Q798" s="44"/>
      <c r="R798" s="44"/>
      <c r="S798" s="44"/>
      <c r="T798" s="44"/>
      <c r="U798" s="36"/>
    </row>
    <row r="799" spans="1:21" ht="12.75">
      <c r="A799" s="44"/>
      <c r="B799" s="44"/>
      <c r="C799" s="44"/>
      <c r="D799" s="44"/>
      <c r="E799" s="44"/>
      <c r="F799" s="34"/>
      <c r="G799" s="34"/>
      <c r="H799" s="45"/>
      <c r="I799" s="44"/>
      <c r="J799" s="34"/>
      <c r="K799" s="44"/>
      <c r="L799" s="44"/>
      <c r="M799" s="44"/>
      <c r="N799" s="44"/>
      <c r="O799" s="44"/>
      <c r="P799" s="44"/>
      <c r="Q799" s="44"/>
      <c r="R799" s="44"/>
      <c r="S799" s="44"/>
      <c r="T799" s="44"/>
      <c r="U799" s="36"/>
    </row>
    <row r="800" spans="1:21" ht="12.75">
      <c r="A800" s="44"/>
      <c r="B800" s="44"/>
      <c r="C800" s="44"/>
      <c r="D800" s="44"/>
      <c r="E800" s="44"/>
      <c r="F800" s="34"/>
      <c r="G800" s="34"/>
      <c r="H800" s="45"/>
      <c r="I800" s="44"/>
      <c r="J800" s="34"/>
      <c r="K800" s="44"/>
      <c r="L800" s="44"/>
      <c r="M800" s="44"/>
      <c r="N800" s="44"/>
      <c r="O800" s="44"/>
      <c r="P800" s="44"/>
      <c r="Q800" s="44"/>
      <c r="R800" s="44"/>
      <c r="S800" s="44"/>
      <c r="T800" s="44"/>
      <c r="U800" s="36"/>
    </row>
    <row r="801" spans="1:21" ht="12.75">
      <c r="A801" s="44"/>
      <c r="B801" s="44"/>
      <c r="C801" s="44"/>
      <c r="D801" s="44"/>
      <c r="E801" s="44"/>
      <c r="F801" s="34"/>
      <c r="G801" s="34"/>
      <c r="H801" s="45"/>
      <c r="I801" s="44"/>
      <c r="J801" s="34"/>
      <c r="K801" s="44"/>
      <c r="L801" s="44"/>
      <c r="M801" s="44"/>
      <c r="N801" s="44"/>
      <c r="O801" s="44"/>
      <c r="P801" s="44"/>
      <c r="Q801" s="44"/>
      <c r="R801" s="44"/>
      <c r="S801" s="44"/>
      <c r="T801" s="44"/>
      <c r="U801" s="36"/>
    </row>
    <row r="802" spans="1:21" ht="12.75">
      <c r="A802" s="44"/>
      <c r="B802" s="44"/>
      <c r="C802" s="44"/>
      <c r="D802" s="44"/>
      <c r="E802" s="44"/>
      <c r="F802" s="34"/>
      <c r="G802" s="34"/>
      <c r="H802" s="45"/>
      <c r="I802" s="44"/>
      <c r="J802" s="34"/>
      <c r="K802" s="44"/>
      <c r="L802" s="44"/>
      <c r="M802" s="44"/>
      <c r="N802" s="44"/>
      <c r="O802" s="44"/>
      <c r="P802" s="44"/>
      <c r="Q802" s="44"/>
      <c r="R802" s="44"/>
      <c r="S802" s="44"/>
      <c r="T802" s="44"/>
      <c r="U802" s="36"/>
    </row>
    <row r="803" spans="1:21" ht="12.75">
      <c r="A803" s="44"/>
      <c r="B803" s="44"/>
      <c r="C803" s="44"/>
      <c r="D803" s="44"/>
      <c r="E803" s="44"/>
      <c r="F803" s="34"/>
      <c r="G803" s="34"/>
      <c r="H803" s="45"/>
      <c r="I803" s="44"/>
      <c r="J803" s="34"/>
      <c r="K803" s="44"/>
      <c r="L803" s="44"/>
      <c r="M803" s="44"/>
      <c r="N803" s="44"/>
      <c r="O803" s="44"/>
      <c r="P803" s="44"/>
      <c r="Q803" s="44"/>
      <c r="R803" s="44"/>
      <c r="S803" s="44"/>
      <c r="T803" s="44"/>
      <c r="U803" s="36"/>
    </row>
    <row r="804" spans="1:21" ht="12.75">
      <c r="A804" s="44"/>
      <c r="B804" s="44"/>
      <c r="C804" s="44"/>
      <c r="D804" s="44"/>
      <c r="E804" s="44"/>
      <c r="F804" s="34"/>
      <c r="G804" s="34"/>
      <c r="H804" s="45"/>
      <c r="I804" s="44"/>
      <c r="J804" s="34"/>
      <c r="K804" s="44"/>
      <c r="L804" s="44"/>
      <c r="M804" s="44"/>
      <c r="N804" s="44"/>
      <c r="O804" s="44"/>
      <c r="P804" s="44"/>
      <c r="Q804" s="44"/>
      <c r="R804" s="44"/>
      <c r="S804" s="44"/>
      <c r="T804" s="44"/>
      <c r="U804" s="36"/>
    </row>
    <row r="805" spans="1:21" ht="12.75">
      <c r="A805" s="44"/>
      <c r="B805" s="44"/>
      <c r="C805" s="44"/>
      <c r="D805" s="44"/>
      <c r="E805" s="44"/>
      <c r="F805" s="34"/>
      <c r="G805" s="34"/>
      <c r="H805" s="45"/>
      <c r="I805" s="44"/>
      <c r="J805" s="34"/>
      <c r="K805" s="44"/>
      <c r="L805" s="44"/>
      <c r="M805" s="44"/>
      <c r="N805" s="44"/>
      <c r="O805" s="44"/>
      <c r="P805" s="44"/>
      <c r="Q805" s="44"/>
      <c r="R805" s="44"/>
      <c r="S805" s="44"/>
      <c r="T805" s="44"/>
      <c r="U805" s="36"/>
    </row>
    <row r="806" spans="1:21" ht="12.75">
      <c r="A806" s="44"/>
      <c r="B806" s="44"/>
      <c r="C806" s="44"/>
      <c r="D806" s="44"/>
      <c r="E806" s="44"/>
      <c r="F806" s="34"/>
      <c r="G806" s="34"/>
      <c r="H806" s="45"/>
      <c r="I806" s="44"/>
      <c r="J806" s="34"/>
      <c r="K806" s="44"/>
      <c r="L806" s="44"/>
      <c r="M806" s="44"/>
      <c r="N806" s="44"/>
      <c r="O806" s="44"/>
      <c r="P806" s="44"/>
      <c r="Q806" s="44"/>
      <c r="R806" s="44"/>
      <c r="S806" s="44"/>
      <c r="T806" s="44"/>
      <c r="U806" s="36"/>
    </row>
    <row r="807" spans="1:21" ht="12.75">
      <c r="A807" s="44"/>
      <c r="B807" s="44"/>
      <c r="C807" s="44"/>
      <c r="D807" s="44"/>
      <c r="E807" s="44"/>
      <c r="F807" s="34"/>
      <c r="G807" s="34"/>
      <c r="H807" s="45"/>
      <c r="I807" s="44"/>
      <c r="J807" s="34"/>
      <c r="K807" s="44"/>
      <c r="L807" s="44"/>
      <c r="M807" s="44"/>
      <c r="N807" s="44"/>
      <c r="O807" s="44"/>
      <c r="P807" s="44"/>
      <c r="Q807" s="44"/>
      <c r="R807" s="44"/>
      <c r="S807" s="44"/>
      <c r="T807" s="44"/>
      <c r="U807" s="36"/>
    </row>
    <row r="808" spans="1:21" ht="12.75">
      <c r="A808" s="44"/>
      <c r="B808" s="44"/>
      <c r="C808" s="44"/>
      <c r="D808" s="44"/>
      <c r="E808" s="44"/>
      <c r="F808" s="34"/>
      <c r="G808" s="34"/>
      <c r="H808" s="45"/>
      <c r="I808" s="44"/>
      <c r="J808" s="34"/>
      <c r="K808" s="44"/>
      <c r="L808" s="44"/>
      <c r="M808" s="44"/>
      <c r="N808" s="44"/>
      <c r="O808" s="44"/>
      <c r="P808" s="44"/>
      <c r="Q808" s="44"/>
      <c r="R808" s="44"/>
      <c r="S808" s="44"/>
      <c r="T808" s="44"/>
      <c r="U808" s="36"/>
    </row>
    <row r="809" spans="1:21" ht="12.75">
      <c r="A809" s="44"/>
      <c r="B809" s="44"/>
      <c r="C809" s="44"/>
      <c r="D809" s="44"/>
      <c r="E809" s="44"/>
      <c r="F809" s="34"/>
      <c r="G809" s="34"/>
      <c r="H809" s="45"/>
      <c r="I809" s="44"/>
      <c r="J809" s="34"/>
      <c r="K809" s="44"/>
      <c r="L809" s="44"/>
      <c r="M809" s="44"/>
      <c r="N809" s="44"/>
      <c r="O809" s="44"/>
      <c r="P809" s="44"/>
      <c r="Q809" s="44"/>
      <c r="R809" s="44"/>
      <c r="S809" s="44"/>
      <c r="T809" s="44"/>
      <c r="U809" s="36"/>
    </row>
    <row r="810" spans="1:21" ht="12.75">
      <c r="A810" s="44"/>
      <c r="B810" s="44"/>
      <c r="C810" s="44"/>
      <c r="D810" s="44"/>
      <c r="E810" s="44"/>
      <c r="F810" s="34"/>
      <c r="G810" s="34"/>
      <c r="H810" s="45"/>
      <c r="I810" s="44"/>
      <c r="J810" s="34"/>
      <c r="K810" s="44"/>
      <c r="L810" s="44"/>
      <c r="M810" s="44"/>
      <c r="N810" s="44"/>
      <c r="O810" s="44"/>
      <c r="P810" s="44"/>
      <c r="Q810" s="44"/>
      <c r="R810" s="44"/>
      <c r="S810" s="44"/>
      <c r="T810" s="44"/>
      <c r="U810" s="36"/>
    </row>
    <row r="811" spans="1:21" ht="12.75">
      <c r="A811" s="44"/>
      <c r="B811" s="44"/>
      <c r="C811" s="44"/>
      <c r="D811" s="44"/>
      <c r="E811" s="44"/>
      <c r="F811" s="34"/>
      <c r="G811" s="34"/>
      <c r="H811" s="45"/>
      <c r="I811" s="44"/>
      <c r="J811" s="34"/>
      <c r="K811" s="44"/>
      <c r="L811" s="44"/>
      <c r="M811" s="44"/>
      <c r="N811" s="44"/>
      <c r="O811" s="44"/>
      <c r="P811" s="44"/>
      <c r="Q811" s="44"/>
      <c r="R811" s="44"/>
      <c r="S811" s="44"/>
      <c r="T811" s="44"/>
      <c r="U811" s="36"/>
    </row>
    <row r="812" spans="1:21" ht="12.75">
      <c r="A812" s="44"/>
      <c r="B812" s="44"/>
      <c r="C812" s="44"/>
      <c r="D812" s="44"/>
      <c r="E812" s="44"/>
      <c r="F812" s="34"/>
      <c r="G812" s="34"/>
      <c r="H812" s="45"/>
      <c r="I812" s="44"/>
      <c r="J812" s="34"/>
      <c r="K812" s="44"/>
      <c r="L812" s="44"/>
      <c r="M812" s="44"/>
      <c r="N812" s="44"/>
      <c r="O812" s="44"/>
      <c r="P812" s="44"/>
      <c r="Q812" s="44"/>
      <c r="R812" s="44"/>
      <c r="S812" s="44"/>
      <c r="T812" s="44"/>
      <c r="U812" s="36"/>
    </row>
    <row r="813" spans="1:21" ht="12.75">
      <c r="A813" s="44"/>
      <c r="B813" s="44"/>
      <c r="C813" s="44"/>
      <c r="D813" s="44"/>
      <c r="E813" s="44"/>
      <c r="F813" s="34"/>
      <c r="G813" s="34"/>
      <c r="H813" s="45"/>
      <c r="I813" s="44"/>
      <c r="J813" s="34"/>
      <c r="K813" s="44"/>
      <c r="L813" s="44"/>
      <c r="M813" s="44"/>
      <c r="N813" s="44"/>
      <c r="O813" s="44"/>
      <c r="P813" s="44"/>
      <c r="Q813" s="44"/>
      <c r="R813" s="44"/>
      <c r="S813" s="44"/>
      <c r="T813" s="44"/>
      <c r="U813" s="36"/>
    </row>
    <row r="814" spans="1:21" ht="12.75">
      <c r="A814" s="44"/>
      <c r="B814" s="44"/>
      <c r="C814" s="44"/>
      <c r="D814" s="44"/>
      <c r="E814" s="44"/>
      <c r="F814" s="34"/>
      <c r="G814" s="34"/>
      <c r="H814" s="45"/>
      <c r="I814" s="44"/>
      <c r="J814" s="34"/>
      <c r="K814" s="44"/>
      <c r="L814" s="44"/>
      <c r="M814" s="44"/>
      <c r="N814" s="44"/>
      <c r="O814" s="44"/>
      <c r="P814" s="44"/>
      <c r="Q814" s="44"/>
      <c r="R814" s="44"/>
      <c r="S814" s="44"/>
      <c r="T814" s="44"/>
      <c r="U814" s="36"/>
    </row>
    <row r="815" spans="1:21" ht="12.75">
      <c r="A815" s="44"/>
      <c r="B815" s="44"/>
      <c r="C815" s="44"/>
      <c r="D815" s="44"/>
      <c r="E815" s="44"/>
      <c r="F815" s="34"/>
      <c r="G815" s="34"/>
      <c r="H815" s="45"/>
      <c r="I815" s="44"/>
      <c r="J815" s="34"/>
      <c r="K815" s="44"/>
      <c r="L815" s="44"/>
      <c r="M815" s="44"/>
      <c r="N815" s="44"/>
      <c r="O815" s="44"/>
      <c r="P815" s="44"/>
      <c r="Q815" s="44"/>
      <c r="R815" s="44"/>
      <c r="S815" s="44"/>
      <c r="T815" s="44"/>
      <c r="U815" s="36"/>
    </row>
    <row r="816" spans="1:21" ht="12.75">
      <c r="A816" s="44"/>
      <c r="B816" s="44"/>
      <c r="C816" s="44"/>
      <c r="D816" s="44"/>
      <c r="E816" s="44"/>
      <c r="F816" s="34"/>
      <c r="G816" s="34"/>
      <c r="H816" s="45"/>
      <c r="I816" s="44"/>
      <c r="J816" s="34"/>
      <c r="K816" s="44"/>
      <c r="L816" s="44"/>
      <c r="M816" s="44"/>
      <c r="N816" s="44"/>
      <c r="O816" s="44"/>
      <c r="P816" s="44"/>
      <c r="Q816" s="44"/>
      <c r="R816" s="44"/>
      <c r="S816" s="44"/>
      <c r="T816" s="44"/>
      <c r="U816" s="36"/>
    </row>
    <row r="817" spans="1:21" ht="12.75">
      <c r="A817" s="44"/>
      <c r="B817" s="44"/>
      <c r="C817" s="44"/>
      <c r="D817" s="44"/>
      <c r="E817" s="44"/>
      <c r="F817" s="34"/>
      <c r="G817" s="34"/>
      <c r="H817" s="45"/>
      <c r="I817" s="44"/>
      <c r="J817" s="34"/>
      <c r="K817" s="44"/>
      <c r="L817" s="44"/>
      <c r="M817" s="44"/>
      <c r="N817" s="44"/>
      <c r="O817" s="44"/>
      <c r="P817" s="44"/>
      <c r="Q817" s="44"/>
      <c r="R817" s="44"/>
      <c r="S817" s="44"/>
      <c r="T817" s="44"/>
      <c r="U817" s="36"/>
    </row>
    <row r="818" spans="1:21" ht="12.75">
      <c r="A818" s="44"/>
      <c r="B818" s="44"/>
      <c r="C818" s="44"/>
      <c r="D818" s="44"/>
      <c r="E818" s="44"/>
      <c r="F818" s="34"/>
      <c r="G818" s="34"/>
      <c r="H818" s="45"/>
      <c r="I818" s="44"/>
      <c r="J818" s="34"/>
      <c r="K818" s="44"/>
      <c r="L818" s="44"/>
      <c r="M818" s="44"/>
      <c r="N818" s="44"/>
      <c r="O818" s="44"/>
      <c r="P818" s="44"/>
      <c r="Q818" s="44"/>
      <c r="R818" s="44"/>
      <c r="S818" s="44"/>
      <c r="T818" s="44"/>
      <c r="U818" s="36"/>
    </row>
    <row r="819" spans="1:21" ht="12.75">
      <c r="A819" s="44"/>
      <c r="B819" s="44"/>
      <c r="C819" s="44"/>
      <c r="D819" s="44"/>
      <c r="E819" s="44"/>
      <c r="F819" s="34"/>
      <c r="G819" s="34"/>
      <c r="H819" s="45"/>
      <c r="I819" s="44"/>
      <c r="J819" s="34"/>
      <c r="K819" s="44"/>
      <c r="L819" s="44"/>
      <c r="M819" s="44"/>
      <c r="N819" s="44"/>
      <c r="O819" s="44"/>
      <c r="P819" s="44"/>
      <c r="Q819" s="44"/>
      <c r="R819" s="44"/>
      <c r="S819" s="44"/>
      <c r="T819" s="44"/>
      <c r="U819" s="36"/>
    </row>
    <row r="820" spans="1:21" ht="12.75">
      <c r="A820" s="44"/>
      <c r="B820" s="44"/>
      <c r="C820" s="44"/>
      <c r="D820" s="44"/>
      <c r="E820" s="44"/>
      <c r="F820" s="34"/>
      <c r="G820" s="34"/>
      <c r="H820" s="45"/>
      <c r="I820" s="44"/>
      <c r="J820" s="34"/>
      <c r="K820" s="44"/>
      <c r="L820" s="44"/>
      <c r="M820" s="44"/>
      <c r="N820" s="44"/>
      <c r="O820" s="44"/>
      <c r="P820" s="44"/>
      <c r="Q820" s="44"/>
      <c r="R820" s="44"/>
      <c r="S820" s="44"/>
      <c r="T820" s="44"/>
      <c r="U820" s="36"/>
    </row>
    <row r="821" spans="1:21" ht="12.75">
      <c r="A821" s="44"/>
      <c r="B821" s="44"/>
      <c r="C821" s="44"/>
      <c r="D821" s="44"/>
      <c r="E821" s="44"/>
      <c r="F821" s="34"/>
      <c r="G821" s="34"/>
      <c r="H821" s="45"/>
      <c r="I821" s="44"/>
      <c r="J821" s="34"/>
      <c r="K821" s="44"/>
      <c r="L821" s="44"/>
      <c r="M821" s="44"/>
      <c r="N821" s="44"/>
      <c r="O821" s="44"/>
      <c r="P821" s="44"/>
      <c r="Q821" s="44"/>
      <c r="R821" s="44"/>
      <c r="S821" s="44"/>
      <c r="T821" s="44"/>
      <c r="U821" s="36"/>
    </row>
    <row r="822" spans="1:21" ht="12.75">
      <c r="A822" s="44"/>
      <c r="B822" s="44"/>
      <c r="C822" s="44"/>
      <c r="D822" s="44"/>
      <c r="E822" s="44"/>
      <c r="F822" s="34"/>
      <c r="G822" s="34"/>
      <c r="H822" s="45"/>
      <c r="I822" s="44"/>
      <c r="J822" s="34"/>
      <c r="K822" s="44"/>
      <c r="L822" s="44"/>
      <c r="M822" s="44"/>
      <c r="N822" s="44"/>
      <c r="O822" s="44"/>
      <c r="P822" s="44"/>
      <c r="Q822" s="44"/>
      <c r="R822" s="44"/>
      <c r="S822" s="44"/>
      <c r="T822" s="44"/>
      <c r="U822" s="36"/>
    </row>
    <row r="823" spans="1:21" ht="12.75">
      <c r="A823" s="44"/>
      <c r="B823" s="44"/>
      <c r="C823" s="44"/>
      <c r="D823" s="44"/>
      <c r="E823" s="44"/>
      <c r="F823" s="34"/>
      <c r="G823" s="34"/>
      <c r="H823" s="45"/>
      <c r="I823" s="44"/>
      <c r="J823" s="34"/>
      <c r="K823" s="44"/>
      <c r="L823" s="44"/>
      <c r="M823" s="44"/>
      <c r="N823" s="44"/>
      <c r="O823" s="44"/>
      <c r="P823" s="44"/>
      <c r="Q823" s="44"/>
      <c r="R823" s="44"/>
      <c r="S823" s="44"/>
      <c r="T823" s="44"/>
      <c r="U823" s="36"/>
    </row>
    <row r="824" spans="1:21" ht="12.75">
      <c r="A824" s="44"/>
      <c r="B824" s="44"/>
      <c r="C824" s="44"/>
      <c r="D824" s="44"/>
      <c r="E824" s="44"/>
      <c r="F824" s="34"/>
      <c r="G824" s="34"/>
      <c r="H824" s="45"/>
      <c r="I824" s="44"/>
      <c r="J824" s="34"/>
      <c r="K824" s="44"/>
      <c r="L824" s="44"/>
      <c r="M824" s="44"/>
      <c r="N824" s="44"/>
      <c r="O824" s="44"/>
      <c r="P824" s="44"/>
      <c r="Q824" s="44"/>
      <c r="R824" s="44"/>
      <c r="S824" s="44"/>
      <c r="T824" s="44"/>
      <c r="U824" s="36"/>
    </row>
    <row r="825" spans="1:21" ht="12.75">
      <c r="A825" s="44"/>
      <c r="B825" s="44"/>
      <c r="C825" s="44"/>
      <c r="D825" s="44"/>
      <c r="E825" s="44"/>
      <c r="F825" s="34"/>
      <c r="G825" s="34"/>
      <c r="H825" s="45"/>
      <c r="I825" s="44"/>
      <c r="J825" s="34"/>
      <c r="K825" s="44"/>
      <c r="L825" s="44"/>
      <c r="M825" s="44"/>
      <c r="N825" s="44"/>
      <c r="O825" s="44"/>
      <c r="P825" s="44"/>
      <c r="Q825" s="44"/>
      <c r="R825" s="44"/>
      <c r="S825" s="44"/>
      <c r="T825" s="44"/>
      <c r="U825" s="36"/>
    </row>
    <row r="826" spans="1:21" ht="12.75">
      <c r="A826" s="44"/>
      <c r="B826" s="44"/>
      <c r="C826" s="44"/>
      <c r="D826" s="44"/>
      <c r="E826" s="44"/>
      <c r="F826" s="34"/>
      <c r="G826" s="34"/>
      <c r="H826" s="45"/>
      <c r="I826" s="44"/>
      <c r="J826" s="34"/>
      <c r="K826" s="44"/>
      <c r="L826" s="44"/>
      <c r="M826" s="44"/>
      <c r="N826" s="44"/>
      <c r="O826" s="44"/>
      <c r="P826" s="44"/>
      <c r="Q826" s="44"/>
      <c r="R826" s="44"/>
      <c r="S826" s="44"/>
      <c r="T826" s="44"/>
      <c r="U826" s="36"/>
    </row>
    <row r="827" spans="1:21" ht="12.75">
      <c r="A827" s="44"/>
      <c r="B827" s="44"/>
      <c r="C827" s="44"/>
      <c r="D827" s="44"/>
      <c r="E827" s="44"/>
      <c r="F827" s="34"/>
      <c r="G827" s="34"/>
      <c r="H827" s="45"/>
      <c r="I827" s="44"/>
      <c r="J827" s="34"/>
      <c r="K827" s="44"/>
      <c r="L827" s="44"/>
      <c r="M827" s="44"/>
      <c r="N827" s="44"/>
      <c r="O827" s="44"/>
      <c r="P827" s="44"/>
      <c r="Q827" s="44"/>
      <c r="R827" s="44"/>
      <c r="S827" s="44"/>
      <c r="T827" s="44"/>
      <c r="U827" s="36"/>
    </row>
    <row r="828" spans="1:21" ht="12.75">
      <c r="A828" s="44"/>
      <c r="B828" s="44"/>
      <c r="C828" s="44"/>
      <c r="D828" s="44"/>
      <c r="E828" s="44"/>
      <c r="F828" s="34"/>
      <c r="G828" s="34"/>
      <c r="H828" s="45"/>
      <c r="I828" s="44"/>
      <c r="J828" s="34"/>
      <c r="K828" s="44"/>
      <c r="L828" s="44"/>
      <c r="M828" s="44"/>
      <c r="N828" s="44"/>
      <c r="O828" s="44"/>
      <c r="P828" s="44"/>
      <c r="Q828" s="44"/>
      <c r="R828" s="44"/>
      <c r="S828" s="44"/>
      <c r="T828" s="44"/>
      <c r="U828" s="36"/>
    </row>
    <row r="829" spans="1:21" ht="12.75">
      <c r="A829" s="44"/>
      <c r="B829" s="44"/>
      <c r="C829" s="44"/>
      <c r="D829" s="44"/>
      <c r="E829" s="44"/>
      <c r="F829" s="34"/>
      <c r="G829" s="34"/>
      <c r="H829" s="45"/>
      <c r="I829" s="44"/>
      <c r="J829" s="34"/>
      <c r="K829" s="44"/>
      <c r="L829" s="44"/>
      <c r="M829" s="44"/>
      <c r="N829" s="44"/>
      <c r="O829" s="44"/>
      <c r="P829" s="44"/>
      <c r="Q829" s="44"/>
      <c r="R829" s="44"/>
      <c r="S829" s="44"/>
      <c r="T829" s="44"/>
      <c r="U829" s="36"/>
    </row>
    <row r="830" spans="1:21" ht="12.75">
      <c r="A830" s="44"/>
      <c r="B830" s="44"/>
      <c r="C830" s="44"/>
      <c r="D830" s="44"/>
      <c r="E830" s="44"/>
      <c r="F830" s="34"/>
      <c r="G830" s="34"/>
      <c r="H830" s="45"/>
      <c r="I830" s="44"/>
      <c r="J830" s="34"/>
      <c r="K830" s="44"/>
      <c r="L830" s="44"/>
      <c r="M830" s="44"/>
      <c r="N830" s="44"/>
      <c r="O830" s="44"/>
      <c r="P830" s="44"/>
      <c r="Q830" s="44"/>
      <c r="R830" s="44"/>
      <c r="S830" s="44"/>
      <c r="T830" s="44"/>
      <c r="U830" s="36"/>
    </row>
    <row r="831" spans="1:21" ht="12.75">
      <c r="A831" s="44"/>
      <c r="B831" s="44"/>
      <c r="C831" s="44"/>
      <c r="D831" s="44"/>
      <c r="E831" s="44"/>
      <c r="F831" s="34"/>
      <c r="G831" s="34"/>
      <c r="H831" s="45"/>
      <c r="I831" s="44"/>
      <c r="J831" s="34"/>
      <c r="K831" s="44"/>
      <c r="L831" s="44"/>
      <c r="M831" s="44"/>
      <c r="N831" s="44"/>
      <c r="O831" s="44"/>
      <c r="P831" s="44"/>
      <c r="Q831" s="44"/>
      <c r="R831" s="44"/>
      <c r="S831" s="44"/>
      <c r="T831" s="44"/>
      <c r="U831" s="36"/>
    </row>
    <row r="832" spans="1:21" ht="12.75">
      <c r="A832" s="44"/>
      <c r="B832" s="44"/>
      <c r="C832" s="44"/>
      <c r="D832" s="44"/>
      <c r="E832" s="44"/>
      <c r="F832" s="34"/>
      <c r="G832" s="34"/>
      <c r="H832" s="45"/>
      <c r="I832" s="44"/>
      <c r="J832" s="34"/>
      <c r="K832" s="44"/>
      <c r="L832" s="44"/>
      <c r="M832" s="44"/>
      <c r="N832" s="44"/>
      <c r="O832" s="44"/>
      <c r="P832" s="44"/>
      <c r="Q832" s="44"/>
      <c r="R832" s="44"/>
      <c r="S832" s="44"/>
      <c r="T832" s="44"/>
      <c r="U832" s="36"/>
    </row>
    <row r="833" spans="1:21" ht="12.75">
      <c r="A833" s="44"/>
      <c r="B833" s="44"/>
      <c r="C833" s="44"/>
      <c r="D833" s="44"/>
      <c r="E833" s="44"/>
      <c r="F833" s="34"/>
      <c r="G833" s="34"/>
      <c r="H833" s="45"/>
      <c r="I833" s="44"/>
      <c r="J833" s="34"/>
      <c r="K833" s="44"/>
      <c r="L833" s="44"/>
      <c r="M833" s="44"/>
      <c r="N833" s="44"/>
      <c r="O833" s="44"/>
      <c r="P833" s="44"/>
      <c r="Q833" s="44"/>
      <c r="R833" s="44"/>
      <c r="S833" s="44"/>
      <c r="T833" s="44"/>
      <c r="U833" s="36"/>
    </row>
    <row r="834" spans="1:21" ht="12.75">
      <c r="A834" s="44"/>
      <c r="B834" s="44"/>
      <c r="C834" s="44"/>
      <c r="D834" s="44"/>
      <c r="E834" s="44"/>
      <c r="F834" s="34"/>
      <c r="G834" s="34"/>
      <c r="H834" s="45"/>
      <c r="I834" s="44"/>
      <c r="J834" s="34"/>
      <c r="K834" s="44"/>
      <c r="L834" s="44"/>
      <c r="M834" s="44"/>
      <c r="N834" s="44"/>
      <c r="O834" s="44"/>
      <c r="P834" s="44"/>
      <c r="Q834" s="44"/>
      <c r="R834" s="44"/>
      <c r="S834" s="44"/>
      <c r="T834" s="44"/>
      <c r="U834" s="36"/>
    </row>
    <row r="835" spans="1:21" ht="12.75">
      <c r="A835" s="44"/>
      <c r="B835" s="44"/>
      <c r="C835" s="44"/>
      <c r="D835" s="44"/>
      <c r="E835" s="44"/>
      <c r="F835" s="34"/>
      <c r="G835" s="34"/>
      <c r="H835" s="45"/>
      <c r="I835" s="44"/>
      <c r="J835" s="34"/>
      <c r="K835" s="44"/>
      <c r="L835" s="44"/>
      <c r="M835" s="44"/>
      <c r="N835" s="44"/>
      <c r="O835" s="44"/>
      <c r="P835" s="44"/>
      <c r="Q835" s="44"/>
      <c r="R835" s="44"/>
      <c r="S835" s="44"/>
      <c r="T835" s="44"/>
      <c r="U835" s="36"/>
    </row>
    <row r="836" spans="1:21" ht="12.75">
      <c r="A836" s="44"/>
      <c r="B836" s="44"/>
      <c r="C836" s="44"/>
      <c r="D836" s="44"/>
      <c r="E836" s="44"/>
      <c r="F836" s="34"/>
      <c r="G836" s="34"/>
      <c r="H836" s="45"/>
      <c r="I836" s="44"/>
      <c r="J836" s="34"/>
      <c r="K836" s="44"/>
      <c r="L836" s="44"/>
      <c r="M836" s="44"/>
      <c r="N836" s="44"/>
      <c r="O836" s="44"/>
      <c r="P836" s="44"/>
      <c r="Q836" s="44"/>
      <c r="R836" s="44"/>
      <c r="S836" s="44"/>
      <c r="T836" s="44"/>
      <c r="U836" s="36"/>
    </row>
    <row r="837" spans="1:21" ht="12.75">
      <c r="A837" s="44"/>
      <c r="B837" s="44"/>
      <c r="C837" s="44"/>
      <c r="D837" s="44"/>
      <c r="E837" s="44"/>
      <c r="F837" s="34"/>
      <c r="G837" s="34"/>
      <c r="H837" s="45"/>
      <c r="I837" s="44"/>
      <c r="J837" s="34"/>
      <c r="K837" s="44"/>
      <c r="L837" s="44"/>
      <c r="M837" s="44"/>
      <c r="N837" s="44"/>
      <c r="O837" s="44"/>
      <c r="P837" s="44"/>
      <c r="Q837" s="44"/>
      <c r="R837" s="44"/>
      <c r="S837" s="44"/>
      <c r="T837" s="44"/>
      <c r="U837" s="36"/>
    </row>
    <row r="838" spans="1:21" ht="12.75">
      <c r="A838" s="44"/>
      <c r="B838" s="44"/>
      <c r="C838" s="44"/>
      <c r="D838" s="44"/>
      <c r="E838" s="44"/>
      <c r="F838" s="34"/>
      <c r="G838" s="34"/>
      <c r="H838" s="45"/>
      <c r="I838" s="44"/>
      <c r="J838" s="34"/>
      <c r="K838" s="44"/>
      <c r="L838" s="44"/>
      <c r="M838" s="44"/>
      <c r="N838" s="44"/>
      <c r="O838" s="44"/>
      <c r="P838" s="44"/>
      <c r="Q838" s="44"/>
      <c r="R838" s="44"/>
      <c r="S838" s="44"/>
      <c r="T838" s="44"/>
      <c r="U838" s="36"/>
    </row>
    <row r="839" spans="1:21" ht="12.75">
      <c r="A839" s="44"/>
      <c r="B839" s="44"/>
      <c r="C839" s="44"/>
      <c r="D839" s="44"/>
      <c r="E839" s="44"/>
      <c r="F839" s="34"/>
      <c r="G839" s="34"/>
      <c r="H839" s="45"/>
      <c r="I839" s="44"/>
      <c r="J839" s="34"/>
      <c r="K839" s="44"/>
      <c r="L839" s="44"/>
      <c r="M839" s="44"/>
      <c r="N839" s="44"/>
      <c r="O839" s="44"/>
      <c r="P839" s="44"/>
      <c r="Q839" s="44"/>
      <c r="R839" s="44"/>
      <c r="S839" s="44"/>
      <c r="T839" s="44"/>
      <c r="U839" s="36"/>
    </row>
    <row r="840" spans="1:21" ht="12.75">
      <c r="A840" s="44"/>
      <c r="B840" s="44"/>
      <c r="C840" s="44"/>
      <c r="D840" s="44"/>
      <c r="E840" s="44"/>
      <c r="F840" s="34"/>
      <c r="G840" s="34"/>
      <c r="H840" s="45"/>
      <c r="I840" s="44"/>
      <c r="J840" s="34"/>
      <c r="K840" s="44"/>
      <c r="L840" s="44"/>
      <c r="M840" s="44"/>
      <c r="N840" s="44"/>
      <c r="O840" s="44"/>
      <c r="P840" s="44"/>
      <c r="Q840" s="44"/>
      <c r="R840" s="44"/>
      <c r="S840" s="44"/>
      <c r="T840" s="44"/>
      <c r="U840" s="36"/>
    </row>
    <row r="841" spans="1:21" ht="12.75">
      <c r="A841" s="44"/>
      <c r="B841" s="44"/>
      <c r="C841" s="44"/>
      <c r="D841" s="44"/>
      <c r="E841" s="44"/>
      <c r="F841" s="34"/>
      <c r="G841" s="34"/>
      <c r="H841" s="45"/>
      <c r="I841" s="44"/>
      <c r="J841" s="34"/>
      <c r="K841" s="44"/>
      <c r="L841" s="44"/>
      <c r="M841" s="44"/>
      <c r="N841" s="44"/>
      <c r="O841" s="44"/>
      <c r="P841" s="44"/>
      <c r="Q841" s="44"/>
      <c r="R841" s="44"/>
      <c r="S841" s="44"/>
      <c r="T841" s="44"/>
      <c r="U841" s="36"/>
    </row>
    <row r="842" spans="1:21" ht="12.75">
      <c r="A842" s="44"/>
      <c r="B842" s="44"/>
      <c r="C842" s="44"/>
      <c r="D842" s="44"/>
      <c r="E842" s="44"/>
      <c r="F842" s="34"/>
      <c r="G842" s="34"/>
      <c r="H842" s="45"/>
      <c r="I842" s="44"/>
      <c r="J842" s="34"/>
      <c r="K842" s="44"/>
      <c r="L842" s="44"/>
      <c r="M842" s="44"/>
      <c r="N842" s="44"/>
      <c r="O842" s="44"/>
      <c r="P842" s="44"/>
      <c r="Q842" s="44"/>
      <c r="R842" s="44"/>
      <c r="S842" s="44"/>
      <c r="T842" s="44"/>
      <c r="U842" s="36"/>
    </row>
    <row r="843" spans="1:21" ht="12.75">
      <c r="A843" s="44"/>
      <c r="B843" s="44"/>
      <c r="C843" s="44"/>
      <c r="D843" s="44"/>
      <c r="E843" s="44"/>
      <c r="F843" s="34"/>
      <c r="G843" s="34"/>
      <c r="H843" s="45"/>
      <c r="I843" s="44"/>
      <c r="J843" s="34"/>
      <c r="K843" s="44"/>
      <c r="L843" s="44"/>
      <c r="M843" s="44"/>
      <c r="N843" s="44"/>
      <c r="O843" s="44"/>
      <c r="P843" s="44"/>
      <c r="Q843" s="44"/>
      <c r="R843" s="44"/>
      <c r="S843" s="44"/>
      <c r="T843" s="44"/>
      <c r="U843" s="36"/>
    </row>
    <row r="844" spans="1:21" ht="12.75">
      <c r="A844" s="44"/>
      <c r="B844" s="44"/>
      <c r="C844" s="44"/>
      <c r="D844" s="44"/>
      <c r="E844" s="44"/>
      <c r="F844" s="34"/>
      <c r="G844" s="34"/>
      <c r="H844" s="45"/>
      <c r="I844" s="44"/>
      <c r="J844" s="34"/>
      <c r="K844" s="44"/>
      <c r="L844" s="44"/>
      <c r="M844" s="44"/>
      <c r="N844" s="44"/>
      <c r="O844" s="44"/>
      <c r="P844" s="44"/>
      <c r="Q844" s="44"/>
      <c r="R844" s="44"/>
      <c r="S844" s="44"/>
      <c r="T844" s="44"/>
      <c r="U844" s="36"/>
    </row>
    <row r="845" spans="1:21" ht="12.75">
      <c r="A845" s="44"/>
      <c r="B845" s="44"/>
      <c r="C845" s="44"/>
      <c r="D845" s="44"/>
      <c r="E845" s="44"/>
      <c r="F845" s="34"/>
      <c r="G845" s="34"/>
      <c r="H845" s="45"/>
      <c r="I845" s="44"/>
      <c r="J845" s="34"/>
      <c r="K845" s="44"/>
      <c r="L845" s="44"/>
      <c r="M845" s="44"/>
      <c r="N845" s="44"/>
      <c r="O845" s="44"/>
      <c r="P845" s="44"/>
      <c r="Q845" s="44"/>
      <c r="R845" s="44"/>
      <c r="S845" s="44"/>
      <c r="T845" s="44"/>
      <c r="U845" s="36"/>
    </row>
    <row r="846" spans="1:21" ht="12.75">
      <c r="A846" s="44"/>
      <c r="B846" s="44"/>
      <c r="C846" s="44"/>
      <c r="D846" s="44"/>
      <c r="E846" s="44"/>
      <c r="F846" s="34"/>
      <c r="G846" s="34"/>
      <c r="H846" s="45"/>
      <c r="I846" s="44"/>
      <c r="J846" s="34"/>
      <c r="K846" s="44"/>
      <c r="L846" s="44"/>
      <c r="M846" s="44"/>
      <c r="N846" s="44"/>
      <c r="O846" s="44"/>
      <c r="P846" s="44"/>
      <c r="Q846" s="44"/>
      <c r="R846" s="44"/>
      <c r="S846" s="44"/>
      <c r="T846" s="44"/>
      <c r="U846" s="36"/>
    </row>
    <row r="847" spans="1:21" ht="12.75">
      <c r="A847" s="44"/>
      <c r="B847" s="44"/>
      <c r="C847" s="44"/>
      <c r="D847" s="44"/>
      <c r="E847" s="44"/>
      <c r="F847" s="34"/>
      <c r="G847" s="34"/>
      <c r="H847" s="45"/>
      <c r="I847" s="44"/>
      <c r="J847" s="34"/>
      <c r="K847" s="44"/>
      <c r="L847" s="44"/>
      <c r="M847" s="44"/>
      <c r="N847" s="44"/>
      <c r="O847" s="44"/>
      <c r="P847" s="44"/>
      <c r="Q847" s="44"/>
      <c r="R847" s="44"/>
      <c r="S847" s="44"/>
      <c r="T847" s="44"/>
      <c r="U847" s="36"/>
    </row>
    <row r="848" spans="1:21" ht="12.75">
      <c r="A848" s="44"/>
      <c r="B848" s="44"/>
      <c r="C848" s="44"/>
      <c r="D848" s="44"/>
      <c r="E848" s="44"/>
      <c r="F848" s="34"/>
      <c r="G848" s="34"/>
      <c r="H848" s="45"/>
      <c r="I848" s="44"/>
      <c r="J848" s="34"/>
      <c r="K848" s="44"/>
      <c r="L848" s="44"/>
      <c r="M848" s="44"/>
      <c r="N848" s="44"/>
      <c r="O848" s="44"/>
      <c r="P848" s="44"/>
      <c r="Q848" s="44"/>
      <c r="R848" s="44"/>
      <c r="S848" s="44"/>
      <c r="T848" s="44"/>
      <c r="U848" s="36"/>
    </row>
    <row r="849" spans="1:21" ht="12.75">
      <c r="A849" s="44"/>
      <c r="B849" s="44"/>
      <c r="C849" s="44"/>
      <c r="D849" s="44"/>
      <c r="E849" s="44"/>
      <c r="F849" s="34"/>
      <c r="G849" s="34"/>
      <c r="H849" s="45"/>
      <c r="I849" s="44"/>
      <c r="J849" s="34"/>
      <c r="K849" s="44"/>
      <c r="L849" s="44"/>
      <c r="M849" s="44"/>
      <c r="N849" s="44"/>
      <c r="O849" s="44"/>
      <c r="P849" s="44"/>
      <c r="Q849" s="44"/>
      <c r="R849" s="44"/>
      <c r="S849" s="44"/>
      <c r="T849" s="44"/>
      <c r="U849" s="36"/>
    </row>
    <row r="850" spans="1:21" ht="12.75">
      <c r="A850" s="44"/>
      <c r="B850" s="44"/>
      <c r="C850" s="44"/>
      <c r="D850" s="44"/>
      <c r="E850" s="44"/>
      <c r="F850" s="34"/>
      <c r="G850" s="34"/>
      <c r="H850" s="45"/>
      <c r="I850" s="44"/>
      <c r="J850" s="34"/>
      <c r="K850" s="44"/>
      <c r="L850" s="44"/>
      <c r="M850" s="44"/>
      <c r="N850" s="44"/>
      <c r="O850" s="44"/>
      <c r="P850" s="44"/>
      <c r="Q850" s="44"/>
      <c r="R850" s="44"/>
      <c r="S850" s="44"/>
      <c r="T850" s="44"/>
      <c r="U850" s="36"/>
    </row>
    <row r="851" spans="1:21" ht="12.75">
      <c r="A851" s="44"/>
      <c r="B851" s="44"/>
      <c r="C851" s="44"/>
      <c r="D851" s="44"/>
      <c r="E851" s="44"/>
      <c r="F851" s="34"/>
      <c r="G851" s="34"/>
      <c r="H851" s="45"/>
      <c r="I851" s="44"/>
      <c r="J851" s="34"/>
      <c r="K851" s="44"/>
      <c r="L851" s="44"/>
      <c r="M851" s="44"/>
      <c r="N851" s="44"/>
      <c r="O851" s="44"/>
      <c r="P851" s="44"/>
      <c r="Q851" s="44"/>
      <c r="R851" s="44"/>
      <c r="S851" s="44"/>
      <c r="T851" s="44"/>
      <c r="U851" s="36"/>
    </row>
    <row r="852" spans="1:21" ht="12.75">
      <c r="A852" s="44"/>
      <c r="B852" s="44"/>
      <c r="C852" s="44"/>
      <c r="D852" s="44"/>
      <c r="E852" s="44"/>
      <c r="F852" s="34"/>
      <c r="G852" s="34"/>
      <c r="H852" s="45"/>
      <c r="I852" s="44"/>
      <c r="J852" s="34"/>
      <c r="K852" s="44"/>
      <c r="L852" s="44"/>
      <c r="M852" s="44"/>
      <c r="N852" s="44"/>
      <c r="O852" s="44"/>
      <c r="P852" s="44"/>
      <c r="Q852" s="44"/>
      <c r="R852" s="44"/>
      <c r="S852" s="44"/>
      <c r="T852" s="44"/>
      <c r="U852" s="36"/>
    </row>
    <row r="853" spans="1:21" ht="12.75">
      <c r="A853" s="44"/>
      <c r="B853" s="44"/>
      <c r="C853" s="44"/>
      <c r="D853" s="44"/>
      <c r="E853" s="44"/>
      <c r="F853" s="34"/>
      <c r="G853" s="34"/>
      <c r="H853" s="45"/>
      <c r="I853" s="44"/>
      <c r="J853" s="34"/>
      <c r="K853" s="44"/>
      <c r="L853" s="44"/>
      <c r="M853" s="44"/>
      <c r="N853" s="44"/>
      <c r="O853" s="44"/>
      <c r="P853" s="44"/>
      <c r="Q853" s="44"/>
      <c r="R853" s="44"/>
      <c r="S853" s="44"/>
      <c r="T853" s="44"/>
      <c r="U853" s="36"/>
    </row>
    <row r="854" spans="1:21" ht="12.75">
      <c r="A854" s="44"/>
      <c r="B854" s="44"/>
      <c r="C854" s="44"/>
      <c r="D854" s="44"/>
      <c r="E854" s="44"/>
      <c r="F854" s="34"/>
      <c r="G854" s="34"/>
      <c r="H854" s="45"/>
      <c r="I854" s="44"/>
      <c r="J854" s="34"/>
      <c r="K854" s="44"/>
      <c r="L854" s="44"/>
      <c r="M854" s="44"/>
      <c r="N854" s="44"/>
      <c r="O854" s="44"/>
      <c r="P854" s="44"/>
      <c r="Q854" s="44"/>
      <c r="R854" s="44"/>
      <c r="S854" s="44"/>
      <c r="T854" s="44"/>
      <c r="U854" s="36"/>
    </row>
    <row r="855" spans="1:21" ht="12.75">
      <c r="A855" s="44"/>
      <c r="B855" s="44"/>
      <c r="C855" s="44"/>
      <c r="D855" s="44"/>
      <c r="E855" s="44"/>
      <c r="F855" s="34"/>
      <c r="G855" s="34"/>
      <c r="H855" s="45"/>
      <c r="I855" s="44"/>
      <c r="J855" s="34"/>
      <c r="K855" s="44"/>
      <c r="L855" s="44"/>
      <c r="M855" s="44"/>
      <c r="N855" s="44"/>
      <c r="O855" s="44"/>
      <c r="P855" s="44"/>
      <c r="Q855" s="44"/>
      <c r="R855" s="44"/>
      <c r="S855" s="44"/>
      <c r="T855" s="44"/>
      <c r="U855" s="36"/>
    </row>
    <row r="856" spans="1:21" ht="12.75">
      <c r="A856" s="44"/>
      <c r="B856" s="44"/>
      <c r="C856" s="44"/>
      <c r="D856" s="44"/>
      <c r="E856" s="44"/>
      <c r="F856" s="34"/>
      <c r="G856" s="34"/>
      <c r="H856" s="45"/>
      <c r="I856" s="44"/>
      <c r="J856" s="34"/>
      <c r="K856" s="44"/>
      <c r="L856" s="44"/>
      <c r="M856" s="44"/>
      <c r="N856" s="44"/>
      <c r="O856" s="44"/>
      <c r="P856" s="44"/>
      <c r="Q856" s="44"/>
      <c r="R856" s="44"/>
      <c r="S856" s="44"/>
      <c r="T856" s="44"/>
      <c r="U856" s="36"/>
    </row>
    <row r="857" spans="1:21" ht="12.75">
      <c r="A857" s="44"/>
      <c r="B857" s="44"/>
      <c r="C857" s="44"/>
      <c r="D857" s="44"/>
      <c r="E857" s="44"/>
      <c r="F857" s="34"/>
      <c r="G857" s="34"/>
      <c r="H857" s="45"/>
      <c r="I857" s="44"/>
      <c r="J857" s="34"/>
      <c r="K857" s="44"/>
      <c r="L857" s="44"/>
      <c r="M857" s="44"/>
      <c r="N857" s="44"/>
      <c r="O857" s="44"/>
      <c r="P857" s="44"/>
      <c r="Q857" s="44"/>
      <c r="R857" s="44"/>
      <c r="S857" s="44"/>
      <c r="T857" s="44"/>
      <c r="U857" s="36"/>
    </row>
    <row r="858" spans="1:21" ht="12.75">
      <c r="A858" s="44"/>
      <c r="B858" s="44"/>
      <c r="C858" s="44"/>
      <c r="D858" s="44"/>
      <c r="E858" s="44"/>
      <c r="F858" s="34"/>
      <c r="G858" s="34"/>
      <c r="H858" s="45"/>
      <c r="I858" s="44"/>
      <c r="J858" s="34"/>
      <c r="K858" s="44"/>
      <c r="L858" s="44"/>
      <c r="M858" s="44"/>
      <c r="N858" s="44"/>
      <c r="O858" s="44"/>
      <c r="P858" s="44"/>
      <c r="Q858" s="44"/>
      <c r="R858" s="44"/>
      <c r="S858" s="44"/>
      <c r="T858" s="44"/>
      <c r="U858" s="36"/>
    </row>
    <row r="859" spans="1:21" ht="12.75">
      <c r="A859" s="44"/>
      <c r="B859" s="44"/>
      <c r="C859" s="44"/>
      <c r="D859" s="44"/>
      <c r="E859" s="44"/>
      <c r="F859" s="34"/>
      <c r="G859" s="34"/>
      <c r="H859" s="45"/>
      <c r="I859" s="44"/>
      <c r="J859" s="34"/>
      <c r="K859" s="44"/>
      <c r="L859" s="44"/>
      <c r="M859" s="44"/>
      <c r="N859" s="44"/>
      <c r="O859" s="44"/>
      <c r="P859" s="44"/>
      <c r="Q859" s="44"/>
      <c r="R859" s="44"/>
      <c r="S859" s="44"/>
      <c r="T859" s="44"/>
      <c r="U859" s="36"/>
    </row>
    <row r="860" spans="1:21" ht="12.75">
      <c r="A860" s="44"/>
      <c r="B860" s="44"/>
      <c r="C860" s="44"/>
      <c r="D860" s="44"/>
      <c r="E860" s="44"/>
      <c r="F860" s="34"/>
      <c r="G860" s="34"/>
      <c r="H860" s="45"/>
      <c r="I860" s="44"/>
      <c r="J860" s="34"/>
      <c r="K860" s="44"/>
      <c r="L860" s="44"/>
      <c r="M860" s="44"/>
      <c r="N860" s="44"/>
      <c r="O860" s="44"/>
      <c r="P860" s="44"/>
      <c r="Q860" s="44"/>
      <c r="R860" s="44"/>
      <c r="S860" s="44"/>
      <c r="T860" s="44"/>
      <c r="U860" s="36"/>
    </row>
    <row r="861" spans="1:21" ht="12.75">
      <c r="A861" s="44"/>
      <c r="B861" s="44"/>
      <c r="C861" s="44"/>
      <c r="D861" s="44"/>
      <c r="E861" s="44"/>
      <c r="F861" s="34"/>
      <c r="G861" s="34"/>
      <c r="H861" s="45"/>
      <c r="I861" s="44"/>
      <c r="J861" s="34"/>
      <c r="K861" s="44"/>
      <c r="L861" s="44"/>
      <c r="M861" s="44"/>
      <c r="N861" s="44"/>
      <c r="O861" s="44"/>
      <c r="P861" s="44"/>
      <c r="Q861" s="44"/>
      <c r="R861" s="44"/>
      <c r="S861" s="44"/>
      <c r="T861" s="44"/>
      <c r="U861" s="36"/>
    </row>
    <row r="862" spans="1:21" ht="12.75">
      <c r="A862" s="44"/>
      <c r="B862" s="44"/>
      <c r="C862" s="44"/>
      <c r="D862" s="44"/>
      <c r="E862" s="44"/>
      <c r="F862" s="34"/>
      <c r="G862" s="34"/>
      <c r="H862" s="45"/>
      <c r="I862" s="44"/>
      <c r="J862" s="34"/>
      <c r="K862" s="44"/>
      <c r="L862" s="44"/>
      <c r="M862" s="44"/>
      <c r="N862" s="44"/>
      <c r="O862" s="44"/>
      <c r="P862" s="44"/>
      <c r="Q862" s="44"/>
      <c r="R862" s="44"/>
      <c r="S862" s="44"/>
      <c r="T862" s="44"/>
      <c r="U862" s="36"/>
    </row>
    <row r="863" spans="1:21" ht="12.75">
      <c r="A863" s="44"/>
      <c r="B863" s="44"/>
      <c r="C863" s="44"/>
      <c r="D863" s="44"/>
      <c r="E863" s="44"/>
      <c r="F863" s="34"/>
      <c r="G863" s="34"/>
      <c r="H863" s="45"/>
      <c r="I863" s="44"/>
      <c r="J863" s="34"/>
      <c r="K863" s="44"/>
      <c r="L863" s="44"/>
      <c r="M863" s="44"/>
      <c r="N863" s="44"/>
      <c r="O863" s="44"/>
      <c r="P863" s="44"/>
      <c r="Q863" s="44"/>
      <c r="R863" s="44"/>
      <c r="S863" s="44"/>
      <c r="T863" s="44"/>
      <c r="U863" s="36"/>
    </row>
    <row r="864" spans="1:21" ht="12.75">
      <c r="A864" s="44"/>
      <c r="B864" s="44"/>
      <c r="C864" s="44"/>
      <c r="D864" s="44"/>
      <c r="E864" s="44"/>
      <c r="F864" s="34"/>
      <c r="G864" s="34"/>
      <c r="H864" s="45"/>
      <c r="I864" s="44"/>
      <c r="J864" s="34"/>
      <c r="K864" s="44"/>
      <c r="L864" s="44"/>
      <c r="M864" s="44"/>
      <c r="N864" s="44"/>
      <c r="O864" s="44"/>
      <c r="P864" s="44"/>
      <c r="Q864" s="44"/>
      <c r="R864" s="44"/>
      <c r="S864" s="44"/>
      <c r="T864" s="44"/>
      <c r="U864" s="36"/>
    </row>
    <row r="865" spans="1:21" ht="12.75">
      <c r="A865" s="44"/>
      <c r="B865" s="44"/>
      <c r="C865" s="44"/>
      <c r="D865" s="44"/>
      <c r="E865" s="44"/>
      <c r="F865" s="34"/>
      <c r="G865" s="34"/>
      <c r="H865" s="45"/>
      <c r="I865" s="44"/>
      <c r="J865" s="34"/>
      <c r="K865" s="44"/>
      <c r="L865" s="44"/>
      <c r="M865" s="44"/>
      <c r="N865" s="44"/>
      <c r="O865" s="44"/>
      <c r="P865" s="44"/>
      <c r="Q865" s="44"/>
      <c r="R865" s="44"/>
      <c r="S865" s="44"/>
      <c r="T865" s="44"/>
      <c r="U865" s="36"/>
    </row>
    <row r="866" spans="1:21" ht="12.75">
      <c r="A866" s="44"/>
      <c r="B866" s="44"/>
      <c r="C866" s="44"/>
      <c r="D866" s="44"/>
      <c r="E866" s="44"/>
      <c r="F866" s="34"/>
      <c r="G866" s="34"/>
      <c r="H866" s="45"/>
      <c r="I866" s="44"/>
      <c r="J866" s="34"/>
      <c r="K866" s="44"/>
      <c r="L866" s="44"/>
      <c r="M866" s="44"/>
      <c r="N866" s="44"/>
      <c r="O866" s="44"/>
      <c r="P866" s="44"/>
      <c r="Q866" s="44"/>
      <c r="R866" s="44"/>
      <c r="S866" s="44"/>
      <c r="T866" s="44"/>
      <c r="U866" s="36"/>
    </row>
    <row r="867" spans="1:21" ht="12.75">
      <c r="A867" s="44"/>
      <c r="B867" s="44"/>
      <c r="C867" s="44"/>
      <c r="D867" s="44"/>
      <c r="E867" s="44"/>
      <c r="F867" s="34"/>
      <c r="G867" s="34"/>
      <c r="H867" s="45"/>
      <c r="I867" s="44"/>
      <c r="J867" s="34"/>
      <c r="K867" s="44"/>
      <c r="L867" s="44"/>
      <c r="M867" s="44"/>
      <c r="N867" s="44"/>
      <c r="O867" s="44"/>
      <c r="P867" s="44"/>
      <c r="Q867" s="44"/>
      <c r="R867" s="44"/>
      <c r="S867" s="44"/>
      <c r="T867" s="44"/>
      <c r="U867" s="36"/>
    </row>
    <row r="868" spans="1:21" ht="12.75">
      <c r="A868" s="44"/>
      <c r="B868" s="44"/>
      <c r="C868" s="44"/>
      <c r="D868" s="44"/>
      <c r="E868" s="44"/>
      <c r="F868" s="34"/>
      <c r="G868" s="34"/>
      <c r="H868" s="45"/>
      <c r="I868" s="44"/>
      <c r="J868" s="34"/>
      <c r="K868" s="44"/>
      <c r="L868" s="44"/>
      <c r="M868" s="44"/>
      <c r="N868" s="44"/>
      <c r="O868" s="44"/>
      <c r="P868" s="44"/>
      <c r="Q868" s="44"/>
      <c r="R868" s="44"/>
      <c r="S868" s="44"/>
      <c r="T868" s="44"/>
      <c r="U868" s="36"/>
    </row>
    <row r="869" spans="1:21" ht="12.75">
      <c r="A869" s="44"/>
      <c r="B869" s="44"/>
      <c r="C869" s="44"/>
      <c r="D869" s="44"/>
      <c r="E869" s="44"/>
      <c r="F869" s="34"/>
      <c r="G869" s="34"/>
      <c r="H869" s="45"/>
      <c r="I869" s="44"/>
      <c r="J869" s="34"/>
      <c r="K869" s="44"/>
      <c r="L869" s="44"/>
      <c r="M869" s="44"/>
      <c r="N869" s="44"/>
      <c r="O869" s="44"/>
      <c r="P869" s="44"/>
      <c r="Q869" s="44"/>
      <c r="R869" s="44"/>
      <c r="S869" s="44"/>
      <c r="T869" s="44"/>
      <c r="U869" s="36"/>
    </row>
    <row r="870" spans="1:21" ht="12.75">
      <c r="A870" s="44"/>
      <c r="B870" s="44"/>
      <c r="C870" s="44"/>
      <c r="D870" s="44"/>
      <c r="E870" s="44"/>
      <c r="F870" s="34"/>
      <c r="G870" s="34"/>
      <c r="H870" s="45"/>
      <c r="I870" s="44"/>
      <c r="J870" s="34"/>
      <c r="K870" s="44"/>
      <c r="L870" s="44"/>
      <c r="M870" s="44"/>
      <c r="N870" s="44"/>
      <c r="O870" s="44"/>
      <c r="P870" s="44"/>
      <c r="Q870" s="44"/>
      <c r="R870" s="44"/>
      <c r="S870" s="44"/>
      <c r="T870" s="44"/>
      <c r="U870" s="36"/>
    </row>
    <row r="871" spans="1:21" ht="12.75">
      <c r="A871" s="44"/>
      <c r="B871" s="44"/>
      <c r="C871" s="44"/>
      <c r="D871" s="44"/>
      <c r="E871" s="44"/>
      <c r="F871" s="34"/>
      <c r="G871" s="34"/>
      <c r="H871" s="45"/>
      <c r="I871" s="44"/>
      <c r="J871" s="34"/>
      <c r="K871" s="44"/>
      <c r="L871" s="44"/>
      <c r="M871" s="44"/>
      <c r="N871" s="44"/>
      <c r="O871" s="44"/>
      <c r="P871" s="44"/>
      <c r="Q871" s="44"/>
      <c r="R871" s="44"/>
      <c r="S871" s="44"/>
      <c r="T871" s="44"/>
      <c r="U871" s="36"/>
    </row>
    <row r="872" spans="1:21" ht="12.75">
      <c r="A872" s="44"/>
      <c r="B872" s="44"/>
      <c r="C872" s="44"/>
      <c r="D872" s="44"/>
      <c r="E872" s="44"/>
      <c r="F872" s="34"/>
      <c r="G872" s="34"/>
      <c r="H872" s="45"/>
      <c r="I872" s="44"/>
      <c r="J872" s="34"/>
      <c r="K872" s="44"/>
      <c r="L872" s="44"/>
      <c r="M872" s="44"/>
      <c r="N872" s="44"/>
      <c r="O872" s="44"/>
      <c r="P872" s="44"/>
      <c r="Q872" s="44"/>
      <c r="R872" s="44"/>
      <c r="S872" s="44"/>
      <c r="T872" s="44"/>
      <c r="U872" s="36"/>
    </row>
    <row r="873" spans="1:21" ht="12.75">
      <c r="A873" s="44"/>
      <c r="B873" s="44"/>
      <c r="C873" s="44"/>
      <c r="D873" s="44"/>
      <c r="E873" s="44"/>
      <c r="F873" s="34"/>
      <c r="G873" s="34"/>
      <c r="H873" s="45"/>
      <c r="I873" s="44"/>
      <c r="J873" s="34"/>
      <c r="K873" s="44"/>
      <c r="L873" s="44"/>
      <c r="M873" s="44"/>
      <c r="N873" s="44"/>
      <c r="O873" s="44"/>
      <c r="P873" s="44"/>
      <c r="Q873" s="44"/>
      <c r="R873" s="44"/>
      <c r="S873" s="44"/>
      <c r="T873" s="44"/>
      <c r="U873" s="36"/>
    </row>
    <row r="874" spans="1:21" ht="12.75">
      <c r="A874" s="44"/>
      <c r="B874" s="44"/>
      <c r="C874" s="44"/>
      <c r="D874" s="44"/>
      <c r="E874" s="44"/>
      <c r="F874" s="34"/>
      <c r="G874" s="34"/>
      <c r="H874" s="45"/>
      <c r="I874" s="44"/>
      <c r="J874" s="34"/>
      <c r="K874" s="44"/>
      <c r="L874" s="44"/>
      <c r="M874" s="44"/>
      <c r="N874" s="44"/>
      <c r="O874" s="44"/>
      <c r="P874" s="44"/>
      <c r="Q874" s="44"/>
      <c r="R874" s="44"/>
      <c r="S874" s="44"/>
      <c r="T874" s="44"/>
      <c r="U874" s="36"/>
    </row>
    <row r="875" spans="1:21" ht="12.75">
      <c r="A875" s="44"/>
      <c r="B875" s="44"/>
      <c r="C875" s="44"/>
      <c r="D875" s="44"/>
      <c r="E875" s="44"/>
      <c r="F875" s="34"/>
      <c r="G875" s="34"/>
      <c r="H875" s="45"/>
      <c r="I875" s="44"/>
      <c r="J875" s="34"/>
      <c r="K875" s="44"/>
      <c r="L875" s="44"/>
      <c r="M875" s="44"/>
      <c r="N875" s="44"/>
      <c r="O875" s="44"/>
      <c r="P875" s="44"/>
      <c r="Q875" s="44"/>
      <c r="R875" s="44"/>
      <c r="S875" s="44"/>
      <c r="T875" s="44"/>
      <c r="U875" s="36"/>
    </row>
    <row r="876" spans="1:21" ht="12.75">
      <c r="A876" s="44"/>
      <c r="B876" s="44"/>
      <c r="C876" s="44"/>
      <c r="D876" s="44"/>
      <c r="E876" s="44"/>
      <c r="F876" s="34"/>
      <c r="G876" s="34"/>
      <c r="H876" s="45"/>
      <c r="I876" s="44"/>
      <c r="J876" s="34"/>
      <c r="K876" s="44"/>
      <c r="L876" s="44"/>
      <c r="M876" s="44"/>
      <c r="N876" s="44"/>
      <c r="O876" s="44"/>
      <c r="P876" s="44"/>
      <c r="Q876" s="44"/>
      <c r="R876" s="44"/>
      <c r="S876" s="44"/>
      <c r="T876" s="44"/>
      <c r="U876" s="36"/>
    </row>
    <row r="877" spans="1:21" ht="12.75">
      <c r="A877" s="44"/>
      <c r="B877" s="44"/>
      <c r="C877" s="44"/>
      <c r="D877" s="44"/>
      <c r="E877" s="44"/>
      <c r="F877" s="34"/>
      <c r="G877" s="34"/>
      <c r="H877" s="45"/>
      <c r="I877" s="44"/>
      <c r="J877" s="34"/>
      <c r="K877" s="44"/>
      <c r="L877" s="44"/>
      <c r="M877" s="44"/>
      <c r="N877" s="44"/>
      <c r="O877" s="44"/>
      <c r="P877" s="44"/>
      <c r="Q877" s="44"/>
      <c r="R877" s="44"/>
      <c r="S877" s="44"/>
      <c r="T877" s="44"/>
      <c r="U877" s="36"/>
    </row>
    <row r="878" spans="1:21" ht="12.75">
      <c r="A878" s="44"/>
      <c r="B878" s="44"/>
      <c r="C878" s="44"/>
      <c r="D878" s="44"/>
      <c r="E878" s="44"/>
      <c r="F878" s="34"/>
      <c r="G878" s="34"/>
      <c r="H878" s="45"/>
      <c r="I878" s="44"/>
      <c r="J878" s="34"/>
      <c r="K878" s="44"/>
      <c r="L878" s="44"/>
      <c r="M878" s="44"/>
      <c r="N878" s="44"/>
      <c r="O878" s="44"/>
      <c r="P878" s="44"/>
      <c r="Q878" s="44"/>
      <c r="R878" s="44"/>
      <c r="S878" s="44"/>
      <c r="T878" s="44"/>
      <c r="U878" s="36"/>
    </row>
    <row r="879" spans="1:21" ht="12.75">
      <c r="A879" s="44"/>
      <c r="B879" s="44"/>
      <c r="C879" s="44"/>
      <c r="D879" s="44"/>
      <c r="E879" s="44"/>
      <c r="F879" s="34"/>
      <c r="G879" s="34"/>
      <c r="H879" s="45"/>
      <c r="I879" s="44"/>
      <c r="J879" s="34"/>
      <c r="K879" s="44"/>
      <c r="L879" s="44"/>
      <c r="M879" s="44"/>
      <c r="N879" s="44"/>
      <c r="O879" s="44"/>
      <c r="P879" s="44"/>
      <c r="Q879" s="44"/>
      <c r="R879" s="44"/>
      <c r="S879" s="44"/>
      <c r="T879" s="44"/>
      <c r="U879" s="36"/>
    </row>
    <row r="880" spans="1:21" ht="12.75">
      <c r="A880" s="44"/>
      <c r="B880" s="44"/>
      <c r="C880" s="44"/>
      <c r="D880" s="44"/>
      <c r="E880" s="44"/>
      <c r="F880" s="34"/>
      <c r="G880" s="34"/>
      <c r="H880" s="45"/>
      <c r="I880" s="44"/>
      <c r="J880" s="34"/>
      <c r="K880" s="44"/>
      <c r="L880" s="44"/>
      <c r="M880" s="44"/>
      <c r="N880" s="44"/>
      <c r="O880" s="44"/>
      <c r="P880" s="44"/>
      <c r="Q880" s="44"/>
      <c r="R880" s="44"/>
      <c r="S880" s="44"/>
      <c r="T880" s="44"/>
      <c r="U880" s="36"/>
    </row>
    <row r="881" spans="1:21" ht="12.75">
      <c r="A881" s="44"/>
      <c r="B881" s="44"/>
      <c r="C881" s="44"/>
      <c r="D881" s="44"/>
      <c r="E881" s="44"/>
      <c r="F881" s="34"/>
      <c r="G881" s="34"/>
      <c r="H881" s="45"/>
      <c r="I881" s="44"/>
      <c r="J881" s="34"/>
      <c r="K881" s="44"/>
      <c r="L881" s="44"/>
      <c r="M881" s="44"/>
      <c r="N881" s="44"/>
      <c r="O881" s="44"/>
      <c r="P881" s="44"/>
      <c r="Q881" s="44"/>
      <c r="R881" s="44"/>
      <c r="S881" s="44"/>
      <c r="T881" s="44"/>
      <c r="U881" s="36"/>
    </row>
    <row r="882" spans="1:21" ht="12.75">
      <c r="A882" s="44"/>
      <c r="B882" s="44"/>
      <c r="C882" s="44"/>
      <c r="D882" s="44"/>
      <c r="E882" s="44"/>
      <c r="F882" s="34"/>
      <c r="G882" s="34"/>
      <c r="H882" s="45"/>
      <c r="I882" s="44"/>
      <c r="J882" s="34"/>
      <c r="K882" s="44"/>
      <c r="L882" s="44"/>
      <c r="M882" s="44"/>
      <c r="N882" s="44"/>
      <c r="O882" s="44"/>
      <c r="P882" s="44"/>
      <c r="Q882" s="44"/>
      <c r="R882" s="44"/>
      <c r="S882" s="44"/>
      <c r="T882" s="44"/>
      <c r="U882" s="36"/>
    </row>
    <row r="883" spans="1:21" ht="12.75">
      <c r="A883" s="44"/>
      <c r="B883" s="44"/>
      <c r="C883" s="44"/>
      <c r="D883" s="44"/>
      <c r="E883" s="44"/>
      <c r="F883" s="34"/>
      <c r="G883" s="34"/>
      <c r="H883" s="45"/>
      <c r="I883" s="44"/>
      <c r="J883" s="34"/>
      <c r="K883" s="44"/>
      <c r="L883" s="44"/>
      <c r="M883" s="44"/>
      <c r="N883" s="44"/>
      <c r="O883" s="44"/>
      <c r="P883" s="44"/>
      <c r="Q883" s="44"/>
      <c r="R883" s="44"/>
      <c r="S883" s="44"/>
      <c r="T883" s="44"/>
      <c r="U883" s="36"/>
    </row>
    <row r="884" spans="1:21" ht="12.75">
      <c r="A884" s="44"/>
      <c r="B884" s="44"/>
      <c r="C884" s="44"/>
      <c r="D884" s="44"/>
      <c r="E884" s="44"/>
      <c r="F884" s="34"/>
      <c r="G884" s="34"/>
      <c r="H884" s="45"/>
      <c r="I884" s="44"/>
      <c r="J884" s="34"/>
      <c r="K884" s="44"/>
      <c r="L884" s="44"/>
      <c r="M884" s="44"/>
      <c r="N884" s="44"/>
      <c r="O884" s="44"/>
      <c r="P884" s="44"/>
      <c r="Q884" s="44"/>
      <c r="R884" s="44"/>
      <c r="S884" s="44"/>
      <c r="T884" s="44"/>
      <c r="U884" s="36"/>
    </row>
    <row r="885" spans="1:21" ht="12.75">
      <c r="A885" s="44"/>
      <c r="B885" s="44"/>
      <c r="C885" s="44"/>
      <c r="D885" s="44"/>
      <c r="E885" s="44"/>
      <c r="F885" s="34"/>
      <c r="G885" s="34"/>
      <c r="H885" s="45"/>
      <c r="I885" s="44"/>
      <c r="J885" s="34"/>
      <c r="K885" s="44"/>
      <c r="L885" s="44"/>
      <c r="M885" s="44"/>
      <c r="N885" s="44"/>
      <c r="O885" s="44"/>
      <c r="P885" s="44"/>
      <c r="Q885" s="44"/>
      <c r="R885" s="44"/>
      <c r="S885" s="44"/>
      <c r="T885" s="44"/>
      <c r="U885" s="36"/>
    </row>
    <row r="886" spans="1:21" ht="12.75">
      <c r="A886" s="44"/>
      <c r="B886" s="44"/>
      <c r="C886" s="44"/>
      <c r="D886" s="44"/>
      <c r="E886" s="44"/>
      <c r="F886" s="34"/>
      <c r="G886" s="34"/>
      <c r="H886" s="45"/>
      <c r="I886" s="44"/>
      <c r="J886" s="34"/>
      <c r="K886" s="44"/>
      <c r="L886" s="44"/>
      <c r="M886" s="44"/>
      <c r="N886" s="44"/>
      <c r="O886" s="44"/>
      <c r="P886" s="44"/>
      <c r="Q886" s="44"/>
      <c r="R886" s="44"/>
      <c r="S886" s="44"/>
      <c r="T886" s="44"/>
      <c r="U886" s="36"/>
    </row>
    <row r="887" spans="1:21" ht="12.75">
      <c r="A887" s="44"/>
      <c r="B887" s="44"/>
      <c r="C887" s="44"/>
      <c r="D887" s="44"/>
      <c r="E887" s="44"/>
      <c r="F887" s="34"/>
      <c r="G887" s="34"/>
      <c r="H887" s="45"/>
      <c r="I887" s="44"/>
      <c r="J887" s="34"/>
      <c r="K887" s="44"/>
      <c r="L887" s="44"/>
      <c r="M887" s="44"/>
      <c r="N887" s="44"/>
      <c r="O887" s="44"/>
      <c r="P887" s="44"/>
      <c r="Q887" s="44"/>
      <c r="R887" s="44"/>
      <c r="S887" s="44"/>
      <c r="T887" s="44"/>
      <c r="U887" s="36"/>
    </row>
    <row r="888" spans="1:21" ht="12.75">
      <c r="A888" s="44"/>
      <c r="B888" s="44"/>
      <c r="C888" s="44"/>
      <c r="D888" s="44"/>
      <c r="E888" s="44"/>
      <c r="F888" s="34"/>
      <c r="G888" s="34"/>
      <c r="H888" s="45"/>
      <c r="I888" s="44"/>
      <c r="J888" s="34"/>
      <c r="K888" s="44"/>
      <c r="L888" s="44"/>
      <c r="M888" s="44"/>
      <c r="N888" s="44"/>
      <c r="O888" s="44"/>
      <c r="P888" s="44"/>
      <c r="Q888" s="44"/>
      <c r="R888" s="44"/>
      <c r="S888" s="44"/>
      <c r="T888" s="44"/>
      <c r="U888" s="36"/>
    </row>
    <row r="889" spans="1:21" ht="12.75">
      <c r="A889" s="44"/>
      <c r="B889" s="44"/>
      <c r="C889" s="44"/>
      <c r="D889" s="44"/>
      <c r="E889" s="44"/>
      <c r="F889" s="34"/>
      <c r="G889" s="34"/>
      <c r="H889" s="45"/>
      <c r="I889" s="44"/>
      <c r="J889" s="34"/>
      <c r="K889" s="44"/>
      <c r="L889" s="44"/>
      <c r="M889" s="44"/>
      <c r="N889" s="44"/>
      <c r="O889" s="44"/>
      <c r="P889" s="44"/>
      <c r="Q889" s="44"/>
      <c r="R889" s="44"/>
      <c r="S889" s="44"/>
      <c r="T889" s="44"/>
      <c r="U889" s="36"/>
    </row>
    <row r="890" spans="1:21" ht="12.75">
      <c r="A890" s="44"/>
      <c r="B890" s="44"/>
      <c r="C890" s="44"/>
      <c r="D890" s="44"/>
      <c r="E890" s="44"/>
      <c r="F890" s="34"/>
      <c r="G890" s="34"/>
      <c r="H890" s="45"/>
      <c r="I890" s="44"/>
      <c r="J890" s="34"/>
      <c r="K890" s="44"/>
      <c r="L890" s="44"/>
      <c r="M890" s="44"/>
      <c r="N890" s="44"/>
      <c r="O890" s="44"/>
      <c r="P890" s="44"/>
      <c r="Q890" s="44"/>
      <c r="R890" s="44"/>
      <c r="S890" s="44"/>
      <c r="T890" s="44"/>
      <c r="U890" s="36"/>
    </row>
    <row r="891" spans="1:21" ht="12.75">
      <c r="A891" s="44"/>
      <c r="B891" s="44"/>
      <c r="C891" s="44"/>
      <c r="D891" s="44"/>
      <c r="E891" s="44"/>
      <c r="F891" s="34"/>
      <c r="G891" s="34"/>
      <c r="H891" s="45"/>
      <c r="I891" s="44"/>
      <c r="J891" s="34"/>
      <c r="K891" s="44"/>
      <c r="L891" s="44"/>
      <c r="M891" s="44"/>
      <c r="N891" s="44"/>
      <c r="O891" s="44"/>
      <c r="P891" s="44"/>
      <c r="Q891" s="44"/>
      <c r="R891" s="44"/>
      <c r="S891" s="44"/>
      <c r="T891" s="44"/>
      <c r="U891" s="36"/>
    </row>
    <row r="892" spans="1:21" ht="12.75">
      <c r="A892" s="44"/>
      <c r="B892" s="44"/>
      <c r="C892" s="44"/>
      <c r="D892" s="44"/>
      <c r="E892" s="44"/>
      <c r="F892" s="34"/>
      <c r="G892" s="34"/>
      <c r="H892" s="45"/>
      <c r="I892" s="44"/>
      <c r="J892" s="34"/>
      <c r="K892" s="44"/>
      <c r="L892" s="44"/>
      <c r="M892" s="44"/>
      <c r="N892" s="44"/>
      <c r="O892" s="44"/>
      <c r="P892" s="44"/>
      <c r="Q892" s="44"/>
      <c r="R892" s="44"/>
      <c r="S892" s="44"/>
      <c r="T892" s="44"/>
      <c r="U892" s="36"/>
    </row>
    <row r="893" spans="1:21" ht="12.75">
      <c r="A893" s="44"/>
      <c r="B893" s="44"/>
      <c r="C893" s="44"/>
      <c r="D893" s="44"/>
      <c r="E893" s="44"/>
      <c r="F893" s="34"/>
      <c r="G893" s="34"/>
      <c r="H893" s="45"/>
      <c r="I893" s="44"/>
      <c r="J893" s="34"/>
      <c r="K893" s="44"/>
      <c r="L893" s="44"/>
      <c r="M893" s="44"/>
      <c r="N893" s="44"/>
      <c r="O893" s="44"/>
      <c r="P893" s="44"/>
      <c r="Q893" s="44"/>
      <c r="R893" s="44"/>
      <c r="S893" s="44"/>
      <c r="T893" s="44"/>
      <c r="U893" s="36"/>
    </row>
    <row r="894" spans="1:21" ht="12.75">
      <c r="A894" s="44"/>
      <c r="B894" s="44"/>
      <c r="C894" s="44"/>
      <c r="D894" s="44"/>
      <c r="E894" s="44"/>
      <c r="F894" s="34"/>
      <c r="G894" s="34"/>
      <c r="H894" s="45"/>
      <c r="I894" s="44"/>
      <c r="J894" s="34"/>
      <c r="K894" s="44"/>
      <c r="L894" s="44"/>
      <c r="M894" s="44"/>
      <c r="N894" s="44"/>
      <c r="O894" s="44"/>
      <c r="P894" s="44"/>
      <c r="Q894" s="44"/>
      <c r="R894" s="44"/>
      <c r="S894" s="44"/>
      <c r="T894" s="44"/>
      <c r="U894" s="36"/>
    </row>
    <row r="895" spans="1:21" ht="12.75">
      <c r="A895" s="44"/>
      <c r="B895" s="44"/>
      <c r="C895" s="44"/>
      <c r="D895" s="44"/>
      <c r="E895" s="44"/>
      <c r="F895" s="34"/>
      <c r="G895" s="34"/>
      <c r="H895" s="45"/>
      <c r="I895" s="44"/>
      <c r="J895" s="34"/>
      <c r="K895" s="44"/>
      <c r="L895" s="44"/>
      <c r="M895" s="44"/>
      <c r="N895" s="44"/>
      <c r="O895" s="44"/>
      <c r="P895" s="44"/>
      <c r="Q895" s="44"/>
      <c r="R895" s="44"/>
      <c r="S895" s="44"/>
      <c r="T895" s="44"/>
      <c r="U895" s="36"/>
    </row>
    <row r="896" spans="1:21" ht="12.75">
      <c r="A896" s="44"/>
      <c r="B896" s="44"/>
      <c r="C896" s="44"/>
      <c r="D896" s="44"/>
      <c r="E896" s="44"/>
      <c r="F896" s="34"/>
      <c r="G896" s="34"/>
      <c r="H896" s="45"/>
      <c r="I896" s="44"/>
      <c r="J896" s="34"/>
      <c r="K896" s="44"/>
      <c r="L896" s="44"/>
      <c r="M896" s="44"/>
      <c r="N896" s="44"/>
      <c r="O896" s="44"/>
      <c r="P896" s="44"/>
      <c r="Q896" s="44"/>
      <c r="R896" s="44"/>
      <c r="S896" s="44"/>
      <c r="T896" s="44"/>
      <c r="U896" s="36"/>
    </row>
    <row r="897" spans="1:21" ht="12.75">
      <c r="A897" s="44"/>
      <c r="B897" s="44"/>
      <c r="C897" s="44"/>
      <c r="D897" s="44"/>
      <c r="E897" s="44"/>
      <c r="F897" s="34"/>
      <c r="G897" s="34"/>
      <c r="H897" s="45"/>
      <c r="I897" s="44"/>
      <c r="J897" s="34"/>
      <c r="K897" s="44"/>
      <c r="L897" s="44"/>
      <c r="M897" s="44"/>
      <c r="N897" s="44"/>
      <c r="O897" s="44"/>
      <c r="P897" s="44"/>
      <c r="Q897" s="44"/>
      <c r="R897" s="44"/>
      <c r="S897" s="44"/>
      <c r="T897" s="44"/>
      <c r="U897" s="36"/>
    </row>
    <row r="898" spans="1:21" ht="12.75">
      <c r="A898" s="44"/>
      <c r="B898" s="44"/>
      <c r="C898" s="44"/>
      <c r="D898" s="44"/>
      <c r="E898" s="44"/>
      <c r="F898" s="34"/>
      <c r="G898" s="34"/>
      <c r="H898" s="45"/>
      <c r="I898" s="44"/>
      <c r="J898" s="34"/>
      <c r="K898" s="44"/>
      <c r="L898" s="44"/>
      <c r="M898" s="44"/>
      <c r="N898" s="44"/>
      <c r="O898" s="44"/>
      <c r="P898" s="44"/>
      <c r="Q898" s="44"/>
      <c r="R898" s="44"/>
      <c r="S898" s="44"/>
      <c r="T898" s="44"/>
      <c r="U898" s="36"/>
    </row>
    <row r="899" spans="1:21" ht="12.75">
      <c r="A899" s="44"/>
      <c r="B899" s="44"/>
      <c r="C899" s="44"/>
      <c r="D899" s="44"/>
      <c r="E899" s="44"/>
      <c r="F899" s="34"/>
      <c r="G899" s="34"/>
      <c r="H899" s="45"/>
      <c r="I899" s="44"/>
      <c r="J899" s="34"/>
      <c r="K899" s="44"/>
      <c r="L899" s="44"/>
      <c r="M899" s="44"/>
      <c r="N899" s="44"/>
      <c r="O899" s="44"/>
      <c r="P899" s="44"/>
      <c r="Q899" s="44"/>
      <c r="R899" s="44"/>
      <c r="S899" s="44"/>
      <c r="T899" s="44"/>
      <c r="U899" s="36"/>
    </row>
    <row r="900" spans="1:21" ht="12.75">
      <c r="A900" s="44"/>
      <c r="B900" s="44"/>
      <c r="C900" s="44"/>
      <c r="D900" s="44"/>
      <c r="E900" s="44"/>
      <c r="F900" s="34"/>
      <c r="G900" s="34"/>
      <c r="H900" s="45"/>
      <c r="I900" s="44"/>
      <c r="J900" s="34"/>
      <c r="K900" s="44"/>
      <c r="L900" s="44"/>
      <c r="M900" s="44"/>
      <c r="N900" s="44"/>
      <c r="O900" s="44"/>
      <c r="P900" s="44"/>
      <c r="Q900" s="44"/>
      <c r="R900" s="44"/>
      <c r="S900" s="44"/>
      <c r="T900" s="44"/>
      <c r="U900" s="36"/>
    </row>
    <row r="901" spans="1:21" ht="12.75">
      <c r="A901" s="44"/>
      <c r="B901" s="44"/>
      <c r="C901" s="44"/>
      <c r="D901" s="44"/>
      <c r="E901" s="44"/>
      <c r="F901" s="34"/>
      <c r="G901" s="34"/>
      <c r="H901" s="45"/>
      <c r="I901" s="44"/>
      <c r="J901" s="34"/>
      <c r="K901" s="44"/>
      <c r="L901" s="44"/>
      <c r="M901" s="44"/>
      <c r="N901" s="44"/>
      <c r="O901" s="44"/>
      <c r="P901" s="44"/>
      <c r="Q901" s="44"/>
      <c r="R901" s="44"/>
      <c r="S901" s="44"/>
      <c r="T901" s="44"/>
      <c r="U901" s="36"/>
    </row>
    <row r="902" spans="1:21" ht="12.75">
      <c r="A902" s="44"/>
      <c r="B902" s="44"/>
      <c r="C902" s="44"/>
      <c r="D902" s="44"/>
      <c r="E902" s="44"/>
      <c r="F902" s="34"/>
      <c r="G902" s="34"/>
      <c r="H902" s="45"/>
      <c r="I902" s="44"/>
      <c r="J902" s="34"/>
      <c r="K902" s="44"/>
      <c r="L902" s="44"/>
      <c r="M902" s="44"/>
      <c r="N902" s="44"/>
      <c r="O902" s="44"/>
      <c r="P902" s="44"/>
      <c r="Q902" s="44"/>
      <c r="R902" s="44"/>
      <c r="S902" s="44"/>
      <c r="T902" s="44"/>
      <c r="U902" s="36"/>
    </row>
    <row r="903" spans="1:21" ht="12.75">
      <c r="A903" s="44"/>
      <c r="B903" s="44"/>
      <c r="C903" s="44"/>
      <c r="D903" s="44"/>
      <c r="E903" s="44"/>
      <c r="F903" s="34"/>
      <c r="G903" s="34"/>
      <c r="H903" s="45"/>
      <c r="I903" s="44"/>
      <c r="J903" s="34"/>
      <c r="K903" s="44"/>
      <c r="L903" s="44"/>
      <c r="M903" s="44"/>
      <c r="N903" s="44"/>
      <c r="O903" s="44"/>
      <c r="P903" s="44"/>
      <c r="Q903" s="44"/>
      <c r="R903" s="44"/>
      <c r="S903" s="44"/>
      <c r="T903" s="44"/>
      <c r="U903" s="36"/>
    </row>
    <row r="904" spans="1:21" ht="12.75">
      <c r="A904" s="44"/>
      <c r="B904" s="44"/>
      <c r="C904" s="44"/>
      <c r="D904" s="44"/>
      <c r="E904" s="44"/>
      <c r="F904" s="34"/>
      <c r="G904" s="34"/>
      <c r="H904" s="45"/>
      <c r="I904" s="44"/>
      <c r="J904" s="34"/>
      <c r="K904" s="44"/>
      <c r="L904" s="44"/>
      <c r="M904" s="44"/>
      <c r="N904" s="44"/>
      <c r="O904" s="44"/>
      <c r="P904" s="44"/>
      <c r="Q904" s="44"/>
      <c r="R904" s="44"/>
      <c r="S904" s="44"/>
      <c r="T904" s="44"/>
      <c r="U904" s="36"/>
    </row>
    <row r="905" spans="1:21" ht="12.75">
      <c r="A905" s="44"/>
      <c r="B905" s="44"/>
      <c r="C905" s="44"/>
      <c r="D905" s="44"/>
      <c r="E905" s="44"/>
      <c r="F905" s="34"/>
      <c r="G905" s="34"/>
      <c r="H905" s="45"/>
      <c r="I905" s="44"/>
      <c r="J905" s="34"/>
      <c r="K905" s="44"/>
      <c r="L905" s="44"/>
      <c r="M905" s="44"/>
      <c r="N905" s="44"/>
      <c r="O905" s="44"/>
      <c r="P905" s="44"/>
      <c r="Q905" s="44"/>
      <c r="R905" s="44"/>
      <c r="S905" s="44"/>
      <c r="T905" s="44"/>
      <c r="U905" s="36"/>
    </row>
    <row r="906" spans="1:21" ht="12.75">
      <c r="A906" s="44"/>
      <c r="B906" s="44"/>
      <c r="C906" s="44"/>
      <c r="D906" s="44"/>
      <c r="E906" s="44"/>
      <c r="F906" s="34"/>
      <c r="G906" s="34"/>
      <c r="H906" s="45"/>
      <c r="I906" s="44"/>
      <c r="J906" s="34"/>
      <c r="K906" s="44"/>
      <c r="L906" s="44"/>
      <c r="M906" s="44"/>
      <c r="N906" s="44"/>
      <c r="O906" s="44"/>
      <c r="P906" s="44"/>
      <c r="Q906" s="44"/>
      <c r="R906" s="44"/>
      <c r="S906" s="44"/>
      <c r="T906" s="44"/>
      <c r="U906" s="36"/>
    </row>
    <row r="907" spans="1:21" ht="12.75">
      <c r="A907" s="44"/>
      <c r="B907" s="44"/>
      <c r="C907" s="44"/>
      <c r="D907" s="44"/>
      <c r="E907" s="44"/>
      <c r="F907" s="34"/>
      <c r="G907" s="34"/>
      <c r="H907" s="45"/>
      <c r="I907" s="44"/>
      <c r="J907" s="34"/>
      <c r="K907" s="44"/>
      <c r="L907" s="44"/>
      <c r="M907" s="44"/>
      <c r="N907" s="44"/>
      <c r="O907" s="44"/>
      <c r="P907" s="44"/>
      <c r="Q907" s="44"/>
      <c r="R907" s="44"/>
      <c r="S907" s="44"/>
      <c r="T907" s="44"/>
      <c r="U907" s="36"/>
    </row>
    <row r="908" spans="1:21" ht="12.75">
      <c r="A908" s="44"/>
      <c r="B908" s="44"/>
      <c r="C908" s="44"/>
      <c r="D908" s="44"/>
      <c r="E908" s="44"/>
      <c r="F908" s="34"/>
      <c r="G908" s="34"/>
      <c r="H908" s="45"/>
      <c r="I908" s="44"/>
      <c r="J908" s="34"/>
      <c r="K908" s="44"/>
      <c r="L908" s="44"/>
      <c r="M908" s="44"/>
      <c r="N908" s="44"/>
      <c r="O908" s="44"/>
      <c r="P908" s="44"/>
      <c r="Q908" s="44"/>
      <c r="R908" s="44"/>
      <c r="S908" s="44"/>
      <c r="T908" s="44"/>
      <c r="U908" s="36"/>
    </row>
    <row r="909" spans="1:21" ht="12.75">
      <c r="A909" s="44"/>
      <c r="B909" s="44"/>
      <c r="C909" s="44"/>
      <c r="D909" s="44"/>
      <c r="E909" s="44"/>
      <c r="F909" s="34"/>
      <c r="G909" s="34"/>
      <c r="H909" s="45"/>
      <c r="I909" s="44"/>
      <c r="J909" s="34"/>
      <c r="K909" s="44"/>
      <c r="L909" s="44"/>
      <c r="M909" s="44"/>
      <c r="N909" s="44"/>
      <c r="O909" s="44"/>
      <c r="P909" s="44"/>
      <c r="Q909" s="44"/>
      <c r="R909" s="44"/>
      <c r="S909" s="44"/>
      <c r="T909" s="44"/>
      <c r="U909" s="36"/>
    </row>
    <row r="910" spans="1:21" ht="12.75">
      <c r="A910" s="44"/>
      <c r="B910" s="44"/>
      <c r="C910" s="44"/>
      <c r="D910" s="44"/>
      <c r="E910" s="44"/>
      <c r="F910" s="34"/>
      <c r="G910" s="34"/>
      <c r="H910" s="45"/>
      <c r="I910" s="44"/>
      <c r="J910" s="34"/>
      <c r="K910" s="44"/>
      <c r="L910" s="44"/>
      <c r="M910" s="44"/>
      <c r="N910" s="44"/>
      <c r="O910" s="44"/>
      <c r="P910" s="44"/>
      <c r="Q910" s="44"/>
      <c r="R910" s="44"/>
      <c r="S910" s="44"/>
      <c r="T910" s="44"/>
      <c r="U910" s="36"/>
    </row>
    <row r="911" spans="1:21" ht="12.75">
      <c r="A911" s="44"/>
      <c r="B911" s="44"/>
      <c r="C911" s="44"/>
      <c r="D911" s="44"/>
      <c r="E911" s="44"/>
      <c r="F911" s="34"/>
      <c r="G911" s="34"/>
      <c r="H911" s="45"/>
      <c r="I911" s="44"/>
      <c r="J911" s="34"/>
      <c r="K911" s="44"/>
      <c r="L911" s="44"/>
      <c r="M911" s="44"/>
      <c r="N911" s="44"/>
      <c r="O911" s="44"/>
      <c r="P911" s="44"/>
      <c r="Q911" s="44"/>
      <c r="R911" s="44"/>
      <c r="S911" s="44"/>
      <c r="T911" s="44"/>
      <c r="U911" s="36"/>
    </row>
    <row r="912" spans="1:21" ht="12.75">
      <c r="A912" s="44"/>
      <c r="B912" s="44"/>
      <c r="C912" s="44"/>
      <c r="D912" s="44"/>
      <c r="E912" s="44"/>
      <c r="F912" s="34"/>
      <c r="G912" s="34"/>
      <c r="H912" s="45"/>
      <c r="I912" s="44"/>
      <c r="J912" s="34"/>
      <c r="K912" s="44"/>
      <c r="L912" s="44"/>
      <c r="M912" s="44"/>
      <c r="N912" s="44"/>
      <c r="O912" s="44"/>
      <c r="P912" s="44"/>
      <c r="Q912" s="44"/>
      <c r="R912" s="44"/>
      <c r="S912" s="44"/>
      <c r="T912" s="44"/>
      <c r="U912" s="36"/>
    </row>
    <row r="913" spans="1:21" ht="12.75">
      <c r="A913" s="44"/>
      <c r="B913" s="44"/>
      <c r="C913" s="44"/>
      <c r="D913" s="44"/>
      <c r="E913" s="44"/>
      <c r="F913" s="34"/>
      <c r="G913" s="34"/>
      <c r="H913" s="45"/>
      <c r="I913" s="44"/>
      <c r="J913" s="34"/>
      <c r="K913" s="44"/>
      <c r="L913" s="44"/>
      <c r="M913" s="44"/>
      <c r="N913" s="44"/>
      <c r="O913" s="44"/>
      <c r="P913" s="44"/>
      <c r="Q913" s="44"/>
      <c r="R913" s="44"/>
      <c r="S913" s="44"/>
      <c r="T913" s="44"/>
      <c r="U913" s="36"/>
    </row>
    <row r="914" spans="1:21" ht="12.75">
      <c r="A914" s="44"/>
      <c r="B914" s="44"/>
      <c r="C914" s="44"/>
      <c r="D914" s="44"/>
      <c r="E914" s="44"/>
      <c r="F914" s="34"/>
      <c r="G914" s="34"/>
      <c r="H914" s="45"/>
      <c r="I914" s="44"/>
      <c r="J914" s="34"/>
      <c r="K914" s="44"/>
      <c r="L914" s="44"/>
      <c r="M914" s="44"/>
      <c r="N914" s="44"/>
      <c r="O914" s="44"/>
      <c r="P914" s="44"/>
      <c r="Q914" s="44"/>
      <c r="R914" s="44"/>
      <c r="S914" s="44"/>
      <c r="T914" s="44"/>
      <c r="U914" s="36"/>
    </row>
    <row r="915" spans="1:21" ht="12.75">
      <c r="A915" s="44"/>
      <c r="B915" s="44"/>
      <c r="C915" s="44"/>
      <c r="D915" s="44"/>
      <c r="E915" s="44"/>
      <c r="F915" s="34"/>
      <c r="G915" s="34"/>
      <c r="H915" s="45"/>
      <c r="I915" s="44"/>
      <c r="J915" s="34"/>
      <c r="K915" s="44"/>
      <c r="L915" s="44"/>
      <c r="M915" s="44"/>
      <c r="N915" s="44"/>
      <c r="O915" s="44"/>
      <c r="P915" s="44"/>
      <c r="Q915" s="44"/>
      <c r="R915" s="44"/>
      <c r="S915" s="44"/>
      <c r="T915" s="44"/>
      <c r="U915" s="36"/>
    </row>
    <row r="916" spans="1:21" ht="12.75">
      <c r="A916" s="44"/>
      <c r="B916" s="44"/>
      <c r="C916" s="44"/>
      <c r="D916" s="44"/>
      <c r="E916" s="44"/>
      <c r="F916" s="34"/>
      <c r="G916" s="34"/>
      <c r="H916" s="45"/>
      <c r="I916" s="44"/>
      <c r="J916" s="34"/>
      <c r="K916" s="44"/>
      <c r="L916" s="44"/>
      <c r="M916" s="44"/>
      <c r="N916" s="44"/>
      <c r="O916" s="44"/>
      <c r="P916" s="44"/>
      <c r="Q916" s="44"/>
      <c r="R916" s="44"/>
      <c r="S916" s="44"/>
      <c r="T916" s="44"/>
      <c r="U916" s="36"/>
    </row>
    <row r="917" spans="1:21" ht="12.75">
      <c r="A917" s="44"/>
      <c r="B917" s="44"/>
      <c r="C917" s="44"/>
      <c r="D917" s="44"/>
      <c r="E917" s="44"/>
      <c r="F917" s="34"/>
      <c r="G917" s="34"/>
      <c r="H917" s="45"/>
      <c r="I917" s="44"/>
      <c r="J917" s="34"/>
      <c r="K917" s="44"/>
      <c r="L917" s="44"/>
      <c r="M917" s="44"/>
      <c r="N917" s="44"/>
      <c r="O917" s="44"/>
      <c r="P917" s="44"/>
      <c r="Q917" s="44"/>
      <c r="R917" s="44"/>
      <c r="S917" s="44"/>
      <c r="T917" s="44"/>
      <c r="U917" s="36"/>
    </row>
    <row r="918" spans="1:21" ht="12.75">
      <c r="A918" s="44"/>
      <c r="B918" s="44"/>
      <c r="C918" s="44"/>
      <c r="D918" s="44"/>
      <c r="E918" s="44"/>
      <c r="F918" s="34"/>
      <c r="G918" s="34"/>
      <c r="H918" s="45"/>
      <c r="I918" s="44"/>
      <c r="J918" s="34"/>
      <c r="K918" s="44"/>
      <c r="L918" s="44"/>
      <c r="M918" s="44"/>
      <c r="N918" s="44"/>
      <c r="O918" s="44"/>
      <c r="P918" s="44"/>
      <c r="Q918" s="44"/>
      <c r="R918" s="44"/>
      <c r="S918" s="44"/>
      <c r="T918" s="44"/>
      <c r="U918" s="36"/>
    </row>
    <row r="919" spans="1:21" ht="12.75">
      <c r="A919" s="44"/>
      <c r="B919" s="44"/>
      <c r="C919" s="44"/>
      <c r="D919" s="44"/>
      <c r="E919" s="44"/>
      <c r="F919" s="34"/>
      <c r="G919" s="34"/>
      <c r="H919" s="45"/>
      <c r="I919" s="44"/>
      <c r="J919" s="34"/>
      <c r="K919" s="44"/>
      <c r="L919" s="44"/>
      <c r="M919" s="44"/>
      <c r="N919" s="44"/>
      <c r="O919" s="44"/>
      <c r="P919" s="44"/>
      <c r="Q919" s="44"/>
      <c r="R919" s="44"/>
      <c r="S919" s="44"/>
      <c r="T919" s="44"/>
      <c r="U919" s="36"/>
    </row>
    <row r="920" spans="1:21" ht="12.75">
      <c r="A920" s="44"/>
      <c r="B920" s="44"/>
      <c r="C920" s="44"/>
      <c r="D920" s="44"/>
      <c r="E920" s="44"/>
      <c r="F920" s="34"/>
      <c r="G920" s="34"/>
      <c r="H920" s="45"/>
      <c r="I920" s="44"/>
      <c r="J920" s="34"/>
      <c r="K920" s="44"/>
      <c r="L920" s="44"/>
      <c r="M920" s="44"/>
      <c r="N920" s="44"/>
      <c r="O920" s="44"/>
      <c r="P920" s="44"/>
      <c r="Q920" s="44"/>
      <c r="R920" s="44"/>
      <c r="S920" s="44"/>
      <c r="T920" s="44"/>
      <c r="U920" s="36"/>
    </row>
    <row r="921" spans="1:21" ht="12.75">
      <c r="A921" s="44"/>
      <c r="B921" s="44"/>
      <c r="C921" s="44"/>
      <c r="D921" s="44"/>
      <c r="E921" s="44"/>
      <c r="F921" s="34"/>
      <c r="G921" s="34"/>
      <c r="H921" s="45"/>
      <c r="I921" s="44"/>
      <c r="J921" s="34"/>
      <c r="K921" s="44"/>
      <c r="L921" s="44"/>
      <c r="M921" s="44"/>
      <c r="N921" s="44"/>
      <c r="O921" s="44"/>
      <c r="P921" s="44"/>
      <c r="Q921" s="44"/>
      <c r="R921" s="44"/>
      <c r="S921" s="44"/>
      <c r="T921" s="44"/>
      <c r="U921" s="36"/>
    </row>
    <row r="922" spans="1:21" ht="12.75">
      <c r="A922" s="44"/>
      <c r="B922" s="44"/>
      <c r="C922" s="44"/>
      <c r="D922" s="44"/>
      <c r="E922" s="44"/>
      <c r="F922" s="34"/>
      <c r="G922" s="34"/>
      <c r="H922" s="45"/>
      <c r="I922" s="44"/>
      <c r="J922" s="34"/>
      <c r="K922" s="44"/>
      <c r="L922" s="44"/>
      <c r="M922" s="44"/>
      <c r="N922" s="44"/>
      <c r="O922" s="44"/>
      <c r="P922" s="44"/>
      <c r="Q922" s="44"/>
      <c r="R922" s="44"/>
      <c r="S922" s="44"/>
      <c r="T922" s="44"/>
      <c r="U922" s="36"/>
    </row>
    <row r="923" spans="1:21" ht="12.75">
      <c r="A923" s="44"/>
      <c r="B923" s="44"/>
      <c r="C923" s="44"/>
      <c r="D923" s="44"/>
      <c r="E923" s="44"/>
      <c r="F923" s="34"/>
      <c r="G923" s="34"/>
      <c r="H923" s="45"/>
      <c r="I923" s="44"/>
      <c r="J923" s="34"/>
      <c r="K923" s="44"/>
      <c r="L923" s="44"/>
      <c r="M923" s="44"/>
      <c r="N923" s="44"/>
      <c r="O923" s="44"/>
      <c r="P923" s="44"/>
      <c r="Q923" s="44"/>
      <c r="R923" s="44"/>
      <c r="S923" s="44"/>
      <c r="T923" s="44"/>
      <c r="U923" s="36"/>
    </row>
    <row r="924" spans="1:21" ht="12.75">
      <c r="A924" s="44"/>
      <c r="B924" s="44"/>
      <c r="C924" s="44"/>
      <c r="D924" s="44"/>
      <c r="E924" s="44"/>
      <c r="F924" s="34"/>
      <c r="G924" s="34"/>
      <c r="H924" s="45"/>
      <c r="I924" s="44"/>
      <c r="J924" s="34"/>
      <c r="K924" s="44"/>
      <c r="L924" s="44"/>
      <c r="M924" s="44"/>
      <c r="N924" s="44"/>
      <c r="O924" s="44"/>
      <c r="P924" s="44"/>
      <c r="Q924" s="44"/>
      <c r="R924" s="44"/>
      <c r="S924" s="44"/>
      <c r="T924" s="44"/>
      <c r="U924" s="36"/>
    </row>
    <row r="925" spans="1:21" ht="12.75">
      <c r="A925" s="44"/>
      <c r="B925" s="44"/>
      <c r="C925" s="44"/>
      <c r="D925" s="44"/>
      <c r="E925" s="44"/>
      <c r="F925" s="34"/>
      <c r="G925" s="34"/>
      <c r="H925" s="45"/>
      <c r="I925" s="44"/>
      <c r="J925" s="34"/>
      <c r="K925" s="44"/>
      <c r="L925" s="44"/>
      <c r="M925" s="44"/>
      <c r="N925" s="44"/>
      <c r="O925" s="44"/>
      <c r="P925" s="44"/>
      <c r="Q925" s="44"/>
      <c r="R925" s="44"/>
      <c r="S925" s="44"/>
      <c r="T925" s="44"/>
      <c r="U925" s="36"/>
    </row>
    <row r="926" spans="1:21" ht="12.75">
      <c r="A926" s="44"/>
      <c r="B926" s="44"/>
      <c r="C926" s="44"/>
      <c r="D926" s="44"/>
      <c r="E926" s="44"/>
      <c r="F926" s="34"/>
      <c r="G926" s="34"/>
      <c r="H926" s="45"/>
      <c r="I926" s="44"/>
      <c r="J926" s="34"/>
      <c r="K926" s="44"/>
      <c r="L926" s="44"/>
      <c r="M926" s="44"/>
      <c r="N926" s="44"/>
      <c r="O926" s="44"/>
      <c r="P926" s="44"/>
      <c r="Q926" s="44"/>
      <c r="R926" s="44"/>
      <c r="S926" s="44"/>
      <c r="T926" s="44"/>
      <c r="U926" s="36"/>
    </row>
    <row r="927" spans="1:21" ht="12.75">
      <c r="A927" s="44"/>
      <c r="B927" s="44"/>
      <c r="C927" s="44"/>
      <c r="D927" s="44"/>
      <c r="E927" s="44"/>
      <c r="F927" s="34"/>
      <c r="G927" s="34"/>
      <c r="H927" s="45"/>
      <c r="I927" s="44"/>
      <c r="J927" s="34"/>
      <c r="K927" s="44"/>
      <c r="L927" s="44"/>
      <c r="M927" s="44"/>
      <c r="N927" s="44"/>
      <c r="O927" s="44"/>
      <c r="P927" s="44"/>
      <c r="Q927" s="44"/>
      <c r="R927" s="44"/>
      <c r="S927" s="44"/>
      <c r="T927" s="44"/>
      <c r="U927" s="36"/>
    </row>
    <row r="928" spans="1:21" ht="12.75">
      <c r="A928" s="44"/>
      <c r="B928" s="44"/>
      <c r="C928" s="44"/>
      <c r="D928" s="44"/>
      <c r="E928" s="44"/>
      <c r="F928" s="34"/>
      <c r="G928" s="34"/>
      <c r="H928" s="45"/>
      <c r="I928" s="44"/>
      <c r="J928" s="34"/>
      <c r="K928" s="44"/>
      <c r="L928" s="44"/>
      <c r="M928" s="44"/>
      <c r="N928" s="44"/>
      <c r="O928" s="44"/>
      <c r="P928" s="44"/>
      <c r="Q928" s="44"/>
      <c r="R928" s="44"/>
      <c r="S928" s="44"/>
      <c r="T928" s="44"/>
      <c r="U928" s="36"/>
    </row>
    <row r="929" spans="1:21" ht="12.75">
      <c r="A929" s="44"/>
      <c r="B929" s="44"/>
      <c r="C929" s="44"/>
      <c r="D929" s="44"/>
      <c r="E929" s="44"/>
      <c r="F929" s="34"/>
      <c r="G929" s="34"/>
      <c r="H929" s="45"/>
      <c r="I929" s="44"/>
      <c r="J929" s="34"/>
      <c r="K929" s="44"/>
      <c r="L929" s="44"/>
      <c r="M929" s="44"/>
      <c r="N929" s="44"/>
      <c r="O929" s="44"/>
      <c r="P929" s="44"/>
      <c r="Q929" s="44"/>
      <c r="R929" s="44"/>
      <c r="S929" s="44"/>
      <c r="T929" s="44"/>
      <c r="U929" s="36"/>
    </row>
    <row r="930" spans="1:21" ht="12.75">
      <c r="A930" s="44"/>
      <c r="B930" s="44"/>
      <c r="C930" s="44"/>
      <c r="D930" s="44"/>
      <c r="E930" s="44"/>
      <c r="F930" s="34"/>
      <c r="G930" s="34"/>
      <c r="H930" s="45"/>
      <c r="I930" s="44"/>
      <c r="J930" s="34"/>
      <c r="K930" s="44"/>
      <c r="L930" s="44"/>
      <c r="M930" s="44"/>
      <c r="N930" s="44"/>
      <c r="O930" s="44"/>
      <c r="P930" s="44"/>
      <c r="Q930" s="44"/>
      <c r="R930" s="44"/>
      <c r="S930" s="44"/>
      <c r="T930" s="44"/>
      <c r="U930" s="36"/>
    </row>
    <row r="931" spans="1:21" ht="12.75">
      <c r="A931" s="44"/>
      <c r="B931" s="44"/>
      <c r="C931" s="44"/>
      <c r="D931" s="44"/>
      <c r="E931" s="44"/>
      <c r="F931" s="34"/>
      <c r="G931" s="34"/>
      <c r="H931" s="45"/>
      <c r="I931" s="44"/>
      <c r="J931" s="34"/>
      <c r="K931" s="44"/>
      <c r="L931" s="44"/>
      <c r="M931" s="44"/>
      <c r="N931" s="44"/>
      <c r="O931" s="44"/>
      <c r="P931" s="44"/>
      <c r="Q931" s="44"/>
      <c r="R931" s="44"/>
      <c r="S931" s="44"/>
      <c r="T931" s="44"/>
      <c r="U931" s="36"/>
    </row>
    <row r="932" spans="1:21" ht="12.75">
      <c r="A932" s="44"/>
      <c r="B932" s="44"/>
      <c r="C932" s="44"/>
      <c r="D932" s="44"/>
      <c r="E932" s="44"/>
      <c r="F932" s="34"/>
      <c r="G932" s="34"/>
      <c r="H932" s="45"/>
      <c r="I932" s="44"/>
      <c r="J932" s="34"/>
      <c r="K932" s="44"/>
      <c r="L932" s="44"/>
      <c r="M932" s="44"/>
      <c r="N932" s="44"/>
      <c r="O932" s="44"/>
      <c r="P932" s="44"/>
      <c r="Q932" s="44"/>
      <c r="R932" s="44"/>
      <c r="S932" s="44"/>
      <c r="T932" s="44"/>
      <c r="U932" s="36"/>
    </row>
    <row r="933" spans="1:21" ht="12.75">
      <c r="A933" s="44"/>
      <c r="B933" s="44"/>
      <c r="C933" s="44"/>
      <c r="D933" s="44"/>
      <c r="E933" s="44"/>
      <c r="F933" s="34"/>
      <c r="G933" s="34"/>
      <c r="H933" s="45"/>
      <c r="I933" s="44"/>
      <c r="J933" s="34"/>
      <c r="K933" s="44"/>
      <c r="L933" s="44"/>
      <c r="M933" s="44"/>
      <c r="N933" s="44"/>
      <c r="O933" s="44"/>
      <c r="P933" s="44"/>
      <c r="Q933" s="44"/>
      <c r="R933" s="44"/>
      <c r="S933" s="44"/>
      <c r="T933" s="44"/>
      <c r="U933" s="36"/>
    </row>
    <row r="934" spans="1:21" ht="12.75">
      <c r="A934" s="44"/>
      <c r="B934" s="44"/>
      <c r="C934" s="44"/>
      <c r="D934" s="44"/>
      <c r="E934" s="44"/>
      <c r="F934" s="34"/>
      <c r="G934" s="34"/>
      <c r="H934" s="45"/>
      <c r="I934" s="44"/>
      <c r="J934" s="34"/>
      <c r="K934" s="44"/>
      <c r="L934" s="44"/>
      <c r="M934" s="44"/>
      <c r="N934" s="44"/>
      <c r="O934" s="44"/>
      <c r="P934" s="44"/>
      <c r="Q934" s="44"/>
      <c r="R934" s="44"/>
      <c r="S934" s="44"/>
      <c r="T934" s="44"/>
      <c r="U934" s="36"/>
    </row>
    <row r="935" spans="1:21" ht="12.75">
      <c r="A935" s="44"/>
      <c r="B935" s="44"/>
      <c r="C935" s="44"/>
      <c r="D935" s="44"/>
      <c r="E935" s="44"/>
      <c r="F935" s="34"/>
      <c r="G935" s="34"/>
      <c r="H935" s="45"/>
      <c r="I935" s="44"/>
      <c r="J935" s="34"/>
      <c r="K935" s="44"/>
      <c r="L935" s="44"/>
      <c r="M935" s="44"/>
      <c r="N935" s="44"/>
      <c r="O935" s="44"/>
      <c r="P935" s="44"/>
      <c r="Q935" s="44"/>
      <c r="R935" s="44"/>
      <c r="S935" s="44"/>
      <c r="T935" s="44"/>
      <c r="U935" s="36"/>
    </row>
    <row r="936" spans="1:21" ht="12.75">
      <c r="A936" s="44"/>
      <c r="B936" s="44"/>
      <c r="C936" s="44"/>
      <c r="D936" s="44"/>
      <c r="E936" s="44"/>
      <c r="F936" s="34"/>
      <c r="G936" s="34"/>
      <c r="H936" s="45"/>
      <c r="I936" s="44"/>
      <c r="J936" s="34"/>
      <c r="K936" s="44"/>
      <c r="L936" s="44"/>
      <c r="M936" s="44"/>
      <c r="N936" s="44"/>
      <c r="O936" s="44"/>
      <c r="P936" s="44"/>
      <c r="Q936" s="44"/>
      <c r="R936" s="44"/>
      <c r="S936" s="44"/>
      <c r="T936" s="44"/>
      <c r="U936" s="36"/>
    </row>
    <row r="937" spans="1:21" ht="12.75">
      <c r="A937" s="44"/>
      <c r="B937" s="44"/>
      <c r="C937" s="44"/>
      <c r="D937" s="44"/>
      <c r="E937" s="44"/>
      <c r="F937" s="34"/>
      <c r="G937" s="34"/>
      <c r="H937" s="45"/>
      <c r="I937" s="44"/>
      <c r="J937" s="34"/>
      <c r="K937" s="44"/>
      <c r="L937" s="44"/>
      <c r="M937" s="44"/>
      <c r="N937" s="44"/>
      <c r="O937" s="44"/>
      <c r="P937" s="44"/>
      <c r="Q937" s="44"/>
      <c r="R937" s="44"/>
      <c r="S937" s="44"/>
      <c r="T937" s="44"/>
      <c r="U937" s="36"/>
    </row>
    <row r="938" spans="1:21" ht="12.75">
      <c r="A938" s="44"/>
      <c r="B938" s="44"/>
      <c r="C938" s="44"/>
      <c r="D938" s="44"/>
      <c r="E938" s="44"/>
      <c r="F938" s="34"/>
      <c r="G938" s="34"/>
      <c r="H938" s="45"/>
      <c r="I938" s="44"/>
      <c r="J938" s="34"/>
      <c r="K938" s="44"/>
      <c r="L938" s="44"/>
      <c r="M938" s="44"/>
      <c r="N938" s="44"/>
      <c r="O938" s="44"/>
      <c r="P938" s="44"/>
      <c r="Q938" s="44"/>
      <c r="R938" s="44"/>
      <c r="S938" s="44"/>
      <c r="T938" s="44"/>
      <c r="U938" s="36"/>
    </row>
    <row r="939" spans="1:21" ht="12.75">
      <c r="A939" s="44"/>
      <c r="B939" s="44"/>
      <c r="C939" s="44"/>
      <c r="D939" s="44"/>
      <c r="E939" s="44"/>
      <c r="F939" s="34"/>
      <c r="G939" s="34"/>
      <c r="H939" s="45"/>
      <c r="I939" s="44"/>
      <c r="J939" s="34"/>
      <c r="K939" s="44"/>
      <c r="L939" s="44"/>
      <c r="M939" s="44"/>
      <c r="N939" s="44"/>
      <c r="O939" s="44"/>
      <c r="P939" s="44"/>
      <c r="Q939" s="44"/>
      <c r="R939" s="44"/>
      <c r="S939" s="44"/>
      <c r="T939" s="44"/>
      <c r="U939" s="36"/>
    </row>
    <row r="940" spans="1:21" ht="12.75">
      <c r="A940" s="44"/>
      <c r="B940" s="44"/>
      <c r="C940" s="44"/>
      <c r="D940" s="44"/>
      <c r="E940" s="44"/>
      <c r="F940" s="34"/>
      <c r="G940" s="34"/>
      <c r="H940" s="45"/>
      <c r="I940" s="44"/>
      <c r="J940" s="34"/>
      <c r="K940" s="44"/>
      <c r="L940" s="44"/>
      <c r="M940" s="44"/>
      <c r="N940" s="44"/>
      <c r="O940" s="44"/>
      <c r="P940" s="44"/>
      <c r="Q940" s="44"/>
      <c r="R940" s="44"/>
      <c r="S940" s="44"/>
      <c r="T940" s="44"/>
      <c r="U940" s="36"/>
    </row>
    <row r="941" spans="1:21" ht="12.75">
      <c r="A941" s="44"/>
      <c r="B941" s="44"/>
      <c r="C941" s="44"/>
      <c r="D941" s="44"/>
      <c r="E941" s="44"/>
      <c r="F941" s="34"/>
      <c r="G941" s="34"/>
      <c r="H941" s="45"/>
      <c r="I941" s="44"/>
      <c r="J941" s="34"/>
      <c r="K941" s="44"/>
      <c r="L941" s="44"/>
      <c r="M941" s="44"/>
      <c r="N941" s="44"/>
      <c r="O941" s="44"/>
      <c r="P941" s="44"/>
      <c r="Q941" s="44"/>
      <c r="R941" s="44"/>
      <c r="S941" s="44"/>
      <c r="T941" s="44"/>
      <c r="U941" s="36"/>
    </row>
    <row r="942" spans="1:21" ht="12.75">
      <c r="A942" s="44"/>
      <c r="B942" s="44"/>
      <c r="C942" s="44"/>
      <c r="D942" s="44"/>
      <c r="E942" s="44"/>
      <c r="F942" s="34"/>
      <c r="G942" s="34"/>
      <c r="H942" s="45"/>
      <c r="I942" s="44"/>
      <c r="J942" s="34"/>
      <c r="K942" s="44"/>
      <c r="L942" s="44"/>
      <c r="M942" s="44"/>
      <c r="N942" s="44"/>
      <c r="O942" s="44"/>
      <c r="P942" s="44"/>
      <c r="Q942" s="44"/>
      <c r="R942" s="44"/>
      <c r="S942" s="44"/>
      <c r="T942" s="44"/>
      <c r="U942" s="36"/>
    </row>
    <row r="943" spans="1:21" ht="12.75">
      <c r="A943" s="44"/>
      <c r="B943" s="44"/>
      <c r="C943" s="44"/>
      <c r="D943" s="44"/>
      <c r="E943" s="44"/>
      <c r="F943" s="34"/>
      <c r="G943" s="34"/>
      <c r="H943" s="45"/>
      <c r="I943" s="44"/>
      <c r="J943" s="34"/>
      <c r="K943" s="44"/>
      <c r="L943" s="44"/>
      <c r="M943" s="44"/>
      <c r="N943" s="44"/>
      <c r="O943" s="44"/>
      <c r="P943" s="44"/>
      <c r="Q943" s="44"/>
      <c r="R943" s="44"/>
      <c r="S943" s="44"/>
      <c r="T943" s="44"/>
      <c r="U943" s="36"/>
    </row>
    <row r="944" spans="1:21" ht="12.75">
      <c r="A944" s="44"/>
      <c r="B944" s="44"/>
      <c r="C944" s="44"/>
      <c r="D944" s="44"/>
      <c r="E944" s="44"/>
      <c r="F944" s="34"/>
      <c r="G944" s="34"/>
      <c r="H944" s="45"/>
      <c r="I944" s="44"/>
      <c r="J944" s="34"/>
      <c r="K944" s="44"/>
      <c r="L944" s="44"/>
      <c r="M944" s="44"/>
      <c r="N944" s="44"/>
      <c r="O944" s="44"/>
      <c r="P944" s="44"/>
      <c r="Q944" s="44"/>
      <c r="R944" s="44"/>
      <c r="S944" s="44"/>
      <c r="T944" s="44"/>
      <c r="U944" s="36"/>
    </row>
    <row r="945" spans="1:21" ht="12.75">
      <c r="A945" s="44"/>
      <c r="B945" s="44"/>
      <c r="C945" s="44"/>
      <c r="D945" s="44"/>
      <c r="E945" s="44"/>
      <c r="F945" s="34"/>
      <c r="G945" s="34"/>
      <c r="H945" s="45"/>
      <c r="I945" s="44"/>
      <c r="J945" s="34"/>
      <c r="K945" s="44"/>
      <c r="L945" s="44"/>
      <c r="M945" s="44"/>
      <c r="N945" s="44"/>
      <c r="O945" s="44"/>
      <c r="P945" s="44"/>
      <c r="Q945" s="44"/>
      <c r="R945" s="44"/>
      <c r="S945" s="44"/>
      <c r="T945" s="44"/>
      <c r="U945" s="36"/>
    </row>
    <row r="946" spans="1:21" ht="12.75">
      <c r="A946" s="44"/>
      <c r="B946" s="44"/>
      <c r="C946" s="44"/>
      <c r="D946" s="44"/>
      <c r="E946" s="44"/>
      <c r="F946" s="34"/>
      <c r="G946" s="34"/>
      <c r="H946" s="45"/>
      <c r="I946" s="44"/>
      <c r="J946" s="34"/>
      <c r="K946" s="44"/>
      <c r="L946" s="44"/>
      <c r="M946" s="44"/>
      <c r="N946" s="44"/>
      <c r="O946" s="44"/>
      <c r="P946" s="44"/>
      <c r="Q946" s="44"/>
      <c r="R946" s="44"/>
      <c r="S946" s="44"/>
      <c r="T946" s="44"/>
      <c r="U946" s="36"/>
    </row>
    <row r="947" spans="1:21" ht="12.75">
      <c r="A947" s="44"/>
      <c r="B947" s="44"/>
      <c r="C947" s="44"/>
      <c r="D947" s="44"/>
      <c r="E947" s="44"/>
      <c r="F947" s="34"/>
      <c r="G947" s="34"/>
      <c r="H947" s="45"/>
      <c r="I947" s="44"/>
      <c r="J947" s="34"/>
      <c r="K947" s="44"/>
      <c r="L947" s="44"/>
      <c r="M947" s="44"/>
      <c r="N947" s="44"/>
      <c r="O947" s="44"/>
      <c r="P947" s="44"/>
      <c r="Q947" s="44"/>
      <c r="R947" s="44"/>
      <c r="S947" s="44"/>
      <c r="T947" s="44"/>
      <c r="U947" s="36"/>
    </row>
    <row r="948" spans="1:21" ht="12.75">
      <c r="A948" s="44"/>
      <c r="B948" s="44"/>
      <c r="C948" s="44"/>
      <c r="D948" s="44"/>
      <c r="E948" s="44"/>
      <c r="F948" s="34"/>
      <c r="G948" s="34"/>
      <c r="H948" s="45"/>
      <c r="I948" s="44"/>
      <c r="J948" s="34"/>
      <c r="K948" s="44"/>
      <c r="L948" s="44"/>
      <c r="M948" s="44"/>
      <c r="N948" s="44"/>
      <c r="O948" s="44"/>
      <c r="P948" s="44"/>
      <c r="Q948" s="44"/>
      <c r="R948" s="44"/>
      <c r="S948" s="44"/>
      <c r="T948" s="44"/>
      <c r="U948" s="36"/>
    </row>
    <row r="949" spans="1:21" ht="12.75">
      <c r="A949" s="44"/>
      <c r="B949" s="44"/>
      <c r="C949" s="44"/>
      <c r="D949" s="44"/>
      <c r="E949" s="44"/>
      <c r="F949" s="34"/>
      <c r="G949" s="34"/>
      <c r="H949" s="45"/>
      <c r="I949" s="44"/>
      <c r="J949" s="34"/>
      <c r="K949" s="44"/>
      <c r="L949" s="44"/>
      <c r="M949" s="44"/>
      <c r="N949" s="44"/>
      <c r="O949" s="44"/>
      <c r="P949" s="44"/>
      <c r="Q949" s="44"/>
      <c r="R949" s="44"/>
      <c r="S949" s="44"/>
      <c r="T949" s="44"/>
      <c r="U949" s="36"/>
    </row>
    <row r="950" spans="1:21" ht="12.75">
      <c r="A950" s="44"/>
      <c r="B950" s="44"/>
      <c r="C950" s="44"/>
      <c r="D950" s="44"/>
      <c r="E950" s="44"/>
      <c r="F950" s="34"/>
      <c r="G950" s="34"/>
      <c r="H950" s="45"/>
      <c r="I950" s="44"/>
      <c r="J950" s="34"/>
      <c r="K950" s="44"/>
      <c r="L950" s="44"/>
      <c r="M950" s="44"/>
      <c r="N950" s="44"/>
      <c r="O950" s="44"/>
      <c r="P950" s="44"/>
      <c r="Q950" s="44"/>
      <c r="R950" s="44"/>
      <c r="S950" s="44"/>
      <c r="T950" s="44"/>
      <c r="U950" s="36"/>
    </row>
    <row r="951" spans="1:21" ht="12.75">
      <c r="A951" s="44"/>
      <c r="B951" s="44"/>
      <c r="C951" s="44"/>
      <c r="D951" s="44"/>
      <c r="E951" s="44"/>
      <c r="F951" s="34"/>
      <c r="G951" s="34"/>
      <c r="H951" s="45"/>
      <c r="I951" s="44"/>
      <c r="J951" s="34"/>
      <c r="K951" s="44"/>
      <c r="L951" s="44"/>
      <c r="M951" s="44"/>
      <c r="N951" s="44"/>
      <c r="O951" s="44"/>
      <c r="P951" s="44"/>
      <c r="Q951" s="44"/>
      <c r="R951" s="44"/>
      <c r="S951" s="44"/>
      <c r="T951" s="44"/>
      <c r="U951" s="36"/>
    </row>
    <row r="952" spans="1:21" ht="12.75">
      <c r="A952" s="44"/>
      <c r="B952" s="44"/>
      <c r="C952" s="44"/>
      <c r="D952" s="44"/>
      <c r="E952" s="44"/>
      <c r="F952" s="34"/>
      <c r="G952" s="34"/>
      <c r="H952" s="45"/>
      <c r="I952" s="44"/>
      <c r="J952" s="34"/>
      <c r="K952" s="44"/>
      <c r="L952" s="44"/>
      <c r="M952" s="44"/>
      <c r="N952" s="44"/>
      <c r="O952" s="44"/>
      <c r="P952" s="44"/>
      <c r="Q952" s="44"/>
      <c r="R952" s="44"/>
      <c r="S952" s="44"/>
      <c r="T952" s="44"/>
      <c r="U952" s="36"/>
    </row>
    <row r="953" spans="1:21" ht="12.75">
      <c r="A953" s="44"/>
      <c r="B953" s="44"/>
      <c r="C953" s="44"/>
      <c r="D953" s="44"/>
      <c r="E953" s="44"/>
      <c r="F953" s="34"/>
      <c r="G953" s="34"/>
      <c r="H953" s="45"/>
      <c r="I953" s="44"/>
      <c r="J953" s="34"/>
      <c r="K953" s="44"/>
      <c r="L953" s="44"/>
      <c r="M953" s="44"/>
      <c r="N953" s="44"/>
      <c r="O953" s="44"/>
      <c r="P953" s="44"/>
      <c r="Q953" s="44"/>
      <c r="R953" s="44"/>
      <c r="S953" s="44"/>
      <c r="T953" s="44"/>
      <c r="U953" s="36"/>
    </row>
    <row r="954" spans="1:21" ht="12.75">
      <c r="A954" s="44"/>
      <c r="B954" s="44"/>
      <c r="C954" s="44"/>
      <c r="D954" s="44"/>
      <c r="E954" s="44"/>
      <c r="F954" s="34"/>
      <c r="G954" s="34"/>
      <c r="H954" s="45"/>
      <c r="I954" s="44"/>
      <c r="J954" s="34"/>
      <c r="K954" s="44"/>
      <c r="L954" s="44"/>
      <c r="M954" s="44"/>
      <c r="N954" s="44"/>
      <c r="O954" s="44"/>
      <c r="P954" s="44"/>
      <c r="Q954" s="44"/>
      <c r="R954" s="44"/>
      <c r="S954" s="44"/>
      <c r="T954" s="44"/>
      <c r="U954" s="36"/>
    </row>
    <row r="955" spans="1:21" ht="12.75">
      <c r="A955" s="44"/>
      <c r="B955" s="44"/>
      <c r="C955" s="44"/>
      <c r="D955" s="44"/>
      <c r="E955" s="44"/>
      <c r="F955" s="34"/>
      <c r="G955" s="34"/>
      <c r="H955" s="45"/>
      <c r="I955" s="44"/>
      <c r="J955" s="34"/>
      <c r="K955" s="44"/>
      <c r="L955" s="44"/>
      <c r="M955" s="44"/>
      <c r="N955" s="44"/>
      <c r="O955" s="44"/>
      <c r="P955" s="44"/>
      <c r="Q955" s="44"/>
      <c r="R955" s="44"/>
      <c r="S955" s="44"/>
      <c r="T955" s="44"/>
      <c r="U955" s="36"/>
    </row>
    <row r="956" spans="1:21" ht="12.75">
      <c r="A956" s="44"/>
      <c r="B956" s="44"/>
      <c r="C956" s="44"/>
      <c r="D956" s="44"/>
      <c r="E956" s="44"/>
      <c r="F956" s="34"/>
      <c r="G956" s="34"/>
      <c r="H956" s="45"/>
      <c r="I956" s="44"/>
      <c r="J956" s="34"/>
      <c r="K956" s="44"/>
      <c r="L956" s="44"/>
      <c r="M956" s="44"/>
      <c r="N956" s="44"/>
      <c r="O956" s="44"/>
      <c r="P956" s="44"/>
      <c r="Q956" s="44"/>
      <c r="R956" s="44"/>
      <c r="S956" s="44"/>
      <c r="T956" s="44"/>
      <c r="U956" s="36"/>
    </row>
    <row r="957" spans="1:21" ht="12.75">
      <c r="A957" s="44"/>
      <c r="B957" s="44"/>
      <c r="C957" s="44"/>
      <c r="D957" s="44"/>
      <c r="E957" s="44"/>
      <c r="F957" s="34"/>
      <c r="G957" s="34"/>
      <c r="H957" s="45"/>
      <c r="I957" s="44"/>
      <c r="J957" s="34"/>
      <c r="K957" s="44"/>
      <c r="L957" s="44"/>
      <c r="M957" s="44"/>
      <c r="N957" s="44"/>
      <c r="O957" s="44"/>
      <c r="P957" s="44"/>
      <c r="Q957" s="44"/>
      <c r="R957" s="44"/>
      <c r="S957" s="44"/>
      <c r="T957" s="44"/>
      <c r="U957" s="36"/>
    </row>
    <row r="958" spans="1:21" ht="12.75">
      <c r="A958" s="44"/>
      <c r="B958" s="44"/>
      <c r="C958" s="44"/>
      <c r="D958" s="44"/>
      <c r="E958" s="44"/>
      <c r="F958" s="34"/>
      <c r="G958" s="34"/>
      <c r="H958" s="45"/>
      <c r="I958" s="44"/>
      <c r="J958" s="34"/>
      <c r="K958" s="44"/>
      <c r="L958" s="44"/>
      <c r="M958" s="44"/>
      <c r="N958" s="44"/>
      <c r="O958" s="44"/>
      <c r="P958" s="44"/>
      <c r="Q958" s="44"/>
      <c r="R958" s="44"/>
      <c r="S958" s="44"/>
      <c r="T958" s="44"/>
      <c r="U958" s="36"/>
    </row>
    <row r="959" spans="1:21" ht="12.75">
      <c r="A959" s="44"/>
      <c r="B959" s="44"/>
      <c r="C959" s="44"/>
      <c r="D959" s="44"/>
      <c r="E959" s="44"/>
      <c r="F959" s="34"/>
      <c r="G959" s="34"/>
      <c r="H959" s="45"/>
      <c r="I959" s="44"/>
      <c r="J959" s="34"/>
      <c r="K959" s="44"/>
      <c r="L959" s="44"/>
      <c r="M959" s="44"/>
      <c r="N959" s="44"/>
      <c r="O959" s="44"/>
      <c r="P959" s="44"/>
      <c r="Q959" s="44"/>
      <c r="R959" s="44"/>
      <c r="S959" s="44"/>
      <c r="T959" s="44"/>
      <c r="U959" s="36"/>
    </row>
    <row r="960" spans="1:21" ht="12.75">
      <c r="A960" s="44"/>
      <c r="B960" s="44"/>
      <c r="C960" s="44"/>
      <c r="D960" s="44"/>
      <c r="E960" s="44"/>
      <c r="F960" s="34"/>
      <c r="G960" s="34"/>
      <c r="H960" s="45"/>
      <c r="I960" s="44"/>
      <c r="J960" s="34"/>
      <c r="K960" s="44"/>
      <c r="L960" s="44"/>
      <c r="M960" s="44"/>
      <c r="N960" s="44"/>
      <c r="O960" s="44"/>
      <c r="P960" s="44"/>
      <c r="Q960" s="44"/>
      <c r="R960" s="44"/>
      <c r="S960" s="44"/>
      <c r="T960" s="44"/>
      <c r="U960" s="36"/>
    </row>
    <row r="961" spans="1:21" ht="12.75">
      <c r="A961" s="44"/>
      <c r="B961" s="44"/>
      <c r="C961" s="44"/>
      <c r="D961" s="44"/>
      <c r="E961" s="44"/>
      <c r="F961" s="34"/>
      <c r="G961" s="34"/>
      <c r="H961" s="45"/>
      <c r="I961" s="44"/>
      <c r="J961" s="34"/>
      <c r="K961" s="44"/>
      <c r="L961" s="44"/>
      <c r="M961" s="44"/>
      <c r="N961" s="44"/>
      <c r="O961" s="44"/>
      <c r="P961" s="44"/>
      <c r="Q961" s="44"/>
      <c r="R961" s="44"/>
      <c r="S961" s="44"/>
      <c r="T961" s="44"/>
      <c r="U961" s="36"/>
    </row>
    <row r="962" spans="1:21" ht="12.75">
      <c r="A962" s="44"/>
      <c r="B962" s="44"/>
      <c r="C962" s="44"/>
      <c r="D962" s="44"/>
      <c r="E962" s="44"/>
      <c r="F962" s="34"/>
      <c r="G962" s="34"/>
      <c r="H962" s="45"/>
      <c r="I962" s="44"/>
      <c r="J962" s="34"/>
      <c r="K962" s="44"/>
      <c r="L962" s="44"/>
      <c r="M962" s="44"/>
      <c r="N962" s="44"/>
      <c r="O962" s="44"/>
      <c r="P962" s="44"/>
      <c r="Q962" s="44"/>
      <c r="R962" s="44"/>
      <c r="S962" s="44"/>
      <c r="T962" s="44"/>
      <c r="U962" s="36"/>
    </row>
    <row r="963" spans="1:21" ht="12.75">
      <c r="A963" s="44"/>
      <c r="B963" s="44"/>
      <c r="C963" s="44"/>
      <c r="D963" s="44"/>
      <c r="E963" s="44"/>
      <c r="F963" s="34"/>
      <c r="G963" s="34"/>
      <c r="H963" s="45"/>
      <c r="I963" s="44"/>
      <c r="J963" s="34"/>
      <c r="K963" s="44"/>
      <c r="L963" s="44"/>
      <c r="M963" s="44"/>
      <c r="N963" s="44"/>
      <c r="O963" s="44"/>
      <c r="P963" s="44"/>
      <c r="Q963" s="44"/>
      <c r="R963" s="44"/>
      <c r="S963" s="44"/>
      <c r="T963" s="44"/>
      <c r="U963" s="36"/>
    </row>
    <row r="964" spans="1:21" ht="12.75">
      <c r="A964" s="44"/>
      <c r="B964" s="44"/>
      <c r="C964" s="44"/>
      <c r="D964" s="44"/>
      <c r="E964" s="44"/>
      <c r="F964" s="34"/>
      <c r="G964" s="34"/>
      <c r="H964" s="45"/>
      <c r="I964" s="44"/>
      <c r="J964" s="34"/>
      <c r="K964" s="44"/>
      <c r="L964" s="44"/>
      <c r="M964" s="44"/>
      <c r="N964" s="44"/>
      <c r="O964" s="44"/>
      <c r="P964" s="44"/>
      <c r="Q964" s="44"/>
      <c r="R964" s="44"/>
      <c r="S964" s="44"/>
      <c r="T964" s="44"/>
      <c r="U964" s="36"/>
    </row>
    <row r="965" spans="1:21" ht="12.75">
      <c r="A965" s="44"/>
      <c r="B965" s="44"/>
      <c r="C965" s="44"/>
      <c r="D965" s="44"/>
      <c r="E965" s="44"/>
      <c r="F965" s="34"/>
      <c r="G965" s="34"/>
      <c r="H965" s="45"/>
      <c r="I965" s="44"/>
      <c r="J965" s="34"/>
      <c r="K965" s="44"/>
      <c r="L965" s="44"/>
      <c r="M965" s="44"/>
      <c r="N965" s="44"/>
      <c r="O965" s="44"/>
      <c r="P965" s="44"/>
      <c r="Q965" s="44"/>
      <c r="R965" s="44"/>
      <c r="S965" s="44"/>
      <c r="T965" s="44"/>
      <c r="U965" s="36"/>
    </row>
    <row r="966" spans="1:21" ht="12.75">
      <c r="A966" s="44"/>
      <c r="B966" s="44"/>
      <c r="C966" s="44"/>
      <c r="D966" s="44"/>
      <c r="E966" s="44"/>
      <c r="F966" s="34"/>
      <c r="G966" s="34"/>
      <c r="H966" s="45"/>
      <c r="I966" s="44"/>
      <c r="J966" s="34"/>
      <c r="K966" s="44"/>
      <c r="L966" s="44"/>
      <c r="M966" s="44"/>
      <c r="N966" s="44"/>
      <c r="O966" s="44"/>
      <c r="P966" s="44"/>
      <c r="Q966" s="44"/>
      <c r="R966" s="44"/>
      <c r="S966" s="44"/>
      <c r="T966" s="44"/>
      <c r="U966" s="36"/>
    </row>
    <row r="967" spans="1:21" ht="12.75">
      <c r="A967" s="44"/>
      <c r="B967" s="44"/>
      <c r="C967" s="44"/>
      <c r="D967" s="44"/>
      <c r="E967" s="44"/>
      <c r="F967" s="34"/>
      <c r="G967" s="34"/>
      <c r="H967" s="45"/>
      <c r="I967" s="44"/>
      <c r="J967" s="34"/>
      <c r="K967" s="44"/>
      <c r="L967" s="44"/>
      <c r="M967" s="44"/>
      <c r="N967" s="44"/>
      <c r="O967" s="44"/>
      <c r="P967" s="44"/>
      <c r="Q967" s="44"/>
      <c r="R967" s="44"/>
      <c r="S967" s="44"/>
      <c r="T967" s="44"/>
      <c r="U967" s="36"/>
    </row>
    <row r="968" spans="1:21" ht="12.75">
      <c r="A968" s="44"/>
      <c r="B968" s="44"/>
      <c r="C968" s="44"/>
      <c r="D968" s="44"/>
      <c r="E968" s="44"/>
      <c r="F968" s="34"/>
      <c r="G968" s="34"/>
      <c r="H968" s="45"/>
      <c r="I968" s="44"/>
      <c r="J968" s="34"/>
      <c r="K968" s="44"/>
      <c r="L968" s="44"/>
      <c r="M968" s="44"/>
      <c r="N968" s="44"/>
      <c r="O968" s="44"/>
      <c r="P968" s="44"/>
      <c r="Q968" s="44"/>
      <c r="R968" s="44"/>
      <c r="S968" s="44"/>
      <c r="T968" s="44"/>
      <c r="U968" s="36"/>
    </row>
    <row r="969" spans="1:21" ht="12.75">
      <c r="A969" s="44"/>
      <c r="B969" s="44"/>
      <c r="C969" s="44"/>
      <c r="D969" s="44"/>
      <c r="E969" s="44"/>
      <c r="F969" s="34"/>
      <c r="G969" s="34"/>
      <c r="H969" s="45"/>
      <c r="I969" s="44"/>
      <c r="J969" s="34"/>
      <c r="K969" s="44"/>
      <c r="L969" s="44"/>
      <c r="M969" s="44"/>
      <c r="N969" s="44"/>
      <c r="O969" s="44"/>
      <c r="P969" s="44"/>
      <c r="Q969" s="44"/>
      <c r="R969" s="44"/>
      <c r="S969" s="44"/>
      <c r="T969" s="44"/>
      <c r="U969" s="36"/>
    </row>
    <row r="970" spans="1:21" ht="12.75">
      <c r="A970" s="44"/>
      <c r="B970" s="44"/>
      <c r="C970" s="44"/>
      <c r="D970" s="44"/>
      <c r="E970" s="44"/>
      <c r="F970" s="34"/>
      <c r="G970" s="34"/>
      <c r="H970" s="45"/>
      <c r="I970" s="44"/>
      <c r="J970" s="34"/>
      <c r="K970" s="44"/>
      <c r="L970" s="44"/>
      <c r="M970" s="44"/>
      <c r="N970" s="44"/>
      <c r="O970" s="44"/>
      <c r="P970" s="44"/>
      <c r="Q970" s="44"/>
      <c r="R970" s="44"/>
      <c r="S970" s="44"/>
      <c r="T970" s="44"/>
      <c r="U970" s="36"/>
    </row>
    <row r="971" spans="1:21" ht="12.75">
      <c r="A971" s="44"/>
      <c r="B971" s="44"/>
      <c r="C971" s="44"/>
      <c r="D971" s="44"/>
      <c r="E971" s="44"/>
      <c r="F971" s="34"/>
      <c r="G971" s="34"/>
      <c r="H971" s="45"/>
      <c r="I971" s="44"/>
      <c r="J971" s="34"/>
      <c r="K971" s="44"/>
      <c r="L971" s="44"/>
      <c r="M971" s="44"/>
      <c r="N971" s="44"/>
      <c r="O971" s="44"/>
      <c r="P971" s="44"/>
      <c r="Q971" s="44"/>
      <c r="R971" s="44"/>
      <c r="S971" s="44"/>
      <c r="T971" s="44"/>
      <c r="U971" s="36"/>
    </row>
    <row r="972" spans="1:21" ht="12.75">
      <c r="A972" s="44"/>
      <c r="B972" s="44"/>
      <c r="C972" s="44"/>
      <c r="D972" s="44"/>
      <c r="E972" s="44"/>
      <c r="F972" s="34"/>
      <c r="G972" s="34"/>
      <c r="H972" s="45"/>
      <c r="I972" s="44"/>
      <c r="J972" s="34"/>
      <c r="K972" s="44"/>
      <c r="L972" s="44"/>
      <c r="M972" s="44"/>
      <c r="N972" s="44"/>
      <c r="O972" s="44"/>
      <c r="P972" s="44"/>
      <c r="Q972" s="44"/>
      <c r="R972" s="44"/>
      <c r="S972" s="44"/>
      <c r="T972" s="44"/>
      <c r="U972" s="36"/>
    </row>
    <row r="973" spans="1:21" ht="12.75">
      <c r="A973" s="44"/>
      <c r="B973" s="44"/>
      <c r="C973" s="44"/>
      <c r="D973" s="44"/>
      <c r="E973" s="44"/>
      <c r="F973" s="34"/>
      <c r="G973" s="34"/>
      <c r="H973" s="45"/>
      <c r="I973" s="44"/>
      <c r="J973" s="34"/>
      <c r="K973" s="44"/>
      <c r="L973" s="44"/>
      <c r="M973" s="44"/>
      <c r="N973" s="44"/>
      <c r="O973" s="44"/>
      <c r="P973" s="44"/>
      <c r="Q973" s="44"/>
      <c r="R973" s="44"/>
      <c r="S973" s="44"/>
      <c r="T973" s="44"/>
      <c r="U973" s="36"/>
    </row>
    <row r="974" spans="1:21" ht="12.75">
      <c r="A974" s="44"/>
      <c r="B974" s="44"/>
      <c r="C974" s="44"/>
      <c r="D974" s="44"/>
      <c r="E974" s="44"/>
      <c r="F974" s="34"/>
      <c r="G974" s="34"/>
      <c r="H974" s="45"/>
      <c r="I974" s="44"/>
      <c r="J974" s="34"/>
      <c r="K974" s="44"/>
      <c r="L974" s="44"/>
      <c r="M974" s="44"/>
      <c r="N974" s="44"/>
      <c r="O974" s="44"/>
      <c r="P974" s="44"/>
      <c r="Q974" s="44"/>
      <c r="R974" s="44"/>
      <c r="S974" s="44"/>
      <c r="T974" s="44"/>
      <c r="U974" s="36"/>
    </row>
    <row r="975" spans="1:21" ht="12.75">
      <c r="A975" s="44"/>
      <c r="B975" s="44"/>
      <c r="C975" s="44"/>
      <c r="D975" s="44"/>
      <c r="E975" s="44"/>
      <c r="F975" s="34"/>
      <c r="G975" s="34"/>
      <c r="H975" s="45"/>
      <c r="I975" s="44"/>
      <c r="J975" s="34"/>
      <c r="K975" s="44"/>
      <c r="L975" s="44"/>
      <c r="M975" s="44"/>
      <c r="N975" s="44"/>
      <c r="O975" s="44"/>
      <c r="P975" s="44"/>
      <c r="Q975" s="44"/>
      <c r="R975" s="44"/>
      <c r="S975" s="44"/>
      <c r="T975" s="44"/>
      <c r="U975" s="36"/>
    </row>
    <row r="976" spans="1:21" ht="12.75">
      <c r="A976" s="44"/>
      <c r="B976" s="44"/>
      <c r="C976" s="44"/>
      <c r="D976" s="44"/>
      <c r="E976" s="44"/>
      <c r="F976" s="34"/>
      <c r="G976" s="34"/>
      <c r="H976" s="45"/>
      <c r="I976" s="44"/>
      <c r="J976" s="34"/>
      <c r="K976" s="44"/>
      <c r="L976" s="44"/>
      <c r="M976" s="44"/>
      <c r="N976" s="44"/>
      <c r="O976" s="44"/>
      <c r="P976" s="44"/>
      <c r="Q976" s="44"/>
      <c r="R976" s="44"/>
      <c r="S976" s="44"/>
      <c r="T976" s="44"/>
      <c r="U976" s="36"/>
    </row>
    <row r="977" spans="1:21" ht="12.75">
      <c r="A977" s="44"/>
      <c r="B977" s="44"/>
      <c r="C977" s="44"/>
      <c r="D977" s="44"/>
      <c r="E977" s="44"/>
      <c r="F977" s="34"/>
      <c r="G977" s="34"/>
      <c r="H977" s="45"/>
      <c r="I977" s="44"/>
      <c r="J977" s="34"/>
      <c r="K977" s="44"/>
      <c r="L977" s="44"/>
      <c r="M977" s="44"/>
      <c r="N977" s="44"/>
      <c r="O977" s="44"/>
      <c r="P977" s="44"/>
      <c r="Q977" s="44"/>
      <c r="R977" s="44"/>
      <c r="S977" s="44"/>
      <c r="T977" s="44"/>
      <c r="U977" s="36"/>
    </row>
    <row r="978" spans="1:21" ht="12.75">
      <c r="A978" s="44"/>
      <c r="B978" s="44"/>
      <c r="C978" s="44"/>
      <c r="D978" s="44"/>
      <c r="E978" s="44"/>
      <c r="F978" s="34"/>
      <c r="G978" s="34"/>
      <c r="H978" s="45"/>
      <c r="I978" s="44"/>
      <c r="J978" s="34"/>
      <c r="K978" s="44"/>
      <c r="L978" s="44"/>
      <c r="M978" s="44"/>
      <c r="N978" s="44"/>
      <c r="O978" s="44"/>
      <c r="P978" s="44"/>
      <c r="Q978" s="44"/>
      <c r="R978" s="44"/>
      <c r="S978" s="44"/>
      <c r="T978" s="44"/>
      <c r="U978" s="36"/>
    </row>
    <row r="979" spans="1:21" ht="12.75">
      <c r="A979" s="44"/>
      <c r="B979" s="44"/>
      <c r="C979" s="44"/>
      <c r="D979" s="44"/>
      <c r="E979" s="44"/>
      <c r="F979" s="34"/>
      <c r="G979" s="34"/>
      <c r="H979" s="45"/>
      <c r="I979" s="44"/>
      <c r="J979" s="34"/>
      <c r="K979" s="44"/>
      <c r="L979" s="44"/>
      <c r="M979" s="44"/>
      <c r="N979" s="44"/>
      <c r="O979" s="44"/>
      <c r="P979" s="44"/>
      <c r="Q979" s="44"/>
      <c r="R979" s="44"/>
      <c r="S979" s="44"/>
      <c r="T979" s="44"/>
      <c r="U979" s="36"/>
    </row>
    <row r="980" spans="1:21" ht="12.75">
      <c r="A980" s="44"/>
      <c r="B980" s="44"/>
      <c r="C980" s="44"/>
      <c r="D980" s="44"/>
      <c r="E980" s="44"/>
      <c r="F980" s="34"/>
      <c r="G980" s="34"/>
      <c r="H980" s="45"/>
      <c r="I980" s="44"/>
      <c r="J980" s="34"/>
      <c r="K980" s="44"/>
      <c r="L980" s="44"/>
      <c r="M980" s="44"/>
      <c r="N980" s="44"/>
      <c r="O980" s="44"/>
      <c r="P980" s="44"/>
      <c r="Q980" s="44"/>
      <c r="R980" s="44"/>
      <c r="S980" s="44"/>
      <c r="T980" s="44"/>
      <c r="U980" s="36"/>
    </row>
    <row r="981" spans="1:21" ht="12.75">
      <c r="A981" s="44"/>
      <c r="B981" s="44"/>
      <c r="C981" s="44"/>
      <c r="D981" s="44"/>
      <c r="E981" s="44"/>
      <c r="F981" s="34"/>
      <c r="G981" s="34"/>
      <c r="H981" s="45"/>
      <c r="I981" s="44"/>
      <c r="J981" s="34"/>
      <c r="K981" s="44"/>
      <c r="L981" s="44"/>
      <c r="M981" s="44"/>
      <c r="N981" s="44"/>
      <c r="O981" s="44"/>
      <c r="P981" s="44"/>
      <c r="Q981" s="44"/>
      <c r="R981" s="44"/>
      <c r="S981" s="44"/>
      <c r="T981" s="44"/>
      <c r="U981" s="36"/>
    </row>
    <row r="982" spans="1:21" ht="12.75">
      <c r="A982" s="44"/>
      <c r="B982" s="44"/>
      <c r="C982" s="44"/>
      <c r="D982" s="44"/>
      <c r="E982" s="44"/>
      <c r="F982" s="34"/>
      <c r="G982" s="34"/>
      <c r="H982" s="45"/>
      <c r="I982" s="44"/>
      <c r="J982" s="34"/>
      <c r="K982" s="44"/>
      <c r="L982" s="44"/>
      <c r="M982" s="44"/>
      <c r="N982" s="44"/>
      <c r="O982" s="44"/>
      <c r="P982" s="44"/>
      <c r="Q982" s="44"/>
      <c r="R982" s="44"/>
      <c r="S982" s="44"/>
      <c r="T982" s="44"/>
      <c r="U982" s="36"/>
    </row>
    <row r="983" spans="1:21" ht="12.75">
      <c r="A983" s="44"/>
      <c r="B983" s="44"/>
      <c r="C983" s="44"/>
      <c r="D983" s="44"/>
      <c r="E983" s="44"/>
      <c r="F983" s="34"/>
      <c r="G983" s="34"/>
      <c r="H983" s="45"/>
      <c r="I983" s="44"/>
      <c r="J983" s="34"/>
      <c r="K983" s="44"/>
      <c r="L983" s="44"/>
      <c r="M983" s="44"/>
      <c r="N983" s="44"/>
      <c r="O983" s="44"/>
      <c r="P983" s="44"/>
      <c r="Q983" s="44"/>
      <c r="R983" s="44"/>
      <c r="S983" s="44"/>
      <c r="T983" s="44"/>
      <c r="U983" s="36"/>
    </row>
    <row r="984" spans="1:21" ht="12.75">
      <c r="A984" s="44"/>
      <c r="B984" s="44"/>
      <c r="C984" s="44"/>
      <c r="D984" s="44"/>
      <c r="E984" s="44"/>
      <c r="F984" s="34"/>
      <c r="G984" s="34"/>
      <c r="H984" s="45"/>
      <c r="I984" s="44"/>
      <c r="J984" s="34"/>
      <c r="K984" s="44"/>
      <c r="L984" s="44"/>
      <c r="M984" s="44"/>
      <c r="N984" s="44"/>
      <c r="O984" s="44"/>
      <c r="P984" s="44"/>
      <c r="Q984" s="44"/>
      <c r="R984" s="44"/>
      <c r="S984" s="44"/>
      <c r="T984" s="44"/>
      <c r="U984" s="36"/>
    </row>
    <row r="985" spans="1:21" ht="12.75">
      <c r="A985" s="44"/>
      <c r="B985" s="44"/>
      <c r="C985" s="44"/>
      <c r="D985" s="44"/>
      <c r="E985" s="44"/>
      <c r="F985" s="34"/>
      <c r="G985" s="34"/>
      <c r="H985" s="45"/>
      <c r="I985" s="44"/>
      <c r="J985" s="34"/>
      <c r="K985" s="44"/>
      <c r="L985" s="44"/>
      <c r="M985" s="44"/>
      <c r="N985" s="44"/>
      <c r="O985" s="44"/>
      <c r="P985" s="44"/>
      <c r="Q985" s="44"/>
      <c r="R985" s="44"/>
      <c r="S985" s="44"/>
      <c r="T985" s="44"/>
      <c r="U985" s="36"/>
    </row>
    <row r="986" spans="1:21" ht="12.75">
      <c r="A986" s="44"/>
      <c r="B986" s="44"/>
      <c r="C986" s="44"/>
      <c r="D986" s="44"/>
      <c r="E986" s="44"/>
      <c r="F986" s="34"/>
      <c r="G986" s="34"/>
      <c r="H986" s="45"/>
      <c r="I986" s="44"/>
      <c r="J986" s="34"/>
      <c r="K986" s="44"/>
      <c r="L986" s="44"/>
      <c r="M986" s="44"/>
      <c r="N986" s="44"/>
      <c r="O986" s="44"/>
      <c r="P986" s="44"/>
      <c r="Q986" s="44"/>
      <c r="R986" s="44"/>
      <c r="S986" s="44"/>
      <c r="T986" s="44"/>
      <c r="U986" s="36"/>
    </row>
    <row r="987" spans="1:21" ht="12.75">
      <c r="A987" s="44"/>
      <c r="B987" s="44"/>
      <c r="C987" s="44"/>
      <c r="D987" s="44"/>
      <c r="E987" s="44"/>
      <c r="F987" s="34"/>
      <c r="G987" s="34"/>
      <c r="H987" s="45"/>
      <c r="I987" s="44"/>
      <c r="J987" s="34"/>
      <c r="K987" s="44"/>
      <c r="L987" s="44"/>
      <c r="M987" s="44"/>
      <c r="N987" s="44"/>
      <c r="O987" s="44"/>
      <c r="P987" s="44"/>
      <c r="Q987" s="44"/>
      <c r="R987" s="44"/>
      <c r="S987" s="44"/>
      <c r="T987" s="44"/>
      <c r="U987" s="36"/>
    </row>
    <row r="988" spans="1:21" ht="12.75">
      <c r="A988" s="44"/>
      <c r="B988" s="44"/>
      <c r="C988" s="44"/>
      <c r="D988" s="44"/>
      <c r="E988" s="44"/>
      <c r="F988" s="34"/>
      <c r="G988" s="34"/>
      <c r="H988" s="45"/>
      <c r="I988" s="44"/>
      <c r="J988" s="34"/>
      <c r="K988" s="44"/>
      <c r="L988" s="44"/>
      <c r="M988" s="44"/>
      <c r="N988" s="44"/>
      <c r="O988" s="44"/>
      <c r="P988" s="44"/>
      <c r="Q988" s="44"/>
      <c r="R988" s="44"/>
      <c r="S988" s="44"/>
      <c r="T988" s="44"/>
      <c r="U988" s="36"/>
    </row>
    <row r="989" spans="1:21" ht="12.75">
      <c r="A989" s="44"/>
      <c r="B989" s="44"/>
      <c r="C989" s="44"/>
      <c r="D989" s="44"/>
      <c r="E989" s="44"/>
      <c r="F989" s="34"/>
      <c r="G989" s="34"/>
      <c r="H989" s="45"/>
      <c r="I989" s="44"/>
      <c r="J989" s="34"/>
      <c r="K989" s="44"/>
      <c r="L989" s="44"/>
      <c r="M989" s="44"/>
      <c r="N989" s="44"/>
      <c r="O989" s="44"/>
      <c r="P989" s="44"/>
      <c r="Q989" s="44"/>
      <c r="R989" s="44"/>
      <c r="S989" s="44"/>
      <c r="T989" s="44"/>
      <c r="U989" s="36"/>
    </row>
    <row r="990" spans="1:21" ht="12.75">
      <c r="A990" s="44"/>
      <c r="B990" s="44"/>
      <c r="C990" s="44"/>
      <c r="D990" s="44"/>
      <c r="E990" s="44"/>
      <c r="F990" s="34"/>
      <c r="G990" s="34"/>
      <c r="H990" s="45"/>
      <c r="I990" s="44"/>
      <c r="J990" s="34"/>
      <c r="K990" s="44"/>
      <c r="L990" s="44"/>
      <c r="M990" s="44"/>
      <c r="N990" s="44"/>
      <c r="O990" s="44"/>
      <c r="P990" s="44"/>
      <c r="Q990" s="44"/>
      <c r="R990" s="44"/>
      <c r="S990" s="44"/>
      <c r="T990" s="44"/>
      <c r="U990" s="36"/>
    </row>
    <row r="991" spans="1:21" ht="12.75">
      <c r="A991" s="44"/>
      <c r="B991" s="44"/>
      <c r="C991" s="44"/>
      <c r="D991" s="44"/>
      <c r="E991" s="44"/>
      <c r="F991" s="34"/>
      <c r="G991" s="34"/>
      <c r="H991" s="45"/>
      <c r="I991" s="44"/>
      <c r="J991" s="34"/>
      <c r="K991" s="44"/>
      <c r="L991" s="44"/>
      <c r="M991" s="44"/>
      <c r="N991" s="44"/>
      <c r="O991" s="44"/>
      <c r="P991" s="44"/>
      <c r="Q991" s="44"/>
      <c r="R991" s="44"/>
      <c r="S991" s="44"/>
      <c r="T991" s="44"/>
      <c r="U991" s="36"/>
    </row>
    <row r="992" spans="1:21" ht="12.75">
      <c r="A992" s="44"/>
      <c r="B992" s="44"/>
      <c r="C992" s="44"/>
      <c r="D992" s="44"/>
      <c r="E992" s="44"/>
      <c r="F992" s="34"/>
      <c r="G992" s="34"/>
      <c r="H992" s="45"/>
      <c r="I992" s="44"/>
      <c r="J992" s="34"/>
      <c r="K992" s="44"/>
      <c r="L992" s="44"/>
      <c r="M992" s="44"/>
      <c r="N992" s="44"/>
      <c r="O992" s="44"/>
      <c r="P992" s="44"/>
      <c r="Q992" s="44"/>
      <c r="R992" s="44"/>
      <c r="S992" s="44"/>
      <c r="T992" s="44"/>
      <c r="U992" s="36"/>
    </row>
    <row r="993" spans="1:21" ht="12.75">
      <c r="A993" s="44"/>
      <c r="B993" s="44"/>
      <c r="C993" s="44"/>
      <c r="D993" s="44"/>
      <c r="E993" s="44"/>
      <c r="F993" s="34"/>
      <c r="G993" s="34"/>
      <c r="H993" s="45"/>
      <c r="I993" s="44"/>
      <c r="J993" s="34"/>
      <c r="K993" s="44"/>
      <c r="L993" s="44"/>
      <c r="M993" s="44"/>
      <c r="N993" s="44"/>
      <c r="O993" s="44"/>
      <c r="P993" s="44"/>
      <c r="Q993" s="44"/>
      <c r="R993" s="44"/>
      <c r="S993" s="44"/>
      <c r="T993" s="44"/>
      <c r="U993" s="36"/>
    </row>
    <row r="994" spans="1:21" ht="12.75">
      <c r="A994" s="44"/>
      <c r="B994" s="44"/>
      <c r="C994" s="44"/>
      <c r="D994" s="44"/>
      <c r="E994" s="44"/>
      <c r="F994" s="34"/>
      <c r="G994" s="34"/>
      <c r="H994" s="45"/>
      <c r="I994" s="44"/>
      <c r="J994" s="34"/>
      <c r="K994" s="44"/>
      <c r="L994" s="44"/>
      <c r="M994" s="44"/>
      <c r="N994" s="44"/>
      <c r="O994" s="44"/>
      <c r="P994" s="44"/>
      <c r="Q994" s="44"/>
      <c r="R994" s="44"/>
      <c r="S994" s="44"/>
      <c r="T994" s="44"/>
      <c r="U994" s="36"/>
    </row>
    <row r="995" spans="1:21" ht="12.75">
      <c r="A995" s="44"/>
      <c r="B995" s="44"/>
      <c r="C995" s="44"/>
      <c r="D995" s="44"/>
      <c r="E995" s="44"/>
      <c r="F995" s="34"/>
      <c r="G995" s="34"/>
      <c r="H995" s="45"/>
      <c r="I995" s="44"/>
      <c r="J995" s="34"/>
      <c r="K995" s="44"/>
      <c r="L995" s="44"/>
      <c r="M995" s="44"/>
      <c r="N995" s="44"/>
      <c r="O995" s="44"/>
      <c r="P995" s="44"/>
      <c r="Q995" s="44"/>
      <c r="R995" s="44"/>
      <c r="S995" s="44"/>
      <c r="T995" s="44"/>
      <c r="U995" s="36"/>
    </row>
    <row r="996" spans="1:21" ht="12.75">
      <c r="A996" s="44"/>
      <c r="B996" s="44"/>
      <c r="C996" s="44"/>
      <c r="D996" s="44"/>
      <c r="E996" s="44"/>
      <c r="F996" s="34"/>
      <c r="G996" s="34"/>
      <c r="H996" s="45"/>
      <c r="I996" s="44"/>
      <c r="J996" s="34"/>
      <c r="K996" s="44"/>
      <c r="L996" s="44"/>
      <c r="M996" s="44"/>
      <c r="N996" s="44"/>
      <c r="O996" s="44"/>
      <c r="P996" s="44"/>
      <c r="Q996" s="44"/>
      <c r="R996" s="44"/>
      <c r="S996" s="44"/>
      <c r="T996" s="44"/>
      <c r="U996" s="36"/>
    </row>
    <row r="997" spans="1:21" ht="12.75">
      <c r="A997" s="44"/>
      <c r="B997" s="44"/>
      <c r="C997" s="44"/>
      <c r="D997" s="44"/>
      <c r="E997" s="44"/>
      <c r="F997" s="34"/>
      <c r="G997" s="34"/>
      <c r="H997" s="45"/>
      <c r="I997" s="44"/>
      <c r="J997" s="34"/>
      <c r="K997" s="44"/>
      <c r="L997" s="44"/>
      <c r="M997" s="44"/>
      <c r="N997" s="44"/>
      <c r="O997" s="44"/>
      <c r="P997" s="44"/>
      <c r="Q997" s="44"/>
      <c r="R997" s="44"/>
      <c r="S997" s="44"/>
      <c r="T997" s="44"/>
      <c r="U997" s="36"/>
    </row>
    <row r="998" spans="1:21" ht="12.75">
      <c r="A998" s="44"/>
      <c r="B998" s="44"/>
      <c r="C998" s="44"/>
      <c r="D998" s="44"/>
      <c r="E998" s="44"/>
      <c r="F998" s="34"/>
      <c r="G998" s="34"/>
      <c r="H998" s="45"/>
      <c r="I998" s="44"/>
      <c r="J998" s="34"/>
      <c r="K998" s="44"/>
      <c r="L998" s="44"/>
      <c r="M998" s="44"/>
      <c r="N998" s="44"/>
      <c r="O998" s="44"/>
      <c r="P998" s="44"/>
      <c r="Q998" s="44"/>
      <c r="R998" s="44"/>
      <c r="S998" s="44"/>
      <c r="T998" s="44"/>
      <c r="U998" s="36"/>
    </row>
    <row r="999" spans="1:21" ht="12.75">
      <c r="A999" s="44"/>
      <c r="B999" s="44"/>
      <c r="C999" s="44"/>
      <c r="D999" s="44"/>
      <c r="E999" s="44"/>
      <c r="F999" s="34"/>
      <c r="G999" s="34"/>
      <c r="H999" s="45"/>
      <c r="I999" s="44"/>
      <c r="J999" s="34"/>
      <c r="K999" s="44"/>
      <c r="L999" s="44"/>
      <c r="M999" s="44"/>
      <c r="N999" s="44"/>
      <c r="O999" s="44"/>
      <c r="P999" s="44"/>
      <c r="Q999" s="44"/>
      <c r="R999" s="44"/>
      <c r="S999" s="44"/>
      <c r="T999" s="44"/>
      <c r="U999" s="36"/>
    </row>
    <row r="1000" spans="1:21" ht="12.75">
      <c r="A1000" s="44"/>
      <c r="B1000" s="44"/>
      <c r="C1000" s="44"/>
      <c r="D1000" s="44"/>
      <c r="E1000" s="44"/>
      <c r="F1000" s="34"/>
      <c r="G1000" s="34"/>
      <c r="H1000" s="45"/>
      <c r="I1000" s="44"/>
      <c r="J1000" s="34"/>
      <c r="K1000" s="44"/>
      <c r="L1000" s="44"/>
      <c r="M1000" s="44"/>
      <c r="N1000" s="44"/>
      <c r="O1000" s="44"/>
      <c r="P1000" s="44"/>
      <c r="Q1000" s="44"/>
      <c r="R1000" s="44"/>
      <c r="S1000" s="44"/>
      <c r="T1000" s="44"/>
      <c r="U1000" s="36"/>
    </row>
    <row r="1001" spans="1:21" ht="12.75">
      <c r="A1001" s="44"/>
      <c r="B1001" s="44"/>
      <c r="C1001" s="44"/>
      <c r="D1001" s="44"/>
      <c r="E1001" s="44"/>
      <c r="F1001" s="34"/>
      <c r="G1001" s="34"/>
      <c r="H1001" s="45"/>
      <c r="I1001" s="44"/>
      <c r="J1001" s="34"/>
      <c r="K1001" s="44"/>
      <c r="L1001" s="44"/>
      <c r="M1001" s="44"/>
      <c r="N1001" s="44"/>
      <c r="O1001" s="44"/>
      <c r="P1001" s="44"/>
      <c r="Q1001" s="44"/>
      <c r="R1001" s="44"/>
      <c r="S1001" s="44"/>
      <c r="T1001" s="44"/>
      <c r="U1001" s="36"/>
    </row>
    <row r="1002" spans="1:21" ht="12.75">
      <c r="A1002" s="44"/>
      <c r="B1002" s="44"/>
      <c r="C1002" s="44"/>
      <c r="D1002" s="44"/>
      <c r="E1002" s="44"/>
      <c r="F1002" s="34"/>
      <c r="G1002" s="34"/>
      <c r="H1002" s="45"/>
      <c r="I1002" s="44"/>
      <c r="J1002" s="34"/>
      <c r="K1002" s="44"/>
      <c r="L1002" s="44"/>
      <c r="M1002" s="44"/>
      <c r="N1002" s="44"/>
      <c r="O1002" s="44"/>
      <c r="P1002" s="44"/>
      <c r="Q1002" s="44"/>
      <c r="R1002" s="44"/>
      <c r="S1002" s="44"/>
      <c r="T1002" s="44"/>
      <c r="U1002" s="36"/>
    </row>
    <row r="1003" spans="1:21" ht="12.75">
      <c r="A1003" s="44"/>
      <c r="B1003" s="44"/>
      <c r="C1003" s="44"/>
      <c r="D1003" s="44"/>
      <c r="E1003" s="44"/>
      <c r="F1003" s="34"/>
      <c r="G1003" s="34"/>
      <c r="H1003" s="45"/>
      <c r="I1003" s="44"/>
      <c r="J1003" s="34"/>
      <c r="K1003" s="44"/>
      <c r="L1003" s="44"/>
      <c r="M1003" s="44"/>
      <c r="N1003" s="44"/>
      <c r="O1003" s="44"/>
      <c r="P1003" s="44"/>
      <c r="Q1003" s="44"/>
      <c r="R1003" s="44"/>
      <c r="S1003" s="44"/>
      <c r="T1003" s="44"/>
      <c r="U1003" s="36"/>
    </row>
    <row r="1004" spans="1:21" ht="12.75">
      <c r="A1004" s="44"/>
      <c r="B1004" s="44"/>
      <c r="C1004" s="44"/>
      <c r="D1004" s="44"/>
      <c r="E1004" s="44"/>
      <c r="F1004" s="34"/>
      <c r="G1004" s="34"/>
      <c r="H1004" s="45"/>
      <c r="I1004" s="44"/>
      <c r="J1004" s="34"/>
      <c r="K1004" s="44"/>
      <c r="L1004" s="44"/>
      <c r="M1004" s="44"/>
      <c r="N1004" s="44"/>
      <c r="O1004" s="44"/>
      <c r="P1004" s="44"/>
      <c r="Q1004" s="44"/>
      <c r="R1004" s="44"/>
      <c r="S1004" s="44"/>
      <c r="T1004" s="44"/>
      <c r="U1004" s="36"/>
    </row>
    <row r="1005" spans="1:21" ht="12.75">
      <c r="A1005" s="44"/>
      <c r="B1005" s="44"/>
      <c r="C1005" s="44"/>
      <c r="D1005" s="44"/>
      <c r="E1005" s="44"/>
      <c r="F1005" s="34"/>
      <c r="G1005" s="34"/>
      <c r="H1005" s="45"/>
      <c r="I1005" s="44"/>
      <c r="J1005" s="34"/>
      <c r="K1005" s="44"/>
      <c r="L1005" s="44"/>
      <c r="M1005" s="44"/>
      <c r="N1005" s="44"/>
      <c r="O1005" s="44"/>
      <c r="P1005" s="44"/>
      <c r="Q1005" s="44"/>
      <c r="R1005" s="44"/>
      <c r="S1005" s="44"/>
      <c r="T1005" s="44"/>
      <c r="U1005" s="3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V879"/>
  <sheetViews>
    <sheetView workbookViewId="0"/>
  </sheetViews>
  <sheetFormatPr defaultColWidth="12.5703125" defaultRowHeight="15.75" customHeight="1" outlineLevelCol="1"/>
  <cols>
    <col min="1" max="1" width="13.28515625" customWidth="1"/>
    <col min="2" max="2" width="20.7109375" customWidth="1"/>
    <col min="3" max="3" width="17.42578125" customWidth="1"/>
    <col min="4" max="4" width="14.28515625" customWidth="1"/>
    <col min="5" max="5" width="17.42578125" customWidth="1"/>
    <col min="6" max="6" width="44.42578125" customWidth="1"/>
    <col min="7" max="7" width="37.28515625" customWidth="1"/>
    <col min="8" max="8" width="20" customWidth="1"/>
    <col min="9" max="9" width="17.7109375" customWidth="1"/>
    <col min="10" max="10" width="50.28515625" customWidth="1" outlineLevel="1"/>
    <col min="11" max="11" width="17.28515625" customWidth="1"/>
    <col min="13" max="13" width="14.42578125" hidden="1" customWidth="1"/>
    <col min="14" max="14" width="58.85546875" customWidth="1"/>
    <col min="15" max="15" width="26.42578125" hidden="1" customWidth="1"/>
    <col min="16" max="16" width="27.5703125" hidden="1" customWidth="1"/>
    <col min="17" max="18" width="17.42578125" hidden="1" customWidth="1"/>
    <col min="19" max="20" width="14.85546875" hidden="1" customWidth="1"/>
    <col min="21" max="22" width="34.42578125" hidden="1" customWidth="1"/>
  </cols>
  <sheetData>
    <row r="1" spans="1:22" ht="25.5">
      <c r="A1" s="276" t="s">
        <v>5638</v>
      </c>
      <c r="B1" s="277" t="s">
        <v>2</v>
      </c>
      <c r="C1" s="278" t="s">
        <v>389</v>
      </c>
      <c r="D1" s="278" t="s">
        <v>4</v>
      </c>
      <c r="E1" s="279" t="s">
        <v>5</v>
      </c>
      <c r="F1" s="278" t="s">
        <v>6</v>
      </c>
      <c r="G1" s="278" t="s">
        <v>7</v>
      </c>
      <c r="H1" s="280" t="s">
        <v>5627</v>
      </c>
      <c r="I1" s="210" t="s">
        <v>5628</v>
      </c>
      <c r="J1" s="278" t="s">
        <v>8</v>
      </c>
      <c r="K1" s="278" t="s">
        <v>5629</v>
      </c>
      <c r="L1" s="278" t="s">
        <v>1821</v>
      </c>
      <c r="M1" s="216" t="s">
        <v>5305</v>
      </c>
      <c r="N1" s="216" t="s">
        <v>1822</v>
      </c>
      <c r="O1" s="271"/>
      <c r="P1" s="271" t="s">
        <v>5630</v>
      </c>
      <c r="Q1" s="271" t="s">
        <v>5631</v>
      </c>
      <c r="R1" s="271" t="s">
        <v>5632</v>
      </c>
      <c r="S1" s="271" t="s">
        <v>5633</v>
      </c>
      <c r="T1" s="271" t="s">
        <v>1818</v>
      </c>
      <c r="U1" s="274" t="s">
        <v>5634</v>
      </c>
      <c r="V1" s="275"/>
    </row>
    <row r="2" spans="1:22" ht="51">
      <c r="A2" s="281" t="s">
        <v>166</v>
      </c>
      <c r="B2" s="243" t="s">
        <v>5435</v>
      </c>
      <c r="C2" s="6" t="s">
        <v>61</v>
      </c>
      <c r="D2" s="6" t="s">
        <v>1862</v>
      </c>
      <c r="E2" s="7">
        <v>45294</v>
      </c>
      <c r="F2" s="6" t="s">
        <v>5436</v>
      </c>
      <c r="G2" s="6" t="s">
        <v>5437</v>
      </c>
      <c r="H2" s="225">
        <v>1150309</v>
      </c>
      <c r="I2" s="54"/>
      <c r="J2" s="6" t="s">
        <v>1938</v>
      </c>
      <c r="K2" s="6" t="s">
        <v>5639</v>
      </c>
      <c r="L2" s="6" t="s">
        <v>1828</v>
      </c>
      <c r="M2" s="52"/>
      <c r="N2" s="282" t="s">
        <v>5640</v>
      </c>
      <c r="O2" s="282"/>
      <c r="P2" s="283" t="s">
        <v>5641</v>
      </c>
      <c r="Q2" s="179"/>
      <c r="R2" s="6" t="s">
        <v>1808</v>
      </c>
      <c r="S2" s="6" t="s">
        <v>82</v>
      </c>
      <c r="T2" s="6"/>
      <c r="U2" s="54"/>
      <c r="V2" s="105"/>
    </row>
    <row r="3" spans="1:22" ht="140.25">
      <c r="A3" s="234" t="s">
        <v>166</v>
      </c>
      <c r="B3" s="234" t="s">
        <v>5438</v>
      </c>
      <c r="C3" s="29" t="s">
        <v>2406</v>
      </c>
      <c r="D3" s="220" t="s">
        <v>62</v>
      </c>
      <c r="E3" s="221">
        <v>45294</v>
      </c>
      <c r="F3" s="29" t="s">
        <v>5439</v>
      </c>
      <c r="G3" s="29" t="s">
        <v>1056</v>
      </c>
      <c r="H3" s="225" t="s">
        <v>1808</v>
      </c>
      <c r="I3" s="284"/>
      <c r="J3" s="220" t="s">
        <v>5642</v>
      </c>
      <c r="K3" s="220" t="s">
        <v>5643</v>
      </c>
      <c r="L3" s="220" t="s">
        <v>1828</v>
      </c>
      <c r="M3" s="284"/>
      <c r="N3" s="285" t="s">
        <v>5644</v>
      </c>
      <c r="O3" s="285"/>
      <c r="P3" s="284"/>
      <c r="Q3" s="284"/>
      <c r="R3" s="284"/>
      <c r="S3" s="156"/>
      <c r="T3" s="156"/>
      <c r="U3" s="286"/>
      <c r="V3" s="287"/>
    </row>
    <row r="4" spans="1:22" ht="76.5">
      <c r="A4" s="281" t="s">
        <v>166</v>
      </c>
      <c r="B4" s="244" t="s">
        <v>5440</v>
      </c>
      <c r="C4" s="156" t="s">
        <v>5441</v>
      </c>
      <c r="D4" s="156" t="s">
        <v>85</v>
      </c>
      <c r="E4" s="245">
        <v>45294</v>
      </c>
      <c r="F4" s="156" t="s">
        <v>5442</v>
      </c>
      <c r="G4" s="156" t="s">
        <v>5443</v>
      </c>
      <c r="H4" s="246" t="s">
        <v>1808</v>
      </c>
      <c r="I4" s="286"/>
      <c r="J4" s="156" t="s">
        <v>5645</v>
      </c>
      <c r="K4" s="156" t="s">
        <v>5646</v>
      </c>
      <c r="L4" s="156" t="s">
        <v>5647</v>
      </c>
      <c r="M4" s="159"/>
      <c r="N4" s="159" t="s">
        <v>5648</v>
      </c>
      <c r="O4" s="159"/>
      <c r="P4" s="283" t="s">
        <v>5649</v>
      </c>
      <c r="Q4" s="288"/>
      <c r="R4" s="156" t="s">
        <v>5650</v>
      </c>
      <c r="S4" s="156"/>
      <c r="T4" s="156"/>
      <c r="U4" s="286"/>
      <c r="V4" s="287"/>
    </row>
    <row r="5" spans="1:22" ht="140.25">
      <c r="A5" s="243" t="s">
        <v>166</v>
      </c>
      <c r="B5" s="243" t="s">
        <v>5444</v>
      </c>
      <c r="C5" s="220" t="s">
        <v>5441</v>
      </c>
      <c r="D5" s="156" t="s">
        <v>85</v>
      </c>
      <c r="E5" s="7">
        <v>45301</v>
      </c>
      <c r="F5" s="29" t="s">
        <v>5445</v>
      </c>
      <c r="G5" s="29" t="s">
        <v>5446</v>
      </c>
      <c r="H5" s="246" t="s">
        <v>1808</v>
      </c>
      <c r="I5" s="54"/>
      <c r="J5" s="220" t="s">
        <v>5651</v>
      </c>
      <c r="K5" s="220" t="s">
        <v>5643</v>
      </c>
      <c r="L5" s="220" t="s">
        <v>2609</v>
      </c>
      <c r="M5" s="22"/>
      <c r="N5" s="22" t="s">
        <v>5652</v>
      </c>
      <c r="O5" s="22"/>
      <c r="P5" s="283" t="s">
        <v>5653</v>
      </c>
      <c r="Q5" s="6"/>
      <c r="R5" s="6" t="s">
        <v>5654</v>
      </c>
      <c r="S5" s="6"/>
      <c r="T5" s="6"/>
      <c r="U5" s="284"/>
      <c r="V5" s="289"/>
    </row>
    <row r="6" spans="1:22" ht="76.5">
      <c r="A6" s="243" t="s">
        <v>166</v>
      </c>
      <c r="B6" s="243" t="s">
        <v>5447</v>
      </c>
      <c r="C6" s="220" t="s">
        <v>5441</v>
      </c>
      <c r="D6" s="220" t="s">
        <v>85</v>
      </c>
      <c r="E6" s="221">
        <v>45294</v>
      </c>
      <c r="F6" s="29" t="s">
        <v>5448</v>
      </c>
      <c r="G6" s="29" t="s">
        <v>5449</v>
      </c>
      <c r="H6" s="246" t="s">
        <v>1808</v>
      </c>
      <c r="I6" s="54"/>
      <c r="J6" s="220" t="s">
        <v>5655</v>
      </c>
      <c r="K6" s="220" t="s">
        <v>5643</v>
      </c>
      <c r="L6" s="220" t="s">
        <v>5656</v>
      </c>
      <c r="M6" s="282"/>
      <c r="N6" s="282" t="s">
        <v>5657</v>
      </c>
      <c r="O6" s="282"/>
      <c r="P6" s="283" t="s">
        <v>5658</v>
      </c>
      <c r="Q6" s="285"/>
      <c r="R6" s="220" t="s">
        <v>5654</v>
      </c>
      <c r="S6" s="220"/>
      <c r="T6" s="220"/>
      <c r="U6" s="284"/>
      <c r="V6" s="289"/>
    </row>
    <row r="7" spans="1:22" ht="102">
      <c r="A7" s="243" t="s">
        <v>166</v>
      </c>
      <c r="B7" s="243" t="s">
        <v>5450</v>
      </c>
      <c r="C7" s="6" t="s">
        <v>61</v>
      </c>
      <c r="D7" s="220" t="s">
        <v>394</v>
      </c>
      <c r="E7" s="221">
        <v>45310</v>
      </c>
      <c r="F7" s="29" t="s">
        <v>420</v>
      </c>
      <c r="G7" s="29" t="s">
        <v>421</v>
      </c>
      <c r="H7" s="225">
        <v>18900</v>
      </c>
      <c r="I7" s="54"/>
      <c r="J7" s="220" t="s">
        <v>5659</v>
      </c>
      <c r="K7" s="220" t="s">
        <v>5643</v>
      </c>
      <c r="L7" s="220" t="s">
        <v>1879</v>
      </c>
      <c r="M7" s="282"/>
      <c r="N7" s="282" t="s">
        <v>5660</v>
      </c>
      <c r="O7" s="282"/>
      <c r="P7" s="283" t="s">
        <v>5661</v>
      </c>
      <c r="Q7" s="285"/>
      <c r="R7" s="220" t="s">
        <v>1808</v>
      </c>
      <c r="S7" s="220"/>
      <c r="T7" s="220"/>
      <c r="U7" s="284"/>
      <c r="V7" s="289"/>
    </row>
    <row r="8" spans="1:22" ht="153">
      <c r="A8" s="243" t="s">
        <v>166</v>
      </c>
      <c r="B8" s="243" t="s">
        <v>5451</v>
      </c>
      <c r="C8" s="6" t="s">
        <v>5452</v>
      </c>
      <c r="D8" s="220" t="s">
        <v>1379</v>
      </c>
      <c r="E8" s="221">
        <v>45317</v>
      </c>
      <c r="F8" s="29" t="s">
        <v>5453</v>
      </c>
      <c r="G8" s="29" t="s">
        <v>5454</v>
      </c>
      <c r="H8" s="225">
        <v>3669000</v>
      </c>
      <c r="I8" s="54"/>
      <c r="J8" s="220" t="s">
        <v>1425</v>
      </c>
      <c r="K8" s="200" t="s">
        <v>5639</v>
      </c>
      <c r="L8" s="220" t="s">
        <v>1828</v>
      </c>
      <c r="M8" s="282"/>
      <c r="N8" s="282" t="s">
        <v>5662</v>
      </c>
      <c r="O8" s="282"/>
      <c r="P8" s="290" t="s">
        <v>5663</v>
      </c>
      <c r="Q8" s="285"/>
      <c r="R8" s="220" t="s">
        <v>1808</v>
      </c>
      <c r="S8" s="220"/>
      <c r="T8" s="220"/>
      <c r="U8" s="284"/>
      <c r="V8" s="289"/>
    </row>
    <row r="9" spans="1:22" ht="102">
      <c r="A9" s="243" t="s">
        <v>166</v>
      </c>
      <c r="B9" s="243" t="s">
        <v>5455</v>
      </c>
      <c r="C9" s="6" t="s">
        <v>61</v>
      </c>
      <c r="D9" s="220" t="s">
        <v>394</v>
      </c>
      <c r="E9" s="221">
        <v>45337</v>
      </c>
      <c r="F9" s="29" t="s">
        <v>422</v>
      </c>
      <c r="G9" s="29" t="s">
        <v>423</v>
      </c>
      <c r="H9" s="225">
        <v>122000</v>
      </c>
      <c r="I9" s="54"/>
      <c r="J9" s="220" t="s">
        <v>5664</v>
      </c>
      <c r="K9" s="220" t="s">
        <v>5665</v>
      </c>
      <c r="L9" s="220" t="s">
        <v>2041</v>
      </c>
      <c r="M9" s="282"/>
      <c r="N9" s="282" t="s">
        <v>5666</v>
      </c>
      <c r="O9" s="282"/>
      <c r="P9" s="290" t="s">
        <v>5667</v>
      </c>
      <c r="Q9" s="285"/>
      <c r="R9" s="220" t="s">
        <v>1808</v>
      </c>
      <c r="S9" s="220" t="s">
        <v>82</v>
      </c>
      <c r="T9" s="220"/>
      <c r="U9" s="284"/>
      <c r="V9" s="289"/>
    </row>
    <row r="10" spans="1:22" ht="63.75">
      <c r="A10" s="243" t="s">
        <v>166</v>
      </c>
      <c r="B10" s="243" t="s">
        <v>5456</v>
      </c>
      <c r="C10" s="6" t="s">
        <v>61</v>
      </c>
      <c r="D10" s="6" t="s">
        <v>394</v>
      </c>
      <c r="E10" s="7">
        <v>45337</v>
      </c>
      <c r="F10" s="6" t="s">
        <v>424</v>
      </c>
      <c r="G10" s="6" t="s">
        <v>425</v>
      </c>
      <c r="H10" s="8">
        <v>8000</v>
      </c>
      <c r="I10" s="54"/>
      <c r="J10" s="6" t="s">
        <v>5668</v>
      </c>
      <c r="K10" s="220" t="s">
        <v>5665</v>
      </c>
      <c r="L10" s="29" t="s">
        <v>2472</v>
      </c>
      <c r="M10" s="22"/>
      <c r="N10" s="22" t="s">
        <v>5669</v>
      </c>
      <c r="O10" s="22"/>
      <c r="P10" s="291" t="s">
        <v>5670</v>
      </c>
      <c r="Q10" s="179"/>
      <c r="R10" s="6" t="s">
        <v>1808</v>
      </c>
      <c r="S10" s="6"/>
      <c r="T10" s="6"/>
      <c r="U10" s="54"/>
      <c r="V10" s="105"/>
    </row>
    <row r="11" spans="1:22" ht="63.75">
      <c r="A11" s="243" t="s">
        <v>166</v>
      </c>
      <c r="B11" s="243" t="s">
        <v>5457</v>
      </c>
      <c r="C11" s="6" t="s">
        <v>61</v>
      </c>
      <c r="D11" s="6" t="s">
        <v>85</v>
      </c>
      <c r="E11" s="7">
        <v>45337</v>
      </c>
      <c r="F11" s="6" t="s">
        <v>426</v>
      </c>
      <c r="G11" s="6" t="s">
        <v>427</v>
      </c>
      <c r="H11" s="8">
        <v>227925</v>
      </c>
      <c r="I11" s="6"/>
      <c r="J11" s="6" t="s">
        <v>5671</v>
      </c>
      <c r="K11" s="220" t="s">
        <v>5643</v>
      </c>
      <c r="L11" s="6" t="s">
        <v>1896</v>
      </c>
      <c r="M11" s="22"/>
      <c r="N11" s="22" t="s">
        <v>5672</v>
      </c>
      <c r="O11" s="22"/>
      <c r="P11" s="291" t="s">
        <v>5673</v>
      </c>
      <c r="Q11" s="179"/>
      <c r="R11" s="6" t="s">
        <v>5650</v>
      </c>
      <c r="S11" s="6"/>
      <c r="T11" s="6"/>
      <c r="U11" s="54"/>
      <c r="V11" s="105"/>
    </row>
    <row r="12" spans="1:22" ht="30.75" customHeight="1">
      <c r="A12" s="243" t="s">
        <v>166</v>
      </c>
      <c r="B12" s="243" t="s">
        <v>5458</v>
      </c>
      <c r="C12" s="6" t="s">
        <v>1867</v>
      </c>
      <c r="D12" s="6" t="s">
        <v>62</v>
      </c>
      <c r="E12" s="7">
        <v>45337</v>
      </c>
      <c r="F12" s="6" t="s">
        <v>5459</v>
      </c>
      <c r="G12" s="6" t="s">
        <v>5460</v>
      </c>
      <c r="H12" s="8">
        <v>1493838</v>
      </c>
      <c r="I12" s="6"/>
      <c r="J12" s="6" t="s">
        <v>5674</v>
      </c>
      <c r="K12" s="220" t="s">
        <v>5643</v>
      </c>
      <c r="L12" s="29" t="s">
        <v>1828</v>
      </c>
      <c r="M12" s="22"/>
      <c r="N12" s="22" t="s">
        <v>5675</v>
      </c>
      <c r="O12" s="22"/>
      <c r="P12" s="6"/>
      <c r="Q12" s="179"/>
      <c r="R12" s="6"/>
      <c r="S12" s="6"/>
      <c r="T12" s="6"/>
      <c r="U12" s="54"/>
      <c r="V12" s="105"/>
    </row>
    <row r="13" spans="1:22" ht="63.75">
      <c r="A13" s="243" t="s">
        <v>166</v>
      </c>
      <c r="B13" s="243" t="s">
        <v>5461</v>
      </c>
      <c r="C13" s="6" t="s">
        <v>61</v>
      </c>
      <c r="D13" s="6" t="s">
        <v>394</v>
      </c>
      <c r="E13" s="7">
        <v>45350</v>
      </c>
      <c r="F13" s="6" t="s">
        <v>428</v>
      </c>
      <c r="G13" s="6" t="s">
        <v>429</v>
      </c>
      <c r="H13" s="8">
        <v>77500</v>
      </c>
      <c r="I13" s="6"/>
      <c r="J13" s="6" t="s">
        <v>5676</v>
      </c>
      <c r="K13" s="220" t="s">
        <v>5665</v>
      </c>
      <c r="L13" s="29" t="s">
        <v>1899</v>
      </c>
      <c r="M13" s="22"/>
      <c r="N13" s="22" t="s">
        <v>5677</v>
      </c>
      <c r="O13" s="22"/>
      <c r="P13" s="291" t="s">
        <v>5678</v>
      </c>
      <c r="Q13" s="179"/>
      <c r="R13" s="6" t="s">
        <v>1808</v>
      </c>
      <c r="S13" s="6"/>
      <c r="T13" s="6"/>
      <c r="U13" s="54"/>
      <c r="V13" s="105"/>
    </row>
    <row r="14" spans="1:22" ht="63.75">
      <c r="A14" s="281" t="s">
        <v>166</v>
      </c>
      <c r="B14" s="281" t="s">
        <v>5462</v>
      </c>
      <c r="C14" s="6" t="s">
        <v>61</v>
      </c>
      <c r="D14" s="6" t="s">
        <v>394</v>
      </c>
      <c r="E14" s="7">
        <v>45350</v>
      </c>
      <c r="F14" s="6" t="s">
        <v>430</v>
      </c>
      <c r="G14" s="292" t="s">
        <v>431</v>
      </c>
      <c r="H14" s="8">
        <v>51300</v>
      </c>
      <c r="I14" s="6"/>
      <c r="J14" s="6" t="s">
        <v>5679</v>
      </c>
      <c r="K14" s="220" t="s">
        <v>5680</v>
      </c>
      <c r="L14" s="29" t="s">
        <v>1886</v>
      </c>
      <c r="M14" s="22"/>
      <c r="N14" s="22" t="s">
        <v>5681</v>
      </c>
      <c r="O14" s="22"/>
      <c r="P14" s="291" t="s">
        <v>5682</v>
      </c>
      <c r="Q14" s="179"/>
      <c r="R14" s="6" t="s">
        <v>1808</v>
      </c>
      <c r="S14" s="220"/>
      <c r="T14" s="6"/>
      <c r="U14" s="54"/>
      <c r="V14" s="105"/>
    </row>
    <row r="15" spans="1:22" ht="267.75">
      <c r="A15" s="243" t="s">
        <v>166</v>
      </c>
      <c r="B15" s="243" t="s">
        <v>1371</v>
      </c>
      <c r="C15" s="6" t="s">
        <v>61</v>
      </c>
      <c r="D15" s="6" t="s">
        <v>1372</v>
      </c>
      <c r="E15" s="7">
        <v>45358</v>
      </c>
      <c r="F15" s="6" t="s">
        <v>1373</v>
      </c>
      <c r="G15" s="6" t="s">
        <v>1374</v>
      </c>
      <c r="H15" s="8">
        <v>2865280</v>
      </c>
      <c r="I15" s="6" t="s">
        <v>5683</v>
      </c>
      <c r="J15" s="6" t="s">
        <v>5684</v>
      </c>
      <c r="K15" s="189"/>
      <c r="L15" s="6" t="s">
        <v>5685</v>
      </c>
      <c r="M15" s="22"/>
      <c r="N15" s="22" t="s">
        <v>5686</v>
      </c>
      <c r="O15" s="22"/>
      <c r="P15" s="291" t="s">
        <v>5687</v>
      </c>
      <c r="Q15" s="179"/>
      <c r="R15" s="6" t="s">
        <v>1808</v>
      </c>
      <c r="S15" s="220"/>
      <c r="T15" s="6"/>
      <c r="U15" s="54"/>
      <c r="V15" s="105"/>
    </row>
    <row r="16" spans="1:22" ht="102">
      <c r="A16" s="293" t="s">
        <v>166</v>
      </c>
      <c r="B16" s="293" t="s">
        <v>432</v>
      </c>
      <c r="C16" s="6" t="s">
        <v>61</v>
      </c>
      <c r="D16" s="6" t="s">
        <v>85</v>
      </c>
      <c r="E16" s="7">
        <v>45372</v>
      </c>
      <c r="F16" s="6" t="s">
        <v>433</v>
      </c>
      <c r="G16" s="6" t="s">
        <v>434</v>
      </c>
      <c r="H16" s="8">
        <v>32252</v>
      </c>
      <c r="I16" s="6"/>
      <c r="J16" s="6" t="s">
        <v>5688</v>
      </c>
      <c r="K16" s="220" t="s">
        <v>5689</v>
      </c>
      <c r="L16" s="6" t="s">
        <v>1879</v>
      </c>
      <c r="M16" s="22"/>
      <c r="N16" s="22" t="s">
        <v>5690</v>
      </c>
      <c r="O16" s="22"/>
      <c r="P16" s="291" t="s">
        <v>5691</v>
      </c>
      <c r="Q16" s="179"/>
      <c r="R16" s="6" t="s">
        <v>5654</v>
      </c>
      <c r="S16" s="6"/>
      <c r="T16" s="6"/>
      <c r="U16" s="54"/>
      <c r="V16" s="105"/>
    </row>
    <row r="17" spans="1:22" ht="114.75">
      <c r="A17" s="243" t="s">
        <v>166</v>
      </c>
      <c r="B17" s="243" t="s">
        <v>5463</v>
      </c>
      <c r="C17" s="6" t="s">
        <v>5464</v>
      </c>
      <c r="D17" s="6" t="s">
        <v>1372</v>
      </c>
      <c r="E17" s="7">
        <v>45372</v>
      </c>
      <c r="F17" s="6" t="s">
        <v>5465</v>
      </c>
      <c r="G17" s="6" t="s">
        <v>5466</v>
      </c>
      <c r="H17" s="8">
        <v>2865280</v>
      </c>
      <c r="I17" s="54"/>
      <c r="J17" s="6" t="s">
        <v>5684</v>
      </c>
      <c r="K17" s="6"/>
      <c r="L17" s="6" t="s">
        <v>5685</v>
      </c>
      <c r="M17" s="22"/>
      <c r="N17" s="22" t="s">
        <v>5692</v>
      </c>
      <c r="O17" s="22"/>
      <c r="P17" s="291" t="s">
        <v>5693</v>
      </c>
      <c r="Q17" s="179"/>
      <c r="R17" s="6" t="s">
        <v>1808</v>
      </c>
      <c r="S17" s="220"/>
      <c r="T17" s="6"/>
      <c r="U17" s="54"/>
      <c r="V17" s="105"/>
    </row>
    <row r="18" spans="1:22" ht="63.75">
      <c r="A18" s="281" t="s">
        <v>166</v>
      </c>
      <c r="B18" s="281" t="s">
        <v>435</v>
      </c>
      <c r="C18" s="6" t="s">
        <v>61</v>
      </c>
      <c r="D18" s="6" t="s">
        <v>394</v>
      </c>
      <c r="E18" s="7">
        <v>45394</v>
      </c>
      <c r="F18" s="6" t="s">
        <v>436</v>
      </c>
      <c r="G18" s="6" t="s">
        <v>437</v>
      </c>
      <c r="H18" s="8">
        <v>60000</v>
      </c>
      <c r="I18" s="54"/>
      <c r="J18" s="6" t="s">
        <v>5694</v>
      </c>
      <c r="K18" s="220" t="s">
        <v>5643</v>
      </c>
      <c r="L18" s="29" t="s">
        <v>1828</v>
      </c>
      <c r="M18" s="22"/>
      <c r="N18" s="22" t="s">
        <v>5695</v>
      </c>
      <c r="O18" s="22"/>
      <c r="P18" s="291" t="s">
        <v>5696</v>
      </c>
      <c r="Q18" s="179"/>
      <c r="R18" s="6" t="s">
        <v>1808</v>
      </c>
      <c r="S18" s="6" t="s">
        <v>1904</v>
      </c>
      <c r="T18" s="6"/>
      <c r="U18" s="54"/>
      <c r="V18" s="105"/>
    </row>
    <row r="19" spans="1:22" ht="140.25">
      <c r="A19" s="243" t="s">
        <v>166</v>
      </c>
      <c r="B19" s="243" t="s">
        <v>438</v>
      </c>
      <c r="C19" s="6" t="s">
        <v>61</v>
      </c>
      <c r="D19" s="6" t="s">
        <v>85</v>
      </c>
      <c r="E19" s="7">
        <v>45394</v>
      </c>
      <c r="F19" s="6" t="s">
        <v>439</v>
      </c>
      <c r="G19" s="6" t="s">
        <v>5697</v>
      </c>
      <c r="H19" s="8">
        <v>71385</v>
      </c>
      <c r="I19" s="54"/>
      <c r="J19" s="6" t="s">
        <v>5698</v>
      </c>
      <c r="K19" s="220" t="s">
        <v>5699</v>
      </c>
      <c r="L19" s="6" t="s">
        <v>5647</v>
      </c>
      <c r="M19" s="22"/>
      <c r="N19" s="22" t="s">
        <v>5700</v>
      </c>
      <c r="O19" s="22"/>
      <c r="P19" s="291" t="s">
        <v>5701</v>
      </c>
      <c r="Q19" s="179"/>
      <c r="R19" s="6" t="s">
        <v>1808</v>
      </c>
      <c r="S19" s="6"/>
      <c r="T19" s="6"/>
      <c r="U19" s="54"/>
      <c r="V19" s="105"/>
    </row>
    <row r="20" spans="1:22" ht="127.5">
      <c r="A20" s="281" t="s">
        <v>166</v>
      </c>
      <c r="B20" s="281" t="s">
        <v>1375</v>
      </c>
      <c r="C20" s="6" t="s">
        <v>61</v>
      </c>
      <c r="D20" s="6" t="s">
        <v>1372</v>
      </c>
      <c r="E20" s="7">
        <v>45394</v>
      </c>
      <c r="F20" s="6" t="s">
        <v>1376</v>
      </c>
      <c r="G20" s="6" t="s">
        <v>1377</v>
      </c>
      <c r="H20" s="8">
        <v>1580912.96</v>
      </c>
      <c r="I20" s="54" t="s">
        <v>5702</v>
      </c>
      <c r="J20" s="6" t="s">
        <v>5703</v>
      </c>
      <c r="K20" s="6"/>
      <c r="L20" s="6" t="s">
        <v>5685</v>
      </c>
      <c r="M20" s="22"/>
      <c r="N20" s="22" t="s">
        <v>5704</v>
      </c>
      <c r="O20" s="22"/>
      <c r="P20" s="291" t="s">
        <v>5705</v>
      </c>
      <c r="Q20" s="179"/>
      <c r="R20" s="6" t="s">
        <v>1808</v>
      </c>
      <c r="S20" s="6"/>
      <c r="T20" s="6"/>
      <c r="U20" s="54"/>
      <c r="V20" s="105"/>
    </row>
    <row r="21" spans="1:22" ht="204">
      <c r="A21" s="243" t="s">
        <v>166</v>
      </c>
      <c r="B21" s="243" t="s">
        <v>1378</v>
      </c>
      <c r="C21" s="6" t="s">
        <v>61</v>
      </c>
      <c r="D21" s="220" t="s">
        <v>1379</v>
      </c>
      <c r="E21" s="7">
        <v>45403</v>
      </c>
      <c r="F21" s="6" t="s">
        <v>1380</v>
      </c>
      <c r="G21" s="210" t="s">
        <v>5706</v>
      </c>
      <c r="H21" s="8">
        <v>1307000</v>
      </c>
      <c r="I21" s="54" t="s">
        <v>5707</v>
      </c>
      <c r="J21" s="6" t="s">
        <v>1938</v>
      </c>
      <c r="K21" s="6" t="s">
        <v>5639</v>
      </c>
      <c r="L21" s="6" t="s">
        <v>1828</v>
      </c>
      <c r="M21" s="22"/>
      <c r="N21" s="22" t="s">
        <v>5708</v>
      </c>
      <c r="O21" s="22"/>
      <c r="P21" s="291" t="s">
        <v>5709</v>
      </c>
      <c r="Q21" s="179"/>
      <c r="R21" s="6" t="s">
        <v>1808</v>
      </c>
      <c r="S21" s="6"/>
      <c r="T21" s="6"/>
      <c r="U21" s="54"/>
      <c r="V21" s="105"/>
    </row>
    <row r="22" spans="1:22" ht="158.25" customHeight="1">
      <c r="A22" s="243" t="s">
        <v>166</v>
      </c>
      <c r="B22" s="243" t="s">
        <v>1382</v>
      </c>
      <c r="C22" s="6" t="s">
        <v>61</v>
      </c>
      <c r="D22" s="6" t="s">
        <v>1383</v>
      </c>
      <c r="E22" s="7">
        <v>45399</v>
      </c>
      <c r="F22" s="6" t="s">
        <v>1384</v>
      </c>
      <c r="G22" s="6" t="s">
        <v>1346</v>
      </c>
      <c r="H22" s="64">
        <v>200000</v>
      </c>
      <c r="I22" s="294"/>
      <c r="J22" s="6" t="s">
        <v>5710</v>
      </c>
      <c r="K22" s="6" t="s">
        <v>5711</v>
      </c>
      <c r="L22" s="6" t="s">
        <v>5712</v>
      </c>
      <c r="M22" s="22"/>
      <c r="N22" s="22" t="s">
        <v>5713</v>
      </c>
      <c r="O22" s="22"/>
      <c r="P22" s="291" t="s">
        <v>5714</v>
      </c>
      <c r="Q22" s="179"/>
      <c r="R22" s="6"/>
      <c r="S22" s="6"/>
      <c r="T22" s="6"/>
      <c r="U22" s="54"/>
      <c r="V22" s="105"/>
    </row>
    <row r="23" spans="1:22" ht="165.75">
      <c r="A23" s="243" t="s">
        <v>166</v>
      </c>
      <c r="B23" s="243" t="s">
        <v>441</v>
      </c>
      <c r="C23" s="6" t="s">
        <v>61</v>
      </c>
      <c r="D23" s="6" t="s">
        <v>394</v>
      </c>
      <c r="E23" s="7">
        <v>45407</v>
      </c>
      <c r="F23" s="6" t="s">
        <v>442</v>
      </c>
      <c r="G23" s="6" t="s">
        <v>443</v>
      </c>
      <c r="H23" s="8">
        <v>76000</v>
      </c>
      <c r="I23" s="54"/>
      <c r="J23" s="6" t="s">
        <v>5715</v>
      </c>
      <c r="K23" s="6" t="s">
        <v>5716</v>
      </c>
      <c r="L23" s="29" t="s">
        <v>2031</v>
      </c>
      <c r="M23" s="22"/>
      <c r="N23" s="22" t="s">
        <v>5717</v>
      </c>
      <c r="O23" s="22"/>
      <c r="P23" s="6"/>
      <c r="Q23" s="179"/>
      <c r="R23" s="6"/>
      <c r="S23" s="6"/>
      <c r="T23" s="6"/>
      <c r="U23" s="54"/>
      <c r="V23" s="105"/>
    </row>
    <row r="24" spans="1:22" ht="127.5">
      <c r="A24" s="243" t="s">
        <v>166</v>
      </c>
      <c r="B24" s="243" t="s">
        <v>444</v>
      </c>
      <c r="C24" s="6" t="s">
        <v>61</v>
      </c>
      <c r="D24" s="6" t="s">
        <v>394</v>
      </c>
      <c r="E24" s="7">
        <v>45415</v>
      </c>
      <c r="F24" s="6" t="s">
        <v>445</v>
      </c>
      <c r="G24" s="6" t="s">
        <v>446</v>
      </c>
      <c r="H24" s="8">
        <v>111000</v>
      </c>
      <c r="I24" s="54"/>
      <c r="J24" s="6" t="s">
        <v>5718</v>
      </c>
      <c r="K24" s="6" t="s">
        <v>5719</v>
      </c>
      <c r="L24" s="29" t="s">
        <v>2082</v>
      </c>
      <c r="M24" s="22"/>
      <c r="N24" s="22" t="s">
        <v>5720</v>
      </c>
      <c r="O24" s="22"/>
      <c r="P24" s="6"/>
      <c r="Q24" s="179"/>
      <c r="R24" s="6"/>
      <c r="S24" s="6"/>
      <c r="T24" s="6"/>
      <c r="U24" s="54"/>
      <c r="V24" s="105"/>
    </row>
    <row r="25" spans="1:22" ht="255">
      <c r="A25" s="243" t="s">
        <v>166</v>
      </c>
      <c r="B25" s="243" t="s">
        <v>5469</v>
      </c>
      <c r="C25" s="292" t="s">
        <v>61</v>
      </c>
      <c r="D25" s="6" t="s">
        <v>5470</v>
      </c>
      <c r="E25" s="295">
        <v>45441</v>
      </c>
      <c r="F25" s="160" t="s">
        <v>5471</v>
      </c>
      <c r="G25" s="296" t="s">
        <v>1968</v>
      </c>
      <c r="H25" s="8">
        <v>35075</v>
      </c>
      <c r="I25" s="6"/>
      <c r="J25" s="6" t="s">
        <v>1827</v>
      </c>
      <c r="K25" s="6" t="s">
        <v>5639</v>
      </c>
      <c r="L25" s="6" t="s">
        <v>1828</v>
      </c>
      <c r="M25" s="22"/>
      <c r="N25" s="22" t="s">
        <v>5721</v>
      </c>
      <c r="O25" s="22"/>
      <c r="P25" s="291" t="s">
        <v>5722</v>
      </c>
      <c r="Q25" s="179"/>
      <c r="R25" s="6"/>
      <c r="S25" s="6"/>
      <c r="T25" s="6"/>
      <c r="U25" s="54"/>
      <c r="V25" s="105"/>
    </row>
    <row r="26" spans="1:22" ht="165.75">
      <c r="A26" s="243" t="s">
        <v>166</v>
      </c>
      <c r="B26" s="243" t="s">
        <v>5472</v>
      </c>
      <c r="C26" s="6" t="s">
        <v>61</v>
      </c>
      <c r="D26" s="6" t="s">
        <v>5473</v>
      </c>
      <c r="E26" s="295">
        <v>45441</v>
      </c>
      <c r="F26" s="6" t="s">
        <v>5474</v>
      </c>
      <c r="G26" s="6" t="s">
        <v>575</v>
      </c>
      <c r="H26" s="8">
        <v>96950</v>
      </c>
      <c r="I26" s="54"/>
      <c r="J26" s="6" t="s">
        <v>5723</v>
      </c>
      <c r="K26" s="6" t="s">
        <v>5639</v>
      </c>
      <c r="L26" s="6" t="s">
        <v>1828</v>
      </c>
      <c r="M26" s="22"/>
      <c r="N26" s="22" t="s">
        <v>5724</v>
      </c>
      <c r="O26" s="22"/>
      <c r="P26" s="291" t="s">
        <v>5725</v>
      </c>
      <c r="Q26" s="179"/>
      <c r="R26" s="6"/>
      <c r="S26" s="6"/>
      <c r="T26" s="6"/>
      <c r="U26" s="54"/>
      <c r="V26" s="105"/>
    </row>
    <row r="27" spans="1:22" ht="38.25" customHeight="1">
      <c r="A27" s="27" t="s">
        <v>295</v>
      </c>
      <c r="B27" s="27" t="s">
        <v>296</v>
      </c>
      <c r="C27" s="6" t="s">
        <v>61</v>
      </c>
      <c r="D27" s="6" t="s">
        <v>225</v>
      </c>
      <c r="E27" s="7">
        <v>45586</v>
      </c>
      <c r="F27" s="6" t="s">
        <v>297</v>
      </c>
      <c r="G27" s="6" t="s">
        <v>298</v>
      </c>
      <c r="H27" s="8">
        <v>4551960</v>
      </c>
      <c r="I27" s="54"/>
      <c r="J27" s="6" t="s">
        <v>5726</v>
      </c>
      <c r="K27" s="6" t="s">
        <v>5727</v>
      </c>
      <c r="L27" s="29" t="s">
        <v>5728</v>
      </c>
      <c r="M27" s="22"/>
      <c r="N27" s="22" t="s">
        <v>5729</v>
      </c>
      <c r="O27" s="22"/>
      <c r="P27" s="291" t="s">
        <v>5730</v>
      </c>
      <c r="Q27" s="179"/>
      <c r="R27" s="6"/>
      <c r="S27" s="6"/>
      <c r="T27" s="6"/>
      <c r="U27" s="54"/>
      <c r="V27" s="105"/>
    </row>
    <row r="28" spans="1:22" ht="95.25" customHeight="1">
      <c r="A28" s="27" t="s">
        <v>166</v>
      </c>
      <c r="B28" s="27" t="s">
        <v>224</v>
      </c>
      <c r="C28" s="6" t="s">
        <v>61</v>
      </c>
      <c r="D28" s="6" t="s">
        <v>225</v>
      </c>
      <c r="E28" s="31">
        <v>45544</v>
      </c>
      <c r="F28" s="6" t="s">
        <v>226</v>
      </c>
      <c r="G28" s="6" t="s">
        <v>5731</v>
      </c>
      <c r="H28" s="8">
        <v>3412000</v>
      </c>
      <c r="I28" s="54"/>
      <c r="J28" s="6" t="s">
        <v>5732</v>
      </c>
      <c r="K28" s="6" t="s">
        <v>5727</v>
      </c>
      <c r="L28" s="6" t="s">
        <v>2472</v>
      </c>
      <c r="M28" s="22"/>
      <c r="N28" s="22" t="s">
        <v>5733</v>
      </c>
      <c r="O28" s="22"/>
      <c r="P28" s="291" t="s">
        <v>5734</v>
      </c>
      <c r="Q28" s="179"/>
      <c r="R28" s="6"/>
      <c r="S28" s="6"/>
      <c r="T28" s="6"/>
      <c r="U28" s="54"/>
      <c r="V28" s="105"/>
    </row>
    <row r="29" spans="1:22" ht="163.5" customHeight="1">
      <c r="A29" s="27" t="s">
        <v>166</v>
      </c>
      <c r="B29" s="27" t="s">
        <v>230</v>
      </c>
      <c r="C29" s="6" t="s">
        <v>61</v>
      </c>
      <c r="D29" s="6" t="s">
        <v>225</v>
      </c>
      <c r="E29" s="7">
        <v>45565</v>
      </c>
      <c r="F29" s="6" t="s">
        <v>231</v>
      </c>
      <c r="G29" s="6" t="s">
        <v>232</v>
      </c>
      <c r="H29" s="214">
        <v>2332760.88</v>
      </c>
      <c r="I29" s="54"/>
      <c r="J29" s="6" t="s">
        <v>5735</v>
      </c>
      <c r="K29" s="6" t="s">
        <v>5736</v>
      </c>
      <c r="L29" s="6" t="s">
        <v>1828</v>
      </c>
      <c r="M29" s="22"/>
      <c r="N29" s="22" t="s">
        <v>5737</v>
      </c>
      <c r="O29" s="22"/>
      <c r="P29" s="291" t="s">
        <v>5738</v>
      </c>
      <c r="Q29" s="179"/>
      <c r="R29" s="6"/>
      <c r="S29" s="6"/>
      <c r="T29" s="6"/>
      <c r="U29" s="54"/>
      <c r="V29" s="105"/>
    </row>
    <row r="30" spans="1:22" ht="51">
      <c r="A30" s="27" t="s">
        <v>166</v>
      </c>
      <c r="B30" s="27" t="s">
        <v>234</v>
      </c>
      <c r="C30" s="6" t="s">
        <v>61</v>
      </c>
      <c r="D30" s="6" t="s">
        <v>225</v>
      </c>
      <c r="E30" s="7">
        <v>45547</v>
      </c>
      <c r="F30" s="6" t="s">
        <v>235</v>
      </c>
      <c r="G30" s="210" t="s">
        <v>5739</v>
      </c>
      <c r="H30" s="211">
        <v>4000000</v>
      </c>
      <c r="I30" s="54"/>
      <c r="J30" s="6" t="s">
        <v>5740</v>
      </c>
      <c r="K30" s="6" t="s">
        <v>5727</v>
      </c>
      <c r="L30" s="6" t="s">
        <v>1828</v>
      </c>
      <c r="M30" s="22"/>
      <c r="N30" s="22" t="s">
        <v>5741</v>
      </c>
      <c r="O30" s="22"/>
      <c r="P30" s="6"/>
      <c r="Q30" s="179"/>
      <c r="R30" s="6"/>
      <c r="S30" s="6"/>
      <c r="T30" s="6"/>
      <c r="U30" s="54"/>
      <c r="V30" s="105"/>
    </row>
    <row r="31" spans="1:22" ht="204">
      <c r="A31" s="243" t="s">
        <v>166</v>
      </c>
      <c r="B31" s="243" t="s">
        <v>1385</v>
      </c>
      <c r="C31" s="6" t="s">
        <v>61</v>
      </c>
      <c r="D31" s="6" t="s">
        <v>1383</v>
      </c>
      <c r="E31" s="7">
        <v>45448</v>
      </c>
      <c r="F31" s="6" t="s">
        <v>1386</v>
      </c>
      <c r="G31" s="6" t="s">
        <v>650</v>
      </c>
      <c r="H31" s="211">
        <v>300000</v>
      </c>
      <c r="I31" s="54"/>
      <c r="J31" s="6" t="s">
        <v>5742</v>
      </c>
      <c r="K31" s="6" t="s">
        <v>5711</v>
      </c>
      <c r="L31" s="6" t="s">
        <v>5743</v>
      </c>
      <c r="M31" s="22"/>
      <c r="N31" s="22" t="s">
        <v>5744</v>
      </c>
      <c r="O31" s="22"/>
      <c r="P31" s="291" t="s">
        <v>5745</v>
      </c>
      <c r="Q31" s="179"/>
      <c r="R31" s="6"/>
      <c r="S31" s="6"/>
      <c r="T31" s="6"/>
      <c r="U31" s="54"/>
      <c r="V31" s="105"/>
    </row>
    <row r="32" spans="1:22" ht="101.25" customHeight="1">
      <c r="A32" s="27" t="s">
        <v>295</v>
      </c>
      <c r="B32" s="27" t="s">
        <v>302</v>
      </c>
      <c r="C32" s="6" t="s">
        <v>61</v>
      </c>
      <c r="D32" s="6" t="s">
        <v>225</v>
      </c>
      <c r="E32" s="7">
        <v>45558</v>
      </c>
      <c r="F32" s="6" t="s">
        <v>303</v>
      </c>
      <c r="G32" s="210" t="s">
        <v>304</v>
      </c>
      <c r="H32" s="211">
        <v>4143400.5</v>
      </c>
      <c r="I32" s="54"/>
      <c r="J32" s="6" t="s">
        <v>5746</v>
      </c>
      <c r="K32" s="6" t="s">
        <v>5747</v>
      </c>
      <c r="L32" s="6" t="s">
        <v>1828</v>
      </c>
      <c r="M32" s="22"/>
      <c r="N32" s="22" t="s">
        <v>5748</v>
      </c>
      <c r="O32" s="22"/>
      <c r="P32" s="291" t="s">
        <v>5749</v>
      </c>
      <c r="Q32" s="179"/>
      <c r="R32" s="6"/>
      <c r="S32" s="6"/>
      <c r="T32" s="6"/>
      <c r="U32" s="54"/>
      <c r="V32" s="105"/>
    </row>
    <row r="33" spans="1:22" ht="135.75" customHeight="1">
      <c r="A33" s="27" t="s">
        <v>166</v>
      </c>
      <c r="B33" s="27" t="s">
        <v>240</v>
      </c>
      <c r="C33" s="6" t="s">
        <v>61</v>
      </c>
      <c r="D33" s="6" t="s">
        <v>225</v>
      </c>
      <c r="E33" s="7">
        <v>45609</v>
      </c>
      <c r="F33" s="6" t="s">
        <v>241</v>
      </c>
      <c r="G33" s="6" t="s">
        <v>242</v>
      </c>
      <c r="H33" s="8">
        <v>4771250</v>
      </c>
      <c r="I33" s="54"/>
      <c r="J33" s="6" t="s">
        <v>5750</v>
      </c>
      <c r="K33" s="6" t="s">
        <v>5736</v>
      </c>
      <c r="L33" s="6" t="s">
        <v>5751</v>
      </c>
      <c r="M33" s="22"/>
      <c r="N33" s="22" t="s">
        <v>5752</v>
      </c>
      <c r="O33" s="22"/>
      <c r="P33" s="291" t="s">
        <v>5753</v>
      </c>
      <c r="Q33" s="179"/>
      <c r="R33" s="6"/>
      <c r="S33" s="6"/>
      <c r="T33" s="6"/>
      <c r="U33" s="54"/>
      <c r="V33" s="105"/>
    </row>
    <row r="34" spans="1:22" ht="204">
      <c r="A34" s="243" t="s">
        <v>166</v>
      </c>
      <c r="B34" s="27" t="s">
        <v>1387</v>
      </c>
      <c r="C34" s="292" t="s">
        <v>61</v>
      </c>
      <c r="D34" s="6" t="s">
        <v>1383</v>
      </c>
      <c r="E34" s="7">
        <v>45448</v>
      </c>
      <c r="F34" s="6" t="s">
        <v>1388</v>
      </c>
      <c r="G34" s="6" t="s">
        <v>1389</v>
      </c>
      <c r="H34" s="8">
        <v>200000</v>
      </c>
      <c r="I34" s="54"/>
      <c r="J34" s="6" t="s">
        <v>5754</v>
      </c>
      <c r="K34" s="6" t="s">
        <v>5711</v>
      </c>
      <c r="L34" s="6" t="s">
        <v>2611</v>
      </c>
      <c r="M34" s="22"/>
      <c r="N34" s="22" t="s">
        <v>5755</v>
      </c>
      <c r="O34" s="22"/>
      <c r="P34" s="297" t="s">
        <v>5756</v>
      </c>
      <c r="Q34" s="179"/>
      <c r="R34" s="6"/>
      <c r="S34" s="6"/>
      <c r="T34" s="6"/>
      <c r="U34" s="54"/>
      <c r="V34" s="105"/>
    </row>
    <row r="35" spans="1:22" ht="159" customHeight="1">
      <c r="A35" s="27" t="s">
        <v>166</v>
      </c>
      <c r="B35" s="27" t="s">
        <v>246</v>
      </c>
      <c r="C35" s="6" t="s">
        <v>61</v>
      </c>
      <c r="D35" s="6" t="s">
        <v>225</v>
      </c>
      <c r="E35" s="7">
        <v>45601</v>
      </c>
      <c r="F35" s="6" t="s">
        <v>247</v>
      </c>
      <c r="G35" s="6" t="s">
        <v>248</v>
      </c>
      <c r="H35" s="8" t="s">
        <v>251</v>
      </c>
      <c r="I35" s="54"/>
      <c r="J35" s="6" t="s">
        <v>5757</v>
      </c>
      <c r="K35" s="6" t="s">
        <v>5736</v>
      </c>
      <c r="L35" s="6" t="s">
        <v>1828</v>
      </c>
      <c r="M35" s="22"/>
      <c r="N35" s="22" t="s">
        <v>5758</v>
      </c>
      <c r="O35" s="22"/>
      <c r="P35" s="297" t="s">
        <v>5759</v>
      </c>
      <c r="Q35" s="179"/>
      <c r="R35" s="6"/>
      <c r="S35" s="6"/>
      <c r="T35" s="6"/>
      <c r="U35" s="54"/>
      <c r="V35" s="105"/>
    </row>
    <row r="36" spans="1:22" ht="159" customHeight="1">
      <c r="A36" s="243" t="s">
        <v>166</v>
      </c>
      <c r="B36" s="27" t="s">
        <v>1781</v>
      </c>
      <c r="C36" s="292" t="s">
        <v>61</v>
      </c>
      <c r="D36" s="6" t="s">
        <v>1782</v>
      </c>
      <c r="E36" s="7">
        <v>45457</v>
      </c>
      <c r="F36" s="6" t="s">
        <v>1783</v>
      </c>
      <c r="G36" s="6" t="s">
        <v>1784</v>
      </c>
      <c r="H36" s="214">
        <v>100000</v>
      </c>
      <c r="I36" s="54"/>
      <c r="J36" s="6" t="s">
        <v>5760</v>
      </c>
      <c r="K36" s="6" t="s">
        <v>5639</v>
      </c>
      <c r="L36" s="6" t="s">
        <v>5761</v>
      </c>
      <c r="M36" s="22"/>
      <c r="N36" s="22" t="s">
        <v>5762</v>
      </c>
      <c r="O36" s="22"/>
      <c r="P36" s="6"/>
      <c r="Q36" s="179"/>
      <c r="R36" s="6"/>
      <c r="S36" s="6"/>
      <c r="T36" s="6"/>
      <c r="U36" s="54"/>
      <c r="V36" s="105"/>
    </row>
    <row r="37" spans="1:22" ht="171.75" customHeight="1">
      <c r="A37" s="243" t="s">
        <v>166</v>
      </c>
      <c r="B37" s="27" t="s">
        <v>1005</v>
      </c>
      <c r="C37" s="292" t="s">
        <v>61</v>
      </c>
      <c r="D37" s="34" t="s">
        <v>1006</v>
      </c>
      <c r="E37" s="7">
        <v>45457</v>
      </c>
      <c r="F37" s="6" t="s">
        <v>1007</v>
      </c>
      <c r="G37" s="6" t="s">
        <v>1008</v>
      </c>
      <c r="H37" s="8">
        <v>705000</v>
      </c>
      <c r="I37" s="54"/>
      <c r="J37" s="6" t="s">
        <v>5763</v>
      </c>
      <c r="K37" s="6" t="s">
        <v>5639</v>
      </c>
      <c r="L37" s="6" t="s">
        <v>1828</v>
      </c>
      <c r="M37" s="22"/>
      <c r="N37" s="22" t="s">
        <v>5764</v>
      </c>
      <c r="O37" s="22"/>
      <c r="P37" s="6"/>
      <c r="Q37" s="179"/>
      <c r="R37" s="6"/>
      <c r="S37" s="6"/>
      <c r="T37" s="6"/>
      <c r="U37" s="54"/>
      <c r="V37" s="105"/>
    </row>
    <row r="38" spans="1:22" ht="89.25">
      <c r="A38" s="243" t="s">
        <v>166</v>
      </c>
      <c r="B38" s="27" t="s">
        <v>172</v>
      </c>
      <c r="C38" s="152" t="s">
        <v>61</v>
      </c>
      <c r="D38" s="6" t="s">
        <v>85</v>
      </c>
      <c r="E38" s="7">
        <v>45469</v>
      </c>
      <c r="F38" s="6" t="s">
        <v>173</v>
      </c>
      <c r="G38" s="210" t="s">
        <v>5765</v>
      </c>
      <c r="H38" s="214">
        <v>43250</v>
      </c>
      <c r="I38" s="54"/>
      <c r="J38" s="6" t="s">
        <v>5766</v>
      </c>
      <c r="K38" s="6" t="s">
        <v>5767</v>
      </c>
      <c r="L38" s="6" t="s">
        <v>5768</v>
      </c>
      <c r="M38" s="22"/>
      <c r="N38" s="22" t="s">
        <v>5769</v>
      </c>
      <c r="O38" s="22"/>
      <c r="P38" s="6"/>
      <c r="Q38" s="179"/>
      <c r="R38" s="6"/>
      <c r="S38" s="6"/>
      <c r="T38" s="6"/>
      <c r="U38" s="54"/>
      <c r="V38" s="105"/>
    </row>
    <row r="39" spans="1:22" ht="25.5">
      <c r="A39" s="298"/>
      <c r="B39" s="299" t="s">
        <v>5478</v>
      </c>
      <c r="C39" s="300" t="s">
        <v>61</v>
      </c>
      <c r="D39" s="56"/>
      <c r="E39" s="301"/>
      <c r="F39" s="56" t="s">
        <v>5479</v>
      </c>
      <c r="G39" s="56"/>
      <c r="H39" s="57"/>
      <c r="I39" s="302"/>
      <c r="J39" s="56"/>
      <c r="K39" s="56"/>
      <c r="L39" s="56"/>
      <c r="M39" s="208"/>
      <c r="N39" s="208"/>
      <c r="O39" s="208"/>
      <c r="P39" s="56"/>
      <c r="Q39" s="190"/>
      <c r="R39" s="56"/>
      <c r="S39" s="56"/>
      <c r="T39" s="56"/>
      <c r="U39" s="302"/>
      <c r="V39" s="303"/>
    </row>
    <row r="40" spans="1:22" ht="35.25" customHeight="1">
      <c r="A40" s="27" t="s">
        <v>166</v>
      </c>
      <c r="B40" s="27" t="s">
        <v>5480</v>
      </c>
      <c r="C40" s="6"/>
      <c r="D40" s="6" t="s">
        <v>225</v>
      </c>
      <c r="E40" s="7">
        <v>45448</v>
      </c>
      <c r="F40" s="6" t="s">
        <v>5481</v>
      </c>
      <c r="G40" s="6"/>
      <c r="H40" s="8"/>
      <c r="I40" s="54"/>
      <c r="J40" s="6"/>
      <c r="K40" s="6"/>
      <c r="L40" s="29"/>
      <c r="M40" s="22"/>
      <c r="N40" s="22" t="s">
        <v>5770</v>
      </c>
      <c r="O40" s="22"/>
      <c r="P40" s="6"/>
      <c r="Q40" s="179"/>
      <c r="R40" s="6"/>
      <c r="S40" s="6"/>
      <c r="T40" s="6"/>
      <c r="U40" s="54"/>
      <c r="V40" s="105"/>
    </row>
    <row r="41" spans="1:22" ht="113.25" customHeight="1">
      <c r="A41" s="27" t="s">
        <v>166</v>
      </c>
      <c r="B41" s="27" t="s">
        <v>253</v>
      </c>
      <c r="C41" s="6" t="s">
        <v>61</v>
      </c>
      <c r="D41" s="6" t="s">
        <v>225</v>
      </c>
      <c r="E41" s="7">
        <v>45637</v>
      </c>
      <c r="F41" s="6" t="s">
        <v>254</v>
      </c>
      <c r="G41" s="6" t="s">
        <v>255</v>
      </c>
      <c r="H41" s="8">
        <v>4000000</v>
      </c>
      <c r="I41" s="54"/>
      <c r="J41" s="6" t="s">
        <v>5771</v>
      </c>
      <c r="K41" s="6" t="s">
        <v>5736</v>
      </c>
      <c r="L41" s="6" t="s">
        <v>1828</v>
      </c>
      <c r="M41" s="22"/>
      <c r="N41" s="22" t="s">
        <v>5772</v>
      </c>
      <c r="O41" s="208" t="s">
        <v>5773</v>
      </c>
      <c r="P41" s="179"/>
      <c r="Q41" s="6"/>
      <c r="R41" s="6"/>
      <c r="S41" s="6"/>
      <c r="T41" s="54"/>
      <c r="U41" s="54"/>
      <c r="V41" s="105"/>
    </row>
    <row r="42" spans="1:22" ht="165.75">
      <c r="A42" s="27" t="s">
        <v>166</v>
      </c>
      <c r="B42" s="243" t="s">
        <v>5482</v>
      </c>
      <c r="C42" s="5" t="s">
        <v>61</v>
      </c>
      <c r="D42" s="292" t="s">
        <v>1862</v>
      </c>
      <c r="E42" s="7">
        <v>45483</v>
      </c>
      <c r="F42" s="6" t="s">
        <v>5483</v>
      </c>
      <c r="G42" s="6" t="s">
        <v>5484</v>
      </c>
      <c r="H42" s="64">
        <v>427500</v>
      </c>
      <c r="I42" s="8">
        <v>427500</v>
      </c>
      <c r="J42" s="6" t="s">
        <v>3333</v>
      </c>
      <c r="K42" s="6" t="s">
        <v>5774</v>
      </c>
      <c r="L42" s="6" t="s">
        <v>1828</v>
      </c>
      <c r="M42" s="6"/>
      <c r="N42" s="22" t="s">
        <v>5775</v>
      </c>
      <c r="O42" s="22"/>
      <c r="P42" s="22"/>
      <c r="Q42" s="6"/>
      <c r="R42" s="179"/>
      <c r="S42" s="6"/>
      <c r="T42" s="6"/>
      <c r="U42" s="6"/>
      <c r="V42" s="54"/>
    </row>
    <row r="43" spans="1:22" ht="153">
      <c r="A43" s="243" t="s">
        <v>166</v>
      </c>
      <c r="B43" s="27" t="s">
        <v>1390</v>
      </c>
      <c r="C43" s="292" t="s">
        <v>61</v>
      </c>
      <c r="D43" s="6" t="s">
        <v>1379</v>
      </c>
      <c r="E43" s="7">
        <v>45503</v>
      </c>
      <c r="F43" s="6" t="s">
        <v>1391</v>
      </c>
      <c r="G43" s="210" t="s">
        <v>840</v>
      </c>
      <c r="H43" s="211">
        <v>631500</v>
      </c>
      <c r="I43" s="54"/>
      <c r="J43" s="6" t="s">
        <v>3333</v>
      </c>
      <c r="K43" s="6" t="s">
        <v>5639</v>
      </c>
      <c r="L43" s="6" t="s">
        <v>1828</v>
      </c>
      <c r="M43" s="22"/>
      <c r="N43" s="22" t="s">
        <v>5776</v>
      </c>
      <c r="O43" s="22"/>
      <c r="P43" s="6"/>
      <c r="Q43" s="179"/>
      <c r="R43" s="6"/>
      <c r="S43" s="6"/>
      <c r="T43" s="6"/>
      <c r="U43" s="54"/>
      <c r="V43" s="105"/>
    </row>
    <row r="44" spans="1:22" ht="165.75">
      <c r="A44" s="243" t="s">
        <v>166</v>
      </c>
      <c r="B44" s="27" t="s">
        <v>1392</v>
      </c>
      <c r="C44" s="6" t="s">
        <v>61</v>
      </c>
      <c r="D44" s="6" t="s">
        <v>1383</v>
      </c>
      <c r="E44" s="7">
        <v>45504</v>
      </c>
      <c r="F44" s="6" t="s">
        <v>1393</v>
      </c>
      <c r="G44" s="6" t="s">
        <v>704</v>
      </c>
      <c r="H44" s="8">
        <v>300000</v>
      </c>
      <c r="I44" s="54"/>
      <c r="J44" s="6" t="s">
        <v>5777</v>
      </c>
      <c r="K44" s="6" t="s">
        <v>5778</v>
      </c>
      <c r="L44" s="6" t="s">
        <v>1879</v>
      </c>
      <c r="M44" s="22"/>
      <c r="N44" s="22" t="s">
        <v>5779</v>
      </c>
      <c r="O44" s="22"/>
      <c r="P44" s="6"/>
      <c r="Q44" s="179"/>
      <c r="R44" s="6"/>
      <c r="S44" s="6"/>
      <c r="T44" s="6"/>
      <c r="U44" s="54"/>
      <c r="V44" s="105"/>
    </row>
    <row r="45" spans="1:22" ht="63.75">
      <c r="A45" s="27" t="s">
        <v>166</v>
      </c>
      <c r="B45" s="27" t="s">
        <v>448</v>
      </c>
      <c r="C45" s="6" t="s">
        <v>61</v>
      </c>
      <c r="D45" s="6" t="s">
        <v>394</v>
      </c>
      <c r="E45" s="7">
        <v>45505</v>
      </c>
      <c r="F45" s="6" t="s">
        <v>449</v>
      </c>
      <c r="G45" s="6" t="s">
        <v>450</v>
      </c>
      <c r="H45" s="8">
        <v>112800</v>
      </c>
      <c r="I45" s="54"/>
      <c r="J45" s="6" t="s">
        <v>5780</v>
      </c>
      <c r="K45" s="6" t="s">
        <v>5781</v>
      </c>
      <c r="L45" s="29" t="s">
        <v>1855</v>
      </c>
      <c r="M45" s="22"/>
      <c r="N45" s="22" t="s">
        <v>5782</v>
      </c>
      <c r="O45" s="22"/>
      <c r="P45" s="6"/>
      <c r="Q45" s="179"/>
      <c r="R45" s="6"/>
      <c r="S45" s="6"/>
      <c r="T45" s="6"/>
      <c r="U45" s="54"/>
      <c r="V45" s="105"/>
    </row>
    <row r="46" spans="1:22" ht="216.75">
      <c r="A46" s="27" t="s">
        <v>166</v>
      </c>
      <c r="B46" s="27" t="s">
        <v>1394</v>
      </c>
      <c r="C46" s="6" t="s">
        <v>61</v>
      </c>
      <c r="D46" s="6" t="s">
        <v>1372</v>
      </c>
      <c r="E46" s="7">
        <v>45505</v>
      </c>
      <c r="F46" s="6" t="s">
        <v>5485</v>
      </c>
      <c r="G46" s="6" t="s">
        <v>1396</v>
      </c>
      <c r="H46" s="8">
        <v>266000</v>
      </c>
      <c r="I46" s="8" t="s">
        <v>5783</v>
      </c>
      <c r="J46" s="6" t="s">
        <v>5784</v>
      </c>
      <c r="K46" s="6" t="s">
        <v>5639</v>
      </c>
      <c r="L46" s="6" t="s">
        <v>1828</v>
      </c>
      <c r="M46" s="22"/>
      <c r="N46" s="22" t="s">
        <v>5785</v>
      </c>
      <c r="O46" s="188"/>
      <c r="P46" s="34"/>
      <c r="Q46" s="304"/>
      <c r="R46" s="34"/>
      <c r="S46" s="34"/>
      <c r="T46" s="34"/>
      <c r="U46" s="105"/>
      <c r="V46" s="105"/>
    </row>
    <row r="47" spans="1:22" ht="216.75">
      <c r="A47" s="27" t="s">
        <v>166</v>
      </c>
      <c r="B47" s="27" t="s">
        <v>1397</v>
      </c>
      <c r="C47" s="6" t="s">
        <v>61</v>
      </c>
      <c r="D47" s="6" t="s">
        <v>1383</v>
      </c>
      <c r="E47" s="7">
        <v>45512</v>
      </c>
      <c r="F47" s="6" t="s">
        <v>1398</v>
      </c>
      <c r="G47" s="6" t="s">
        <v>1399</v>
      </c>
      <c r="H47" s="8">
        <v>300000</v>
      </c>
      <c r="I47" s="54"/>
      <c r="J47" s="6" t="s">
        <v>5786</v>
      </c>
      <c r="K47" s="6" t="s">
        <v>5736</v>
      </c>
      <c r="L47" s="156" t="s">
        <v>1828</v>
      </c>
      <c r="M47" s="22"/>
      <c r="N47" s="22" t="s">
        <v>5787</v>
      </c>
      <c r="O47" s="188"/>
      <c r="P47" s="34"/>
      <c r="Q47" s="304"/>
      <c r="R47" s="34"/>
      <c r="S47" s="34"/>
      <c r="T47" s="34"/>
      <c r="U47" s="105"/>
      <c r="V47" s="105"/>
    </row>
    <row r="48" spans="1:22" ht="204">
      <c r="A48" s="27" t="s">
        <v>166</v>
      </c>
      <c r="B48" s="27" t="s">
        <v>1010</v>
      </c>
      <c r="C48" s="6" t="s">
        <v>61</v>
      </c>
      <c r="D48" s="6" t="s">
        <v>1006</v>
      </c>
      <c r="E48" s="7">
        <v>45512</v>
      </c>
      <c r="F48" s="6" t="s">
        <v>1011</v>
      </c>
      <c r="G48" s="6" t="s">
        <v>1012</v>
      </c>
      <c r="H48" s="8">
        <v>2470750</v>
      </c>
      <c r="I48" s="54"/>
      <c r="J48" s="6" t="s">
        <v>5786</v>
      </c>
      <c r="K48" s="6" t="s">
        <v>5736</v>
      </c>
      <c r="L48" s="156" t="s">
        <v>1828</v>
      </c>
      <c r="M48" s="22"/>
      <c r="N48" s="22" t="s">
        <v>5788</v>
      </c>
      <c r="O48" s="188"/>
      <c r="P48" s="34"/>
      <c r="Q48" s="304"/>
      <c r="R48" s="34"/>
      <c r="S48" s="34"/>
      <c r="T48" s="34"/>
      <c r="U48" s="105"/>
      <c r="V48" s="105"/>
    </row>
    <row r="49" spans="1:22" ht="331.5">
      <c r="A49" s="27" t="s">
        <v>166</v>
      </c>
      <c r="B49" s="27" t="s">
        <v>5486</v>
      </c>
      <c r="C49" s="6" t="s">
        <v>61</v>
      </c>
      <c r="D49" s="6" t="s">
        <v>1838</v>
      </c>
      <c r="E49" s="7">
        <v>45512</v>
      </c>
      <c r="F49" s="6" t="s">
        <v>5487</v>
      </c>
      <c r="G49" s="6" t="s">
        <v>1349</v>
      </c>
      <c r="H49" s="8">
        <v>150000</v>
      </c>
      <c r="I49" s="54" t="s">
        <v>5789</v>
      </c>
      <c r="J49" s="6" t="s">
        <v>5786</v>
      </c>
      <c r="K49" s="6" t="s">
        <v>5736</v>
      </c>
      <c r="L49" s="156" t="s">
        <v>1828</v>
      </c>
      <c r="M49" s="22"/>
      <c r="N49" s="22" t="s">
        <v>5790</v>
      </c>
      <c r="O49" s="188"/>
      <c r="P49" s="34"/>
      <c r="Q49" s="304"/>
      <c r="R49" s="34"/>
      <c r="S49" s="34"/>
      <c r="T49" s="34"/>
      <c r="U49" s="105"/>
      <c r="V49" s="105"/>
    </row>
    <row r="50" spans="1:22" ht="153">
      <c r="A50" s="27" t="s">
        <v>166</v>
      </c>
      <c r="B50" s="27" t="s">
        <v>1400</v>
      </c>
      <c r="C50" s="6" t="s">
        <v>61</v>
      </c>
      <c r="D50" s="6" t="s">
        <v>1383</v>
      </c>
      <c r="E50" s="7">
        <v>45520</v>
      </c>
      <c r="F50" s="6" t="s">
        <v>1401</v>
      </c>
      <c r="G50" s="6" t="s">
        <v>1402</v>
      </c>
      <c r="H50" s="8">
        <v>1652500</v>
      </c>
      <c r="I50" s="54"/>
      <c r="J50" s="6"/>
      <c r="K50" s="6"/>
      <c r="L50" s="6"/>
      <c r="M50" s="22"/>
      <c r="N50" s="22" t="s">
        <v>5791</v>
      </c>
      <c r="O50" s="188"/>
      <c r="P50" s="34"/>
      <c r="Q50" s="304"/>
      <c r="R50" s="34"/>
      <c r="S50" s="34"/>
      <c r="T50" s="34"/>
      <c r="U50" s="105"/>
      <c r="V50" s="105"/>
    </row>
    <row r="51" spans="1:22" ht="204">
      <c r="A51" s="27" t="s">
        <v>166</v>
      </c>
      <c r="B51" s="27" t="s">
        <v>1785</v>
      </c>
      <c r="C51" s="6" t="s">
        <v>61</v>
      </c>
      <c r="D51" s="6" t="s">
        <v>1782</v>
      </c>
      <c r="E51" s="7">
        <v>45520</v>
      </c>
      <c r="F51" s="6" t="s">
        <v>1786</v>
      </c>
      <c r="G51" s="6" t="s">
        <v>1787</v>
      </c>
      <c r="H51" s="8">
        <v>320000</v>
      </c>
      <c r="I51" s="54"/>
      <c r="J51" s="6" t="s">
        <v>5792</v>
      </c>
      <c r="K51" s="6" t="s">
        <v>5793</v>
      </c>
      <c r="L51" s="6" t="s">
        <v>1828</v>
      </c>
      <c r="M51" s="22"/>
      <c r="N51" s="22" t="s">
        <v>5794</v>
      </c>
      <c r="O51" s="188"/>
      <c r="P51" s="34"/>
      <c r="Q51" s="304"/>
      <c r="R51" s="34"/>
      <c r="S51" s="34"/>
      <c r="T51" s="34"/>
      <c r="U51" s="105"/>
      <c r="V51" s="105"/>
    </row>
    <row r="52" spans="1:22" ht="76.5">
      <c r="A52" s="27" t="s">
        <v>166</v>
      </c>
      <c r="B52" s="27" t="s">
        <v>5488</v>
      </c>
      <c r="C52" s="6" t="s">
        <v>1867</v>
      </c>
      <c r="D52" s="6" t="s">
        <v>62</v>
      </c>
      <c r="E52" s="7">
        <v>45520</v>
      </c>
      <c r="F52" s="6" t="s">
        <v>5489</v>
      </c>
      <c r="G52" s="6" t="s">
        <v>5490</v>
      </c>
      <c r="H52" s="8">
        <v>1170000</v>
      </c>
      <c r="I52" s="54"/>
      <c r="J52" s="6" t="s">
        <v>5795</v>
      </c>
      <c r="K52" s="6" t="s">
        <v>5796</v>
      </c>
      <c r="L52" s="6" t="s">
        <v>2051</v>
      </c>
      <c r="M52" s="22"/>
      <c r="N52" s="22" t="s">
        <v>5797</v>
      </c>
      <c r="O52" s="188"/>
      <c r="P52" s="34"/>
      <c r="Q52" s="304"/>
      <c r="R52" s="34"/>
      <c r="S52" s="34"/>
      <c r="T52" s="34"/>
      <c r="U52" s="105"/>
      <c r="V52" s="105"/>
    </row>
    <row r="53" spans="1:22" ht="45.75" customHeight="1">
      <c r="A53" s="27" t="s">
        <v>166</v>
      </c>
      <c r="B53" s="27" t="s">
        <v>259</v>
      </c>
      <c r="C53" s="6" t="s">
        <v>61</v>
      </c>
      <c r="D53" s="6" t="s">
        <v>225</v>
      </c>
      <c r="E53" s="7">
        <v>45595</v>
      </c>
      <c r="F53" s="6" t="s">
        <v>260</v>
      </c>
      <c r="G53" s="6" t="s">
        <v>261</v>
      </c>
      <c r="H53" s="8">
        <v>5000000</v>
      </c>
      <c r="I53" s="54" t="s">
        <v>5798</v>
      </c>
      <c r="J53" s="6" t="s">
        <v>5799</v>
      </c>
      <c r="K53" s="6" t="s">
        <v>5747</v>
      </c>
      <c r="L53" s="6" t="s">
        <v>1828</v>
      </c>
      <c r="M53" s="22"/>
      <c r="N53" s="22" t="s">
        <v>5800</v>
      </c>
      <c r="O53" s="188"/>
      <c r="P53" s="34"/>
      <c r="Q53" s="304"/>
      <c r="R53" s="34"/>
      <c r="S53" s="34"/>
      <c r="T53" s="34"/>
      <c r="U53" s="105"/>
      <c r="V53" s="105"/>
    </row>
    <row r="54" spans="1:22" ht="76.5">
      <c r="A54" s="27" t="s">
        <v>166</v>
      </c>
      <c r="B54" s="27" t="s">
        <v>265</v>
      </c>
      <c r="C54" s="6" t="s">
        <v>61</v>
      </c>
      <c r="D54" s="6" t="s">
        <v>225</v>
      </c>
      <c r="E54" s="7">
        <v>45547</v>
      </c>
      <c r="F54" s="6" t="s">
        <v>266</v>
      </c>
      <c r="G54" s="210" t="s">
        <v>5801</v>
      </c>
      <c r="H54" s="30">
        <v>4668619.32</v>
      </c>
      <c r="I54" s="54"/>
      <c r="J54" s="9" t="s">
        <v>5802</v>
      </c>
      <c r="K54" s="6" t="s">
        <v>5665</v>
      </c>
      <c r="L54" s="29" t="s">
        <v>1828</v>
      </c>
      <c r="M54" s="22"/>
      <c r="N54" s="22" t="s">
        <v>5803</v>
      </c>
      <c r="O54" s="188"/>
      <c r="P54" s="34"/>
      <c r="Q54" s="304"/>
      <c r="R54" s="34"/>
      <c r="S54" s="34"/>
      <c r="T54" s="34"/>
      <c r="U54" s="105"/>
      <c r="V54" s="105"/>
    </row>
    <row r="55" spans="1:22" ht="51">
      <c r="A55" s="27" t="s">
        <v>166</v>
      </c>
      <c r="B55" s="27" t="s">
        <v>1403</v>
      </c>
      <c r="C55" s="6" t="s">
        <v>61</v>
      </c>
      <c r="D55" s="6" t="s">
        <v>1383</v>
      </c>
      <c r="E55" s="7">
        <v>45544</v>
      </c>
      <c r="F55" s="6" t="s">
        <v>1404</v>
      </c>
      <c r="G55" s="210" t="s">
        <v>840</v>
      </c>
      <c r="H55" s="8">
        <v>300000</v>
      </c>
      <c r="I55" s="54"/>
      <c r="J55" s="6" t="s">
        <v>1828</v>
      </c>
      <c r="K55" s="6" t="s">
        <v>5736</v>
      </c>
      <c r="L55" s="6" t="s">
        <v>1828</v>
      </c>
      <c r="M55" s="22"/>
      <c r="N55" s="22" t="s">
        <v>5804</v>
      </c>
      <c r="O55" s="188"/>
      <c r="P55" s="34"/>
      <c r="Q55" s="304"/>
      <c r="R55" s="34"/>
      <c r="S55" s="34"/>
      <c r="T55" s="34"/>
      <c r="U55" s="105"/>
      <c r="V55" s="105"/>
    </row>
    <row r="56" spans="1:22" ht="63.75">
      <c r="A56" s="27" t="s">
        <v>166</v>
      </c>
      <c r="B56" s="27" t="s">
        <v>451</v>
      </c>
      <c r="C56" s="6" t="s">
        <v>61</v>
      </c>
      <c r="D56" s="6" t="s">
        <v>85</v>
      </c>
      <c r="E56" s="7">
        <v>45544</v>
      </c>
      <c r="F56" s="6" t="s">
        <v>452</v>
      </c>
      <c r="G56" s="210" t="s">
        <v>5805</v>
      </c>
      <c r="H56" s="8">
        <v>57667.56</v>
      </c>
      <c r="I56" s="54"/>
      <c r="J56" s="9" t="s">
        <v>5806</v>
      </c>
      <c r="K56" s="6" t="s">
        <v>5643</v>
      </c>
      <c r="L56" s="6" t="s">
        <v>5807</v>
      </c>
      <c r="M56" s="22"/>
      <c r="N56" s="22" t="s">
        <v>5808</v>
      </c>
      <c r="O56" s="188"/>
      <c r="P56" s="34"/>
      <c r="Q56" s="304"/>
      <c r="R56" s="34"/>
      <c r="S56" s="34"/>
      <c r="T56" s="34"/>
      <c r="U56" s="105"/>
      <c r="V56" s="105"/>
    </row>
    <row r="57" spans="1:22" ht="63.75">
      <c r="A57" s="27" t="s">
        <v>166</v>
      </c>
      <c r="B57" s="27" t="s">
        <v>177</v>
      </c>
      <c r="C57" s="6" t="s">
        <v>61</v>
      </c>
      <c r="D57" s="6" t="s">
        <v>85</v>
      </c>
      <c r="E57" s="7">
        <v>45544</v>
      </c>
      <c r="F57" s="6" t="s">
        <v>178</v>
      </c>
      <c r="G57" s="210" t="s">
        <v>5809</v>
      </c>
      <c r="H57" s="8">
        <v>236341.77</v>
      </c>
      <c r="I57" s="54"/>
      <c r="J57" s="152" t="s">
        <v>5810</v>
      </c>
      <c r="K57" s="6" t="s">
        <v>5643</v>
      </c>
      <c r="L57" s="6" t="s">
        <v>2472</v>
      </c>
      <c r="M57" s="22"/>
      <c r="N57" s="22" t="s">
        <v>5811</v>
      </c>
      <c r="O57" s="188"/>
      <c r="P57" s="34"/>
      <c r="Q57" s="304"/>
      <c r="R57" s="34"/>
      <c r="S57" s="34"/>
      <c r="T57" s="34"/>
      <c r="U57" s="105"/>
      <c r="V57" s="105"/>
    </row>
    <row r="58" spans="1:22" ht="76.5">
      <c r="A58" s="27" t="s">
        <v>166</v>
      </c>
      <c r="B58" s="27" t="s">
        <v>455</v>
      </c>
      <c r="C58" s="6" t="s">
        <v>61</v>
      </c>
      <c r="D58" s="6" t="s">
        <v>5494</v>
      </c>
      <c r="E58" s="7">
        <v>45544</v>
      </c>
      <c r="F58" s="6" t="s">
        <v>457</v>
      </c>
      <c r="G58" s="6" t="s">
        <v>458</v>
      </c>
      <c r="H58" s="8">
        <v>186495.06</v>
      </c>
      <c r="I58" s="54"/>
      <c r="J58" s="9" t="s">
        <v>5812</v>
      </c>
      <c r="K58" s="6" t="s">
        <v>5727</v>
      </c>
      <c r="L58" s="6" t="s">
        <v>1879</v>
      </c>
      <c r="M58" s="22"/>
      <c r="N58" s="22" t="s">
        <v>5813</v>
      </c>
      <c r="O58" s="188"/>
      <c r="P58" s="34"/>
      <c r="Q58" s="304"/>
      <c r="R58" s="34"/>
      <c r="S58" s="34"/>
      <c r="T58" s="34"/>
      <c r="U58" s="105"/>
      <c r="V58" s="105"/>
    </row>
    <row r="59" spans="1:22" ht="51">
      <c r="A59" s="27" t="s">
        <v>166</v>
      </c>
      <c r="B59" s="27" t="s">
        <v>459</v>
      </c>
      <c r="C59" s="6" t="s">
        <v>61</v>
      </c>
      <c r="D59" s="6" t="s">
        <v>5494</v>
      </c>
      <c r="E59" s="7">
        <v>45544</v>
      </c>
      <c r="F59" s="6" t="s">
        <v>460</v>
      </c>
      <c r="G59" s="210" t="s">
        <v>5814</v>
      </c>
      <c r="H59" s="214">
        <v>197182.36</v>
      </c>
      <c r="I59" s="54"/>
      <c r="J59" s="152" t="s">
        <v>5815</v>
      </c>
      <c r="K59" s="6" t="s">
        <v>5727</v>
      </c>
      <c r="L59" s="6" t="s">
        <v>1879</v>
      </c>
      <c r="M59" s="22"/>
      <c r="N59" s="22" t="s">
        <v>5816</v>
      </c>
      <c r="O59" s="188"/>
      <c r="P59" s="34"/>
      <c r="Q59" s="304"/>
      <c r="R59" s="34"/>
      <c r="S59" s="34"/>
      <c r="T59" s="34"/>
      <c r="U59" s="105"/>
      <c r="V59" s="105"/>
    </row>
    <row r="60" spans="1:22" ht="216.75">
      <c r="A60" s="243" t="s">
        <v>166</v>
      </c>
      <c r="B60" s="243" t="s">
        <v>462</v>
      </c>
      <c r="C60" s="152" t="s">
        <v>61</v>
      </c>
      <c r="D60" s="6" t="s">
        <v>125</v>
      </c>
      <c r="E60" s="7">
        <v>45448</v>
      </c>
      <c r="F60" s="6" t="s">
        <v>5321</v>
      </c>
      <c r="G60" s="6" t="s">
        <v>464</v>
      </c>
      <c r="H60" s="64">
        <v>2344480</v>
      </c>
      <c r="I60" s="54"/>
      <c r="J60" s="6" t="s">
        <v>5817</v>
      </c>
      <c r="K60" s="6" t="s">
        <v>5711</v>
      </c>
      <c r="L60" s="6" t="s">
        <v>5818</v>
      </c>
      <c r="M60" s="22"/>
      <c r="N60" s="22" t="s">
        <v>5819</v>
      </c>
      <c r="O60" s="188"/>
      <c r="P60" s="34"/>
      <c r="Q60" s="304"/>
      <c r="R60" s="34"/>
      <c r="S60" s="34"/>
      <c r="T60" s="34"/>
      <c r="U60" s="105"/>
      <c r="V60" s="105"/>
    </row>
    <row r="61" spans="1:22" ht="63.75">
      <c r="A61" s="234" t="s">
        <v>166</v>
      </c>
      <c r="B61" s="234" t="s">
        <v>182</v>
      </c>
      <c r="C61" s="29" t="s">
        <v>61</v>
      </c>
      <c r="D61" s="29" t="s">
        <v>125</v>
      </c>
      <c r="E61" s="221">
        <v>45574</v>
      </c>
      <c r="F61" s="29" t="s">
        <v>183</v>
      </c>
      <c r="G61" s="235" t="s">
        <v>184</v>
      </c>
      <c r="H61" s="241">
        <v>2998072</v>
      </c>
      <c r="I61" s="227"/>
      <c r="J61" s="29" t="s">
        <v>5820</v>
      </c>
      <c r="K61" s="29" t="s">
        <v>5736</v>
      </c>
      <c r="L61" s="220" t="s">
        <v>2041</v>
      </c>
      <c r="M61" s="227"/>
      <c r="N61" s="232" t="s">
        <v>5821</v>
      </c>
      <c r="O61" s="305" t="s">
        <v>5773</v>
      </c>
      <c r="P61" s="34"/>
      <c r="Q61" s="304"/>
      <c r="R61" s="34"/>
      <c r="S61" s="34"/>
      <c r="T61" s="34"/>
      <c r="U61" s="105"/>
      <c r="V61" s="105"/>
    </row>
    <row r="62" spans="1:22" ht="76.5">
      <c r="A62" s="27" t="s">
        <v>166</v>
      </c>
      <c r="B62" s="27" t="s">
        <v>1013</v>
      </c>
      <c r="C62" s="6" t="s">
        <v>61</v>
      </c>
      <c r="D62" s="6" t="s">
        <v>1006</v>
      </c>
      <c r="E62" s="7">
        <v>45558</v>
      </c>
      <c r="F62" s="6" t="s">
        <v>1014</v>
      </c>
      <c r="G62" s="210" t="s">
        <v>1015</v>
      </c>
      <c r="H62" s="211">
        <v>5000000</v>
      </c>
      <c r="I62" s="54" t="s">
        <v>5822</v>
      </c>
      <c r="J62" s="6" t="s">
        <v>5786</v>
      </c>
      <c r="K62" s="6" t="s">
        <v>5736</v>
      </c>
      <c r="L62" s="156" t="s">
        <v>1828</v>
      </c>
      <c r="M62" s="22"/>
      <c r="N62" s="22" t="s">
        <v>5823</v>
      </c>
      <c r="O62" s="188"/>
      <c r="P62" s="34"/>
      <c r="Q62" s="304"/>
      <c r="R62" s="34"/>
      <c r="S62" s="34"/>
      <c r="T62" s="34"/>
      <c r="U62" s="105"/>
      <c r="V62" s="105"/>
    </row>
    <row r="63" spans="1:22" ht="38.25">
      <c r="A63" s="27" t="s">
        <v>166</v>
      </c>
      <c r="B63" s="27" t="s">
        <v>187</v>
      </c>
      <c r="C63" s="6" t="s">
        <v>61</v>
      </c>
      <c r="D63" s="6" t="s">
        <v>125</v>
      </c>
      <c r="E63" s="7">
        <v>45581</v>
      </c>
      <c r="F63" s="6" t="s">
        <v>188</v>
      </c>
      <c r="G63" s="6" t="s">
        <v>189</v>
      </c>
      <c r="H63" s="64">
        <v>2911170</v>
      </c>
      <c r="I63" s="54"/>
      <c r="J63" s="6" t="s">
        <v>5824</v>
      </c>
      <c r="K63" s="6" t="s">
        <v>5643</v>
      </c>
      <c r="L63" s="29" t="s">
        <v>1828</v>
      </c>
      <c r="M63" s="22"/>
      <c r="N63" s="22" t="s">
        <v>5825</v>
      </c>
      <c r="O63" s="305" t="s">
        <v>5773</v>
      </c>
      <c r="P63" s="34"/>
      <c r="Q63" s="304"/>
      <c r="R63" s="34"/>
      <c r="S63" s="34"/>
      <c r="T63" s="34"/>
      <c r="U63" s="105"/>
      <c r="V63" s="105"/>
    </row>
    <row r="64" spans="1:22" ht="51">
      <c r="A64" s="27" t="s">
        <v>166</v>
      </c>
      <c r="B64" s="27" t="s">
        <v>1405</v>
      </c>
      <c r="C64" s="6" t="s">
        <v>61</v>
      </c>
      <c r="D64" s="6" t="s">
        <v>1372</v>
      </c>
      <c r="E64" s="7">
        <v>45558</v>
      </c>
      <c r="F64" s="6" t="s">
        <v>1406</v>
      </c>
      <c r="G64" s="210" t="s">
        <v>1407</v>
      </c>
      <c r="H64" s="211">
        <v>5483984.2000000002</v>
      </c>
      <c r="I64" s="54"/>
      <c r="J64" s="6" t="s">
        <v>5786</v>
      </c>
      <c r="K64" s="6" t="s">
        <v>5736</v>
      </c>
      <c r="L64" s="156" t="s">
        <v>1828</v>
      </c>
      <c r="M64" s="22"/>
      <c r="N64" s="22" t="s">
        <v>5826</v>
      </c>
      <c r="O64" s="188"/>
      <c r="P64" s="34"/>
      <c r="Q64" s="304"/>
      <c r="R64" s="34"/>
      <c r="S64" s="34"/>
      <c r="T64" s="34"/>
      <c r="U64" s="105"/>
      <c r="V64" s="105"/>
    </row>
    <row r="65" spans="1:22" ht="38.25">
      <c r="A65" s="27" t="s">
        <v>166</v>
      </c>
      <c r="B65" s="27" t="s">
        <v>1408</v>
      </c>
      <c r="C65" s="6" t="s">
        <v>61</v>
      </c>
      <c r="D65" s="6" t="s">
        <v>1383</v>
      </c>
      <c r="E65" s="7">
        <v>45558</v>
      </c>
      <c r="F65" s="6" t="s">
        <v>1409</v>
      </c>
      <c r="G65" s="210" t="s">
        <v>1410</v>
      </c>
      <c r="H65" s="211">
        <v>500000</v>
      </c>
      <c r="I65" s="54"/>
      <c r="J65" s="6" t="s">
        <v>5786</v>
      </c>
      <c r="K65" s="6" t="s">
        <v>5736</v>
      </c>
      <c r="L65" s="156" t="s">
        <v>1828</v>
      </c>
      <c r="M65" s="22"/>
      <c r="N65" s="22" t="s">
        <v>5827</v>
      </c>
      <c r="O65" s="188"/>
      <c r="P65" s="34"/>
      <c r="Q65" s="304"/>
      <c r="R65" s="34"/>
      <c r="S65" s="34"/>
      <c r="T65" s="34"/>
      <c r="U65" s="105"/>
      <c r="V65" s="105"/>
    </row>
    <row r="66" spans="1:22" ht="51">
      <c r="A66" s="27" t="s">
        <v>166</v>
      </c>
      <c r="B66" s="27" t="s">
        <v>465</v>
      </c>
      <c r="C66" s="6" t="s">
        <v>61</v>
      </c>
      <c r="D66" s="6" t="s">
        <v>394</v>
      </c>
      <c r="E66" s="7">
        <v>45558</v>
      </c>
      <c r="F66" s="6" t="s">
        <v>466</v>
      </c>
      <c r="G66" s="6" t="s">
        <v>467</v>
      </c>
      <c r="H66" s="214">
        <v>119250</v>
      </c>
      <c r="I66" s="306" t="s">
        <v>5828</v>
      </c>
      <c r="J66" s="6" t="s">
        <v>467</v>
      </c>
      <c r="K66" s="6" t="s">
        <v>5643</v>
      </c>
      <c r="L66" s="29" t="s">
        <v>2085</v>
      </c>
      <c r="M66" s="22"/>
      <c r="N66" s="22" t="s">
        <v>5829</v>
      </c>
      <c r="O66" s="188"/>
      <c r="P66" s="34"/>
      <c r="Q66" s="304"/>
      <c r="R66" s="34"/>
      <c r="S66" s="34"/>
      <c r="T66" s="34"/>
      <c r="U66" s="105"/>
      <c r="V66" s="105"/>
    </row>
    <row r="67" spans="1:22" ht="89.25">
      <c r="A67" s="27" t="s">
        <v>166</v>
      </c>
      <c r="B67" s="27" t="s">
        <v>468</v>
      </c>
      <c r="C67" s="6" t="s">
        <v>61</v>
      </c>
      <c r="D67" s="6" t="s">
        <v>85</v>
      </c>
      <c r="E67" s="7">
        <v>45558</v>
      </c>
      <c r="F67" s="6" t="s">
        <v>469</v>
      </c>
      <c r="G67" s="6" t="s">
        <v>470</v>
      </c>
      <c r="H67" s="8">
        <v>105791</v>
      </c>
      <c r="I67" s="54"/>
      <c r="J67" s="6" t="s">
        <v>5830</v>
      </c>
      <c r="K67" s="6" t="s">
        <v>5643</v>
      </c>
      <c r="L67" s="6" t="s">
        <v>1896</v>
      </c>
      <c r="M67" s="22"/>
      <c r="N67" s="22" t="s">
        <v>5831</v>
      </c>
      <c r="O67" s="188"/>
      <c r="P67" s="34"/>
      <c r="Q67" s="304"/>
      <c r="R67" s="34"/>
      <c r="S67" s="34"/>
      <c r="T67" s="34"/>
      <c r="U67" s="105"/>
      <c r="V67" s="105"/>
    </row>
    <row r="68" spans="1:22" ht="38.25">
      <c r="A68" s="27" t="s">
        <v>166</v>
      </c>
      <c r="B68" s="27" t="s">
        <v>1411</v>
      </c>
      <c r="C68" s="6" t="s">
        <v>61</v>
      </c>
      <c r="D68" s="6" t="s">
        <v>1383</v>
      </c>
      <c r="E68" s="7">
        <v>45558</v>
      </c>
      <c r="F68" s="6" t="s">
        <v>1412</v>
      </c>
      <c r="G68" s="6" t="s">
        <v>1413</v>
      </c>
      <c r="H68" s="214">
        <v>1500000</v>
      </c>
      <c r="I68" s="306"/>
      <c r="J68" s="6"/>
      <c r="K68" s="6"/>
      <c r="L68" s="6"/>
      <c r="M68" s="22"/>
      <c r="N68" s="22" t="s">
        <v>5832</v>
      </c>
      <c r="O68" s="188"/>
      <c r="P68" s="34"/>
      <c r="Q68" s="304"/>
      <c r="R68" s="34"/>
      <c r="S68" s="34"/>
      <c r="T68" s="34"/>
      <c r="U68" s="105"/>
      <c r="V68" s="105"/>
    </row>
    <row r="69" spans="1:22" ht="38.25">
      <c r="A69" s="27" t="s">
        <v>166</v>
      </c>
      <c r="B69" s="27" t="s">
        <v>5496</v>
      </c>
      <c r="C69" s="6" t="s">
        <v>61</v>
      </c>
      <c r="D69" s="6" t="s">
        <v>1862</v>
      </c>
      <c r="E69" s="7">
        <v>45558</v>
      </c>
      <c r="F69" s="6" t="s">
        <v>5497</v>
      </c>
      <c r="G69" s="6" t="s">
        <v>1849</v>
      </c>
      <c r="H69" s="214">
        <v>700000</v>
      </c>
      <c r="I69" s="54"/>
      <c r="J69" s="6" t="s">
        <v>5833</v>
      </c>
      <c r="K69" s="6" t="s">
        <v>5736</v>
      </c>
      <c r="L69" s="6" t="s">
        <v>1828</v>
      </c>
      <c r="M69" s="22"/>
      <c r="N69" s="22" t="s">
        <v>5834</v>
      </c>
      <c r="O69" s="188"/>
      <c r="P69" s="34"/>
      <c r="Q69" s="304"/>
      <c r="R69" s="34"/>
      <c r="S69" s="34"/>
      <c r="T69" s="34"/>
      <c r="U69" s="105"/>
      <c r="V69" s="105"/>
    </row>
    <row r="70" spans="1:22" ht="51">
      <c r="A70" s="27" t="s">
        <v>166</v>
      </c>
      <c r="B70" s="27" t="s">
        <v>1414</v>
      </c>
      <c r="C70" s="6" t="s">
        <v>61</v>
      </c>
      <c r="D70" s="6" t="s">
        <v>1383</v>
      </c>
      <c r="E70" s="7">
        <v>45561</v>
      </c>
      <c r="F70" s="6" t="s">
        <v>1415</v>
      </c>
      <c r="G70" s="6" t="s">
        <v>1416</v>
      </c>
      <c r="H70" s="214">
        <v>4050000</v>
      </c>
      <c r="I70" s="306"/>
      <c r="J70" s="6" t="s">
        <v>5835</v>
      </c>
      <c r="K70" s="6"/>
      <c r="L70" s="6" t="s">
        <v>5685</v>
      </c>
      <c r="M70" s="22"/>
      <c r="N70" s="22" t="s">
        <v>5836</v>
      </c>
      <c r="O70" s="188"/>
      <c r="P70" s="34"/>
      <c r="Q70" s="304"/>
      <c r="R70" s="34"/>
      <c r="S70" s="34"/>
      <c r="T70" s="34"/>
      <c r="U70" s="105"/>
      <c r="V70" s="105"/>
    </row>
    <row r="71" spans="1:22" ht="63.75">
      <c r="A71" s="27" t="s">
        <v>166</v>
      </c>
      <c r="B71" s="27" t="s">
        <v>192</v>
      </c>
      <c r="C71" s="6" t="s">
        <v>61</v>
      </c>
      <c r="D71" s="6" t="s">
        <v>125</v>
      </c>
      <c r="E71" s="7">
        <v>45601</v>
      </c>
      <c r="F71" s="6" t="s">
        <v>193</v>
      </c>
      <c r="G71" s="6" t="s">
        <v>194</v>
      </c>
      <c r="H71" s="151">
        <v>2384720</v>
      </c>
      <c r="I71" s="54"/>
      <c r="J71" s="6" t="s">
        <v>5837</v>
      </c>
      <c r="K71" s="6" t="s">
        <v>5665</v>
      </c>
      <c r="L71" s="6" t="s">
        <v>2047</v>
      </c>
      <c r="M71" s="22"/>
      <c r="N71" s="22" t="s">
        <v>5838</v>
      </c>
      <c r="O71" s="305" t="s">
        <v>5773</v>
      </c>
      <c r="P71" s="34"/>
      <c r="Q71" s="304"/>
      <c r="R71" s="34"/>
      <c r="S71" s="34"/>
      <c r="T71" s="34"/>
      <c r="U71" s="105"/>
      <c r="V71" s="105"/>
    </row>
    <row r="72" spans="1:22" ht="38.25">
      <c r="A72" s="27" t="s">
        <v>166</v>
      </c>
      <c r="B72" s="27" t="s">
        <v>5498</v>
      </c>
      <c r="C72" s="6" t="s">
        <v>61</v>
      </c>
      <c r="D72" s="6" t="s">
        <v>1838</v>
      </c>
      <c r="E72" s="7">
        <v>45565</v>
      </c>
      <c r="F72" s="6" t="s">
        <v>5499</v>
      </c>
      <c r="G72" s="6" t="s">
        <v>5437</v>
      </c>
      <c r="H72" s="307">
        <v>97039.7</v>
      </c>
      <c r="I72" s="306"/>
      <c r="J72" s="6" t="s">
        <v>5833</v>
      </c>
      <c r="K72" s="6" t="s">
        <v>5736</v>
      </c>
      <c r="L72" s="6" t="s">
        <v>1828</v>
      </c>
      <c r="M72" s="22"/>
      <c r="N72" s="22" t="s">
        <v>5839</v>
      </c>
      <c r="O72" s="188"/>
      <c r="P72" s="34"/>
      <c r="Q72" s="304"/>
      <c r="R72" s="34"/>
      <c r="S72" s="34"/>
      <c r="T72" s="34"/>
      <c r="U72" s="105"/>
      <c r="V72" s="105"/>
    </row>
    <row r="73" spans="1:22" ht="51.75" customHeight="1">
      <c r="A73" s="27" t="s">
        <v>166</v>
      </c>
      <c r="B73" s="210" t="s">
        <v>471</v>
      </c>
      <c r="C73" s="6" t="s">
        <v>61</v>
      </c>
      <c r="D73" s="6" t="s">
        <v>125</v>
      </c>
      <c r="E73" s="7">
        <v>45478</v>
      </c>
      <c r="F73" s="6" t="s">
        <v>5322</v>
      </c>
      <c r="G73" s="6" t="s">
        <v>5840</v>
      </c>
      <c r="H73" s="64">
        <v>2715984</v>
      </c>
      <c r="I73" s="6" t="s">
        <v>5841</v>
      </c>
      <c r="J73" s="6" t="s">
        <v>5842</v>
      </c>
      <c r="K73" s="6" t="s">
        <v>5843</v>
      </c>
      <c r="L73" s="6" t="s">
        <v>5844</v>
      </c>
      <c r="M73" s="22"/>
      <c r="N73" s="22" t="s">
        <v>5845</v>
      </c>
      <c r="O73" s="188"/>
      <c r="P73" s="34"/>
      <c r="Q73" s="304"/>
      <c r="R73" s="34"/>
      <c r="S73" s="34"/>
      <c r="T73" s="34"/>
      <c r="U73" s="105"/>
      <c r="V73" s="105"/>
    </row>
    <row r="74" spans="1:22" ht="72" customHeight="1">
      <c r="A74" s="27" t="s">
        <v>166</v>
      </c>
      <c r="B74" s="27" t="s">
        <v>196</v>
      </c>
      <c r="C74" s="6" t="s">
        <v>61</v>
      </c>
      <c r="D74" s="6" t="s">
        <v>197</v>
      </c>
      <c r="E74" s="7">
        <v>45609</v>
      </c>
      <c r="F74" s="6" t="s">
        <v>198</v>
      </c>
      <c r="G74" s="6" t="s">
        <v>199</v>
      </c>
      <c r="H74" s="64">
        <v>2975715</v>
      </c>
      <c r="I74" s="54"/>
      <c r="J74" s="6" t="s">
        <v>5846</v>
      </c>
      <c r="K74" s="6" t="s">
        <v>5727</v>
      </c>
      <c r="L74" s="6" t="s">
        <v>1828</v>
      </c>
      <c r="M74" s="22"/>
      <c r="N74" s="22" t="s">
        <v>5847</v>
      </c>
      <c r="O74" s="305" t="s">
        <v>5773</v>
      </c>
      <c r="P74" s="308"/>
      <c r="Q74" s="308"/>
      <c r="R74" s="308"/>
      <c r="S74" s="308"/>
      <c r="T74" s="308"/>
      <c r="U74" s="308"/>
      <c r="V74" s="308"/>
    </row>
    <row r="75" spans="1:22" ht="76.5">
      <c r="A75" s="27" t="s">
        <v>166</v>
      </c>
      <c r="B75" s="27" t="s">
        <v>474</v>
      </c>
      <c r="C75" s="6" t="s">
        <v>61</v>
      </c>
      <c r="D75" s="6" t="s">
        <v>85</v>
      </c>
      <c r="E75" s="7">
        <v>45574</v>
      </c>
      <c r="F75" s="6" t="s">
        <v>475</v>
      </c>
      <c r="G75" s="210" t="s">
        <v>476</v>
      </c>
      <c r="H75" s="211" t="s">
        <v>5501</v>
      </c>
      <c r="I75" s="54" t="s">
        <v>5848</v>
      </c>
      <c r="J75" s="6" t="s">
        <v>5849</v>
      </c>
      <c r="K75" s="6" t="s">
        <v>5727</v>
      </c>
      <c r="L75" s="6" t="s">
        <v>5850</v>
      </c>
      <c r="M75" s="22"/>
      <c r="N75" s="22" t="s">
        <v>5851</v>
      </c>
      <c r="O75" s="188"/>
      <c r="P75" s="34"/>
      <c r="Q75" s="304"/>
      <c r="R75" s="34"/>
      <c r="S75" s="34"/>
      <c r="T75" s="34"/>
      <c r="U75" s="105"/>
      <c r="V75" s="105"/>
    </row>
    <row r="76" spans="1:22" ht="51">
      <c r="A76" s="27" t="s">
        <v>166</v>
      </c>
      <c r="B76" s="27" t="s">
        <v>5502</v>
      </c>
      <c r="C76" s="6" t="s">
        <v>61</v>
      </c>
      <c r="D76" s="6" t="s">
        <v>1838</v>
      </c>
      <c r="E76" s="7">
        <v>45574</v>
      </c>
      <c r="F76" s="6" t="s">
        <v>5503</v>
      </c>
      <c r="G76" s="210" t="s">
        <v>5504</v>
      </c>
      <c r="H76" s="211">
        <v>230975</v>
      </c>
      <c r="I76" s="54"/>
      <c r="J76" s="6" t="s">
        <v>5786</v>
      </c>
      <c r="K76" s="6" t="s">
        <v>5736</v>
      </c>
      <c r="L76" s="29" t="s">
        <v>1828</v>
      </c>
      <c r="M76" s="22"/>
      <c r="N76" s="22" t="s">
        <v>5852</v>
      </c>
      <c r="O76" s="188"/>
      <c r="P76" s="34"/>
      <c r="Q76" s="304"/>
      <c r="R76" s="34"/>
      <c r="S76" s="34"/>
      <c r="T76" s="34"/>
      <c r="U76" s="105"/>
      <c r="V76" s="105"/>
    </row>
    <row r="77" spans="1:22" ht="51">
      <c r="A77" s="27" t="s">
        <v>166</v>
      </c>
      <c r="B77" s="27" t="s">
        <v>202</v>
      </c>
      <c r="C77" s="6" t="s">
        <v>61</v>
      </c>
      <c r="D77" s="6" t="s">
        <v>125</v>
      </c>
      <c r="E77" s="7">
        <v>45574</v>
      </c>
      <c r="F77" s="6" t="s">
        <v>203</v>
      </c>
      <c r="G77" s="6" t="s">
        <v>204</v>
      </c>
      <c r="H77" s="64">
        <v>2999945.74</v>
      </c>
      <c r="I77" s="54"/>
      <c r="J77" s="6" t="s">
        <v>5853</v>
      </c>
      <c r="K77" s="6" t="s">
        <v>5643</v>
      </c>
      <c r="L77" s="6" t="s">
        <v>1828</v>
      </c>
      <c r="M77" s="22"/>
      <c r="N77" s="22" t="s">
        <v>5854</v>
      </c>
      <c r="O77" s="188"/>
      <c r="P77" s="34"/>
      <c r="Q77" s="304"/>
      <c r="R77" s="34"/>
      <c r="S77" s="34"/>
      <c r="T77" s="34"/>
      <c r="U77" s="105"/>
      <c r="V77" s="105"/>
    </row>
    <row r="78" spans="1:22" ht="76.5">
      <c r="A78" s="27" t="s">
        <v>166</v>
      </c>
      <c r="B78" s="27" t="s">
        <v>477</v>
      </c>
      <c r="C78" s="6" t="s">
        <v>61</v>
      </c>
      <c r="D78" s="6" t="s">
        <v>103</v>
      </c>
      <c r="E78" s="7">
        <v>45581</v>
      </c>
      <c r="F78" s="6" t="s">
        <v>478</v>
      </c>
      <c r="G78" s="6" t="s">
        <v>479</v>
      </c>
      <c r="H78" s="8">
        <v>4180264</v>
      </c>
      <c r="I78" s="54"/>
      <c r="J78" s="6" t="s">
        <v>5855</v>
      </c>
      <c r="K78" s="6" t="s">
        <v>5736</v>
      </c>
      <c r="L78" s="6" t="s">
        <v>5751</v>
      </c>
      <c r="M78" s="22"/>
      <c r="N78" s="22" t="s">
        <v>5856</v>
      </c>
      <c r="O78" s="188"/>
      <c r="P78" s="34"/>
      <c r="Q78" s="304"/>
      <c r="R78" s="34"/>
      <c r="S78" s="34"/>
      <c r="T78" s="34"/>
      <c r="U78" s="105"/>
      <c r="V78" s="105"/>
    </row>
    <row r="79" spans="1:22" ht="51">
      <c r="A79" s="210">
        <v>2024</v>
      </c>
      <c r="B79" s="27" t="s">
        <v>480</v>
      </c>
      <c r="C79" s="6" t="s">
        <v>61</v>
      </c>
      <c r="D79" s="6" t="s">
        <v>394</v>
      </c>
      <c r="E79" s="7">
        <v>45581</v>
      </c>
      <c r="F79" s="6" t="s">
        <v>481</v>
      </c>
      <c r="G79" s="6" t="s">
        <v>482</v>
      </c>
      <c r="H79" s="214">
        <v>231162.5</v>
      </c>
      <c r="I79" s="54" t="s">
        <v>5857</v>
      </c>
      <c r="J79" s="6" t="s">
        <v>5858</v>
      </c>
      <c r="K79" s="6" t="s">
        <v>5643</v>
      </c>
      <c r="L79" s="29" t="s">
        <v>1899</v>
      </c>
      <c r="M79" s="22"/>
      <c r="N79" s="22" t="s">
        <v>5859</v>
      </c>
      <c r="O79" s="188"/>
      <c r="P79" s="34"/>
      <c r="Q79" s="304"/>
      <c r="R79" s="34"/>
      <c r="S79" s="34"/>
      <c r="T79" s="34"/>
      <c r="U79" s="105"/>
      <c r="V79" s="105"/>
    </row>
    <row r="80" spans="1:22" ht="63.75">
      <c r="A80" s="27" t="s">
        <v>166</v>
      </c>
      <c r="B80" s="27" t="s">
        <v>483</v>
      </c>
      <c r="C80" s="6" t="s">
        <v>61</v>
      </c>
      <c r="D80" s="6" t="s">
        <v>394</v>
      </c>
      <c r="E80" s="7">
        <v>45581</v>
      </c>
      <c r="F80" s="6" t="s">
        <v>484</v>
      </c>
      <c r="G80" s="6" t="s">
        <v>485</v>
      </c>
      <c r="H80" s="8">
        <v>36000</v>
      </c>
      <c r="I80" s="54"/>
      <c r="J80" s="6" t="s">
        <v>5860</v>
      </c>
      <c r="K80" s="6" t="s">
        <v>5736</v>
      </c>
      <c r="L80" s="29" t="s">
        <v>1896</v>
      </c>
      <c r="M80" s="22"/>
      <c r="N80" s="22" t="s">
        <v>5861</v>
      </c>
      <c r="O80" s="188"/>
      <c r="P80" s="34"/>
      <c r="Q80" s="304"/>
      <c r="R80" s="34"/>
      <c r="S80" s="34"/>
      <c r="T80" s="34"/>
      <c r="U80" s="105"/>
      <c r="V80" s="105"/>
    </row>
    <row r="81" spans="1:22" ht="191.25">
      <c r="A81" s="243" t="s">
        <v>166</v>
      </c>
      <c r="B81" s="243" t="s">
        <v>207</v>
      </c>
      <c r="C81" s="152" t="s">
        <v>61</v>
      </c>
      <c r="D81" s="6" t="s">
        <v>125</v>
      </c>
      <c r="E81" s="7">
        <v>45441</v>
      </c>
      <c r="F81" s="6" t="s">
        <v>208</v>
      </c>
      <c r="G81" s="6" t="s">
        <v>209</v>
      </c>
      <c r="H81" s="64">
        <v>2789556</v>
      </c>
      <c r="I81" s="54"/>
      <c r="J81" s="148" t="s">
        <v>5862</v>
      </c>
      <c r="K81" s="6" t="s">
        <v>5863</v>
      </c>
      <c r="L81" s="6" t="s">
        <v>5864</v>
      </c>
      <c r="M81" s="22"/>
      <c r="N81" s="22" t="s">
        <v>5865</v>
      </c>
      <c r="O81" s="188"/>
      <c r="P81" s="34"/>
      <c r="Q81" s="304"/>
      <c r="R81" s="34"/>
      <c r="S81" s="34"/>
      <c r="T81" s="34"/>
      <c r="U81" s="105"/>
      <c r="V81" s="105"/>
    </row>
    <row r="82" spans="1:22" ht="114.75">
      <c r="A82" s="243" t="s">
        <v>166</v>
      </c>
      <c r="B82" s="243" t="s">
        <v>213</v>
      </c>
      <c r="C82" s="6" t="s">
        <v>61</v>
      </c>
      <c r="D82" s="6" t="s">
        <v>125</v>
      </c>
      <c r="E82" s="7">
        <v>45448</v>
      </c>
      <c r="F82" s="6" t="s">
        <v>214</v>
      </c>
      <c r="G82" s="6" t="s">
        <v>215</v>
      </c>
      <c r="H82" s="64">
        <v>2896644</v>
      </c>
      <c r="I82" s="54"/>
      <c r="J82" s="6" t="s">
        <v>5866</v>
      </c>
      <c r="K82" s="6" t="s">
        <v>5867</v>
      </c>
      <c r="L82" s="6" t="s">
        <v>1828</v>
      </c>
      <c r="M82" s="22"/>
      <c r="N82" s="22" t="s">
        <v>5868</v>
      </c>
      <c r="O82" s="188"/>
      <c r="P82" s="34"/>
      <c r="Q82" s="304"/>
      <c r="R82" s="34"/>
      <c r="S82" s="34"/>
      <c r="T82" s="34"/>
      <c r="U82" s="105"/>
      <c r="V82" s="105"/>
    </row>
    <row r="83" spans="1:22" ht="178.5">
      <c r="A83" s="243" t="s">
        <v>166</v>
      </c>
      <c r="B83" s="243" t="s">
        <v>219</v>
      </c>
      <c r="C83" s="6" t="s">
        <v>61</v>
      </c>
      <c r="D83" s="6" t="s">
        <v>125</v>
      </c>
      <c r="E83" s="7">
        <v>45441</v>
      </c>
      <c r="F83" s="6" t="s">
        <v>220</v>
      </c>
      <c r="G83" s="6" t="s">
        <v>5323</v>
      </c>
      <c r="H83" s="64">
        <v>2785599</v>
      </c>
      <c r="I83" s="54"/>
      <c r="J83" s="22" t="s">
        <v>5869</v>
      </c>
      <c r="K83" s="6" t="s">
        <v>5639</v>
      </c>
      <c r="L83" s="6" t="s">
        <v>1828</v>
      </c>
      <c r="M83" s="22"/>
      <c r="N83" s="22" t="s">
        <v>5870</v>
      </c>
      <c r="O83" s="188"/>
      <c r="P83" s="34"/>
      <c r="Q83" s="304"/>
      <c r="R83" s="34"/>
      <c r="S83" s="34"/>
      <c r="T83" s="34"/>
      <c r="U83" s="105"/>
      <c r="V83" s="105"/>
    </row>
    <row r="84" spans="1:22" ht="51">
      <c r="A84" s="27" t="s">
        <v>166</v>
      </c>
      <c r="B84" s="27" t="s">
        <v>5505</v>
      </c>
      <c r="C84" s="6" t="s">
        <v>61</v>
      </c>
      <c r="D84" s="6" t="s">
        <v>1862</v>
      </c>
      <c r="E84" s="7">
        <v>45595</v>
      </c>
      <c r="F84" s="6" t="s">
        <v>5506</v>
      </c>
      <c r="G84" s="8" t="s">
        <v>1846</v>
      </c>
      <c r="H84" s="64">
        <v>37000</v>
      </c>
      <c r="I84" s="6" t="s">
        <v>1938</v>
      </c>
      <c r="J84" s="6" t="s">
        <v>1938</v>
      </c>
      <c r="K84" s="6" t="s">
        <v>5736</v>
      </c>
      <c r="L84" s="6" t="s">
        <v>1828</v>
      </c>
      <c r="M84" s="22"/>
      <c r="N84" s="22" t="s">
        <v>5871</v>
      </c>
      <c r="O84" s="188"/>
      <c r="P84" s="34"/>
      <c r="Q84" s="304"/>
      <c r="R84" s="34"/>
      <c r="S84" s="34"/>
      <c r="T84" s="34"/>
      <c r="U84" s="105"/>
      <c r="V84" s="105"/>
    </row>
    <row r="85" spans="1:22" ht="63.75">
      <c r="A85" s="243" t="s">
        <v>166</v>
      </c>
      <c r="B85" s="27" t="s">
        <v>1016</v>
      </c>
      <c r="C85" s="6" t="s">
        <v>61</v>
      </c>
      <c r="D85" s="6" t="s">
        <v>62</v>
      </c>
      <c r="E85" s="7">
        <v>45457</v>
      </c>
      <c r="F85" s="6" t="s">
        <v>5324</v>
      </c>
      <c r="G85" s="6" t="s">
        <v>1018</v>
      </c>
      <c r="H85" s="8">
        <v>709948</v>
      </c>
      <c r="I85" s="6"/>
      <c r="J85" s="6" t="s">
        <v>5872</v>
      </c>
      <c r="K85" s="6" t="s">
        <v>5873</v>
      </c>
      <c r="L85" s="6" t="s">
        <v>5818</v>
      </c>
      <c r="M85" s="22"/>
      <c r="N85" s="22" t="s">
        <v>5874</v>
      </c>
      <c r="O85" s="188"/>
      <c r="P85" s="34"/>
      <c r="Q85" s="304"/>
      <c r="R85" s="34"/>
      <c r="S85" s="34"/>
      <c r="T85" s="34"/>
      <c r="U85" s="105"/>
      <c r="V85" s="105"/>
    </row>
    <row r="86" spans="1:22" ht="127.5">
      <c r="A86" s="27" t="s">
        <v>166</v>
      </c>
      <c r="B86" s="27" t="s">
        <v>488</v>
      </c>
      <c r="C86" s="6" t="s">
        <v>61</v>
      </c>
      <c r="D86" s="6" t="s">
        <v>394</v>
      </c>
      <c r="E86" s="7">
        <v>45601</v>
      </c>
      <c r="F86" s="6" t="s">
        <v>489</v>
      </c>
      <c r="G86" s="6" t="s">
        <v>490</v>
      </c>
      <c r="H86" s="8">
        <v>115435</v>
      </c>
      <c r="I86" s="54"/>
      <c r="J86" s="6" t="s">
        <v>5875</v>
      </c>
      <c r="K86" s="6" t="s">
        <v>5736</v>
      </c>
      <c r="L86" s="29" t="s">
        <v>1828</v>
      </c>
      <c r="M86" s="22"/>
      <c r="N86" s="22" t="s">
        <v>5876</v>
      </c>
      <c r="O86" s="188"/>
      <c r="P86" s="34"/>
      <c r="Q86" s="304"/>
      <c r="R86" s="34"/>
      <c r="S86" s="34"/>
      <c r="T86" s="34"/>
      <c r="U86" s="105"/>
      <c r="V86" s="105"/>
    </row>
    <row r="87" spans="1:22" ht="165.75">
      <c r="A87" s="243" t="s">
        <v>166</v>
      </c>
      <c r="B87" s="243" t="s">
        <v>1019</v>
      </c>
      <c r="C87" s="6" t="s">
        <v>61</v>
      </c>
      <c r="D87" s="6" t="s">
        <v>62</v>
      </c>
      <c r="E87" s="7">
        <v>45441</v>
      </c>
      <c r="F87" s="6" t="s">
        <v>1020</v>
      </c>
      <c r="G87" s="6" t="s">
        <v>1021</v>
      </c>
      <c r="H87" s="8">
        <v>333400</v>
      </c>
      <c r="I87" s="54"/>
      <c r="J87" s="6" t="s">
        <v>5877</v>
      </c>
      <c r="K87" s="6" t="s">
        <v>5639</v>
      </c>
      <c r="L87" s="6" t="s">
        <v>2659</v>
      </c>
      <c r="M87" s="22"/>
      <c r="N87" s="22" t="s">
        <v>5878</v>
      </c>
      <c r="O87" s="188"/>
      <c r="P87" s="34"/>
      <c r="Q87" s="304"/>
      <c r="R87" s="34"/>
      <c r="S87" s="34"/>
      <c r="T87" s="34"/>
      <c r="U87" s="105"/>
      <c r="V87" s="105"/>
    </row>
    <row r="88" spans="1:22" ht="63.75">
      <c r="A88" s="27" t="s">
        <v>166</v>
      </c>
      <c r="B88" s="27" t="s">
        <v>1788</v>
      </c>
      <c r="C88" s="6" t="s">
        <v>61</v>
      </c>
      <c r="D88" s="6" t="s">
        <v>1782</v>
      </c>
      <c r="E88" s="7">
        <v>45604</v>
      </c>
      <c r="F88" s="6" t="s">
        <v>1789</v>
      </c>
      <c r="G88" s="6" t="s">
        <v>1790</v>
      </c>
      <c r="H88" s="8">
        <v>100000</v>
      </c>
      <c r="I88" s="54"/>
      <c r="J88" s="6" t="s">
        <v>5879</v>
      </c>
      <c r="K88" s="6" t="s">
        <v>5736</v>
      </c>
      <c r="L88" s="6" t="s">
        <v>1828</v>
      </c>
      <c r="M88" s="22"/>
      <c r="N88" s="22" t="s">
        <v>5880</v>
      </c>
      <c r="O88" s="188"/>
      <c r="P88" s="34"/>
      <c r="Q88" s="304"/>
      <c r="R88" s="34"/>
      <c r="S88" s="34"/>
      <c r="T88" s="34"/>
      <c r="U88" s="105"/>
      <c r="V88" s="105"/>
    </row>
    <row r="89" spans="1:22" ht="51">
      <c r="A89" s="27" t="s">
        <v>166</v>
      </c>
      <c r="B89" s="27" t="s">
        <v>1791</v>
      </c>
      <c r="C89" s="6" t="s">
        <v>61</v>
      </c>
      <c r="D89" s="6" t="s">
        <v>1782</v>
      </c>
      <c r="E89" s="7">
        <v>45604</v>
      </c>
      <c r="F89" s="6" t="s">
        <v>1792</v>
      </c>
      <c r="G89" s="6" t="s">
        <v>1793</v>
      </c>
      <c r="H89" s="8">
        <v>100000</v>
      </c>
      <c r="I89" s="54"/>
      <c r="J89" s="6" t="s">
        <v>5881</v>
      </c>
      <c r="K89" s="6" t="s">
        <v>5736</v>
      </c>
      <c r="L89" s="6" t="s">
        <v>1828</v>
      </c>
      <c r="M89" s="22"/>
      <c r="N89" s="22" t="s">
        <v>5882</v>
      </c>
      <c r="O89" s="188"/>
      <c r="P89" s="34"/>
      <c r="Q89" s="304"/>
      <c r="R89" s="34"/>
      <c r="S89" s="34"/>
      <c r="T89" s="34"/>
      <c r="U89" s="105"/>
      <c r="V89" s="105"/>
    </row>
    <row r="90" spans="1:22" ht="114.75">
      <c r="A90" s="27" t="s">
        <v>166</v>
      </c>
      <c r="B90" s="27" t="s">
        <v>1022</v>
      </c>
      <c r="C90" s="6" t="s">
        <v>61</v>
      </c>
      <c r="D90" s="6" t="s">
        <v>62</v>
      </c>
      <c r="E90" s="7">
        <v>45533</v>
      </c>
      <c r="F90" s="6" t="s">
        <v>1023</v>
      </c>
      <c r="G90" s="6" t="s">
        <v>5883</v>
      </c>
      <c r="H90" s="8">
        <v>1503651.61</v>
      </c>
      <c r="I90" s="54"/>
      <c r="J90" s="6" t="s">
        <v>5884</v>
      </c>
      <c r="K90" s="6" t="s">
        <v>5727</v>
      </c>
      <c r="L90" s="6" t="s">
        <v>1828</v>
      </c>
      <c r="M90" s="22"/>
      <c r="N90" s="22" t="s">
        <v>5885</v>
      </c>
      <c r="O90" s="188"/>
      <c r="P90" s="34"/>
      <c r="Q90" s="304"/>
      <c r="R90" s="34"/>
      <c r="S90" s="34"/>
      <c r="T90" s="34"/>
      <c r="U90" s="105"/>
      <c r="V90" s="105"/>
    </row>
    <row r="91" spans="1:22" ht="153">
      <c r="A91" s="243" t="s">
        <v>166</v>
      </c>
      <c r="B91" s="27" t="s">
        <v>1025</v>
      </c>
      <c r="C91" s="6" t="s">
        <v>61</v>
      </c>
      <c r="D91" s="6" t="s">
        <v>62</v>
      </c>
      <c r="E91" s="7">
        <v>45448</v>
      </c>
      <c r="F91" s="6" t="s">
        <v>1026</v>
      </c>
      <c r="G91" s="6" t="s">
        <v>1027</v>
      </c>
      <c r="H91" s="8">
        <v>2000000</v>
      </c>
      <c r="I91" s="54"/>
      <c r="J91" s="6" t="s">
        <v>5886</v>
      </c>
      <c r="K91" s="6" t="s">
        <v>5887</v>
      </c>
      <c r="L91" s="6" t="s">
        <v>1828</v>
      </c>
      <c r="M91" s="22"/>
      <c r="N91" s="22" t="s">
        <v>5888</v>
      </c>
      <c r="O91" s="188"/>
      <c r="P91" s="34"/>
      <c r="Q91" s="304"/>
      <c r="R91" s="34"/>
      <c r="S91" s="34"/>
      <c r="T91" s="34"/>
      <c r="U91" s="105"/>
      <c r="V91" s="105"/>
    </row>
    <row r="92" spans="1:22" ht="89.25">
      <c r="A92" s="27" t="s">
        <v>166</v>
      </c>
      <c r="B92" s="27" t="s">
        <v>167</v>
      </c>
      <c r="C92" s="6" t="s">
        <v>61</v>
      </c>
      <c r="D92" s="6" t="s">
        <v>85</v>
      </c>
      <c r="E92" s="7">
        <v>45625</v>
      </c>
      <c r="F92" s="6" t="s">
        <v>168</v>
      </c>
      <c r="G92" s="6" t="s">
        <v>491</v>
      </c>
      <c r="H92" s="8">
        <v>395212</v>
      </c>
      <c r="I92" s="54"/>
      <c r="J92" s="6" t="s">
        <v>2070</v>
      </c>
      <c r="K92" s="6" t="s">
        <v>5796</v>
      </c>
      <c r="L92" s="6" t="s">
        <v>1899</v>
      </c>
      <c r="M92" s="22"/>
      <c r="N92" s="22" t="s">
        <v>5889</v>
      </c>
      <c r="O92" s="188"/>
      <c r="P92" s="34"/>
      <c r="Q92" s="304"/>
      <c r="R92" s="34"/>
      <c r="S92" s="34"/>
      <c r="T92" s="34"/>
      <c r="U92" s="105"/>
      <c r="V92" s="105"/>
    </row>
    <row r="93" spans="1:22" ht="76.5">
      <c r="A93" s="27" t="s">
        <v>166</v>
      </c>
      <c r="B93" s="27" t="s">
        <v>1028</v>
      </c>
      <c r="C93" s="6" t="s">
        <v>61</v>
      </c>
      <c r="D93" s="6" t="s">
        <v>62</v>
      </c>
      <c r="E93" s="7">
        <v>45574</v>
      </c>
      <c r="F93" s="6" t="s">
        <v>1029</v>
      </c>
      <c r="G93" s="6" t="s">
        <v>1030</v>
      </c>
      <c r="H93" s="214">
        <v>383657.4</v>
      </c>
      <c r="I93" s="54"/>
      <c r="J93" s="6" t="s">
        <v>5890</v>
      </c>
      <c r="K93" s="6" t="s">
        <v>5643</v>
      </c>
      <c r="L93" s="6" t="s">
        <v>2659</v>
      </c>
      <c r="M93" s="22"/>
      <c r="N93" s="22" t="s">
        <v>5891</v>
      </c>
      <c r="O93" s="188"/>
      <c r="P93" s="34"/>
      <c r="Q93" s="304"/>
      <c r="R93" s="34"/>
      <c r="S93" s="34"/>
      <c r="T93" s="34"/>
      <c r="U93" s="105"/>
      <c r="V93" s="105"/>
    </row>
    <row r="94" spans="1:22" ht="12.75">
      <c r="A94" s="309"/>
      <c r="B94" s="309"/>
      <c r="C94" s="34"/>
      <c r="D94" s="34"/>
      <c r="E94" s="35"/>
      <c r="F94" s="34"/>
      <c r="G94" s="310"/>
      <c r="H94" s="311">
        <f>SUM(H15:H64)</f>
        <v>75045818.610000014</v>
      </c>
      <c r="I94" s="105"/>
      <c r="J94" s="34"/>
      <c r="K94" s="34"/>
      <c r="L94" s="34"/>
      <c r="M94" s="188"/>
      <c r="N94" s="188"/>
      <c r="O94" s="188"/>
      <c r="P94" s="34"/>
      <c r="Q94" s="304"/>
      <c r="R94" s="34"/>
      <c r="S94" s="34"/>
      <c r="T94" s="34"/>
      <c r="U94" s="105"/>
      <c r="V94" s="105"/>
    </row>
    <row r="95" spans="1:22" ht="12.75">
      <c r="A95" s="309"/>
      <c r="B95" s="309"/>
      <c r="C95" s="34"/>
      <c r="D95" s="34"/>
      <c r="E95" s="35"/>
      <c r="F95" s="34"/>
      <c r="G95" s="310"/>
      <c r="H95" s="311"/>
      <c r="I95" s="105"/>
      <c r="J95" s="34"/>
      <c r="K95" s="34"/>
      <c r="L95" s="34"/>
      <c r="M95" s="188"/>
      <c r="N95" s="188"/>
      <c r="O95" s="188"/>
      <c r="P95" s="34"/>
      <c r="Q95" s="304"/>
      <c r="R95" s="34"/>
      <c r="S95" s="34"/>
      <c r="T95" s="34"/>
      <c r="U95" s="105"/>
      <c r="V95" s="105"/>
    </row>
    <row r="96" spans="1:22" ht="12.75">
      <c r="A96" s="309"/>
      <c r="B96" s="309"/>
      <c r="C96" s="34"/>
      <c r="D96" s="34"/>
      <c r="E96" s="35"/>
      <c r="F96" s="34"/>
      <c r="G96" s="310"/>
      <c r="H96" s="311"/>
      <c r="I96" s="105"/>
      <c r="J96" s="34"/>
      <c r="K96" s="34"/>
      <c r="L96" s="34"/>
      <c r="M96" s="188"/>
      <c r="N96" s="188"/>
      <c r="O96" s="188"/>
      <c r="P96" s="34"/>
      <c r="Q96" s="304"/>
      <c r="R96" s="34"/>
      <c r="S96" s="34"/>
      <c r="T96" s="34"/>
      <c r="U96" s="105"/>
      <c r="V96" s="105"/>
    </row>
    <row r="97" spans="1:22" ht="12.75">
      <c r="A97" s="309"/>
      <c r="B97" s="309"/>
      <c r="C97" s="34"/>
      <c r="D97" s="34"/>
      <c r="E97" s="35"/>
      <c r="F97" s="34"/>
      <c r="G97" s="310"/>
      <c r="H97" s="311"/>
      <c r="I97" s="105"/>
      <c r="J97" s="34"/>
      <c r="K97" s="34"/>
      <c r="L97" s="34"/>
      <c r="M97" s="188"/>
      <c r="N97" s="188"/>
      <c r="O97" s="188"/>
      <c r="P97" s="34"/>
      <c r="Q97" s="304"/>
      <c r="R97" s="34"/>
      <c r="S97" s="34"/>
      <c r="T97" s="34"/>
      <c r="U97" s="105"/>
      <c r="V97" s="105"/>
    </row>
    <row r="98" spans="1:22" ht="12.75">
      <c r="A98" s="309"/>
      <c r="B98" s="309"/>
      <c r="C98" s="34"/>
      <c r="D98" s="34"/>
      <c r="E98" s="35"/>
      <c r="F98" s="65"/>
      <c r="G98" s="44"/>
      <c r="H98" s="312"/>
      <c r="I98" s="105"/>
      <c r="J98" s="34"/>
      <c r="K98" s="34"/>
      <c r="L98" s="34"/>
      <c r="M98" s="188"/>
      <c r="N98" s="188"/>
      <c r="O98" s="188"/>
      <c r="P98" s="34"/>
      <c r="Q98" s="304"/>
      <c r="R98" s="34"/>
      <c r="S98" s="34"/>
      <c r="T98" s="34"/>
      <c r="U98" s="105"/>
      <c r="V98" s="105"/>
    </row>
    <row r="99" spans="1:22" ht="12.75">
      <c r="A99" s="309"/>
      <c r="B99" s="309"/>
      <c r="C99" s="34"/>
      <c r="D99" s="34"/>
      <c r="E99" s="35"/>
      <c r="F99" s="65"/>
      <c r="G99" s="34"/>
      <c r="H99" s="312"/>
      <c r="I99" s="105"/>
      <c r="J99" s="34"/>
      <c r="K99" s="34"/>
      <c r="L99" s="34"/>
      <c r="M99" s="188"/>
      <c r="N99" s="188"/>
      <c r="O99" s="188"/>
      <c r="P99" s="34"/>
      <c r="Q99" s="304"/>
      <c r="R99" s="34"/>
      <c r="S99" s="34"/>
      <c r="T99" s="34"/>
      <c r="U99" s="105"/>
      <c r="V99" s="105"/>
    </row>
    <row r="100" spans="1:22" ht="12.75">
      <c r="A100" s="309"/>
      <c r="B100" s="309"/>
      <c r="C100" s="34"/>
      <c r="D100" s="34"/>
      <c r="E100" s="35"/>
      <c r="F100" s="65"/>
      <c r="G100" s="34"/>
      <c r="H100" s="311"/>
      <c r="I100" s="105"/>
      <c r="J100" s="34"/>
      <c r="K100" s="34"/>
      <c r="L100" s="34"/>
      <c r="M100" s="188"/>
      <c r="N100" s="188"/>
      <c r="O100" s="188"/>
      <c r="P100" s="34"/>
      <c r="Q100" s="304"/>
      <c r="R100" s="34"/>
      <c r="S100" s="34"/>
      <c r="T100" s="34"/>
      <c r="U100" s="105"/>
      <c r="V100" s="105"/>
    </row>
    <row r="101" spans="1:22" ht="12.75">
      <c r="A101" s="309"/>
      <c r="B101" s="309"/>
      <c r="C101" s="34"/>
      <c r="D101" s="34"/>
      <c r="E101" s="35"/>
      <c r="F101" s="65"/>
      <c r="G101" s="44"/>
      <c r="H101" s="311"/>
      <c r="I101" s="105"/>
      <c r="J101" s="34"/>
      <c r="K101" s="34"/>
      <c r="L101" s="34"/>
      <c r="M101" s="188"/>
      <c r="N101" s="188"/>
      <c r="O101" s="188"/>
      <c r="P101" s="34"/>
      <c r="Q101" s="304"/>
      <c r="R101" s="34"/>
      <c r="S101" s="34"/>
      <c r="T101" s="34"/>
      <c r="U101" s="105"/>
      <c r="V101" s="105"/>
    </row>
    <row r="102" spans="1:22" ht="12.75">
      <c r="A102" s="309"/>
      <c r="B102" s="309"/>
      <c r="E102" s="313"/>
      <c r="F102" s="34"/>
      <c r="G102" s="310"/>
      <c r="H102" s="311"/>
      <c r="I102" s="105"/>
      <c r="J102" s="34"/>
      <c r="K102" s="34"/>
      <c r="L102" s="34"/>
      <c r="M102" s="188"/>
      <c r="N102" s="188"/>
      <c r="O102" s="188"/>
      <c r="P102" s="34"/>
      <c r="Q102" s="304"/>
      <c r="R102" s="34"/>
      <c r="S102" s="34"/>
      <c r="T102" s="34"/>
      <c r="U102" s="105"/>
      <c r="V102" s="105"/>
    </row>
    <row r="103" spans="1:22" ht="14.25">
      <c r="A103" s="309"/>
      <c r="B103" s="309"/>
      <c r="E103" s="313"/>
      <c r="F103" s="314"/>
      <c r="G103" s="310"/>
      <c r="H103" s="311"/>
      <c r="I103" s="105"/>
      <c r="J103" s="34"/>
      <c r="K103" s="34"/>
      <c r="L103" s="34"/>
      <c r="M103" s="188"/>
      <c r="N103" s="188"/>
      <c r="O103" s="188"/>
      <c r="P103" s="34"/>
      <c r="Q103" s="304"/>
      <c r="R103" s="34"/>
      <c r="S103" s="34"/>
      <c r="T103" s="34"/>
      <c r="U103" s="105"/>
      <c r="V103" s="105"/>
    </row>
    <row r="104" spans="1:22" ht="12.75">
      <c r="A104" s="309"/>
      <c r="B104" s="309"/>
      <c r="C104" s="43"/>
      <c r="D104" s="43"/>
      <c r="E104" s="315"/>
      <c r="F104" s="34"/>
      <c r="G104" s="310"/>
      <c r="H104" s="311"/>
      <c r="I104" s="105"/>
      <c r="J104" s="34"/>
      <c r="K104" s="34"/>
      <c r="L104" s="34"/>
      <c r="M104" s="188"/>
      <c r="N104" s="188"/>
      <c r="O104" s="188"/>
      <c r="P104" s="34"/>
      <c r="Q104" s="304"/>
      <c r="R104" s="34"/>
      <c r="S104" s="34"/>
      <c r="T104" s="34"/>
      <c r="U104" s="105"/>
      <c r="V104" s="105"/>
    </row>
    <row r="105" spans="1:22" ht="12.75">
      <c r="A105" s="309"/>
      <c r="B105" s="309"/>
      <c r="C105" s="43"/>
      <c r="D105" s="43"/>
      <c r="E105" s="316"/>
      <c r="F105" s="34"/>
      <c r="G105" s="310"/>
      <c r="H105" s="311"/>
      <c r="I105" s="105"/>
      <c r="J105" s="34"/>
      <c r="K105" s="34"/>
      <c r="L105" s="34"/>
      <c r="M105" s="188"/>
      <c r="N105" s="188"/>
      <c r="O105" s="188"/>
      <c r="P105" s="34"/>
      <c r="Q105" s="304"/>
      <c r="R105" s="34"/>
      <c r="S105" s="34"/>
      <c r="T105" s="34"/>
      <c r="U105" s="105"/>
      <c r="V105" s="105"/>
    </row>
    <row r="106" spans="1:22" ht="12.75">
      <c r="A106" s="309"/>
      <c r="F106" s="34"/>
      <c r="G106" s="310"/>
      <c r="H106" s="311"/>
      <c r="I106" s="105"/>
      <c r="J106" s="34"/>
      <c r="K106" s="34"/>
      <c r="L106" s="34"/>
      <c r="M106" s="188"/>
      <c r="N106" s="188"/>
      <c r="O106" s="188"/>
      <c r="P106" s="34"/>
      <c r="Q106" s="304"/>
      <c r="R106" s="34"/>
      <c r="S106" s="34"/>
      <c r="T106" s="34"/>
      <c r="U106" s="105"/>
      <c r="V106" s="105"/>
    </row>
    <row r="107" spans="1:22" ht="12.75">
      <c r="A107" s="309"/>
      <c r="C107" s="34"/>
      <c r="D107" s="34"/>
      <c r="E107" s="35"/>
      <c r="F107" s="34"/>
      <c r="G107" s="310"/>
      <c r="H107" s="311"/>
      <c r="I107" s="105"/>
      <c r="J107" s="34"/>
      <c r="K107" s="34"/>
      <c r="L107" s="34"/>
      <c r="M107" s="188"/>
      <c r="N107" s="188"/>
      <c r="O107" s="188"/>
      <c r="P107" s="34"/>
      <c r="Q107" s="304"/>
      <c r="R107" s="34"/>
      <c r="S107" s="34"/>
      <c r="T107" s="34"/>
      <c r="U107" s="105"/>
      <c r="V107" s="105"/>
    </row>
    <row r="108" spans="1:22" ht="12.75" hidden="1">
      <c r="A108" s="309"/>
      <c r="C108" s="34"/>
      <c r="D108" s="34"/>
      <c r="E108" s="35"/>
      <c r="F108" s="34"/>
      <c r="G108" s="310"/>
      <c r="H108" s="311"/>
      <c r="I108" s="105"/>
      <c r="J108" s="34"/>
      <c r="K108" s="34"/>
      <c r="L108" s="34"/>
      <c r="M108" s="188"/>
      <c r="N108" s="188"/>
      <c r="O108" s="188"/>
      <c r="P108" s="34"/>
      <c r="Q108" s="304"/>
      <c r="R108" s="34"/>
      <c r="S108" s="34"/>
      <c r="T108" s="34"/>
      <c r="U108" s="105"/>
      <c r="V108" s="105"/>
    </row>
    <row r="109" spans="1:22" ht="12.75" hidden="1">
      <c r="A109" s="309"/>
      <c r="B109" s="309"/>
      <c r="C109" s="34"/>
      <c r="D109" s="34"/>
      <c r="E109" s="35"/>
      <c r="F109" s="34"/>
      <c r="G109" s="310"/>
      <c r="H109" s="311"/>
      <c r="I109" s="105"/>
      <c r="J109" s="34"/>
      <c r="K109" s="34"/>
      <c r="L109" s="34"/>
      <c r="M109" s="188"/>
      <c r="N109" s="188"/>
      <c r="O109" s="188"/>
      <c r="P109" s="34"/>
      <c r="Q109" s="304"/>
      <c r="R109" s="34"/>
      <c r="S109" s="34"/>
      <c r="T109" s="34"/>
      <c r="U109" s="105"/>
      <c r="V109" s="105"/>
    </row>
    <row r="110" spans="1:22" ht="12.75" hidden="1">
      <c r="A110" s="309"/>
      <c r="B110" s="309"/>
      <c r="C110" s="34"/>
      <c r="D110" s="34"/>
      <c r="E110" s="35"/>
      <c r="F110" s="34"/>
      <c r="G110" s="34"/>
      <c r="H110" s="311"/>
      <c r="I110" s="105"/>
      <c r="J110" s="310"/>
      <c r="K110" s="34"/>
      <c r="L110" s="34"/>
      <c r="M110" s="188"/>
      <c r="N110" s="188"/>
      <c r="O110" s="188"/>
      <c r="P110" s="34"/>
      <c r="Q110" s="304"/>
      <c r="R110" s="34"/>
      <c r="S110" s="34"/>
      <c r="T110" s="34"/>
      <c r="U110" s="105"/>
      <c r="V110" s="105"/>
    </row>
    <row r="111" spans="1:22" ht="12.75" hidden="1">
      <c r="A111" s="309"/>
      <c r="B111" s="309"/>
      <c r="C111" s="34"/>
      <c r="D111" s="34"/>
      <c r="E111" s="35"/>
      <c r="F111" s="34"/>
      <c r="G111" s="34"/>
      <c r="H111" s="65"/>
      <c r="I111" s="105"/>
      <c r="J111" s="34"/>
      <c r="K111" s="34"/>
      <c r="L111" s="34"/>
      <c r="M111" s="188"/>
      <c r="N111" s="188"/>
      <c r="O111" s="188"/>
      <c r="P111" s="34"/>
      <c r="Q111" s="304"/>
      <c r="R111" s="34"/>
      <c r="S111" s="34"/>
      <c r="T111" s="34"/>
      <c r="U111" s="105"/>
      <c r="V111" s="105"/>
    </row>
    <row r="112" spans="1:22" ht="12.75" hidden="1">
      <c r="A112" s="309"/>
      <c r="B112" s="309"/>
      <c r="C112" s="34"/>
      <c r="D112" s="34"/>
      <c r="E112" s="35"/>
      <c r="F112" s="34"/>
      <c r="G112" s="34"/>
      <c r="H112" s="65"/>
      <c r="I112" s="105"/>
      <c r="J112" s="34"/>
      <c r="K112" s="34"/>
      <c r="L112" s="34"/>
      <c r="M112" s="188"/>
      <c r="N112" s="188"/>
      <c r="O112" s="188"/>
      <c r="P112" s="34"/>
      <c r="Q112" s="304"/>
      <c r="R112" s="34"/>
      <c r="S112" s="34"/>
      <c r="T112" s="34"/>
      <c r="U112" s="105"/>
      <c r="V112" s="105"/>
    </row>
    <row r="113" spans="1:22" ht="12.75">
      <c r="A113" s="309"/>
      <c r="B113" s="309"/>
      <c r="C113" s="34"/>
      <c r="D113" s="34"/>
      <c r="E113" s="35"/>
      <c r="F113" s="34"/>
      <c r="G113" s="34"/>
      <c r="H113" s="65"/>
      <c r="I113" s="105"/>
      <c r="J113" s="34"/>
      <c r="K113" s="34"/>
      <c r="L113" s="34"/>
      <c r="M113" s="188"/>
      <c r="N113" s="188"/>
      <c r="O113" s="188"/>
      <c r="P113" s="34"/>
      <c r="Q113" s="304"/>
      <c r="R113" s="34"/>
      <c r="S113" s="34"/>
      <c r="T113" s="34"/>
      <c r="U113" s="105"/>
      <c r="V113" s="105"/>
    </row>
    <row r="114" spans="1:22" ht="12.75">
      <c r="A114" s="309"/>
      <c r="B114" s="309"/>
      <c r="C114" s="34"/>
      <c r="D114" s="34"/>
      <c r="E114" s="35"/>
      <c r="F114" s="34"/>
      <c r="G114" s="310"/>
      <c r="H114" s="311"/>
      <c r="I114" s="105"/>
      <c r="J114" s="34"/>
      <c r="K114" s="34"/>
      <c r="L114" s="34"/>
      <c r="M114" s="188"/>
      <c r="N114" s="188"/>
      <c r="O114" s="188"/>
      <c r="P114" s="34"/>
      <c r="Q114" s="304"/>
      <c r="R114" s="34"/>
      <c r="S114" s="34"/>
      <c r="T114" s="34"/>
      <c r="U114" s="105"/>
      <c r="V114" s="105"/>
    </row>
    <row r="115" spans="1:22" ht="12.75">
      <c r="A115" s="309"/>
      <c r="B115" s="309"/>
      <c r="C115" s="34"/>
      <c r="D115" s="34"/>
      <c r="E115" s="35"/>
      <c r="F115" s="34"/>
      <c r="G115" s="34"/>
      <c r="H115" s="65"/>
      <c r="I115" s="105"/>
      <c r="J115" s="34"/>
      <c r="K115" s="34"/>
      <c r="L115" s="34"/>
      <c r="M115" s="188"/>
      <c r="N115" s="188"/>
      <c r="O115" s="188"/>
      <c r="P115" s="34"/>
      <c r="Q115" s="304"/>
      <c r="R115" s="34"/>
      <c r="S115" s="34"/>
      <c r="T115" s="34"/>
      <c r="U115" s="105"/>
      <c r="V115" s="105"/>
    </row>
    <row r="116" spans="1:22" ht="12.75">
      <c r="A116" s="309"/>
      <c r="B116" s="309"/>
      <c r="C116" s="34"/>
      <c r="D116" s="34"/>
      <c r="E116" s="35"/>
      <c r="F116" s="34"/>
      <c r="G116" s="34"/>
      <c r="H116" s="65"/>
      <c r="I116" s="105"/>
      <c r="J116" s="34"/>
      <c r="K116" s="34"/>
      <c r="L116" s="34"/>
      <c r="M116" s="188"/>
      <c r="N116" s="188"/>
      <c r="O116" s="188"/>
      <c r="P116" s="34"/>
      <c r="Q116" s="304"/>
      <c r="R116" s="34"/>
      <c r="S116" s="34"/>
      <c r="T116" s="34"/>
      <c r="U116" s="105"/>
      <c r="V116" s="105"/>
    </row>
    <row r="117" spans="1:22" ht="12.75">
      <c r="A117" s="309"/>
      <c r="B117" s="309"/>
      <c r="C117" s="34"/>
      <c r="D117" s="34"/>
      <c r="E117" s="35"/>
      <c r="F117" s="34"/>
      <c r="G117" s="34"/>
      <c r="H117" s="65"/>
      <c r="I117" s="105"/>
      <c r="J117" s="34"/>
      <c r="K117" s="34"/>
      <c r="L117" s="34"/>
      <c r="M117" s="188"/>
      <c r="N117" s="188"/>
      <c r="O117" s="188"/>
      <c r="P117" s="34"/>
      <c r="Q117" s="304"/>
      <c r="R117" s="34"/>
      <c r="S117" s="34"/>
      <c r="T117" s="34"/>
      <c r="U117" s="105"/>
      <c r="V117" s="105"/>
    </row>
    <row r="118" spans="1:22" ht="12.75">
      <c r="A118" s="309"/>
      <c r="B118" s="309"/>
      <c r="C118" s="34"/>
      <c r="D118" s="34"/>
      <c r="E118" s="35"/>
      <c r="F118" s="34"/>
      <c r="G118" s="34"/>
      <c r="H118" s="65"/>
      <c r="I118" s="105"/>
      <c r="J118" s="34"/>
      <c r="K118" s="34"/>
      <c r="L118" s="34"/>
      <c r="M118" s="188"/>
      <c r="N118" s="188"/>
      <c r="O118" s="188"/>
      <c r="P118" s="34"/>
      <c r="Q118" s="304"/>
      <c r="R118" s="34"/>
      <c r="S118" s="34"/>
      <c r="T118" s="34"/>
      <c r="U118" s="105"/>
      <c r="V118" s="105"/>
    </row>
    <row r="119" spans="1:22" ht="12.75">
      <c r="A119" s="309"/>
      <c r="B119" s="309"/>
      <c r="C119" s="34"/>
      <c r="D119" s="34"/>
      <c r="E119" s="35"/>
      <c r="F119" s="34"/>
      <c r="G119" s="34"/>
      <c r="H119" s="65"/>
      <c r="I119" s="105"/>
      <c r="J119" s="34"/>
      <c r="K119" s="34"/>
      <c r="L119" s="34"/>
      <c r="M119" s="188"/>
      <c r="N119" s="188"/>
      <c r="O119" s="188"/>
      <c r="P119" s="34"/>
      <c r="Q119" s="304"/>
      <c r="R119" s="34"/>
      <c r="S119" s="34"/>
      <c r="T119" s="34"/>
      <c r="U119" s="105"/>
      <c r="V119" s="105"/>
    </row>
    <row r="120" spans="1:22" ht="12.75">
      <c r="A120" s="309"/>
      <c r="B120" s="309"/>
      <c r="C120" s="34"/>
      <c r="D120" s="34"/>
      <c r="E120" s="35"/>
      <c r="F120" s="34"/>
      <c r="G120" s="34"/>
      <c r="H120" s="65"/>
      <c r="I120" s="105"/>
      <c r="J120" s="34"/>
      <c r="K120" s="34"/>
      <c r="L120" s="34"/>
      <c r="M120" s="188"/>
      <c r="N120" s="188"/>
      <c r="O120" s="188"/>
      <c r="P120" s="34"/>
      <c r="Q120" s="304"/>
      <c r="R120" s="34"/>
      <c r="S120" s="34"/>
      <c r="T120" s="34"/>
      <c r="U120" s="105"/>
      <c r="V120" s="105"/>
    </row>
    <row r="121" spans="1:22" ht="12.75">
      <c r="A121" s="309"/>
      <c r="B121" s="309"/>
      <c r="C121" s="34"/>
      <c r="D121" s="34"/>
      <c r="E121" s="35"/>
      <c r="F121" s="34"/>
      <c r="G121" s="34"/>
      <c r="H121" s="65"/>
      <c r="I121" s="105"/>
      <c r="J121" s="34"/>
      <c r="K121" s="34"/>
      <c r="L121" s="34"/>
      <c r="M121" s="188"/>
      <c r="N121" s="188"/>
      <c r="O121" s="188"/>
      <c r="P121" s="34"/>
      <c r="Q121" s="304"/>
      <c r="R121" s="34"/>
      <c r="S121" s="34"/>
      <c r="T121" s="34"/>
      <c r="U121" s="105"/>
      <c r="V121" s="105"/>
    </row>
    <row r="122" spans="1:22" ht="12.75">
      <c r="A122" s="309"/>
      <c r="B122" s="309"/>
      <c r="C122" s="34"/>
      <c r="D122" s="34"/>
      <c r="E122" s="35"/>
      <c r="F122" s="34"/>
      <c r="G122" s="34"/>
      <c r="H122" s="65"/>
      <c r="I122" s="105"/>
      <c r="J122" s="34"/>
      <c r="K122" s="34"/>
      <c r="L122" s="34"/>
      <c r="M122" s="188"/>
      <c r="N122" s="188"/>
      <c r="O122" s="188"/>
      <c r="P122" s="34"/>
      <c r="Q122" s="304"/>
      <c r="R122" s="34"/>
      <c r="S122" s="34"/>
      <c r="T122" s="34"/>
      <c r="U122" s="105"/>
      <c r="V122" s="105"/>
    </row>
    <row r="123" spans="1:22" ht="12.75">
      <c r="A123" s="309"/>
      <c r="B123" s="309"/>
      <c r="C123" s="34"/>
      <c r="D123" s="34"/>
      <c r="E123" s="35"/>
      <c r="F123" s="34"/>
      <c r="G123" s="34"/>
      <c r="H123" s="65"/>
      <c r="I123" s="105"/>
      <c r="J123" s="34"/>
      <c r="K123" s="34"/>
      <c r="L123" s="34"/>
      <c r="M123" s="188"/>
      <c r="N123" s="188"/>
      <c r="O123" s="188"/>
      <c r="P123" s="34"/>
      <c r="Q123" s="304"/>
      <c r="R123" s="34"/>
      <c r="S123" s="34"/>
      <c r="T123" s="34"/>
      <c r="U123" s="105"/>
      <c r="V123" s="105"/>
    </row>
    <row r="124" spans="1:22" ht="12.75">
      <c r="A124" s="309"/>
      <c r="B124" s="309"/>
      <c r="C124" s="34"/>
      <c r="D124" s="34"/>
      <c r="E124" s="35"/>
      <c r="F124" s="34"/>
      <c r="G124" s="34"/>
      <c r="H124" s="65"/>
      <c r="I124" s="105"/>
      <c r="J124" s="34"/>
      <c r="K124" s="34"/>
      <c r="L124" s="34"/>
      <c r="M124" s="188"/>
      <c r="N124" s="188"/>
      <c r="O124" s="188"/>
      <c r="P124" s="34"/>
      <c r="Q124" s="304"/>
      <c r="R124" s="34"/>
      <c r="S124" s="34"/>
      <c r="T124" s="34"/>
      <c r="U124" s="105"/>
      <c r="V124" s="105"/>
    </row>
    <row r="125" spans="1:22" ht="12.75">
      <c r="A125" s="309"/>
      <c r="B125" s="309"/>
      <c r="C125" s="34"/>
      <c r="D125" s="34"/>
      <c r="E125" s="35"/>
      <c r="F125" s="34"/>
      <c r="G125" s="34"/>
      <c r="H125" s="65"/>
      <c r="I125" s="105"/>
      <c r="J125" s="34"/>
      <c r="K125" s="34"/>
      <c r="L125" s="34"/>
      <c r="M125" s="188"/>
      <c r="N125" s="188"/>
      <c r="O125" s="188"/>
      <c r="P125" s="34"/>
      <c r="Q125" s="304"/>
      <c r="R125" s="34"/>
      <c r="S125" s="34"/>
      <c r="T125" s="34"/>
      <c r="U125" s="105"/>
      <c r="V125" s="105"/>
    </row>
    <row r="126" spans="1:22" ht="12.75">
      <c r="A126" s="309"/>
      <c r="B126" s="309"/>
      <c r="C126" s="34"/>
      <c r="D126" s="34"/>
      <c r="E126" s="35"/>
      <c r="F126" s="34"/>
      <c r="G126" s="34"/>
      <c r="H126" s="65"/>
      <c r="I126" s="105"/>
      <c r="J126" s="34"/>
      <c r="K126" s="34"/>
      <c r="L126" s="34"/>
      <c r="M126" s="188"/>
      <c r="N126" s="188"/>
      <c r="O126" s="188"/>
      <c r="P126" s="34"/>
      <c r="Q126" s="304"/>
      <c r="R126" s="34"/>
      <c r="S126" s="34"/>
      <c r="T126" s="34"/>
      <c r="U126" s="105"/>
      <c r="V126" s="105"/>
    </row>
    <row r="127" spans="1:22" ht="12.75">
      <c r="A127" s="309"/>
      <c r="B127" s="309"/>
      <c r="C127" s="34"/>
      <c r="D127" s="34"/>
      <c r="E127" s="35"/>
      <c r="F127" s="34"/>
      <c r="G127" s="34"/>
      <c r="H127" s="65"/>
      <c r="I127" s="105"/>
      <c r="J127" s="34"/>
      <c r="K127" s="34"/>
      <c r="L127" s="34"/>
      <c r="M127" s="188"/>
      <c r="N127" s="188"/>
      <c r="O127" s="188"/>
      <c r="P127" s="34"/>
      <c r="Q127" s="304"/>
      <c r="R127" s="34"/>
      <c r="S127" s="34"/>
      <c r="T127" s="34"/>
      <c r="U127" s="105"/>
      <c r="V127" s="105"/>
    </row>
    <row r="128" spans="1:22" ht="12.75">
      <c r="A128" s="309"/>
      <c r="B128" s="309"/>
      <c r="C128" s="34"/>
      <c r="D128" s="34"/>
      <c r="E128" s="35"/>
      <c r="F128" s="34"/>
      <c r="G128" s="34"/>
      <c r="H128" s="65"/>
      <c r="I128" s="105"/>
      <c r="J128" s="34"/>
      <c r="K128" s="34"/>
      <c r="L128" s="34"/>
      <c r="M128" s="188"/>
      <c r="N128" s="188"/>
      <c r="O128" s="188"/>
      <c r="P128" s="34"/>
      <c r="Q128" s="304"/>
      <c r="R128" s="34"/>
      <c r="S128" s="34"/>
      <c r="T128" s="34"/>
      <c r="U128" s="105"/>
      <c r="V128" s="105"/>
    </row>
    <row r="129" spans="1:22" ht="12.75">
      <c r="A129" s="309"/>
      <c r="B129" s="309"/>
      <c r="C129" s="34"/>
      <c r="D129" s="34"/>
      <c r="E129" s="35"/>
      <c r="F129" s="34"/>
      <c r="G129" s="34"/>
      <c r="H129" s="65"/>
      <c r="I129" s="105"/>
      <c r="J129" s="34"/>
      <c r="K129" s="34"/>
      <c r="L129" s="34"/>
      <c r="M129" s="188"/>
      <c r="N129" s="188"/>
      <c r="O129" s="188"/>
      <c r="P129" s="34"/>
      <c r="Q129" s="304"/>
      <c r="R129" s="34"/>
      <c r="S129" s="34"/>
      <c r="T129" s="34"/>
      <c r="U129" s="105"/>
      <c r="V129" s="105"/>
    </row>
    <row r="130" spans="1:22" ht="12.75">
      <c r="A130" s="309"/>
      <c r="B130" s="309"/>
      <c r="C130" s="34"/>
      <c r="D130" s="34"/>
      <c r="E130" s="35"/>
      <c r="F130" s="34"/>
      <c r="G130" s="34"/>
      <c r="H130" s="65"/>
      <c r="I130" s="105"/>
      <c r="J130" s="34"/>
      <c r="K130" s="34"/>
      <c r="L130" s="34"/>
      <c r="M130" s="188"/>
      <c r="N130" s="188"/>
      <c r="O130" s="188"/>
      <c r="P130" s="34"/>
      <c r="Q130" s="304"/>
      <c r="R130" s="34"/>
      <c r="S130" s="34"/>
      <c r="T130" s="34"/>
      <c r="U130" s="105"/>
      <c r="V130" s="105"/>
    </row>
    <row r="131" spans="1:22" ht="12.75">
      <c r="A131" s="309"/>
      <c r="B131" s="309"/>
      <c r="C131" s="34"/>
      <c r="D131" s="34"/>
      <c r="E131" s="35"/>
      <c r="F131" s="34"/>
      <c r="G131" s="34"/>
      <c r="H131" s="65"/>
      <c r="I131" s="105"/>
      <c r="J131" s="34"/>
      <c r="K131" s="34"/>
      <c r="L131" s="34"/>
      <c r="M131" s="188"/>
      <c r="N131" s="188"/>
      <c r="O131" s="188"/>
      <c r="P131" s="34"/>
      <c r="Q131" s="304"/>
      <c r="R131" s="34"/>
      <c r="S131" s="34"/>
      <c r="T131" s="34"/>
      <c r="U131" s="105"/>
      <c r="V131" s="105"/>
    </row>
    <row r="132" spans="1:22" ht="12.75">
      <c r="A132" s="309"/>
      <c r="B132" s="309"/>
      <c r="C132" s="34"/>
      <c r="D132" s="34"/>
      <c r="E132" s="35"/>
      <c r="F132" s="34"/>
      <c r="G132" s="34"/>
      <c r="H132" s="65"/>
      <c r="I132" s="105"/>
      <c r="J132" s="34"/>
      <c r="K132" s="34"/>
      <c r="L132" s="34"/>
      <c r="M132" s="188"/>
      <c r="N132" s="188"/>
      <c r="O132" s="188"/>
      <c r="P132" s="34"/>
      <c r="Q132" s="304"/>
      <c r="R132" s="34"/>
      <c r="S132" s="34"/>
      <c r="T132" s="34"/>
      <c r="U132" s="105"/>
      <c r="V132" s="105"/>
    </row>
    <row r="133" spans="1:22" ht="12.75">
      <c r="A133" s="309"/>
      <c r="B133" s="309"/>
      <c r="C133" s="34"/>
      <c r="D133" s="34"/>
      <c r="E133" s="35"/>
      <c r="F133" s="34"/>
      <c r="G133" s="34"/>
      <c r="H133" s="65"/>
      <c r="I133" s="105"/>
      <c r="J133" s="34"/>
      <c r="K133" s="34"/>
      <c r="L133" s="34"/>
      <c r="M133" s="188"/>
      <c r="N133" s="188"/>
      <c r="O133" s="188"/>
      <c r="P133" s="34"/>
      <c r="Q133" s="304"/>
      <c r="R133" s="34"/>
      <c r="S133" s="34"/>
      <c r="T133" s="34"/>
      <c r="U133" s="105"/>
      <c r="V133" s="105"/>
    </row>
    <row r="134" spans="1:22" ht="12.75">
      <c r="A134" s="309"/>
      <c r="B134" s="309"/>
      <c r="C134" s="34"/>
      <c r="D134" s="34"/>
      <c r="E134" s="35"/>
      <c r="F134" s="34"/>
      <c r="G134" s="34"/>
      <c r="H134" s="65"/>
      <c r="I134" s="105"/>
      <c r="J134" s="34"/>
      <c r="K134" s="34"/>
      <c r="L134" s="34"/>
      <c r="M134" s="188"/>
      <c r="N134" s="188"/>
      <c r="O134" s="188"/>
      <c r="P134" s="34"/>
      <c r="Q134" s="304"/>
      <c r="R134" s="34"/>
      <c r="S134" s="34"/>
      <c r="T134" s="34"/>
      <c r="U134" s="105"/>
      <c r="V134" s="105"/>
    </row>
    <row r="135" spans="1:22" ht="12.75">
      <c r="A135" s="309"/>
      <c r="B135" s="309"/>
      <c r="C135" s="34"/>
      <c r="D135" s="34"/>
      <c r="E135" s="35"/>
      <c r="F135" s="34"/>
      <c r="G135" s="34"/>
      <c r="H135" s="65"/>
      <c r="I135" s="105"/>
      <c r="J135" s="34"/>
      <c r="K135" s="34"/>
      <c r="L135" s="34"/>
      <c r="M135" s="188"/>
      <c r="N135" s="188"/>
      <c r="O135" s="188"/>
      <c r="P135" s="34"/>
      <c r="Q135" s="304"/>
      <c r="R135" s="34"/>
      <c r="S135" s="34"/>
      <c r="T135" s="34"/>
      <c r="U135" s="105"/>
      <c r="V135" s="105"/>
    </row>
    <row r="136" spans="1:22" ht="12.75">
      <c r="A136" s="309"/>
      <c r="B136" s="309"/>
      <c r="C136" s="34"/>
      <c r="D136" s="34"/>
      <c r="E136" s="35"/>
      <c r="F136" s="34"/>
      <c r="G136" s="34"/>
      <c r="H136" s="65"/>
      <c r="I136" s="105"/>
      <c r="J136" s="34"/>
      <c r="K136" s="34"/>
      <c r="L136" s="34"/>
      <c r="M136" s="188"/>
      <c r="N136" s="188"/>
      <c r="O136" s="188"/>
      <c r="P136" s="34"/>
      <c r="Q136" s="304"/>
      <c r="R136" s="34"/>
      <c r="S136" s="34"/>
      <c r="T136" s="34"/>
      <c r="U136" s="105"/>
      <c r="V136" s="105"/>
    </row>
    <row r="137" spans="1:22" ht="12.75">
      <c r="A137" s="309"/>
      <c r="B137" s="309"/>
      <c r="C137" s="34"/>
      <c r="D137" s="34"/>
      <c r="E137" s="35"/>
      <c r="F137" s="34"/>
      <c r="G137" s="34"/>
      <c r="H137" s="65"/>
      <c r="I137" s="105"/>
      <c r="J137" s="34"/>
      <c r="K137" s="34"/>
      <c r="L137" s="34"/>
      <c r="M137" s="188"/>
      <c r="N137" s="188"/>
      <c r="O137" s="188"/>
      <c r="P137" s="34"/>
      <c r="Q137" s="304"/>
      <c r="R137" s="34"/>
      <c r="S137" s="34"/>
      <c r="T137" s="34"/>
      <c r="U137" s="105"/>
      <c r="V137" s="105"/>
    </row>
    <row r="138" spans="1:22" ht="12.75">
      <c r="A138" s="309"/>
      <c r="B138" s="309"/>
      <c r="C138" s="34"/>
      <c r="D138" s="34"/>
      <c r="E138" s="35"/>
      <c r="F138" s="34"/>
      <c r="G138" s="34"/>
      <c r="H138" s="65"/>
      <c r="I138" s="105"/>
      <c r="J138" s="34"/>
      <c r="K138" s="34"/>
      <c r="L138" s="34"/>
      <c r="M138" s="188"/>
      <c r="N138" s="188"/>
      <c r="O138" s="188"/>
      <c r="P138" s="34"/>
      <c r="Q138" s="304"/>
      <c r="R138" s="34"/>
      <c r="S138" s="34"/>
      <c r="T138" s="34"/>
      <c r="U138" s="105"/>
      <c r="V138" s="105"/>
    </row>
    <row r="139" spans="1:22" ht="12.75">
      <c r="A139" s="309"/>
      <c r="B139" s="309"/>
      <c r="C139" s="34"/>
      <c r="D139" s="34"/>
      <c r="E139" s="35"/>
      <c r="F139" s="34"/>
      <c r="G139" s="34"/>
      <c r="H139" s="65"/>
      <c r="I139" s="105"/>
      <c r="J139" s="34"/>
      <c r="K139" s="34"/>
      <c r="L139" s="34"/>
      <c r="M139" s="188"/>
      <c r="N139" s="188"/>
      <c r="O139" s="188"/>
      <c r="P139" s="34"/>
      <c r="Q139" s="304"/>
      <c r="R139" s="34"/>
      <c r="S139" s="34"/>
      <c r="T139" s="34"/>
      <c r="U139" s="105"/>
      <c r="V139" s="105"/>
    </row>
    <row r="140" spans="1:22" ht="12.75">
      <c r="A140" s="309"/>
      <c r="B140" s="309"/>
      <c r="C140" s="34"/>
      <c r="D140" s="34"/>
      <c r="E140" s="35"/>
      <c r="F140" s="34"/>
      <c r="G140" s="34"/>
      <c r="H140" s="65"/>
      <c r="I140" s="105"/>
      <c r="J140" s="34"/>
      <c r="K140" s="34"/>
      <c r="L140" s="34"/>
      <c r="M140" s="188"/>
      <c r="N140" s="188"/>
      <c r="O140" s="188"/>
      <c r="P140" s="34"/>
      <c r="Q140" s="304"/>
      <c r="R140" s="34"/>
      <c r="S140" s="34"/>
      <c r="T140" s="34"/>
      <c r="U140" s="105"/>
      <c r="V140" s="105"/>
    </row>
    <row r="141" spans="1:22" ht="12.75">
      <c r="A141" s="309"/>
      <c r="B141" s="309"/>
      <c r="C141" s="34"/>
      <c r="D141" s="34"/>
      <c r="E141" s="35"/>
      <c r="F141" s="34"/>
      <c r="G141" s="34"/>
      <c r="H141" s="65"/>
      <c r="I141" s="105"/>
      <c r="J141" s="34"/>
      <c r="K141" s="34"/>
      <c r="L141" s="34"/>
      <c r="M141" s="188"/>
      <c r="N141" s="188"/>
      <c r="O141" s="188"/>
      <c r="P141" s="34"/>
      <c r="Q141" s="304"/>
      <c r="R141" s="34"/>
      <c r="S141" s="34"/>
      <c r="T141" s="34"/>
      <c r="U141" s="105"/>
      <c r="V141" s="105"/>
    </row>
    <row r="142" spans="1:22" ht="12.75">
      <c r="A142" s="309"/>
      <c r="B142" s="309"/>
      <c r="C142" s="34"/>
      <c r="D142" s="34"/>
      <c r="E142" s="35"/>
      <c r="F142" s="34"/>
      <c r="G142" s="34"/>
      <c r="H142" s="65"/>
      <c r="I142" s="105"/>
      <c r="J142" s="34"/>
      <c r="K142" s="34"/>
      <c r="L142" s="34"/>
      <c r="M142" s="188"/>
      <c r="N142" s="188"/>
      <c r="O142" s="188"/>
      <c r="P142" s="34"/>
      <c r="Q142" s="304"/>
      <c r="R142" s="34"/>
      <c r="S142" s="34"/>
      <c r="T142" s="34"/>
      <c r="U142" s="105"/>
      <c r="V142" s="105"/>
    </row>
    <row r="143" spans="1:22" ht="12.75">
      <c r="A143" s="309"/>
      <c r="B143" s="309"/>
      <c r="C143" s="34"/>
      <c r="D143" s="34"/>
      <c r="E143" s="35"/>
      <c r="F143" s="34"/>
      <c r="G143" s="34"/>
      <c r="H143" s="65"/>
      <c r="I143" s="105"/>
      <c r="J143" s="34"/>
      <c r="K143" s="34"/>
      <c r="L143" s="34"/>
      <c r="M143" s="188"/>
      <c r="N143" s="188"/>
      <c r="O143" s="188"/>
      <c r="P143" s="34"/>
      <c r="Q143" s="304"/>
      <c r="R143" s="34"/>
      <c r="S143" s="34"/>
      <c r="T143" s="34"/>
      <c r="U143" s="105"/>
      <c r="V143" s="105"/>
    </row>
    <row r="144" spans="1:22" ht="12.75">
      <c r="A144" s="309"/>
      <c r="B144" s="309"/>
      <c r="C144" s="34"/>
      <c r="D144" s="34"/>
      <c r="E144" s="35"/>
      <c r="F144" s="34"/>
      <c r="G144" s="34"/>
      <c r="H144" s="65"/>
      <c r="I144" s="105"/>
      <c r="J144" s="34"/>
      <c r="K144" s="34"/>
      <c r="L144" s="34"/>
      <c r="M144" s="188"/>
      <c r="N144" s="188"/>
      <c r="O144" s="188"/>
      <c r="P144" s="34"/>
      <c r="Q144" s="304"/>
      <c r="R144" s="34"/>
      <c r="S144" s="34"/>
      <c r="T144" s="34"/>
      <c r="U144" s="105"/>
      <c r="V144" s="105"/>
    </row>
    <row r="145" spans="1:22" ht="12.75">
      <c r="A145" s="309"/>
      <c r="B145" s="309"/>
      <c r="C145" s="34"/>
      <c r="D145" s="34"/>
      <c r="E145" s="35"/>
      <c r="F145" s="34"/>
      <c r="G145" s="34"/>
      <c r="H145" s="65"/>
      <c r="I145" s="105"/>
      <c r="J145" s="34"/>
      <c r="K145" s="34"/>
      <c r="L145" s="34"/>
      <c r="M145" s="188"/>
      <c r="N145" s="188"/>
      <c r="O145" s="188"/>
      <c r="P145" s="34"/>
      <c r="Q145" s="304"/>
      <c r="R145" s="34"/>
      <c r="S145" s="34"/>
      <c r="T145" s="34"/>
      <c r="U145" s="105"/>
      <c r="V145" s="105"/>
    </row>
    <row r="146" spans="1:22" ht="12.75">
      <c r="A146" s="309"/>
      <c r="B146" s="309"/>
      <c r="C146" s="34"/>
      <c r="D146" s="34"/>
      <c r="E146" s="35"/>
      <c r="F146" s="34"/>
      <c r="G146" s="34"/>
      <c r="H146" s="65"/>
      <c r="I146" s="105"/>
      <c r="J146" s="34"/>
      <c r="K146" s="34"/>
      <c r="L146" s="34"/>
      <c r="M146" s="188"/>
      <c r="N146" s="188"/>
      <c r="O146" s="188"/>
      <c r="P146" s="34"/>
      <c r="Q146" s="304"/>
      <c r="R146" s="34"/>
      <c r="S146" s="34"/>
      <c r="T146" s="34"/>
      <c r="U146" s="105"/>
      <c r="V146" s="105"/>
    </row>
    <row r="147" spans="1:22" ht="12.75">
      <c r="A147" s="309"/>
      <c r="B147" s="309"/>
      <c r="C147" s="34"/>
      <c r="D147" s="34"/>
      <c r="E147" s="35"/>
      <c r="F147" s="34"/>
      <c r="G147" s="34"/>
      <c r="H147" s="65"/>
      <c r="I147" s="105"/>
      <c r="J147" s="34"/>
      <c r="K147" s="34"/>
      <c r="L147" s="34"/>
      <c r="M147" s="188"/>
      <c r="N147" s="188"/>
      <c r="O147" s="188"/>
      <c r="P147" s="34"/>
      <c r="Q147" s="304"/>
      <c r="R147" s="34"/>
      <c r="S147" s="34"/>
      <c r="T147" s="34"/>
      <c r="U147" s="105"/>
      <c r="V147" s="105"/>
    </row>
    <row r="148" spans="1:22" ht="12.75">
      <c r="A148" s="309"/>
      <c r="B148" s="309"/>
      <c r="C148" s="34"/>
      <c r="D148" s="34"/>
      <c r="E148" s="35"/>
      <c r="F148" s="34"/>
      <c r="G148" s="34"/>
      <c r="H148" s="65"/>
      <c r="I148" s="105"/>
      <c r="J148" s="34"/>
      <c r="K148" s="34"/>
      <c r="L148" s="34"/>
      <c r="M148" s="188"/>
      <c r="N148" s="188"/>
      <c r="O148" s="188"/>
      <c r="P148" s="34"/>
      <c r="Q148" s="304"/>
      <c r="R148" s="34"/>
      <c r="S148" s="34"/>
      <c r="T148" s="34"/>
      <c r="U148" s="105"/>
      <c r="V148" s="105"/>
    </row>
    <row r="149" spans="1:22" ht="12.75">
      <c r="A149" s="309"/>
      <c r="B149" s="309"/>
      <c r="C149" s="34"/>
      <c r="D149" s="34"/>
      <c r="E149" s="35"/>
      <c r="F149" s="34"/>
      <c r="G149" s="34"/>
      <c r="H149" s="65"/>
      <c r="I149" s="105"/>
      <c r="J149" s="34"/>
      <c r="K149" s="34"/>
      <c r="L149" s="34"/>
      <c r="M149" s="188"/>
      <c r="N149" s="188"/>
      <c r="O149" s="188"/>
      <c r="P149" s="34"/>
      <c r="Q149" s="304"/>
      <c r="R149" s="34"/>
      <c r="S149" s="34"/>
      <c r="T149" s="34"/>
      <c r="U149" s="105"/>
      <c r="V149" s="105"/>
    </row>
    <row r="150" spans="1:22" ht="12.75">
      <c r="A150" s="309"/>
      <c r="B150" s="309"/>
      <c r="C150" s="34"/>
      <c r="D150" s="34"/>
      <c r="E150" s="35"/>
      <c r="F150" s="34"/>
      <c r="G150" s="34"/>
      <c r="H150" s="65"/>
      <c r="I150" s="105"/>
      <c r="J150" s="34"/>
      <c r="K150" s="34"/>
      <c r="L150" s="34"/>
      <c r="M150" s="188"/>
      <c r="N150" s="188"/>
      <c r="O150" s="188"/>
      <c r="P150" s="34"/>
      <c r="Q150" s="304"/>
      <c r="R150" s="34"/>
      <c r="S150" s="34"/>
      <c r="T150" s="34"/>
      <c r="U150" s="105"/>
      <c r="V150" s="105"/>
    </row>
    <row r="151" spans="1:22" ht="12.75">
      <c r="A151" s="309"/>
      <c r="B151" s="309"/>
      <c r="C151" s="34"/>
      <c r="D151" s="34"/>
      <c r="E151" s="35"/>
      <c r="F151" s="34"/>
      <c r="G151" s="34"/>
      <c r="H151" s="65"/>
      <c r="I151" s="105"/>
      <c r="J151" s="34"/>
      <c r="K151" s="34"/>
      <c r="L151" s="34"/>
      <c r="M151" s="188"/>
      <c r="N151" s="188"/>
      <c r="O151" s="188"/>
      <c r="P151" s="34"/>
      <c r="Q151" s="304"/>
      <c r="R151" s="34"/>
      <c r="S151" s="34"/>
      <c r="T151" s="34"/>
      <c r="U151" s="105"/>
      <c r="V151" s="105"/>
    </row>
    <row r="152" spans="1:22" ht="12.75">
      <c r="A152" s="309"/>
      <c r="B152" s="309"/>
      <c r="C152" s="34"/>
      <c r="D152" s="34"/>
      <c r="E152" s="35"/>
      <c r="F152" s="34"/>
      <c r="G152" s="34"/>
      <c r="H152" s="65"/>
      <c r="I152" s="105"/>
      <c r="J152" s="34"/>
      <c r="K152" s="34"/>
      <c r="L152" s="34"/>
      <c r="M152" s="188"/>
      <c r="N152" s="188"/>
      <c r="O152" s="188"/>
      <c r="P152" s="34"/>
      <c r="Q152" s="304"/>
      <c r="R152" s="34"/>
      <c r="S152" s="34"/>
      <c r="T152" s="34"/>
      <c r="U152" s="105"/>
      <c r="V152" s="105"/>
    </row>
    <row r="153" spans="1:22" ht="12.75">
      <c r="A153" s="309"/>
      <c r="B153" s="309"/>
      <c r="C153" s="34"/>
      <c r="D153" s="34"/>
      <c r="E153" s="35"/>
      <c r="F153" s="34"/>
      <c r="G153" s="34"/>
      <c r="H153" s="65"/>
      <c r="I153" s="105"/>
      <c r="J153" s="34"/>
      <c r="K153" s="34"/>
      <c r="L153" s="34"/>
      <c r="M153" s="188"/>
      <c r="N153" s="188"/>
      <c r="O153" s="188"/>
      <c r="P153" s="34"/>
      <c r="Q153" s="304"/>
      <c r="R153" s="34"/>
      <c r="S153" s="34"/>
      <c r="T153" s="34"/>
      <c r="U153" s="105"/>
      <c r="V153" s="105"/>
    </row>
    <row r="154" spans="1:22" ht="12.75">
      <c r="A154" s="309"/>
      <c r="B154" s="309"/>
      <c r="C154" s="34"/>
      <c r="D154" s="34"/>
      <c r="E154" s="35"/>
      <c r="F154" s="34"/>
      <c r="G154" s="34"/>
      <c r="H154" s="65"/>
      <c r="I154" s="105"/>
      <c r="J154" s="34"/>
      <c r="K154" s="34"/>
      <c r="L154" s="34"/>
      <c r="M154" s="188"/>
      <c r="N154" s="188"/>
      <c r="O154" s="188"/>
      <c r="P154" s="34"/>
      <c r="Q154" s="304"/>
      <c r="R154" s="34"/>
      <c r="S154" s="34"/>
      <c r="T154" s="34"/>
      <c r="U154" s="105"/>
      <c r="V154" s="105"/>
    </row>
    <row r="155" spans="1:22" ht="12.75">
      <c r="A155" s="309"/>
      <c r="B155" s="309"/>
      <c r="C155" s="34"/>
      <c r="D155" s="34"/>
      <c r="E155" s="35"/>
      <c r="F155" s="34"/>
      <c r="G155" s="34"/>
      <c r="H155" s="65"/>
      <c r="I155" s="105"/>
      <c r="J155" s="34"/>
      <c r="K155" s="34"/>
      <c r="L155" s="34"/>
      <c r="M155" s="188"/>
      <c r="N155" s="188"/>
      <c r="O155" s="188"/>
      <c r="P155" s="34"/>
      <c r="Q155" s="304"/>
      <c r="R155" s="34"/>
      <c r="S155" s="34"/>
      <c r="T155" s="34"/>
      <c r="U155" s="105"/>
      <c r="V155" s="105"/>
    </row>
    <row r="156" spans="1:22" ht="12.75">
      <c r="A156" s="309"/>
      <c r="B156" s="309"/>
      <c r="C156" s="34"/>
      <c r="D156" s="34"/>
      <c r="E156" s="35"/>
      <c r="F156" s="34"/>
      <c r="G156" s="34"/>
      <c r="H156" s="65"/>
      <c r="I156" s="105"/>
      <c r="J156" s="34"/>
      <c r="K156" s="34"/>
      <c r="L156" s="34"/>
      <c r="M156" s="188"/>
      <c r="N156" s="188"/>
      <c r="O156" s="188"/>
      <c r="P156" s="34"/>
      <c r="Q156" s="304"/>
      <c r="R156" s="34"/>
      <c r="S156" s="34"/>
      <c r="T156" s="34"/>
      <c r="U156" s="105"/>
      <c r="V156" s="105"/>
    </row>
    <row r="157" spans="1:22" ht="12.75">
      <c r="A157" s="309"/>
      <c r="B157" s="309"/>
      <c r="C157" s="34"/>
      <c r="D157" s="34"/>
      <c r="E157" s="35"/>
      <c r="F157" s="34"/>
      <c r="G157" s="34"/>
      <c r="H157" s="65"/>
      <c r="I157" s="105"/>
      <c r="J157" s="34"/>
      <c r="K157" s="34"/>
      <c r="L157" s="34"/>
      <c r="M157" s="188"/>
      <c r="N157" s="188"/>
      <c r="O157" s="188"/>
      <c r="P157" s="34"/>
      <c r="Q157" s="304"/>
      <c r="R157" s="34"/>
      <c r="S157" s="34"/>
      <c r="T157" s="34"/>
      <c r="U157" s="105"/>
      <c r="V157" s="105"/>
    </row>
    <row r="158" spans="1:22" ht="12.75">
      <c r="A158" s="309"/>
      <c r="B158" s="309"/>
      <c r="C158" s="34"/>
      <c r="D158" s="34"/>
      <c r="E158" s="35"/>
      <c r="F158" s="34"/>
      <c r="G158" s="34"/>
      <c r="H158" s="65"/>
      <c r="I158" s="105"/>
      <c r="J158" s="34"/>
      <c r="K158" s="34"/>
      <c r="L158" s="34"/>
      <c r="M158" s="188"/>
      <c r="N158" s="188"/>
      <c r="O158" s="188"/>
      <c r="P158" s="34"/>
      <c r="Q158" s="304"/>
      <c r="R158" s="34"/>
      <c r="S158" s="34"/>
      <c r="T158" s="34"/>
      <c r="U158" s="105"/>
      <c r="V158" s="105"/>
    </row>
    <row r="159" spans="1:22" ht="12.75">
      <c r="A159" s="309"/>
      <c r="B159" s="309"/>
      <c r="C159" s="34"/>
      <c r="D159" s="34"/>
      <c r="E159" s="35"/>
      <c r="F159" s="34"/>
      <c r="G159" s="34"/>
      <c r="H159" s="65"/>
      <c r="I159" s="105"/>
      <c r="J159" s="34"/>
      <c r="K159" s="34"/>
      <c r="L159" s="34"/>
      <c r="M159" s="188"/>
      <c r="N159" s="188"/>
      <c r="O159" s="188"/>
      <c r="P159" s="34"/>
      <c r="Q159" s="304"/>
      <c r="R159" s="34"/>
      <c r="S159" s="34"/>
      <c r="T159" s="34"/>
      <c r="U159" s="105"/>
      <c r="V159" s="105"/>
    </row>
    <row r="160" spans="1:22" ht="12.75">
      <c r="A160" s="309"/>
      <c r="B160" s="309"/>
      <c r="C160" s="34"/>
      <c r="D160" s="34"/>
      <c r="E160" s="35"/>
      <c r="F160" s="34"/>
      <c r="G160" s="34"/>
      <c r="H160" s="65"/>
      <c r="I160" s="105"/>
      <c r="J160" s="34"/>
      <c r="K160" s="34"/>
      <c r="L160" s="34"/>
      <c r="M160" s="188"/>
      <c r="N160" s="188"/>
      <c r="O160" s="188"/>
      <c r="P160" s="34"/>
      <c r="Q160" s="304"/>
      <c r="R160" s="34"/>
      <c r="S160" s="34"/>
      <c r="T160" s="34"/>
      <c r="U160" s="105"/>
      <c r="V160" s="105"/>
    </row>
    <row r="161" spans="1:22" ht="12.75">
      <c r="A161" s="309"/>
      <c r="B161" s="309"/>
      <c r="C161" s="34"/>
      <c r="D161" s="34"/>
      <c r="E161" s="35"/>
      <c r="F161" s="34"/>
      <c r="G161" s="34"/>
      <c r="H161" s="65"/>
      <c r="I161" s="105"/>
      <c r="J161" s="34"/>
      <c r="K161" s="34"/>
      <c r="L161" s="34"/>
      <c r="M161" s="188"/>
      <c r="N161" s="188"/>
      <c r="O161" s="188"/>
      <c r="P161" s="34"/>
      <c r="Q161" s="304"/>
      <c r="R161" s="34"/>
      <c r="S161" s="34"/>
      <c r="T161" s="34"/>
      <c r="U161" s="105"/>
      <c r="V161" s="105"/>
    </row>
    <row r="162" spans="1:22" ht="12.75">
      <c r="A162" s="309"/>
      <c r="B162" s="309"/>
      <c r="C162" s="34"/>
      <c r="D162" s="34"/>
      <c r="E162" s="35"/>
      <c r="F162" s="34"/>
      <c r="G162" s="34"/>
      <c r="H162" s="65"/>
      <c r="I162" s="105"/>
      <c r="J162" s="34"/>
      <c r="K162" s="34"/>
      <c r="L162" s="34"/>
      <c r="M162" s="188"/>
      <c r="N162" s="188"/>
      <c r="O162" s="188"/>
      <c r="P162" s="34"/>
      <c r="Q162" s="304"/>
      <c r="R162" s="34"/>
      <c r="S162" s="34"/>
      <c r="T162" s="34"/>
      <c r="U162" s="105"/>
      <c r="V162" s="105"/>
    </row>
    <row r="163" spans="1:22" ht="12.75">
      <c r="A163" s="309"/>
      <c r="B163" s="309"/>
      <c r="C163" s="34"/>
      <c r="D163" s="34"/>
      <c r="E163" s="35"/>
      <c r="F163" s="34"/>
      <c r="G163" s="34"/>
      <c r="H163" s="65"/>
      <c r="I163" s="105"/>
      <c r="J163" s="34"/>
      <c r="K163" s="34"/>
      <c r="L163" s="34"/>
      <c r="M163" s="188"/>
      <c r="N163" s="188"/>
      <c r="O163" s="188"/>
      <c r="P163" s="34"/>
      <c r="Q163" s="304"/>
      <c r="R163" s="34"/>
      <c r="S163" s="34"/>
      <c r="T163" s="34"/>
      <c r="U163" s="105"/>
      <c r="V163" s="105"/>
    </row>
    <row r="164" spans="1:22" ht="12.75">
      <c r="A164" s="309"/>
      <c r="B164" s="309"/>
      <c r="C164" s="34"/>
      <c r="D164" s="34"/>
      <c r="E164" s="35"/>
      <c r="F164" s="34"/>
      <c r="G164" s="34"/>
      <c r="H164" s="65"/>
      <c r="I164" s="105"/>
      <c r="J164" s="34"/>
      <c r="K164" s="34"/>
      <c r="L164" s="34"/>
      <c r="M164" s="188"/>
      <c r="N164" s="188"/>
      <c r="O164" s="188"/>
      <c r="P164" s="34"/>
      <c r="Q164" s="304"/>
      <c r="R164" s="34"/>
      <c r="S164" s="34"/>
      <c r="T164" s="34"/>
      <c r="U164" s="105"/>
      <c r="V164" s="105"/>
    </row>
    <row r="165" spans="1:22" ht="12.75">
      <c r="A165" s="309"/>
      <c r="B165" s="309"/>
      <c r="C165" s="34"/>
      <c r="D165" s="34"/>
      <c r="E165" s="35"/>
      <c r="F165" s="34"/>
      <c r="G165" s="34"/>
      <c r="H165" s="65"/>
      <c r="I165" s="105"/>
      <c r="J165" s="34"/>
      <c r="K165" s="34"/>
      <c r="L165" s="34"/>
      <c r="M165" s="188"/>
      <c r="N165" s="188"/>
      <c r="O165" s="188"/>
      <c r="P165" s="34"/>
      <c r="Q165" s="304"/>
      <c r="R165" s="34"/>
      <c r="S165" s="34"/>
      <c r="T165" s="34"/>
      <c r="U165" s="105"/>
      <c r="V165" s="105"/>
    </row>
    <row r="166" spans="1:22" ht="12.75">
      <c r="A166" s="309"/>
      <c r="B166" s="309"/>
      <c r="C166" s="34"/>
      <c r="D166" s="34"/>
      <c r="E166" s="35"/>
      <c r="F166" s="34"/>
      <c r="G166" s="34"/>
      <c r="H166" s="65"/>
      <c r="I166" s="105"/>
      <c r="J166" s="34"/>
      <c r="K166" s="34"/>
      <c r="L166" s="34"/>
      <c r="M166" s="188"/>
      <c r="N166" s="188"/>
      <c r="O166" s="188"/>
      <c r="P166" s="34"/>
      <c r="Q166" s="304"/>
      <c r="R166" s="34"/>
      <c r="S166" s="34"/>
      <c r="T166" s="34"/>
      <c r="U166" s="105"/>
      <c r="V166" s="105"/>
    </row>
    <row r="167" spans="1:22" ht="12.75">
      <c r="A167" s="309"/>
      <c r="B167" s="309"/>
      <c r="C167" s="34"/>
      <c r="D167" s="34"/>
      <c r="E167" s="35"/>
      <c r="F167" s="34"/>
      <c r="G167" s="34"/>
      <c r="H167" s="65"/>
      <c r="I167" s="105"/>
      <c r="J167" s="34"/>
      <c r="K167" s="34"/>
      <c r="L167" s="34"/>
      <c r="M167" s="188"/>
      <c r="N167" s="188"/>
      <c r="O167" s="188"/>
      <c r="P167" s="34"/>
      <c r="Q167" s="304"/>
      <c r="R167" s="34"/>
      <c r="S167" s="34"/>
      <c r="T167" s="34"/>
      <c r="U167" s="105"/>
      <c r="V167" s="105"/>
    </row>
    <row r="168" spans="1:22" ht="12.75">
      <c r="A168" s="309"/>
      <c r="B168" s="309"/>
      <c r="C168" s="34"/>
      <c r="D168" s="34"/>
      <c r="E168" s="35"/>
      <c r="F168" s="34"/>
      <c r="G168" s="34"/>
      <c r="H168" s="65"/>
      <c r="I168" s="105"/>
      <c r="J168" s="34"/>
      <c r="K168" s="34"/>
      <c r="L168" s="34"/>
      <c r="M168" s="188"/>
      <c r="N168" s="188"/>
      <c r="O168" s="188"/>
      <c r="P168" s="34"/>
      <c r="Q168" s="304"/>
      <c r="R168" s="34"/>
      <c r="S168" s="34"/>
      <c r="T168" s="34"/>
      <c r="U168" s="105"/>
      <c r="V168" s="105"/>
    </row>
    <row r="169" spans="1:22" ht="12.75">
      <c r="A169" s="309"/>
      <c r="B169" s="309"/>
      <c r="C169" s="34"/>
      <c r="D169" s="34"/>
      <c r="E169" s="35"/>
      <c r="F169" s="34"/>
      <c r="G169" s="34"/>
      <c r="H169" s="65"/>
      <c r="I169" s="105"/>
      <c r="J169" s="34"/>
      <c r="K169" s="34"/>
      <c r="L169" s="34"/>
      <c r="M169" s="188"/>
      <c r="N169" s="188"/>
      <c r="O169" s="188"/>
      <c r="P169" s="34"/>
      <c r="Q169" s="304"/>
      <c r="R169" s="34"/>
      <c r="S169" s="34"/>
      <c r="T169" s="34"/>
      <c r="U169" s="105"/>
      <c r="V169" s="105"/>
    </row>
    <row r="170" spans="1:22" ht="12.75">
      <c r="A170" s="309"/>
      <c r="B170" s="309"/>
      <c r="C170" s="34"/>
      <c r="D170" s="34"/>
      <c r="E170" s="35"/>
      <c r="F170" s="34"/>
      <c r="G170" s="34"/>
      <c r="H170" s="65"/>
      <c r="I170" s="105"/>
      <c r="J170" s="34"/>
      <c r="K170" s="34"/>
      <c r="L170" s="34"/>
      <c r="M170" s="188"/>
      <c r="N170" s="188"/>
      <c r="O170" s="188"/>
      <c r="P170" s="34"/>
      <c r="Q170" s="304"/>
      <c r="R170" s="34"/>
      <c r="S170" s="34"/>
      <c r="T170" s="34"/>
      <c r="U170" s="105"/>
      <c r="V170" s="105"/>
    </row>
    <row r="171" spans="1:22" ht="12.75">
      <c r="A171" s="309"/>
      <c r="B171" s="309"/>
      <c r="C171" s="34"/>
      <c r="D171" s="34"/>
      <c r="E171" s="35"/>
      <c r="F171" s="34"/>
      <c r="G171" s="34"/>
      <c r="H171" s="65"/>
      <c r="I171" s="105"/>
      <c r="J171" s="34"/>
      <c r="K171" s="34"/>
      <c r="L171" s="34"/>
      <c r="M171" s="188"/>
      <c r="N171" s="188"/>
      <c r="O171" s="188"/>
      <c r="P171" s="34"/>
      <c r="Q171" s="304"/>
      <c r="R171" s="34"/>
      <c r="S171" s="34"/>
      <c r="T171" s="34"/>
      <c r="U171" s="105"/>
      <c r="V171" s="105"/>
    </row>
    <row r="172" spans="1:22" ht="12.75">
      <c r="A172" s="309"/>
      <c r="B172" s="309"/>
      <c r="C172" s="34"/>
      <c r="D172" s="34"/>
      <c r="E172" s="35"/>
      <c r="F172" s="34"/>
      <c r="G172" s="34"/>
      <c r="H172" s="65"/>
      <c r="I172" s="105"/>
      <c r="J172" s="34"/>
      <c r="K172" s="34"/>
      <c r="L172" s="34"/>
      <c r="M172" s="188"/>
      <c r="N172" s="188"/>
      <c r="O172" s="188"/>
      <c r="P172" s="34"/>
      <c r="Q172" s="304"/>
      <c r="R172" s="34"/>
      <c r="S172" s="34"/>
      <c r="T172" s="34"/>
      <c r="U172" s="105"/>
      <c r="V172" s="105"/>
    </row>
    <row r="173" spans="1:22" ht="12.75">
      <c r="A173" s="309"/>
      <c r="B173" s="309"/>
      <c r="C173" s="34"/>
      <c r="D173" s="34"/>
      <c r="E173" s="35"/>
      <c r="F173" s="34"/>
      <c r="G173" s="34"/>
      <c r="H173" s="65"/>
      <c r="I173" s="105"/>
      <c r="J173" s="34"/>
      <c r="K173" s="34"/>
      <c r="L173" s="34"/>
      <c r="M173" s="188"/>
      <c r="N173" s="188"/>
      <c r="O173" s="188"/>
      <c r="P173" s="34"/>
      <c r="Q173" s="304"/>
      <c r="R173" s="34"/>
      <c r="S173" s="34"/>
      <c r="T173" s="34"/>
      <c r="U173" s="105"/>
      <c r="V173" s="105"/>
    </row>
    <row r="174" spans="1:22" ht="12.75">
      <c r="A174" s="309"/>
      <c r="B174" s="309"/>
      <c r="C174" s="34"/>
      <c r="D174" s="34"/>
      <c r="E174" s="35"/>
      <c r="F174" s="34"/>
      <c r="G174" s="34"/>
      <c r="H174" s="65"/>
      <c r="I174" s="105"/>
      <c r="J174" s="34"/>
      <c r="K174" s="34"/>
      <c r="L174" s="34"/>
      <c r="M174" s="188"/>
      <c r="N174" s="188"/>
      <c r="O174" s="188"/>
      <c r="P174" s="34"/>
      <c r="Q174" s="304"/>
      <c r="R174" s="34"/>
      <c r="S174" s="34"/>
      <c r="T174" s="34"/>
      <c r="U174" s="105"/>
      <c r="V174" s="105"/>
    </row>
    <row r="175" spans="1:22" ht="12.75">
      <c r="A175" s="309"/>
      <c r="B175" s="309"/>
      <c r="C175" s="34"/>
      <c r="D175" s="34"/>
      <c r="E175" s="35"/>
      <c r="F175" s="34"/>
      <c r="G175" s="34"/>
      <c r="H175" s="65"/>
      <c r="I175" s="105"/>
      <c r="J175" s="34"/>
      <c r="K175" s="34"/>
      <c r="L175" s="34"/>
      <c r="M175" s="188"/>
      <c r="N175" s="188"/>
      <c r="O175" s="188"/>
      <c r="P175" s="34"/>
      <c r="Q175" s="304"/>
      <c r="R175" s="34"/>
      <c r="S175" s="34"/>
      <c r="T175" s="34"/>
      <c r="U175" s="105"/>
      <c r="V175" s="105"/>
    </row>
    <row r="176" spans="1:22" ht="12.75">
      <c r="A176" s="309"/>
      <c r="B176" s="309"/>
      <c r="C176" s="34"/>
      <c r="D176" s="34"/>
      <c r="E176" s="35"/>
      <c r="F176" s="34"/>
      <c r="G176" s="34"/>
      <c r="H176" s="65"/>
      <c r="I176" s="105"/>
      <c r="J176" s="34"/>
      <c r="K176" s="34"/>
      <c r="L176" s="34"/>
      <c r="M176" s="188"/>
      <c r="N176" s="188"/>
      <c r="O176" s="188"/>
      <c r="P176" s="34"/>
      <c r="Q176" s="304"/>
      <c r="R176" s="34"/>
      <c r="S176" s="34"/>
      <c r="T176" s="34"/>
      <c r="U176" s="105"/>
      <c r="V176" s="105"/>
    </row>
    <row r="177" spans="1:22" ht="12.75">
      <c r="A177" s="309"/>
      <c r="B177" s="309"/>
      <c r="C177" s="34"/>
      <c r="D177" s="34"/>
      <c r="E177" s="35"/>
      <c r="F177" s="34"/>
      <c r="G177" s="34"/>
      <c r="H177" s="65"/>
      <c r="I177" s="105"/>
      <c r="J177" s="34"/>
      <c r="K177" s="34"/>
      <c r="L177" s="34"/>
      <c r="M177" s="188"/>
      <c r="N177" s="188"/>
      <c r="O177" s="188"/>
      <c r="P177" s="34"/>
      <c r="Q177" s="304"/>
      <c r="R177" s="34"/>
      <c r="S177" s="34"/>
      <c r="T177" s="34"/>
      <c r="U177" s="105"/>
      <c r="V177" s="105"/>
    </row>
    <row r="178" spans="1:22" ht="12.75">
      <c r="A178" s="309"/>
      <c r="B178" s="309"/>
      <c r="C178" s="34"/>
      <c r="D178" s="34"/>
      <c r="E178" s="35"/>
      <c r="F178" s="34"/>
      <c r="G178" s="34"/>
      <c r="H178" s="65"/>
      <c r="I178" s="105"/>
      <c r="J178" s="34"/>
      <c r="K178" s="34"/>
      <c r="L178" s="34"/>
      <c r="M178" s="188"/>
      <c r="N178" s="188"/>
      <c r="O178" s="188"/>
      <c r="P178" s="34"/>
      <c r="Q178" s="304"/>
      <c r="R178" s="34"/>
      <c r="S178" s="34"/>
      <c r="T178" s="34"/>
      <c r="U178" s="105"/>
      <c r="V178" s="105"/>
    </row>
    <row r="179" spans="1:22" ht="12.75">
      <c r="A179" s="309"/>
      <c r="B179" s="309"/>
      <c r="C179" s="34"/>
      <c r="D179" s="34"/>
      <c r="E179" s="35"/>
      <c r="F179" s="34"/>
      <c r="G179" s="34"/>
      <c r="H179" s="65"/>
      <c r="I179" s="105"/>
      <c r="J179" s="34"/>
      <c r="K179" s="34"/>
      <c r="L179" s="34"/>
      <c r="M179" s="188"/>
      <c r="N179" s="188"/>
      <c r="O179" s="188"/>
      <c r="P179" s="34"/>
      <c r="Q179" s="304"/>
      <c r="R179" s="34"/>
      <c r="S179" s="34"/>
      <c r="T179" s="34"/>
      <c r="U179" s="105"/>
      <c r="V179" s="105"/>
    </row>
    <row r="180" spans="1:22" ht="12.75">
      <c r="A180" s="309"/>
      <c r="B180" s="309"/>
      <c r="C180" s="34"/>
      <c r="D180" s="34"/>
      <c r="E180" s="35"/>
      <c r="F180" s="34"/>
      <c r="G180" s="34"/>
      <c r="H180" s="65"/>
      <c r="I180" s="105"/>
      <c r="J180" s="34"/>
      <c r="K180" s="34"/>
      <c r="L180" s="34"/>
      <c r="M180" s="188"/>
      <c r="N180" s="188"/>
      <c r="O180" s="188"/>
      <c r="P180" s="34"/>
      <c r="Q180" s="304"/>
      <c r="R180" s="34"/>
      <c r="S180" s="34"/>
      <c r="T180" s="34"/>
      <c r="U180" s="105"/>
      <c r="V180" s="105"/>
    </row>
    <row r="181" spans="1:22" ht="12.75">
      <c r="A181" s="309"/>
      <c r="B181" s="309"/>
      <c r="C181" s="34"/>
      <c r="D181" s="34"/>
      <c r="E181" s="35"/>
      <c r="F181" s="34"/>
      <c r="G181" s="34"/>
      <c r="H181" s="65"/>
      <c r="I181" s="105"/>
      <c r="J181" s="34"/>
      <c r="K181" s="34"/>
      <c r="L181" s="34"/>
      <c r="M181" s="188"/>
      <c r="N181" s="188"/>
      <c r="O181" s="188"/>
      <c r="P181" s="34"/>
      <c r="Q181" s="304"/>
      <c r="R181" s="34"/>
      <c r="S181" s="34"/>
      <c r="T181" s="34"/>
      <c r="U181" s="105"/>
      <c r="V181" s="105"/>
    </row>
    <row r="182" spans="1:22" ht="12.75">
      <c r="A182" s="309"/>
      <c r="B182" s="309"/>
      <c r="C182" s="34"/>
      <c r="D182" s="34"/>
      <c r="E182" s="35"/>
      <c r="F182" s="34"/>
      <c r="G182" s="34"/>
      <c r="H182" s="65"/>
      <c r="I182" s="105"/>
      <c r="J182" s="34"/>
      <c r="K182" s="34"/>
      <c r="L182" s="34"/>
      <c r="M182" s="188"/>
      <c r="N182" s="188"/>
      <c r="O182" s="188"/>
      <c r="P182" s="34"/>
      <c r="Q182" s="304"/>
      <c r="R182" s="34"/>
      <c r="S182" s="34"/>
      <c r="T182" s="34"/>
      <c r="U182" s="105"/>
      <c r="V182" s="105"/>
    </row>
    <row r="183" spans="1:22" ht="12.75">
      <c r="A183" s="309"/>
      <c r="B183" s="309"/>
      <c r="C183" s="34"/>
      <c r="D183" s="34"/>
      <c r="E183" s="35"/>
      <c r="F183" s="34"/>
      <c r="G183" s="34"/>
      <c r="H183" s="65"/>
      <c r="I183" s="105"/>
      <c r="J183" s="34"/>
      <c r="K183" s="34"/>
      <c r="L183" s="34"/>
      <c r="M183" s="188"/>
      <c r="N183" s="188"/>
      <c r="O183" s="188"/>
      <c r="P183" s="34"/>
      <c r="Q183" s="304"/>
      <c r="R183" s="34"/>
      <c r="S183" s="34"/>
      <c r="T183" s="34"/>
      <c r="U183" s="105"/>
      <c r="V183" s="105"/>
    </row>
    <row r="184" spans="1:22" ht="12.75">
      <c r="A184" s="309"/>
      <c r="B184" s="309"/>
      <c r="C184" s="34"/>
      <c r="D184" s="34"/>
      <c r="E184" s="35"/>
      <c r="F184" s="34"/>
      <c r="G184" s="34"/>
      <c r="H184" s="65"/>
      <c r="I184" s="105"/>
      <c r="J184" s="34"/>
      <c r="K184" s="34"/>
      <c r="L184" s="34"/>
      <c r="M184" s="188"/>
      <c r="N184" s="188"/>
      <c r="O184" s="188"/>
      <c r="P184" s="34"/>
      <c r="Q184" s="304"/>
      <c r="R184" s="34"/>
      <c r="S184" s="34"/>
      <c r="T184" s="34"/>
      <c r="U184" s="105"/>
      <c r="V184" s="105"/>
    </row>
    <row r="185" spans="1:22" ht="12.75">
      <c r="A185" s="309"/>
      <c r="B185" s="309"/>
      <c r="C185" s="34"/>
      <c r="D185" s="34"/>
      <c r="E185" s="35"/>
      <c r="F185" s="34"/>
      <c r="G185" s="34"/>
      <c r="H185" s="65"/>
      <c r="I185" s="105"/>
      <c r="J185" s="34"/>
      <c r="K185" s="34"/>
      <c r="L185" s="34"/>
      <c r="M185" s="188"/>
      <c r="N185" s="188"/>
      <c r="O185" s="188"/>
      <c r="P185" s="34"/>
      <c r="Q185" s="304"/>
      <c r="R185" s="34"/>
      <c r="S185" s="34"/>
      <c r="T185" s="34"/>
      <c r="U185" s="105"/>
      <c r="V185" s="105"/>
    </row>
    <row r="186" spans="1:22" ht="12.75">
      <c r="A186" s="309"/>
      <c r="B186" s="309"/>
      <c r="C186" s="34"/>
      <c r="D186" s="34"/>
      <c r="E186" s="35"/>
      <c r="F186" s="34"/>
      <c r="G186" s="34"/>
      <c r="H186" s="65"/>
      <c r="I186" s="105"/>
      <c r="J186" s="34"/>
      <c r="K186" s="34"/>
      <c r="L186" s="34"/>
      <c r="M186" s="188"/>
      <c r="N186" s="188"/>
      <c r="O186" s="188"/>
      <c r="P186" s="34"/>
      <c r="Q186" s="304"/>
      <c r="R186" s="34"/>
      <c r="S186" s="34"/>
      <c r="T186" s="34"/>
      <c r="U186" s="105"/>
      <c r="V186" s="105"/>
    </row>
    <row r="187" spans="1:22" ht="12.75">
      <c r="A187" s="309"/>
      <c r="B187" s="309"/>
      <c r="C187" s="34"/>
      <c r="D187" s="34"/>
      <c r="E187" s="35"/>
      <c r="F187" s="34"/>
      <c r="G187" s="34"/>
      <c r="H187" s="65"/>
      <c r="I187" s="105"/>
      <c r="J187" s="34"/>
      <c r="K187" s="34"/>
      <c r="L187" s="34"/>
      <c r="M187" s="188"/>
      <c r="N187" s="188"/>
      <c r="O187" s="188"/>
      <c r="P187" s="34"/>
      <c r="Q187" s="304"/>
      <c r="R187" s="34"/>
      <c r="S187" s="34"/>
      <c r="T187" s="34"/>
      <c r="U187" s="105"/>
      <c r="V187" s="105"/>
    </row>
    <row r="188" spans="1:22" ht="12.75">
      <c r="A188" s="309"/>
      <c r="B188" s="309"/>
      <c r="C188" s="34"/>
      <c r="D188" s="34"/>
      <c r="E188" s="35"/>
      <c r="F188" s="34"/>
      <c r="G188" s="34"/>
      <c r="H188" s="65"/>
      <c r="I188" s="105"/>
      <c r="J188" s="34"/>
      <c r="K188" s="34"/>
      <c r="L188" s="34"/>
      <c r="M188" s="188"/>
      <c r="N188" s="188"/>
      <c r="O188" s="188"/>
      <c r="P188" s="34"/>
      <c r="Q188" s="304"/>
      <c r="R188" s="34"/>
      <c r="S188" s="34"/>
      <c r="T188" s="34"/>
      <c r="U188" s="105"/>
      <c r="V188" s="105"/>
    </row>
    <row r="189" spans="1:22" ht="12.75">
      <c r="A189" s="309"/>
      <c r="B189" s="309"/>
      <c r="C189" s="34"/>
      <c r="D189" s="34"/>
      <c r="E189" s="35"/>
      <c r="F189" s="34"/>
      <c r="G189" s="34"/>
      <c r="H189" s="65"/>
      <c r="I189" s="105"/>
      <c r="J189" s="34"/>
      <c r="K189" s="34"/>
      <c r="L189" s="34"/>
      <c r="M189" s="188"/>
      <c r="N189" s="188"/>
      <c r="O189" s="188"/>
      <c r="P189" s="34"/>
      <c r="Q189" s="304"/>
      <c r="R189" s="34"/>
      <c r="S189" s="34"/>
      <c r="T189" s="34"/>
      <c r="U189" s="105"/>
      <c r="V189" s="105"/>
    </row>
    <row r="190" spans="1:22" ht="12.75">
      <c r="A190" s="309"/>
      <c r="B190" s="309"/>
      <c r="C190" s="34"/>
      <c r="D190" s="34"/>
      <c r="E190" s="35"/>
      <c r="F190" s="34"/>
      <c r="G190" s="34"/>
      <c r="H190" s="65"/>
      <c r="I190" s="105"/>
      <c r="J190" s="34"/>
      <c r="K190" s="34"/>
      <c r="L190" s="34"/>
      <c r="M190" s="188"/>
      <c r="N190" s="188"/>
      <c r="O190" s="188"/>
      <c r="P190" s="34"/>
      <c r="Q190" s="304"/>
      <c r="R190" s="34"/>
      <c r="S190" s="34"/>
      <c r="T190" s="34"/>
      <c r="U190" s="105"/>
      <c r="V190" s="105"/>
    </row>
    <row r="191" spans="1:22" ht="12.75">
      <c r="A191" s="309"/>
      <c r="B191" s="309"/>
      <c r="C191" s="34"/>
      <c r="D191" s="34"/>
      <c r="E191" s="35"/>
      <c r="F191" s="34"/>
      <c r="G191" s="34"/>
      <c r="H191" s="65"/>
      <c r="I191" s="105"/>
      <c r="J191" s="34"/>
      <c r="K191" s="34"/>
      <c r="L191" s="34"/>
      <c r="M191" s="188"/>
      <c r="N191" s="188"/>
      <c r="O191" s="188"/>
      <c r="P191" s="34"/>
      <c r="Q191" s="304"/>
      <c r="R191" s="34"/>
      <c r="S191" s="34"/>
      <c r="T191" s="34"/>
      <c r="U191" s="105"/>
      <c r="V191" s="105"/>
    </row>
    <row r="192" spans="1:22" ht="12.75">
      <c r="A192" s="309"/>
      <c r="B192" s="309"/>
      <c r="C192" s="34"/>
      <c r="D192" s="34"/>
      <c r="E192" s="35"/>
      <c r="F192" s="34"/>
      <c r="G192" s="34"/>
      <c r="H192" s="65"/>
      <c r="I192" s="105"/>
      <c r="J192" s="34"/>
      <c r="K192" s="34"/>
      <c r="L192" s="34"/>
      <c r="M192" s="188"/>
      <c r="N192" s="188"/>
      <c r="O192" s="188"/>
      <c r="P192" s="34"/>
      <c r="Q192" s="304"/>
      <c r="R192" s="34"/>
      <c r="S192" s="34"/>
      <c r="T192" s="34"/>
      <c r="U192" s="105"/>
      <c r="V192" s="105"/>
    </row>
    <row r="193" spans="1:22" ht="12.75">
      <c r="A193" s="309"/>
      <c r="B193" s="309"/>
      <c r="C193" s="34"/>
      <c r="D193" s="34"/>
      <c r="E193" s="35"/>
      <c r="F193" s="34"/>
      <c r="G193" s="34"/>
      <c r="H193" s="65"/>
      <c r="I193" s="105"/>
      <c r="J193" s="34"/>
      <c r="K193" s="34"/>
      <c r="L193" s="34"/>
      <c r="M193" s="188"/>
      <c r="N193" s="188"/>
      <c r="O193" s="188"/>
      <c r="P193" s="34"/>
      <c r="Q193" s="304"/>
      <c r="R193" s="34"/>
      <c r="S193" s="34"/>
      <c r="T193" s="34"/>
      <c r="U193" s="105"/>
      <c r="V193" s="105"/>
    </row>
    <row r="194" spans="1:22" ht="12.75">
      <c r="A194" s="309"/>
      <c r="B194" s="309"/>
      <c r="C194" s="34"/>
      <c r="D194" s="34"/>
      <c r="E194" s="35"/>
      <c r="F194" s="34"/>
      <c r="G194" s="34"/>
      <c r="H194" s="65"/>
      <c r="I194" s="105"/>
      <c r="J194" s="34"/>
      <c r="K194" s="34"/>
      <c r="L194" s="34"/>
      <c r="M194" s="188"/>
      <c r="N194" s="188"/>
      <c r="O194" s="188"/>
      <c r="P194" s="34"/>
      <c r="Q194" s="304"/>
      <c r="R194" s="34"/>
      <c r="S194" s="34"/>
      <c r="T194" s="34"/>
      <c r="U194" s="105"/>
      <c r="V194" s="105"/>
    </row>
    <row r="195" spans="1:22" ht="12.75">
      <c r="A195" s="309"/>
      <c r="B195" s="309"/>
      <c r="C195" s="34"/>
      <c r="D195" s="34"/>
      <c r="E195" s="35"/>
      <c r="F195" s="34"/>
      <c r="G195" s="34"/>
      <c r="H195" s="65"/>
      <c r="I195" s="105"/>
      <c r="J195" s="34"/>
      <c r="K195" s="34"/>
      <c r="L195" s="34"/>
      <c r="M195" s="188"/>
      <c r="N195" s="188"/>
      <c r="O195" s="188"/>
      <c r="P195" s="34"/>
      <c r="Q195" s="304"/>
      <c r="R195" s="34"/>
      <c r="S195" s="34"/>
      <c r="T195" s="34"/>
      <c r="U195" s="105"/>
      <c r="V195" s="105"/>
    </row>
    <row r="196" spans="1:22" ht="12.75">
      <c r="A196" s="309"/>
      <c r="B196" s="309"/>
      <c r="C196" s="34"/>
      <c r="D196" s="34"/>
      <c r="E196" s="35"/>
      <c r="F196" s="34"/>
      <c r="G196" s="34"/>
      <c r="H196" s="65"/>
      <c r="I196" s="105"/>
      <c r="J196" s="34"/>
      <c r="K196" s="34"/>
      <c r="L196" s="34"/>
      <c r="M196" s="188"/>
      <c r="N196" s="188"/>
      <c r="O196" s="188"/>
      <c r="P196" s="34"/>
      <c r="Q196" s="304"/>
      <c r="R196" s="34"/>
      <c r="S196" s="34"/>
      <c r="T196" s="34"/>
      <c r="U196" s="105"/>
      <c r="V196" s="105"/>
    </row>
    <row r="197" spans="1:22" ht="12.75">
      <c r="A197" s="309"/>
      <c r="B197" s="309"/>
      <c r="C197" s="34"/>
      <c r="D197" s="34"/>
      <c r="E197" s="35"/>
      <c r="F197" s="34"/>
      <c r="G197" s="34"/>
      <c r="H197" s="65"/>
      <c r="I197" s="105"/>
      <c r="J197" s="34"/>
      <c r="K197" s="34"/>
      <c r="L197" s="34"/>
      <c r="M197" s="188"/>
      <c r="N197" s="188"/>
      <c r="O197" s="188"/>
      <c r="P197" s="34"/>
      <c r="Q197" s="304"/>
      <c r="R197" s="34"/>
      <c r="S197" s="34"/>
      <c r="T197" s="34"/>
      <c r="U197" s="105"/>
      <c r="V197" s="105"/>
    </row>
    <row r="198" spans="1:22" ht="12.75">
      <c r="A198" s="309"/>
      <c r="B198" s="309"/>
      <c r="C198" s="34"/>
      <c r="D198" s="34"/>
      <c r="E198" s="35"/>
      <c r="F198" s="34"/>
      <c r="G198" s="34"/>
      <c r="H198" s="65"/>
      <c r="I198" s="105"/>
      <c r="J198" s="34"/>
      <c r="K198" s="34"/>
      <c r="L198" s="34"/>
      <c r="M198" s="188"/>
      <c r="N198" s="188"/>
      <c r="O198" s="188"/>
      <c r="P198" s="34"/>
      <c r="Q198" s="304"/>
      <c r="R198" s="34"/>
      <c r="S198" s="34"/>
      <c r="T198" s="34"/>
      <c r="U198" s="105"/>
      <c r="V198" s="105"/>
    </row>
    <row r="199" spans="1:22" ht="12.75">
      <c r="A199" s="309"/>
      <c r="B199" s="309"/>
      <c r="C199" s="34"/>
      <c r="D199" s="34"/>
      <c r="E199" s="35"/>
      <c r="F199" s="34"/>
      <c r="G199" s="34"/>
      <c r="H199" s="65"/>
      <c r="I199" s="105"/>
      <c r="J199" s="34"/>
      <c r="K199" s="34"/>
      <c r="L199" s="34"/>
      <c r="M199" s="188"/>
      <c r="N199" s="188"/>
      <c r="O199" s="188"/>
      <c r="P199" s="34"/>
      <c r="Q199" s="304"/>
      <c r="R199" s="34"/>
      <c r="S199" s="34"/>
      <c r="T199" s="34"/>
      <c r="U199" s="105"/>
      <c r="V199" s="105"/>
    </row>
    <row r="200" spans="1:22" ht="12.75">
      <c r="A200" s="309"/>
      <c r="B200" s="309"/>
      <c r="C200" s="34"/>
      <c r="D200" s="34"/>
      <c r="E200" s="35"/>
      <c r="F200" s="34"/>
      <c r="G200" s="34"/>
      <c r="H200" s="65"/>
      <c r="I200" s="105"/>
      <c r="J200" s="34"/>
      <c r="K200" s="34"/>
      <c r="L200" s="34"/>
      <c r="M200" s="188"/>
      <c r="N200" s="188"/>
      <c r="O200" s="188"/>
      <c r="P200" s="34"/>
      <c r="Q200" s="304"/>
      <c r="R200" s="34"/>
      <c r="S200" s="34"/>
      <c r="T200" s="34"/>
      <c r="U200" s="105"/>
      <c r="V200" s="105"/>
    </row>
    <row r="201" spans="1:22" ht="12.75">
      <c r="A201" s="309"/>
      <c r="B201" s="309"/>
      <c r="C201" s="34"/>
      <c r="D201" s="34"/>
      <c r="E201" s="35"/>
      <c r="F201" s="34"/>
      <c r="G201" s="34"/>
      <c r="H201" s="65"/>
      <c r="I201" s="105"/>
      <c r="J201" s="34"/>
      <c r="K201" s="34"/>
      <c r="L201" s="34"/>
      <c r="M201" s="188"/>
      <c r="N201" s="188"/>
      <c r="O201" s="188"/>
      <c r="P201" s="34"/>
      <c r="Q201" s="304"/>
      <c r="R201" s="34"/>
      <c r="S201" s="34"/>
      <c r="T201" s="34"/>
      <c r="U201" s="105"/>
      <c r="V201" s="105"/>
    </row>
    <row r="202" spans="1:22" ht="12.75">
      <c r="A202" s="309"/>
      <c r="B202" s="309"/>
      <c r="C202" s="34"/>
      <c r="D202" s="34"/>
      <c r="E202" s="35"/>
      <c r="F202" s="34"/>
      <c r="G202" s="34"/>
      <c r="H202" s="65"/>
      <c r="I202" s="105"/>
      <c r="J202" s="34"/>
      <c r="K202" s="34"/>
      <c r="L202" s="34"/>
      <c r="M202" s="188"/>
      <c r="N202" s="188"/>
      <c r="O202" s="188"/>
      <c r="P202" s="34"/>
      <c r="Q202" s="304"/>
      <c r="R202" s="34"/>
      <c r="S202" s="34"/>
      <c r="T202" s="34"/>
      <c r="U202" s="105"/>
      <c r="V202" s="105"/>
    </row>
    <row r="203" spans="1:22" ht="12.75">
      <c r="A203" s="309"/>
      <c r="B203" s="309"/>
      <c r="C203" s="34"/>
      <c r="D203" s="34"/>
      <c r="E203" s="35"/>
      <c r="F203" s="34"/>
      <c r="G203" s="34"/>
      <c r="H203" s="65"/>
      <c r="I203" s="105"/>
      <c r="J203" s="34"/>
      <c r="K203" s="34"/>
      <c r="L203" s="34"/>
      <c r="M203" s="188"/>
      <c r="N203" s="188"/>
      <c r="O203" s="188"/>
      <c r="P203" s="34"/>
      <c r="Q203" s="304"/>
      <c r="R203" s="34"/>
      <c r="S203" s="34"/>
      <c r="T203" s="34"/>
      <c r="U203" s="105"/>
      <c r="V203" s="105"/>
    </row>
    <row r="204" spans="1:22" ht="12.75">
      <c r="A204" s="309"/>
      <c r="B204" s="309"/>
      <c r="C204" s="34"/>
      <c r="D204" s="34"/>
      <c r="E204" s="35"/>
      <c r="F204" s="34"/>
      <c r="G204" s="34"/>
      <c r="H204" s="65"/>
      <c r="I204" s="105"/>
      <c r="J204" s="34"/>
      <c r="K204" s="34"/>
      <c r="L204" s="34"/>
      <c r="M204" s="188"/>
      <c r="N204" s="188"/>
      <c r="O204" s="188"/>
      <c r="P204" s="34"/>
      <c r="Q204" s="304"/>
      <c r="R204" s="34"/>
      <c r="S204" s="34"/>
      <c r="T204" s="34"/>
      <c r="U204" s="105"/>
      <c r="V204" s="105"/>
    </row>
    <row r="205" spans="1:22" ht="12.75">
      <c r="A205" s="309"/>
      <c r="B205" s="309"/>
      <c r="C205" s="34"/>
      <c r="D205" s="34"/>
      <c r="E205" s="35"/>
      <c r="F205" s="34"/>
      <c r="G205" s="34"/>
      <c r="H205" s="65"/>
      <c r="I205" s="105"/>
      <c r="J205" s="34"/>
      <c r="K205" s="34"/>
      <c r="L205" s="34"/>
      <c r="M205" s="188"/>
      <c r="N205" s="188"/>
      <c r="O205" s="188"/>
      <c r="P205" s="34"/>
      <c r="Q205" s="304"/>
      <c r="R205" s="34"/>
      <c r="S205" s="34"/>
      <c r="T205" s="34"/>
      <c r="U205" s="105"/>
      <c r="V205" s="105"/>
    </row>
    <row r="206" spans="1:22" ht="12.75">
      <c r="A206" s="309"/>
      <c r="B206" s="309"/>
      <c r="C206" s="34"/>
      <c r="D206" s="34"/>
      <c r="E206" s="35"/>
      <c r="F206" s="34"/>
      <c r="G206" s="34"/>
      <c r="H206" s="65"/>
      <c r="I206" s="105"/>
      <c r="J206" s="34"/>
      <c r="K206" s="34"/>
      <c r="L206" s="34"/>
      <c r="M206" s="188"/>
      <c r="N206" s="188"/>
      <c r="O206" s="188"/>
      <c r="P206" s="34"/>
      <c r="Q206" s="304"/>
      <c r="R206" s="34"/>
      <c r="S206" s="34"/>
      <c r="T206" s="34"/>
      <c r="U206" s="105"/>
      <c r="V206" s="105"/>
    </row>
    <row r="207" spans="1:22" ht="12.75">
      <c r="A207" s="309"/>
      <c r="B207" s="309"/>
      <c r="C207" s="34"/>
      <c r="D207" s="34"/>
      <c r="E207" s="35"/>
      <c r="F207" s="34"/>
      <c r="G207" s="34"/>
      <c r="H207" s="65"/>
      <c r="I207" s="105"/>
      <c r="J207" s="34"/>
      <c r="K207" s="34"/>
      <c r="L207" s="34"/>
      <c r="M207" s="188"/>
      <c r="N207" s="188"/>
      <c r="O207" s="188"/>
      <c r="P207" s="34"/>
      <c r="Q207" s="304"/>
      <c r="R207" s="34"/>
      <c r="S207" s="34"/>
      <c r="T207" s="34"/>
      <c r="U207" s="105"/>
      <c r="V207" s="105"/>
    </row>
    <row r="208" spans="1:22" ht="12.75">
      <c r="A208" s="309"/>
      <c r="B208" s="309"/>
      <c r="C208" s="34"/>
      <c r="D208" s="34"/>
      <c r="E208" s="35"/>
      <c r="F208" s="34"/>
      <c r="G208" s="34"/>
      <c r="H208" s="65"/>
      <c r="I208" s="105"/>
      <c r="J208" s="34"/>
      <c r="K208" s="34"/>
      <c r="L208" s="34"/>
      <c r="M208" s="188"/>
      <c r="N208" s="188"/>
      <c r="O208" s="188"/>
      <c r="P208" s="34"/>
      <c r="Q208" s="304"/>
      <c r="R208" s="34"/>
      <c r="S208" s="34"/>
      <c r="T208" s="34"/>
      <c r="U208" s="105"/>
      <c r="V208" s="105"/>
    </row>
    <row r="209" spans="1:22" ht="12.75">
      <c r="A209" s="309"/>
      <c r="B209" s="309"/>
      <c r="C209" s="34"/>
      <c r="D209" s="34"/>
      <c r="E209" s="35"/>
      <c r="F209" s="34"/>
      <c r="G209" s="34"/>
      <c r="H209" s="65"/>
      <c r="I209" s="105"/>
      <c r="J209" s="34"/>
      <c r="K209" s="34"/>
      <c r="L209" s="34"/>
      <c r="M209" s="188"/>
      <c r="N209" s="188"/>
      <c r="O209" s="188"/>
      <c r="P209" s="34"/>
      <c r="Q209" s="304"/>
      <c r="R209" s="34"/>
      <c r="S209" s="34"/>
      <c r="T209" s="34"/>
      <c r="U209" s="105"/>
      <c r="V209" s="105"/>
    </row>
    <row r="210" spans="1:22" ht="12.75">
      <c r="A210" s="309"/>
      <c r="B210" s="309"/>
      <c r="C210" s="34"/>
      <c r="D210" s="34"/>
      <c r="E210" s="35"/>
      <c r="F210" s="34"/>
      <c r="G210" s="34"/>
      <c r="H210" s="65"/>
      <c r="I210" s="105"/>
      <c r="J210" s="34"/>
      <c r="K210" s="34"/>
      <c r="L210" s="34"/>
      <c r="M210" s="188"/>
      <c r="N210" s="188"/>
      <c r="O210" s="188"/>
      <c r="P210" s="34"/>
      <c r="Q210" s="304"/>
      <c r="R210" s="34"/>
      <c r="S210" s="34"/>
      <c r="T210" s="34"/>
      <c r="U210" s="105"/>
      <c r="V210" s="105"/>
    </row>
    <row r="211" spans="1:22" ht="12.75">
      <c r="A211" s="309"/>
      <c r="B211" s="309"/>
      <c r="C211" s="34"/>
      <c r="D211" s="34"/>
      <c r="E211" s="35"/>
      <c r="F211" s="34"/>
      <c r="G211" s="34"/>
      <c r="H211" s="65"/>
      <c r="I211" s="105"/>
      <c r="J211" s="34"/>
      <c r="K211" s="34"/>
      <c r="L211" s="34"/>
      <c r="M211" s="188"/>
      <c r="N211" s="188"/>
      <c r="O211" s="188"/>
      <c r="P211" s="34"/>
      <c r="Q211" s="304"/>
      <c r="R211" s="34"/>
      <c r="S211" s="34"/>
      <c r="T211" s="34"/>
      <c r="U211" s="105"/>
      <c r="V211" s="105"/>
    </row>
    <row r="212" spans="1:22" ht="12.75">
      <c r="A212" s="309"/>
      <c r="B212" s="309"/>
      <c r="C212" s="34"/>
      <c r="D212" s="34"/>
      <c r="E212" s="35"/>
      <c r="F212" s="34"/>
      <c r="G212" s="34"/>
      <c r="H212" s="65"/>
      <c r="I212" s="105"/>
      <c r="J212" s="34"/>
      <c r="K212" s="34"/>
      <c r="L212" s="34"/>
      <c r="M212" s="188"/>
      <c r="N212" s="188"/>
      <c r="O212" s="188"/>
      <c r="P212" s="34"/>
      <c r="Q212" s="304"/>
      <c r="R212" s="34"/>
      <c r="S212" s="34"/>
      <c r="T212" s="34"/>
      <c r="U212" s="105"/>
      <c r="V212" s="105"/>
    </row>
    <row r="213" spans="1:22" ht="12.75">
      <c r="A213" s="309"/>
      <c r="B213" s="309"/>
      <c r="C213" s="34"/>
      <c r="D213" s="34"/>
      <c r="E213" s="35"/>
      <c r="F213" s="34"/>
      <c r="G213" s="34"/>
      <c r="H213" s="65"/>
      <c r="I213" s="105"/>
      <c r="J213" s="34"/>
      <c r="K213" s="34"/>
      <c r="L213" s="34"/>
      <c r="M213" s="188"/>
      <c r="N213" s="188"/>
      <c r="O213" s="188"/>
      <c r="P213" s="34"/>
      <c r="Q213" s="304"/>
      <c r="R213" s="34"/>
      <c r="S213" s="34"/>
      <c r="T213" s="34"/>
      <c r="U213" s="105"/>
      <c r="V213" s="105"/>
    </row>
    <row r="214" spans="1:22" ht="12.75">
      <c r="A214" s="309"/>
      <c r="B214" s="309"/>
      <c r="C214" s="34"/>
      <c r="D214" s="34"/>
      <c r="E214" s="35"/>
      <c r="F214" s="34"/>
      <c r="G214" s="34"/>
      <c r="H214" s="65"/>
      <c r="I214" s="105"/>
      <c r="J214" s="34"/>
      <c r="K214" s="34"/>
      <c r="L214" s="34"/>
      <c r="M214" s="188"/>
      <c r="N214" s="188"/>
      <c r="O214" s="188"/>
      <c r="P214" s="34"/>
      <c r="Q214" s="304"/>
      <c r="R214" s="34"/>
      <c r="S214" s="34"/>
      <c r="T214" s="34"/>
      <c r="U214" s="105"/>
      <c r="V214" s="105"/>
    </row>
    <row r="215" spans="1:22" ht="12.75">
      <c r="A215" s="309"/>
      <c r="B215" s="309"/>
      <c r="C215" s="34"/>
      <c r="D215" s="34"/>
      <c r="E215" s="35"/>
      <c r="F215" s="34"/>
      <c r="G215" s="34"/>
      <c r="H215" s="65"/>
      <c r="I215" s="105"/>
      <c r="J215" s="34"/>
      <c r="K215" s="34"/>
      <c r="L215" s="34"/>
      <c r="M215" s="188"/>
      <c r="N215" s="188"/>
      <c r="O215" s="188"/>
      <c r="P215" s="34"/>
      <c r="Q215" s="304"/>
      <c r="R215" s="34"/>
      <c r="S215" s="34"/>
      <c r="T215" s="34"/>
      <c r="U215" s="105"/>
      <c r="V215" s="105"/>
    </row>
    <row r="216" spans="1:22" ht="12.75">
      <c r="A216" s="309"/>
      <c r="B216" s="309"/>
      <c r="C216" s="34"/>
      <c r="D216" s="34"/>
      <c r="E216" s="35"/>
      <c r="F216" s="34"/>
      <c r="G216" s="34"/>
      <c r="H216" s="65"/>
      <c r="I216" s="105"/>
      <c r="J216" s="34"/>
      <c r="K216" s="34"/>
      <c r="L216" s="34"/>
      <c r="M216" s="188"/>
      <c r="N216" s="188"/>
      <c r="O216" s="188"/>
      <c r="P216" s="34"/>
      <c r="Q216" s="304"/>
      <c r="R216" s="34"/>
      <c r="S216" s="34"/>
      <c r="T216" s="34"/>
      <c r="U216" s="105"/>
      <c r="V216" s="105"/>
    </row>
    <row r="217" spans="1:22" ht="12.75">
      <c r="A217" s="309"/>
      <c r="B217" s="309"/>
      <c r="C217" s="34"/>
      <c r="D217" s="34"/>
      <c r="E217" s="35"/>
      <c r="F217" s="34"/>
      <c r="G217" s="34"/>
      <c r="H217" s="65"/>
      <c r="I217" s="105"/>
      <c r="J217" s="34"/>
      <c r="K217" s="34"/>
      <c r="L217" s="34"/>
      <c r="M217" s="188"/>
      <c r="N217" s="188"/>
      <c r="O217" s="188"/>
      <c r="P217" s="34"/>
      <c r="Q217" s="304"/>
      <c r="R217" s="34"/>
      <c r="S217" s="34"/>
      <c r="T217" s="34"/>
      <c r="U217" s="105"/>
      <c r="V217" s="105"/>
    </row>
    <row r="218" spans="1:22" ht="12.75">
      <c r="A218" s="309"/>
      <c r="B218" s="309"/>
      <c r="C218" s="34"/>
      <c r="D218" s="34"/>
      <c r="E218" s="35"/>
      <c r="F218" s="34"/>
      <c r="G218" s="34"/>
      <c r="H218" s="65"/>
      <c r="I218" s="105"/>
      <c r="J218" s="34"/>
      <c r="K218" s="34"/>
      <c r="L218" s="34"/>
      <c r="M218" s="188"/>
      <c r="N218" s="188"/>
      <c r="O218" s="188"/>
      <c r="P218" s="34"/>
      <c r="Q218" s="304"/>
      <c r="R218" s="34"/>
      <c r="S218" s="34"/>
      <c r="T218" s="34"/>
      <c r="U218" s="105"/>
      <c r="V218" s="105"/>
    </row>
    <row r="219" spans="1:22" ht="12.75">
      <c r="A219" s="309"/>
      <c r="B219" s="309"/>
      <c r="C219" s="34"/>
      <c r="D219" s="34"/>
      <c r="E219" s="35"/>
      <c r="F219" s="34"/>
      <c r="G219" s="34"/>
      <c r="H219" s="65"/>
      <c r="I219" s="105"/>
      <c r="J219" s="34"/>
      <c r="K219" s="34"/>
      <c r="L219" s="34"/>
      <c r="M219" s="188"/>
      <c r="N219" s="188"/>
      <c r="O219" s="188"/>
      <c r="P219" s="34"/>
      <c r="Q219" s="304"/>
      <c r="R219" s="34"/>
      <c r="S219" s="34"/>
      <c r="T219" s="34"/>
      <c r="U219" s="105"/>
      <c r="V219" s="105"/>
    </row>
    <row r="220" spans="1:22" ht="12.75">
      <c r="A220" s="309"/>
      <c r="B220" s="309"/>
      <c r="C220" s="34"/>
      <c r="D220" s="34"/>
      <c r="E220" s="35"/>
      <c r="F220" s="34"/>
      <c r="G220" s="34"/>
      <c r="H220" s="65"/>
      <c r="I220" s="105"/>
      <c r="J220" s="34"/>
      <c r="K220" s="34"/>
      <c r="L220" s="34"/>
      <c r="M220" s="188"/>
      <c r="N220" s="188"/>
      <c r="O220" s="188"/>
      <c r="P220" s="34"/>
      <c r="Q220" s="304"/>
      <c r="R220" s="34"/>
      <c r="S220" s="34"/>
      <c r="T220" s="34"/>
      <c r="U220" s="105"/>
      <c r="V220" s="105"/>
    </row>
    <row r="221" spans="1:22" ht="12.75">
      <c r="A221" s="309"/>
      <c r="B221" s="309"/>
      <c r="C221" s="34"/>
      <c r="D221" s="34"/>
      <c r="E221" s="35"/>
      <c r="F221" s="34"/>
      <c r="G221" s="34"/>
      <c r="H221" s="65"/>
      <c r="I221" s="105"/>
      <c r="J221" s="34"/>
      <c r="K221" s="34"/>
      <c r="L221" s="34"/>
      <c r="M221" s="188"/>
      <c r="N221" s="188"/>
      <c r="O221" s="188"/>
      <c r="P221" s="34"/>
      <c r="Q221" s="304"/>
      <c r="R221" s="34"/>
      <c r="S221" s="34"/>
      <c r="T221" s="34"/>
      <c r="U221" s="105"/>
      <c r="V221" s="105"/>
    </row>
    <row r="222" spans="1:22" ht="12.75">
      <c r="A222" s="309"/>
      <c r="B222" s="309"/>
      <c r="C222" s="34"/>
      <c r="D222" s="34"/>
      <c r="E222" s="35"/>
      <c r="F222" s="34"/>
      <c r="G222" s="34"/>
      <c r="H222" s="65"/>
      <c r="I222" s="105"/>
      <c r="J222" s="34"/>
      <c r="K222" s="34"/>
      <c r="L222" s="34"/>
      <c r="M222" s="188"/>
      <c r="N222" s="188"/>
      <c r="O222" s="188"/>
      <c r="P222" s="34"/>
      <c r="Q222" s="304"/>
      <c r="R222" s="34"/>
      <c r="S222" s="34"/>
      <c r="T222" s="34"/>
      <c r="U222" s="105"/>
      <c r="V222" s="105"/>
    </row>
    <row r="223" spans="1:22" ht="12.75">
      <c r="A223" s="309"/>
      <c r="B223" s="309"/>
      <c r="C223" s="34"/>
      <c r="D223" s="34"/>
      <c r="E223" s="35"/>
      <c r="F223" s="34"/>
      <c r="G223" s="34"/>
      <c r="H223" s="65"/>
      <c r="I223" s="105"/>
      <c r="J223" s="34"/>
      <c r="K223" s="34"/>
      <c r="L223" s="34"/>
      <c r="M223" s="188"/>
      <c r="N223" s="188"/>
      <c r="O223" s="188"/>
      <c r="P223" s="34"/>
      <c r="Q223" s="304"/>
      <c r="R223" s="34"/>
      <c r="S223" s="34"/>
      <c r="T223" s="34"/>
      <c r="U223" s="105"/>
      <c r="V223" s="105"/>
    </row>
    <row r="224" spans="1:22" ht="12.75">
      <c r="A224" s="309"/>
      <c r="B224" s="309"/>
      <c r="C224" s="34"/>
      <c r="D224" s="34"/>
      <c r="E224" s="35"/>
      <c r="F224" s="34"/>
      <c r="G224" s="34"/>
      <c r="H224" s="65"/>
      <c r="I224" s="105"/>
      <c r="J224" s="34"/>
      <c r="K224" s="34"/>
      <c r="L224" s="34"/>
      <c r="M224" s="188"/>
      <c r="N224" s="188"/>
      <c r="O224" s="188"/>
      <c r="P224" s="34"/>
      <c r="Q224" s="304"/>
      <c r="R224" s="34"/>
      <c r="S224" s="34"/>
      <c r="T224" s="34"/>
      <c r="U224" s="105"/>
      <c r="V224" s="105"/>
    </row>
    <row r="225" spans="1:22" ht="12.75">
      <c r="A225" s="309"/>
      <c r="B225" s="309"/>
      <c r="C225" s="34"/>
      <c r="D225" s="34"/>
      <c r="E225" s="35"/>
      <c r="F225" s="34"/>
      <c r="G225" s="34"/>
      <c r="H225" s="65"/>
      <c r="I225" s="105"/>
      <c r="J225" s="34"/>
      <c r="K225" s="34"/>
      <c r="L225" s="34"/>
      <c r="M225" s="188"/>
      <c r="N225" s="188"/>
      <c r="O225" s="188"/>
      <c r="P225" s="34"/>
      <c r="Q225" s="304"/>
      <c r="R225" s="34"/>
      <c r="S225" s="34"/>
      <c r="T225" s="34"/>
      <c r="U225" s="105"/>
      <c r="V225" s="105"/>
    </row>
    <row r="226" spans="1:22" ht="12.75">
      <c r="A226" s="309"/>
      <c r="B226" s="309"/>
      <c r="C226" s="34"/>
      <c r="D226" s="34"/>
      <c r="E226" s="35"/>
      <c r="F226" s="34"/>
      <c r="G226" s="34"/>
      <c r="H226" s="65"/>
      <c r="I226" s="105"/>
      <c r="J226" s="34"/>
      <c r="K226" s="34"/>
      <c r="L226" s="34"/>
      <c r="M226" s="188"/>
      <c r="N226" s="188"/>
      <c r="O226" s="188"/>
      <c r="P226" s="34"/>
      <c r="Q226" s="304"/>
      <c r="R226" s="34"/>
      <c r="S226" s="34"/>
      <c r="T226" s="34"/>
      <c r="U226" s="105"/>
      <c r="V226" s="105"/>
    </row>
    <row r="227" spans="1:22" ht="12.75">
      <c r="A227" s="309"/>
      <c r="B227" s="309"/>
      <c r="C227" s="34"/>
      <c r="D227" s="34"/>
      <c r="E227" s="35"/>
      <c r="F227" s="34"/>
      <c r="G227" s="34"/>
      <c r="H227" s="65"/>
      <c r="I227" s="105"/>
      <c r="J227" s="34"/>
      <c r="K227" s="34"/>
      <c r="L227" s="34"/>
      <c r="M227" s="188"/>
      <c r="N227" s="188"/>
      <c r="O227" s="188"/>
      <c r="P227" s="34"/>
      <c r="Q227" s="304"/>
      <c r="R227" s="34"/>
      <c r="S227" s="34"/>
      <c r="T227" s="34"/>
      <c r="U227" s="105"/>
      <c r="V227" s="105"/>
    </row>
    <row r="228" spans="1:22" ht="12.75">
      <c r="A228" s="309"/>
      <c r="B228" s="309"/>
      <c r="C228" s="34"/>
      <c r="D228" s="34"/>
      <c r="E228" s="35"/>
      <c r="F228" s="34"/>
      <c r="G228" s="34"/>
      <c r="H228" s="65"/>
      <c r="I228" s="105"/>
      <c r="J228" s="34"/>
      <c r="K228" s="34"/>
      <c r="L228" s="34"/>
      <c r="M228" s="188"/>
      <c r="N228" s="188"/>
      <c r="O228" s="188"/>
      <c r="P228" s="34"/>
      <c r="Q228" s="304"/>
      <c r="R228" s="34"/>
      <c r="S228" s="34"/>
      <c r="T228" s="34"/>
      <c r="U228" s="105"/>
      <c r="V228" s="105"/>
    </row>
    <row r="229" spans="1:22" ht="12.75">
      <c r="A229" s="309"/>
      <c r="B229" s="309"/>
      <c r="C229" s="34"/>
      <c r="D229" s="34"/>
      <c r="E229" s="35"/>
      <c r="F229" s="34"/>
      <c r="G229" s="34"/>
      <c r="H229" s="65"/>
      <c r="I229" s="105"/>
      <c r="J229" s="34"/>
      <c r="K229" s="34"/>
      <c r="L229" s="34"/>
      <c r="M229" s="188"/>
      <c r="N229" s="188"/>
      <c r="O229" s="188"/>
      <c r="P229" s="34"/>
      <c r="Q229" s="304"/>
      <c r="R229" s="34"/>
      <c r="S229" s="34"/>
      <c r="T229" s="34"/>
      <c r="U229" s="105"/>
      <c r="V229" s="105"/>
    </row>
    <row r="230" spans="1:22" ht="12.75">
      <c r="A230" s="309"/>
      <c r="B230" s="309"/>
      <c r="C230" s="34"/>
      <c r="D230" s="34"/>
      <c r="E230" s="35"/>
      <c r="F230" s="34"/>
      <c r="G230" s="34"/>
      <c r="H230" s="65"/>
      <c r="I230" s="105"/>
      <c r="J230" s="34"/>
      <c r="K230" s="34"/>
      <c r="L230" s="34"/>
      <c r="M230" s="188"/>
      <c r="N230" s="188"/>
      <c r="O230" s="188"/>
      <c r="P230" s="34"/>
      <c r="Q230" s="304"/>
      <c r="R230" s="34"/>
      <c r="S230" s="34"/>
      <c r="T230" s="34"/>
      <c r="U230" s="105"/>
      <c r="V230" s="105"/>
    </row>
    <row r="231" spans="1:22" ht="12.75">
      <c r="A231" s="309"/>
      <c r="B231" s="309"/>
      <c r="C231" s="34"/>
      <c r="D231" s="34"/>
      <c r="E231" s="35"/>
      <c r="F231" s="34"/>
      <c r="G231" s="34"/>
      <c r="H231" s="65"/>
      <c r="I231" s="105"/>
      <c r="J231" s="34"/>
      <c r="K231" s="34"/>
      <c r="L231" s="34"/>
      <c r="M231" s="188"/>
      <c r="N231" s="188"/>
      <c r="O231" s="188"/>
      <c r="P231" s="34"/>
      <c r="Q231" s="304"/>
      <c r="R231" s="34"/>
      <c r="S231" s="34"/>
      <c r="T231" s="34"/>
      <c r="U231" s="105"/>
      <c r="V231" s="105"/>
    </row>
    <row r="232" spans="1:22" ht="12.75">
      <c r="A232" s="309"/>
      <c r="B232" s="309"/>
      <c r="C232" s="34"/>
      <c r="D232" s="34"/>
      <c r="E232" s="35"/>
      <c r="F232" s="34"/>
      <c r="G232" s="34"/>
      <c r="H232" s="65"/>
      <c r="I232" s="105"/>
      <c r="J232" s="34"/>
      <c r="K232" s="34"/>
      <c r="L232" s="34"/>
      <c r="M232" s="188"/>
      <c r="N232" s="188"/>
      <c r="O232" s="188"/>
      <c r="P232" s="34"/>
      <c r="Q232" s="304"/>
      <c r="R232" s="34"/>
      <c r="S232" s="34"/>
      <c r="T232" s="34"/>
      <c r="U232" s="105"/>
      <c r="V232" s="105"/>
    </row>
    <row r="233" spans="1:22" ht="12.75">
      <c r="A233" s="309"/>
      <c r="B233" s="309"/>
      <c r="C233" s="34"/>
      <c r="D233" s="34"/>
      <c r="E233" s="35"/>
      <c r="F233" s="34"/>
      <c r="G233" s="34"/>
      <c r="H233" s="65"/>
      <c r="I233" s="105"/>
      <c r="J233" s="34"/>
      <c r="K233" s="34"/>
      <c r="L233" s="34"/>
      <c r="M233" s="188"/>
      <c r="N233" s="188"/>
      <c r="O233" s="188"/>
      <c r="P233" s="34"/>
      <c r="Q233" s="304"/>
      <c r="R233" s="34"/>
      <c r="S233" s="34"/>
      <c r="T233" s="34"/>
      <c r="U233" s="105"/>
      <c r="V233" s="105"/>
    </row>
    <row r="234" spans="1:22" ht="12.75">
      <c r="A234" s="309"/>
      <c r="B234" s="309"/>
      <c r="C234" s="34"/>
      <c r="D234" s="34"/>
      <c r="E234" s="35"/>
      <c r="F234" s="34"/>
      <c r="G234" s="34"/>
      <c r="H234" s="65"/>
      <c r="I234" s="105"/>
      <c r="J234" s="34"/>
      <c r="K234" s="34"/>
      <c r="L234" s="34"/>
      <c r="M234" s="188"/>
      <c r="N234" s="188"/>
      <c r="O234" s="188"/>
      <c r="P234" s="34"/>
      <c r="Q234" s="304"/>
      <c r="R234" s="34"/>
      <c r="S234" s="34"/>
      <c r="T234" s="34"/>
      <c r="U234" s="105"/>
      <c r="V234" s="105"/>
    </row>
    <row r="235" spans="1:22" ht="12.75">
      <c r="A235" s="309"/>
      <c r="B235" s="309"/>
      <c r="C235" s="34"/>
      <c r="D235" s="34"/>
      <c r="E235" s="35"/>
      <c r="F235" s="34"/>
      <c r="G235" s="34"/>
      <c r="H235" s="65"/>
      <c r="I235" s="105"/>
      <c r="J235" s="34"/>
      <c r="K235" s="34"/>
      <c r="L235" s="34"/>
      <c r="M235" s="188"/>
      <c r="N235" s="188"/>
      <c r="O235" s="188"/>
      <c r="P235" s="34"/>
      <c r="Q235" s="304"/>
      <c r="R235" s="34"/>
      <c r="S235" s="34"/>
      <c r="T235" s="34"/>
      <c r="U235" s="105"/>
      <c r="V235" s="105"/>
    </row>
    <row r="236" spans="1:22" ht="12.75">
      <c r="A236" s="309"/>
      <c r="B236" s="309"/>
      <c r="C236" s="34"/>
      <c r="D236" s="34"/>
      <c r="E236" s="35"/>
      <c r="F236" s="34"/>
      <c r="G236" s="34"/>
      <c r="H236" s="65"/>
      <c r="I236" s="105"/>
      <c r="J236" s="34"/>
      <c r="K236" s="34"/>
      <c r="L236" s="34"/>
      <c r="M236" s="188"/>
      <c r="N236" s="188"/>
      <c r="O236" s="188"/>
      <c r="P236" s="34"/>
      <c r="Q236" s="304"/>
      <c r="R236" s="34"/>
      <c r="S236" s="34"/>
      <c r="T236" s="34"/>
      <c r="U236" s="105"/>
      <c r="V236" s="105"/>
    </row>
    <row r="237" spans="1:22" ht="12.75">
      <c r="A237" s="309"/>
      <c r="B237" s="309"/>
      <c r="C237" s="34"/>
      <c r="D237" s="34"/>
      <c r="E237" s="35"/>
      <c r="F237" s="34"/>
      <c r="G237" s="34"/>
      <c r="H237" s="65"/>
      <c r="I237" s="105"/>
      <c r="J237" s="34"/>
      <c r="K237" s="34"/>
      <c r="L237" s="34"/>
      <c r="M237" s="188"/>
      <c r="N237" s="188"/>
      <c r="O237" s="188"/>
      <c r="P237" s="34"/>
      <c r="Q237" s="304"/>
      <c r="R237" s="34"/>
      <c r="S237" s="34"/>
      <c r="T237" s="34"/>
      <c r="U237" s="105"/>
      <c r="V237" s="105"/>
    </row>
    <row r="238" spans="1:22" ht="12.75">
      <c r="A238" s="309"/>
      <c r="B238" s="309"/>
      <c r="C238" s="34"/>
      <c r="D238" s="34"/>
      <c r="E238" s="35"/>
      <c r="F238" s="34"/>
      <c r="G238" s="34"/>
      <c r="H238" s="65"/>
      <c r="I238" s="105"/>
      <c r="J238" s="34"/>
      <c r="K238" s="34"/>
      <c r="L238" s="34"/>
      <c r="M238" s="188"/>
      <c r="N238" s="188"/>
      <c r="O238" s="188"/>
      <c r="P238" s="34"/>
      <c r="Q238" s="304"/>
      <c r="R238" s="34"/>
      <c r="S238" s="34"/>
      <c r="T238" s="34"/>
      <c r="U238" s="105"/>
      <c r="V238" s="105"/>
    </row>
    <row r="239" spans="1:22" ht="12.75">
      <c r="A239" s="309"/>
      <c r="B239" s="309"/>
      <c r="C239" s="34"/>
      <c r="D239" s="34"/>
      <c r="E239" s="35"/>
      <c r="F239" s="34"/>
      <c r="G239" s="34"/>
      <c r="H239" s="65"/>
      <c r="I239" s="105"/>
      <c r="J239" s="34"/>
      <c r="K239" s="34"/>
      <c r="L239" s="34"/>
      <c r="M239" s="188"/>
      <c r="N239" s="188"/>
      <c r="O239" s="188"/>
      <c r="P239" s="34"/>
      <c r="Q239" s="304"/>
      <c r="R239" s="34"/>
      <c r="S239" s="34"/>
      <c r="T239" s="34"/>
      <c r="U239" s="105"/>
      <c r="V239" s="105"/>
    </row>
    <row r="240" spans="1:22" ht="12.75">
      <c r="A240" s="309"/>
      <c r="B240" s="309"/>
      <c r="C240" s="34"/>
      <c r="D240" s="34"/>
      <c r="E240" s="35"/>
      <c r="F240" s="34"/>
      <c r="G240" s="34"/>
      <c r="H240" s="65"/>
      <c r="I240" s="105"/>
      <c r="J240" s="34"/>
      <c r="K240" s="34"/>
      <c r="L240" s="34"/>
      <c r="M240" s="188"/>
      <c r="N240" s="188"/>
      <c r="O240" s="188"/>
      <c r="P240" s="34"/>
      <c r="Q240" s="304"/>
      <c r="R240" s="34"/>
      <c r="S240" s="34"/>
      <c r="T240" s="34"/>
      <c r="U240" s="105"/>
      <c r="V240" s="105"/>
    </row>
    <row r="241" spans="1:22" ht="12.75">
      <c r="A241" s="309"/>
      <c r="B241" s="309"/>
      <c r="C241" s="34"/>
      <c r="D241" s="34"/>
      <c r="E241" s="35"/>
      <c r="F241" s="34"/>
      <c r="G241" s="34"/>
      <c r="H241" s="65"/>
      <c r="I241" s="105"/>
      <c r="J241" s="34"/>
      <c r="K241" s="34"/>
      <c r="L241" s="34"/>
      <c r="M241" s="188"/>
      <c r="N241" s="188"/>
      <c r="O241" s="188"/>
      <c r="P241" s="34"/>
      <c r="Q241" s="304"/>
      <c r="R241" s="34"/>
      <c r="S241" s="34"/>
      <c r="T241" s="34"/>
      <c r="U241" s="105"/>
      <c r="V241" s="105"/>
    </row>
    <row r="242" spans="1:22" ht="12.75">
      <c r="A242" s="309"/>
      <c r="B242" s="309"/>
      <c r="C242" s="34"/>
      <c r="D242" s="34"/>
      <c r="E242" s="35"/>
      <c r="F242" s="34"/>
      <c r="G242" s="34"/>
      <c r="H242" s="65"/>
      <c r="I242" s="105"/>
      <c r="J242" s="34"/>
      <c r="K242" s="34"/>
      <c r="L242" s="34"/>
      <c r="M242" s="188"/>
      <c r="N242" s="188"/>
      <c r="O242" s="188"/>
      <c r="P242" s="34"/>
      <c r="Q242" s="304"/>
      <c r="R242" s="34"/>
      <c r="S242" s="34"/>
      <c r="T242" s="34"/>
      <c r="U242" s="105"/>
      <c r="V242" s="105"/>
    </row>
    <row r="243" spans="1:22" ht="12.75">
      <c r="A243" s="309"/>
      <c r="B243" s="309"/>
      <c r="C243" s="34"/>
      <c r="D243" s="34"/>
      <c r="E243" s="35"/>
      <c r="F243" s="34"/>
      <c r="G243" s="34"/>
      <c r="H243" s="65"/>
      <c r="I243" s="105"/>
      <c r="J243" s="34"/>
      <c r="K243" s="34"/>
      <c r="L243" s="34"/>
      <c r="M243" s="188"/>
      <c r="N243" s="188"/>
      <c r="O243" s="188"/>
      <c r="P243" s="34"/>
      <c r="Q243" s="304"/>
      <c r="R243" s="34"/>
      <c r="S243" s="34"/>
      <c r="T243" s="34"/>
      <c r="U243" s="105"/>
      <c r="V243" s="105"/>
    </row>
    <row r="244" spans="1:22" ht="12.75">
      <c r="A244" s="309"/>
      <c r="B244" s="309"/>
      <c r="C244" s="34"/>
      <c r="D244" s="34"/>
      <c r="E244" s="35"/>
      <c r="F244" s="34"/>
      <c r="G244" s="34"/>
      <c r="H244" s="65"/>
      <c r="I244" s="105"/>
      <c r="J244" s="34"/>
      <c r="K244" s="34"/>
      <c r="L244" s="34"/>
      <c r="M244" s="188"/>
      <c r="N244" s="188"/>
      <c r="O244" s="188"/>
      <c r="P244" s="34"/>
      <c r="Q244" s="304"/>
      <c r="R244" s="34"/>
      <c r="S244" s="34"/>
      <c r="T244" s="34"/>
      <c r="U244" s="105"/>
      <c r="V244" s="105"/>
    </row>
    <row r="245" spans="1:22" ht="12.75">
      <c r="A245" s="309"/>
      <c r="B245" s="309"/>
      <c r="C245" s="34"/>
      <c r="D245" s="34"/>
      <c r="E245" s="35"/>
      <c r="F245" s="34"/>
      <c r="G245" s="34"/>
      <c r="H245" s="65"/>
      <c r="I245" s="105"/>
      <c r="J245" s="34"/>
      <c r="K245" s="34"/>
      <c r="L245" s="34"/>
      <c r="M245" s="188"/>
      <c r="N245" s="188"/>
      <c r="O245" s="188"/>
      <c r="P245" s="34"/>
      <c r="Q245" s="304"/>
      <c r="R245" s="34"/>
      <c r="S245" s="34"/>
      <c r="T245" s="34"/>
      <c r="U245" s="105"/>
      <c r="V245" s="105"/>
    </row>
    <row r="246" spans="1:22" ht="12.75">
      <c r="A246" s="309"/>
      <c r="B246" s="309"/>
      <c r="C246" s="34"/>
      <c r="D246" s="34"/>
      <c r="E246" s="35"/>
      <c r="F246" s="34"/>
      <c r="G246" s="34"/>
      <c r="H246" s="65"/>
      <c r="I246" s="105"/>
      <c r="J246" s="34"/>
      <c r="K246" s="34"/>
      <c r="L246" s="34"/>
      <c r="M246" s="188"/>
      <c r="N246" s="188"/>
      <c r="O246" s="188"/>
      <c r="P246" s="34"/>
      <c r="Q246" s="304"/>
      <c r="R246" s="34"/>
      <c r="S246" s="34"/>
      <c r="T246" s="34"/>
      <c r="U246" s="105"/>
      <c r="V246" s="105"/>
    </row>
    <row r="247" spans="1:22" ht="12.75">
      <c r="A247" s="309"/>
      <c r="B247" s="309"/>
      <c r="C247" s="34"/>
      <c r="D247" s="34"/>
      <c r="E247" s="35"/>
      <c r="F247" s="34"/>
      <c r="G247" s="34"/>
      <c r="H247" s="65"/>
      <c r="I247" s="105"/>
      <c r="J247" s="34"/>
      <c r="K247" s="34"/>
      <c r="L247" s="34"/>
      <c r="M247" s="188"/>
      <c r="N247" s="188"/>
      <c r="O247" s="188"/>
      <c r="P247" s="34"/>
      <c r="Q247" s="304"/>
      <c r="R247" s="34"/>
      <c r="S247" s="34"/>
      <c r="T247" s="34"/>
      <c r="U247" s="105"/>
      <c r="V247" s="105"/>
    </row>
    <row r="248" spans="1:22" ht="12.75">
      <c r="A248" s="309"/>
      <c r="B248" s="309"/>
      <c r="C248" s="34"/>
      <c r="D248" s="34"/>
      <c r="E248" s="35"/>
      <c r="F248" s="34"/>
      <c r="G248" s="34"/>
      <c r="H248" s="65"/>
      <c r="I248" s="105"/>
      <c r="J248" s="34"/>
      <c r="K248" s="34"/>
      <c r="L248" s="34"/>
      <c r="M248" s="188"/>
      <c r="N248" s="188"/>
      <c r="O248" s="188"/>
      <c r="P248" s="34"/>
      <c r="Q248" s="304"/>
      <c r="R248" s="34"/>
      <c r="S248" s="34"/>
      <c r="T248" s="34"/>
      <c r="U248" s="105"/>
      <c r="V248" s="105"/>
    </row>
    <row r="249" spans="1:22" ht="12.75">
      <c r="A249" s="309"/>
      <c r="B249" s="309"/>
      <c r="C249" s="34"/>
      <c r="D249" s="34"/>
      <c r="E249" s="35"/>
      <c r="F249" s="34"/>
      <c r="G249" s="34"/>
      <c r="H249" s="65"/>
      <c r="I249" s="105"/>
      <c r="J249" s="34"/>
      <c r="K249" s="34"/>
      <c r="L249" s="34"/>
      <c r="M249" s="188"/>
      <c r="N249" s="188"/>
      <c r="O249" s="188"/>
      <c r="P249" s="34"/>
      <c r="Q249" s="304"/>
      <c r="R249" s="34"/>
      <c r="S249" s="34"/>
      <c r="T249" s="34"/>
      <c r="U249" s="105"/>
      <c r="V249" s="105"/>
    </row>
    <row r="250" spans="1:22" ht="12.75">
      <c r="A250" s="309"/>
      <c r="B250" s="309"/>
      <c r="C250" s="34"/>
      <c r="D250" s="34"/>
      <c r="E250" s="35"/>
      <c r="F250" s="34"/>
      <c r="G250" s="34"/>
      <c r="H250" s="65"/>
      <c r="I250" s="105"/>
      <c r="J250" s="34"/>
      <c r="K250" s="34"/>
      <c r="L250" s="34"/>
      <c r="M250" s="188"/>
      <c r="N250" s="188"/>
      <c r="O250" s="188"/>
      <c r="P250" s="34"/>
      <c r="Q250" s="304"/>
      <c r="R250" s="34"/>
      <c r="S250" s="34"/>
      <c r="T250" s="34"/>
      <c r="U250" s="105"/>
      <c r="V250" s="105"/>
    </row>
    <row r="251" spans="1:22" ht="12.75">
      <c r="A251" s="309"/>
      <c r="B251" s="309"/>
      <c r="C251" s="34"/>
      <c r="D251" s="34"/>
      <c r="E251" s="35"/>
      <c r="F251" s="34"/>
      <c r="G251" s="34"/>
      <c r="H251" s="65"/>
      <c r="I251" s="105"/>
      <c r="J251" s="34"/>
      <c r="K251" s="34"/>
      <c r="L251" s="34"/>
      <c r="M251" s="188"/>
      <c r="N251" s="188"/>
      <c r="O251" s="188"/>
      <c r="P251" s="34"/>
      <c r="Q251" s="304"/>
      <c r="R251" s="34"/>
      <c r="S251" s="34"/>
      <c r="T251" s="34"/>
      <c r="U251" s="105"/>
      <c r="V251" s="105"/>
    </row>
    <row r="252" spans="1:22" ht="12.75">
      <c r="A252" s="309"/>
      <c r="B252" s="309"/>
      <c r="C252" s="34"/>
      <c r="D252" s="34"/>
      <c r="E252" s="35"/>
      <c r="F252" s="34"/>
      <c r="G252" s="34"/>
      <c r="H252" s="65"/>
      <c r="I252" s="105"/>
      <c r="J252" s="34"/>
      <c r="K252" s="34"/>
      <c r="L252" s="34"/>
      <c r="M252" s="188"/>
      <c r="N252" s="188"/>
      <c r="O252" s="188"/>
      <c r="P252" s="34"/>
      <c r="Q252" s="304"/>
      <c r="R252" s="34"/>
      <c r="S252" s="34"/>
      <c r="T252" s="34"/>
      <c r="U252" s="105"/>
      <c r="V252" s="105"/>
    </row>
    <row r="253" spans="1:22" ht="12.75">
      <c r="A253" s="309"/>
      <c r="B253" s="309"/>
      <c r="C253" s="34"/>
      <c r="D253" s="34"/>
      <c r="E253" s="35"/>
      <c r="F253" s="34"/>
      <c r="G253" s="34"/>
      <c r="H253" s="65"/>
      <c r="I253" s="105"/>
      <c r="J253" s="34"/>
      <c r="K253" s="34"/>
      <c r="L253" s="34"/>
      <c r="M253" s="188"/>
      <c r="N253" s="188"/>
      <c r="O253" s="188"/>
      <c r="P253" s="34"/>
      <c r="Q253" s="304"/>
      <c r="R253" s="34"/>
      <c r="S253" s="34"/>
      <c r="T253" s="34"/>
      <c r="U253" s="105"/>
      <c r="V253" s="105"/>
    </row>
    <row r="254" spans="1:22" ht="12.75">
      <c r="A254" s="309"/>
      <c r="B254" s="309"/>
      <c r="C254" s="34"/>
      <c r="D254" s="34"/>
      <c r="E254" s="35"/>
      <c r="F254" s="34"/>
      <c r="G254" s="34"/>
      <c r="H254" s="65"/>
      <c r="I254" s="105"/>
      <c r="J254" s="34"/>
      <c r="K254" s="34"/>
      <c r="L254" s="34"/>
      <c r="M254" s="188"/>
      <c r="N254" s="188"/>
      <c r="O254" s="188"/>
      <c r="P254" s="34"/>
      <c r="Q254" s="304"/>
      <c r="R254" s="34"/>
      <c r="S254" s="34"/>
      <c r="T254" s="34"/>
      <c r="U254" s="105"/>
      <c r="V254" s="105"/>
    </row>
    <row r="255" spans="1:22" ht="12.75">
      <c r="A255" s="309"/>
      <c r="B255" s="309"/>
      <c r="C255" s="34"/>
      <c r="D255" s="34"/>
      <c r="E255" s="35"/>
      <c r="F255" s="34"/>
      <c r="G255" s="34"/>
      <c r="H255" s="65"/>
      <c r="I255" s="105"/>
      <c r="J255" s="34"/>
      <c r="K255" s="34"/>
      <c r="L255" s="34"/>
      <c r="M255" s="188"/>
      <c r="N255" s="188"/>
      <c r="O255" s="188"/>
      <c r="P255" s="34"/>
      <c r="Q255" s="304"/>
      <c r="R255" s="34"/>
      <c r="S255" s="34"/>
      <c r="T255" s="34"/>
      <c r="U255" s="105"/>
      <c r="V255" s="105"/>
    </row>
    <row r="256" spans="1:22" ht="12.75">
      <c r="A256" s="309"/>
      <c r="B256" s="309"/>
      <c r="C256" s="34"/>
      <c r="D256" s="34"/>
      <c r="E256" s="35"/>
      <c r="F256" s="34"/>
      <c r="G256" s="34"/>
      <c r="H256" s="65"/>
      <c r="I256" s="105"/>
      <c r="J256" s="34"/>
      <c r="K256" s="34"/>
      <c r="L256" s="34"/>
      <c r="M256" s="188"/>
      <c r="N256" s="188"/>
      <c r="O256" s="188"/>
      <c r="P256" s="34"/>
      <c r="Q256" s="304"/>
      <c r="R256" s="34"/>
      <c r="S256" s="34"/>
      <c r="T256" s="34"/>
      <c r="U256" s="105"/>
      <c r="V256" s="105"/>
    </row>
    <row r="257" spans="1:22" ht="12.75">
      <c r="A257" s="309"/>
      <c r="B257" s="309"/>
      <c r="C257" s="34"/>
      <c r="D257" s="34"/>
      <c r="E257" s="35"/>
      <c r="F257" s="34"/>
      <c r="G257" s="34"/>
      <c r="H257" s="65"/>
      <c r="I257" s="105"/>
      <c r="J257" s="34"/>
      <c r="K257" s="34"/>
      <c r="L257" s="34"/>
      <c r="M257" s="188"/>
      <c r="N257" s="188"/>
      <c r="O257" s="188"/>
      <c r="P257" s="34"/>
      <c r="Q257" s="304"/>
      <c r="R257" s="34"/>
      <c r="S257" s="34"/>
      <c r="T257" s="34"/>
      <c r="U257" s="105"/>
      <c r="V257" s="105"/>
    </row>
    <row r="258" spans="1:22" ht="12.75">
      <c r="A258" s="309"/>
      <c r="B258" s="309"/>
      <c r="C258" s="34"/>
      <c r="D258" s="34"/>
      <c r="E258" s="35"/>
      <c r="F258" s="34"/>
      <c r="G258" s="34"/>
      <c r="H258" s="65"/>
      <c r="I258" s="105"/>
      <c r="J258" s="34"/>
      <c r="K258" s="34"/>
      <c r="L258" s="34"/>
      <c r="M258" s="188"/>
      <c r="N258" s="188"/>
      <c r="O258" s="188"/>
      <c r="P258" s="34"/>
      <c r="Q258" s="304"/>
      <c r="R258" s="34"/>
      <c r="S258" s="34"/>
      <c r="T258" s="34"/>
      <c r="U258" s="105"/>
      <c r="V258" s="105"/>
    </row>
    <row r="259" spans="1:22" ht="12.75">
      <c r="A259" s="309"/>
      <c r="B259" s="309"/>
      <c r="C259" s="34"/>
      <c r="D259" s="34"/>
      <c r="E259" s="35"/>
      <c r="F259" s="34"/>
      <c r="G259" s="34"/>
      <c r="H259" s="65"/>
      <c r="I259" s="105"/>
      <c r="J259" s="34"/>
      <c r="K259" s="34"/>
      <c r="L259" s="34"/>
      <c r="M259" s="188"/>
      <c r="N259" s="188"/>
      <c r="O259" s="188"/>
      <c r="P259" s="34"/>
      <c r="Q259" s="304"/>
      <c r="R259" s="34"/>
      <c r="S259" s="34"/>
      <c r="T259" s="34"/>
      <c r="U259" s="105"/>
      <c r="V259" s="105"/>
    </row>
    <row r="260" spans="1:22" ht="12.75">
      <c r="A260" s="309"/>
      <c r="B260" s="309"/>
      <c r="C260" s="34"/>
      <c r="D260" s="34"/>
      <c r="E260" s="35"/>
      <c r="F260" s="34"/>
      <c r="G260" s="34"/>
      <c r="H260" s="65"/>
      <c r="I260" s="105"/>
      <c r="J260" s="34"/>
      <c r="K260" s="34"/>
      <c r="L260" s="34"/>
      <c r="M260" s="188"/>
      <c r="N260" s="188"/>
      <c r="O260" s="188"/>
      <c r="P260" s="34"/>
      <c r="Q260" s="304"/>
      <c r="R260" s="34"/>
      <c r="S260" s="34"/>
      <c r="T260" s="34"/>
      <c r="U260" s="105"/>
      <c r="V260" s="105"/>
    </row>
    <row r="261" spans="1:22" ht="12.75">
      <c r="A261" s="309"/>
      <c r="B261" s="309"/>
      <c r="C261" s="34"/>
      <c r="D261" s="34"/>
      <c r="E261" s="35"/>
      <c r="F261" s="34"/>
      <c r="G261" s="34"/>
      <c r="H261" s="65"/>
      <c r="I261" s="105"/>
      <c r="J261" s="34"/>
      <c r="K261" s="34"/>
      <c r="L261" s="34"/>
      <c r="M261" s="188"/>
      <c r="N261" s="188"/>
      <c r="O261" s="188"/>
      <c r="P261" s="34"/>
      <c r="Q261" s="304"/>
      <c r="R261" s="34"/>
      <c r="S261" s="34"/>
      <c r="T261" s="34"/>
      <c r="U261" s="105"/>
      <c r="V261" s="105"/>
    </row>
    <row r="262" spans="1:22" ht="12.75">
      <c r="A262" s="309"/>
      <c r="B262" s="309"/>
      <c r="C262" s="34"/>
      <c r="D262" s="34"/>
      <c r="E262" s="35"/>
      <c r="F262" s="34"/>
      <c r="G262" s="34"/>
      <c r="H262" s="65"/>
      <c r="I262" s="105"/>
      <c r="J262" s="34"/>
      <c r="K262" s="34"/>
      <c r="L262" s="34"/>
      <c r="M262" s="188"/>
      <c r="N262" s="188"/>
      <c r="O262" s="188"/>
      <c r="P262" s="34"/>
      <c r="Q262" s="304"/>
      <c r="R262" s="34"/>
      <c r="S262" s="34"/>
      <c r="T262" s="34"/>
      <c r="U262" s="105"/>
      <c r="V262" s="105"/>
    </row>
    <row r="263" spans="1:22" ht="12.75">
      <c r="A263" s="309"/>
      <c r="B263" s="309"/>
      <c r="C263" s="34"/>
      <c r="D263" s="34"/>
      <c r="E263" s="35"/>
      <c r="F263" s="34"/>
      <c r="G263" s="34"/>
      <c r="H263" s="65"/>
      <c r="I263" s="105"/>
      <c r="J263" s="34"/>
      <c r="K263" s="34"/>
      <c r="L263" s="34"/>
      <c r="M263" s="188"/>
      <c r="N263" s="188"/>
      <c r="O263" s="188"/>
      <c r="P263" s="34"/>
      <c r="Q263" s="304"/>
      <c r="R263" s="34"/>
      <c r="S263" s="34"/>
      <c r="T263" s="34"/>
      <c r="U263" s="105"/>
      <c r="V263" s="105"/>
    </row>
    <row r="264" spans="1:22" ht="12.75">
      <c r="A264" s="309"/>
      <c r="B264" s="309"/>
      <c r="C264" s="34"/>
      <c r="D264" s="34"/>
      <c r="E264" s="35"/>
      <c r="F264" s="34"/>
      <c r="G264" s="34"/>
      <c r="H264" s="65"/>
      <c r="I264" s="105"/>
      <c r="J264" s="34"/>
      <c r="K264" s="34"/>
      <c r="L264" s="34"/>
      <c r="M264" s="188"/>
      <c r="N264" s="188"/>
      <c r="O264" s="188"/>
      <c r="P264" s="34"/>
      <c r="Q264" s="304"/>
      <c r="R264" s="34"/>
      <c r="S264" s="34"/>
      <c r="T264" s="34"/>
      <c r="U264" s="105"/>
      <c r="V264" s="105"/>
    </row>
    <row r="265" spans="1:22" ht="12.75">
      <c r="A265" s="309"/>
      <c r="B265" s="309"/>
      <c r="C265" s="34"/>
      <c r="D265" s="34"/>
      <c r="E265" s="35"/>
      <c r="F265" s="34"/>
      <c r="G265" s="34"/>
      <c r="H265" s="65"/>
      <c r="I265" s="105"/>
      <c r="J265" s="34"/>
      <c r="K265" s="34"/>
      <c r="L265" s="34"/>
      <c r="M265" s="188"/>
      <c r="N265" s="188"/>
      <c r="O265" s="188"/>
      <c r="P265" s="34"/>
      <c r="Q265" s="304"/>
      <c r="R265" s="34"/>
      <c r="S265" s="34"/>
      <c r="T265" s="34"/>
      <c r="U265" s="105"/>
      <c r="V265" s="105"/>
    </row>
    <row r="266" spans="1:22" ht="12.75">
      <c r="A266" s="309"/>
      <c r="B266" s="309"/>
      <c r="C266" s="34"/>
      <c r="D266" s="34"/>
      <c r="E266" s="35"/>
      <c r="F266" s="34"/>
      <c r="G266" s="34"/>
      <c r="H266" s="65"/>
      <c r="I266" s="105"/>
      <c r="J266" s="34"/>
      <c r="K266" s="34"/>
      <c r="L266" s="34"/>
      <c r="M266" s="188"/>
      <c r="N266" s="188"/>
      <c r="O266" s="188"/>
      <c r="P266" s="34"/>
      <c r="Q266" s="304"/>
      <c r="R266" s="34"/>
      <c r="S266" s="34"/>
      <c r="T266" s="34"/>
      <c r="U266" s="105"/>
      <c r="V266" s="105"/>
    </row>
    <row r="267" spans="1:22" ht="12.75">
      <c r="A267" s="309"/>
      <c r="B267" s="309"/>
      <c r="C267" s="34"/>
      <c r="D267" s="34"/>
      <c r="E267" s="35"/>
      <c r="F267" s="34"/>
      <c r="G267" s="34"/>
      <c r="H267" s="65"/>
      <c r="I267" s="105"/>
      <c r="J267" s="34"/>
      <c r="K267" s="34"/>
      <c r="L267" s="34"/>
      <c r="M267" s="188"/>
      <c r="N267" s="188"/>
      <c r="O267" s="188"/>
      <c r="P267" s="34"/>
      <c r="Q267" s="304"/>
      <c r="R267" s="34"/>
      <c r="S267" s="34"/>
      <c r="T267" s="34"/>
      <c r="U267" s="105"/>
      <c r="V267" s="105"/>
    </row>
    <row r="268" spans="1:22" ht="12.75">
      <c r="A268" s="309"/>
      <c r="B268" s="309"/>
      <c r="C268" s="34"/>
      <c r="D268" s="34"/>
      <c r="E268" s="35"/>
      <c r="F268" s="34"/>
      <c r="G268" s="34"/>
      <c r="H268" s="65"/>
      <c r="I268" s="105"/>
      <c r="J268" s="34"/>
      <c r="K268" s="34"/>
      <c r="L268" s="34"/>
      <c r="M268" s="188"/>
      <c r="N268" s="188"/>
      <c r="O268" s="188"/>
      <c r="P268" s="34"/>
      <c r="Q268" s="304"/>
      <c r="R268" s="34"/>
      <c r="S268" s="34"/>
      <c r="T268" s="34"/>
      <c r="U268" s="105"/>
      <c r="V268" s="105"/>
    </row>
    <row r="269" spans="1:22" ht="12.75">
      <c r="A269" s="309"/>
      <c r="B269" s="309"/>
      <c r="C269" s="34"/>
      <c r="D269" s="34"/>
      <c r="E269" s="35"/>
      <c r="F269" s="34"/>
      <c r="G269" s="34"/>
      <c r="H269" s="65"/>
      <c r="I269" s="105"/>
      <c r="J269" s="34"/>
      <c r="K269" s="34"/>
      <c r="L269" s="34"/>
      <c r="M269" s="188"/>
      <c r="N269" s="188"/>
      <c r="O269" s="188"/>
      <c r="P269" s="34"/>
      <c r="Q269" s="304"/>
      <c r="R269" s="34"/>
      <c r="S269" s="34"/>
      <c r="T269" s="34"/>
      <c r="U269" s="105"/>
      <c r="V269" s="105"/>
    </row>
    <row r="270" spans="1:22" ht="12.75">
      <c r="A270" s="309"/>
      <c r="B270" s="309"/>
      <c r="C270" s="34"/>
      <c r="D270" s="34"/>
      <c r="E270" s="35"/>
      <c r="F270" s="34"/>
      <c r="G270" s="34"/>
      <c r="H270" s="65"/>
      <c r="I270" s="105"/>
      <c r="J270" s="34"/>
      <c r="K270" s="34"/>
      <c r="L270" s="34"/>
      <c r="M270" s="188"/>
      <c r="N270" s="188"/>
      <c r="O270" s="188"/>
      <c r="P270" s="34"/>
      <c r="Q270" s="304"/>
      <c r="R270" s="34"/>
      <c r="S270" s="34"/>
      <c r="T270" s="34"/>
      <c r="U270" s="105"/>
      <c r="V270" s="105"/>
    </row>
    <row r="271" spans="1:22" ht="12.75">
      <c r="A271" s="309"/>
      <c r="B271" s="309"/>
      <c r="C271" s="34"/>
      <c r="D271" s="34"/>
      <c r="E271" s="35"/>
      <c r="F271" s="34"/>
      <c r="G271" s="34"/>
      <c r="H271" s="65"/>
      <c r="I271" s="105"/>
      <c r="J271" s="34"/>
      <c r="K271" s="34"/>
      <c r="L271" s="34"/>
      <c r="M271" s="188"/>
      <c r="N271" s="188"/>
      <c r="O271" s="188"/>
      <c r="P271" s="34"/>
      <c r="Q271" s="304"/>
      <c r="R271" s="34"/>
      <c r="S271" s="34"/>
      <c r="T271" s="34"/>
      <c r="U271" s="105"/>
      <c r="V271" s="105"/>
    </row>
    <row r="272" spans="1:22" ht="12.75">
      <c r="A272" s="309"/>
      <c r="B272" s="309"/>
      <c r="C272" s="34"/>
      <c r="D272" s="34"/>
      <c r="E272" s="35"/>
      <c r="F272" s="34"/>
      <c r="G272" s="34"/>
      <c r="H272" s="65"/>
      <c r="I272" s="105"/>
      <c r="J272" s="34"/>
      <c r="K272" s="34"/>
      <c r="L272" s="34"/>
      <c r="M272" s="188"/>
      <c r="N272" s="188"/>
      <c r="O272" s="188"/>
      <c r="P272" s="34"/>
      <c r="Q272" s="304"/>
      <c r="R272" s="34"/>
      <c r="S272" s="34"/>
      <c r="T272" s="34"/>
      <c r="U272" s="105"/>
      <c r="V272" s="105"/>
    </row>
    <row r="273" spans="1:22" ht="12.75">
      <c r="A273" s="309"/>
      <c r="B273" s="309"/>
      <c r="C273" s="34"/>
      <c r="D273" s="34"/>
      <c r="E273" s="35"/>
      <c r="F273" s="34"/>
      <c r="G273" s="34"/>
      <c r="H273" s="65"/>
      <c r="I273" s="105"/>
      <c r="J273" s="34"/>
      <c r="K273" s="34"/>
      <c r="L273" s="34"/>
      <c r="M273" s="188"/>
      <c r="N273" s="188"/>
      <c r="O273" s="188"/>
      <c r="P273" s="34"/>
      <c r="Q273" s="304"/>
      <c r="R273" s="34"/>
      <c r="S273" s="34"/>
      <c r="T273" s="34"/>
      <c r="U273" s="105"/>
      <c r="V273" s="105"/>
    </row>
    <row r="274" spans="1:22" ht="12.75">
      <c r="A274" s="309"/>
      <c r="B274" s="309"/>
      <c r="C274" s="34"/>
      <c r="D274" s="34"/>
      <c r="E274" s="35"/>
      <c r="F274" s="34"/>
      <c r="G274" s="34"/>
      <c r="H274" s="65"/>
      <c r="I274" s="105"/>
      <c r="J274" s="34"/>
      <c r="K274" s="34"/>
      <c r="L274" s="34"/>
      <c r="M274" s="188"/>
      <c r="N274" s="188"/>
      <c r="O274" s="188"/>
      <c r="P274" s="34"/>
      <c r="Q274" s="304"/>
      <c r="R274" s="34"/>
      <c r="S274" s="34"/>
      <c r="T274" s="34"/>
      <c r="U274" s="105"/>
      <c r="V274" s="105"/>
    </row>
    <row r="275" spans="1:22" ht="12.75">
      <c r="A275" s="309"/>
      <c r="B275" s="309"/>
      <c r="C275" s="34"/>
      <c r="D275" s="34"/>
      <c r="E275" s="35"/>
      <c r="F275" s="34"/>
      <c r="G275" s="34"/>
      <c r="H275" s="65"/>
      <c r="I275" s="105"/>
      <c r="J275" s="34"/>
      <c r="K275" s="34"/>
      <c r="L275" s="34"/>
      <c r="M275" s="188"/>
      <c r="N275" s="188"/>
      <c r="O275" s="188"/>
      <c r="P275" s="34"/>
      <c r="Q275" s="304"/>
      <c r="R275" s="34"/>
      <c r="S275" s="34"/>
      <c r="T275" s="34"/>
      <c r="U275" s="105"/>
      <c r="V275" s="105"/>
    </row>
    <row r="276" spans="1:22" ht="12.75">
      <c r="A276" s="309"/>
      <c r="B276" s="309"/>
      <c r="C276" s="34"/>
      <c r="D276" s="34"/>
      <c r="E276" s="35"/>
      <c r="F276" s="34"/>
      <c r="G276" s="34"/>
      <c r="H276" s="65"/>
      <c r="I276" s="105"/>
      <c r="J276" s="34"/>
      <c r="K276" s="34"/>
      <c r="L276" s="34"/>
      <c r="M276" s="188"/>
      <c r="N276" s="188"/>
      <c r="O276" s="188"/>
      <c r="P276" s="34"/>
      <c r="Q276" s="304"/>
      <c r="R276" s="34"/>
      <c r="S276" s="34"/>
      <c r="T276" s="34"/>
      <c r="U276" s="105"/>
      <c r="V276" s="105"/>
    </row>
    <row r="277" spans="1:22" ht="12.75">
      <c r="A277" s="309"/>
      <c r="B277" s="309"/>
      <c r="C277" s="34"/>
      <c r="D277" s="34"/>
      <c r="E277" s="35"/>
      <c r="F277" s="34"/>
      <c r="G277" s="34"/>
      <c r="H277" s="65"/>
      <c r="I277" s="105"/>
      <c r="J277" s="34"/>
      <c r="K277" s="34"/>
      <c r="L277" s="34"/>
      <c r="M277" s="188"/>
      <c r="N277" s="188"/>
      <c r="O277" s="188"/>
      <c r="P277" s="34"/>
      <c r="Q277" s="304"/>
      <c r="R277" s="34"/>
      <c r="S277" s="34"/>
      <c r="T277" s="34"/>
      <c r="U277" s="105"/>
      <c r="V277" s="105"/>
    </row>
    <row r="278" spans="1:22" ht="12.75">
      <c r="A278" s="309"/>
      <c r="B278" s="309"/>
      <c r="C278" s="34"/>
      <c r="D278" s="34"/>
      <c r="E278" s="35"/>
      <c r="F278" s="34"/>
      <c r="G278" s="34"/>
      <c r="H278" s="65"/>
      <c r="I278" s="105"/>
      <c r="J278" s="34"/>
      <c r="K278" s="34"/>
      <c r="L278" s="34"/>
      <c r="M278" s="188"/>
      <c r="N278" s="188"/>
      <c r="O278" s="188"/>
      <c r="P278" s="34"/>
      <c r="Q278" s="304"/>
      <c r="R278" s="34"/>
      <c r="S278" s="34"/>
      <c r="T278" s="34"/>
      <c r="U278" s="105"/>
      <c r="V278" s="105"/>
    </row>
    <row r="279" spans="1:22" ht="12.75">
      <c r="A279" s="309"/>
      <c r="B279" s="309"/>
      <c r="C279" s="34"/>
      <c r="D279" s="34"/>
      <c r="E279" s="35"/>
      <c r="F279" s="34"/>
      <c r="G279" s="34"/>
      <c r="H279" s="65"/>
      <c r="I279" s="105"/>
      <c r="J279" s="34"/>
      <c r="K279" s="34"/>
      <c r="L279" s="34"/>
      <c r="M279" s="188"/>
      <c r="N279" s="188"/>
      <c r="O279" s="188"/>
      <c r="P279" s="34"/>
      <c r="Q279" s="304"/>
      <c r="R279" s="34"/>
      <c r="S279" s="34"/>
      <c r="T279" s="34"/>
      <c r="U279" s="105"/>
      <c r="V279" s="105"/>
    </row>
    <row r="280" spans="1:22" ht="12.75">
      <c r="A280" s="309"/>
      <c r="B280" s="309"/>
      <c r="C280" s="34"/>
      <c r="D280" s="34"/>
      <c r="E280" s="35"/>
      <c r="F280" s="34"/>
      <c r="G280" s="34"/>
      <c r="H280" s="65"/>
      <c r="I280" s="105"/>
      <c r="J280" s="34"/>
      <c r="K280" s="34"/>
      <c r="L280" s="34"/>
      <c r="M280" s="188"/>
      <c r="N280" s="188"/>
      <c r="O280" s="188"/>
      <c r="P280" s="34"/>
      <c r="Q280" s="304"/>
      <c r="R280" s="34"/>
      <c r="S280" s="34"/>
      <c r="T280" s="34"/>
      <c r="U280" s="105"/>
      <c r="V280" s="105"/>
    </row>
    <row r="281" spans="1:22" ht="12.75">
      <c r="A281" s="309"/>
      <c r="B281" s="309"/>
      <c r="C281" s="34"/>
      <c r="D281" s="34"/>
      <c r="E281" s="35"/>
      <c r="F281" s="34"/>
      <c r="G281" s="34"/>
      <c r="H281" s="65"/>
      <c r="I281" s="105"/>
      <c r="J281" s="34"/>
      <c r="K281" s="34"/>
      <c r="L281" s="34"/>
      <c r="M281" s="188"/>
      <c r="N281" s="188"/>
      <c r="O281" s="188"/>
      <c r="P281" s="34"/>
      <c r="Q281" s="304"/>
      <c r="R281" s="34"/>
      <c r="S281" s="34"/>
      <c r="T281" s="34"/>
      <c r="U281" s="105"/>
      <c r="V281" s="105"/>
    </row>
    <row r="282" spans="1:22" ht="12.75">
      <c r="A282" s="309"/>
      <c r="B282" s="309"/>
      <c r="C282" s="34"/>
      <c r="D282" s="34"/>
      <c r="E282" s="35"/>
      <c r="F282" s="34"/>
      <c r="G282" s="34"/>
      <c r="H282" s="65"/>
      <c r="I282" s="105"/>
      <c r="J282" s="34"/>
      <c r="K282" s="34"/>
      <c r="L282" s="34"/>
      <c r="M282" s="188"/>
      <c r="N282" s="188"/>
      <c r="O282" s="188"/>
      <c r="P282" s="34"/>
      <c r="Q282" s="304"/>
      <c r="R282" s="34"/>
      <c r="S282" s="34"/>
      <c r="T282" s="34"/>
      <c r="U282" s="105"/>
      <c r="V282" s="105"/>
    </row>
    <row r="283" spans="1:22" ht="12.75">
      <c r="A283" s="309"/>
      <c r="B283" s="309"/>
      <c r="C283" s="34"/>
      <c r="D283" s="34"/>
      <c r="E283" s="35"/>
      <c r="F283" s="34"/>
      <c r="G283" s="34"/>
      <c r="H283" s="65"/>
      <c r="I283" s="105"/>
      <c r="J283" s="34"/>
      <c r="K283" s="34"/>
      <c r="L283" s="34"/>
      <c r="M283" s="188"/>
      <c r="N283" s="188"/>
      <c r="O283" s="188"/>
      <c r="P283" s="34"/>
      <c r="Q283" s="304"/>
      <c r="R283" s="34"/>
      <c r="S283" s="34"/>
      <c r="T283" s="34"/>
      <c r="U283" s="105"/>
      <c r="V283" s="105"/>
    </row>
    <row r="284" spans="1:22" ht="12.75">
      <c r="A284" s="309"/>
      <c r="B284" s="309"/>
      <c r="C284" s="34"/>
      <c r="D284" s="34"/>
      <c r="E284" s="35"/>
      <c r="F284" s="34"/>
      <c r="G284" s="34"/>
      <c r="H284" s="65"/>
      <c r="I284" s="105"/>
      <c r="J284" s="34"/>
      <c r="K284" s="34"/>
      <c r="L284" s="34"/>
      <c r="M284" s="188"/>
      <c r="N284" s="188"/>
      <c r="O284" s="188"/>
      <c r="P284" s="34"/>
      <c r="Q284" s="304"/>
      <c r="R284" s="34"/>
      <c r="S284" s="34"/>
      <c r="T284" s="34"/>
      <c r="U284" s="105"/>
      <c r="V284" s="105"/>
    </row>
    <row r="285" spans="1:22" ht="12.75">
      <c r="A285" s="309"/>
      <c r="B285" s="309"/>
      <c r="C285" s="34"/>
      <c r="D285" s="34"/>
      <c r="E285" s="35"/>
      <c r="F285" s="34"/>
      <c r="G285" s="34"/>
      <c r="H285" s="65"/>
      <c r="I285" s="105"/>
      <c r="J285" s="34"/>
      <c r="K285" s="34"/>
      <c r="L285" s="34"/>
      <c r="M285" s="188"/>
      <c r="N285" s="188"/>
      <c r="O285" s="188"/>
      <c r="P285" s="34"/>
      <c r="Q285" s="304"/>
      <c r="R285" s="34"/>
      <c r="S285" s="34"/>
      <c r="T285" s="34"/>
      <c r="U285" s="105"/>
      <c r="V285" s="105"/>
    </row>
    <row r="286" spans="1:22" ht="12.75">
      <c r="A286" s="309"/>
      <c r="B286" s="309"/>
      <c r="C286" s="34"/>
      <c r="D286" s="34"/>
      <c r="E286" s="35"/>
      <c r="F286" s="34"/>
      <c r="G286" s="34"/>
      <c r="H286" s="65"/>
      <c r="I286" s="105"/>
      <c r="J286" s="34"/>
      <c r="K286" s="34"/>
      <c r="L286" s="34"/>
      <c r="M286" s="188"/>
      <c r="N286" s="188"/>
      <c r="O286" s="188"/>
      <c r="P286" s="34"/>
      <c r="Q286" s="304"/>
      <c r="R286" s="34"/>
      <c r="S286" s="34"/>
      <c r="T286" s="34"/>
      <c r="U286" s="105"/>
      <c r="V286" s="105"/>
    </row>
    <row r="287" spans="1:22" ht="12.75">
      <c r="A287" s="309"/>
      <c r="B287" s="309"/>
      <c r="C287" s="34"/>
      <c r="D287" s="34"/>
      <c r="E287" s="35"/>
      <c r="F287" s="34"/>
      <c r="G287" s="34"/>
      <c r="H287" s="65"/>
      <c r="I287" s="105"/>
      <c r="J287" s="34"/>
      <c r="K287" s="34"/>
      <c r="L287" s="34"/>
      <c r="M287" s="188"/>
      <c r="N287" s="188"/>
      <c r="O287" s="188"/>
      <c r="P287" s="34"/>
      <c r="Q287" s="304"/>
      <c r="R287" s="34"/>
      <c r="S287" s="34"/>
      <c r="T287" s="34"/>
      <c r="U287" s="105"/>
      <c r="V287" s="105"/>
    </row>
    <row r="288" spans="1:22" ht="12.75">
      <c r="A288" s="309"/>
      <c r="B288" s="309"/>
      <c r="C288" s="34"/>
      <c r="D288" s="34"/>
      <c r="E288" s="35"/>
      <c r="F288" s="34"/>
      <c r="G288" s="34"/>
      <c r="H288" s="65"/>
      <c r="I288" s="105"/>
      <c r="J288" s="34"/>
      <c r="K288" s="34"/>
      <c r="L288" s="34"/>
      <c r="M288" s="188"/>
      <c r="N288" s="188"/>
      <c r="O288" s="188"/>
      <c r="P288" s="34"/>
      <c r="Q288" s="304"/>
      <c r="R288" s="34"/>
      <c r="S288" s="34"/>
      <c r="T288" s="34"/>
      <c r="U288" s="105"/>
      <c r="V288" s="105"/>
    </row>
    <row r="289" spans="1:22" ht="12.75">
      <c r="A289" s="309"/>
      <c r="B289" s="309"/>
      <c r="C289" s="34"/>
      <c r="D289" s="34"/>
      <c r="E289" s="35"/>
      <c r="F289" s="34"/>
      <c r="G289" s="34"/>
      <c r="H289" s="65"/>
      <c r="I289" s="105"/>
      <c r="J289" s="34"/>
      <c r="K289" s="34"/>
      <c r="L289" s="34"/>
      <c r="M289" s="188"/>
      <c r="N289" s="188"/>
      <c r="O289" s="188"/>
      <c r="P289" s="34"/>
      <c r="Q289" s="304"/>
      <c r="R289" s="34"/>
      <c r="S289" s="34"/>
      <c r="T289" s="34"/>
      <c r="U289" s="105"/>
      <c r="V289" s="105"/>
    </row>
    <row r="290" spans="1:22" ht="12.75">
      <c r="A290" s="309"/>
      <c r="B290" s="309"/>
      <c r="C290" s="34"/>
      <c r="D290" s="34"/>
      <c r="E290" s="35"/>
      <c r="F290" s="34"/>
      <c r="G290" s="34"/>
      <c r="H290" s="65"/>
      <c r="I290" s="105"/>
      <c r="J290" s="34"/>
      <c r="K290" s="34"/>
      <c r="L290" s="34"/>
      <c r="M290" s="188"/>
      <c r="N290" s="188"/>
      <c r="O290" s="188"/>
      <c r="P290" s="34"/>
      <c r="Q290" s="304"/>
      <c r="R290" s="34"/>
      <c r="S290" s="34"/>
      <c r="T290" s="34"/>
      <c r="U290" s="105"/>
      <c r="V290" s="105"/>
    </row>
    <row r="291" spans="1:22" ht="12.75">
      <c r="A291" s="309"/>
      <c r="B291" s="309"/>
      <c r="C291" s="34"/>
      <c r="D291" s="34"/>
      <c r="E291" s="35"/>
      <c r="F291" s="34"/>
      <c r="G291" s="34"/>
      <c r="H291" s="65"/>
      <c r="I291" s="105"/>
      <c r="J291" s="34"/>
      <c r="K291" s="34"/>
      <c r="L291" s="34"/>
      <c r="M291" s="188"/>
      <c r="N291" s="188"/>
      <c r="O291" s="188"/>
      <c r="P291" s="34"/>
      <c r="Q291" s="304"/>
      <c r="R291" s="34"/>
      <c r="S291" s="34"/>
      <c r="T291" s="34"/>
      <c r="U291" s="105"/>
      <c r="V291" s="105"/>
    </row>
    <row r="292" spans="1:22" ht="12.75">
      <c r="A292" s="309"/>
      <c r="B292" s="309"/>
      <c r="C292" s="34"/>
      <c r="D292" s="34"/>
      <c r="E292" s="35"/>
      <c r="F292" s="34"/>
      <c r="G292" s="34"/>
      <c r="H292" s="65"/>
      <c r="I292" s="105"/>
      <c r="J292" s="34"/>
      <c r="K292" s="34"/>
      <c r="L292" s="34"/>
      <c r="M292" s="188"/>
      <c r="N292" s="188"/>
      <c r="O292" s="188"/>
      <c r="P292" s="34"/>
      <c r="Q292" s="304"/>
      <c r="R292" s="34"/>
      <c r="S292" s="34"/>
      <c r="T292" s="34"/>
      <c r="U292" s="105"/>
      <c r="V292" s="105"/>
    </row>
    <row r="293" spans="1:22" ht="12.75">
      <c r="A293" s="309"/>
      <c r="B293" s="309"/>
      <c r="C293" s="34"/>
      <c r="D293" s="34"/>
      <c r="E293" s="35"/>
      <c r="F293" s="34"/>
      <c r="G293" s="34"/>
      <c r="H293" s="65"/>
      <c r="I293" s="105"/>
      <c r="J293" s="34"/>
      <c r="K293" s="34"/>
      <c r="L293" s="34"/>
      <c r="M293" s="188"/>
      <c r="N293" s="188"/>
      <c r="O293" s="188"/>
      <c r="P293" s="34"/>
      <c r="Q293" s="304"/>
      <c r="R293" s="34"/>
      <c r="S293" s="34"/>
      <c r="T293" s="34"/>
      <c r="U293" s="105"/>
      <c r="V293" s="105"/>
    </row>
    <row r="294" spans="1:22" ht="12.75">
      <c r="A294" s="309"/>
      <c r="B294" s="309"/>
      <c r="C294" s="34"/>
      <c r="D294" s="34"/>
      <c r="E294" s="35"/>
      <c r="F294" s="34"/>
      <c r="G294" s="34"/>
      <c r="H294" s="65"/>
      <c r="I294" s="105"/>
      <c r="J294" s="34"/>
      <c r="K294" s="34"/>
      <c r="L294" s="34"/>
      <c r="M294" s="188"/>
      <c r="N294" s="188"/>
      <c r="O294" s="188"/>
      <c r="P294" s="34"/>
      <c r="Q294" s="304"/>
      <c r="R294" s="34"/>
      <c r="S294" s="34"/>
      <c r="T294" s="34"/>
      <c r="U294" s="105"/>
      <c r="V294" s="105"/>
    </row>
    <row r="295" spans="1:22" ht="12.75">
      <c r="A295" s="309"/>
      <c r="B295" s="309"/>
      <c r="C295" s="34"/>
      <c r="D295" s="34"/>
      <c r="E295" s="35"/>
      <c r="F295" s="34"/>
      <c r="G295" s="34"/>
      <c r="H295" s="65"/>
      <c r="I295" s="105"/>
      <c r="J295" s="34"/>
      <c r="K295" s="34"/>
      <c r="L295" s="34"/>
      <c r="M295" s="188"/>
      <c r="N295" s="188"/>
      <c r="O295" s="188"/>
      <c r="P295" s="34"/>
      <c r="Q295" s="304"/>
      <c r="R295" s="34"/>
      <c r="S295" s="34"/>
      <c r="T295" s="34"/>
      <c r="U295" s="105"/>
      <c r="V295" s="105"/>
    </row>
    <row r="296" spans="1:22" ht="12.75">
      <c r="A296" s="309"/>
      <c r="B296" s="309"/>
      <c r="C296" s="34"/>
      <c r="D296" s="34"/>
      <c r="E296" s="35"/>
      <c r="F296" s="34"/>
      <c r="G296" s="34"/>
      <c r="H296" s="65"/>
      <c r="I296" s="105"/>
      <c r="J296" s="34"/>
      <c r="K296" s="34"/>
      <c r="L296" s="34"/>
      <c r="M296" s="188"/>
      <c r="N296" s="188"/>
      <c r="O296" s="188"/>
      <c r="P296" s="34"/>
      <c r="Q296" s="304"/>
      <c r="R296" s="34"/>
      <c r="S296" s="34"/>
      <c r="T296" s="34"/>
      <c r="U296" s="105"/>
      <c r="V296" s="105"/>
    </row>
    <row r="297" spans="1:22" ht="12.75">
      <c r="A297" s="309"/>
      <c r="B297" s="309"/>
      <c r="C297" s="34"/>
      <c r="D297" s="34"/>
      <c r="E297" s="35"/>
      <c r="F297" s="34"/>
      <c r="G297" s="34"/>
      <c r="H297" s="65"/>
      <c r="I297" s="105"/>
      <c r="J297" s="34"/>
      <c r="K297" s="34"/>
      <c r="L297" s="34"/>
      <c r="M297" s="188"/>
      <c r="N297" s="188"/>
      <c r="O297" s="188"/>
      <c r="P297" s="34"/>
      <c r="Q297" s="304"/>
      <c r="R297" s="34"/>
      <c r="S297" s="34"/>
      <c r="T297" s="34"/>
      <c r="U297" s="105"/>
      <c r="V297" s="105"/>
    </row>
    <row r="298" spans="1:22" ht="12.75">
      <c r="A298" s="309"/>
      <c r="B298" s="309"/>
      <c r="C298" s="34"/>
      <c r="D298" s="34"/>
      <c r="E298" s="35"/>
      <c r="F298" s="34"/>
      <c r="G298" s="34"/>
      <c r="H298" s="65"/>
      <c r="I298" s="105"/>
      <c r="J298" s="34"/>
      <c r="K298" s="34"/>
      <c r="L298" s="34"/>
      <c r="M298" s="188"/>
      <c r="N298" s="188"/>
      <c r="O298" s="188"/>
      <c r="P298" s="34"/>
      <c r="Q298" s="304"/>
      <c r="R298" s="34"/>
      <c r="S298" s="34"/>
      <c r="T298" s="34"/>
      <c r="U298" s="105"/>
      <c r="V298" s="105"/>
    </row>
    <row r="299" spans="1:22" ht="12.75">
      <c r="A299" s="309"/>
      <c r="B299" s="309"/>
      <c r="C299" s="34"/>
      <c r="D299" s="34"/>
      <c r="E299" s="35"/>
      <c r="F299" s="34"/>
      <c r="G299" s="34"/>
      <c r="H299" s="65"/>
      <c r="I299" s="105"/>
      <c r="J299" s="34"/>
      <c r="K299" s="34"/>
      <c r="L299" s="34"/>
      <c r="M299" s="188"/>
      <c r="N299" s="188"/>
      <c r="O299" s="188"/>
      <c r="P299" s="34"/>
      <c r="Q299" s="304"/>
      <c r="R299" s="34"/>
      <c r="S299" s="34"/>
      <c r="T299" s="34"/>
      <c r="U299" s="105"/>
      <c r="V299" s="105"/>
    </row>
    <row r="300" spans="1:22" ht="12.75">
      <c r="A300" s="309"/>
      <c r="B300" s="309"/>
      <c r="C300" s="34"/>
      <c r="D300" s="34"/>
      <c r="E300" s="35"/>
      <c r="F300" s="34"/>
      <c r="G300" s="34"/>
      <c r="H300" s="65"/>
      <c r="I300" s="105"/>
      <c r="J300" s="34"/>
      <c r="K300" s="34"/>
      <c r="L300" s="34"/>
      <c r="M300" s="188"/>
      <c r="N300" s="188"/>
      <c r="O300" s="188"/>
      <c r="P300" s="34"/>
      <c r="Q300" s="304"/>
      <c r="R300" s="34"/>
      <c r="S300" s="34"/>
      <c r="T300" s="34"/>
      <c r="U300" s="105"/>
      <c r="V300" s="105"/>
    </row>
    <row r="301" spans="1:22" ht="12.75">
      <c r="A301" s="309"/>
      <c r="B301" s="309"/>
      <c r="C301" s="34"/>
      <c r="D301" s="34"/>
      <c r="E301" s="35"/>
      <c r="F301" s="34"/>
      <c r="G301" s="34"/>
      <c r="H301" s="65"/>
      <c r="I301" s="105"/>
      <c r="J301" s="34"/>
      <c r="K301" s="34"/>
      <c r="L301" s="34"/>
      <c r="M301" s="188"/>
      <c r="N301" s="188"/>
      <c r="O301" s="188"/>
      <c r="P301" s="34"/>
      <c r="Q301" s="304"/>
      <c r="R301" s="34"/>
      <c r="S301" s="34"/>
      <c r="T301" s="34"/>
      <c r="U301" s="105"/>
      <c r="V301" s="105"/>
    </row>
    <row r="302" spans="1:22" ht="12.75">
      <c r="A302" s="309"/>
      <c r="B302" s="309"/>
      <c r="C302" s="34"/>
      <c r="D302" s="34"/>
      <c r="E302" s="35"/>
      <c r="F302" s="34"/>
      <c r="G302" s="34"/>
      <c r="H302" s="65"/>
      <c r="I302" s="105"/>
      <c r="J302" s="34"/>
      <c r="K302" s="34"/>
      <c r="L302" s="34"/>
      <c r="M302" s="188"/>
      <c r="N302" s="188"/>
      <c r="O302" s="188"/>
      <c r="P302" s="34"/>
      <c r="Q302" s="304"/>
      <c r="R302" s="34"/>
      <c r="S302" s="34"/>
      <c r="T302" s="34"/>
      <c r="U302" s="105"/>
      <c r="V302" s="105"/>
    </row>
    <row r="303" spans="1:22" ht="12.75">
      <c r="A303" s="309"/>
      <c r="B303" s="309"/>
      <c r="C303" s="34"/>
      <c r="D303" s="34"/>
      <c r="E303" s="35"/>
      <c r="F303" s="34"/>
      <c r="G303" s="34"/>
      <c r="H303" s="65"/>
      <c r="I303" s="105"/>
      <c r="J303" s="34"/>
      <c r="K303" s="34"/>
      <c r="L303" s="34"/>
      <c r="M303" s="188"/>
      <c r="N303" s="188"/>
      <c r="O303" s="188"/>
      <c r="P303" s="34"/>
      <c r="Q303" s="304"/>
      <c r="R303" s="34"/>
      <c r="S303" s="34"/>
      <c r="T303" s="34"/>
      <c r="U303" s="105"/>
      <c r="V303" s="105"/>
    </row>
    <row r="304" spans="1:22" ht="12.75">
      <c r="A304" s="309"/>
      <c r="B304" s="309"/>
      <c r="C304" s="34"/>
      <c r="D304" s="34"/>
      <c r="E304" s="35"/>
      <c r="F304" s="34"/>
      <c r="G304" s="34"/>
      <c r="H304" s="65"/>
      <c r="I304" s="105"/>
      <c r="J304" s="34"/>
      <c r="K304" s="34"/>
      <c r="L304" s="34"/>
      <c r="M304" s="188"/>
      <c r="N304" s="188"/>
      <c r="O304" s="188"/>
      <c r="P304" s="34"/>
      <c r="Q304" s="304"/>
      <c r="R304" s="34"/>
      <c r="S304" s="34"/>
      <c r="T304" s="34"/>
      <c r="U304" s="105"/>
      <c r="V304" s="105"/>
    </row>
    <row r="305" spans="1:22" ht="12.75">
      <c r="A305" s="309"/>
      <c r="B305" s="309"/>
      <c r="C305" s="34"/>
      <c r="D305" s="34"/>
      <c r="E305" s="35"/>
      <c r="F305" s="34"/>
      <c r="G305" s="34"/>
      <c r="H305" s="65"/>
      <c r="I305" s="105"/>
      <c r="J305" s="34"/>
      <c r="K305" s="34"/>
      <c r="L305" s="34"/>
      <c r="M305" s="188"/>
      <c r="N305" s="188"/>
      <c r="O305" s="188"/>
      <c r="P305" s="34"/>
      <c r="Q305" s="304"/>
      <c r="R305" s="34"/>
      <c r="S305" s="34"/>
      <c r="T305" s="34"/>
      <c r="U305" s="105"/>
      <c r="V305" s="105"/>
    </row>
    <row r="306" spans="1:22" ht="12.75">
      <c r="A306" s="309"/>
      <c r="B306" s="309"/>
      <c r="C306" s="34"/>
      <c r="D306" s="34"/>
      <c r="E306" s="35"/>
      <c r="F306" s="34"/>
      <c r="G306" s="34"/>
      <c r="H306" s="65"/>
      <c r="I306" s="105"/>
      <c r="J306" s="34"/>
      <c r="K306" s="34"/>
      <c r="L306" s="34"/>
      <c r="M306" s="188"/>
      <c r="N306" s="188"/>
      <c r="O306" s="188"/>
      <c r="P306" s="34"/>
      <c r="Q306" s="304"/>
      <c r="R306" s="34"/>
      <c r="S306" s="34"/>
      <c r="T306" s="34"/>
      <c r="U306" s="105"/>
      <c r="V306" s="105"/>
    </row>
    <row r="307" spans="1:22" ht="12.75">
      <c r="A307" s="309"/>
      <c r="B307" s="309"/>
      <c r="C307" s="34"/>
      <c r="D307" s="34"/>
      <c r="E307" s="35"/>
      <c r="F307" s="34"/>
      <c r="G307" s="34"/>
      <c r="H307" s="65"/>
      <c r="I307" s="105"/>
      <c r="J307" s="34"/>
      <c r="K307" s="34"/>
      <c r="L307" s="34"/>
      <c r="M307" s="188"/>
      <c r="N307" s="188"/>
      <c r="O307" s="188"/>
      <c r="P307" s="34"/>
      <c r="Q307" s="304"/>
      <c r="R307" s="34"/>
      <c r="S307" s="34"/>
      <c r="T307" s="34"/>
      <c r="U307" s="105"/>
      <c r="V307" s="105"/>
    </row>
    <row r="308" spans="1:22" ht="12.75">
      <c r="A308" s="309"/>
      <c r="B308" s="309"/>
      <c r="C308" s="34"/>
      <c r="D308" s="34"/>
      <c r="E308" s="35"/>
      <c r="F308" s="34"/>
      <c r="G308" s="34"/>
      <c r="H308" s="65"/>
      <c r="I308" s="105"/>
      <c r="J308" s="34"/>
      <c r="K308" s="34"/>
      <c r="L308" s="34"/>
      <c r="M308" s="188"/>
      <c r="N308" s="188"/>
      <c r="O308" s="188"/>
      <c r="P308" s="34"/>
      <c r="Q308" s="304"/>
      <c r="R308" s="34"/>
      <c r="S308" s="34"/>
      <c r="T308" s="34"/>
      <c r="U308" s="105"/>
      <c r="V308" s="105"/>
    </row>
    <row r="309" spans="1:22" ht="12.75">
      <c r="A309" s="309"/>
      <c r="B309" s="309"/>
      <c r="C309" s="34"/>
      <c r="D309" s="34"/>
      <c r="E309" s="35"/>
      <c r="F309" s="34"/>
      <c r="G309" s="34"/>
      <c r="H309" s="65"/>
      <c r="I309" s="105"/>
      <c r="J309" s="34"/>
      <c r="K309" s="34"/>
      <c r="L309" s="34"/>
      <c r="M309" s="188"/>
      <c r="N309" s="188"/>
      <c r="O309" s="188"/>
      <c r="P309" s="34"/>
      <c r="Q309" s="304"/>
      <c r="R309" s="34"/>
      <c r="S309" s="34"/>
      <c r="T309" s="34"/>
      <c r="U309" s="105"/>
      <c r="V309" s="105"/>
    </row>
    <row r="310" spans="1:22" ht="12.75">
      <c r="A310" s="309"/>
      <c r="B310" s="309"/>
      <c r="C310" s="34"/>
      <c r="D310" s="34"/>
      <c r="E310" s="35"/>
      <c r="F310" s="34"/>
      <c r="G310" s="34"/>
      <c r="H310" s="65"/>
      <c r="I310" s="105"/>
      <c r="J310" s="34"/>
      <c r="K310" s="34"/>
      <c r="L310" s="34"/>
      <c r="M310" s="188"/>
      <c r="N310" s="188"/>
      <c r="O310" s="188"/>
      <c r="P310" s="34"/>
      <c r="Q310" s="304"/>
      <c r="R310" s="34"/>
      <c r="S310" s="34"/>
      <c r="T310" s="34"/>
      <c r="U310" s="105"/>
      <c r="V310" s="105"/>
    </row>
    <row r="311" spans="1:22" ht="12.75">
      <c r="A311" s="309"/>
      <c r="B311" s="309"/>
      <c r="C311" s="34"/>
      <c r="D311" s="34"/>
      <c r="E311" s="35"/>
      <c r="F311" s="34"/>
      <c r="G311" s="34"/>
      <c r="H311" s="65"/>
      <c r="I311" s="105"/>
      <c r="J311" s="34"/>
      <c r="K311" s="34"/>
      <c r="L311" s="34"/>
      <c r="M311" s="188"/>
      <c r="N311" s="188"/>
      <c r="O311" s="188"/>
      <c r="P311" s="34"/>
      <c r="Q311" s="304"/>
      <c r="R311" s="34"/>
      <c r="S311" s="34"/>
      <c r="T311" s="34"/>
      <c r="U311" s="105"/>
      <c r="V311" s="105"/>
    </row>
    <row r="312" spans="1:22" ht="12.75">
      <c r="A312" s="309"/>
      <c r="B312" s="309"/>
      <c r="C312" s="34"/>
      <c r="D312" s="34"/>
      <c r="E312" s="35"/>
      <c r="F312" s="34"/>
      <c r="G312" s="34"/>
      <c r="H312" s="65"/>
      <c r="I312" s="105"/>
      <c r="J312" s="34"/>
      <c r="K312" s="34"/>
      <c r="L312" s="34"/>
      <c r="M312" s="188"/>
      <c r="N312" s="188"/>
      <c r="O312" s="188"/>
      <c r="P312" s="34"/>
      <c r="Q312" s="304"/>
      <c r="R312" s="34"/>
      <c r="S312" s="34"/>
      <c r="T312" s="34"/>
      <c r="U312" s="105"/>
      <c r="V312" s="105"/>
    </row>
    <row r="313" spans="1:22" ht="12.75">
      <c r="A313" s="309"/>
      <c r="B313" s="309"/>
      <c r="C313" s="34"/>
      <c r="D313" s="34"/>
      <c r="E313" s="35"/>
      <c r="F313" s="34"/>
      <c r="G313" s="34"/>
      <c r="H313" s="65"/>
      <c r="I313" s="105"/>
      <c r="J313" s="34"/>
      <c r="K313" s="34"/>
      <c r="L313" s="34"/>
      <c r="M313" s="188"/>
      <c r="N313" s="188"/>
      <c r="O313" s="188"/>
      <c r="P313" s="34"/>
      <c r="Q313" s="304"/>
      <c r="R313" s="34"/>
      <c r="S313" s="34"/>
      <c r="T313" s="34"/>
      <c r="U313" s="105"/>
      <c r="V313" s="105"/>
    </row>
    <row r="314" spans="1:22" ht="12.75">
      <c r="A314" s="309"/>
      <c r="B314" s="309"/>
      <c r="C314" s="34"/>
      <c r="D314" s="34"/>
      <c r="E314" s="35"/>
      <c r="F314" s="34"/>
      <c r="G314" s="34"/>
      <c r="H314" s="65"/>
      <c r="I314" s="105"/>
      <c r="J314" s="34"/>
      <c r="K314" s="34"/>
      <c r="L314" s="34"/>
      <c r="M314" s="188"/>
      <c r="N314" s="188"/>
      <c r="O314" s="188"/>
      <c r="P314" s="34"/>
      <c r="Q314" s="304"/>
      <c r="R314" s="34"/>
      <c r="S314" s="34"/>
      <c r="T314" s="34"/>
      <c r="U314" s="105"/>
      <c r="V314" s="105"/>
    </row>
    <row r="315" spans="1:22" ht="12.75">
      <c r="A315" s="309"/>
      <c r="B315" s="309"/>
      <c r="C315" s="34"/>
      <c r="D315" s="34"/>
      <c r="E315" s="35"/>
      <c r="F315" s="34"/>
      <c r="G315" s="34"/>
      <c r="H315" s="65"/>
      <c r="I315" s="105"/>
      <c r="J315" s="34"/>
      <c r="K315" s="34"/>
      <c r="L315" s="34"/>
      <c r="M315" s="188"/>
      <c r="N315" s="188"/>
      <c r="O315" s="188"/>
      <c r="P315" s="34"/>
      <c r="Q315" s="304"/>
      <c r="R315" s="34"/>
      <c r="S315" s="34"/>
      <c r="T315" s="34"/>
      <c r="U315" s="105"/>
      <c r="V315" s="105"/>
    </row>
    <row r="316" spans="1:22" ht="12.75">
      <c r="A316" s="309"/>
      <c r="B316" s="309"/>
      <c r="C316" s="34"/>
      <c r="D316" s="34"/>
      <c r="E316" s="35"/>
      <c r="F316" s="34"/>
      <c r="G316" s="34"/>
      <c r="H316" s="65"/>
      <c r="I316" s="105"/>
      <c r="J316" s="34"/>
      <c r="K316" s="34"/>
      <c r="L316" s="34"/>
      <c r="M316" s="188"/>
      <c r="N316" s="188"/>
      <c r="O316" s="188"/>
      <c r="P316" s="34"/>
      <c r="Q316" s="304"/>
      <c r="R316" s="34"/>
      <c r="S316" s="34"/>
      <c r="T316" s="34"/>
      <c r="U316" s="105"/>
      <c r="V316" s="105"/>
    </row>
    <row r="317" spans="1:22" ht="12.75">
      <c r="A317" s="309"/>
      <c r="B317" s="309"/>
      <c r="C317" s="34"/>
      <c r="D317" s="34"/>
      <c r="E317" s="35"/>
      <c r="F317" s="34"/>
      <c r="G317" s="34"/>
      <c r="H317" s="65"/>
      <c r="I317" s="105"/>
      <c r="J317" s="34"/>
      <c r="K317" s="34"/>
      <c r="L317" s="34"/>
      <c r="M317" s="188"/>
      <c r="N317" s="188"/>
      <c r="O317" s="188"/>
      <c r="P317" s="34"/>
      <c r="Q317" s="304"/>
      <c r="R317" s="34"/>
      <c r="S317" s="34"/>
      <c r="T317" s="34"/>
      <c r="U317" s="105"/>
      <c r="V317" s="105"/>
    </row>
    <row r="318" spans="1:22" ht="12.75">
      <c r="A318" s="309"/>
      <c r="B318" s="309"/>
      <c r="C318" s="34"/>
      <c r="D318" s="34"/>
      <c r="E318" s="35"/>
      <c r="F318" s="34"/>
      <c r="G318" s="34"/>
      <c r="H318" s="65"/>
      <c r="I318" s="105"/>
      <c r="J318" s="34"/>
      <c r="K318" s="34"/>
      <c r="L318" s="34"/>
      <c r="M318" s="188"/>
      <c r="N318" s="188"/>
      <c r="O318" s="188"/>
      <c r="P318" s="34"/>
      <c r="Q318" s="304"/>
      <c r="R318" s="34"/>
      <c r="S318" s="34"/>
      <c r="T318" s="34"/>
      <c r="U318" s="105"/>
      <c r="V318" s="105"/>
    </row>
    <row r="319" spans="1:22" ht="12.75">
      <c r="A319" s="309"/>
      <c r="B319" s="309"/>
      <c r="C319" s="34"/>
      <c r="D319" s="34"/>
      <c r="E319" s="35"/>
      <c r="F319" s="34"/>
      <c r="G319" s="34"/>
      <c r="H319" s="65"/>
      <c r="I319" s="105"/>
      <c r="J319" s="34"/>
      <c r="K319" s="34"/>
      <c r="L319" s="34"/>
      <c r="M319" s="188"/>
      <c r="N319" s="188"/>
      <c r="O319" s="188"/>
      <c r="P319" s="34"/>
      <c r="Q319" s="304"/>
      <c r="R319" s="34"/>
      <c r="S319" s="34"/>
      <c r="T319" s="34"/>
      <c r="U319" s="105"/>
      <c r="V319" s="105"/>
    </row>
    <row r="320" spans="1:22" ht="12.75">
      <c r="A320" s="309"/>
      <c r="B320" s="309"/>
      <c r="C320" s="34"/>
      <c r="D320" s="34"/>
      <c r="E320" s="35"/>
      <c r="F320" s="34"/>
      <c r="G320" s="34"/>
      <c r="H320" s="65"/>
      <c r="I320" s="105"/>
      <c r="J320" s="34"/>
      <c r="K320" s="34"/>
      <c r="L320" s="34"/>
      <c r="M320" s="188"/>
      <c r="N320" s="188"/>
      <c r="O320" s="188"/>
      <c r="P320" s="34"/>
      <c r="Q320" s="304"/>
      <c r="R320" s="34"/>
      <c r="S320" s="34"/>
      <c r="T320" s="34"/>
      <c r="U320" s="105"/>
      <c r="V320" s="105"/>
    </row>
    <row r="321" spans="1:22" ht="12.75">
      <c r="A321" s="309"/>
      <c r="B321" s="309"/>
      <c r="C321" s="34"/>
      <c r="D321" s="34"/>
      <c r="E321" s="35"/>
      <c r="F321" s="34"/>
      <c r="G321" s="34"/>
      <c r="H321" s="65"/>
      <c r="I321" s="105"/>
      <c r="J321" s="34"/>
      <c r="K321" s="34"/>
      <c r="L321" s="34"/>
      <c r="M321" s="188"/>
      <c r="N321" s="188"/>
      <c r="O321" s="188"/>
      <c r="P321" s="34"/>
      <c r="Q321" s="304"/>
      <c r="R321" s="34"/>
      <c r="S321" s="34"/>
      <c r="T321" s="34"/>
      <c r="U321" s="105"/>
      <c r="V321" s="105"/>
    </row>
    <row r="322" spans="1:22" ht="12.75">
      <c r="A322" s="309"/>
      <c r="B322" s="309"/>
      <c r="C322" s="34"/>
      <c r="D322" s="34"/>
      <c r="E322" s="35"/>
      <c r="F322" s="34"/>
      <c r="G322" s="34"/>
      <c r="H322" s="65"/>
      <c r="I322" s="105"/>
      <c r="J322" s="34"/>
      <c r="K322" s="34"/>
      <c r="L322" s="34"/>
      <c r="M322" s="188"/>
      <c r="N322" s="188"/>
      <c r="O322" s="188"/>
      <c r="P322" s="34"/>
      <c r="Q322" s="304"/>
      <c r="R322" s="34"/>
      <c r="S322" s="34"/>
      <c r="T322" s="34"/>
      <c r="U322" s="105"/>
      <c r="V322" s="105"/>
    </row>
    <row r="323" spans="1:22" ht="12.75">
      <c r="A323" s="309"/>
      <c r="B323" s="309"/>
      <c r="C323" s="34"/>
      <c r="D323" s="34"/>
      <c r="E323" s="35"/>
      <c r="F323" s="34"/>
      <c r="G323" s="34"/>
      <c r="H323" s="65"/>
      <c r="I323" s="105"/>
      <c r="J323" s="34"/>
      <c r="K323" s="34"/>
      <c r="L323" s="34"/>
      <c r="M323" s="188"/>
      <c r="N323" s="188"/>
      <c r="O323" s="188"/>
      <c r="P323" s="34"/>
      <c r="Q323" s="304"/>
      <c r="R323" s="34"/>
      <c r="S323" s="34"/>
      <c r="T323" s="34"/>
      <c r="U323" s="105"/>
      <c r="V323" s="105"/>
    </row>
    <row r="324" spans="1:22" ht="12.75">
      <c r="A324" s="309"/>
      <c r="B324" s="309"/>
      <c r="C324" s="34"/>
      <c r="D324" s="34"/>
      <c r="E324" s="35"/>
      <c r="F324" s="34"/>
      <c r="G324" s="34"/>
      <c r="H324" s="65"/>
      <c r="I324" s="105"/>
      <c r="J324" s="34"/>
      <c r="K324" s="34"/>
      <c r="L324" s="34"/>
      <c r="M324" s="188"/>
      <c r="N324" s="188"/>
      <c r="O324" s="188"/>
      <c r="P324" s="34"/>
      <c r="Q324" s="304"/>
      <c r="R324" s="34"/>
      <c r="S324" s="34"/>
      <c r="T324" s="34"/>
      <c r="U324" s="105"/>
      <c r="V324" s="105"/>
    </row>
    <row r="325" spans="1:22" ht="12.75">
      <c r="A325" s="309"/>
      <c r="B325" s="309"/>
      <c r="C325" s="34"/>
      <c r="D325" s="34"/>
      <c r="E325" s="35"/>
      <c r="F325" s="34"/>
      <c r="G325" s="34"/>
      <c r="H325" s="65"/>
      <c r="I325" s="105"/>
      <c r="J325" s="34"/>
      <c r="K325" s="34"/>
      <c r="L325" s="34"/>
      <c r="M325" s="188"/>
      <c r="N325" s="188"/>
      <c r="O325" s="188"/>
      <c r="P325" s="34"/>
      <c r="Q325" s="304"/>
      <c r="R325" s="34"/>
      <c r="S325" s="34"/>
      <c r="T325" s="34"/>
      <c r="U325" s="105"/>
      <c r="V325" s="105"/>
    </row>
    <row r="326" spans="1:22" ht="12.75">
      <c r="A326" s="309"/>
      <c r="B326" s="309"/>
      <c r="C326" s="34"/>
      <c r="D326" s="34"/>
      <c r="E326" s="35"/>
      <c r="F326" s="34"/>
      <c r="G326" s="34"/>
      <c r="H326" s="65"/>
      <c r="I326" s="105"/>
      <c r="J326" s="34"/>
      <c r="K326" s="34"/>
      <c r="L326" s="34"/>
      <c r="M326" s="188"/>
      <c r="N326" s="188"/>
      <c r="O326" s="188"/>
      <c r="P326" s="34"/>
      <c r="Q326" s="304"/>
      <c r="R326" s="34"/>
      <c r="S326" s="34"/>
      <c r="T326" s="34"/>
      <c r="U326" s="105"/>
      <c r="V326" s="105"/>
    </row>
    <row r="327" spans="1:22" ht="12.75">
      <c r="A327" s="309"/>
      <c r="B327" s="309"/>
      <c r="C327" s="34"/>
      <c r="D327" s="34"/>
      <c r="E327" s="35"/>
      <c r="F327" s="34"/>
      <c r="G327" s="34"/>
      <c r="H327" s="65"/>
      <c r="I327" s="105"/>
      <c r="J327" s="34"/>
      <c r="K327" s="34"/>
      <c r="L327" s="34"/>
      <c r="M327" s="188"/>
      <c r="N327" s="188"/>
      <c r="O327" s="188"/>
      <c r="P327" s="34"/>
      <c r="Q327" s="304"/>
      <c r="R327" s="34"/>
      <c r="S327" s="34"/>
      <c r="T327" s="34"/>
      <c r="U327" s="105"/>
      <c r="V327" s="105"/>
    </row>
    <row r="328" spans="1:22" ht="12.75">
      <c r="A328" s="309"/>
      <c r="B328" s="309"/>
      <c r="C328" s="34"/>
      <c r="D328" s="34"/>
      <c r="E328" s="35"/>
      <c r="F328" s="34"/>
      <c r="G328" s="34"/>
      <c r="H328" s="65"/>
      <c r="I328" s="105"/>
      <c r="J328" s="34"/>
      <c r="K328" s="34"/>
      <c r="L328" s="34"/>
      <c r="M328" s="188"/>
      <c r="N328" s="188"/>
      <c r="O328" s="188"/>
      <c r="P328" s="34"/>
      <c r="Q328" s="304"/>
      <c r="R328" s="34"/>
      <c r="S328" s="34"/>
      <c r="T328" s="34"/>
      <c r="U328" s="105"/>
      <c r="V328" s="105"/>
    </row>
    <row r="329" spans="1:22" ht="12.75">
      <c r="A329" s="309"/>
      <c r="B329" s="309"/>
      <c r="C329" s="34"/>
      <c r="D329" s="34"/>
      <c r="E329" s="35"/>
      <c r="F329" s="34"/>
      <c r="G329" s="34"/>
      <c r="H329" s="65"/>
      <c r="I329" s="105"/>
      <c r="J329" s="34"/>
      <c r="K329" s="34"/>
      <c r="L329" s="34"/>
      <c r="M329" s="188"/>
      <c r="N329" s="188"/>
      <c r="O329" s="188"/>
      <c r="P329" s="34"/>
      <c r="Q329" s="304"/>
      <c r="R329" s="34"/>
      <c r="S329" s="34"/>
      <c r="T329" s="34"/>
      <c r="U329" s="105"/>
      <c r="V329" s="105"/>
    </row>
    <row r="330" spans="1:22" ht="12.75">
      <c r="A330" s="309"/>
      <c r="B330" s="309"/>
      <c r="C330" s="34"/>
      <c r="D330" s="34"/>
      <c r="E330" s="35"/>
      <c r="F330" s="34"/>
      <c r="G330" s="34"/>
      <c r="H330" s="65"/>
      <c r="I330" s="105"/>
      <c r="J330" s="34"/>
      <c r="K330" s="34"/>
      <c r="L330" s="34"/>
      <c r="M330" s="188"/>
      <c r="N330" s="188"/>
      <c r="O330" s="188"/>
      <c r="P330" s="34"/>
      <c r="Q330" s="304"/>
      <c r="R330" s="34"/>
      <c r="S330" s="34"/>
      <c r="T330" s="34"/>
      <c r="U330" s="105"/>
      <c r="V330" s="105"/>
    </row>
    <row r="331" spans="1:22" ht="12.75">
      <c r="A331" s="309"/>
      <c r="B331" s="309"/>
      <c r="C331" s="34"/>
      <c r="D331" s="34"/>
      <c r="E331" s="35"/>
      <c r="F331" s="34"/>
      <c r="G331" s="34"/>
      <c r="H331" s="65"/>
      <c r="I331" s="105"/>
      <c r="J331" s="34"/>
      <c r="K331" s="34"/>
      <c r="L331" s="34"/>
      <c r="M331" s="188"/>
      <c r="N331" s="188"/>
      <c r="O331" s="188"/>
      <c r="P331" s="34"/>
      <c r="Q331" s="304"/>
      <c r="R331" s="34"/>
      <c r="S331" s="34"/>
      <c r="T331" s="34"/>
      <c r="U331" s="105"/>
      <c r="V331" s="105"/>
    </row>
    <row r="332" spans="1:22" ht="12.75">
      <c r="A332" s="309"/>
      <c r="B332" s="309"/>
      <c r="C332" s="34"/>
      <c r="D332" s="34"/>
      <c r="E332" s="35"/>
      <c r="F332" s="34"/>
      <c r="G332" s="34"/>
      <c r="H332" s="65"/>
      <c r="I332" s="105"/>
      <c r="J332" s="34"/>
      <c r="K332" s="34"/>
      <c r="L332" s="34"/>
      <c r="M332" s="188"/>
      <c r="N332" s="188"/>
      <c r="O332" s="188"/>
      <c r="P332" s="34"/>
      <c r="Q332" s="304"/>
      <c r="R332" s="34"/>
      <c r="S332" s="34"/>
      <c r="T332" s="34"/>
      <c r="U332" s="105"/>
      <c r="V332" s="105"/>
    </row>
    <row r="333" spans="1:22" ht="12.75">
      <c r="A333" s="309"/>
      <c r="B333" s="309"/>
      <c r="C333" s="34"/>
      <c r="D333" s="34"/>
      <c r="E333" s="35"/>
      <c r="F333" s="34"/>
      <c r="G333" s="34"/>
      <c r="H333" s="65"/>
      <c r="I333" s="105"/>
      <c r="J333" s="34"/>
      <c r="K333" s="34"/>
      <c r="L333" s="34"/>
      <c r="M333" s="188"/>
      <c r="N333" s="188"/>
      <c r="O333" s="188"/>
      <c r="P333" s="34"/>
      <c r="Q333" s="304"/>
      <c r="R333" s="34"/>
      <c r="S333" s="34"/>
      <c r="T333" s="34"/>
      <c r="U333" s="105"/>
      <c r="V333" s="105"/>
    </row>
    <row r="334" spans="1:22" ht="12.75">
      <c r="A334" s="309"/>
      <c r="B334" s="309"/>
      <c r="C334" s="34"/>
      <c r="D334" s="34"/>
      <c r="E334" s="35"/>
      <c r="F334" s="34"/>
      <c r="G334" s="34"/>
      <c r="H334" s="65"/>
      <c r="I334" s="105"/>
      <c r="J334" s="34"/>
      <c r="K334" s="34"/>
      <c r="L334" s="34"/>
      <c r="M334" s="188"/>
      <c r="N334" s="188"/>
      <c r="O334" s="188"/>
      <c r="P334" s="34"/>
      <c r="Q334" s="304"/>
      <c r="R334" s="34"/>
      <c r="S334" s="34"/>
      <c r="T334" s="34"/>
      <c r="U334" s="105"/>
      <c r="V334" s="105"/>
    </row>
    <row r="335" spans="1:22" ht="12.75">
      <c r="A335" s="309"/>
      <c r="B335" s="309"/>
      <c r="C335" s="34"/>
      <c r="D335" s="34"/>
      <c r="E335" s="35"/>
      <c r="F335" s="34"/>
      <c r="G335" s="34"/>
      <c r="H335" s="65"/>
      <c r="I335" s="105"/>
      <c r="J335" s="34"/>
      <c r="K335" s="34"/>
      <c r="L335" s="34"/>
      <c r="M335" s="188"/>
      <c r="N335" s="188"/>
      <c r="O335" s="188"/>
      <c r="P335" s="34"/>
      <c r="Q335" s="304"/>
      <c r="R335" s="34"/>
      <c r="S335" s="34"/>
      <c r="T335" s="34"/>
      <c r="U335" s="105"/>
      <c r="V335" s="105"/>
    </row>
    <row r="336" spans="1:22" ht="12.75">
      <c r="A336" s="309"/>
      <c r="B336" s="309"/>
      <c r="C336" s="34"/>
      <c r="D336" s="34"/>
      <c r="E336" s="35"/>
      <c r="F336" s="34"/>
      <c r="G336" s="34"/>
      <c r="H336" s="65"/>
      <c r="I336" s="105"/>
      <c r="J336" s="34"/>
      <c r="K336" s="34"/>
      <c r="L336" s="34"/>
      <c r="M336" s="188"/>
      <c r="N336" s="188"/>
      <c r="O336" s="188"/>
      <c r="P336" s="34"/>
      <c r="Q336" s="304"/>
      <c r="R336" s="34"/>
      <c r="S336" s="34"/>
      <c r="T336" s="34"/>
      <c r="U336" s="105"/>
      <c r="V336" s="105"/>
    </row>
    <row r="337" spans="1:22" ht="12.75">
      <c r="A337" s="309"/>
      <c r="B337" s="309"/>
      <c r="C337" s="34"/>
      <c r="D337" s="34"/>
      <c r="E337" s="35"/>
      <c r="F337" s="34"/>
      <c r="G337" s="34"/>
      <c r="H337" s="65"/>
      <c r="I337" s="105"/>
      <c r="J337" s="34"/>
      <c r="K337" s="34"/>
      <c r="L337" s="34"/>
      <c r="M337" s="188"/>
      <c r="N337" s="188"/>
      <c r="O337" s="188"/>
      <c r="P337" s="34"/>
      <c r="Q337" s="304"/>
      <c r="R337" s="34"/>
      <c r="S337" s="34"/>
      <c r="T337" s="34"/>
      <c r="U337" s="105"/>
      <c r="V337" s="105"/>
    </row>
    <row r="338" spans="1:22" ht="12.75">
      <c r="A338" s="309"/>
      <c r="B338" s="309"/>
      <c r="C338" s="34"/>
      <c r="D338" s="34"/>
      <c r="E338" s="35"/>
      <c r="F338" s="34"/>
      <c r="G338" s="34"/>
      <c r="H338" s="65"/>
      <c r="I338" s="105"/>
      <c r="J338" s="34"/>
      <c r="K338" s="34"/>
      <c r="L338" s="34"/>
      <c r="M338" s="188"/>
      <c r="N338" s="188"/>
      <c r="O338" s="188"/>
      <c r="P338" s="34"/>
      <c r="Q338" s="304"/>
      <c r="R338" s="34"/>
      <c r="S338" s="34"/>
      <c r="T338" s="34"/>
      <c r="U338" s="105"/>
      <c r="V338" s="105"/>
    </row>
    <row r="339" spans="1:22" ht="12.75">
      <c r="A339" s="309"/>
      <c r="B339" s="309"/>
      <c r="C339" s="34"/>
      <c r="D339" s="34"/>
      <c r="E339" s="35"/>
      <c r="F339" s="34"/>
      <c r="G339" s="34"/>
      <c r="H339" s="65"/>
      <c r="I339" s="105"/>
      <c r="J339" s="34"/>
      <c r="K339" s="34"/>
      <c r="L339" s="34"/>
      <c r="M339" s="188"/>
      <c r="N339" s="188"/>
      <c r="O339" s="188"/>
      <c r="P339" s="34"/>
      <c r="Q339" s="304"/>
      <c r="R339" s="34"/>
      <c r="S339" s="34"/>
      <c r="T339" s="34"/>
      <c r="U339" s="105"/>
      <c r="V339" s="105"/>
    </row>
    <row r="340" spans="1:22" ht="12.75">
      <c r="A340" s="309"/>
      <c r="B340" s="309"/>
      <c r="C340" s="34"/>
      <c r="D340" s="34"/>
      <c r="E340" s="35"/>
      <c r="F340" s="34"/>
      <c r="G340" s="34"/>
      <c r="H340" s="65"/>
      <c r="I340" s="105"/>
      <c r="J340" s="34"/>
      <c r="K340" s="34"/>
      <c r="L340" s="34"/>
      <c r="M340" s="188"/>
      <c r="N340" s="188"/>
      <c r="O340" s="188"/>
      <c r="P340" s="34"/>
      <c r="Q340" s="304"/>
      <c r="R340" s="34"/>
      <c r="S340" s="34"/>
      <c r="T340" s="34"/>
      <c r="U340" s="105"/>
      <c r="V340" s="105"/>
    </row>
    <row r="341" spans="1:22" ht="12.75">
      <c r="A341" s="309"/>
      <c r="B341" s="309"/>
      <c r="C341" s="34"/>
      <c r="D341" s="34"/>
      <c r="E341" s="35"/>
      <c r="F341" s="34"/>
      <c r="G341" s="34"/>
      <c r="H341" s="65"/>
      <c r="I341" s="105"/>
      <c r="J341" s="34"/>
      <c r="K341" s="34"/>
      <c r="L341" s="34"/>
      <c r="M341" s="188"/>
      <c r="N341" s="188"/>
      <c r="O341" s="188"/>
      <c r="P341" s="34"/>
      <c r="Q341" s="304"/>
      <c r="R341" s="34"/>
      <c r="S341" s="34"/>
      <c r="T341" s="34"/>
      <c r="U341" s="105"/>
      <c r="V341" s="105"/>
    </row>
    <row r="342" spans="1:22" ht="12.75">
      <c r="A342" s="309"/>
      <c r="B342" s="309"/>
      <c r="C342" s="34"/>
      <c r="D342" s="34"/>
      <c r="E342" s="35"/>
      <c r="F342" s="34"/>
      <c r="G342" s="34"/>
      <c r="H342" s="65"/>
      <c r="I342" s="105"/>
      <c r="J342" s="34"/>
      <c r="K342" s="34"/>
      <c r="L342" s="34"/>
      <c r="M342" s="188"/>
      <c r="N342" s="188"/>
      <c r="O342" s="188"/>
      <c r="P342" s="34"/>
      <c r="Q342" s="304"/>
      <c r="R342" s="34"/>
      <c r="S342" s="34"/>
      <c r="T342" s="34"/>
      <c r="U342" s="105"/>
      <c r="V342" s="105"/>
    </row>
    <row r="343" spans="1:22" ht="12.75">
      <c r="A343" s="309"/>
      <c r="B343" s="309"/>
      <c r="C343" s="34"/>
      <c r="D343" s="34"/>
      <c r="E343" s="35"/>
      <c r="F343" s="34"/>
      <c r="G343" s="34"/>
      <c r="H343" s="65"/>
      <c r="I343" s="105"/>
      <c r="J343" s="34"/>
      <c r="K343" s="34"/>
      <c r="L343" s="34"/>
      <c r="M343" s="188"/>
      <c r="N343" s="188"/>
      <c r="O343" s="188"/>
      <c r="P343" s="34"/>
      <c r="Q343" s="304"/>
      <c r="R343" s="34"/>
      <c r="S343" s="34"/>
      <c r="T343" s="34"/>
      <c r="U343" s="105"/>
      <c r="V343" s="105"/>
    </row>
    <row r="344" spans="1:22" ht="12.75">
      <c r="A344" s="309"/>
      <c r="B344" s="309"/>
      <c r="C344" s="34"/>
      <c r="D344" s="34"/>
      <c r="E344" s="35"/>
      <c r="F344" s="34"/>
      <c r="G344" s="34"/>
      <c r="H344" s="65"/>
      <c r="I344" s="105"/>
      <c r="J344" s="34"/>
      <c r="K344" s="34"/>
      <c r="L344" s="34"/>
      <c r="M344" s="188"/>
      <c r="N344" s="188"/>
      <c r="O344" s="188"/>
      <c r="P344" s="34"/>
      <c r="Q344" s="304"/>
      <c r="R344" s="34"/>
      <c r="S344" s="34"/>
      <c r="T344" s="34"/>
      <c r="U344" s="105"/>
      <c r="V344" s="105"/>
    </row>
    <row r="345" spans="1:22" ht="12.75">
      <c r="A345" s="309"/>
      <c r="B345" s="309"/>
      <c r="C345" s="34"/>
      <c r="D345" s="34"/>
      <c r="E345" s="35"/>
      <c r="F345" s="34"/>
      <c r="G345" s="34"/>
      <c r="H345" s="65"/>
      <c r="I345" s="105"/>
      <c r="J345" s="34"/>
      <c r="K345" s="34"/>
      <c r="L345" s="34"/>
      <c r="M345" s="188"/>
      <c r="N345" s="188"/>
      <c r="O345" s="188"/>
      <c r="P345" s="34"/>
      <c r="Q345" s="304"/>
      <c r="R345" s="34"/>
      <c r="S345" s="34"/>
      <c r="T345" s="34"/>
      <c r="U345" s="105"/>
      <c r="V345" s="105"/>
    </row>
    <row r="346" spans="1:22" ht="12.75">
      <c r="A346" s="309"/>
      <c r="B346" s="309"/>
      <c r="C346" s="34"/>
      <c r="D346" s="34"/>
      <c r="E346" s="35"/>
      <c r="F346" s="34"/>
      <c r="G346" s="34"/>
      <c r="H346" s="65"/>
      <c r="I346" s="105"/>
      <c r="J346" s="34"/>
      <c r="K346" s="34"/>
      <c r="L346" s="34"/>
      <c r="M346" s="188"/>
      <c r="N346" s="188"/>
      <c r="O346" s="188"/>
      <c r="P346" s="34"/>
      <c r="Q346" s="304"/>
      <c r="R346" s="34"/>
      <c r="S346" s="34"/>
      <c r="T346" s="34"/>
      <c r="U346" s="105"/>
      <c r="V346" s="105"/>
    </row>
    <row r="347" spans="1:22" ht="12.75">
      <c r="A347" s="309"/>
      <c r="B347" s="309"/>
      <c r="C347" s="34"/>
      <c r="D347" s="34"/>
      <c r="E347" s="35"/>
      <c r="F347" s="34"/>
      <c r="G347" s="34"/>
      <c r="H347" s="65"/>
      <c r="I347" s="105"/>
      <c r="J347" s="34"/>
      <c r="K347" s="34"/>
      <c r="L347" s="34"/>
      <c r="M347" s="188"/>
      <c r="N347" s="188"/>
      <c r="O347" s="188"/>
      <c r="P347" s="34"/>
      <c r="Q347" s="304"/>
      <c r="R347" s="34"/>
      <c r="S347" s="34"/>
      <c r="T347" s="34"/>
      <c r="U347" s="105"/>
      <c r="V347" s="105"/>
    </row>
    <row r="348" spans="1:22" ht="12.75">
      <c r="A348" s="309"/>
      <c r="B348" s="309"/>
      <c r="C348" s="34"/>
      <c r="D348" s="34"/>
      <c r="E348" s="35"/>
      <c r="F348" s="34"/>
      <c r="G348" s="34"/>
      <c r="H348" s="65"/>
      <c r="I348" s="105"/>
      <c r="J348" s="34"/>
      <c r="K348" s="34"/>
      <c r="L348" s="34"/>
      <c r="M348" s="188"/>
      <c r="N348" s="188"/>
      <c r="O348" s="188"/>
      <c r="P348" s="34"/>
      <c r="Q348" s="304"/>
      <c r="R348" s="34"/>
      <c r="S348" s="34"/>
      <c r="T348" s="34"/>
      <c r="U348" s="105"/>
      <c r="V348" s="105"/>
    </row>
    <row r="349" spans="1:22" ht="12.75">
      <c r="A349" s="309"/>
      <c r="B349" s="309"/>
      <c r="C349" s="34"/>
      <c r="D349" s="34"/>
      <c r="E349" s="35"/>
      <c r="F349" s="34"/>
      <c r="G349" s="34"/>
      <c r="H349" s="65"/>
      <c r="I349" s="105"/>
      <c r="J349" s="34"/>
      <c r="K349" s="34"/>
      <c r="L349" s="34"/>
      <c r="M349" s="188"/>
      <c r="N349" s="188"/>
      <c r="O349" s="188"/>
      <c r="P349" s="34"/>
      <c r="Q349" s="304"/>
      <c r="R349" s="34"/>
      <c r="S349" s="34"/>
      <c r="T349" s="34"/>
      <c r="U349" s="105"/>
      <c r="V349" s="105"/>
    </row>
    <row r="350" spans="1:22" ht="12.75">
      <c r="A350" s="309"/>
      <c r="B350" s="309"/>
      <c r="C350" s="34"/>
      <c r="D350" s="34"/>
      <c r="E350" s="35"/>
      <c r="F350" s="34"/>
      <c r="G350" s="34"/>
      <c r="H350" s="65"/>
      <c r="I350" s="105"/>
      <c r="J350" s="34"/>
      <c r="K350" s="34"/>
      <c r="L350" s="34"/>
      <c r="M350" s="188"/>
      <c r="N350" s="188"/>
      <c r="O350" s="188"/>
      <c r="P350" s="34"/>
      <c r="Q350" s="304"/>
      <c r="R350" s="34"/>
      <c r="S350" s="34"/>
      <c r="T350" s="34"/>
      <c r="U350" s="105"/>
      <c r="V350" s="105"/>
    </row>
    <row r="351" spans="1:22" ht="12.75">
      <c r="A351" s="309"/>
      <c r="B351" s="309"/>
      <c r="C351" s="34"/>
      <c r="D351" s="34"/>
      <c r="E351" s="35"/>
      <c r="F351" s="34"/>
      <c r="G351" s="34"/>
      <c r="H351" s="65"/>
      <c r="I351" s="105"/>
      <c r="J351" s="34"/>
      <c r="K351" s="34"/>
      <c r="L351" s="34"/>
      <c r="M351" s="188"/>
      <c r="N351" s="188"/>
      <c r="O351" s="188"/>
      <c r="P351" s="34"/>
      <c r="Q351" s="304"/>
      <c r="R351" s="34"/>
      <c r="S351" s="34"/>
      <c r="T351" s="34"/>
      <c r="U351" s="105"/>
      <c r="V351" s="105"/>
    </row>
    <row r="352" spans="1:22" ht="12.75">
      <c r="A352" s="309"/>
      <c r="B352" s="309"/>
      <c r="C352" s="34"/>
      <c r="D352" s="34"/>
      <c r="E352" s="35"/>
      <c r="F352" s="34"/>
      <c r="G352" s="34"/>
      <c r="H352" s="65"/>
      <c r="I352" s="105"/>
      <c r="J352" s="34"/>
      <c r="K352" s="34"/>
      <c r="L352" s="34"/>
      <c r="M352" s="188"/>
      <c r="N352" s="188"/>
      <c r="O352" s="188"/>
      <c r="P352" s="34"/>
      <c r="Q352" s="304"/>
      <c r="R352" s="34"/>
      <c r="S352" s="34"/>
      <c r="T352" s="34"/>
      <c r="U352" s="105"/>
      <c r="V352" s="105"/>
    </row>
    <row r="353" spans="1:22" ht="12.75">
      <c r="A353" s="309"/>
      <c r="B353" s="309"/>
      <c r="C353" s="34"/>
      <c r="D353" s="34"/>
      <c r="E353" s="35"/>
      <c r="F353" s="34"/>
      <c r="G353" s="34"/>
      <c r="H353" s="65"/>
      <c r="I353" s="105"/>
      <c r="J353" s="34"/>
      <c r="K353" s="34"/>
      <c r="L353" s="34"/>
      <c r="M353" s="188"/>
      <c r="N353" s="188"/>
      <c r="O353" s="188"/>
      <c r="P353" s="34"/>
      <c r="Q353" s="304"/>
      <c r="R353" s="34"/>
      <c r="S353" s="34"/>
      <c r="T353" s="34"/>
      <c r="U353" s="105"/>
      <c r="V353" s="105"/>
    </row>
    <row r="354" spans="1:22" ht="12.75">
      <c r="A354" s="309"/>
      <c r="B354" s="309"/>
      <c r="C354" s="34"/>
      <c r="D354" s="34"/>
      <c r="E354" s="35"/>
      <c r="F354" s="34"/>
      <c r="G354" s="34"/>
      <c r="H354" s="65"/>
      <c r="I354" s="105"/>
      <c r="J354" s="34"/>
      <c r="K354" s="34"/>
      <c r="L354" s="34"/>
      <c r="M354" s="188"/>
      <c r="N354" s="188"/>
      <c r="O354" s="188"/>
      <c r="P354" s="34"/>
      <c r="Q354" s="304"/>
      <c r="R354" s="34"/>
      <c r="S354" s="34"/>
      <c r="T354" s="34"/>
      <c r="U354" s="105"/>
      <c r="V354" s="105"/>
    </row>
    <row r="355" spans="1:22" ht="12.75">
      <c r="A355" s="309"/>
      <c r="B355" s="309"/>
      <c r="C355" s="34"/>
      <c r="D355" s="34"/>
      <c r="E355" s="35"/>
      <c r="F355" s="34"/>
      <c r="G355" s="34"/>
      <c r="H355" s="65"/>
      <c r="I355" s="105"/>
      <c r="J355" s="34"/>
      <c r="K355" s="34"/>
      <c r="L355" s="34"/>
      <c r="M355" s="188"/>
      <c r="N355" s="188"/>
      <c r="O355" s="188"/>
      <c r="P355" s="34"/>
      <c r="Q355" s="304"/>
      <c r="R355" s="34"/>
      <c r="S355" s="34"/>
      <c r="T355" s="34"/>
      <c r="U355" s="105"/>
      <c r="V355" s="105"/>
    </row>
    <row r="356" spans="1:22" ht="12.75">
      <c r="A356" s="309"/>
      <c r="B356" s="309"/>
      <c r="C356" s="34"/>
      <c r="D356" s="34"/>
      <c r="E356" s="35"/>
      <c r="F356" s="34"/>
      <c r="G356" s="34"/>
      <c r="H356" s="65"/>
      <c r="I356" s="105"/>
      <c r="J356" s="34"/>
      <c r="K356" s="34"/>
      <c r="L356" s="34"/>
      <c r="M356" s="188"/>
      <c r="N356" s="188"/>
      <c r="O356" s="188"/>
      <c r="P356" s="34"/>
      <c r="Q356" s="304"/>
      <c r="R356" s="34"/>
      <c r="S356" s="34"/>
      <c r="T356" s="34"/>
      <c r="U356" s="105"/>
      <c r="V356" s="105"/>
    </row>
    <row r="357" spans="1:22" ht="12.75">
      <c r="A357" s="309"/>
      <c r="B357" s="309"/>
      <c r="C357" s="34"/>
      <c r="D357" s="34"/>
      <c r="E357" s="35"/>
      <c r="F357" s="34"/>
      <c r="G357" s="34"/>
      <c r="H357" s="65"/>
      <c r="I357" s="105"/>
      <c r="J357" s="34"/>
      <c r="K357" s="34"/>
      <c r="L357" s="34"/>
      <c r="M357" s="188"/>
      <c r="N357" s="188"/>
      <c r="O357" s="188"/>
      <c r="P357" s="34"/>
      <c r="Q357" s="304"/>
      <c r="R357" s="34"/>
      <c r="S357" s="34"/>
      <c r="T357" s="34"/>
      <c r="U357" s="105"/>
      <c r="V357" s="105"/>
    </row>
    <row r="358" spans="1:22" ht="12.75">
      <c r="A358" s="309"/>
      <c r="B358" s="309"/>
      <c r="C358" s="34"/>
      <c r="D358" s="34"/>
      <c r="E358" s="35"/>
      <c r="F358" s="34"/>
      <c r="G358" s="34"/>
      <c r="H358" s="65"/>
      <c r="I358" s="105"/>
      <c r="J358" s="34"/>
      <c r="K358" s="34"/>
      <c r="L358" s="34"/>
      <c r="M358" s="188"/>
      <c r="N358" s="188"/>
      <c r="O358" s="188"/>
      <c r="P358" s="34"/>
      <c r="Q358" s="304"/>
      <c r="R358" s="34"/>
      <c r="S358" s="34"/>
      <c r="T358" s="34"/>
      <c r="U358" s="105"/>
      <c r="V358" s="105"/>
    </row>
    <row r="359" spans="1:22" ht="12.75">
      <c r="A359" s="309"/>
      <c r="B359" s="309"/>
      <c r="C359" s="34"/>
      <c r="D359" s="34"/>
      <c r="E359" s="35"/>
      <c r="F359" s="34"/>
      <c r="G359" s="34"/>
      <c r="H359" s="65"/>
      <c r="I359" s="105"/>
      <c r="J359" s="34"/>
      <c r="K359" s="34"/>
      <c r="L359" s="34"/>
      <c r="M359" s="188"/>
      <c r="N359" s="188"/>
      <c r="O359" s="188"/>
      <c r="P359" s="34"/>
      <c r="Q359" s="304"/>
      <c r="R359" s="34"/>
      <c r="S359" s="34"/>
      <c r="T359" s="34"/>
      <c r="U359" s="105"/>
      <c r="V359" s="105"/>
    </row>
    <row r="360" spans="1:22" ht="12.75">
      <c r="A360" s="309"/>
      <c r="B360" s="309"/>
      <c r="C360" s="34"/>
      <c r="D360" s="34"/>
      <c r="E360" s="35"/>
      <c r="F360" s="34"/>
      <c r="G360" s="34"/>
      <c r="H360" s="65"/>
      <c r="I360" s="105"/>
      <c r="J360" s="34"/>
      <c r="K360" s="34"/>
      <c r="L360" s="34"/>
      <c r="M360" s="188"/>
      <c r="N360" s="188"/>
      <c r="O360" s="188"/>
      <c r="P360" s="34"/>
      <c r="Q360" s="304"/>
      <c r="R360" s="34"/>
      <c r="S360" s="34"/>
      <c r="T360" s="34"/>
      <c r="U360" s="105"/>
      <c r="V360" s="105"/>
    </row>
    <row r="361" spans="1:22" ht="12.75">
      <c r="A361" s="309"/>
      <c r="B361" s="309"/>
      <c r="C361" s="34"/>
      <c r="D361" s="34"/>
      <c r="E361" s="35"/>
      <c r="F361" s="34"/>
      <c r="G361" s="34"/>
      <c r="H361" s="65"/>
      <c r="I361" s="105"/>
      <c r="J361" s="34"/>
      <c r="K361" s="34"/>
      <c r="L361" s="34"/>
      <c r="M361" s="188"/>
      <c r="N361" s="188"/>
      <c r="O361" s="188"/>
      <c r="P361" s="34"/>
      <c r="Q361" s="304"/>
      <c r="R361" s="34"/>
      <c r="S361" s="34"/>
      <c r="T361" s="34"/>
      <c r="U361" s="105"/>
      <c r="V361" s="105"/>
    </row>
    <row r="362" spans="1:22" ht="12.75">
      <c r="A362" s="309"/>
      <c r="B362" s="309"/>
      <c r="C362" s="34"/>
      <c r="D362" s="34"/>
      <c r="E362" s="35"/>
      <c r="F362" s="34"/>
      <c r="G362" s="34"/>
      <c r="H362" s="65"/>
      <c r="I362" s="105"/>
      <c r="J362" s="34"/>
      <c r="K362" s="34"/>
      <c r="L362" s="34"/>
      <c r="M362" s="188"/>
      <c r="N362" s="188"/>
      <c r="O362" s="188"/>
      <c r="P362" s="34"/>
      <c r="Q362" s="304"/>
      <c r="R362" s="34"/>
      <c r="S362" s="34"/>
      <c r="T362" s="34"/>
      <c r="U362" s="105"/>
      <c r="V362" s="105"/>
    </row>
    <row r="363" spans="1:22" ht="12.75">
      <c r="A363" s="309"/>
      <c r="B363" s="309"/>
      <c r="C363" s="34"/>
      <c r="D363" s="34"/>
      <c r="E363" s="35"/>
      <c r="F363" s="34"/>
      <c r="G363" s="34"/>
      <c r="H363" s="65"/>
      <c r="I363" s="105"/>
      <c r="J363" s="34"/>
      <c r="K363" s="34"/>
      <c r="L363" s="34"/>
      <c r="M363" s="188"/>
      <c r="N363" s="188"/>
      <c r="O363" s="188"/>
      <c r="P363" s="34"/>
      <c r="Q363" s="304"/>
      <c r="R363" s="34"/>
      <c r="S363" s="34"/>
      <c r="T363" s="34"/>
      <c r="U363" s="105"/>
      <c r="V363" s="105"/>
    </row>
    <row r="364" spans="1:22" ht="12.75">
      <c r="A364" s="309"/>
      <c r="B364" s="309"/>
      <c r="C364" s="34"/>
      <c r="D364" s="34"/>
      <c r="E364" s="35"/>
      <c r="F364" s="34"/>
      <c r="G364" s="34"/>
      <c r="H364" s="65"/>
      <c r="I364" s="105"/>
      <c r="J364" s="34"/>
      <c r="K364" s="34"/>
      <c r="L364" s="34"/>
      <c r="M364" s="188"/>
      <c r="N364" s="188"/>
      <c r="O364" s="188"/>
      <c r="P364" s="34"/>
      <c r="Q364" s="304"/>
      <c r="R364" s="34"/>
      <c r="S364" s="34"/>
      <c r="T364" s="34"/>
      <c r="U364" s="105"/>
      <c r="V364" s="105"/>
    </row>
    <row r="365" spans="1:22" ht="12.75">
      <c r="A365" s="309"/>
      <c r="B365" s="309"/>
      <c r="C365" s="34"/>
      <c r="D365" s="34"/>
      <c r="E365" s="35"/>
      <c r="F365" s="34"/>
      <c r="G365" s="34"/>
      <c r="H365" s="65"/>
      <c r="I365" s="105"/>
      <c r="J365" s="34"/>
      <c r="K365" s="34"/>
      <c r="L365" s="34"/>
      <c r="M365" s="188"/>
      <c r="N365" s="188"/>
      <c r="O365" s="188"/>
      <c r="P365" s="34"/>
      <c r="Q365" s="304"/>
      <c r="R365" s="34"/>
      <c r="S365" s="34"/>
      <c r="T365" s="34"/>
      <c r="U365" s="105"/>
      <c r="V365" s="105"/>
    </row>
    <row r="366" spans="1:22" ht="12.75">
      <c r="A366" s="309"/>
      <c r="B366" s="309"/>
      <c r="C366" s="34"/>
      <c r="D366" s="34"/>
      <c r="E366" s="35"/>
      <c r="F366" s="34"/>
      <c r="G366" s="34"/>
      <c r="H366" s="65"/>
      <c r="I366" s="105"/>
      <c r="J366" s="34"/>
      <c r="K366" s="34"/>
      <c r="L366" s="34"/>
      <c r="M366" s="188"/>
      <c r="N366" s="188"/>
      <c r="O366" s="188"/>
      <c r="P366" s="34"/>
      <c r="Q366" s="304"/>
      <c r="R366" s="34"/>
      <c r="S366" s="34"/>
      <c r="T366" s="34"/>
      <c r="U366" s="105"/>
      <c r="V366" s="105"/>
    </row>
    <row r="367" spans="1:22" ht="12.75">
      <c r="A367" s="309"/>
      <c r="B367" s="309"/>
      <c r="C367" s="34"/>
      <c r="D367" s="34"/>
      <c r="E367" s="35"/>
      <c r="F367" s="34"/>
      <c r="G367" s="34"/>
      <c r="H367" s="65"/>
      <c r="I367" s="105"/>
      <c r="J367" s="34"/>
      <c r="K367" s="34"/>
      <c r="L367" s="34"/>
      <c r="M367" s="188"/>
      <c r="N367" s="188"/>
      <c r="O367" s="188"/>
      <c r="P367" s="34"/>
      <c r="Q367" s="304"/>
      <c r="R367" s="34"/>
      <c r="S367" s="34"/>
      <c r="T367" s="34"/>
      <c r="U367" s="105"/>
      <c r="V367" s="105"/>
    </row>
    <row r="368" spans="1:22" ht="12.75">
      <c r="A368" s="309"/>
      <c r="B368" s="309"/>
      <c r="C368" s="34"/>
      <c r="D368" s="34"/>
      <c r="E368" s="35"/>
      <c r="F368" s="34"/>
      <c r="G368" s="34"/>
      <c r="H368" s="65"/>
      <c r="I368" s="105"/>
      <c r="J368" s="34"/>
      <c r="K368" s="34"/>
      <c r="L368" s="34"/>
      <c r="M368" s="188"/>
      <c r="N368" s="188"/>
      <c r="O368" s="188"/>
      <c r="P368" s="34"/>
      <c r="Q368" s="304"/>
      <c r="R368" s="34"/>
      <c r="S368" s="34"/>
      <c r="T368" s="34"/>
      <c r="U368" s="105"/>
      <c r="V368" s="105"/>
    </row>
    <row r="369" spans="1:22" ht="12.75">
      <c r="A369" s="309"/>
      <c r="B369" s="309"/>
      <c r="C369" s="34"/>
      <c r="D369" s="34"/>
      <c r="E369" s="35"/>
      <c r="F369" s="34"/>
      <c r="G369" s="34"/>
      <c r="H369" s="65"/>
      <c r="I369" s="105"/>
      <c r="J369" s="34"/>
      <c r="K369" s="34"/>
      <c r="L369" s="34"/>
      <c r="M369" s="188"/>
      <c r="N369" s="188"/>
      <c r="O369" s="188"/>
      <c r="P369" s="34"/>
      <c r="Q369" s="304"/>
      <c r="R369" s="34"/>
      <c r="S369" s="34"/>
      <c r="T369" s="34"/>
      <c r="U369" s="105"/>
      <c r="V369" s="105"/>
    </row>
    <row r="370" spans="1:22" ht="12.75">
      <c r="A370" s="309"/>
      <c r="B370" s="309"/>
      <c r="C370" s="34"/>
      <c r="D370" s="34"/>
      <c r="E370" s="35"/>
      <c r="F370" s="34"/>
      <c r="G370" s="34"/>
      <c r="H370" s="65"/>
      <c r="I370" s="105"/>
      <c r="J370" s="34"/>
      <c r="K370" s="34"/>
      <c r="L370" s="34"/>
      <c r="M370" s="188"/>
      <c r="N370" s="188"/>
      <c r="O370" s="188"/>
      <c r="P370" s="34"/>
      <c r="Q370" s="304"/>
      <c r="R370" s="34"/>
      <c r="S370" s="34"/>
      <c r="T370" s="34"/>
      <c r="U370" s="105"/>
      <c r="V370" s="105"/>
    </row>
    <row r="371" spans="1:22" ht="12.75">
      <c r="A371" s="309"/>
      <c r="B371" s="309"/>
      <c r="C371" s="34"/>
      <c r="D371" s="34"/>
      <c r="E371" s="35"/>
      <c r="F371" s="34"/>
      <c r="G371" s="34"/>
      <c r="H371" s="65"/>
      <c r="I371" s="105"/>
      <c r="J371" s="34"/>
      <c r="K371" s="34"/>
      <c r="L371" s="34"/>
      <c r="M371" s="188"/>
      <c r="N371" s="188"/>
      <c r="O371" s="188"/>
      <c r="P371" s="34"/>
      <c r="Q371" s="304"/>
      <c r="R371" s="34"/>
      <c r="S371" s="34"/>
      <c r="T371" s="34"/>
      <c r="U371" s="105"/>
      <c r="V371" s="105"/>
    </row>
    <row r="372" spans="1:22" ht="12.75">
      <c r="A372" s="309"/>
      <c r="B372" s="309"/>
      <c r="C372" s="34"/>
      <c r="D372" s="34"/>
      <c r="E372" s="35"/>
      <c r="F372" s="34"/>
      <c r="G372" s="34"/>
      <c r="H372" s="65"/>
      <c r="I372" s="105"/>
      <c r="J372" s="34"/>
      <c r="K372" s="34"/>
      <c r="L372" s="34"/>
      <c r="M372" s="188"/>
      <c r="N372" s="188"/>
      <c r="O372" s="188"/>
      <c r="P372" s="34"/>
      <c r="Q372" s="304"/>
      <c r="R372" s="34"/>
      <c r="S372" s="34"/>
      <c r="T372" s="34"/>
      <c r="U372" s="105"/>
      <c r="V372" s="105"/>
    </row>
    <row r="373" spans="1:22" ht="12.75">
      <c r="A373" s="309"/>
      <c r="B373" s="309"/>
      <c r="C373" s="34"/>
      <c r="D373" s="34"/>
      <c r="E373" s="35"/>
      <c r="F373" s="34"/>
      <c r="G373" s="34"/>
      <c r="H373" s="65"/>
      <c r="I373" s="105"/>
      <c r="J373" s="34"/>
      <c r="K373" s="34"/>
      <c r="L373" s="34"/>
      <c r="M373" s="188"/>
      <c r="N373" s="188"/>
      <c r="O373" s="188"/>
      <c r="P373" s="34"/>
      <c r="Q373" s="304"/>
      <c r="R373" s="34"/>
      <c r="S373" s="34"/>
      <c r="T373" s="34"/>
      <c r="U373" s="105"/>
      <c r="V373" s="105"/>
    </row>
    <row r="374" spans="1:22" ht="12.75">
      <c r="A374" s="309"/>
      <c r="B374" s="309"/>
      <c r="C374" s="34"/>
      <c r="D374" s="34"/>
      <c r="E374" s="35"/>
      <c r="F374" s="34"/>
      <c r="G374" s="34"/>
      <c r="H374" s="65"/>
      <c r="I374" s="105"/>
      <c r="J374" s="34"/>
      <c r="K374" s="34"/>
      <c r="L374" s="34"/>
      <c r="M374" s="188"/>
      <c r="N374" s="188"/>
      <c r="O374" s="188"/>
      <c r="P374" s="34"/>
      <c r="Q374" s="304"/>
      <c r="R374" s="34"/>
      <c r="S374" s="34"/>
      <c r="T374" s="34"/>
      <c r="U374" s="105"/>
      <c r="V374" s="105"/>
    </row>
    <row r="375" spans="1:22" ht="12.75">
      <c r="A375" s="309"/>
      <c r="B375" s="309"/>
      <c r="C375" s="34"/>
      <c r="D375" s="34"/>
      <c r="E375" s="35"/>
      <c r="F375" s="34"/>
      <c r="G375" s="34"/>
      <c r="H375" s="65"/>
      <c r="I375" s="105"/>
      <c r="J375" s="34"/>
      <c r="K375" s="34"/>
      <c r="L375" s="34"/>
      <c r="M375" s="188"/>
      <c r="N375" s="188"/>
      <c r="O375" s="188"/>
      <c r="P375" s="34"/>
      <c r="Q375" s="304"/>
      <c r="R375" s="34"/>
      <c r="S375" s="34"/>
      <c r="T375" s="34"/>
      <c r="U375" s="105"/>
      <c r="V375" s="105"/>
    </row>
    <row r="376" spans="1:22" ht="12.75">
      <c r="A376" s="309"/>
      <c r="B376" s="309"/>
      <c r="C376" s="34"/>
      <c r="D376" s="34"/>
      <c r="E376" s="35"/>
      <c r="F376" s="34"/>
      <c r="G376" s="34"/>
      <c r="H376" s="65"/>
      <c r="I376" s="105"/>
      <c r="J376" s="34"/>
      <c r="K376" s="34"/>
      <c r="L376" s="34"/>
      <c r="M376" s="188"/>
      <c r="N376" s="188"/>
      <c r="O376" s="188"/>
      <c r="P376" s="34"/>
      <c r="Q376" s="304"/>
      <c r="R376" s="34"/>
      <c r="S376" s="34"/>
      <c r="T376" s="34"/>
      <c r="U376" s="105"/>
      <c r="V376" s="105"/>
    </row>
    <row r="377" spans="1:22" ht="12.75">
      <c r="A377" s="309"/>
      <c r="B377" s="309"/>
      <c r="C377" s="34"/>
      <c r="D377" s="34"/>
      <c r="E377" s="35"/>
      <c r="F377" s="34"/>
      <c r="G377" s="34"/>
      <c r="H377" s="65"/>
      <c r="I377" s="105"/>
      <c r="J377" s="34"/>
      <c r="K377" s="34"/>
      <c r="L377" s="34"/>
      <c r="M377" s="188"/>
      <c r="N377" s="188"/>
      <c r="O377" s="188"/>
      <c r="P377" s="34"/>
      <c r="Q377" s="304"/>
      <c r="R377" s="34"/>
      <c r="S377" s="34"/>
      <c r="T377" s="34"/>
      <c r="U377" s="105"/>
      <c r="V377" s="105"/>
    </row>
    <row r="378" spans="1:22" ht="12.75">
      <c r="A378" s="309"/>
      <c r="B378" s="309"/>
      <c r="C378" s="34"/>
      <c r="D378" s="34"/>
      <c r="E378" s="35"/>
      <c r="F378" s="34"/>
      <c r="G378" s="34"/>
      <c r="H378" s="65"/>
      <c r="I378" s="105"/>
      <c r="J378" s="34"/>
      <c r="K378" s="34"/>
      <c r="L378" s="34"/>
      <c r="M378" s="188"/>
      <c r="N378" s="188"/>
      <c r="O378" s="188"/>
      <c r="P378" s="34"/>
      <c r="Q378" s="304"/>
      <c r="R378" s="34"/>
      <c r="S378" s="34"/>
      <c r="T378" s="34"/>
      <c r="U378" s="105"/>
      <c r="V378" s="105"/>
    </row>
    <row r="379" spans="1:22" ht="12.75">
      <c r="A379" s="309"/>
      <c r="B379" s="309"/>
      <c r="C379" s="34"/>
      <c r="D379" s="34"/>
      <c r="E379" s="35"/>
      <c r="F379" s="34"/>
      <c r="G379" s="34"/>
      <c r="H379" s="65"/>
      <c r="I379" s="105"/>
      <c r="J379" s="34"/>
      <c r="K379" s="34"/>
      <c r="L379" s="34"/>
      <c r="M379" s="188"/>
      <c r="N379" s="188"/>
      <c r="O379" s="188"/>
      <c r="P379" s="34"/>
      <c r="Q379" s="304"/>
      <c r="R379" s="34"/>
      <c r="S379" s="34"/>
      <c r="T379" s="34"/>
      <c r="U379" s="105"/>
      <c r="V379" s="105"/>
    </row>
    <row r="380" spans="1:22" ht="12.75">
      <c r="A380" s="309"/>
      <c r="B380" s="309"/>
      <c r="C380" s="34"/>
      <c r="D380" s="34"/>
      <c r="E380" s="35"/>
      <c r="F380" s="34"/>
      <c r="G380" s="34"/>
      <c r="H380" s="65"/>
      <c r="I380" s="105"/>
      <c r="J380" s="34"/>
      <c r="K380" s="34"/>
      <c r="L380" s="34"/>
      <c r="M380" s="188"/>
      <c r="N380" s="188"/>
      <c r="O380" s="188"/>
      <c r="P380" s="34"/>
      <c r="Q380" s="304"/>
      <c r="R380" s="34"/>
      <c r="S380" s="34"/>
      <c r="T380" s="34"/>
      <c r="U380" s="105"/>
      <c r="V380" s="105"/>
    </row>
    <row r="381" spans="1:22" ht="12.75">
      <c r="A381" s="309"/>
      <c r="B381" s="309"/>
      <c r="C381" s="34"/>
      <c r="D381" s="34"/>
      <c r="E381" s="35"/>
      <c r="F381" s="34"/>
      <c r="G381" s="34"/>
      <c r="H381" s="65"/>
      <c r="I381" s="105"/>
      <c r="J381" s="34"/>
      <c r="K381" s="34"/>
      <c r="L381" s="34"/>
      <c r="M381" s="188"/>
      <c r="N381" s="188"/>
      <c r="O381" s="188"/>
      <c r="P381" s="34"/>
      <c r="Q381" s="304"/>
      <c r="R381" s="34"/>
      <c r="S381" s="34"/>
      <c r="T381" s="34"/>
      <c r="U381" s="105"/>
      <c r="V381" s="105"/>
    </row>
    <row r="382" spans="1:22" ht="12.75">
      <c r="A382" s="309"/>
      <c r="B382" s="309"/>
      <c r="C382" s="34"/>
      <c r="D382" s="34"/>
      <c r="E382" s="35"/>
      <c r="F382" s="34"/>
      <c r="G382" s="34"/>
      <c r="H382" s="65"/>
      <c r="I382" s="105"/>
      <c r="J382" s="34"/>
      <c r="K382" s="34"/>
      <c r="L382" s="34"/>
      <c r="M382" s="188"/>
      <c r="N382" s="188"/>
      <c r="O382" s="188"/>
      <c r="P382" s="34"/>
      <c r="Q382" s="304"/>
      <c r="R382" s="34"/>
      <c r="S382" s="34"/>
      <c r="T382" s="34"/>
      <c r="U382" s="105"/>
      <c r="V382" s="105"/>
    </row>
    <row r="383" spans="1:22" ht="12.75">
      <c r="A383" s="309"/>
      <c r="B383" s="309"/>
      <c r="C383" s="34"/>
      <c r="D383" s="34"/>
      <c r="E383" s="35"/>
      <c r="F383" s="34"/>
      <c r="G383" s="34"/>
      <c r="H383" s="65"/>
      <c r="I383" s="105"/>
      <c r="J383" s="34"/>
      <c r="K383" s="34"/>
      <c r="L383" s="34"/>
      <c r="M383" s="188"/>
      <c r="N383" s="188"/>
      <c r="O383" s="188"/>
      <c r="P383" s="34"/>
      <c r="Q383" s="304"/>
      <c r="R383" s="34"/>
      <c r="S383" s="34"/>
      <c r="T383" s="34"/>
      <c r="U383" s="105"/>
      <c r="V383" s="105"/>
    </row>
    <row r="384" spans="1:22" ht="12.75">
      <c r="A384" s="309"/>
      <c r="B384" s="309"/>
      <c r="C384" s="34"/>
      <c r="D384" s="34"/>
      <c r="E384" s="35"/>
      <c r="F384" s="34"/>
      <c r="G384" s="34"/>
      <c r="H384" s="65"/>
      <c r="I384" s="105"/>
      <c r="J384" s="34"/>
      <c r="K384" s="34"/>
      <c r="L384" s="34"/>
      <c r="M384" s="188"/>
      <c r="N384" s="188"/>
      <c r="O384" s="188"/>
      <c r="P384" s="34"/>
      <c r="Q384" s="304"/>
      <c r="R384" s="34"/>
      <c r="S384" s="34"/>
      <c r="T384" s="34"/>
      <c r="U384" s="105"/>
      <c r="V384" s="105"/>
    </row>
    <row r="385" spans="1:22" ht="12.75">
      <c r="A385" s="309"/>
      <c r="B385" s="309"/>
      <c r="C385" s="34"/>
      <c r="D385" s="34"/>
      <c r="E385" s="35"/>
      <c r="F385" s="34"/>
      <c r="G385" s="34"/>
      <c r="H385" s="65"/>
      <c r="I385" s="105"/>
      <c r="J385" s="34"/>
      <c r="K385" s="34"/>
      <c r="L385" s="34"/>
      <c r="M385" s="188"/>
      <c r="N385" s="188"/>
      <c r="O385" s="188"/>
      <c r="P385" s="34"/>
      <c r="Q385" s="304"/>
      <c r="R385" s="34"/>
      <c r="S385" s="34"/>
      <c r="T385" s="34"/>
      <c r="U385" s="105"/>
      <c r="V385" s="105"/>
    </row>
    <row r="386" spans="1:22" ht="12.75">
      <c r="A386" s="309"/>
      <c r="B386" s="309"/>
      <c r="C386" s="34"/>
      <c r="D386" s="34"/>
      <c r="E386" s="35"/>
      <c r="F386" s="34"/>
      <c r="G386" s="34"/>
      <c r="H386" s="65"/>
      <c r="I386" s="105"/>
      <c r="J386" s="34"/>
      <c r="K386" s="34"/>
      <c r="L386" s="34"/>
      <c r="M386" s="188"/>
      <c r="N386" s="188"/>
      <c r="O386" s="188"/>
      <c r="P386" s="34"/>
      <c r="Q386" s="304"/>
      <c r="R386" s="34"/>
      <c r="S386" s="34"/>
      <c r="T386" s="34"/>
      <c r="U386" s="105"/>
      <c r="V386" s="105"/>
    </row>
    <row r="387" spans="1:22" ht="12.75">
      <c r="A387" s="309"/>
      <c r="B387" s="309"/>
      <c r="C387" s="34"/>
      <c r="D387" s="34"/>
      <c r="E387" s="35"/>
      <c r="F387" s="34"/>
      <c r="G387" s="34"/>
      <c r="H387" s="65"/>
      <c r="I387" s="105"/>
      <c r="J387" s="34"/>
      <c r="K387" s="34"/>
      <c r="L387" s="34"/>
      <c r="M387" s="188"/>
      <c r="N387" s="188"/>
      <c r="O387" s="188"/>
      <c r="P387" s="34"/>
      <c r="Q387" s="304"/>
      <c r="R387" s="34"/>
      <c r="S387" s="34"/>
      <c r="T387" s="34"/>
      <c r="U387" s="105"/>
      <c r="V387" s="105"/>
    </row>
    <row r="388" spans="1:22" ht="12.75">
      <c r="A388" s="309"/>
      <c r="B388" s="309"/>
      <c r="C388" s="34"/>
      <c r="D388" s="34"/>
      <c r="E388" s="35"/>
      <c r="F388" s="34"/>
      <c r="G388" s="34"/>
      <c r="H388" s="65"/>
      <c r="I388" s="105"/>
      <c r="J388" s="34"/>
      <c r="K388" s="34"/>
      <c r="L388" s="34"/>
      <c r="M388" s="188"/>
      <c r="N388" s="188"/>
      <c r="O388" s="188"/>
      <c r="P388" s="34"/>
      <c r="Q388" s="304"/>
      <c r="R388" s="34"/>
      <c r="S388" s="34"/>
      <c r="T388" s="34"/>
      <c r="U388" s="105"/>
      <c r="V388" s="105"/>
    </row>
    <row r="389" spans="1:22" ht="12.75">
      <c r="A389" s="309"/>
      <c r="B389" s="309"/>
      <c r="C389" s="34"/>
      <c r="D389" s="34"/>
      <c r="E389" s="35"/>
      <c r="F389" s="34"/>
      <c r="G389" s="34"/>
      <c r="H389" s="65"/>
      <c r="I389" s="105"/>
      <c r="J389" s="34"/>
      <c r="K389" s="34"/>
      <c r="L389" s="34"/>
      <c r="M389" s="188"/>
      <c r="N389" s="188"/>
      <c r="O389" s="188"/>
      <c r="P389" s="34"/>
      <c r="Q389" s="304"/>
      <c r="R389" s="34"/>
      <c r="S389" s="34"/>
      <c r="T389" s="34"/>
      <c r="U389" s="105"/>
      <c r="V389" s="105"/>
    </row>
    <row r="390" spans="1:22" ht="12.75">
      <c r="A390" s="309"/>
      <c r="B390" s="309"/>
      <c r="C390" s="34"/>
      <c r="D390" s="34"/>
      <c r="E390" s="35"/>
      <c r="F390" s="34"/>
      <c r="G390" s="34"/>
      <c r="H390" s="65"/>
      <c r="I390" s="105"/>
      <c r="J390" s="34"/>
      <c r="K390" s="34"/>
      <c r="L390" s="34"/>
      <c r="M390" s="188"/>
      <c r="N390" s="188"/>
      <c r="O390" s="188"/>
      <c r="P390" s="34"/>
      <c r="Q390" s="304"/>
      <c r="R390" s="34"/>
      <c r="S390" s="34"/>
      <c r="T390" s="34"/>
      <c r="U390" s="105"/>
      <c r="V390" s="105"/>
    </row>
    <row r="391" spans="1:22" ht="12.75">
      <c r="A391" s="309"/>
      <c r="B391" s="309"/>
      <c r="C391" s="34"/>
      <c r="D391" s="34"/>
      <c r="E391" s="35"/>
      <c r="F391" s="34"/>
      <c r="G391" s="34"/>
      <c r="H391" s="65"/>
      <c r="I391" s="105"/>
      <c r="J391" s="34"/>
      <c r="K391" s="34"/>
      <c r="L391" s="34"/>
      <c r="M391" s="188"/>
      <c r="N391" s="188"/>
      <c r="O391" s="188"/>
      <c r="P391" s="34"/>
      <c r="Q391" s="304"/>
      <c r="R391" s="34"/>
      <c r="S391" s="34"/>
      <c r="T391" s="34"/>
      <c r="U391" s="105"/>
      <c r="V391" s="105"/>
    </row>
    <row r="392" spans="1:22" ht="12.75">
      <c r="A392" s="309"/>
      <c r="B392" s="309"/>
      <c r="C392" s="34"/>
      <c r="D392" s="34"/>
      <c r="E392" s="35"/>
      <c r="F392" s="34"/>
      <c r="G392" s="34"/>
      <c r="H392" s="65"/>
      <c r="I392" s="105"/>
      <c r="J392" s="34"/>
      <c r="K392" s="34"/>
      <c r="L392" s="34"/>
      <c r="M392" s="188"/>
      <c r="N392" s="188"/>
      <c r="O392" s="188"/>
      <c r="P392" s="34"/>
      <c r="Q392" s="304"/>
      <c r="R392" s="34"/>
      <c r="S392" s="34"/>
      <c r="T392" s="34"/>
      <c r="U392" s="105"/>
      <c r="V392" s="105"/>
    </row>
    <row r="393" spans="1:22" ht="12.75">
      <c r="A393" s="309"/>
      <c r="B393" s="309"/>
      <c r="C393" s="34"/>
      <c r="D393" s="34"/>
      <c r="E393" s="35"/>
      <c r="F393" s="34"/>
      <c r="G393" s="34"/>
      <c r="H393" s="65"/>
      <c r="I393" s="105"/>
      <c r="J393" s="34"/>
      <c r="K393" s="34"/>
      <c r="L393" s="34"/>
      <c r="M393" s="188"/>
      <c r="N393" s="188"/>
      <c r="O393" s="188"/>
      <c r="P393" s="34"/>
      <c r="Q393" s="304"/>
      <c r="R393" s="34"/>
      <c r="S393" s="34"/>
      <c r="T393" s="34"/>
      <c r="U393" s="105"/>
      <c r="V393" s="105"/>
    </row>
    <row r="394" spans="1:22" ht="12.75">
      <c r="A394" s="309"/>
      <c r="B394" s="309"/>
      <c r="C394" s="34"/>
      <c r="D394" s="34"/>
      <c r="E394" s="35"/>
      <c r="F394" s="34"/>
      <c r="G394" s="34"/>
      <c r="H394" s="65"/>
      <c r="I394" s="105"/>
      <c r="J394" s="34"/>
      <c r="K394" s="34"/>
      <c r="L394" s="34"/>
      <c r="M394" s="188"/>
      <c r="N394" s="188"/>
      <c r="O394" s="188"/>
      <c r="P394" s="34"/>
      <c r="Q394" s="304"/>
      <c r="R394" s="34"/>
      <c r="S394" s="34"/>
      <c r="T394" s="34"/>
      <c r="U394" s="105"/>
      <c r="V394" s="105"/>
    </row>
    <row r="395" spans="1:22" ht="12.75">
      <c r="A395" s="309"/>
      <c r="B395" s="309"/>
      <c r="C395" s="34"/>
      <c r="D395" s="34"/>
      <c r="E395" s="35"/>
      <c r="F395" s="34"/>
      <c r="G395" s="34"/>
      <c r="H395" s="65"/>
      <c r="I395" s="105"/>
      <c r="J395" s="34"/>
      <c r="K395" s="34"/>
      <c r="L395" s="34"/>
      <c r="M395" s="188"/>
      <c r="N395" s="188"/>
      <c r="O395" s="188"/>
      <c r="P395" s="34"/>
      <c r="Q395" s="304"/>
      <c r="R395" s="34"/>
      <c r="S395" s="34"/>
      <c r="T395" s="34"/>
      <c r="U395" s="105"/>
      <c r="V395" s="105"/>
    </row>
    <row r="396" spans="1:22" ht="12.75">
      <c r="A396" s="309"/>
      <c r="B396" s="309"/>
      <c r="C396" s="34"/>
      <c r="D396" s="34"/>
      <c r="E396" s="35"/>
      <c r="F396" s="34"/>
      <c r="G396" s="34"/>
      <c r="H396" s="65"/>
      <c r="I396" s="105"/>
      <c r="J396" s="34"/>
      <c r="K396" s="34"/>
      <c r="L396" s="34"/>
      <c r="M396" s="188"/>
      <c r="N396" s="188"/>
      <c r="O396" s="188"/>
      <c r="P396" s="34"/>
      <c r="Q396" s="304"/>
      <c r="R396" s="34"/>
      <c r="S396" s="34"/>
      <c r="T396" s="34"/>
      <c r="U396" s="105"/>
      <c r="V396" s="105"/>
    </row>
    <row r="397" spans="1:22" ht="12.75">
      <c r="A397" s="309"/>
      <c r="B397" s="309"/>
      <c r="C397" s="34"/>
      <c r="D397" s="34"/>
      <c r="E397" s="35"/>
      <c r="F397" s="34"/>
      <c r="G397" s="34"/>
      <c r="H397" s="65"/>
      <c r="I397" s="105"/>
      <c r="J397" s="34"/>
      <c r="K397" s="34"/>
      <c r="L397" s="34"/>
      <c r="M397" s="188"/>
      <c r="N397" s="188"/>
      <c r="O397" s="188"/>
      <c r="P397" s="34"/>
      <c r="Q397" s="304"/>
      <c r="R397" s="34"/>
      <c r="S397" s="34"/>
      <c r="T397" s="34"/>
      <c r="U397" s="105"/>
      <c r="V397" s="105"/>
    </row>
    <row r="398" spans="1:22" ht="12.75">
      <c r="A398" s="309"/>
      <c r="B398" s="309"/>
      <c r="C398" s="34"/>
      <c r="D398" s="34"/>
      <c r="E398" s="35"/>
      <c r="F398" s="34"/>
      <c r="G398" s="34"/>
      <c r="H398" s="65"/>
      <c r="I398" s="105"/>
      <c r="J398" s="34"/>
      <c r="K398" s="34"/>
      <c r="L398" s="34"/>
      <c r="M398" s="188"/>
      <c r="N398" s="188"/>
      <c r="O398" s="188"/>
      <c r="P398" s="34"/>
      <c r="Q398" s="304"/>
      <c r="R398" s="34"/>
      <c r="S398" s="34"/>
      <c r="T398" s="34"/>
      <c r="U398" s="105"/>
      <c r="V398" s="105"/>
    </row>
    <row r="399" spans="1:22" ht="12.75">
      <c r="A399" s="309"/>
      <c r="B399" s="309"/>
      <c r="C399" s="34"/>
      <c r="D399" s="34"/>
      <c r="E399" s="35"/>
      <c r="F399" s="34"/>
      <c r="G399" s="34"/>
      <c r="H399" s="65"/>
      <c r="I399" s="105"/>
      <c r="J399" s="34"/>
      <c r="K399" s="34"/>
      <c r="L399" s="34"/>
      <c r="M399" s="188"/>
      <c r="N399" s="188"/>
      <c r="O399" s="188"/>
      <c r="P399" s="34"/>
      <c r="Q399" s="304"/>
      <c r="R399" s="34"/>
      <c r="S399" s="34"/>
      <c r="T399" s="34"/>
      <c r="U399" s="105"/>
      <c r="V399" s="105"/>
    </row>
    <row r="400" spans="1:22" ht="12.75">
      <c r="A400" s="309"/>
      <c r="B400" s="309"/>
      <c r="C400" s="34"/>
      <c r="D400" s="34"/>
      <c r="E400" s="35"/>
      <c r="F400" s="34"/>
      <c r="G400" s="34"/>
      <c r="H400" s="65"/>
      <c r="I400" s="105"/>
      <c r="J400" s="34"/>
      <c r="K400" s="34"/>
      <c r="L400" s="34"/>
      <c r="M400" s="188"/>
      <c r="N400" s="188"/>
      <c r="O400" s="188"/>
      <c r="P400" s="34"/>
      <c r="Q400" s="304"/>
      <c r="R400" s="34"/>
      <c r="S400" s="34"/>
      <c r="T400" s="34"/>
      <c r="U400" s="105"/>
      <c r="V400" s="105"/>
    </row>
    <row r="401" spans="1:22" ht="12.75">
      <c r="A401" s="309"/>
      <c r="B401" s="309"/>
      <c r="C401" s="34"/>
      <c r="D401" s="34"/>
      <c r="E401" s="35"/>
      <c r="F401" s="34"/>
      <c r="G401" s="34"/>
      <c r="H401" s="65"/>
      <c r="I401" s="105"/>
      <c r="J401" s="34"/>
      <c r="K401" s="34"/>
      <c r="L401" s="34"/>
      <c r="M401" s="188"/>
      <c r="N401" s="188"/>
      <c r="O401" s="188"/>
      <c r="P401" s="34"/>
      <c r="Q401" s="304"/>
      <c r="R401" s="34"/>
      <c r="S401" s="34"/>
      <c r="T401" s="34"/>
      <c r="U401" s="105"/>
      <c r="V401" s="105"/>
    </row>
    <row r="402" spans="1:22" ht="12.75">
      <c r="A402" s="309"/>
      <c r="B402" s="309"/>
      <c r="C402" s="34"/>
      <c r="D402" s="34"/>
      <c r="E402" s="35"/>
      <c r="F402" s="34"/>
      <c r="G402" s="34"/>
      <c r="H402" s="65"/>
      <c r="I402" s="105"/>
      <c r="J402" s="34"/>
      <c r="K402" s="34"/>
      <c r="L402" s="34"/>
      <c r="M402" s="188"/>
      <c r="N402" s="188"/>
      <c r="O402" s="188"/>
      <c r="P402" s="34"/>
      <c r="Q402" s="304"/>
      <c r="R402" s="34"/>
      <c r="S402" s="34"/>
      <c r="T402" s="34"/>
      <c r="U402" s="105"/>
      <c r="V402" s="105"/>
    </row>
    <row r="403" spans="1:22" ht="12.75">
      <c r="A403" s="309"/>
      <c r="B403" s="309"/>
      <c r="C403" s="34"/>
      <c r="D403" s="34"/>
      <c r="E403" s="35"/>
      <c r="F403" s="34"/>
      <c r="G403" s="34"/>
      <c r="H403" s="65"/>
      <c r="I403" s="105"/>
      <c r="J403" s="34"/>
      <c r="K403" s="34"/>
      <c r="L403" s="34"/>
      <c r="M403" s="188"/>
      <c r="N403" s="188"/>
      <c r="O403" s="188"/>
      <c r="P403" s="34"/>
      <c r="Q403" s="304"/>
      <c r="R403" s="34"/>
      <c r="S403" s="34"/>
      <c r="T403" s="34"/>
      <c r="U403" s="105"/>
      <c r="V403" s="105"/>
    </row>
    <row r="404" spans="1:22" ht="12.75">
      <c r="A404" s="309"/>
      <c r="B404" s="309"/>
      <c r="C404" s="34"/>
      <c r="D404" s="34"/>
      <c r="E404" s="35"/>
      <c r="F404" s="34"/>
      <c r="G404" s="34"/>
      <c r="H404" s="65"/>
      <c r="I404" s="105"/>
      <c r="J404" s="34"/>
      <c r="K404" s="34"/>
      <c r="L404" s="34"/>
      <c r="M404" s="188"/>
      <c r="N404" s="188"/>
      <c r="O404" s="188"/>
      <c r="P404" s="34"/>
      <c r="Q404" s="304"/>
      <c r="R404" s="34"/>
      <c r="S404" s="34"/>
      <c r="T404" s="34"/>
      <c r="U404" s="105"/>
      <c r="V404" s="105"/>
    </row>
    <row r="405" spans="1:22" ht="12.75">
      <c r="A405" s="309"/>
      <c r="B405" s="309"/>
      <c r="C405" s="34"/>
      <c r="D405" s="34"/>
      <c r="E405" s="35"/>
      <c r="F405" s="34"/>
      <c r="G405" s="34"/>
      <c r="H405" s="65"/>
      <c r="I405" s="105"/>
      <c r="J405" s="34"/>
      <c r="K405" s="34"/>
      <c r="L405" s="34"/>
      <c r="M405" s="188"/>
      <c r="N405" s="188"/>
      <c r="O405" s="188"/>
      <c r="P405" s="34"/>
      <c r="Q405" s="304"/>
      <c r="R405" s="34"/>
      <c r="S405" s="34"/>
      <c r="T405" s="34"/>
      <c r="U405" s="105"/>
      <c r="V405" s="105"/>
    </row>
    <row r="406" spans="1:22" ht="12.75">
      <c r="A406" s="309"/>
      <c r="B406" s="309"/>
      <c r="C406" s="34"/>
      <c r="D406" s="34"/>
      <c r="E406" s="35"/>
      <c r="F406" s="34"/>
      <c r="G406" s="34"/>
      <c r="H406" s="65"/>
      <c r="I406" s="105"/>
      <c r="J406" s="34"/>
      <c r="K406" s="34"/>
      <c r="L406" s="34"/>
      <c r="M406" s="188"/>
      <c r="N406" s="188"/>
      <c r="O406" s="188"/>
      <c r="P406" s="34"/>
      <c r="Q406" s="304"/>
      <c r="R406" s="34"/>
      <c r="S406" s="34"/>
      <c r="T406" s="34"/>
      <c r="U406" s="105"/>
      <c r="V406" s="105"/>
    </row>
    <row r="407" spans="1:22" ht="12.75">
      <c r="A407" s="309"/>
      <c r="B407" s="309"/>
      <c r="C407" s="34"/>
      <c r="D407" s="34"/>
      <c r="E407" s="35"/>
      <c r="F407" s="34"/>
      <c r="G407" s="34"/>
      <c r="H407" s="65"/>
      <c r="I407" s="105"/>
      <c r="J407" s="34"/>
      <c r="K407" s="34"/>
      <c r="L407" s="34"/>
      <c r="M407" s="188"/>
      <c r="N407" s="188"/>
      <c r="O407" s="188"/>
      <c r="P407" s="34"/>
      <c r="Q407" s="304"/>
      <c r="R407" s="34"/>
      <c r="S407" s="34"/>
      <c r="T407" s="34"/>
      <c r="U407" s="105"/>
      <c r="V407" s="105"/>
    </row>
    <row r="408" spans="1:22" ht="12.75">
      <c r="A408" s="309"/>
      <c r="B408" s="309"/>
      <c r="C408" s="34"/>
      <c r="D408" s="34"/>
      <c r="E408" s="35"/>
      <c r="F408" s="34"/>
      <c r="G408" s="34"/>
      <c r="H408" s="65"/>
      <c r="I408" s="105"/>
      <c r="J408" s="34"/>
      <c r="K408" s="34"/>
      <c r="L408" s="34"/>
      <c r="M408" s="188"/>
      <c r="N408" s="188"/>
      <c r="O408" s="188"/>
      <c r="P408" s="34"/>
      <c r="Q408" s="304"/>
      <c r="R408" s="34"/>
      <c r="S408" s="34"/>
      <c r="T408" s="34"/>
      <c r="U408" s="105"/>
      <c r="V408" s="105"/>
    </row>
    <row r="409" spans="1:22" ht="12.75">
      <c r="A409" s="309"/>
      <c r="B409" s="309"/>
      <c r="C409" s="34"/>
      <c r="D409" s="34"/>
      <c r="E409" s="35"/>
      <c r="F409" s="34"/>
      <c r="G409" s="34"/>
      <c r="H409" s="65"/>
      <c r="I409" s="105"/>
      <c r="J409" s="34"/>
      <c r="K409" s="34"/>
      <c r="L409" s="34"/>
      <c r="M409" s="188"/>
      <c r="N409" s="188"/>
      <c r="O409" s="188"/>
      <c r="P409" s="34"/>
      <c r="Q409" s="304"/>
      <c r="R409" s="34"/>
      <c r="S409" s="34"/>
      <c r="T409" s="34"/>
      <c r="U409" s="105"/>
      <c r="V409" s="105"/>
    </row>
    <row r="410" spans="1:22" ht="12.75">
      <c r="A410" s="309"/>
      <c r="B410" s="309"/>
      <c r="C410" s="34"/>
      <c r="D410" s="34"/>
      <c r="E410" s="35"/>
      <c r="F410" s="34"/>
      <c r="G410" s="34"/>
      <c r="H410" s="65"/>
      <c r="I410" s="105"/>
      <c r="J410" s="34"/>
      <c r="K410" s="34"/>
      <c r="L410" s="34"/>
      <c r="M410" s="188"/>
      <c r="N410" s="188"/>
      <c r="O410" s="188"/>
      <c r="P410" s="34"/>
      <c r="Q410" s="304"/>
      <c r="R410" s="34"/>
      <c r="S410" s="34"/>
      <c r="T410" s="34"/>
      <c r="U410" s="105"/>
      <c r="V410" s="105"/>
    </row>
    <row r="411" spans="1:22" ht="12.75">
      <c r="A411" s="309"/>
      <c r="B411" s="309"/>
      <c r="C411" s="34"/>
      <c r="D411" s="34"/>
      <c r="E411" s="35"/>
      <c r="F411" s="34"/>
      <c r="G411" s="34"/>
      <c r="H411" s="65"/>
      <c r="I411" s="105"/>
      <c r="J411" s="34"/>
      <c r="K411" s="34"/>
      <c r="L411" s="34"/>
      <c r="M411" s="188"/>
      <c r="N411" s="188"/>
      <c r="O411" s="188"/>
      <c r="P411" s="34"/>
      <c r="Q411" s="304"/>
      <c r="R411" s="34"/>
      <c r="S411" s="34"/>
      <c r="T411" s="34"/>
      <c r="U411" s="105"/>
      <c r="V411" s="105"/>
    </row>
    <row r="412" spans="1:22" ht="12.75">
      <c r="A412" s="309"/>
      <c r="B412" s="309"/>
      <c r="C412" s="34"/>
      <c r="D412" s="34"/>
      <c r="E412" s="35"/>
      <c r="F412" s="34"/>
      <c r="G412" s="34"/>
      <c r="H412" s="65"/>
      <c r="I412" s="105"/>
      <c r="J412" s="34"/>
      <c r="K412" s="34"/>
      <c r="L412" s="34"/>
      <c r="M412" s="188"/>
      <c r="N412" s="188"/>
      <c r="O412" s="188"/>
      <c r="P412" s="34"/>
      <c r="Q412" s="304"/>
      <c r="R412" s="34"/>
      <c r="S412" s="34"/>
      <c r="T412" s="34"/>
      <c r="U412" s="105"/>
      <c r="V412" s="105"/>
    </row>
    <row r="413" spans="1:22" ht="12.75">
      <c r="A413" s="309"/>
      <c r="B413" s="309"/>
      <c r="C413" s="34"/>
      <c r="D413" s="34"/>
      <c r="E413" s="35"/>
      <c r="F413" s="34"/>
      <c r="G413" s="34"/>
      <c r="H413" s="65"/>
      <c r="I413" s="105"/>
      <c r="J413" s="34"/>
      <c r="K413" s="34"/>
      <c r="L413" s="34"/>
      <c r="M413" s="188"/>
      <c r="N413" s="188"/>
      <c r="O413" s="188"/>
      <c r="P413" s="34"/>
      <c r="Q413" s="304"/>
      <c r="R413" s="34"/>
      <c r="S413" s="34"/>
      <c r="T413" s="34"/>
      <c r="U413" s="105"/>
      <c r="V413" s="105"/>
    </row>
    <row r="414" spans="1:22" ht="12.75">
      <c r="A414" s="309"/>
      <c r="B414" s="309"/>
      <c r="C414" s="34"/>
      <c r="D414" s="34"/>
      <c r="E414" s="35"/>
      <c r="F414" s="34"/>
      <c r="G414" s="34"/>
      <c r="H414" s="65"/>
      <c r="I414" s="105"/>
      <c r="J414" s="34"/>
      <c r="K414" s="34"/>
      <c r="L414" s="34"/>
      <c r="M414" s="188"/>
      <c r="N414" s="188"/>
      <c r="O414" s="188"/>
      <c r="P414" s="34"/>
      <c r="Q414" s="304"/>
      <c r="R414" s="34"/>
      <c r="S414" s="34"/>
      <c r="T414" s="34"/>
      <c r="U414" s="105"/>
      <c r="V414" s="105"/>
    </row>
    <row r="415" spans="1:22" ht="12.75">
      <c r="A415" s="309"/>
      <c r="B415" s="309"/>
      <c r="C415" s="34"/>
      <c r="D415" s="34"/>
      <c r="E415" s="35"/>
      <c r="F415" s="34"/>
      <c r="G415" s="34"/>
      <c r="H415" s="65"/>
      <c r="I415" s="105"/>
      <c r="J415" s="34"/>
      <c r="K415" s="34"/>
      <c r="L415" s="34"/>
      <c r="M415" s="188"/>
      <c r="N415" s="188"/>
      <c r="O415" s="188"/>
      <c r="P415" s="34"/>
      <c r="Q415" s="304"/>
      <c r="R415" s="34"/>
      <c r="S415" s="34"/>
      <c r="T415" s="34"/>
      <c r="U415" s="105"/>
      <c r="V415" s="105"/>
    </row>
    <row r="416" spans="1:22" ht="12.75">
      <c r="A416" s="309"/>
      <c r="B416" s="309"/>
      <c r="C416" s="34"/>
      <c r="D416" s="34"/>
      <c r="E416" s="35"/>
      <c r="F416" s="34"/>
      <c r="G416" s="34"/>
      <c r="H416" s="65"/>
      <c r="I416" s="105"/>
      <c r="J416" s="34"/>
      <c r="K416" s="34"/>
      <c r="L416" s="34"/>
      <c r="M416" s="188"/>
      <c r="N416" s="188"/>
      <c r="O416" s="188"/>
      <c r="P416" s="34"/>
      <c r="Q416" s="304"/>
      <c r="R416" s="34"/>
      <c r="S416" s="34"/>
      <c r="T416" s="34"/>
      <c r="U416" s="105"/>
      <c r="V416" s="105"/>
    </row>
    <row r="417" spans="1:22" ht="12.75">
      <c r="A417" s="309"/>
      <c r="B417" s="309"/>
      <c r="C417" s="34"/>
      <c r="D417" s="34"/>
      <c r="E417" s="35"/>
      <c r="F417" s="34"/>
      <c r="G417" s="34"/>
      <c r="H417" s="65"/>
      <c r="I417" s="105"/>
      <c r="J417" s="34"/>
      <c r="K417" s="34"/>
      <c r="L417" s="34"/>
      <c r="M417" s="188"/>
      <c r="N417" s="188"/>
      <c r="O417" s="188"/>
      <c r="P417" s="34"/>
      <c r="Q417" s="304"/>
      <c r="R417" s="34"/>
      <c r="S417" s="34"/>
      <c r="T417" s="34"/>
      <c r="U417" s="105"/>
      <c r="V417" s="105"/>
    </row>
    <row r="418" spans="1:22" ht="12.75">
      <c r="A418" s="309"/>
      <c r="B418" s="309"/>
      <c r="C418" s="34"/>
      <c r="D418" s="34"/>
      <c r="E418" s="35"/>
      <c r="F418" s="34"/>
      <c r="G418" s="34"/>
      <c r="H418" s="65"/>
      <c r="I418" s="105"/>
      <c r="J418" s="34"/>
      <c r="K418" s="34"/>
      <c r="L418" s="34"/>
      <c r="M418" s="188"/>
      <c r="N418" s="188"/>
      <c r="O418" s="188"/>
      <c r="P418" s="34"/>
      <c r="Q418" s="304"/>
      <c r="R418" s="34"/>
      <c r="S418" s="34"/>
      <c r="T418" s="34"/>
      <c r="U418" s="105"/>
      <c r="V418" s="105"/>
    </row>
    <row r="419" spans="1:22" ht="12.75">
      <c r="A419" s="309"/>
      <c r="B419" s="309"/>
      <c r="C419" s="34"/>
      <c r="D419" s="34"/>
      <c r="E419" s="35"/>
      <c r="F419" s="34"/>
      <c r="G419" s="34"/>
      <c r="H419" s="65"/>
      <c r="I419" s="105"/>
      <c r="J419" s="34"/>
      <c r="K419" s="34"/>
      <c r="L419" s="34"/>
      <c r="M419" s="188"/>
      <c r="N419" s="188"/>
      <c r="O419" s="188"/>
      <c r="P419" s="34"/>
      <c r="Q419" s="304"/>
      <c r="R419" s="34"/>
      <c r="S419" s="34"/>
      <c r="T419" s="34"/>
      <c r="U419" s="105"/>
      <c r="V419" s="105"/>
    </row>
    <row r="420" spans="1:22" ht="12.75">
      <c r="A420" s="309"/>
      <c r="B420" s="309"/>
      <c r="C420" s="34"/>
      <c r="D420" s="34"/>
      <c r="E420" s="35"/>
      <c r="F420" s="34"/>
      <c r="G420" s="34"/>
      <c r="H420" s="65"/>
      <c r="I420" s="105"/>
      <c r="J420" s="34"/>
      <c r="K420" s="34"/>
      <c r="L420" s="34"/>
      <c r="M420" s="188"/>
      <c r="N420" s="188"/>
      <c r="O420" s="188"/>
      <c r="P420" s="34"/>
      <c r="Q420" s="304"/>
      <c r="R420" s="34"/>
      <c r="S420" s="34"/>
      <c r="T420" s="34"/>
      <c r="U420" s="105"/>
      <c r="V420" s="105"/>
    </row>
    <row r="421" spans="1:22" ht="12.75">
      <c r="A421" s="309"/>
      <c r="B421" s="309"/>
      <c r="C421" s="34"/>
      <c r="D421" s="34"/>
      <c r="E421" s="35"/>
      <c r="F421" s="34"/>
      <c r="G421" s="34"/>
      <c r="H421" s="65"/>
      <c r="I421" s="105"/>
      <c r="J421" s="34"/>
      <c r="K421" s="34"/>
      <c r="L421" s="34"/>
      <c r="M421" s="188"/>
      <c r="N421" s="188"/>
      <c r="O421" s="188"/>
      <c r="P421" s="34"/>
      <c r="Q421" s="304"/>
      <c r="R421" s="34"/>
      <c r="S421" s="34"/>
      <c r="T421" s="34"/>
      <c r="U421" s="105"/>
      <c r="V421" s="105"/>
    </row>
    <row r="422" spans="1:22" ht="12.75">
      <c r="A422" s="309"/>
      <c r="B422" s="309"/>
      <c r="C422" s="34"/>
      <c r="D422" s="34"/>
      <c r="E422" s="35"/>
      <c r="F422" s="34"/>
      <c r="G422" s="34"/>
      <c r="H422" s="65"/>
      <c r="I422" s="105"/>
      <c r="J422" s="34"/>
      <c r="K422" s="34"/>
      <c r="L422" s="34"/>
      <c r="M422" s="188"/>
      <c r="N422" s="188"/>
      <c r="O422" s="188"/>
      <c r="P422" s="34"/>
      <c r="Q422" s="304"/>
      <c r="R422" s="34"/>
      <c r="S422" s="34"/>
      <c r="T422" s="34"/>
      <c r="U422" s="105"/>
      <c r="V422" s="105"/>
    </row>
    <row r="423" spans="1:22" ht="12.75">
      <c r="A423" s="309"/>
      <c r="B423" s="309"/>
      <c r="C423" s="34"/>
      <c r="D423" s="34"/>
      <c r="E423" s="35"/>
      <c r="F423" s="34"/>
      <c r="G423" s="34"/>
      <c r="H423" s="65"/>
      <c r="I423" s="105"/>
      <c r="J423" s="34"/>
      <c r="K423" s="34"/>
      <c r="L423" s="34"/>
      <c r="M423" s="188"/>
      <c r="N423" s="188"/>
      <c r="O423" s="188"/>
      <c r="P423" s="34"/>
      <c r="Q423" s="304"/>
      <c r="R423" s="34"/>
      <c r="S423" s="34"/>
      <c r="T423" s="34"/>
      <c r="U423" s="105"/>
      <c r="V423" s="105"/>
    </row>
    <row r="424" spans="1:22" ht="12.75">
      <c r="A424" s="309"/>
      <c r="B424" s="309"/>
      <c r="C424" s="34"/>
      <c r="D424" s="34"/>
      <c r="E424" s="35"/>
      <c r="F424" s="34"/>
      <c r="G424" s="34"/>
      <c r="H424" s="65"/>
      <c r="I424" s="105"/>
      <c r="J424" s="34"/>
      <c r="K424" s="34"/>
      <c r="L424" s="34"/>
      <c r="M424" s="188"/>
      <c r="N424" s="188"/>
      <c r="O424" s="188"/>
      <c r="P424" s="34"/>
      <c r="Q424" s="304"/>
      <c r="R424" s="34"/>
      <c r="S424" s="34"/>
      <c r="T424" s="34"/>
      <c r="U424" s="105"/>
      <c r="V424" s="105"/>
    </row>
    <row r="425" spans="1:22" ht="12.75">
      <c r="A425" s="309"/>
      <c r="B425" s="309"/>
      <c r="C425" s="34"/>
      <c r="D425" s="34"/>
      <c r="E425" s="35"/>
      <c r="F425" s="34"/>
      <c r="G425" s="34"/>
      <c r="H425" s="65"/>
      <c r="I425" s="105"/>
      <c r="J425" s="34"/>
      <c r="K425" s="34"/>
      <c r="L425" s="34"/>
      <c r="M425" s="188"/>
      <c r="N425" s="188"/>
      <c r="O425" s="188"/>
      <c r="P425" s="34"/>
      <c r="Q425" s="304"/>
      <c r="R425" s="34"/>
      <c r="S425" s="34"/>
      <c r="T425" s="34"/>
      <c r="U425" s="105"/>
      <c r="V425" s="105"/>
    </row>
    <row r="426" spans="1:22" ht="12.75">
      <c r="A426" s="309"/>
      <c r="B426" s="309"/>
      <c r="C426" s="34"/>
      <c r="D426" s="34"/>
      <c r="E426" s="35"/>
      <c r="F426" s="34"/>
      <c r="G426" s="34"/>
      <c r="H426" s="65"/>
      <c r="I426" s="105"/>
      <c r="J426" s="34"/>
      <c r="K426" s="34"/>
      <c r="L426" s="34"/>
      <c r="M426" s="188"/>
      <c r="N426" s="188"/>
      <c r="O426" s="188"/>
      <c r="P426" s="34"/>
      <c r="Q426" s="304"/>
      <c r="R426" s="34"/>
      <c r="S426" s="34"/>
      <c r="T426" s="34"/>
      <c r="U426" s="105"/>
      <c r="V426" s="105"/>
    </row>
    <row r="427" spans="1:22" ht="12.75">
      <c r="A427" s="309"/>
      <c r="B427" s="309"/>
      <c r="C427" s="34"/>
      <c r="D427" s="34"/>
      <c r="E427" s="35"/>
      <c r="F427" s="34"/>
      <c r="G427" s="34"/>
      <c r="H427" s="65"/>
      <c r="I427" s="105"/>
      <c r="J427" s="34"/>
      <c r="K427" s="34"/>
      <c r="L427" s="34"/>
      <c r="M427" s="188"/>
      <c r="N427" s="188"/>
      <c r="O427" s="188"/>
      <c r="P427" s="34"/>
      <c r="Q427" s="304"/>
      <c r="R427" s="34"/>
      <c r="S427" s="34"/>
      <c r="T427" s="34"/>
      <c r="U427" s="105"/>
      <c r="V427" s="105"/>
    </row>
    <row r="428" spans="1:22" ht="12.75">
      <c r="A428" s="309"/>
      <c r="B428" s="309"/>
      <c r="C428" s="34"/>
      <c r="D428" s="34"/>
      <c r="E428" s="35"/>
      <c r="F428" s="34"/>
      <c r="G428" s="34"/>
      <c r="H428" s="65"/>
      <c r="I428" s="105"/>
      <c r="J428" s="34"/>
      <c r="K428" s="34"/>
      <c r="L428" s="34"/>
      <c r="M428" s="188"/>
      <c r="N428" s="188"/>
      <c r="O428" s="188"/>
      <c r="P428" s="34"/>
      <c r="Q428" s="304"/>
      <c r="R428" s="34"/>
      <c r="S428" s="34"/>
      <c r="T428" s="34"/>
      <c r="U428" s="105"/>
      <c r="V428" s="105"/>
    </row>
    <row r="429" spans="1:22" ht="12.75">
      <c r="A429" s="309"/>
      <c r="B429" s="309"/>
      <c r="C429" s="34"/>
      <c r="D429" s="34"/>
      <c r="E429" s="35"/>
      <c r="F429" s="34"/>
      <c r="G429" s="34"/>
      <c r="H429" s="65"/>
      <c r="I429" s="105"/>
      <c r="J429" s="34"/>
      <c r="K429" s="34"/>
      <c r="L429" s="34"/>
      <c r="M429" s="188"/>
      <c r="N429" s="188"/>
      <c r="O429" s="188"/>
      <c r="P429" s="34"/>
      <c r="Q429" s="304"/>
      <c r="R429" s="34"/>
      <c r="S429" s="34"/>
      <c r="T429" s="34"/>
      <c r="U429" s="105"/>
      <c r="V429" s="105"/>
    </row>
    <row r="430" spans="1:22" ht="12.75">
      <c r="A430" s="309"/>
      <c r="B430" s="309"/>
      <c r="C430" s="34"/>
      <c r="D430" s="34"/>
      <c r="E430" s="35"/>
      <c r="F430" s="34"/>
      <c r="G430" s="34"/>
      <c r="H430" s="65"/>
      <c r="I430" s="105"/>
      <c r="J430" s="34"/>
      <c r="K430" s="34"/>
      <c r="L430" s="34"/>
      <c r="M430" s="188"/>
      <c r="N430" s="188"/>
      <c r="O430" s="188"/>
      <c r="P430" s="34"/>
      <c r="Q430" s="304"/>
      <c r="R430" s="34"/>
      <c r="S430" s="34"/>
      <c r="T430" s="34"/>
      <c r="U430" s="105"/>
      <c r="V430" s="105"/>
    </row>
    <row r="431" spans="1:22" ht="12.75">
      <c r="A431" s="309"/>
      <c r="B431" s="309"/>
      <c r="C431" s="34"/>
      <c r="D431" s="34"/>
      <c r="E431" s="35"/>
      <c r="F431" s="34"/>
      <c r="G431" s="34"/>
      <c r="H431" s="65"/>
      <c r="I431" s="105"/>
      <c r="J431" s="34"/>
      <c r="K431" s="34"/>
      <c r="L431" s="34"/>
      <c r="M431" s="188"/>
      <c r="N431" s="188"/>
      <c r="O431" s="188"/>
      <c r="P431" s="34"/>
      <c r="Q431" s="304"/>
      <c r="R431" s="34"/>
      <c r="S431" s="34"/>
      <c r="T431" s="34"/>
      <c r="U431" s="105"/>
      <c r="V431" s="105"/>
    </row>
    <row r="432" spans="1:22" ht="12.75">
      <c r="A432" s="309"/>
      <c r="B432" s="309"/>
      <c r="C432" s="34"/>
      <c r="D432" s="34"/>
      <c r="E432" s="35"/>
      <c r="F432" s="34"/>
      <c r="G432" s="34"/>
      <c r="H432" s="65"/>
      <c r="I432" s="105"/>
      <c r="J432" s="34"/>
      <c r="K432" s="34"/>
      <c r="L432" s="34"/>
      <c r="M432" s="188"/>
      <c r="N432" s="188"/>
      <c r="O432" s="188"/>
      <c r="P432" s="34"/>
      <c r="Q432" s="304"/>
      <c r="R432" s="34"/>
      <c r="S432" s="34"/>
      <c r="T432" s="34"/>
      <c r="U432" s="105"/>
      <c r="V432" s="105"/>
    </row>
    <row r="433" spans="1:22" ht="12.75">
      <c r="A433" s="309"/>
      <c r="B433" s="309"/>
      <c r="C433" s="34"/>
      <c r="D433" s="34"/>
      <c r="E433" s="35"/>
      <c r="F433" s="34"/>
      <c r="G433" s="34"/>
      <c r="H433" s="65"/>
      <c r="I433" s="105"/>
      <c r="J433" s="34"/>
      <c r="K433" s="34"/>
      <c r="L433" s="34"/>
      <c r="M433" s="188"/>
      <c r="N433" s="188"/>
      <c r="O433" s="188"/>
      <c r="P433" s="34"/>
      <c r="Q433" s="304"/>
      <c r="R433" s="34"/>
      <c r="S433" s="34"/>
      <c r="T433" s="34"/>
      <c r="U433" s="105"/>
      <c r="V433" s="105"/>
    </row>
    <row r="434" spans="1:22" ht="12.75">
      <c r="A434" s="309"/>
      <c r="B434" s="309"/>
      <c r="C434" s="34"/>
      <c r="D434" s="34"/>
      <c r="E434" s="35"/>
      <c r="F434" s="34"/>
      <c r="G434" s="34"/>
      <c r="H434" s="65"/>
      <c r="I434" s="105"/>
      <c r="J434" s="34"/>
      <c r="K434" s="34"/>
      <c r="L434" s="34"/>
      <c r="M434" s="188"/>
      <c r="N434" s="188"/>
      <c r="O434" s="188"/>
      <c r="P434" s="34"/>
      <c r="Q434" s="304"/>
      <c r="R434" s="34"/>
      <c r="S434" s="34"/>
      <c r="T434" s="34"/>
      <c r="U434" s="105"/>
      <c r="V434" s="105"/>
    </row>
    <row r="435" spans="1:22" ht="12.75">
      <c r="A435" s="309"/>
      <c r="B435" s="309"/>
      <c r="C435" s="34"/>
      <c r="D435" s="34"/>
      <c r="E435" s="35"/>
      <c r="F435" s="34"/>
      <c r="G435" s="34"/>
      <c r="H435" s="65"/>
      <c r="I435" s="105"/>
      <c r="J435" s="34"/>
      <c r="K435" s="34"/>
      <c r="L435" s="34"/>
      <c r="M435" s="188"/>
      <c r="N435" s="188"/>
      <c r="O435" s="188"/>
      <c r="P435" s="34"/>
      <c r="Q435" s="304"/>
      <c r="R435" s="34"/>
      <c r="S435" s="34"/>
      <c r="T435" s="34"/>
      <c r="U435" s="105"/>
      <c r="V435" s="105"/>
    </row>
    <row r="436" spans="1:22" ht="12.75">
      <c r="A436" s="309"/>
      <c r="B436" s="309"/>
      <c r="C436" s="34"/>
      <c r="D436" s="34"/>
      <c r="E436" s="35"/>
      <c r="F436" s="34"/>
      <c r="G436" s="34"/>
      <c r="H436" s="65"/>
      <c r="I436" s="105"/>
      <c r="J436" s="34"/>
      <c r="K436" s="34"/>
      <c r="L436" s="34"/>
      <c r="M436" s="188"/>
      <c r="N436" s="188"/>
      <c r="O436" s="188"/>
      <c r="P436" s="34"/>
      <c r="Q436" s="304"/>
      <c r="R436" s="34"/>
      <c r="S436" s="34"/>
      <c r="T436" s="34"/>
      <c r="U436" s="105"/>
      <c r="V436" s="105"/>
    </row>
    <row r="437" spans="1:22" ht="12.75">
      <c r="A437" s="309"/>
      <c r="B437" s="309"/>
      <c r="C437" s="34"/>
      <c r="D437" s="34"/>
      <c r="E437" s="35"/>
      <c r="F437" s="34"/>
      <c r="G437" s="34"/>
      <c r="H437" s="65"/>
      <c r="I437" s="105"/>
      <c r="J437" s="34"/>
      <c r="K437" s="34"/>
      <c r="L437" s="34"/>
      <c r="M437" s="188"/>
      <c r="N437" s="188"/>
      <c r="O437" s="188"/>
      <c r="P437" s="34"/>
      <c r="Q437" s="304"/>
      <c r="R437" s="34"/>
      <c r="S437" s="34"/>
      <c r="T437" s="34"/>
      <c r="U437" s="105"/>
      <c r="V437" s="105"/>
    </row>
    <row r="438" spans="1:22" ht="12.75">
      <c r="A438" s="309"/>
      <c r="B438" s="309"/>
      <c r="C438" s="34"/>
      <c r="D438" s="34"/>
      <c r="E438" s="35"/>
      <c r="F438" s="34"/>
      <c r="G438" s="34"/>
      <c r="H438" s="65"/>
      <c r="I438" s="105"/>
      <c r="J438" s="34"/>
      <c r="K438" s="34"/>
      <c r="L438" s="34"/>
      <c r="M438" s="188"/>
      <c r="N438" s="188"/>
      <c r="O438" s="188"/>
      <c r="P438" s="34"/>
      <c r="Q438" s="304"/>
      <c r="R438" s="34"/>
      <c r="S438" s="34"/>
      <c r="T438" s="34"/>
      <c r="U438" s="105"/>
      <c r="V438" s="105"/>
    </row>
    <row r="439" spans="1:22" ht="12.75">
      <c r="A439" s="309"/>
      <c r="B439" s="309"/>
      <c r="C439" s="34"/>
      <c r="D439" s="34"/>
      <c r="E439" s="35"/>
      <c r="F439" s="34"/>
      <c r="G439" s="34"/>
      <c r="H439" s="65"/>
      <c r="I439" s="105"/>
      <c r="J439" s="34"/>
      <c r="K439" s="34"/>
      <c r="L439" s="34"/>
      <c r="M439" s="188"/>
      <c r="N439" s="188"/>
      <c r="O439" s="188"/>
      <c r="P439" s="34"/>
      <c r="Q439" s="304"/>
      <c r="R439" s="34"/>
      <c r="S439" s="34"/>
      <c r="T439" s="34"/>
      <c r="U439" s="105"/>
      <c r="V439" s="105"/>
    </row>
    <row r="440" spans="1:22" ht="12.75">
      <c r="A440" s="309"/>
      <c r="B440" s="309"/>
      <c r="C440" s="34"/>
      <c r="D440" s="34"/>
      <c r="E440" s="35"/>
      <c r="F440" s="34"/>
      <c r="G440" s="34"/>
      <c r="H440" s="65"/>
      <c r="I440" s="105"/>
      <c r="J440" s="34"/>
      <c r="K440" s="34"/>
      <c r="L440" s="34"/>
      <c r="M440" s="188"/>
      <c r="N440" s="188"/>
      <c r="O440" s="188"/>
      <c r="P440" s="34"/>
      <c r="Q440" s="304"/>
      <c r="R440" s="34"/>
      <c r="S440" s="34"/>
      <c r="T440" s="34"/>
      <c r="U440" s="105"/>
      <c r="V440" s="105"/>
    </row>
    <row r="441" spans="1:22" ht="12.75">
      <c r="A441" s="309"/>
      <c r="B441" s="309"/>
      <c r="C441" s="34"/>
      <c r="D441" s="34"/>
      <c r="E441" s="35"/>
      <c r="F441" s="34"/>
      <c r="G441" s="34"/>
      <c r="H441" s="65"/>
      <c r="I441" s="105"/>
      <c r="J441" s="34"/>
      <c r="K441" s="34"/>
      <c r="L441" s="34"/>
      <c r="M441" s="188"/>
      <c r="N441" s="188"/>
      <c r="O441" s="188"/>
      <c r="P441" s="34"/>
      <c r="Q441" s="304"/>
      <c r="R441" s="34"/>
      <c r="S441" s="34"/>
      <c r="T441" s="34"/>
      <c r="U441" s="105"/>
      <c r="V441" s="105"/>
    </row>
    <row r="442" spans="1:22" ht="12.75">
      <c r="A442" s="309"/>
      <c r="B442" s="309"/>
      <c r="C442" s="34"/>
      <c r="D442" s="34"/>
      <c r="E442" s="35"/>
      <c r="F442" s="34"/>
      <c r="G442" s="34"/>
      <c r="H442" s="65"/>
      <c r="I442" s="105"/>
      <c r="J442" s="34"/>
      <c r="K442" s="34"/>
      <c r="L442" s="34"/>
      <c r="M442" s="188"/>
      <c r="N442" s="188"/>
      <c r="O442" s="188"/>
      <c r="P442" s="34"/>
      <c r="Q442" s="304"/>
      <c r="R442" s="34"/>
      <c r="S442" s="34"/>
      <c r="T442" s="34"/>
      <c r="U442" s="105"/>
      <c r="V442" s="105"/>
    </row>
    <row r="443" spans="1:22" ht="12.75">
      <c r="A443" s="309"/>
      <c r="B443" s="309"/>
      <c r="C443" s="34"/>
      <c r="D443" s="34"/>
      <c r="E443" s="35"/>
      <c r="F443" s="34"/>
      <c r="G443" s="34"/>
      <c r="H443" s="65"/>
      <c r="I443" s="105"/>
      <c r="J443" s="34"/>
      <c r="K443" s="34"/>
      <c r="L443" s="34"/>
      <c r="M443" s="188"/>
      <c r="N443" s="188"/>
      <c r="O443" s="188"/>
      <c r="P443" s="34"/>
      <c r="Q443" s="304"/>
      <c r="R443" s="34"/>
      <c r="S443" s="34"/>
      <c r="T443" s="34"/>
      <c r="U443" s="105"/>
      <c r="V443" s="105"/>
    </row>
    <row r="444" spans="1:22" ht="12.75">
      <c r="A444" s="309"/>
      <c r="B444" s="309"/>
      <c r="C444" s="34"/>
      <c r="D444" s="34"/>
      <c r="E444" s="35"/>
      <c r="F444" s="34"/>
      <c r="G444" s="34"/>
      <c r="H444" s="65"/>
      <c r="I444" s="105"/>
      <c r="J444" s="34"/>
      <c r="K444" s="34"/>
      <c r="L444" s="34"/>
      <c r="M444" s="188"/>
      <c r="N444" s="188"/>
      <c r="O444" s="188"/>
      <c r="P444" s="34"/>
      <c r="Q444" s="304"/>
      <c r="R444" s="34"/>
      <c r="S444" s="34"/>
      <c r="T444" s="34"/>
      <c r="U444" s="105"/>
      <c r="V444" s="105"/>
    </row>
    <row r="445" spans="1:22" ht="12.75">
      <c r="A445" s="309"/>
      <c r="B445" s="309"/>
      <c r="C445" s="34"/>
      <c r="D445" s="34"/>
      <c r="E445" s="35"/>
      <c r="F445" s="34"/>
      <c r="G445" s="34"/>
      <c r="H445" s="65"/>
      <c r="I445" s="105"/>
      <c r="J445" s="34"/>
      <c r="K445" s="34"/>
      <c r="L445" s="34"/>
      <c r="M445" s="188"/>
      <c r="N445" s="188"/>
      <c r="O445" s="188"/>
      <c r="P445" s="34"/>
      <c r="Q445" s="304"/>
      <c r="R445" s="34"/>
      <c r="S445" s="34"/>
      <c r="T445" s="34"/>
      <c r="U445" s="105"/>
      <c r="V445" s="105"/>
    </row>
    <row r="446" spans="1:22" ht="12.75">
      <c r="A446" s="309"/>
      <c r="B446" s="309"/>
      <c r="C446" s="34"/>
      <c r="D446" s="34"/>
      <c r="E446" s="35"/>
      <c r="F446" s="34"/>
      <c r="G446" s="34"/>
      <c r="H446" s="65"/>
      <c r="I446" s="105"/>
      <c r="J446" s="34"/>
      <c r="K446" s="34"/>
      <c r="L446" s="34"/>
      <c r="M446" s="188"/>
      <c r="N446" s="188"/>
      <c r="O446" s="188"/>
      <c r="P446" s="34"/>
      <c r="Q446" s="304"/>
      <c r="R446" s="34"/>
      <c r="S446" s="34"/>
      <c r="T446" s="34"/>
      <c r="U446" s="105"/>
      <c r="V446" s="105"/>
    </row>
    <row r="447" spans="1:22" ht="12.75">
      <c r="A447" s="309"/>
      <c r="B447" s="309"/>
      <c r="C447" s="34"/>
      <c r="D447" s="34"/>
      <c r="E447" s="35"/>
      <c r="F447" s="34"/>
      <c r="G447" s="34"/>
      <c r="H447" s="65"/>
      <c r="I447" s="105"/>
      <c r="J447" s="34"/>
      <c r="K447" s="34"/>
      <c r="L447" s="34"/>
      <c r="M447" s="188"/>
      <c r="N447" s="188"/>
      <c r="O447" s="188"/>
      <c r="P447" s="34"/>
      <c r="Q447" s="304"/>
      <c r="R447" s="34"/>
      <c r="S447" s="34"/>
      <c r="T447" s="34"/>
      <c r="U447" s="105"/>
      <c r="V447" s="105"/>
    </row>
    <row r="448" spans="1:22" ht="12.75">
      <c r="A448" s="309"/>
      <c r="B448" s="309"/>
      <c r="C448" s="34"/>
      <c r="D448" s="34"/>
      <c r="E448" s="35"/>
      <c r="F448" s="34"/>
      <c r="G448" s="34"/>
      <c r="H448" s="65"/>
      <c r="I448" s="105"/>
      <c r="J448" s="34"/>
      <c r="K448" s="34"/>
      <c r="L448" s="34"/>
      <c r="M448" s="188"/>
      <c r="N448" s="188"/>
      <c r="O448" s="188"/>
      <c r="P448" s="34"/>
      <c r="Q448" s="304"/>
      <c r="R448" s="34"/>
      <c r="S448" s="34"/>
      <c r="T448" s="34"/>
      <c r="U448" s="105"/>
      <c r="V448" s="105"/>
    </row>
    <row r="449" spans="1:22" ht="12.75">
      <c r="A449" s="309"/>
      <c r="B449" s="309"/>
      <c r="C449" s="34"/>
      <c r="D449" s="34"/>
      <c r="E449" s="35"/>
      <c r="F449" s="34"/>
      <c r="G449" s="34"/>
      <c r="H449" s="65"/>
      <c r="I449" s="105"/>
      <c r="J449" s="34"/>
      <c r="K449" s="34"/>
      <c r="L449" s="34"/>
      <c r="M449" s="188"/>
      <c r="N449" s="188"/>
      <c r="O449" s="188"/>
      <c r="P449" s="34"/>
      <c r="Q449" s="304"/>
      <c r="R449" s="34"/>
      <c r="S449" s="34"/>
      <c r="T449" s="34"/>
      <c r="U449" s="105"/>
      <c r="V449" s="105"/>
    </row>
    <row r="450" spans="1:22" ht="12.75">
      <c r="A450" s="309"/>
      <c r="B450" s="309"/>
      <c r="C450" s="34"/>
      <c r="D450" s="34"/>
      <c r="E450" s="35"/>
      <c r="F450" s="34"/>
      <c r="G450" s="34"/>
      <c r="H450" s="65"/>
      <c r="I450" s="105"/>
      <c r="J450" s="34"/>
      <c r="K450" s="34"/>
      <c r="L450" s="34"/>
      <c r="M450" s="188"/>
      <c r="N450" s="188"/>
      <c r="O450" s="188"/>
      <c r="P450" s="34"/>
      <c r="Q450" s="304"/>
      <c r="R450" s="34"/>
      <c r="S450" s="34"/>
      <c r="T450" s="34"/>
      <c r="U450" s="105"/>
      <c r="V450" s="105"/>
    </row>
    <row r="451" spans="1:22" ht="12.75">
      <c r="A451" s="309"/>
      <c r="B451" s="309"/>
      <c r="C451" s="34"/>
      <c r="D451" s="34"/>
      <c r="E451" s="35"/>
      <c r="F451" s="34"/>
      <c r="G451" s="34"/>
      <c r="H451" s="65"/>
      <c r="I451" s="105"/>
      <c r="J451" s="34"/>
      <c r="K451" s="34"/>
      <c r="L451" s="34"/>
      <c r="M451" s="188"/>
      <c r="N451" s="188"/>
      <c r="O451" s="188"/>
      <c r="P451" s="34"/>
      <c r="Q451" s="304"/>
      <c r="R451" s="34"/>
      <c r="S451" s="34"/>
      <c r="T451" s="34"/>
      <c r="U451" s="105"/>
      <c r="V451" s="105"/>
    </row>
    <row r="452" spans="1:22" ht="12.75">
      <c r="A452" s="309"/>
      <c r="B452" s="309"/>
      <c r="C452" s="34"/>
      <c r="D452" s="34"/>
      <c r="E452" s="35"/>
      <c r="F452" s="34"/>
      <c r="G452" s="34"/>
      <c r="H452" s="65"/>
      <c r="I452" s="105"/>
      <c r="J452" s="34"/>
      <c r="K452" s="34"/>
      <c r="L452" s="34"/>
      <c r="M452" s="188"/>
      <c r="N452" s="188"/>
      <c r="O452" s="188"/>
      <c r="P452" s="34"/>
      <c r="Q452" s="304"/>
      <c r="R452" s="34"/>
      <c r="S452" s="34"/>
      <c r="T452" s="34"/>
      <c r="U452" s="105"/>
      <c r="V452" s="105"/>
    </row>
    <row r="453" spans="1:22" ht="12.75">
      <c r="A453" s="309"/>
      <c r="B453" s="309"/>
      <c r="C453" s="34"/>
      <c r="D453" s="34"/>
      <c r="E453" s="35"/>
      <c r="F453" s="34"/>
      <c r="G453" s="34"/>
      <c r="H453" s="65"/>
      <c r="I453" s="105"/>
      <c r="J453" s="34"/>
      <c r="K453" s="34"/>
      <c r="L453" s="34"/>
      <c r="M453" s="188"/>
      <c r="N453" s="188"/>
      <c r="O453" s="188"/>
      <c r="P453" s="34"/>
      <c r="Q453" s="304"/>
      <c r="R453" s="34"/>
      <c r="S453" s="34"/>
      <c r="T453" s="34"/>
      <c r="U453" s="105"/>
      <c r="V453" s="105"/>
    </row>
    <row r="454" spans="1:22" ht="12.75">
      <c r="A454" s="309"/>
      <c r="B454" s="309"/>
      <c r="C454" s="34"/>
      <c r="D454" s="34"/>
      <c r="E454" s="35"/>
      <c r="F454" s="34"/>
      <c r="G454" s="34"/>
      <c r="H454" s="65"/>
      <c r="I454" s="105"/>
      <c r="J454" s="34"/>
      <c r="K454" s="34"/>
      <c r="L454" s="34"/>
      <c r="M454" s="188"/>
      <c r="N454" s="188"/>
      <c r="O454" s="188"/>
      <c r="P454" s="34"/>
      <c r="Q454" s="304"/>
      <c r="R454" s="34"/>
      <c r="S454" s="34"/>
      <c r="T454" s="34"/>
      <c r="U454" s="105"/>
      <c r="V454" s="105"/>
    </row>
    <row r="455" spans="1:22" ht="12.75">
      <c r="A455" s="309"/>
      <c r="B455" s="309"/>
      <c r="C455" s="34"/>
      <c r="D455" s="34"/>
      <c r="E455" s="35"/>
      <c r="F455" s="34"/>
      <c r="G455" s="34"/>
      <c r="H455" s="65"/>
      <c r="I455" s="105"/>
      <c r="J455" s="34"/>
      <c r="K455" s="34"/>
      <c r="L455" s="34"/>
      <c r="M455" s="188"/>
      <c r="N455" s="188"/>
      <c r="O455" s="188"/>
      <c r="P455" s="34"/>
      <c r="Q455" s="304"/>
      <c r="R455" s="34"/>
      <c r="S455" s="34"/>
      <c r="T455" s="34"/>
      <c r="U455" s="105"/>
      <c r="V455" s="105"/>
    </row>
    <row r="456" spans="1:22" ht="12.75">
      <c r="A456" s="309"/>
      <c r="B456" s="309"/>
      <c r="C456" s="34"/>
      <c r="D456" s="34"/>
      <c r="E456" s="35"/>
      <c r="F456" s="34"/>
      <c r="G456" s="34"/>
      <c r="H456" s="65"/>
      <c r="I456" s="105"/>
      <c r="J456" s="34"/>
      <c r="K456" s="34"/>
      <c r="L456" s="34"/>
      <c r="M456" s="188"/>
      <c r="N456" s="188"/>
      <c r="O456" s="188"/>
      <c r="P456" s="34"/>
      <c r="Q456" s="304"/>
      <c r="R456" s="34"/>
      <c r="S456" s="34"/>
      <c r="T456" s="34"/>
      <c r="U456" s="105"/>
      <c r="V456" s="105"/>
    </row>
    <row r="457" spans="1:22" ht="12.75">
      <c r="A457" s="309"/>
      <c r="B457" s="309"/>
      <c r="C457" s="34"/>
      <c r="D457" s="34"/>
      <c r="E457" s="35"/>
      <c r="F457" s="34"/>
      <c r="G457" s="34"/>
      <c r="H457" s="65"/>
      <c r="I457" s="105"/>
      <c r="J457" s="34"/>
      <c r="K457" s="34"/>
      <c r="L457" s="34"/>
      <c r="M457" s="188"/>
      <c r="N457" s="188"/>
      <c r="O457" s="188"/>
      <c r="P457" s="34"/>
      <c r="Q457" s="304"/>
      <c r="R457" s="34"/>
      <c r="S457" s="34"/>
      <c r="T457" s="34"/>
      <c r="U457" s="105"/>
      <c r="V457" s="105"/>
    </row>
    <row r="458" spans="1:22" ht="12.75">
      <c r="A458" s="309"/>
      <c r="B458" s="309"/>
      <c r="C458" s="34"/>
      <c r="D458" s="34"/>
      <c r="E458" s="35"/>
      <c r="F458" s="34"/>
      <c r="G458" s="34"/>
      <c r="H458" s="65"/>
      <c r="I458" s="105"/>
      <c r="J458" s="34"/>
      <c r="K458" s="34"/>
      <c r="L458" s="34"/>
      <c r="M458" s="188"/>
      <c r="N458" s="188"/>
      <c r="O458" s="188"/>
      <c r="P458" s="34"/>
      <c r="Q458" s="304"/>
      <c r="R458" s="34"/>
      <c r="S458" s="34"/>
      <c r="T458" s="34"/>
      <c r="U458" s="105"/>
      <c r="V458" s="105"/>
    </row>
    <row r="459" spans="1:22" ht="12.75">
      <c r="A459" s="309"/>
      <c r="B459" s="309"/>
      <c r="C459" s="34"/>
      <c r="D459" s="34"/>
      <c r="E459" s="35"/>
      <c r="F459" s="34"/>
      <c r="G459" s="34"/>
      <c r="H459" s="65"/>
      <c r="I459" s="105"/>
      <c r="J459" s="34"/>
      <c r="K459" s="34"/>
      <c r="L459" s="34"/>
      <c r="M459" s="188"/>
      <c r="N459" s="188"/>
      <c r="O459" s="188"/>
      <c r="P459" s="34"/>
      <c r="Q459" s="304"/>
      <c r="R459" s="34"/>
      <c r="S459" s="34"/>
      <c r="T459" s="34"/>
      <c r="U459" s="105"/>
      <c r="V459" s="105"/>
    </row>
    <row r="460" spans="1:22" ht="12.75">
      <c r="A460" s="309"/>
      <c r="B460" s="309"/>
      <c r="C460" s="34"/>
      <c r="D460" s="34"/>
      <c r="E460" s="35"/>
      <c r="F460" s="34"/>
      <c r="G460" s="34"/>
      <c r="H460" s="65"/>
      <c r="I460" s="105"/>
      <c r="J460" s="34"/>
      <c r="K460" s="34"/>
      <c r="L460" s="34"/>
      <c r="M460" s="188"/>
      <c r="N460" s="188"/>
      <c r="O460" s="188"/>
      <c r="P460" s="34"/>
      <c r="Q460" s="304"/>
      <c r="R460" s="34"/>
      <c r="S460" s="34"/>
      <c r="T460" s="34"/>
      <c r="U460" s="105"/>
      <c r="V460" s="105"/>
    </row>
    <row r="461" spans="1:22" ht="12.75">
      <c r="A461" s="309"/>
      <c r="B461" s="309"/>
      <c r="C461" s="34"/>
      <c r="D461" s="34"/>
      <c r="E461" s="35"/>
      <c r="F461" s="34"/>
      <c r="G461" s="34"/>
      <c r="H461" s="65"/>
      <c r="I461" s="105"/>
      <c r="J461" s="34"/>
      <c r="K461" s="34"/>
      <c r="L461" s="34"/>
      <c r="M461" s="188"/>
      <c r="N461" s="188"/>
      <c r="O461" s="188"/>
      <c r="P461" s="34"/>
      <c r="Q461" s="304"/>
      <c r="R461" s="34"/>
      <c r="S461" s="34"/>
      <c r="T461" s="34"/>
      <c r="U461" s="105"/>
      <c r="V461" s="105"/>
    </row>
    <row r="462" spans="1:22" ht="12.75">
      <c r="A462" s="309"/>
      <c r="B462" s="309"/>
      <c r="C462" s="34"/>
      <c r="D462" s="34"/>
      <c r="E462" s="35"/>
      <c r="F462" s="34"/>
      <c r="G462" s="34"/>
      <c r="H462" s="65"/>
      <c r="I462" s="105"/>
      <c r="J462" s="34"/>
      <c r="K462" s="34"/>
      <c r="L462" s="34"/>
      <c r="M462" s="188"/>
      <c r="N462" s="188"/>
      <c r="O462" s="188"/>
      <c r="P462" s="34"/>
      <c r="Q462" s="304"/>
      <c r="R462" s="34"/>
      <c r="S462" s="34"/>
      <c r="T462" s="34"/>
      <c r="U462" s="105"/>
      <c r="V462" s="105"/>
    </row>
    <row r="463" spans="1:22" ht="12.75">
      <c r="A463" s="309"/>
      <c r="B463" s="309"/>
      <c r="C463" s="34"/>
      <c r="D463" s="34"/>
      <c r="E463" s="35"/>
      <c r="F463" s="34"/>
      <c r="G463" s="34"/>
      <c r="H463" s="65"/>
      <c r="I463" s="105"/>
      <c r="J463" s="34"/>
      <c r="K463" s="34"/>
      <c r="L463" s="34"/>
      <c r="M463" s="188"/>
      <c r="N463" s="188"/>
      <c r="O463" s="188"/>
      <c r="P463" s="34"/>
      <c r="Q463" s="304"/>
      <c r="R463" s="34"/>
      <c r="S463" s="34"/>
      <c r="T463" s="34"/>
      <c r="U463" s="105"/>
      <c r="V463" s="105"/>
    </row>
    <row r="464" spans="1:22" ht="12.75">
      <c r="A464" s="309"/>
      <c r="B464" s="309"/>
      <c r="C464" s="34"/>
      <c r="D464" s="34"/>
      <c r="E464" s="35"/>
      <c r="F464" s="34"/>
      <c r="G464" s="34"/>
      <c r="H464" s="65"/>
      <c r="I464" s="105"/>
      <c r="J464" s="34"/>
      <c r="K464" s="34"/>
      <c r="L464" s="34"/>
      <c r="M464" s="188"/>
      <c r="N464" s="188"/>
      <c r="O464" s="188"/>
      <c r="P464" s="34"/>
      <c r="Q464" s="304"/>
      <c r="R464" s="34"/>
      <c r="S464" s="34"/>
      <c r="T464" s="34"/>
      <c r="U464" s="105"/>
      <c r="V464" s="105"/>
    </row>
    <row r="465" spans="1:22" ht="12.75">
      <c r="A465" s="309"/>
      <c r="B465" s="309"/>
      <c r="C465" s="34"/>
      <c r="D465" s="34"/>
      <c r="E465" s="35"/>
      <c r="F465" s="34"/>
      <c r="G465" s="34"/>
      <c r="H465" s="65"/>
      <c r="I465" s="105"/>
      <c r="J465" s="34"/>
      <c r="K465" s="34"/>
      <c r="L465" s="34"/>
      <c r="M465" s="188"/>
      <c r="N465" s="188"/>
      <c r="O465" s="188"/>
      <c r="P465" s="34"/>
      <c r="Q465" s="304"/>
      <c r="R465" s="34"/>
      <c r="S465" s="34"/>
      <c r="T465" s="34"/>
      <c r="U465" s="105"/>
      <c r="V465" s="105"/>
    </row>
    <row r="466" spans="1:22" ht="12.75">
      <c r="A466" s="309"/>
      <c r="B466" s="309"/>
      <c r="C466" s="34"/>
      <c r="D466" s="34"/>
      <c r="E466" s="35"/>
      <c r="F466" s="34"/>
      <c r="G466" s="34"/>
      <c r="H466" s="65"/>
      <c r="I466" s="105"/>
      <c r="J466" s="34"/>
      <c r="K466" s="34"/>
      <c r="L466" s="34"/>
      <c r="M466" s="188"/>
      <c r="N466" s="188"/>
      <c r="O466" s="188"/>
      <c r="P466" s="34"/>
      <c r="Q466" s="304"/>
      <c r="R466" s="34"/>
      <c r="S466" s="34"/>
      <c r="T466" s="34"/>
      <c r="U466" s="105"/>
      <c r="V466" s="105"/>
    </row>
    <row r="467" spans="1:22" ht="12.75">
      <c r="A467" s="309"/>
      <c r="B467" s="309"/>
      <c r="C467" s="34"/>
      <c r="D467" s="34"/>
      <c r="E467" s="35"/>
      <c r="F467" s="34"/>
      <c r="G467" s="34"/>
      <c r="H467" s="65"/>
      <c r="I467" s="105"/>
      <c r="J467" s="34"/>
      <c r="K467" s="34"/>
      <c r="L467" s="34"/>
      <c r="M467" s="188"/>
      <c r="N467" s="188"/>
      <c r="O467" s="188"/>
      <c r="P467" s="34"/>
      <c r="Q467" s="304"/>
      <c r="R467" s="34"/>
      <c r="S467" s="34"/>
      <c r="T467" s="34"/>
      <c r="U467" s="105"/>
      <c r="V467" s="105"/>
    </row>
    <row r="468" spans="1:22" ht="12.75">
      <c r="A468" s="309"/>
      <c r="B468" s="309"/>
      <c r="C468" s="34"/>
      <c r="D468" s="34"/>
      <c r="E468" s="35"/>
      <c r="F468" s="34"/>
      <c r="G468" s="34"/>
      <c r="H468" s="65"/>
      <c r="I468" s="105"/>
      <c r="J468" s="34"/>
      <c r="K468" s="34"/>
      <c r="L468" s="34"/>
      <c r="M468" s="188"/>
      <c r="N468" s="188"/>
      <c r="O468" s="188"/>
      <c r="P468" s="34"/>
      <c r="Q468" s="304"/>
      <c r="R468" s="34"/>
      <c r="S468" s="34"/>
      <c r="T468" s="34"/>
      <c r="U468" s="105"/>
      <c r="V468" s="105"/>
    </row>
    <row r="469" spans="1:22" ht="12.75">
      <c r="A469" s="309"/>
      <c r="B469" s="309"/>
      <c r="C469" s="34"/>
      <c r="D469" s="34"/>
      <c r="E469" s="35"/>
      <c r="F469" s="34"/>
      <c r="G469" s="34"/>
      <c r="H469" s="65"/>
      <c r="I469" s="105"/>
      <c r="J469" s="34"/>
      <c r="K469" s="34"/>
      <c r="L469" s="34"/>
      <c r="M469" s="188"/>
      <c r="N469" s="188"/>
      <c r="O469" s="188"/>
      <c r="P469" s="34"/>
      <c r="Q469" s="304"/>
      <c r="R469" s="34"/>
      <c r="S469" s="34"/>
      <c r="T469" s="34"/>
      <c r="U469" s="105"/>
      <c r="V469" s="105"/>
    </row>
    <row r="470" spans="1:22" ht="12.75">
      <c r="A470" s="309"/>
      <c r="B470" s="309"/>
      <c r="C470" s="34"/>
      <c r="D470" s="34"/>
      <c r="E470" s="35"/>
      <c r="F470" s="34"/>
      <c r="G470" s="34"/>
      <c r="H470" s="65"/>
      <c r="I470" s="105"/>
      <c r="J470" s="34"/>
      <c r="K470" s="34"/>
      <c r="L470" s="34"/>
      <c r="M470" s="188"/>
      <c r="N470" s="188"/>
      <c r="O470" s="188"/>
      <c r="P470" s="34"/>
      <c r="Q470" s="304"/>
      <c r="R470" s="34"/>
      <c r="S470" s="34"/>
      <c r="T470" s="34"/>
      <c r="U470" s="105"/>
      <c r="V470" s="105"/>
    </row>
    <row r="471" spans="1:22" ht="12.75">
      <c r="A471" s="309"/>
      <c r="B471" s="309"/>
      <c r="C471" s="34"/>
      <c r="D471" s="34"/>
      <c r="E471" s="35"/>
      <c r="F471" s="34"/>
      <c r="G471" s="34"/>
      <c r="H471" s="65"/>
      <c r="I471" s="105"/>
      <c r="J471" s="34"/>
      <c r="K471" s="34"/>
      <c r="L471" s="34"/>
      <c r="M471" s="188"/>
      <c r="N471" s="188"/>
      <c r="O471" s="188"/>
      <c r="P471" s="34"/>
      <c r="Q471" s="304"/>
      <c r="R471" s="34"/>
      <c r="S471" s="34"/>
      <c r="T471" s="34"/>
      <c r="U471" s="105"/>
      <c r="V471" s="105"/>
    </row>
    <row r="472" spans="1:22" ht="12.75">
      <c r="A472" s="309"/>
      <c r="B472" s="309"/>
      <c r="C472" s="34"/>
      <c r="D472" s="34"/>
      <c r="E472" s="35"/>
      <c r="F472" s="34"/>
      <c r="G472" s="34"/>
      <c r="H472" s="65"/>
      <c r="I472" s="105"/>
      <c r="J472" s="34"/>
      <c r="K472" s="34"/>
      <c r="L472" s="34"/>
      <c r="M472" s="188"/>
      <c r="N472" s="188"/>
      <c r="O472" s="188"/>
      <c r="P472" s="34"/>
      <c r="Q472" s="304"/>
      <c r="R472" s="34"/>
      <c r="S472" s="34"/>
      <c r="T472" s="34"/>
      <c r="U472" s="105"/>
      <c r="V472" s="105"/>
    </row>
    <row r="473" spans="1:22" ht="12.75">
      <c r="A473" s="309"/>
      <c r="B473" s="309"/>
      <c r="C473" s="34"/>
      <c r="D473" s="34"/>
      <c r="E473" s="35"/>
      <c r="F473" s="34"/>
      <c r="G473" s="34"/>
      <c r="H473" s="65"/>
      <c r="I473" s="105"/>
      <c r="J473" s="34"/>
      <c r="K473" s="34"/>
      <c r="L473" s="34"/>
      <c r="M473" s="188"/>
      <c r="N473" s="188"/>
      <c r="O473" s="188"/>
      <c r="P473" s="34"/>
      <c r="Q473" s="304"/>
      <c r="R473" s="34"/>
      <c r="S473" s="34"/>
      <c r="T473" s="34"/>
      <c r="U473" s="105"/>
      <c r="V473" s="105"/>
    </row>
    <row r="474" spans="1:22" ht="12.75">
      <c r="A474" s="309"/>
      <c r="B474" s="309"/>
      <c r="C474" s="34"/>
      <c r="D474" s="34"/>
      <c r="E474" s="35"/>
      <c r="F474" s="34"/>
      <c r="G474" s="34"/>
      <c r="H474" s="65"/>
      <c r="I474" s="105"/>
      <c r="J474" s="34"/>
      <c r="K474" s="34"/>
      <c r="L474" s="34"/>
      <c r="M474" s="188"/>
      <c r="N474" s="188"/>
      <c r="O474" s="188"/>
      <c r="P474" s="34"/>
      <c r="Q474" s="304"/>
      <c r="R474" s="34"/>
      <c r="S474" s="34"/>
      <c r="T474" s="34"/>
      <c r="U474" s="105"/>
      <c r="V474" s="105"/>
    </row>
    <row r="475" spans="1:22" ht="12.75">
      <c r="A475" s="309"/>
      <c r="B475" s="309"/>
      <c r="C475" s="34"/>
      <c r="D475" s="34"/>
      <c r="E475" s="35"/>
      <c r="F475" s="34"/>
      <c r="G475" s="34"/>
      <c r="H475" s="65"/>
      <c r="I475" s="105"/>
      <c r="J475" s="34"/>
      <c r="K475" s="34"/>
      <c r="L475" s="34"/>
      <c r="M475" s="188"/>
      <c r="N475" s="188"/>
      <c r="O475" s="188"/>
      <c r="P475" s="34"/>
      <c r="Q475" s="304"/>
      <c r="R475" s="34"/>
      <c r="S475" s="34"/>
      <c r="T475" s="34"/>
      <c r="U475" s="105"/>
      <c r="V475" s="105"/>
    </row>
    <row r="476" spans="1:22" ht="12.75">
      <c r="A476" s="309"/>
      <c r="B476" s="309"/>
      <c r="C476" s="34"/>
      <c r="D476" s="34"/>
      <c r="E476" s="35"/>
      <c r="F476" s="34"/>
      <c r="G476" s="34"/>
      <c r="H476" s="65"/>
      <c r="I476" s="105"/>
      <c r="J476" s="34"/>
      <c r="K476" s="34"/>
      <c r="L476" s="34"/>
      <c r="M476" s="188"/>
      <c r="N476" s="188"/>
      <c r="O476" s="188"/>
      <c r="P476" s="34"/>
      <c r="Q476" s="304"/>
      <c r="R476" s="34"/>
      <c r="S476" s="34"/>
      <c r="T476" s="34"/>
      <c r="U476" s="105"/>
      <c r="V476" s="105"/>
    </row>
    <row r="477" spans="1:22" ht="12.75">
      <c r="A477" s="309"/>
      <c r="B477" s="309"/>
      <c r="C477" s="34"/>
      <c r="D477" s="34"/>
      <c r="E477" s="35"/>
      <c r="F477" s="34"/>
      <c r="G477" s="34"/>
      <c r="H477" s="65"/>
      <c r="I477" s="105"/>
      <c r="J477" s="34"/>
      <c r="K477" s="34"/>
      <c r="L477" s="34"/>
      <c r="M477" s="188"/>
      <c r="N477" s="188"/>
      <c r="O477" s="188"/>
      <c r="P477" s="34"/>
      <c r="Q477" s="304"/>
      <c r="R477" s="34"/>
      <c r="S477" s="34"/>
      <c r="T477" s="34"/>
      <c r="U477" s="105"/>
      <c r="V477" s="105"/>
    </row>
    <row r="478" spans="1:22" ht="12.75">
      <c r="A478" s="309"/>
      <c r="B478" s="309"/>
      <c r="C478" s="34"/>
      <c r="D478" s="34"/>
      <c r="E478" s="35"/>
      <c r="F478" s="34"/>
      <c r="G478" s="34"/>
      <c r="H478" s="65"/>
      <c r="I478" s="105"/>
      <c r="J478" s="34"/>
      <c r="K478" s="34"/>
      <c r="L478" s="34"/>
      <c r="M478" s="188"/>
      <c r="N478" s="188"/>
      <c r="O478" s="188"/>
      <c r="P478" s="34"/>
      <c r="Q478" s="304"/>
      <c r="R478" s="34"/>
      <c r="S478" s="34"/>
      <c r="T478" s="34"/>
      <c r="U478" s="105"/>
      <c r="V478" s="105"/>
    </row>
    <row r="479" spans="1:22" ht="12.75">
      <c r="A479" s="309"/>
      <c r="B479" s="309"/>
      <c r="C479" s="34"/>
      <c r="D479" s="34"/>
      <c r="E479" s="35"/>
      <c r="F479" s="34"/>
      <c r="G479" s="34"/>
      <c r="H479" s="65"/>
      <c r="I479" s="105"/>
      <c r="J479" s="34"/>
      <c r="K479" s="34"/>
      <c r="L479" s="34"/>
      <c r="M479" s="188"/>
      <c r="N479" s="188"/>
      <c r="O479" s="188"/>
      <c r="P479" s="34"/>
      <c r="Q479" s="304"/>
      <c r="R479" s="34"/>
      <c r="S479" s="34"/>
      <c r="T479" s="34"/>
      <c r="U479" s="105"/>
      <c r="V479" s="105"/>
    </row>
    <row r="480" spans="1:22" ht="12.75">
      <c r="A480" s="309"/>
      <c r="B480" s="309"/>
      <c r="C480" s="34"/>
      <c r="D480" s="34"/>
      <c r="E480" s="35"/>
      <c r="F480" s="34"/>
      <c r="G480" s="34"/>
      <c r="H480" s="65"/>
      <c r="I480" s="105"/>
      <c r="J480" s="34"/>
      <c r="K480" s="34"/>
      <c r="L480" s="34"/>
      <c r="M480" s="188"/>
      <c r="N480" s="188"/>
      <c r="O480" s="188"/>
      <c r="P480" s="34"/>
      <c r="Q480" s="304"/>
      <c r="R480" s="34"/>
      <c r="S480" s="34"/>
      <c r="T480" s="34"/>
      <c r="U480" s="105"/>
      <c r="V480" s="105"/>
    </row>
    <row r="481" spans="1:22" ht="12.75">
      <c r="A481" s="309"/>
      <c r="B481" s="309"/>
      <c r="C481" s="34"/>
      <c r="D481" s="34"/>
      <c r="E481" s="35"/>
      <c r="F481" s="34"/>
      <c r="G481" s="34"/>
      <c r="H481" s="65"/>
      <c r="I481" s="105"/>
      <c r="J481" s="34"/>
      <c r="K481" s="34"/>
      <c r="L481" s="34"/>
      <c r="M481" s="188"/>
      <c r="N481" s="188"/>
      <c r="O481" s="188"/>
      <c r="P481" s="34"/>
      <c r="Q481" s="304"/>
      <c r="R481" s="34"/>
      <c r="S481" s="34"/>
      <c r="T481" s="34"/>
      <c r="U481" s="105"/>
      <c r="V481" s="105"/>
    </row>
    <row r="482" spans="1:22" ht="12.75">
      <c r="A482" s="309"/>
      <c r="B482" s="309"/>
      <c r="C482" s="34"/>
      <c r="D482" s="34"/>
      <c r="E482" s="35"/>
      <c r="F482" s="34"/>
      <c r="G482" s="34"/>
      <c r="H482" s="65"/>
      <c r="I482" s="105"/>
      <c r="J482" s="34"/>
      <c r="K482" s="34"/>
      <c r="L482" s="34"/>
      <c r="M482" s="188"/>
      <c r="N482" s="188"/>
      <c r="O482" s="188"/>
      <c r="P482" s="34"/>
      <c r="Q482" s="304"/>
      <c r="R482" s="34"/>
      <c r="S482" s="34"/>
      <c r="T482" s="34"/>
      <c r="U482" s="105"/>
      <c r="V482" s="105"/>
    </row>
    <row r="483" spans="1:22" ht="12.75">
      <c r="A483" s="309"/>
      <c r="B483" s="309"/>
      <c r="C483" s="34"/>
      <c r="D483" s="34"/>
      <c r="E483" s="35"/>
      <c r="F483" s="34"/>
      <c r="G483" s="34"/>
      <c r="H483" s="65"/>
      <c r="I483" s="105"/>
      <c r="J483" s="34"/>
      <c r="K483" s="34"/>
      <c r="L483" s="34"/>
      <c r="M483" s="188"/>
      <c r="N483" s="188"/>
      <c r="O483" s="188"/>
      <c r="P483" s="34"/>
      <c r="Q483" s="304"/>
      <c r="R483" s="34"/>
      <c r="S483" s="34"/>
      <c r="T483" s="34"/>
      <c r="U483" s="105"/>
      <c r="V483" s="105"/>
    </row>
    <row r="484" spans="1:22" ht="12.75">
      <c r="A484" s="309"/>
      <c r="B484" s="309"/>
      <c r="C484" s="34"/>
      <c r="D484" s="34"/>
      <c r="E484" s="35"/>
      <c r="F484" s="34"/>
      <c r="G484" s="34"/>
      <c r="H484" s="65"/>
      <c r="I484" s="105"/>
      <c r="J484" s="34"/>
      <c r="K484" s="34"/>
      <c r="L484" s="34"/>
      <c r="M484" s="188"/>
      <c r="N484" s="188"/>
      <c r="O484" s="188"/>
      <c r="P484" s="34"/>
      <c r="Q484" s="304"/>
      <c r="R484" s="34"/>
      <c r="S484" s="34"/>
      <c r="T484" s="34"/>
      <c r="U484" s="105"/>
      <c r="V484" s="105"/>
    </row>
    <row r="485" spans="1:22" ht="12.75">
      <c r="A485" s="309"/>
      <c r="B485" s="309"/>
      <c r="C485" s="34"/>
      <c r="D485" s="34"/>
      <c r="E485" s="35"/>
      <c r="F485" s="34"/>
      <c r="G485" s="34"/>
      <c r="H485" s="65"/>
      <c r="I485" s="105"/>
      <c r="J485" s="34"/>
      <c r="K485" s="34"/>
      <c r="L485" s="34"/>
      <c r="M485" s="188"/>
      <c r="N485" s="188"/>
      <c r="O485" s="188"/>
      <c r="P485" s="34"/>
      <c r="Q485" s="304"/>
      <c r="R485" s="34"/>
      <c r="S485" s="34"/>
      <c r="T485" s="34"/>
      <c r="U485" s="105"/>
      <c r="V485" s="105"/>
    </row>
    <row r="486" spans="1:22" ht="12.75">
      <c r="A486" s="309"/>
      <c r="B486" s="309"/>
      <c r="C486" s="34"/>
      <c r="D486" s="34"/>
      <c r="E486" s="35"/>
      <c r="F486" s="34"/>
      <c r="G486" s="34"/>
      <c r="H486" s="65"/>
      <c r="I486" s="105"/>
      <c r="J486" s="34"/>
      <c r="K486" s="34"/>
      <c r="L486" s="34"/>
      <c r="M486" s="188"/>
      <c r="N486" s="188"/>
      <c r="O486" s="188"/>
      <c r="P486" s="34"/>
      <c r="Q486" s="304"/>
      <c r="R486" s="34"/>
      <c r="S486" s="34"/>
      <c r="T486" s="34"/>
      <c r="U486" s="105"/>
      <c r="V486" s="105"/>
    </row>
    <row r="487" spans="1:22" ht="12.75">
      <c r="A487" s="309"/>
      <c r="B487" s="309"/>
      <c r="C487" s="34"/>
      <c r="D487" s="34"/>
      <c r="E487" s="35"/>
      <c r="F487" s="34"/>
      <c r="G487" s="34"/>
      <c r="H487" s="65"/>
      <c r="I487" s="105"/>
      <c r="J487" s="34"/>
      <c r="K487" s="34"/>
      <c r="L487" s="34"/>
      <c r="M487" s="188"/>
      <c r="N487" s="188"/>
      <c r="O487" s="188"/>
      <c r="P487" s="34"/>
      <c r="Q487" s="304"/>
      <c r="R487" s="34"/>
      <c r="S487" s="34"/>
      <c r="T487" s="34"/>
      <c r="U487" s="105"/>
      <c r="V487" s="105"/>
    </row>
    <row r="488" spans="1:22" ht="12.75">
      <c r="A488" s="309"/>
      <c r="B488" s="309"/>
      <c r="C488" s="34"/>
      <c r="D488" s="34"/>
      <c r="E488" s="35"/>
      <c r="F488" s="34"/>
      <c r="G488" s="34"/>
      <c r="H488" s="65"/>
      <c r="I488" s="105"/>
      <c r="J488" s="34"/>
      <c r="K488" s="34"/>
      <c r="L488" s="34"/>
      <c r="M488" s="188"/>
      <c r="N488" s="188"/>
      <c r="O488" s="188"/>
      <c r="P488" s="34"/>
      <c r="Q488" s="304"/>
      <c r="R488" s="34"/>
      <c r="S488" s="34"/>
      <c r="T488" s="34"/>
      <c r="U488" s="105"/>
      <c r="V488" s="105"/>
    </row>
    <row r="489" spans="1:22" ht="12.75">
      <c r="A489" s="309"/>
      <c r="B489" s="309"/>
      <c r="C489" s="34"/>
      <c r="D489" s="34"/>
      <c r="E489" s="35"/>
      <c r="F489" s="34"/>
      <c r="G489" s="34"/>
      <c r="H489" s="65"/>
      <c r="I489" s="105"/>
      <c r="J489" s="34"/>
      <c r="K489" s="34"/>
      <c r="L489" s="34"/>
      <c r="M489" s="188"/>
      <c r="N489" s="188"/>
      <c r="O489" s="188"/>
      <c r="P489" s="34"/>
      <c r="Q489" s="304"/>
      <c r="R489" s="34"/>
      <c r="S489" s="34"/>
      <c r="T489" s="34"/>
      <c r="U489" s="105"/>
      <c r="V489" s="105"/>
    </row>
    <row r="490" spans="1:22" ht="12.75">
      <c r="A490" s="309"/>
      <c r="B490" s="309"/>
      <c r="C490" s="34"/>
      <c r="D490" s="34"/>
      <c r="E490" s="35"/>
      <c r="F490" s="34"/>
      <c r="G490" s="34"/>
      <c r="H490" s="65"/>
      <c r="I490" s="105"/>
      <c r="J490" s="34"/>
      <c r="K490" s="34"/>
      <c r="L490" s="34"/>
      <c r="M490" s="188"/>
      <c r="N490" s="188"/>
      <c r="O490" s="188"/>
      <c r="P490" s="34"/>
      <c r="Q490" s="304"/>
      <c r="R490" s="34"/>
      <c r="S490" s="34"/>
      <c r="T490" s="34"/>
      <c r="U490" s="105"/>
      <c r="V490" s="105"/>
    </row>
    <row r="491" spans="1:22" ht="12.75">
      <c r="A491" s="309"/>
      <c r="B491" s="309"/>
      <c r="C491" s="34"/>
      <c r="D491" s="34"/>
      <c r="E491" s="35"/>
      <c r="F491" s="34"/>
      <c r="G491" s="34"/>
      <c r="H491" s="65"/>
      <c r="I491" s="105"/>
      <c r="J491" s="34"/>
      <c r="K491" s="34"/>
      <c r="L491" s="34"/>
      <c r="M491" s="188"/>
      <c r="N491" s="188"/>
      <c r="O491" s="188"/>
      <c r="P491" s="34"/>
      <c r="Q491" s="304"/>
      <c r="R491" s="34"/>
      <c r="S491" s="34"/>
      <c r="T491" s="34"/>
      <c r="U491" s="105"/>
      <c r="V491" s="105"/>
    </row>
    <row r="492" spans="1:22" ht="12.75">
      <c r="A492" s="309"/>
      <c r="B492" s="309"/>
      <c r="C492" s="34"/>
      <c r="D492" s="34"/>
      <c r="E492" s="35"/>
      <c r="F492" s="34"/>
      <c r="G492" s="34"/>
      <c r="H492" s="65"/>
      <c r="I492" s="105"/>
      <c r="J492" s="34"/>
      <c r="K492" s="34"/>
      <c r="L492" s="34"/>
      <c r="M492" s="188"/>
      <c r="N492" s="188"/>
      <c r="O492" s="188"/>
      <c r="P492" s="34"/>
      <c r="Q492" s="304"/>
      <c r="R492" s="34"/>
      <c r="S492" s="34"/>
      <c r="T492" s="34"/>
      <c r="U492" s="105"/>
      <c r="V492" s="105"/>
    </row>
    <row r="493" spans="1:22" ht="12.75">
      <c r="A493" s="309"/>
      <c r="B493" s="309"/>
      <c r="C493" s="34"/>
      <c r="D493" s="34"/>
      <c r="E493" s="35"/>
      <c r="F493" s="34"/>
      <c r="G493" s="34"/>
      <c r="H493" s="65"/>
      <c r="I493" s="105"/>
      <c r="J493" s="34"/>
      <c r="K493" s="34"/>
      <c r="L493" s="34"/>
      <c r="M493" s="188"/>
      <c r="N493" s="188"/>
      <c r="O493" s="188"/>
      <c r="P493" s="34"/>
      <c r="Q493" s="304"/>
      <c r="R493" s="34"/>
      <c r="S493" s="34"/>
      <c r="T493" s="34"/>
      <c r="U493" s="105"/>
      <c r="V493" s="105"/>
    </row>
    <row r="494" spans="1:22" ht="12.75">
      <c r="A494" s="309"/>
      <c r="B494" s="309"/>
      <c r="C494" s="34"/>
      <c r="D494" s="34"/>
      <c r="E494" s="35"/>
      <c r="F494" s="34"/>
      <c r="G494" s="34"/>
      <c r="H494" s="65"/>
      <c r="I494" s="105"/>
      <c r="J494" s="34"/>
      <c r="K494" s="34"/>
      <c r="L494" s="34"/>
      <c r="M494" s="188"/>
      <c r="N494" s="188"/>
      <c r="O494" s="188"/>
      <c r="P494" s="34"/>
      <c r="Q494" s="304"/>
      <c r="R494" s="34"/>
      <c r="S494" s="34"/>
      <c r="T494" s="34"/>
      <c r="U494" s="105"/>
      <c r="V494" s="105"/>
    </row>
    <row r="495" spans="1:22" ht="12.75">
      <c r="A495" s="309"/>
      <c r="B495" s="309"/>
      <c r="C495" s="34"/>
      <c r="D495" s="34"/>
      <c r="E495" s="35"/>
      <c r="F495" s="34"/>
      <c r="G495" s="34"/>
      <c r="H495" s="65"/>
      <c r="I495" s="105"/>
      <c r="J495" s="34"/>
      <c r="K495" s="34"/>
      <c r="L495" s="34"/>
      <c r="M495" s="188"/>
      <c r="N495" s="188"/>
      <c r="O495" s="188"/>
      <c r="P495" s="34"/>
      <c r="Q495" s="304"/>
      <c r="R495" s="34"/>
      <c r="S495" s="34"/>
      <c r="T495" s="34"/>
      <c r="U495" s="105"/>
      <c r="V495" s="105"/>
    </row>
    <row r="496" spans="1:22" ht="12.75">
      <c r="A496" s="309"/>
      <c r="B496" s="309"/>
      <c r="C496" s="34"/>
      <c r="D496" s="34"/>
      <c r="E496" s="35"/>
      <c r="F496" s="34"/>
      <c r="G496" s="34"/>
      <c r="H496" s="65"/>
      <c r="I496" s="105"/>
      <c r="J496" s="34"/>
      <c r="K496" s="34"/>
      <c r="L496" s="34"/>
      <c r="M496" s="188"/>
      <c r="N496" s="188"/>
      <c r="O496" s="188"/>
      <c r="P496" s="34"/>
      <c r="Q496" s="304"/>
      <c r="R496" s="34"/>
      <c r="S496" s="34"/>
      <c r="T496" s="34"/>
      <c r="U496" s="105"/>
      <c r="V496" s="105"/>
    </row>
    <row r="497" spans="1:22" ht="12.75">
      <c r="A497" s="309"/>
      <c r="B497" s="309"/>
      <c r="C497" s="34"/>
      <c r="D497" s="34"/>
      <c r="E497" s="35"/>
      <c r="F497" s="34"/>
      <c r="G497" s="34"/>
      <c r="H497" s="65"/>
      <c r="I497" s="105"/>
      <c r="J497" s="34"/>
      <c r="K497" s="34"/>
      <c r="L497" s="34"/>
      <c r="M497" s="188"/>
      <c r="N497" s="188"/>
      <c r="O497" s="188"/>
      <c r="P497" s="34"/>
      <c r="Q497" s="304"/>
      <c r="R497" s="34"/>
      <c r="S497" s="34"/>
      <c r="T497" s="34"/>
      <c r="U497" s="105"/>
      <c r="V497" s="105"/>
    </row>
    <row r="498" spans="1:22" ht="12.75">
      <c r="A498" s="309"/>
      <c r="B498" s="309"/>
      <c r="C498" s="34"/>
      <c r="D498" s="34"/>
      <c r="E498" s="35"/>
      <c r="F498" s="34"/>
      <c r="G498" s="34"/>
      <c r="H498" s="65"/>
      <c r="I498" s="105"/>
      <c r="J498" s="34"/>
      <c r="K498" s="34"/>
      <c r="L498" s="34"/>
      <c r="M498" s="188"/>
      <c r="N498" s="188"/>
      <c r="O498" s="188"/>
      <c r="P498" s="34"/>
      <c r="Q498" s="304"/>
      <c r="R498" s="34"/>
      <c r="S498" s="34"/>
      <c r="T498" s="34"/>
      <c r="U498" s="105"/>
      <c r="V498" s="105"/>
    </row>
    <row r="499" spans="1:22" ht="12.75">
      <c r="A499" s="309"/>
      <c r="B499" s="309"/>
      <c r="C499" s="34"/>
      <c r="D499" s="34"/>
      <c r="E499" s="35"/>
      <c r="F499" s="34"/>
      <c r="G499" s="34"/>
      <c r="H499" s="65"/>
      <c r="I499" s="105"/>
      <c r="J499" s="34"/>
      <c r="K499" s="34"/>
      <c r="L499" s="34"/>
      <c r="M499" s="188"/>
      <c r="N499" s="188"/>
      <c r="O499" s="188"/>
      <c r="P499" s="34"/>
      <c r="Q499" s="304"/>
      <c r="R499" s="34"/>
      <c r="S499" s="34"/>
      <c r="T499" s="34"/>
      <c r="U499" s="105"/>
      <c r="V499" s="105"/>
    </row>
    <row r="500" spans="1:22" ht="12.75">
      <c r="A500" s="309"/>
      <c r="B500" s="309"/>
      <c r="C500" s="34"/>
      <c r="D500" s="34"/>
      <c r="E500" s="35"/>
      <c r="F500" s="34"/>
      <c r="G500" s="34"/>
      <c r="H500" s="65"/>
      <c r="I500" s="105"/>
      <c r="J500" s="34"/>
      <c r="K500" s="34"/>
      <c r="L500" s="34"/>
      <c r="M500" s="188"/>
      <c r="N500" s="188"/>
      <c r="O500" s="188"/>
      <c r="P500" s="34"/>
      <c r="Q500" s="304"/>
      <c r="R500" s="34"/>
      <c r="S500" s="34"/>
      <c r="T500" s="34"/>
      <c r="U500" s="105"/>
      <c r="V500" s="105"/>
    </row>
    <row r="501" spans="1:22" ht="12.75">
      <c r="A501" s="309"/>
      <c r="B501" s="309"/>
      <c r="C501" s="34"/>
      <c r="D501" s="34"/>
      <c r="E501" s="35"/>
      <c r="F501" s="34"/>
      <c r="G501" s="34"/>
      <c r="H501" s="65"/>
      <c r="I501" s="105"/>
      <c r="J501" s="34"/>
      <c r="K501" s="34"/>
      <c r="L501" s="34"/>
      <c r="M501" s="188"/>
      <c r="N501" s="188"/>
      <c r="O501" s="188"/>
      <c r="P501" s="34"/>
      <c r="Q501" s="304"/>
      <c r="R501" s="34"/>
      <c r="S501" s="34"/>
      <c r="T501" s="34"/>
      <c r="U501" s="105"/>
      <c r="V501" s="105"/>
    </row>
    <row r="502" spans="1:22" ht="12.75">
      <c r="A502" s="309"/>
      <c r="B502" s="309"/>
      <c r="C502" s="34"/>
      <c r="D502" s="34"/>
      <c r="E502" s="35"/>
      <c r="F502" s="34"/>
      <c r="G502" s="34"/>
      <c r="H502" s="65"/>
      <c r="I502" s="105"/>
      <c r="J502" s="34"/>
      <c r="K502" s="34"/>
      <c r="L502" s="34"/>
      <c r="M502" s="188"/>
      <c r="N502" s="188"/>
      <c r="O502" s="188"/>
      <c r="P502" s="34"/>
      <c r="Q502" s="304"/>
      <c r="R502" s="34"/>
      <c r="S502" s="34"/>
      <c r="T502" s="34"/>
      <c r="U502" s="105"/>
      <c r="V502" s="105"/>
    </row>
    <row r="503" spans="1:22" ht="12.75">
      <c r="A503" s="309"/>
      <c r="B503" s="309"/>
      <c r="C503" s="34"/>
      <c r="D503" s="34"/>
      <c r="E503" s="35"/>
      <c r="F503" s="34"/>
      <c r="G503" s="34"/>
      <c r="H503" s="65"/>
      <c r="I503" s="105"/>
      <c r="J503" s="34"/>
      <c r="K503" s="34"/>
      <c r="L503" s="34"/>
      <c r="M503" s="188"/>
      <c r="N503" s="188"/>
      <c r="O503" s="188"/>
      <c r="P503" s="34"/>
      <c r="Q503" s="304"/>
      <c r="R503" s="34"/>
      <c r="S503" s="34"/>
      <c r="T503" s="34"/>
      <c r="U503" s="105"/>
      <c r="V503" s="105"/>
    </row>
    <row r="504" spans="1:22" ht="12.75">
      <c r="A504" s="309"/>
      <c r="B504" s="309"/>
      <c r="C504" s="34"/>
      <c r="D504" s="34"/>
      <c r="E504" s="35"/>
      <c r="F504" s="34"/>
      <c r="G504" s="34"/>
      <c r="H504" s="65"/>
      <c r="I504" s="105"/>
      <c r="J504" s="34"/>
      <c r="K504" s="34"/>
      <c r="L504" s="34"/>
      <c r="M504" s="188"/>
      <c r="N504" s="188"/>
      <c r="O504" s="188"/>
      <c r="P504" s="34"/>
      <c r="Q504" s="304"/>
      <c r="R504" s="34"/>
      <c r="S504" s="34"/>
      <c r="T504" s="34"/>
      <c r="U504" s="105"/>
      <c r="V504" s="105"/>
    </row>
    <row r="505" spans="1:22" ht="12.75">
      <c r="A505" s="309"/>
      <c r="B505" s="309"/>
      <c r="C505" s="34"/>
      <c r="D505" s="34"/>
      <c r="E505" s="35"/>
      <c r="F505" s="34"/>
      <c r="G505" s="34"/>
      <c r="H505" s="65"/>
      <c r="I505" s="105"/>
      <c r="J505" s="34"/>
      <c r="K505" s="34"/>
      <c r="L505" s="34"/>
      <c r="M505" s="188"/>
      <c r="N505" s="188"/>
      <c r="O505" s="188"/>
      <c r="P505" s="34"/>
      <c r="Q505" s="304"/>
      <c r="R505" s="34"/>
      <c r="S505" s="34"/>
      <c r="T505" s="34"/>
      <c r="U505" s="105"/>
      <c r="V505" s="105"/>
    </row>
    <row r="506" spans="1:22" ht="12.75">
      <c r="A506" s="309"/>
      <c r="B506" s="309"/>
      <c r="C506" s="34"/>
      <c r="D506" s="34"/>
      <c r="E506" s="35"/>
      <c r="F506" s="34"/>
      <c r="G506" s="34"/>
      <c r="H506" s="65"/>
      <c r="I506" s="105"/>
      <c r="J506" s="34"/>
      <c r="K506" s="34"/>
      <c r="L506" s="34"/>
      <c r="M506" s="188"/>
      <c r="N506" s="188"/>
      <c r="O506" s="188"/>
      <c r="P506" s="34"/>
      <c r="Q506" s="304"/>
      <c r="R506" s="34"/>
      <c r="S506" s="34"/>
      <c r="T506" s="34"/>
      <c r="U506" s="105"/>
      <c r="V506" s="105"/>
    </row>
    <row r="507" spans="1:22" ht="12.75">
      <c r="A507" s="309"/>
      <c r="B507" s="309"/>
      <c r="C507" s="34"/>
      <c r="D507" s="34"/>
      <c r="E507" s="35"/>
      <c r="F507" s="34"/>
      <c r="G507" s="34"/>
      <c r="H507" s="65"/>
      <c r="I507" s="105"/>
      <c r="J507" s="34"/>
      <c r="K507" s="34"/>
      <c r="L507" s="34"/>
      <c r="M507" s="188"/>
      <c r="N507" s="188"/>
      <c r="O507" s="188"/>
      <c r="P507" s="34"/>
      <c r="Q507" s="304"/>
      <c r="R507" s="34"/>
      <c r="S507" s="34"/>
      <c r="T507" s="34"/>
      <c r="U507" s="105"/>
      <c r="V507" s="105"/>
    </row>
    <row r="508" spans="1:22" ht="12.75">
      <c r="A508" s="309"/>
      <c r="B508" s="309"/>
      <c r="C508" s="34"/>
      <c r="D508" s="34"/>
      <c r="E508" s="35"/>
      <c r="F508" s="34"/>
      <c r="G508" s="34"/>
      <c r="H508" s="65"/>
      <c r="I508" s="105"/>
      <c r="J508" s="34"/>
      <c r="K508" s="34"/>
      <c r="L508" s="34"/>
      <c r="M508" s="188"/>
      <c r="N508" s="188"/>
      <c r="O508" s="188"/>
      <c r="P508" s="34"/>
      <c r="Q508" s="304"/>
      <c r="R508" s="34"/>
      <c r="S508" s="34"/>
      <c r="T508" s="34"/>
      <c r="U508" s="105"/>
      <c r="V508" s="105"/>
    </row>
    <row r="509" spans="1:22" ht="12.75">
      <c r="A509" s="309"/>
      <c r="B509" s="309"/>
      <c r="C509" s="34"/>
      <c r="D509" s="34"/>
      <c r="E509" s="35"/>
      <c r="F509" s="34"/>
      <c r="G509" s="34"/>
      <c r="H509" s="65"/>
      <c r="I509" s="105"/>
      <c r="J509" s="34"/>
      <c r="K509" s="34"/>
      <c r="L509" s="34"/>
      <c r="M509" s="188"/>
      <c r="N509" s="188"/>
      <c r="O509" s="188"/>
      <c r="P509" s="34"/>
      <c r="Q509" s="304"/>
      <c r="R509" s="34"/>
      <c r="S509" s="34"/>
      <c r="T509" s="34"/>
      <c r="U509" s="105"/>
      <c r="V509" s="105"/>
    </row>
    <row r="510" spans="1:22" ht="12.75">
      <c r="A510" s="309"/>
      <c r="B510" s="309"/>
      <c r="C510" s="34"/>
      <c r="D510" s="34"/>
      <c r="E510" s="35"/>
      <c r="F510" s="34"/>
      <c r="G510" s="34"/>
      <c r="H510" s="65"/>
      <c r="I510" s="105"/>
      <c r="J510" s="34"/>
      <c r="K510" s="34"/>
      <c r="L510" s="34"/>
      <c r="M510" s="188"/>
      <c r="N510" s="188"/>
      <c r="O510" s="188"/>
      <c r="P510" s="34"/>
      <c r="Q510" s="304"/>
      <c r="R510" s="34"/>
      <c r="S510" s="34"/>
      <c r="T510" s="34"/>
      <c r="U510" s="105"/>
      <c r="V510" s="105"/>
    </row>
    <row r="511" spans="1:22" ht="12.75">
      <c r="A511" s="309"/>
      <c r="B511" s="309"/>
      <c r="C511" s="34"/>
      <c r="D511" s="34"/>
      <c r="E511" s="35"/>
      <c r="F511" s="34"/>
      <c r="G511" s="34"/>
      <c r="H511" s="65"/>
      <c r="I511" s="105"/>
      <c r="J511" s="34"/>
      <c r="K511" s="34"/>
      <c r="L511" s="34"/>
      <c r="M511" s="188"/>
      <c r="N511" s="188"/>
      <c r="O511" s="188"/>
      <c r="P511" s="34"/>
      <c r="Q511" s="304"/>
      <c r="R511" s="34"/>
      <c r="S511" s="34"/>
      <c r="T511" s="34"/>
      <c r="U511" s="105"/>
      <c r="V511" s="105"/>
    </row>
    <row r="512" spans="1:22" ht="12.75">
      <c r="A512" s="309"/>
      <c r="B512" s="309"/>
      <c r="C512" s="34"/>
      <c r="D512" s="34"/>
      <c r="E512" s="35"/>
      <c r="F512" s="34"/>
      <c r="G512" s="34"/>
      <c r="H512" s="65"/>
      <c r="I512" s="105"/>
      <c r="J512" s="34"/>
      <c r="K512" s="34"/>
      <c r="L512" s="34"/>
      <c r="M512" s="188"/>
      <c r="N512" s="188"/>
      <c r="O512" s="188"/>
      <c r="P512" s="34"/>
      <c r="Q512" s="304"/>
      <c r="R512" s="34"/>
      <c r="S512" s="34"/>
      <c r="T512" s="34"/>
      <c r="U512" s="105"/>
      <c r="V512" s="105"/>
    </row>
    <row r="513" spans="1:22" ht="12.75">
      <c r="A513" s="309"/>
      <c r="B513" s="309"/>
      <c r="C513" s="34"/>
      <c r="D513" s="34"/>
      <c r="E513" s="35"/>
      <c r="F513" s="34"/>
      <c r="G513" s="34"/>
      <c r="H513" s="65"/>
      <c r="I513" s="105"/>
      <c r="J513" s="34"/>
      <c r="K513" s="34"/>
      <c r="L513" s="34"/>
      <c r="M513" s="188"/>
      <c r="N513" s="188"/>
      <c r="O513" s="188"/>
      <c r="P513" s="34"/>
      <c r="Q513" s="304"/>
      <c r="R513" s="34"/>
      <c r="S513" s="34"/>
      <c r="T513" s="34"/>
      <c r="U513" s="105"/>
      <c r="V513" s="105"/>
    </row>
    <row r="514" spans="1:22" ht="12.75">
      <c r="A514" s="309"/>
      <c r="B514" s="309"/>
      <c r="C514" s="34"/>
      <c r="D514" s="34"/>
      <c r="E514" s="35"/>
      <c r="F514" s="34"/>
      <c r="G514" s="34"/>
      <c r="H514" s="65"/>
      <c r="I514" s="105"/>
      <c r="J514" s="34"/>
      <c r="K514" s="34"/>
      <c r="L514" s="34"/>
      <c r="M514" s="188"/>
      <c r="N514" s="188"/>
      <c r="O514" s="188"/>
      <c r="P514" s="34"/>
      <c r="Q514" s="304"/>
      <c r="R514" s="34"/>
      <c r="S514" s="34"/>
      <c r="T514" s="34"/>
      <c r="U514" s="105"/>
      <c r="V514" s="105"/>
    </row>
    <row r="515" spans="1:22" ht="12.75">
      <c r="A515" s="309"/>
      <c r="B515" s="309"/>
      <c r="C515" s="34"/>
      <c r="D515" s="34"/>
      <c r="E515" s="35"/>
      <c r="F515" s="34"/>
      <c r="G515" s="34"/>
      <c r="H515" s="65"/>
      <c r="I515" s="105"/>
      <c r="J515" s="34"/>
      <c r="K515" s="34"/>
      <c r="L515" s="34"/>
      <c r="M515" s="188"/>
      <c r="N515" s="188"/>
      <c r="O515" s="188"/>
      <c r="P515" s="34"/>
      <c r="Q515" s="304"/>
      <c r="R515" s="34"/>
      <c r="S515" s="34"/>
      <c r="T515" s="34"/>
      <c r="U515" s="105"/>
      <c r="V515" s="105"/>
    </row>
    <row r="516" spans="1:22" ht="12.75">
      <c r="A516" s="309"/>
      <c r="B516" s="309"/>
      <c r="C516" s="34"/>
      <c r="D516" s="34"/>
      <c r="E516" s="35"/>
      <c r="F516" s="34"/>
      <c r="G516" s="34"/>
      <c r="H516" s="65"/>
      <c r="I516" s="105"/>
      <c r="J516" s="34"/>
      <c r="K516" s="34"/>
      <c r="L516" s="34"/>
      <c r="M516" s="188"/>
      <c r="N516" s="188"/>
      <c r="O516" s="188"/>
      <c r="P516" s="34"/>
      <c r="Q516" s="304"/>
      <c r="R516" s="34"/>
      <c r="S516" s="34"/>
      <c r="T516" s="34"/>
      <c r="U516" s="105"/>
      <c r="V516" s="105"/>
    </row>
    <row r="517" spans="1:22" ht="12.75">
      <c r="A517" s="309"/>
      <c r="B517" s="309"/>
      <c r="C517" s="34"/>
      <c r="D517" s="34"/>
      <c r="E517" s="35"/>
      <c r="F517" s="34"/>
      <c r="G517" s="34"/>
      <c r="H517" s="65"/>
      <c r="I517" s="105"/>
      <c r="J517" s="34"/>
      <c r="K517" s="34"/>
      <c r="L517" s="34"/>
      <c r="M517" s="188"/>
      <c r="N517" s="188"/>
      <c r="O517" s="188"/>
      <c r="P517" s="34"/>
      <c r="Q517" s="304"/>
      <c r="R517" s="34"/>
      <c r="S517" s="34"/>
      <c r="T517" s="34"/>
      <c r="U517" s="105"/>
      <c r="V517" s="105"/>
    </row>
    <row r="518" spans="1:22" ht="12.75">
      <c r="A518" s="309"/>
      <c r="B518" s="309"/>
      <c r="C518" s="34"/>
      <c r="D518" s="34"/>
      <c r="E518" s="35"/>
      <c r="F518" s="34"/>
      <c r="G518" s="34"/>
      <c r="H518" s="65"/>
      <c r="I518" s="105"/>
      <c r="J518" s="34"/>
      <c r="K518" s="34"/>
      <c r="L518" s="34"/>
      <c r="M518" s="188"/>
      <c r="N518" s="188"/>
      <c r="O518" s="188"/>
      <c r="P518" s="34"/>
      <c r="Q518" s="304"/>
      <c r="R518" s="34"/>
      <c r="S518" s="34"/>
      <c r="T518" s="34"/>
      <c r="U518" s="105"/>
      <c r="V518" s="105"/>
    </row>
    <row r="519" spans="1:22" ht="12.75">
      <c r="A519" s="309"/>
      <c r="B519" s="309"/>
      <c r="C519" s="34"/>
      <c r="D519" s="34"/>
      <c r="E519" s="35"/>
      <c r="F519" s="34"/>
      <c r="G519" s="34"/>
      <c r="H519" s="65"/>
      <c r="I519" s="105"/>
      <c r="J519" s="34"/>
      <c r="K519" s="34"/>
      <c r="L519" s="34"/>
      <c r="M519" s="188"/>
      <c r="N519" s="188"/>
      <c r="O519" s="188"/>
      <c r="P519" s="34"/>
      <c r="Q519" s="304"/>
      <c r="R519" s="34"/>
      <c r="S519" s="34"/>
      <c r="T519" s="34"/>
      <c r="U519" s="105"/>
      <c r="V519" s="105"/>
    </row>
    <row r="520" spans="1:22" ht="12.75">
      <c r="A520" s="309"/>
      <c r="B520" s="309"/>
      <c r="C520" s="34"/>
      <c r="D520" s="34"/>
      <c r="E520" s="35"/>
      <c r="F520" s="34"/>
      <c r="G520" s="34"/>
      <c r="H520" s="65"/>
      <c r="I520" s="105"/>
      <c r="J520" s="34"/>
      <c r="K520" s="34"/>
      <c r="L520" s="34"/>
      <c r="M520" s="188"/>
      <c r="N520" s="188"/>
      <c r="O520" s="188"/>
      <c r="P520" s="34"/>
      <c r="Q520" s="304"/>
      <c r="R520" s="34"/>
      <c r="S520" s="34"/>
      <c r="T520" s="34"/>
      <c r="U520" s="105"/>
      <c r="V520" s="105"/>
    </row>
    <row r="521" spans="1:22" ht="12.75">
      <c r="A521" s="309"/>
      <c r="B521" s="309"/>
      <c r="C521" s="34"/>
      <c r="D521" s="34"/>
      <c r="E521" s="35"/>
      <c r="F521" s="34"/>
      <c r="G521" s="34"/>
      <c r="H521" s="65"/>
      <c r="I521" s="105"/>
      <c r="J521" s="34"/>
      <c r="K521" s="34"/>
      <c r="L521" s="34"/>
      <c r="M521" s="188"/>
      <c r="N521" s="188"/>
      <c r="O521" s="188"/>
      <c r="P521" s="34"/>
      <c r="Q521" s="304"/>
      <c r="R521" s="34"/>
      <c r="S521" s="34"/>
      <c r="T521" s="34"/>
      <c r="U521" s="105"/>
      <c r="V521" s="105"/>
    </row>
    <row r="522" spans="1:22" ht="12.75">
      <c r="A522" s="309"/>
      <c r="B522" s="309"/>
      <c r="C522" s="34"/>
      <c r="D522" s="34"/>
      <c r="E522" s="35"/>
      <c r="F522" s="34"/>
      <c r="G522" s="34"/>
      <c r="H522" s="65"/>
      <c r="I522" s="105"/>
      <c r="J522" s="34"/>
      <c r="K522" s="34"/>
      <c r="L522" s="34"/>
      <c r="M522" s="188"/>
      <c r="N522" s="188"/>
      <c r="O522" s="188"/>
      <c r="P522" s="34"/>
      <c r="Q522" s="304"/>
      <c r="R522" s="34"/>
      <c r="S522" s="34"/>
      <c r="T522" s="34"/>
      <c r="U522" s="105"/>
      <c r="V522" s="105"/>
    </row>
    <row r="523" spans="1:22" ht="12.75">
      <c r="A523" s="309"/>
      <c r="B523" s="309"/>
      <c r="C523" s="34"/>
      <c r="D523" s="34"/>
      <c r="E523" s="35"/>
      <c r="F523" s="34"/>
      <c r="G523" s="34"/>
      <c r="H523" s="65"/>
      <c r="I523" s="105"/>
      <c r="J523" s="34"/>
      <c r="K523" s="34"/>
      <c r="L523" s="34"/>
      <c r="M523" s="188"/>
      <c r="N523" s="188"/>
      <c r="O523" s="188"/>
      <c r="P523" s="34"/>
      <c r="Q523" s="304"/>
      <c r="R523" s="34"/>
      <c r="S523" s="34"/>
      <c r="T523" s="34"/>
      <c r="U523" s="105"/>
      <c r="V523" s="105"/>
    </row>
    <row r="524" spans="1:22" ht="12.75">
      <c r="A524" s="309"/>
      <c r="B524" s="309"/>
      <c r="C524" s="34"/>
      <c r="D524" s="34"/>
      <c r="E524" s="35"/>
      <c r="F524" s="34"/>
      <c r="G524" s="34"/>
      <c r="H524" s="65"/>
      <c r="I524" s="105"/>
      <c r="J524" s="34"/>
      <c r="K524" s="34"/>
      <c r="L524" s="34"/>
      <c r="M524" s="188"/>
      <c r="N524" s="188"/>
      <c r="O524" s="188"/>
      <c r="P524" s="34"/>
      <c r="Q524" s="304"/>
      <c r="R524" s="34"/>
      <c r="S524" s="34"/>
      <c r="T524" s="34"/>
      <c r="U524" s="105"/>
      <c r="V524" s="105"/>
    </row>
    <row r="525" spans="1:22" ht="12.75">
      <c r="A525" s="309"/>
      <c r="B525" s="309"/>
      <c r="C525" s="34"/>
      <c r="D525" s="34"/>
      <c r="E525" s="35"/>
      <c r="F525" s="34"/>
      <c r="G525" s="34"/>
      <c r="H525" s="65"/>
      <c r="I525" s="105"/>
      <c r="J525" s="34"/>
      <c r="K525" s="34"/>
      <c r="L525" s="34"/>
      <c r="M525" s="188"/>
      <c r="N525" s="188"/>
      <c r="O525" s="188"/>
      <c r="P525" s="34"/>
      <c r="Q525" s="304"/>
      <c r="R525" s="34"/>
      <c r="S525" s="34"/>
      <c r="T525" s="34"/>
      <c r="U525" s="105"/>
      <c r="V525" s="105"/>
    </row>
    <row r="526" spans="1:22" ht="12.75">
      <c r="A526" s="309"/>
      <c r="B526" s="309"/>
      <c r="C526" s="34"/>
      <c r="D526" s="34"/>
      <c r="E526" s="35"/>
      <c r="F526" s="34"/>
      <c r="G526" s="34"/>
      <c r="H526" s="65"/>
      <c r="I526" s="105"/>
      <c r="J526" s="34"/>
      <c r="K526" s="34"/>
      <c r="L526" s="34"/>
      <c r="M526" s="188"/>
      <c r="N526" s="188"/>
      <c r="O526" s="188"/>
      <c r="P526" s="34"/>
      <c r="Q526" s="304"/>
      <c r="R526" s="34"/>
      <c r="S526" s="34"/>
      <c r="T526" s="34"/>
      <c r="U526" s="105"/>
      <c r="V526" s="105"/>
    </row>
    <row r="527" spans="1:22" ht="12.75">
      <c r="A527" s="309"/>
      <c r="B527" s="309"/>
      <c r="C527" s="34"/>
      <c r="D527" s="34"/>
      <c r="E527" s="35"/>
      <c r="F527" s="34"/>
      <c r="G527" s="34"/>
      <c r="H527" s="65"/>
      <c r="I527" s="105"/>
      <c r="J527" s="34"/>
      <c r="K527" s="34"/>
      <c r="L527" s="34"/>
      <c r="M527" s="188"/>
      <c r="N527" s="188"/>
      <c r="O527" s="188"/>
      <c r="P527" s="34"/>
      <c r="Q527" s="304"/>
      <c r="R527" s="34"/>
      <c r="S527" s="34"/>
      <c r="T527" s="34"/>
      <c r="U527" s="105"/>
      <c r="V527" s="105"/>
    </row>
    <row r="528" spans="1:22" ht="12.75">
      <c r="A528" s="309"/>
      <c r="B528" s="309"/>
      <c r="C528" s="34"/>
      <c r="D528" s="34"/>
      <c r="E528" s="35"/>
      <c r="F528" s="34"/>
      <c r="G528" s="34"/>
      <c r="H528" s="65"/>
      <c r="I528" s="105"/>
      <c r="J528" s="34"/>
      <c r="K528" s="34"/>
      <c r="L528" s="34"/>
      <c r="M528" s="188"/>
      <c r="N528" s="188"/>
      <c r="O528" s="188"/>
      <c r="P528" s="34"/>
      <c r="Q528" s="304"/>
      <c r="R528" s="34"/>
      <c r="S528" s="34"/>
      <c r="T528" s="34"/>
      <c r="U528" s="105"/>
      <c r="V528" s="105"/>
    </row>
    <row r="529" spans="1:22" ht="12.75">
      <c r="A529" s="309"/>
      <c r="B529" s="309"/>
      <c r="C529" s="34"/>
      <c r="D529" s="34"/>
      <c r="E529" s="35"/>
      <c r="F529" s="34"/>
      <c r="G529" s="34"/>
      <c r="H529" s="65"/>
      <c r="I529" s="105"/>
      <c r="J529" s="34"/>
      <c r="K529" s="34"/>
      <c r="L529" s="34"/>
      <c r="M529" s="188"/>
      <c r="N529" s="188"/>
      <c r="O529" s="188"/>
      <c r="P529" s="34"/>
      <c r="Q529" s="304"/>
      <c r="R529" s="34"/>
      <c r="S529" s="34"/>
      <c r="T529" s="34"/>
      <c r="U529" s="105"/>
      <c r="V529" s="105"/>
    </row>
    <row r="530" spans="1:22" ht="12.75">
      <c r="A530" s="309"/>
      <c r="B530" s="309"/>
      <c r="C530" s="34"/>
      <c r="D530" s="34"/>
      <c r="E530" s="35"/>
      <c r="F530" s="34"/>
      <c r="G530" s="34"/>
      <c r="H530" s="65"/>
      <c r="I530" s="105"/>
      <c r="J530" s="34"/>
      <c r="K530" s="34"/>
      <c r="L530" s="34"/>
      <c r="M530" s="188"/>
      <c r="N530" s="188"/>
      <c r="O530" s="188"/>
      <c r="P530" s="34"/>
      <c r="Q530" s="304"/>
      <c r="R530" s="34"/>
      <c r="S530" s="34"/>
      <c r="T530" s="34"/>
      <c r="U530" s="105"/>
      <c r="V530" s="105"/>
    </row>
    <row r="531" spans="1:22" ht="12.75">
      <c r="A531" s="309"/>
      <c r="B531" s="309"/>
      <c r="C531" s="34"/>
      <c r="D531" s="34"/>
      <c r="E531" s="35"/>
      <c r="F531" s="34"/>
      <c r="G531" s="34"/>
      <c r="H531" s="65"/>
      <c r="I531" s="105"/>
      <c r="J531" s="34"/>
      <c r="K531" s="34"/>
      <c r="L531" s="34"/>
      <c r="M531" s="188"/>
      <c r="N531" s="188"/>
      <c r="O531" s="188"/>
      <c r="P531" s="34"/>
      <c r="Q531" s="304"/>
      <c r="R531" s="34"/>
      <c r="S531" s="34"/>
      <c r="T531" s="34"/>
      <c r="U531" s="105"/>
      <c r="V531" s="105"/>
    </row>
    <row r="532" spans="1:22" ht="12.75">
      <c r="A532" s="309"/>
      <c r="B532" s="309"/>
      <c r="C532" s="34"/>
      <c r="D532" s="34"/>
      <c r="E532" s="35"/>
      <c r="F532" s="34"/>
      <c r="G532" s="34"/>
      <c r="H532" s="65"/>
      <c r="I532" s="105"/>
      <c r="J532" s="34"/>
      <c r="K532" s="34"/>
      <c r="L532" s="34"/>
      <c r="M532" s="188"/>
      <c r="N532" s="188"/>
      <c r="O532" s="188"/>
      <c r="P532" s="34"/>
      <c r="Q532" s="304"/>
      <c r="R532" s="34"/>
      <c r="S532" s="34"/>
      <c r="T532" s="34"/>
      <c r="U532" s="105"/>
      <c r="V532" s="105"/>
    </row>
    <row r="533" spans="1:22" ht="12.75">
      <c r="A533" s="309"/>
      <c r="B533" s="309"/>
      <c r="C533" s="34"/>
      <c r="D533" s="34"/>
      <c r="E533" s="35"/>
      <c r="F533" s="34"/>
      <c r="G533" s="34"/>
      <c r="H533" s="65"/>
      <c r="I533" s="105"/>
      <c r="J533" s="34"/>
      <c r="K533" s="34"/>
      <c r="L533" s="34"/>
      <c r="M533" s="188"/>
      <c r="N533" s="188"/>
      <c r="O533" s="188"/>
      <c r="P533" s="34"/>
      <c r="Q533" s="304"/>
      <c r="R533" s="34"/>
      <c r="S533" s="34"/>
      <c r="T533" s="34"/>
      <c r="U533" s="105"/>
      <c r="V533" s="105"/>
    </row>
    <row r="534" spans="1:22" ht="12.75">
      <c r="A534" s="309"/>
      <c r="B534" s="309"/>
      <c r="C534" s="34"/>
      <c r="D534" s="34"/>
      <c r="E534" s="35"/>
      <c r="F534" s="34"/>
      <c r="G534" s="34"/>
      <c r="H534" s="65"/>
      <c r="I534" s="105"/>
      <c r="J534" s="34"/>
      <c r="K534" s="34"/>
      <c r="L534" s="34"/>
      <c r="M534" s="188"/>
      <c r="N534" s="188"/>
      <c r="O534" s="188"/>
      <c r="P534" s="34"/>
      <c r="Q534" s="304"/>
      <c r="R534" s="34"/>
      <c r="S534" s="34"/>
      <c r="T534" s="34"/>
      <c r="U534" s="105"/>
      <c r="V534" s="105"/>
    </row>
    <row r="535" spans="1:22" ht="12.75">
      <c r="A535" s="309"/>
      <c r="B535" s="309"/>
      <c r="C535" s="34"/>
      <c r="D535" s="34"/>
      <c r="E535" s="35"/>
      <c r="F535" s="34"/>
      <c r="G535" s="34"/>
      <c r="H535" s="65"/>
      <c r="I535" s="105"/>
      <c r="J535" s="34"/>
      <c r="K535" s="34"/>
      <c r="L535" s="34"/>
      <c r="M535" s="188"/>
      <c r="N535" s="188"/>
      <c r="O535" s="188"/>
      <c r="P535" s="34"/>
      <c r="Q535" s="304"/>
      <c r="R535" s="34"/>
      <c r="S535" s="34"/>
      <c r="T535" s="34"/>
      <c r="U535" s="105"/>
      <c r="V535" s="105"/>
    </row>
    <row r="536" spans="1:22" ht="12.75">
      <c r="A536" s="309"/>
      <c r="B536" s="309"/>
      <c r="C536" s="34"/>
      <c r="D536" s="34"/>
      <c r="E536" s="35"/>
      <c r="F536" s="34"/>
      <c r="G536" s="34"/>
      <c r="H536" s="65"/>
      <c r="I536" s="105"/>
      <c r="J536" s="34"/>
      <c r="K536" s="34"/>
      <c r="L536" s="34"/>
      <c r="M536" s="188"/>
      <c r="N536" s="188"/>
      <c r="O536" s="188"/>
      <c r="P536" s="34"/>
      <c r="Q536" s="304"/>
      <c r="R536" s="34"/>
      <c r="S536" s="34"/>
      <c r="T536" s="34"/>
      <c r="U536" s="105"/>
      <c r="V536" s="105"/>
    </row>
    <row r="537" spans="1:22" ht="12.75">
      <c r="A537" s="309"/>
      <c r="B537" s="309"/>
      <c r="C537" s="34"/>
      <c r="D537" s="34"/>
      <c r="E537" s="35"/>
      <c r="F537" s="34"/>
      <c r="G537" s="34"/>
      <c r="H537" s="65"/>
      <c r="I537" s="105"/>
      <c r="J537" s="34"/>
      <c r="K537" s="34"/>
      <c r="L537" s="34"/>
      <c r="M537" s="188"/>
      <c r="N537" s="188"/>
      <c r="O537" s="188"/>
      <c r="P537" s="34"/>
      <c r="Q537" s="304"/>
      <c r="R537" s="34"/>
      <c r="S537" s="34"/>
      <c r="T537" s="34"/>
      <c r="U537" s="105"/>
      <c r="V537" s="105"/>
    </row>
    <row r="538" spans="1:22" ht="12.75">
      <c r="A538" s="309"/>
      <c r="B538" s="309"/>
      <c r="C538" s="34"/>
      <c r="D538" s="34"/>
      <c r="E538" s="35"/>
      <c r="F538" s="34"/>
      <c r="G538" s="34"/>
      <c r="H538" s="65"/>
      <c r="I538" s="105"/>
      <c r="J538" s="34"/>
      <c r="K538" s="34"/>
      <c r="L538" s="34"/>
      <c r="M538" s="188"/>
      <c r="N538" s="188"/>
      <c r="O538" s="188"/>
      <c r="P538" s="34"/>
      <c r="Q538" s="304"/>
      <c r="R538" s="34"/>
      <c r="S538" s="34"/>
      <c r="T538" s="34"/>
      <c r="U538" s="105"/>
      <c r="V538" s="105"/>
    </row>
    <row r="539" spans="1:22" ht="12.75">
      <c r="A539" s="309"/>
      <c r="B539" s="309"/>
      <c r="C539" s="34"/>
      <c r="D539" s="34"/>
      <c r="E539" s="35"/>
      <c r="F539" s="34"/>
      <c r="G539" s="34"/>
      <c r="H539" s="65"/>
      <c r="I539" s="105"/>
      <c r="J539" s="34"/>
      <c r="K539" s="34"/>
      <c r="L539" s="34"/>
      <c r="M539" s="188"/>
      <c r="N539" s="188"/>
      <c r="O539" s="188"/>
      <c r="P539" s="34"/>
      <c r="Q539" s="304"/>
      <c r="R539" s="34"/>
      <c r="S539" s="34"/>
      <c r="T539" s="34"/>
      <c r="U539" s="105"/>
      <c r="V539" s="105"/>
    </row>
    <row r="540" spans="1:22" ht="12.75">
      <c r="A540" s="309"/>
      <c r="B540" s="309"/>
      <c r="C540" s="34"/>
      <c r="D540" s="34"/>
      <c r="E540" s="35"/>
      <c r="F540" s="34"/>
      <c r="G540" s="34"/>
      <c r="H540" s="65"/>
      <c r="I540" s="105"/>
      <c r="J540" s="34"/>
      <c r="K540" s="34"/>
      <c r="L540" s="34"/>
      <c r="M540" s="188"/>
      <c r="N540" s="188"/>
      <c r="O540" s="188"/>
      <c r="P540" s="34"/>
      <c r="Q540" s="304"/>
      <c r="R540" s="34"/>
      <c r="S540" s="34"/>
      <c r="T540" s="34"/>
      <c r="U540" s="105"/>
      <c r="V540" s="105"/>
    </row>
    <row r="541" spans="1:22" ht="12.75">
      <c r="A541" s="309"/>
      <c r="B541" s="309"/>
      <c r="C541" s="34"/>
      <c r="D541" s="34"/>
      <c r="E541" s="35"/>
      <c r="F541" s="34"/>
      <c r="G541" s="34"/>
      <c r="H541" s="65"/>
      <c r="I541" s="105"/>
      <c r="J541" s="34"/>
      <c r="K541" s="34"/>
      <c r="L541" s="34"/>
      <c r="M541" s="188"/>
      <c r="N541" s="188"/>
      <c r="O541" s="188"/>
      <c r="P541" s="34"/>
      <c r="Q541" s="304"/>
      <c r="R541" s="34"/>
      <c r="S541" s="34"/>
      <c r="T541" s="34"/>
      <c r="U541" s="105"/>
      <c r="V541" s="105"/>
    </row>
    <row r="542" spans="1:22" ht="12.75">
      <c r="A542" s="309"/>
      <c r="B542" s="309"/>
      <c r="C542" s="34"/>
      <c r="D542" s="34"/>
      <c r="E542" s="35"/>
      <c r="F542" s="34"/>
      <c r="G542" s="34"/>
      <c r="H542" s="65"/>
      <c r="I542" s="105"/>
      <c r="J542" s="34"/>
      <c r="K542" s="34"/>
      <c r="L542" s="34"/>
      <c r="M542" s="188"/>
      <c r="N542" s="188"/>
      <c r="O542" s="188"/>
      <c r="P542" s="34"/>
      <c r="Q542" s="304"/>
      <c r="R542" s="34"/>
      <c r="S542" s="34"/>
      <c r="T542" s="34"/>
      <c r="U542" s="105"/>
      <c r="V542" s="105"/>
    </row>
    <row r="543" spans="1:22" ht="12.75">
      <c r="A543" s="309"/>
      <c r="B543" s="309"/>
      <c r="C543" s="34"/>
      <c r="D543" s="34"/>
      <c r="E543" s="35"/>
      <c r="F543" s="34"/>
      <c r="G543" s="34"/>
      <c r="H543" s="65"/>
      <c r="I543" s="105"/>
      <c r="J543" s="34"/>
      <c r="K543" s="34"/>
      <c r="L543" s="34"/>
      <c r="M543" s="188"/>
      <c r="N543" s="188"/>
      <c r="O543" s="188"/>
      <c r="P543" s="34"/>
      <c r="Q543" s="304"/>
      <c r="R543" s="34"/>
      <c r="S543" s="34"/>
      <c r="T543" s="34"/>
      <c r="U543" s="105"/>
      <c r="V543" s="105"/>
    </row>
    <row r="544" spans="1:22" ht="12.75">
      <c r="A544" s="309"/>
      <c r="B544" s="309"/>
      <c r="C544" s="34"/>
      <c r="D544" s="34"/>
      <c r="E544" s="35"/>
      <c r="F544" s="34"/>
      <c r="G544" s="34"/>
      <c r="H544" s="65"/>
      <c r="I544" s="105"/>
      <c r="J544" s="34"/>
      <c r="K544" s="34"/>
      <c r="L544" s="34"/>
      <c r="M544" s="188"/>
      <c r="N544" s="188"/>
      <c r="O544" s="188"/>
      <c r="P544" s="34"/>
      <c r="Q544" s="304"/>
      <c r="R544" s="34"/>
      <c r="S544" s="34"/>
      <c r="T544" s="34"/>
      <c r="U544" s="105"/>
      <c r="V544" s="105"/>
    </row>
    <row r="545" spans="1:22" ht="12.75">
      <c r="A545" s="309"/>
      <c r="B545" s="309"/>
      <c r="C545" s="34"/>
      <c r="D545" s="34"/>
      <c r="E545" s="35"/>
      <c r="F545" s="34"/>
      <c r="G545" s="34"/>
      <c r="H545" s="65"/>
      <c r="I545" s="105"/>
      <c r="J545" s="34"/>
      <c r="K545" s="34"/>
      <c r="L545" s="34"/>
      <c r="M545" s="188"/>
      <c r="N545" s="188"/>
      <c r="O545" s="188"/>
      <c r="P545" s="34"/>
      <c r="Q545" s="304"/>
      <c r="R545" s="34"/>
      <c r="S545" s="34"/>
      <c r="T545" s="34"/>
      <c r="U545" s="105"/>
      <c r="V545" s="105"/>
    </row>
    <row r="546" spans="1:22" ht="12.75">
      <c r="A546" s="309"/>
      <c r="B546" s="309"/>
      <c r="C546" s="34"/>
      <c r="D546" s="34"/>
      <c r="E546" s="35"/>
      <c r="F546" s="34"/>
      <c r="G546" s="34"/>
      <c r="H546" s="65"/>
      <c r="I546" s="105"/>
      <c r="J546" s="34"/>
      <c r="K546" s="34"/>
      <c r="L546" s="34"/>
      <c r="M546" s="188"/>
      <c r="N546" s="188"/>
      <c r="O546" s="188"/>
      <c r="P546" s="34"/>
      <c r="Q546" s="304"/>
      <c r="R546" s="34"/>
      <c r="S546" s="34"/>
      <c r="T546" s="34"/>
      <c r="U546" s="105"/>
      <c r="V546" s="105"/>
    </row>
    <row r="547" spans="1:22" ht="12.75">
      <c r="A547" s="309"/>
      <c r="B547" s="309"/>
      <c r="C547" s="34"/>
      <c r="D547" s="34"/>
      <c r="E547" s="35"/>
      <c r="F547" s="34"/>
      <c r="G547" s="34"/>
      <c r="H547" s="65"/>
      <c r="I547" s="105"/>
      <c r="J547" s="34"/>
      <c r="K547" s="34"/>
      <c r="L547" s="34"/>
      <c r="M547" s="188"/>
      <c r="N547" s="188"/>
      <c r="O547" s="188"/>
      <c r="P547" s="34"/>
      <c r="Q547" s="304"/>
      <c r="R547" s="34"/>
      <c r="S547" s="34"/>
      <c r="T547" s="34"/>
      <c r="U547" s="105"/>
      <c r="V547" s="105"/>
    </row>
    <row r="548" spans="1:22" ht="12.75">
      <c r="A548" s="309"/>
      <c r="B548" s="309"/>
      <c r="C548" s="34"/>
      <c r="D548" s="34"/>
      <c r="E548" s="35"/>
      <c r="F548" s="34"/>
      <c r="G548" s="34"/>
      <c r="H548" s="65"/>
      <c r="I548" s="105"/>
      <c r="J548" s="34"/>
      <c r="K548" s="34"/>
      <c r="L548" s="34"/>
      <c r="M548" s="188"/>
      <c r="N548" s="188"/>
      <c r="O548" s="188"/>
      <c r="P548" s="34"/>
      <c r="Q548" s="304"/>
      <c r="R548" s="34"/>
      <c r="S548" s="34"/>
      <c r="T548" s="34"/>
      <c r="U548" s="105"/>
      <c r="V548" s="105"/>
    </row>
    <row r="549" spans="1:22" ht="12.75">
      <c r="A549" s="309"/>
      <c r="B549" s="309"/>
      <c r="C549" s="34"/>
      <c r="D549" s="34"/>
      <c r="E549" s="35"/>
      <c r="F549" s="34"/>
      <c r="G549" s="34"/>
      <c r="H549" s="65"/>
      <c r="I549" s="105"/>
      <c r="J549" s="34"/>
      <c r="K549" s="34"/>
      <c r="L549" s="34"/>
      <c r="M549" s="188"/>
      <c r="N549" s="188"/>
      <c r="O549" s="188"/>
      <c r="P549" s="34"/>
      <c r="Q549" s="304"/>
      <c r="R549" s="34"/>
      <c r="S549" s="34"/>
      <c r="T549" s="34"/>
      <c r="U549" s="105"/>
      <c r="V549" s="105"/>
    </row>
    <row r="550" spans="1:22" ht="12.75">
      <c r="A550" s="309"/>
      <c r="B550" s="309"/>
      <c r="C550" s="34"/>
      <c r="D550" s="34"/>
      <c r="E550" s="35"/>
      <c r="F550" s="34"/>
      <c r="G550" s="34"/>
      <c r="H550" s="65"/>
      <c r="I550" s="105"/>
      <c r="J550" s="34"/>
      <c r="K550" s="34"/>
      <c r="L550" s="34"/>
      <c r="M550" s="188"/>
      <c r="N550" s="188"/>
      <c r="O550" s="188"/>
      <c r="P550" s="34"/>
      <c r="Q550" s="304"/>
      <c r="R550" s="34"/>
      <c r="S550" s="34"/>
      <c r="T550" s="34"/>
      <c r="U550" s="105"/>
      <c r="V550" s="105"/>
    </row>
    <row r="551" spans="1:22" ht="12.75">
      <c r="A551" s="309"/>
      <c r="B551" s="309"/>
      <c r="C551" s="34"/>
      <c r="D551" s="34"/>
      <c r="E551" s="35"/>
      <c r="F551" s="34"/>
      <c r="G551" s="34"/>
      <c r="H551" s="65"/>
      <c r="I551" s="105"/>
      <c r="J551" s="34"/>
      <c r="K551" s="34"/>
      <c r="L551" s="34"/>
      <c r="M551" s="188"/>
      <c r="N551" s="188"/>
      <c r="O551" s="188"/>
      <c r="P551" s="34"/>
      <c r="Q551" s="304"/>
      <c r="R551" s="34"/>
      <c r="S551" s="34"/>
      <c r="T551" s="34"/>
      <c r="U551" s="105"/>
      <c r="V551" s="105"/>
    </row>
    <row r="552" spans="1:22" ht="12.75">
      <c r="A552" s="309"/>
      <c r="B552" s="309"/>
      <c r="C552" s="34"/>
      <c r="D552" s="34"/>
      <c r="E552" s="35"/>
      <c r="F552" s="34"/>
      <c r="G552" s="34"/>
      <c r="H552" s="65"/>
      <c r="I552" s="105"/>
      <c r="J552" s="34"/>
      <c r="K552" s="34"/>
      <c r="L552" s="34"/>
      <c r="M552" s="188"/>
      <c r="N552" s="188"/>
      <c r="O552" s="188"/>
      <c r="P552" s="34"/>
      <c r="Q552" s="304"/>
      <c r="R552" s="34"/>
      <c r="S552" s="34"/>
      <c r="T552" s="34"/>
      <c r="U552" s="105"/>
      <c r="V552" s="105"/>
    </row>
    <row r="553" spans="1:22" ht="12.75">
      <c r="A553" s="309"/>
      <c r="B553" s="309"/>
      <c r="C553" s="34"/>
      <c r="D553" s="34"/>
      <c r="E553" s="35"/>
      <c r="F553" s="34"/>
      <c r="G553" s="34"/>
      <c r="H553" s="65"/>
      <c r="I553" s="105"/>
      <c r="J553" s="34"/>
      <c r="K553" s="34"/>
      <c r="L553" s="34"/>
      <c r="M553" s="188"/>
      <c r="N553" s="188"/>
      <c r="O553" s="188"/>
      <c r="P553" s="34"/>
      <c r="Q553" s="304"/>
      <c r="R553" s="34"/>
      <c r="S553" s="34"/>
      <c r="T553" s="34"/>
      <c r="U553" s="105"/>
      <c r="V553" s="105"/>
    </row>
    <row r="554" spans="1:22" ht="12.75">
      <c r="A554" s="309"/>
      <c r="B554" s="309"/>
      <c r="C554" s="34"/>
      <c r="D554" s="34"/>
      <c r="E554" s="35"/>
      <c r="F554" s="34"/>
      <c r="G554" s="34"/>
      <c r="H554" s="65"/>
      <c r="I554" s="105"/>
      <c r="J554" s="34"/>
      <c r="K554" s="34"/>
      <c r="L554" s="34"/>
      <c r="M554" s="188"/>
      <c r="N554" s="188"/>
      <c r="O554" s="188"/>
      <c r="P554" s="34"/>
      <c r="Q554" s="304"/>
      <c r="R554" s="34"/>
      <c r="S554" s="34"/>
      <c r="T554" s="34"/>
      <c r="U554" s="105"/>
      <c r="V554" s="105"/>
    </row>
    <row r="555" spans="1:22" ht="12.75">
      <c r="A555" s="309"/>
      <c r="B555" s="309"/>
      <c r="C555" s="34"/>
      <c r="D555" s="34"/>
      <c r="E555" s="35"/>
      <c r="F555" s="34"/>
      <c r="G555" s="34"/>
      <c r="H555" s="65"/>
      <c r="I555" s="105"/>
      <c r="J555" s="34"/>
      <c r="K555" s="34"/>
      <c r="L555" s="34"/>
      <c r="M555" s="188"/>
      <c r="N555" s="188"/>
      <c r="O555" s="188"/>
      <c r="P555" s="34"/>
      <c r="Q555" s="304"/>
      <c r="R555" s="34"/>
      <c r="S555" s="34"/>
      <c r="T555" s="34"/>
      <c r="U555" s="105"/>
      <c r="V555" s="105"/>
    </row>
    <row r="556" spans="1:22" ht="12.75">
      <c r="A556" s="309"/>
      <c r="B556" s="309"/>
      <c r="C556" s="34"/>
      <c r="D556" s="34"/>
      <c r="E556" s="35"/>
      <c r="F556" s="34"/>
      <c r="G556" s="34"/>
      <c r="H556" s="65"/>
      <c r="I556" s="105"/>
      <c r="J556" s="34"/>
      <c r="K556" s="34"/>
      <c r="L556" s="34"/>
      <c r="M556" s="188"/>
      <c r="N556" s="188"/>
      <c r="O556" s="188"/>
      <c r="P556" s="34"/>
      <c r="Q556" s="304"/>
      <c r="R556" s="34"/>
      <c r="S556" s="34"/>
      <c r="T556" s="34"/>
      <c r="U556" s="105"/>
      <c r="V556" s="105"/>
    </row>
    <row r="557" spans="1:22" ht="12.75">
      <c r="A557" s="309"/>
      <c r="B557" s="309"/>
      <c r="C557" s="34"/>
      <c r="D557" s="34"/>
      <c r="E557" s="35"/>
      <c r="F557" s="34"/>
      <c r="G557" s="34"/>
      <c r="H557" s="65"/>
      <c r="I557" s="105"/>
      <c r="J557" s="34"/>
      <c r="K557" s="34"/>
      <c r="L557" s="34"/>
      <c r="M557" s="188"/>
      <c r="N557" s="188"/>
      <c r="O557" s="188"/>
      <c r="P557" s="34"/>
      <c r="Q557" s="304"/>
      <c r="R557" s="34"/>
      <c r="S557" s="34"/>
      <c r="T557" s="34"/>
      <c r="U557" s="105"/>
      <c r="V557" s="105"/>
    </row>
    <row r="558" spans="1:22" ht="12.75">
      <c r="A558" s="309"/>
      <c r="B558" s="309"/>
      <c r="C558" s="34"/>
      <c r="D558" s="34"/>
      <c r="E558" s="35"/>
      <c r="F558" s="34"/>
      <c r="G558" s="34"/>
      <c r="H558" s="65"/>
      <c r="I558" s="105"/>
      <c r="J558" s="34"/>
      <c r="K558" s="34"/>
      <c r="L558" s="34"/>
      <c r="M558" s="188"/>
      <c r="N558" s="188"/>
      <c r="O558" s="188"/>
      <c r="P558" s="34"/>
      <c r="Q558" s="304"/>
      <c r="R558" s="34"/>
      <c r="S558" s="34"/>
      <c r="T558" s="34"/>
      <c r="U558" s="105"/>
      <c r="V558" s="105"/>
    </row>
    <row r="559" spans="1:22" ht="12.75">
      <c r="A559" s="309"/>
      <c r="B559" s="309"/>
      <c r="C559" s="34"/>
      <c r="D559" s="34"/>
      <c r="E559" s="35"/>
      <c r="F559" s="34"/>
      <c r="G559" s="34"/>
      <c r="H559" s="65"/>
      <c r="I559" s="105"/>
      <c r="J559" s="34"/>
      <c r="K559" s="34"/>
      <c r="L559" s="34"/>
      <c r="M559" s="188"/>
      <c r="N559" s="188"/>
      <c r="O559" s="188"/>
      <c r="P559" s="34"/>
      <c r="Q559" s="304"/>
      <c r="R559" s="34"/>
      <c r="S559" s="34"/>
      <c r="T559" s="34"/>
      <c r="U559" s="105"/>
      <c r="V559" s="105"/>
    </row>
    <row r="560" spans="1:22" ht="12.75">
      <c r="A560" s="309"/>
      <c r="B560" s="309"/>
      <c r="C560" s="34"/>
      <c r="D560" s="34"/>
      <c r="E560" s="35"/>
      <c r="F560" s="34"/>
      <c r="G560" s="34"/>
      <c r="H560" s="65"/>
      <c r="I560" s="105"/>
      <c r="J560" s="34"/>
      <c r="K560" s="34"/>
      <c r="L560" s="34"/>
      <c r="M560" s="188"/>
      <c r="N560" s="188"/>
      <c r="O560" s="188"/>
      <c r="P560" s="34"/>
      <c r="Q560" s="304"/>
      <c r="R560" s="34"/>
      <c r="S560" s="34"/>
      <c r="T560" s="34"/>
      <c r="U560" s="105"/>
      <c r="V560" s="105"/>
    </row>
    <row r="561" spans="1:22" ht="12.75">
      <c r="A561" s="309"/>
      <c r="B561" s="309"/>
      <c r="C561" s="34"/>
      <c r="D561" s="34"/>
      <c r="E561" s="35"/>
      <c r="F561" s="34"/>
      <c r="G561" s="34"/>
      <c r="H561" s="65"/>
      <c r="I561" s="105"/>
      <c r="J561" s="34"/>
      <c r="K561" s="34"/>
      <c r="L561" s="34"/>
      <c r="M561" s="188"/>
      <c r="N561" s="188"/>
      <c r="O561" s="188"/>
      <c r="P561" s="34"/>
      <c r="Q561" s="304"/>
      <c r="R561" s="34"/>
      <c r="S561" s="34"/>
      <c r="T561" s="34"/>
      <c r="U561" s="105"/>
      <c r="V561" s="105"/>
    </row>
    <row r="562" spans="1:22" ht="12.75">
      <c r="A562" s="309"/>
      <c r="B562" s="309"/>
      <c r="C562" s="34"/>
      <c r="D562" s="34"/>
      <c r="E562" s="35"/>
      <c r="F562" s="34"/>
      <c r="G562" s="34"/>
      <c r="H562" s="65"/>
      <c r="I562" s="105"/>
      <c r="J562" s="34"/>
      <c r="K562" s="34"/>
      <c r="L562" s="34"/>
      <c r="M562" s="188"/>
      <c r="N562" s="188"/>
      <c r="O562" s="188"/>
      <c r="P562" s="34"/>
      <c r="Q562" s="304"/>
      <c r="R562" s="34"/>
      <c r="S562" s="34"/>
      <c r="T562" s="34"/>
      <c r="U562" s="105"/>
      <c r="V562" s="105"/>
    </row>
    <row r="563" spans="1:22" ht="12.75">
      <c r="A563" s="309"/>
      <c r="B563" s="309"/>
      <c r="C563" s="34"/>
      <c r="D563" s="34"/>
      <c r="E563" s="35"/>
      <c r="F563" s="34"/>
      <c r="G563" s="34"/>
      <c r="H563" s="65"/>
      <c r="I563" s="105"/>
      <c r="J563" s="34"/>
      <c r="K563" s="34"/>
      <c r="L563" s="34"/>
      <c r="M563" s="188"/>
      <c r="N563" s="188"/>
      <c r="O563" s="188"/>
      <c r="P563" s="34"/>
      <c r="Q563" s="304"/>
      <c r="R563" s="34"/>
      <c r="S563" s="34"/>
      <c r="T563" s="34"/>
      <c r="U563" s="105"/>
      <c r="V563" s="105"/>
    </row>
    <row r="564" spans="1:22" ht="12.75">
      <c r="A564" s="309"/>
      <c r="B564" s="309"/>
      <c r="C564" s="34"/>
      <c r="D564" s="34"/>
      <c r="E564" s="35"/>
      <c r="F564" s="34"/>
      <c r="G564" s="34"/>
      <c r="H564" s="65"/>
      <c r="I564" s="105"/>
      <c r="J564" s="34"/>
      <c r="K564" s="34"/>
      <c r="L564" s="34"/>
      <c r="M564" s="188"/>
      <c r="N564" s="188"/>
      <c r="O564" s="188"/>
      <c r="P564" s="34"/>
      <c r="Q564" s="304"/>
      <c r="R564" s="34"/>
      <c r="S564" s="34"/>
      <c r="T564" s="34"/>
      <c r="U564" s="105"/>
      <c r="V564" s="105"/>
    </row>
    <row r="565" spans="1:22" ht="12.75">
      <c r="A565" s="309"/>
      <c r="B565" s="309"/>
      <c r="C565" s="34"/>
      <c r="D565" s="34"/>
      <c r="E565" s="35"/>
      <c r="F565" s="34"/>
      <c r="G565" s="34"/>
      <c r="H565" s="65"/>
      <c r="I565" s="105"/>
      <c r="J565" s="34"/>
      <c r="K565" s="34"/>
      <c r="L565" s="34"/>
      <c r="M565" s="188"/>
      <c r="N565" s="188"/>
      <c r="O565" s="188"/>
      <c r="P565" s="34"/>
      <c r="Q565" s="304"/>
      <c r="R565" s="34"/>
      <c r="S565" s="34"/>
      <c r="T565" s="34"/>
      <c r="U565" s="105"/>
      <c r="V565" s="105"/>
    </row>
    <row r="566" spans="1:22" ht="12.75">
      <c r="A566" s="309"/>
      <c r="B566" s="309"/>
      <c r="C566" s="34"/>
      <c r="D566" s="34"/>
      <c r="E566" s="35"/>
      <c r="F566" s="34"/>
      <c r="G566" s="34"/>
      <c r="H566" s="65"/>
      <c r="I566" s="105"/>
      <c r="J566" s="34"/>
      <c r="K566" s="34"/>
      <c r="L566" s="34"/>
      <c r="M566" s="188"/>
      <c r="N566" s="188"/>
      <c r="O566" s="188"/>
      <c r="P566" s="34"/>
      <c r="Q566" s="304"/>
      <c r="R566" s="34"/>
      <c r="S566" s="34"/>
      <c r="T566" s="34"/>
      <c r="U566" s="105"/>
      <c r="V566" s="105"/>
    </row>
    <row r="567" spans="1:22" ht="12.75">
      <c r="A567" s="309"/>
      <c r="B567" s="309"/>
      <c r="C567" s="34"/>
      <c r="D567" s="34"/>
      <c r="E567" s="35"/>
      <c r="F567" s="34"/>
      <c r="G567" s="34"/>
      <c r="H567" s="65"/>
      <c r="I567" s="105"/>
      <c r="J567" s="34"/>
      <c r="K567" s="34"/>
      <c r="L567" s="34"/>
      <c r="M567" s="188"/>
      <c r="N567" s="188"/>
      <c r="O567" s="188"/>
      <c r="P567" s="34"/>
      <c r="Q567" s="304"/>
      <c r="R567" s="34"/>
      <c r="S567" s="34"/>
      <c r="T567" s="34"/>
      <c r="U567" s="105"/>
      <c r="V567" s="105"/>
    </row>
    <row r="568" spans="1:22" ht="12.75">
      <c r="A568" s="309"/>
      <c r="B568" s="309"/>
      <c r="C568" s="34"/>
      <c r="D568" s="34"/>
      <c r="E568" s="35"/>
      <c r="F568" s="34"/>
      <c r="G568" s="34"/>
      <c r="H568" s="65"/>
      <c r="I568" s="105"/>
      <c r="J568" s="34"/>
      <c r="K568" s="34"/>
      <c r="L568" s="34"/>
      <c r="M568" s="188"/>
      <c r="N568" s="188"/>
      <c r="O568" s="188"/>
      <c r="P568" s="34"/>
      <c r="Q568" s="304"/>
      <c r="R568" s="34"/>
      <c r="S568" s="34"/>
      <c r="T568" s="34"/>
      <c r="U568" s="105"/>
      <c r="V568" s="105"/>
    </row>
    <row r="569" spans="1:22" ht="12.75">
      <c r="A569" s="309"/>
      <c r="B569" s="309"/>
      <c r="C569" s="34"/>
      <c r="D569" s="34"/>
      <c r="E569" s="35"/>
      <c r="F569" s="34"/>
      <c r="G569" s="34"/>
      <c r="H569" s="65"/>
      <c r="I569" s="105"/>
      <c r="J569" s="34"/>
      <c r="K569" s="34"/>
      <c r="L569" s="34"/>
      <c r="M569" s="188"/>
      <c r="N569" s="188"/>
      <c r="O569" s="188"/>
      <c r="P569" s="34"/>
      <c r="Q569" s="304"/>
      <c r="R569" s="34"/>
      <c r="S569" s="34"/>
      <c r="T569" s="34"/>
      <c r="U569" s="105"/>
      <c r="V569" s="105"/>
    </row>
    <row r="570" spans="1:22" ht="12.75">
      <c r="A570" s="309"/>
      <c r="B570" s="309"/>
      <c r="C570" s="34"/>
      <c r="D570" s="34"/>
      <c r="E570" s="35"/>
      <c r="F570" s="34"/>
      <c r="G570" s="34"/>
      <c r="H570" s="65"/>
      <c r="I570" s="105"/>
      <c r="J570" s="34"/>
      <c r="K570" s="34"/>
      <c r="L570" s="34"/>
      <c r="M570" s="188"/>
      <c r="N570" s="188"/>
      <c r="O570" s="188"/>
      <c r="P570" s="34"/>
      <c r="Q570" s="304"/>
      <c r="R570" s="34"/>
      <c r="S570" s="34"/>
      <c r="T570" s="34"/>
      <c r="U570" s="105"/>
      <c r="V570" s="105"/>
    </row>
    <row r="571" spans="1:22" ht="12.75">
      <c r="A571" s="309"/>
      <c r="B571" s="309"/>
      <c r="C571" s="34"/>
      <c r="D571" s="34"/>
      <c r="E571" s="35"/>
      <c r="F571" s="34"/>
      <c r="G571" s="34"/>
      <c r="H571" s="65"/>
      <c r="I571" s="105"/>
      <c r="J571" s="34"/>
      <c r="K571" s="34"/>
      <c r="L571" s="34"/>
      <c r="M571" s="188"/>
      <c r="N571" s="188"/>
      <c r="O571" s="188"/>
      <c r="P571" s="34"/>
      <c r="Q571" s="304"/>
      <c r="R571" s="34"/>
      <c r="S571" s="34"/>
      <c r="T571" s="34"/>
      <c r="U571" s="105"/>
      <c r="V571" s="105"/>
    </row>
    <row r="572" spans="1:22" ht="12.75">
      <c r="A572" s="309"/>
      <c r="B572" s="309"/>
      <c r="C572" s="34"/>
      <c r="D572" s="34"/>
      <c r="E572" s="35"/>
      <c r="F572" s="34"/>
      <c r="G572" s="34"/>
      <c r="H572" s="65"/>
      <c r="I572" s="105"/>
      <c r="J572" s="34"/>
      <c r="K572" s="34"/>
      <c r="L572" s="34"/>
      <c r="M572" s="188"/>
      <c r="N572" s="188"/>
      <c r="O572" s="188"/>
      <c r="P572" s="34"/>
      <c r="Q572" s="304"/>
      <c r="R572" s="34"/>
      <c r="S572" s="34"/>
      <c r="T572" s="34"/>
      <c r="U572" s="105"/>
      <c r="V572" s="105"/>
    </row>
    <row r="573" spans="1:22" ht="12.75">
      <c r="A573" s="309"/>
      <c r="B573" s="309"/>
      <c r="C573" s="34"/>
      <c r="D573" s="34"/>
      <c r="E573" s="35"/>
      <c r="F573" s="34"/>
      <c r="G573" s="34"/>
      <c r="H573" s="65"/>
      <c r="I573" s="105"/>
      <c r="J573" s="34"/>
      <c r="K573" s="34"/>
      <c r="L573" s="34"/>
      <c r="M573" s="188"/>
      <c r="N573" s="188"/>
      <c r="O573" s="188"/>
      <c r="P573" s="34"/>
      <c r="Q573" s="304"/>
      <c r="R573" s="34"/>
      <c r="S573" s="34"/>
      <c r="T573" s="34"/>
      <c r="U573" s="105"/>
      <c r="V573" s="105"/>
    </row>
    <row r="574" spans="1:22" ht="12.75">
      <c r="A574" s="309"/>
      <c r="B574" s="309"/>
      <c r="C574" s="34"/>
      <c r="D574" s="34"/>
      <c r="E574" s="35"/>
      <c r="F574" s="34"/>
      <c r="G574" s="34"/>
      <c r="H574" s="65"/>
      <c r="I574" s="105"/>
      <c r="J574" s="34"/>
      <c r="K574" s="34"/>
      <c r="L574" s="34"/>
      <c r="M574" s="188"/>
      <c r="N574" s="188"/>
      <c r="O574" s="188"/>
      <c r="P574" s="34"/>
      <c r="Q574" s="304"/>
      <c r="R574" s="34"/>
      <c r="S574" s="34"/>
      <c r="T574" s="34"/>
      <c r="U574" s="105"/>
      <c r="V574" s="105"/>
    </row>
    <row r="575" spans="1:22" ht="12.75">
      <c r="A575" s="309"/>
      <c r="B575" s="309"/>
      <c r="C575" s="34"/>
      <c r="D575" s="34"/>
      <c r="E575" s="35"/>
      <c r="F575" s="34"/>
      <c r="G575" s="34"/>
      <c r="H575" s="65"/>
      <c r="I575" s="105"/>
      <c r="J575" s="34"/>
      <c r="K575" s="34"/>
      <c r="L575" s="34"/>
      <c r="M575" s="188"/>
      <c r="N575" s="188"/>
      <c r="O575" s="188"/>
      <c r="P575" s="34"/>
      <c r="Q575" s="304"/>
      <c r="R575" s="34"/>
      <c r="S575" s="34"/>
      <c r="T575" s="34"/>
      <c r="U575" s="105"/>
      <c r="V575" s="105"/>
    </row>
    <row r="576" spans="1:22" ht="12.75">
      <c r="A576" s="309"/>
      <c r="B576" s="309"/>
      <c r="C576" s="34"/>
      <c r="D576" s="34"/>
      <c r="E576" s="35"/>
      <c r="F576" s="34"/>
      <c r="G576" s="34"/>
      <c r="H576" s="65"/>
      <c r="I576" s="105"/>
      <c r="J576" s="34"/>
      <c r="K576" s="34"/>
      <c r="L576" s="34"/>
      <c r="M576" s="188"/>
      <c r="N576" s="188"/>
      <c r="O576" s="188"/>
      <c r="P576" s="34"/>
      <c r="Q576" s="304"/>
      <c r="R576" s="34"/>
      <c r="S576" s="34"/>
      <c r="T576" s="34"/>
      <c r="U576" s="105"/>
      <c r="V576" s="105"/>
    </row>
    <row r="577" spans="1:22" ht="12.75">
      <c r="A577" s="309"/>
      <c r="B577" s="309"/>
      <c r="C577" s="34"/>
      <c r="D577" s="34"/>
      <c r="E577" s="35"/>
      <c r="F577" s="34"/>
      <c r="G577" s="34"/>
      <c r="H577" s="65"/>
      <c r="I577" s="105"/>
      <c r="J577" s="34"/>
      <c r="K577" s="34"/>
      <c r="L577" s="34"/>
      <c r="M577" s="188"/>
      <c r="N577" s="188"/>
      <c r="O577" s="188"/>
      <c r="P577" s="34"/>
      <c r="Q577" s="304"/>
      <c r="R577" s="34"/>
      <c r="S577" s="34"/>
      <c r="T577" s="34"/>
      <c r="U577" s="105"/>
      <c r="V577" s="105"/>
    </row>
    <row r="578" spans="1:22" ht="12.75">
      <c r="A578" s="309"/>
      <c r="B578" s="309"/>
      <c r="C578" s="34"/>
      <c r="D578" s="34"/>
      <c r="E578" s="35"/>
      <c r="F578" s="34"/>
      <c r="G578" s="34"/>
      <c r="H578" s="65"/>
      <c r="I578" s="105"/>
      <c r="J578" s="34"/>
      <c r="K578" s="34"/>
      <c r="L578" s="34"/>
      <c r="M578" s="188"/>
      <c r="N578" s="188"/>
      <c r="O578" s="188"/>
      <c r="P578" s="34"/>
      <c r="Q578" s="304"/>
      <c r="R578" s="34"/>
      <c r="S578" s="34"/>
      <c r="T578" s="34"/>
      <c r="U578" s="105"/>
      <c r="V578" s="105"/>
    </row>
    <row r="579" spans="1:22" ht="12.75">
      <c r="A579" s="309"/>
      <c r="B579" s="309"/>
      <c r="C579" s="34"/>
      <c r="D579" s="34"/>
      <c r="E579" s="35"/>
      <c r="F579" s="34"/>
      <c r="G579" s="34"/>
      <c r="H579" s="65"/>
      <c r="I579" s="105"/>
      <c r="J579" s="34"/>
      <c r="K579" s="34"/>
      <c r="L579" s="34"/>
      <c r="M579" s="188"/>
      <c r="N579" s="188"/>
      <c r="O579" s="188"/>
      <c r="P579" s="34"/>
      <c r="Q579" s="304"/>
      <c r="R579" s="34"/>
      <c r="S579" s="34"/>
      <c r="T579" s="34"/>
      <c r="U579" s="105"/>
      <c r="V579" s="105"/>
    </row>
    <row r="580" spans="1:22" ht="12.75">
      <c r="A580" s="309"/>
      <c r="B580" s="309"/>
      <c r="C580" s="34"/>
      <c r="D580" s="34"/>
      <c r="E580" s="35"/>
      <c r="F580" s="34"/>
      <c r="G580" s="34"/>
      <c r="H580" s="65"/>
      <c r="I580" s="105"/>
      <c r="J580" s="34"/>
      <c r="K580" s="34"/>
      <c r="L580" s="34"/>
      <c r="M580" s="188"/>
      <c r="N580" s="188"/>
      <c r="O580" s="188"/>
      <c r="P580" s="34"/>
      <c r="Q580" s="304"/>
      <c r="R580" s="34"/>
      <c r="S580" s="34"/>
      <c r="T580" s="34"/>
      <c r="U580" s="105"/>
      <c r="V580" s="105"/>
    </row>
    <row r="581" spans="1:22" ht="12.75">
      <c r="A581" s="309"/>
      <c r="B581" s="309"/>
      <c r="C581" s="34"/>
      <c r="D581" s="34"/>
      <c r="E581" s="35"/>
      <c r="F581" s="34"/>
      <c r="G581" s="34"/>
      <c r="H581" s="65"/>
      <c r="I581" s="105"/>
      <c r="J581" s="34"/>
      <c r="K581" s="34"/>
      <c r="L581" s="34"/>
      <c r="M581" s="188"/>
      <c r="N581" s="188"/>
      <c r="O581" s="188"/>
      <c r="P581" s="34"/>
      <c r="Q581" s="304"/>
      <c r="R581" s="34"/>
      <c r="S581" s="34"/>
      <c r="T581" s="34"/>
      <c r="U581" s="105"/>
      <c r="V581" s="105"/>
    </row>
    <row r="582" spans="1:22" ht="12.75">
      <c r="A582" s="309"/>
      <c r="B582" s="309"/>
      <c r="C582" s="34"/>
      <c r="D582" s="34"/>
      <c r="E582" s="35"/>
      <c r="F582" s="34"/>
      <c r="G582" s="34"/>
      <c r="H582" s="65"/>
      <c r="I582" s="105"/>
      <c r="J582" s="34"/>
      <c r="K582" s="34"/>
      <c r="L582" s="34"/>
      <c r="M582" s="188"/>
      <c r="N582" s="188"/>
      <c r="O582" s="188"/>
      <c r="P582" s="34"/>
      <c r="Q582" s="304"/>
      <c r="R582" s="34"/>
      <c r="S582" s="34"/>
      <c r="T582" s="34"/>
      <c r="U582" s="105"/>
      <c r="V582" s="105"/>
    </row>
    <row r="583" spans="1:22" ht="12.75">
      <c r="A583" s="309"/>
      <c r="B583" s="309"/>
      <c r="C583" s="34"/>
      <c r="D583" s="34"/>
      <c r="E583" s="35"/>
      <c r="F583" s="34"/>
      <c r="G583" s="34"/>
      <c r="H583" s="65"/>
      <c r="I583" s="105"/>
      <c r="J583" s="34"/>
      <c r="K583" s="34"/>
      <c r="L583" s="34"/>
      <c r="M583" s="188"/>
      <c r="N583" s="188"/>
      <c r="O583" s="188"/>
      <c r="P583" s="34"/>
      <c r="Q583" s="304"/>
      <c r="R583" s="34"/>
      <c r="S583" s="34"/>
      <c r="T583" s="34"/>
      <c r="U583" s="105"/>
      <c r="V583" s="105"/>
    </row>
    <row r="584" spans="1:22" ht="12.75">
      <c r="A584" s="309"/>
      <c r="B584" s="309"/>
      <c r="C584" s="34"/>
      <c r="D584" s="34"/>
      <c r="E584" s="35"/>
      <c r="F584" s="34"/>
      <c r="G584" s="34"/>
      <c r="H584" s="65"/>
      <c r="I584" s="105"/>
      <c r="J584" s="34"/>
      <c r="K584" s="34"/>
      <c r="L584" s="34"/>
      <c r="M584" s="188"/>
      <c r="N584" s="188"/>
      <c r="O584" s="188"/>
      <c r="P584" s="34"/>
      <c r="Q584" s="304"/>
      <c r="R584" s="34"/>
      <c r="S584" s="34"/>
      <c r="T584" s="34"/>
      <c r="U584" s="105"/>
      <c r="V584" s="105"/>
    </row>
    <row r="585" spans="1:22" ht="12.75">
      <c r="A585" s="309"/>
      <c r="B585" s="309"/>
      <c r="C585" s="34"/>
      <c r="D585" s="34"/>
      <c r="E585" s="35"/>
      <c r="F585" s="34"/>
      <c r="G585" s="34"/>
      <c r="H585" s="65"/>
      <c r="I585" s="105"/>
      <c r="J585" s="34"/>
      <c r="K585" s="34"/>
      <c r="L585" s="34"/>
      <c r="M585" s="188"/>
      <c r="N585" s="188"/>
      <c r="O585" s="188"/>
      <c r="P585" s="34"/>
      <c r="Q585" s="304"/>
      <c r="R585" s="34"/>
      <c r="S585" s="34"/>
      <c r="T585" s="34"/>
      <c r="U585" s="105"/>
      <c r="V585" s="105"/>
    </row>
    <row r="586" spans="1:22" ht="12.75">
      <c r="A586" s="309"/>
      <c r="B586" s="309"/>
      <c r="C586" s="34"/>
      <c r="D586" s="34"/>
      <c r="E586" s="35"/>
      <c r="F586" s="34"/>
      <c r="G586" s="34"/>
      <c r="H586" s="65"/>
      <c r="I586" s="105"/>
      <c r="J586" s="34"/>
      <c r="K586" s="34"/>
      <c r="L586" s="34"/>
      <c r="M586" s="188"/>
      <c r="N586" s="188"/>
      <c r="O586" s="188"/>
      <c r="P586" s="34"/>
      <c r="Q586" s="304"/>
      <c r="R586" s="34"/>
      <c r="S586" s="34"/>
      <c r="T586" s="34"/>
      <c r="U586" s="105"/>
      <c r="V586" s="105"/>
    </row>
    <row r="587" spans="1:22" ht="12.75">
      <c r="A587" s="309"/>
      <c r="B587" s="309"/>
      <c r="C587" s="34"/>
      <c r="D587" s="34"/>
      <c r="E587" s="35"/>
      <c r="F587" s="34"/>
      <c r="G587" s="34"/>
      <c r="H587" s="65"/>
      <c r="I587" s="105"/>
      <c r="J587" s="34"/>
      <c r="K587" s="34"/>
      <c r="L587" s="34"/>
      <c r="M587" s="188"/>
      <c r="N587" s="188"/>
      <c r="O587" s="188"/>
      <c r="P587" s="34"/>
      <c r="Q587" s="304"/>
      <c r="R587" s="34"/>
      <c r="S587" s="34"/>
      <c r="T587" s="34"/>
      <c r="U587" s="105"/>
      <c r="V587" s="105"/>
    </row>
    <row r="588" spans="1:22" ht="12.75">
      <c r="A588" s="309"/>
      <c r="B588" s="309"/>
      <c r="C588" s="34"/>
      <c r="D588" s="34"/>
      <c r="E588" s="35"/>
      <c r="F588" s="34"/>
      <c r="G588" s="34"/>
      <c r="H588" s="65"/>
      <c r="I588" s="105"/>
      <c r="J588" s="34"/>
      <c r="K588" s="34"/>
      <c r="L588" s="34"/>
      <c r="M588" s="188"/>
      <c r="N588" s="188"/>
      <c r="O588" s="188"/>
      <c r="P588" s="34"/>
      <c r="Q588" s="304"/>
      <c r="R588" s="34"/>
      <c r="S588" s="34"/>
      <c r="T588" s="34"/>
      <c r="U588" s="105"/>
      <c r="V588" s="105"/>
    </row>
    <row r="589" spans="1:22" ht="12.75">
      <c r="A589" s="309"/>
      <c r="B589" s="309"/>
      <c r="C589" s="34"/>
      <c r="D589" s="34"/>
      <c r="E589" s="35"/>
      <c r="F589" s="34"/>
      <c r="G589" s="34"/>
      <c r="H589" s="65"/>
      <c r="I589" s="105"/>
      <c r="J589" s="34"/>
      <c r="K589" s="34"/>
      <c r="L589" s="34"/>
      <c r="M589" s="188"/>
      <c r="N589" s="188"/>
      <c r="O589" s="188"/>
      <c r="P589" s="34"/>
      <c r="Q589" s="304"/>
      <c r="R589" s="34"/>
      <c r="S589" s="34"/>
      <c r="T589" s="34"/>
      <c r="U589" s="105"/>
      <c r="V589" s="105"/>
    </row>
    <row r="590" spans="1:22" ht="12.75">
      <c r="A590" s="309"/>
      <c r="B590" s="309"/>
      <c r="C590" s="34"/>
      <c r="D590" s="34"/>
      <c r="E590" s="35"/>
      <c r="F590" s="34"/>
      <c r="G590" s="34"/>
      <c r="H590" s="65"/>
      <c r="I590" s="105"/>
      <c r="J590" s="34"/>
      <c r="K590" s="34"/>
      <c r="L590" s="34"/>
      <c r="M590" s="188"/>
      <c r="N590" s="188"/>
      <c r="O590" s="188"/>
      <c r="P590" s="34"/>
      <c r="Q590" s="304"/>
      <c r="R590" s="34"/>
      <c r="S590" s="34"/>
      <c r="T590" s="34"/>
      <c r="U590" s="105"/>
      <c r="V590" s="105"/>
    </row>
    <row r="591" spans="1:22" ht="12.75">
      <c r="A591" s="309"/>
      <c r="B591" s="309"/>
      <c r="C591" s="34"/>
      <c r="D591" s="34"/>
      <c r="E591" s="35"/>
      <c r="F591" s="34"/>
      <c r="G591" s="34"/>
      <c r="H591" s="65"/>
      <c r="I591" s="105"/>
      <c r="J591" s="34"/>
      <c r="K591" s="34"/>
      <c r="L591" s="34"/>
      <c r="M591" s="188"/>
      <c r="N591" s="188"/>
      <c r="O591" s="188"/>
      <c r="P591" s="34"/>
      <c r="Q591" s="304"/>
      <c r="R591" s="34"/>
      <c r="S591" s="34"/>
      <c r="T591" s="34"/>
      <c r="U591" s="105"/>
      <c r="V591" s="105"/>
    </row>
    <row r="592" spans="1:22" ht="12.75">
      <c r="A592" s="309"/>
      <c r="B592" s="309"/>
      <c r="C592" s="34"/>
      <c r="D592" s="34"/>
      <c r="E592" s="35"/>
      <c r="F592" s="34"/>
      <c r="G592" s="34"/>
      <c r="H592" s="65"/>
      <c r="I592" s="105"/>
      <c r="J592" s="34"/>
      <c r="K592" s="34"/>
      <c r="L592" s="34"/>
      <c r="M592" s="188"/>
      <c r="N592" s="188"/>
      <c r="O592" s="188"/>
      <c r="P592" s="34"/>
      <c r="Q592" s="304"/>
      <c r="R592" s="34"/>
      <c r="S592" s="34"/>
      <c r="T592" s="34"/>
      <c r="U592" s="105"/>
      <c r="V592" s="105"/>
    </row>
    <row r="593" spans="1:22" ht="12.75">
      <c r="A593" s="309"/>
      <c r="B593" s="309"/>
      <c r="C593" s="34"/>
      <c r="D593" s="34"/>
      <c r="E593" s="35"/>
      <c r="F593" s="34"/>
      <c r="G593" s="34"/>
      <c r="H593" s="65"/>
      <c r="I593" s="105"/>
      <c r="J593" s="34"/>
      <c r="K593" s="34"/>
      <c r="L593" s="34"/>
      <c r="M593" s="188"/>
      <c r="N593" s="188"/>
      <c r="O593" s="188"/>
      <c r="P593" s="34"/>
      <c r="Q593" s="304"/>
      <c r="R593" s="34"/>
      <c r="S593" s="34"/>
      <c r="T593" s="34"/>
      <c r="U593" s="105"/>
      <c r="V593" s="105"/>
    </row>
    <row r="594" spans="1:22" ht="12.75">
      <c r="A594" s="309"/>
      <c r="B594" s="309"/>
      <c r="C594" s="34"/>
      <c r="D594" s="34"/>
      <c r="E594" s="35"/>
      <c r="F594" s="34"/>
      <c r="G594" s="34"/>
      <c r="H594" s="65"/>
      <c r="I594" s="105"/>
      <c r="J594" s="34"/>
      <c r="K594" s="34"/>
      <c r="L594" s="34"/>
      <c r="M594" s="188"/>
      <c r="N594" s="188"/>
      <c r="O594" s="188"/>
      <c r="P594" s="34"/>
      <c r="Q594" s="304"/>
      <c r="R594" s="34"/>
      <c r="S594" s="34"/>
      <c r="T594" s="34"/>
      <c r="U594" s="105"/>
      <c r="V594" s="105"/>
    </row>
    <row r="595" spans="1:22" ht="12.75">
      <c r="A595" s="309"/>
      <c r="B595" s="309"/>
      <c r="C595" s="34"/>
      <c r="D595" s="34"/>
      <c r="E595" s="35"/>
      <c r="F595" s="34"/>
      <c r="G595" s="34"/>
      <c r="H595" s="65"/>
      <c r="I595" s="105"/>
      <c r="J595" s="34"/>
      <c r="K595" s="34"/>
      <c r="L595" s="34"/>
      <c r="M595" s="188"/>
      <c r="N595" s="188"/>
      <c r="O595" s="188"/>
      <c r="P595" s="34"/>
      <c r="Q595" s="304"/>
      <c r="R595" s="34"/>
      <c r="S595" s="34"/>
      <c r="T595" s="34"/>
      <c r="U595" s="105"/>
      <c r="V595" s="105"/>
    </row>
    <row r="596" spans="1:22" ht="12.75">
      <c r="A596" s="309"/>
      <c r="B596" s="309"/>
      <c r="C596" s="34"/>
      <c r="D596" s="34"/>
      <c r="E596" s="35"/>
      <c r="F596" s="34"/>
      <c r="G596" s="34"/>
      <c r="H596" s="65"/>
      <c r="I596" s="105"/>
      <c r="J596" s="34"/>
      <c r="K596" s="34"/>
      <c r="L596" s="34"/>
      <c r="M596" s="188"/>
      <c r="N596" s="188"/>
      <c r="O596" s="188"/>
      <c r="P596" s="34"/>
      <c r="Q596" s="304"/>
      <c r="R596" s="34"/>
      <c r="S596" s="34"/>
      <c r="T596" s="34"/>
      <c r="U596" s="105"/>
      <c r="V596" s="105"/>
    </row>
    <row r="597" spans="1:22" ht="12.75">
      <c r="A597" s="309"/>
      <c r="B597" s="309"/>
      <c r="C597" s="34"/>
      <c r="D597" s="34"/>
      <c r="E597" s="35"/>
      <c r="F597" s="34"/>
      <c r="G597" s="34"/>
      <c r="H597" s="65"/>
      <c r="I597" s="105"/>
      <c r="J597" s="34"/>
      <c r="K597" s="34"/>
      <c r="L597" s="34"/>
      <c r="M597" s="188"/>
      <c r="N597" s="188"/>
      <c r="O597" s="188"/>
      <c r="P597" s="34"/>
      <c r="Q597" s="304"/>
      <c r="R597" s="34"/>
      <c r="S597" s="34"/>
      <c r="T597" s="34"/>
      <c r="U597" s="105"/>
      <c r="V597" s="105"/>
    </row>
    <row r="598" spans="1:22" ht="12.75">
      <c r="A598" s="309"/>
      <c r="B598" s="309"/>
      <c r="C598" s="34"/>
      <c r="D598" s="34"/>
      <c r="E598" s="35"/>
      <c r="F598" s="34"/>
      <c r="G598" s="34"/>
      <c r="H598" s="65"/>
      <c r="I598" s="105"/>
      <c r="J598" s="34"/>
      <c r="K598" s="34"/>
      <c r="L598" s="34"/>
      <c r="M598" s="188"/>
      <c r="N598" s="188"/>
      <c r="O598" s="188"/>
      <c r="P598" s="34"/>
      <c r="Q598" s="304"/>
      <c r="R598" s="34"/>
      <c r="S598" s="34"/>
      <c r="T598" s="34"/>
      <c r="U598" s="105"/>
      <c r="V598" s="105"/>
    </row>
    <row r="599" spans="1:22" ht="12.75">
      <c r="A599" s="309"/>
      <c r="B599" s="309"/>
      <c r="C599" s="34"/>
      <c r="D599" s="34"/>
      <c r="E599" s="35"/>
      <c r="F599" s="34"/>
      <c r="G599" s="34"/>
      <c r="H599" s="65"/>
      <c r="I599" s="105"/>
      <c r="J599" s="34"/>
      <c r="K599" s="34"/>
      <c r="L599" s="34"/>
      <c r="M599" s="188"/>
      <c r="N599" s="188"/>
      <c r="O599" s="188"/>
      <c r="P599" s="34"/>
      <c r="Q599" s="304"/>
      <c r="R599" s="34"/>
      <c r="S599" s="34"/>
      <c r="T599" s="34"/>
      <c r="U599" s="105"/>
      <c r="V599" s="105"/>
    </row>
    <row r="600" spans="1:22" ht="12.75">
      <c r="A600" s="309"/>
      <c r="B600" s="309"/>
      <c r="C600" s="34"/>
      <c r="D600" s="34"/>
      <c r="E600" s="35"/>
      <c r="F600" s="34"/>
      <c r="G600" s="34"/>
      <c r="H600" s="65"/>
      <c r="I600" s="105"/>
      <c r="J600" s="34"/>
      <c r="K600" s="34"/>
      <c r="L600" s="34"/>
      <c r="M600" s="188"/>
      <c r="N600" s="188"/>
      <c r="O600" s="188"/>
      <c r="P600" s="34"/>
      <c r="Q600" s="304"/>
      <c r="R600" s="34"/>
      <c r="S600" s="34"/>
      <c r="T600" s="34"/>
      <c r="U600" s="105"/>
      <c r="V600" s="105"/>
    </row>
    <row r="601" spans="1:22" ht="12.75">
      <c r="A601" s="309"/>
      <c r="B601" s="309"/>
      <c r="C601" s="34"/>
      <c r="D601" s="34"/>
      <c r="E601" s="35"/>
      <c r="F601" s="34"/>
      <c r="G601" s="34"/>
      <c r="H601" s="65"/>
      <c r="I601" s="105"/>
      <c r="J601" s="34"/>
      <c r="K601" s="34"/>
      <c r="L601" s="34"/>
      <c r="M601" s="188"/>
      <c r="N601" s="188"/>
      <c r="O601" s="188"/>
      <c r="P601" s="34"/>
      <c r="Q601" s="304"/>
      <c r="R601" s="34"/>
      <c r="S601" s="34"/>
      <c r="T601" s="34"/>
      <c r="U601" s="105"/>
      <c r="V601" s="105"/>
    </row>
    <row r="602" spans="1:22" ht="12.75">
      <c r="A602" s="309"/>
      <c r="B602" s="309"/>
      <c r="C602" s="34"/>
      <c r="D602" s="34"/>
      <c r="E602" s="35"/>
      <c r="F602" s="34"/>
      <c r="G602" s="34"/>
      <c r="H602" s="65"/>
      <c r="I602" s="105"/>
      <c r="J602" s="34"/>
      <c r="K602" s="34"/>
      <c r="L602" s="34"/>
      <c r="M602" s="188"/>
      <c r="N602" s="188"/>
      <c r="O602" s="188"/>
      <c r="P602" s="34"/>
      <c r="Q602" s="304"/>
      <c r="R602" s="34"/>
      <c r="S602" s="34"/>
      <c r="T602" s="34"/>
      <c r="U602" s="105"/>
      <c r="V602" s="105"/>
    </row>
    <row r="603" spans="1:22" ht="12.75">
      <c r="A603" s="309"/>
      <c r="B603" s="309"/>
      <c r="C603" s="34"/>
      <c r="D603" s="34"/>
      <c r="E603" s="35"/>
      <c r="F603" s="34"/>
      <c r="G603" s="34"/>
      <c r="H603" s="65"/>
      <c r="I603" s="105"/>
      <c r="J603" s="34"/>
      <c r="K603" s="34"/>
      <c r="L603" s="34"/>
      <c r="M603" s="188"/>
      <c r="N603" s="188"/>
      <c r="O603" s="188"/>
      <c r="P603" s="34"/>
      <c r="Q603" s="304"/>
      <c r="R603" s="34"/>
      <c r="S603" s="34"/>
      <c r="T603" s="34"/>
      <c r="U603" s="105"/>
      <c r="V603" s="105"/>
    </row>
    <row r="604" spans="1:22" ht="12.75">
      <c r="A604" s="309"/>
      <c r="B604" s="309"/>
      <c r="C604" s="34"/>
      <c r="D604" s="34"/>
      <c r="E604" s="35"/>
      <c r="F604" s="34"/>
      <c r="G604" s="34"/>
      <c r="H604" s="65"/>
      <c r="I604" s="105"/>
      <c r="J604" s="34"/>
      <c r="K604" s="34"/>
      <c r="L604" s="34"/>
      <c r="M604" s="188"/>
      <c r="N604" s="188"/>
      <c r="O604" s="188"/>
      <c r="P604" s="34"/>
      <c r="Q604" s="304"/>
      <c r="R604" s="34"/>
      <c r="S604" s="34"/>
      <c r="T604" s="34"/>
      <c r="U604" s="105"/>
      <c r="V604" s="105"/>
    </row>
    <row r="605" spans="1:22" ht="12.75">
      <c r="A605" s="309"/>
      <c r="B605" s="309"/>
      <c r="C605" s="34"/>
      <c r="D605" s="34"/>
      <c r="E605" s="35"/>
      <c r="F605" s="34"/>
      <c r="G605" s="34"/>
      <c r="H605" s="65"/>
      <c r="I605" s="105"/>
      <c r="J605" s="34"/>
      <c r="K605" s="34"/>
      <c r="L605" s="34"/>
      <c r="M605" s="188"/>
      <c r="N605" s="188"/>
      <c r="O605" s="188"/>
      <c r="P605" s="34"/>
      <c r="Q605" s="304"/>
      <c r="R605" s="34"/>
      <c r="S605" s="34"/>
      <c r="T605" s="34"/>
      <c r="U605" s="105"/>
      <c r="V605" s="105"/>
    </row>
    <row r="606" spans="1:22" ht="12.75">
      <c r="A606" s="309"/>
      <c r="B606" s="309"/>
      <c r="C606" s="34"/>
      <c r="D606" s="34"/>
      <c r="E606" s="35"/>
      <c r="F606" s="34"/>
      <c r="G606" s="34"/>
      <c r="H606" s="65"/>
      <c r="I606" s="105"/>
      <c r="J606" s="34"/>
      <c r="K606" s="34"/>
      <c r="L606" s="34"/>
      <c r="M606" s="188"/>
      <c r="N606" s="188"/>
      <c r="O606" s="188"/>
      <c r="P606" s="34"/>
      <c r="Q606" s="304"/>
      <c r="R606" s="34"/>
      <c r="S606" s="34"/>
      <c r="T606" s="34"/>
      <c r="U606" s="105"/>
      <c r="V606" s="105"/>
    </row>
    <row r="607" spans="1:22" ht="12.75">
      <c r="A607" s="309"/>
      <c r="B607" s="309"/>
      <c r="C607" s="34"/>
      <c r="D607" s="34"/>
      <c r="E607" s="35"/>
      <c r="F607" s="34"/>
      <c r="G607" s="34"/>
      <c r="H607" s="65"/>
      <c r="I607" s="105"/>
      <c r="J607" s="34"/>
      <c r="K607" s="34"/>
      <c r="L607" s="34"/>
      <c r="M607" s="188"/>
      <c r="N607" s="188"/>
      <c r="O607" s="188"/>
      <c r="P607" s="34"/>
      <c r="Q607" s="304"/>
      <c r="R607" s="34"/>
      <c r="S607" s="34"/>
      <c r="T607" s="34"/>
      <c r="U607" s="105"/>
      <c r="V607" s="105"/>
    </row>
    <row r="608" spans="1:22" ht="12.75">
      <c r="A608" s="309"/>
      <c r="B608" s="309"/>
      <c r="C608" s="34"/>
      <c r="D608" s="34"/>
      <c r="E608" s="35"/>
      <c r="F608" s="34"/>
      <c r="G608" s="34"/>
      <c r="H608" s="65"/>
      <c r="I608" s="105"/>
      <c r="J608" s="34"/>
      <c r="K608" s="34"/>
      <c r="L608" s="34"/>
      <c r="M608" s="188"/>
      <c r="N608" s="188"/>
      <c r="O608" s="188"/>
      <c r="P608" s="34"/>
      <c r="Q608" s="304"/>
      <c r="R608" s="34"/>
      <c r="S608" s="34"/>
      <c r="T608" s="34"/>
      <c r="U608" s="105"/>
      <c r="V608" s="105"/>
    </row>
    <row r="609" spans="1:22" ht="12.75">
      <c r="A609" s="309"/>
      <c r="B609" s="309"/>
      <c r="C609" s="34"/>
      <c r="D609" s="34"/>
      <c r="E609" s="35"/>
      <c r="F609" s="34"/>
      <c r="G609" s="34"/>
      <c r="H609" s="65"/>
      <c r="I609" s="105"/>
      <c r="J609" s="34"/>
      <c r="K609" s="34"/>
      <c r="L609" s="34"/>
      <c r="M609" s="188"/>
      <c r="N609" s="188"/>
      <c r="O609" s="188"/>
      <c r="P609" s="34"/>
      <c r="Q609" s="304"/>
      <c r="R609" s="34"/>
      <c r="S609" s="34"/>
      <c r="T609" s="34"/>
      <c r="U609" s="105"/>
      <c r="V609" s="105"/>
    </row>
    <row r="610" spans="1:22" ht="12.75">
      <c r="A610" s="309"/>
      <c r="B610" s="309"/>
      <c r="C610" s="34"/>
      <c r="D610" s="34"/>
      <c r="E610" s="35"/>
      <c r="F610" s="34"/>
      <c r="G610" s="34"/>
      <c r="H610" s="65"/>
      <c r="I610" s="105"/>
      <c r="J610" s="34"/>
      <c r="K610" s="34"/>
      <c r="L610" s="34"/>
      <c r="M610" s="188"/>
      <c r="N610" s="188"/>
      <c r="O610" s="188"/>
      <c r="P610" s="34"/>
      <c r="Q610" s="304"/>
      <c r="R610" s="34"/>
      <c r="S610" s="34"/>
      <c r="T610" s="34"/>
      <c r="U610" s="105"/>
      <c r="V610" s="105"/>
    </row>
    <row r="611" spans="1:22" ht="12.75">
      <c r="A611" s="309"/>
      <c r="B611" s="309"/>
      <c r="C611" s="34"/>
      <c r="D611" s="34"/>
      <c r="E611" s="35"/>
      <c r="F611" s="34"/>
      <c r="G611" s="34"/>
      <c r="H611" s="65"/>
      <c r="I611" s="105"/>
      <c r="J611" s="34"/>
      <c r="K611" s="34"/>
      <c r="L611" s="34"/>
      <c r="M611" s="188"/>
      <c r="N611" s="188"/>
      <c r="O611" s="188"/>
      <c r="P611" s="34"/>
      <c r="Q611" s="304"/>
      <c r="R611" s="34"/>
      <c r="S611" s="34"/>
      <c r="T611" s="34"/>
      <c r="U611" s="105"/>
      <c r="V611" s="105"/>
    </row>
    <row r="612" spans="1:22" ht="12.75">
      <c r="A612" s="309"/>
      <c r="B612" s="309"/>
      <c r="C612" s="34"/>
      <c r="D612" s="34"/>
      <c r="E612" s="35"/>
      <c r="F612" s="34"/>
      <c r="G612" s="34"/>
      <c r="H612" s="65"/>
      <c r="I612" s="105"/>
      <c r="J612" s="34"/>
      <c r="K612" s="34"/>
      <c r="L612" s="34"/>
      <c r="M612" s="188"/>
      <c r="N612" s="188"/>
      <c r="O612" s="188"/>
      <c r="P612" s="34"/>
      <c r="Q612" s="304"/>
      <c r="R612" s="34"/>
      <c r="S612" s="34"/>
      <c r="T612" s="34"/>
      <c r="U612" s="105"/>
      <c r="V612" s="105"/>
    </row>
    <row r="613" spans="1:22" ht="12.75">
      <c r="A613" s="309"/>
      <c r="B613" s="309"/>
      <c r="C613" s="34"/>
      <c r="D613" s="34"/>
      <c r="E613" s="35"/>
      <c r="F613" s="34"/>
      <c r="G613" s="34"/>
      <c r="H613" s="65"/>
      <c r="I613" s="105"/>
      <c r="J613" s="34"/>
      <c r="K613" s="34"/>
      <c r="L613" s="34"/>
      <c r="M613" s="188"/>
      <c r="N613" s="188"/>
      <c r="O613" s="188"/>
      <c r="P613" s="34"/>
      <c r="Q613" s="304"/>
      <c r="R613" s="34"/>
      <c r="S613" s="34"/>
      <c r="T613" s="34"/>
      <c r="U613" s="105"/>
      <c r="V613" s="105"/>
    </row>
    <row r="614" spans="1:22" ht="12.75">
      <c r="A614" s="309"/>
      <c r="B614" s="309"/>
      <c r="C614" s="34"/>
      <c r="D614" s="34"/>
      <c r="E614" s="35"/>
      <c r="F614" s="34"/>
      <c r="G614" s="34"/>
      <c r="H614" s="65"/>
      <c r="I614" s="105"/>
      <c r="J614" s="34"/>
      <c r="K614" s="34"/>
      <c r="L614" s="34"/>
      <c r="M614" s="188"/>
      <c r="N614" s="188"/>
      <c r="O614" s="188"/>
      <c r="P614" s="34"/>
      <c r="Q614" s="304"/>
      <c r="R614" s="34"/>
      <c r="S614" s="34"/>
      <c r="T614" s="34"/>
      <c r="U614" s="105"/>
      <c r="V614" s="105"/>
    </row>
    <row r="615" spans="1:22" ht="12.75">
      <c r="A615" s="309"/>
      <c r="B615" s="309"/>
      <c r="C615" s="34"/>
      <c r="D615" s="34"/>
      <c r="E615" s="35"/>
      <c r="F615" s="34"/>
      <c r="G615" s="34"/>
      <c r="H615" s="65"/>
      <c r="I615" s="105"/>
      <c r="J615" s="34"/>
      <c r="K615" s="34"/>
      <c r="L615" s="34"/>
      <c r="M615" s="188"/>
      <c r="N615" s="188"/>
      <c r="O615" s="188"/>
      <c r="P615" s="34"/>
      <c r="Q615" s="304"/>
      <c r="R615" s="34"/>
      <c r="S615" s="34"/>
      <c r="T615" s="34"/>
      <c r="U615" s="105"/>
      <c r="V615" s="105"/>
    </row>
    <row r="616" spans="1:22" ht="12.75">
      <c r="A616" s="309"/>
      <c r="B616" s="309"/>
      <c r="C616" s="34"/>
      <c r="D616" s="34"/>
      <c r="E616" s="35"/>
      <c r="F616" s="34"/>
      <c r="G616" s="34"/>
      <c r="H616" s="65"/>
      <c r="I616" s="105"/>
      <c r="J616" s="34"/>
      <c r="K616" s="34"/>
      <c r="L616" s="34"/>
      <c r="M616" s="188"/>
      <c r="N616" s="188"/>
      <c r="O616" s="188"/>
      <c r="P616" s="34"/>
      <c r="Q616" s="304"/>
      <c r="R616" s="34"/>
      <c r="S616" s="34"/>
      <c r="T616" s="34"/>
      <c r="U616" s="105"/>
      <c r="V616" s="105"/>
    </row>
    <row r="617" spans="1:22" ht="12.75">
      <c r="A617" s="309"/>
      <c r="B617" s="309"/>
      <c r="C617" s="34"/>
      <c r="D617" s="34"/>
      <c r="E617" s="35"/>
      <c r="F617" s="34"/>
      <c r="G617" s="34"/>
      <c r="H617" s="65"/>
      <c r="I617" s="105"/>
      <c r="J617" s="34"/>
      <c r="K617" s="34"/>
      <c r="L617" s="34"/>
      <c r="M617" s="188"/>
      <c r="N617" s="188"/>
      <c r="O617" s="188"/>
      <c r="P617" s="34"/>
      <c r="Q617" s="304"/>
      <c r="R617" s="34"/>
      <c r="S617" s="34"/>
      <c r="T617" s="34"/>
      <c r="U617" s="105"/>
      <c r="V617" s="105"/>
    </row>
    <row r="618" spans="1:22" ht="12.75">
      <c r="A618" s="309"/>
      <c r="B618" s="309"/>
      <c r="C618" s="34"/>
      <c r="D618" s="34"/>
      <c r="E618" s="35"/>
      <c r="F618" s="34"/>
      <c r="G618" s="34"/>
      <c r="H618" s="65"/>
      <c r="I618" s="105"/>
      <c r="J618" s="34"/>
      <c r="K618" s="34"/>
      <c r="L618" s="34"/>
      <c r="M618" s="188"/>
      <c r="N618" s="188"/>
      <c r="O618" s="188"/>
      <c r="P618" s="34"/>
      <c r="Q618" s="304"/>
      <c r="R618" s="34"/>
      <c r="S618" s="34"/>
      <c r="T618" s="34"/>
      <c r="U618" s="105"/>
      <c r="V618" s="105"/>
    </row>
    <row r="619" spans="1:22" ht="12.75">
      <c r="A619" s="309"/>
      <c r="B619" s="309"/>
      <c r="C619" s="34"/>
      <c r="D619" s="34"/>
      <c r="E619" s="35"/>
      <c r="F619" s="34"/>
      <c r="G619" s="34"/>
      <c r="H619" s="65"/>
      <c r="I619" s="105"/>
      <c r="J619" s="34"/>
      <c r="K619" s="34"/>
      <c r="L619" s="34"/>
      <c r="M619" s="188"/>
      <c r="N619" s="188"/>
      <c r="O619" s="188"/>
      <c r="P619" s="34"/>
      <c r="Q619" s="304"/>
      <c r="R619" s="34"/>
      <c r="S619" s="34"/>
      <c r="T619" s="34"/>
      <c r="U619" s="105"/>
      <c r="V619" s="105"/>
    </row>
    <row r="620" spans="1:22" ht="12.75">
      <c r="A620" s="309"/>
      <c r="B620" s="309"/>
      <c r="C620" s="34"/>
      <c r="D620" s="34"/>
      <c r="E620" s="35"/>
      <c r="F620" s="34"/>
      <c r="G620" s="34"/>
      <c r="H620" s="65"/>
      <c r="I620" s="105"/>
      <c r="J620" s="34"/>
      <c r="K620" s="34"/>
      <c r="L620" s="34"/>
      <c r="M620" s="188"/>
      <c r="N620" s="188"/>
      <c r="O620" s="188"/>
      <c r="P620" s="34"/>
      <c r="Q620" s="304"/>
      <c r="R620" s="34"/>
      <c r="S620" s="34"/>
      <c r="T620" s="34"/>
      <c r="U620" s="105"/>
      <c r="V620" s="105"/>
    </row>
    <row r="621" spans="1:22" ht="12.75">
      <c r="A621" s="309"/>
      <c r="B621" s="309"/>
      <c r="C621" s="34"/>
      <c r="D621" s="34"/>
      <c r="E621" s="35"/>
      <c r="F621" s="34"/>
      <c r="G621" s="34"/>
      <c r="H621" s="65"/>
      <c r="I621" s="105"/>
      <c r="J621" s="34"/>
      <c r="K621" s="34"/>
      <c r="L621" s="34"/>
      <c r="M621" s="188"/>
      <c r="N621" s="188"/>
      <c r="O621" s="188"/>
      <c r="P621" s="34"/>
      <c r="Q621" s="304"/>
      <c r="R621" s="34"/>
      <c r="S621" s="34"/>
      <c r="T621" s="34"/>
      <c r="U621" s="105"/>
      <c r="V621" s="105"/>
    </row>
    <row r="622" spans="1:22" ht="12.75">
      <c r="A622" s="309"/>
      <c r="B622" s="309"/>
      <c r="C622" s="34"/>
      <c r="D622" s="34"/>
      <c r="E622" s="35"/>
      <c r="F622" s="34"/>
      <c r="G622" s="34"/>
      <c r="H622" s="65"/>
      <c r="I622" s="105"/>
      <c r="J622" s="34"/>
      <c r="K622" s="34"/>
      <c r="L622" s="34"/>
      <c r="M622" s="188"/>
      <c r="N622" s="188"/>
      <c r="O622" s="188"/>
      <c r="P622" s="34"/>
      <c r="Q622" s="304"/>
      <c r="R622" s="34"/>
      <c r="S622" s="34"/>
      <c r="T622" s="34"/>
      <c r="U622" s="105"/>
      <c r="V622" s="105"/>
    </row>
    <row r="623" spans="1:22" ht="12.75">
      <c r="A623" s="309"/>
      <c r="B623" s="309"/>
      <c r="C623" s="34"/>
      <c r="D623" s="34"/>
      <c r="E623" s="35"/>
      <c r="F623" s="34"/>
      <c r="G623" s="34"/>
      <c r="H623" s="65"/>
      <c r="I623" s="105"/>
      <c r="J623" s="34"/>
      <c r="K623" s="34"/>
      <c r="L623" s="34"/>
      <c r="M623" s="188"/>
      <c r="N623" s="188"/>
      <c r="O623" s="188"/>
      <c r="P623" s="34"/>
      <c r="Q623" s="304"/>
      <c r="R623" s="34"/>
      <c r="S623" s="34"/>
      <c r="T623" s="34"/>
      <c r="U623" s="105"/>
      <c r="V623" s="105"/>
    </row>
    <row r="624" spans="1:22" ht="12.75">
      <c r="A624" s="309"/>
      <c r="B624" s="309"/>
      <c r="C624" s="34"/>
      <c r="D624" s="34"/>
      <c r="E624" s="35"/>
      <c r="F624" s="34"/>
      <c r="G624" s="34"/>
      <c r="H624" s="65"/>
      <c r="I624" s="105"/>
      <c r="J624" s="34"/>
      <c r="K624" s="34"/>
      <c r="L624" s="34"/>
      <c r="M624" s="188"/>
      <c r="N624" s="188"/>
      <c r="O624" s="188"/>
      <c r="P624" s="34"/>
      <c r="Q624" s="304"/>
      <c r="R624" s="34"/>
      <c r="S624" s="34"/>
      <c r="T624" s="34"/>
      <c r="U624" s="105"/>
      <c r="V624" s="105"/>
    </row>
    <row r="625" spans="1:22" ht="12.75">
      <c r="A625" s="309"/>
      <c r="B625" s="309"/>
      <c r="C625" s="34"/>
      <c r="D625" s="34"/>
      <c r="E625" s="35"/>
      <c r="F625" s="34"/>
      <c r="G625" s="34"/>
      <c r="H625" s="65"/>
      <c r="I625" s="105"/>
      <c r="J625" s="34"/>
      <c r="K625" s="34"/>
      <c r="L625" s="34"/>
      <c r="M625" s="188"/>
      <c r="N625" s="188"/>
      <c r="O625" s="188"/>
      <c r="P625" s="34"/>
      <c r="Q625" s="304"/>
      <c r="R625" s="34"/>
      <c r="S625" s="34"/>
      <c r="T625" s="34"/>
      <c r="U625" s="105"/>
      <c r="V625" s="105"/>
    </row>
    <row r="626" spans="1:22" ht="12.75">
      <c r="A626" s="309"/>
      <c r="B626" s="309"/>
      <c r="C626" s="34"/>
      <c r="D626" s="34"/>
      <c r="E626" s="35"/>
      <c r="F626" s="34"/>
      <c r="G626" s="34"/>
      <c r="H626" s="65"/>
      <c r="I626" s="105"/>
      <c r="J626" s="34"/>
      <c r="K626" s="34"/>
      <c r="L626" s="34"/>
      <c r="M626" s="188"/>
      <c r="N626" s="188"/>
      <c r="O626" s="188"/>
      <c r="P626" s="34"/>
      <c r="Q626" s="304"/>
      <c r="R626" s="34"/>
      <c r="S626" s="34"/>
      <c r="T626" s="34"/>
      <c r="U626" s="105"/>
      <c r="V626" s="105"/>
    </row>
    <row r="627" spans="1:22" ht="12.75">
      <c r="A627" s="309"/>
      <c r="B627" s="309"/>
      <c r="C627" s="34"/>
      <c r="D627" s="34"/>
      <c r="E627" s="35"/>
      <c r="F627" s="34"/>
      <c r="G627" s="34"/>
      <c r="H627" s="65"/>
      <c r="I627" s="105"/>
      <c r="J627" s="34"/>
      <c r="K627" s="34"/>
      <c r="L627" s="34"/>
      <c r="M627" s="188"/>
      <c r="N627" s="188"/>
      <c r="O627" s="188"/>
      <c r="P627" s="34"/>
      <c r="Q627" s="304"/>
      <c r="R627" s="34"/>
      <c r="S627" s="34"/>
      <c r="T627" s="34"/>
      <c r="U627" s="105"/>
      <c r="V627" s="105"/>
    </row>
    <row r="628" spans="1:22" ht="12.75">
      <c r="A628" s="309"/>
      <c r="B628" s="309"/>
      <c r="C628" s="34"/>
      <c r="D628" s="34"/>
      <c r="E628" s="35"/>
      <c r="F628" s="34"/>
      <c r="G628" s="34"/>
      <c r="H628" s="65"/>
      <c r="I628" s="105"/>
      <c r="J628" s="34"/>
      <c r="K628" s="34"/>
      <c r="L628" s="34"/>
      <c r="M628" s="188"/>
      <c r="N628" s="188"/>
      <c r="O628" s="188"/>
      <c r="P628" s="34"/>
      <c r="Q628" s="304"/>
      <c r="R628" s="34"/>
      <c r="S628" s="34"/>
      <c r="T628" s="34"/>
      <c r="U628" s="105"/>
      <c r="V628" s="105"/>
    </row>
    <row r="629" spans="1:22" ht="12.75">
      <c r="A629" s="309"/>
      <c r="B629" s="309"/>
      <c r="C629" s="34"/>
      <c r="D629" s="34"/>
      <c r="E629" s="35"/>
      <c r="F629" s="34"/>
      <c r="G629" s="34"/>
      <c r="H629" s="65"/>
      <c r="I629" s="105"/>
      <c r="J629" s="34"/>
      <c r="K629" s="34"/>
      <c r="L629" s="34"/>
      <c r="M629" s="188"/>
      <c r="N629" s="188"/>
      <c r="O629" s="188"/>
      <c r="P629" s="34"/>
      <c r="Q629" s="304"/>
      <c r="R629" s="34"/>
      <c r="S629" s="34"/>
      <c r="T629" s="34"/>
      <c r="U629" s="105"/>
      <c r="V629" s="105"/>
    </row>
    <row r="630" spans="1:22" ht="12.75">
      <c r="A630" s="309"/>
      <c r="B630" s="309"/>
      <c r="C630" s="34"/>
      <c r="D630" s="34"/>
      <c r="E630" s="35"/>
      <c r="F630" s="34"/>
      <c r="G630" s="34"/>
      <c r="H630" s="65"/>
      <c r="I630" s="105"/>
      <c r="J630" s="34"/>
      <c r="K630" s="34"/>
      <c r="L630" s="34"/>
      <c r="M630" s="188"/>
      <c r="N630" s="188"/>
      <c r="O630" s="188"/>
      <c r="P630" s="34"/>
      <c r="Q630" s="304"/>
      <c r="R630" s="34"/>
      <c r="S630" s="34"/>
      <c r="T630" s="34"/>
      <c r="U630" s="105"/>
      <c r="V630" s="105"/>
    </row>
    <row r="631" spans="1:22" ht="12.75">
      <c r="A631" s="309"/>
      <c r="B631" s="309"/>
      <c r="C631" s="34"/>
      <c r="D631" s="34"/>
      <c r="E631" s="35"/>
      <c r="F631" s="34"/>
      <c r="G631" s="34"/>
      <c r="H631" s="65"/>
      <c r="I631" s="105"/>
      <c r="J631" s="34"/>
      <c r="K631" s="34"/>
      <c r="L631" s="34"/>
      <c r="M631" s="188"/>
      <c r="N631" s="188"/>
      <c r="O631" s="188"/>
      <c r="P631" s="34"/>
      <c r="Q631" s="304"/>
      <c r="R631" s="34"/>
      <c r="S631" s="34"/>
      <c r="T631" s="34"/>
      <c r="U631" s="105"/>
      <c r="V631" s="105"/>
    </row>
    <row r="632" spans="1:22" ht="12.75">
      <c r="A632" s="309"/>
      <c r="B632" s="309"/>
      <c r="C632" s="34"/>
      <c r="D632" s="34"/>
      <c r="E632" s="35"/>
      <c r="F632" s="34"/>
      <c r="G632" s="34"/>
      <c r="H632" s="65"/>
      <c r="I632" s="105"/>
      <c r="J632" s="34"/>
      <c r="K632" s="34"/>
      <c r="L632" s="34"/>
      <c r="M632" s="188"/>
      <c r="N632" s="188"/>
      <c r="O632" s="188"/>
      <c r="P632" s="34"/>
      <c r="Q632" s="304"/>
      <c r="R632" s="34"/>
      <c r="S632" s="34"/>
      <c r="T632" s="34"/>
      <c r="U632" s="105"/>
      <c r="V632" s="105"/>
    </row>
    <row r="633" spans="1:22" ht="12.75">
      <c r="A633" s="309"/>
      <c r="B633" s="309"/>
      <c r="C633" s="34"/>
      <c r="D633" s="34"/>
      <c r="E633" s="35"/>
      <c r="F633" s="34"/>
      <c r="G633" s="34"/>
      <c r="H633" s="65"/>
      <c r="I633" s="105"/>
      <c r="J633" s="34"/>
      <c r="K633" s="34"/>
      <c r="L633" s="34"/>
      <c r="M633" s="188"/>
      <c r="N633" s="188"/>
      <c r="O633" s="188"/>
      <c r="P633" s="34"/>
      <c r="Q633" s="304"/>
      <c r="R633" s="34"/>
      <c r="S633" s="34"/>
      <c r="T633" s="34"/>
      <c r="U633" s="105"/>
      <c r="V633" s="105"/>
    </row>
    <row r="634" spans="1:22" ht="12.75">
      <c r="A634" s="309"/>
      <c r="B634" s="309"/>
      <c r="C634" s="34"/>
      <c r="D634" s="34"/>
      <c r="E634" s="35"/>
      <c r="F634" s="34"/>
      <c r="G634" s="34"/>
      <c r="H634" s="65"/>
      <c r="I634" s="105"/>
      <c r="J634" s="34"/>
      <c r="K634" s="34"/>
      <c r="L634" s="34"/>
      <c r="M634" s="188"/>
      <c r="N634" s="188"/>
      <c r="O634" s="188"/>
      <c r="P634" s="34"/>
      <c r="Q634" s="304"/>
      <c r="R634" s="34"/>
      <c r="S634" s="34"/>
      <c r="T634" s="34"/>
      <c r="U634" s="105"/>
      <c r="V634" s="105"/>
    </row>
    <row r="635" spans="1:22" ht="12.75">
      <c r="A635" s="309"/>
      <c r="B635" s="309"/>
      <c r="C635" s="34"/>
      <c r="D635" s="34"/>
      <c r="E635" s="35"/>
      <c r="F635" s="34"/>
      <c r="G635" s="34"/>
      <c r="H635" s="65"/>
      <c r="I635" s="105"/>
      <c r="J635" s="34"/>
      <c r="K635" s="34"/>
      <c r="L635" s="34"/>
      <c r="M635" s="188"/>
      <c r="N635" s="188"/>
      <c r="O635" s="188"/>
      <c r="P635" s="34"/>
      <c r="Q635" s="304"/>
      <c r="R635" s="34"/>
      <c r="S635" s="34"/>
      <c r="T635" s="34"/>
      <c r="U635" s="105"/>
      <c r="V635" s="105"/>
    </row>
    <row r="636" spans="1:22" ht="12.75">
      <c r="A636" s="309"/>
      <c r="B636" s="309"/>
      <c r="C636" s="34"/>
      <c r="D636" s="34"/>
      <c r="E636" s="35"/>
      <c r="F636" s="34"/>
      <c r="G636" s="34"/>
      <c r="H636" s="65"/>
      <c r="I636" s="105"/>
      <c r="J636" s="34"/>
      <c r="K636" s="34"/>
      <c r="L636" s="34"/>
      <c r="M636" s="188"/>
      <c r="N636" s="188"/>
      <c r="O636" s="188"/>
      <c r="P636" s="34"/>
      <c r="Q636" s="304"/>
      <c r="R636" s="34"/>
      <c r="S636" s="34"/>
      <c r="T636" s="34"/>
      <c r="U636" s="105"/>
      <c r="V636" s="105"/>
    </row>
    <row r="637" spans="1:22" ht="12.75">
      <c r="A637" s="309"/>
      <c r="B637" s="309"/>
      <c r="C637" s="34"/>
      <c r="D637" s="34"/>
      <c r="E637" s="35"/>
      <c r="F637" s="34"/>
      <c r="G637" s="34"/>
      <c r="H637" s="65"/>
      <c r="I637" s="105"/>
      <c r="J637" s="34"/>
      <c r="K637" s="34"/>
      <c r="L637" s="34"/>
      <c r="M637" s="188"/>
      <c r="N637" s="188"/>
      <c r="O637" s="188"/>
      <c r="P637" s="34"/>
      <c r="Q637" s="304"/>
      <c r="R637" s="34"/>
      <c r="S637" s="34"/>
      <c r="T637" s="34"/>
      <c r="U637" s="105"/>
      <c r="V637" s="105"/>
    </row>
    <row r="638" spans="1:22" ht="12.75">
      <c r="A638" s="309"/>
      <c r="B638" s="309"/>
      <c r="C638" s="34"/>
      <c r="D638" s="34"/>
      <c r="E638" s="35"/>
      <c r="F638" s="34"/>
      <c r="G638" s="34"/>
      <c r="H638" s="65"/>
      <c r="I638" s="105"/>
      <c r="J638" s="34"/>
      <c r="K638" s="34"/>
      <c r="L638" s="34"/>
      <c r="M638" s="188"/>
      <c r="N638" s="188"/>
      <c r="O638" s="188"/>
      <c r="P638" s="34"/>
      <c r="Q638" s="304"/>
      <c r="R638" s="34"/>
      <c r="S638" s="34"/>
      <c r="T638" s="34"/>
      <c r="U638" s="105"/>
      <c r="V638" s="105"/>
    </row>
    <row r="639" spans="1:22" ht="12.75">
      <c r="A639" s="309"/>
      <c r="B639" s="309"/>
      <c r="C639" s="34"/>
      <c r="D639" s="34"/>
      <c r="E639" s="35"/>
      <c r="F639" s="34"/>
      <c r="G639" s="34"/>
      <c r="H639" s="65"/>
      <c r="I639" s="105"/>
      <c r="J639" s="34"/>
      <c r="K639" s="34"/>
      <c r="L639" s="34"/>
      <c r="M639" s="188"/>
      <c r="N639" s="188"/>
      <c r="O639" s="188"/>
      <c r="P639" s="34"/>
      <c r="Q639" s="304"/>
      <c r="R639" s="34"/>
      <c r="S639" s="34"/>
      <c r="T639" s="34"/>
      <c r="U639" s="105"/>
      <c r="V639" s="105"/>
    </row>
    <row r="640" spans="1:22" ht="12.75">
      <c r="A640" s="309"/>
      <c r="B640" s="309"/>
      <c r="C640" s="34"/>
      <c r="D640" s="34"/>
      <c r="E640" s="35"/>
      <c r="F640" s="34"/>
      <c r="G640" s="34"/>
      <c r="H640" s="65"/>
      <c r="I640" s="105"/>
      <c r="J640" s="34"/>
      <c r="K640" s="34"/>
      <c r="L640" s="34"/>
      <c r="M640" s="188"/>
      <c r="N640" s="188"/>
      <c r="O640" s="188"/>
      <c r="P640" s="34"/>
      <c r="Q640" s="304"/>
      <c r="R640" s="34"/>
      <c r="S640" s="34"/>
      <c r="T640" s="34"/>
      <c r="U640" s="105"/>
      <c r="V640" s="105"/>
    </row>
    <row r="641" spans="1:22" ht="12.75">
      <c r="A641" s="309"/>
      <c r="B641" s="309"/>
      <c r="C641" s="34"/>
      <c r="D641" s="34"/>
      <c r="E641" s="35"/>
      <c r="F641" s="34"/>
      <c r="G641" s="34"/>
      <c r="H641" s="65"/>
      <c r="I641" s="105"/>
      <c r="J641" s="34"/>
      <c r="K641" s="34"/>
      <c r="L641" s="34"/>
      <c r="M641" s="188"/>
      <c r="N641" s="188"/>
      <c r="O641" s="188"/>
      <c r="P641" s="34"/>
      <c r="Q641" s="304"/>
      <c r="R641" s="34"/>
      <c r="S641" s="34"/>
      <c r="T641" s="34"/>
      <c r="U641" s="105"/>
      <c r="V641" s="105"/>
    </row>
    <row r="642" spans="1:22" ht="12.75">
      <c r="A642" s="309"/>
      <c r="B642" s="309"/>
      <c r="C642" s="34"/>
      <c r="D642" s="34"/>
      <c r="E642" s="35"/>
      <c r="F642" s="34"/>
      <c r="G642" s="34"/>
      <c r="H642" s="65"/>
      <c r="I642" s="105"/>
      <c r="J642" s="34"/>
      <c r="K642" s="34"/>
      <c r="L642" s="34"/>
      <c r="M642" s="188"/>
      <c r="N642" s="188"/>
      <c r="O642" s="188"/>
      <c r="P642" s="34"/>
      <c r="Q642" s="304"/>
      <c r="R642" s="34"/>
      <c r="S642" s="34"/>
      <c r="T642" s="34"/>
      <c r="U642" s="105"/>
      <c r="V642" s="105"/>
    </row>
    <row r="643" spans="1:22" ht="12.75">
      <c r="A643" s="309"/>
      <c r="B643" s="309"/>
      <c r="C643" s="34"/>
      <c r="D643" s="34"/>
      <c r="E643" s="35"/>
      <c r="F643" s="34"/>
      <c r="G643" s="34"/>
      <c r="H643" s="65"/>
      <c r="I643" s="105"/>
      <c r="J643" s="34"/>
      <c r="K643" s="34"/>
      <c r="L643" s="34"/>
      <c r="M643" s="188"/>
      <c r="N643" s="188"/>
      <c r="O643" s="188"/>
      <c r="P643" s="34"/>
      <c r="Q643" s="304"/>
      <c r="R643" s="34"/>
      <c r="S643" s="34"/>
      <c r="T643" s="34"/>
      <c r="U643" s="105"/>
      <c r="V643" s="105"/>
    </row>
    <row r="644" spans="1:22" ht="12.75">
      <c r="A644" s="309"/>
      <c r="B644" s="309"/>
      <c r="C644" s="34"/>
      <c r="D644" s="34"/>
      <c r="E644" s="35"/>
      <c r="F644" s="34"/>
      <c r="G644" s="34"/>
      <c r="H644" s="65"/>
      <c r="I644" s="105"/>
      <c r="J644" s="34"/>
      <c r="K644" s="34"/>
      <c r="L644" s="34"/>
      <c r="M644" s="188"/>
      <c r="N644" s="188"/>
      <c r="O644" s="188"/>
      <c r="P644" s="34"/>
      <c r="Q644" s="304"/>
      <c r="R644" s="34"/>
      <c r="S644" s="34"/>
      <c r="T644" s="34"/>
      <c r="U644" s="105"/>
      <c r="V644" s="105"/>
    </row>
    <row r="645" spans="1:22" ht="12.75">
      <c r="A645" s="309"/>
      <c r="B645" s="309"/>
      <c r="C645" s="34"/>
      <c r="D645" s="34"/>
      <c r="E645" s="35"/>
      <c r="F645" s="34"/>
      <c r="G645" s="34"/>
      <c r="H645" s="65"/>
      <c r="I645" s="105"/>
      <c r="J645" s="34"/>
      <c r="K645" s="34"/>
      <c r="L645" s="34"/>
      <c r="M645" s="188"/>
      <c r="N645" s="188"/>
      <c r="O645" s="188"/>
      <c r="P645" s="34"/>
      <c r="Q645" s="304"/>
      <c r="R645" s="34"/>
      <c r="S645" s="34"/>
      <c r="T645" s="34"/>
      <c r="U645" s="105"/>
      <c r="V645" s="105"/>
    </row>
    <row r="646" spans="1:22" ht="12.75">
      <c r="A646" s="309"/>
      <c r="B646" s="309"/>
      <c r="C646" s="34"/>
      <c r="D646" s="34"/>
      <c r="E646" s="35"/>
      <c r="F646" s="34"/>
      <c r="G646" s="34"/>
      <c r="H646" s="65"/>
      <c r="I646" s="105"/>
      <c r="J646" s="34"/>
      <c r="K646" s="34"/>
      <c r="L646" s="34"/>
      <c r="M646" s="188"/>
      <c r="N646" s="188"/>
      <c r="O646" s="188"/>
      <c r="P646" s="34"/>
      <c r="Q646" s="304"/>
      <c r="R646" s="34"/>
      <c r="S646" s="34"/>
      <c r="T646" s="34"/>
      <c r="U646" s="105"/>
      <c r="V646" s="105"/>
    </row>
    <row r="647" spans="1:22" ht="12.75">
      <c r="A647" s="309"/>
      <c r="B647" s="309"/>
      <c r="C647" s="34"/>
      <c r="D647" s="34"/>
      <c r="E647" s="35"/>
      <c r="F647" s="34"/>
      <c r="G647" s="34"/>
      <c r="H647" s="65"/>
      <c r="I647" s="105"/>
      <c r="J647" s="34"/>
      <c r="K647" s="34"/>
      <c r="L647" s="34"/>
      <c r="M647" s="188"/>
      <c r="N647" s="188"/>
      <c r="O647" s="188"/>
      <c r="P647" s="34"/>
      <c r="Q647" s="304"/>
      <c r="R647" s="34"/>
      <c r="S647" s="34"/>
      <c r="T647" s="34"/>
      <c r="U647" s="105"/>
      <c r="V647" s="105"/>
    </row>
    <row r="648" spans="1:22" ht="12.75">
      <c r="A648" s="309"/>
      <c r="B648" s="309"/>
      <c r="C648" s="34"/>
      <c r="D648" s="34"/>
      <c r="E648" s="35"/>
      <c r="F648" s="34"/>
      <c r="G648" s="34"/>
      <c r="H648" s="65"/>
      <c r="I648" s="105"/>
      <c r="J648" s="34"/>
      <c r="K648" s="34"/>
      <c r="L648" s="34"/>
      <c r="M648" s="188"/>
      <c r="N648" s="188"/>
      <c r="O648" s="188"/>
      <c r="P648" s="34"/>
      <c r="Q648" s="304"/>
      <c r="R648" s="34"/>
      <c r="S648" s="34"/>
      <c r="T648" s="34"/>
      <c r="U648" s="105"/>
      <c r="V648" s="105"/>
    </row>
    <row r="649" spans="1:22" ht="12.75">
      <c r="A649" s="309"/>
      <c r="B649" s="309"/>
      <c r="C649" s="34"/>
      <c r="D649" s="34"/>
      <c r="E649" s="35"/>
      <c r="F649" s="34"/>
      <c r="G649" s="34"/>
      <c r="H649" s="65"/>
      <c r="I649" s="105"/>
      <c r="J649" s="34"/>
      <c r="K649" s="34"/>
      <c r="L649" s="34"/>
      <c r="M649" s="188"/>
      <c r="N649" s="188"/>
      <c r="O649" s="188"/>
      <c r="P649" s="34"/>
      <c r="Q649" s="304"/>
      <c r="R649" s="34"/>
      <c r="S649" s="34"/>
      <c r="T649" s="34"/>
      <c r="U649" s="105"/>
      <c r="V649" s="105"/>
    </row>
    <row r="650" spans="1:22" ht="12.75">
      <c r="A650" s="309"/>
      <c r="B650" s="309"/>
      <c r="C650" s="34"/>
      <c r="D650" s="34"/>
      <c r="E650" s="35"/>
      <c r="F650" s="34"/>
      <c r="G650" s="34"/>
      <c r="H650" s="65"/>
      <c r="I650" s="105"/>
      <c r="J650" s="34"/>
      <c r="K650" s="34"/>
      <c r="L650" s="34"/>
      <c r="M650" s="188"/>
      <c r="N650" s="188"/>
      <c r="O650" s="188"/>
      <c r="P650" s="34"/>
      <c r="Q650" s="304"/>
      <c r="R650" s="34"/>
      <c r="S650" s="34"/>
      <c r="T650" s="34"/>
      <c r="U650" s="105"/>
      <c r="V650" s="105"/>
    </row>
    <row r="651" spans="1:22" ht="12.75">
      <c r="A651" s="309"/>
      <c r="B651" s="309"/>
      <c r="C651" s="34"/>
      <c r="D651" s="34"/>
      <c r="E651" s="35"/>
      <c r="F651" s="34"/>
      <c r="G651" s="34"/>
      <c r="H651" s="65"/>
      <c r="I651" s="105"/>
      <c r="J651" s="34"/>
      <c r="K651" s="34"/>
      <c r="L651" s="34"/>
      <c r="M651" s="188"/>
      <c r="N651" s="188"/>
      <c r="O651" s="188"/>
      <c r="P651" s="34"/>
      <c r="Q651" s="304"/>
      <c r="R651" s="34"/>
      <c r="S651" s="34"/>
      <c r="T651" s="34"/>
      <c r="U651" s="105"/>
      <c r="V651" s="105"/>
    </row>
    <row r="652" spans="1:22" ht="12.75">
      <c r="A652" s="309"/>
      <c r="B652" s="309"/>
      <c r="C652" s="34"/>
      <c r="D652" s="34"/>
      <c r="E652" s="35"/>
      <c r="F652" s="34"/>
      <c r="G652" s="34"/>
      <c r="H652" s="65"/>
      <c r="I652" s="105"/>
      <c r="J652" s="34"/>
      <c r="K652" s="34"/>
      <c r="L652" s="34"/>
      <c r="M652" s="188"/>
      <c r="N652" s="188"/>
      <c r="O652" s="188"/>
      <c r="P652" s="34"/>
      <c r="Q652" s="304"/>
      <c r="R652" s="34"/>
      <c r="S652" s="34"/>
      <c r="T652" s="34"/>
      <c r="U652" s="105"/>
      <c r="V652" s="105"/>
    </row>
    <row r="653" spans="1:22" ht="12.75">
      <c r="A653" s="309"/>
      <c r="B653" s="309"/>
      <c r="C653" s="34"/>
      <c r="D653" s="34"/>
      <c r="E653" s="35"/>
      <c r="F653" s="34"/>
      <c r="G653" s="34"/>
      <c r="H653" s="65"/>
      <c r="I653" s="105"/>
      <c r="J653" s="34"/>
      <c r="K653" s="34"/>
      <c r="L653" s="34"/>
      <c r="M653" s="188"/>
      <c r="N653" s="188"/>
      <c r="O653" s="188"/>
      <c r="P653" s="34"/>
      <c r="Q653" s="304"/>
      <c r="R653" s="34"/>
      <c r="S653" s="34"/>
      <c r="T653" s="34"/>
      <c r="U653" s="105"/>
      <c r="V653" s="105"/>
    </row>
    <row r="654" spans="1:22" ht="12.75">
      <c r="A654" s="309"/>
      <c r="B654" s="309"/>
      <c r="C654" s="34"/>
      <c r="D654" s="34"/>
      <c r="E654" s="35"/>
      <c r="F654" s="34"/>
      <c r="G654" s="34"/>
      <c r="H654" s="65"/>
      <c r="I654" s="105"/>
      <c r="J654" s="34"/>
      <c r="K654" s="34"/>
      <c r="L654" s="34"/>
      <c r="M654" s="188"/>
      <c r="N654" s="188"/>
      <c r="O654" s="188"/>
      <c r="P654" s="34"/>
      <c r="Q654" s="304"/>
      <c r="R654" s="34"/>
      <c r="S654" s="34"/>
      <c r="T654" s="34"/>
      <c r="U654" s="105"/>
      <c r="V654" s="105"/>
    </row>
    <row r="655" spans="1:22" ht="12.75">
      <c r="A655" s="309"/>
      <c r="B655" s="309"/>
      <c r="C655" s="34"/>
      <c r="D655" s="34"/>
      <c r="E655" s="35"/>
      <c r="F655" s="34"/>
      <c r="G655" s="34"/>
      <c r="H655" s="65"/>
      <c r="I655" s="105"/>
      <c r="J655" s="34"/>
      <c r="K655" s="34"/>
      <c r="L655" s="34"/>
      <c r="M655" s="188"/>
      <c r="N655" s="188"/>
      <c r="O655" s="188"/>
      <c r="P655" s="34"/>
      <c r="Q655" s="304"/>
      <c r="R655" s="34"/>
      <c r="S655" s="34"/>
      <c r="T655" s="34"/>
      <c r="U655" s="105"/>
      <c r="V655" s="105"/>
    </row>
    <row r="656" spans="1:22" ht="12.75">
      <c r="A656" s="309"/>
      <c r="B656" s="309"/>
      <c r="C656" s="34"/>
      <c r="D656" s="34"/>
      <c r="E656" s="35"/>
      <c r="F656" s="34"/>
      <c r="G656" s="34"/>
      <c r="H656" s="65"/>
      <c r="I656" s="105"/>
      <c r="J656" s="34"/>
      <c r="K656" s="34"/>
      <c r="L656" s="34"/>
      <c r="M656" s="188"/>
      <c r="N656" s="188"/>
      <c r="O656" s="188"/>
      <c r="P656" s="34"/>
      <c r="Q656" s="304"/>
      <c r="R656" s="34"/>
      <c r="S656" s="34"/>
      <c r="T656" s="34"/>
      <c r="U656" s="105"/>
      <c r="V656" s="105"/>
    </row>
    <row r="657" spans="1:22" ht="12.75">
      <c r="A657" s="309"/>
      <c r="B657" s="309"/>
      <c r="C657" s="34"/>
      <c r="D657" s="34"/>
      <c r="E657" s="35"/>
      <c r="F657" s="34"/>
      <c r="G657" s="34"/>
      <c r="H657" s="65"/>
      <c r="I657" s="105"/>
      <c r="J657" s="34"/>
      <c r="K657" s="34"/>
      <c r="L657" s="34"/>
      <c r="M657" s="188"/>
      <c r="N657" s="188"/>
      <c r="O657" s="188"/>
      <c r="P657" s="34"/>
      <c r="Q657" s="304"/>
      <c r="R657" s="34"/>
      <c r="S657" s="34"/>
      <c r="T657" s="34"/>
      <c r="U657" s="105"/>
      <c r="V657" s="105"/>
    </row>
    <row r="658" spans="1:22" ht="12.75">
      <c r="A658" s="309"/>
      <c r="B658" s="309"/>
      <c r="C658" s="34"/>
      <c r="D658" s="34"/>
      <c r="E658" s="35"/>
      <c r="F658" s="34"/>
      <c r="G658" s="34"/>
      <c r="H658" s="65"/>
      <c r="I658" s="105"/>
      <c r="J658" s="34"/>
      <c r="K658" s="34"/>
      <c r="L658" s="34"/>
      <c r="M658" s="188"/>
      <c r="N658" s="188"/>
      <c r="O658" s="188"/>
      <c r="P658" s="34"/>
      <c r="Q658" s="304"/>
      <c r="R658" s="34"/>
      <c r="S658" s="34"/>
      <c r="T658" s="34"/>
      <c r="U658" s="105"/>
      <c r="V658" s="105"/>
    </row>
    <row r="659" spans="1:22" ht="12.75">
      <c r="A659" s="309"/>
      <c r="B659" s="309"/>
      <c r="C659" s="34"/>
      <c r="D659" s="34"/>
      <c r="E659" s="35"/>
      <c r="F659" s="34"/>
      <c r="G659" s="34"/>
      <c r="H659" s="65"/>
      <c r="I659" s="105"/>
      <c r="J659" s="34"/>
      <c r="K659" s="34"/>
      <c r="L659" s="34"/>
      <c r="M659" s="188"/>
      <c r="N659" s="188"/>
      <c r="O659" s="188"/>
      <c r="P659" s="34"/>
      <c r="Q659" s="304"/>
      <c r="R659" s="34"/>
      <c r="S659" s="34"/>
      <c r="T659" s="34"/>
      <c r="U659" s="105"/>
      <c r="V659" s="105"/>
    </row>
    <row r="660" spans="1:22" ht="12.75">
      <c r="A660" s="309"/>
      <c r="B660" s="309"/>
      <c r="C660" s="34"/>
      <c r="D660" s="34"/>
      <c r="E660" s="35"/>
      <c r="F660" s="34"/>
      <c r="G660" s="34"/>
      <c r="H660" s="65"/>
      <c r="I660" s="105"/>
      <c r="J660" s="34"/>
      <c r="K660" s="34"/>
      <c r="L660" s="34"/>
      <c r="M660" s="188"/>
      <c r="N660" s="188"/>
      <c r="O660" s="188"/>
      <c r="P660" s="34"/>
      <c r="Q660" s="304"/>
      <c r="R660" s="34"/>
      <c r="S660" s="34"/>
      <c r="T660" s="34"/>
      <c r="U660" s="105"/>
      <c r="V660" s="105"/>
    </row>
    <row r="661" spans="1:22" ht="12.75">
      <c r="A661" s="309"/>
      <c r="B661" s="309"/>
      <c r="C661" s="34"/>
      <c r="D661" s="34"/>
      <c r="E661" s="35"/>
      <c r="F661" s="34"/>
      <c r="G661" s="34"/>
      <c r="H661" s="65"/>
      <c r="I661" s="105"/>
      <c r="J661" s="34"/>
      <c r="K661" s="34"/>
      <c r="L661" s="34"/>
      <c r="M661" s="188"/>
      <c r="N661" s="188"/>
      <c r="O661" s="188"/>
      <c r="P661" s="34"/>
      <c r="Q661" s="304"/>
      <c r="R661" s="34"/>
      <c r="S661" s="34"/>
      <c r="T661" s="34"/>
      <c r="U661" s="105"/>
      <c r="V661" s="105"/>
    </row>
    <row r="662" spans="1:22" ht="12.75">
      <c r="A662" s="309"/>
      <c r="B662" s="309"/>
      <c r="C662" s="34"/>
      <c r="D662" s="34"/>
      <c r="E662" s="35"/>
      <c r="F662" s="34"/>
      <c r="G662" s="34"/>
      <c r="H662" s="65"/>
      <c r="I662" s="105"/>
      <c r="J662" s="34"/>
      <c r="K662" s="34"/>
      <c r="L662" s="34"/>
      <c r="M662" s="188"/>
      <c r="N662" s="188"/>
      <c r="O662" s="188"/>
      <c r="P662" s="34"/>
      <c r="Q662" s="304"/>
      <c r="R662" s="34"/>
      <c r="S662" s="34"/>
      <c r="T662" s="34"/>
      <c r="U662" s="105"/>
      <c r="V662" s="105"/>
    </row>
    <row r="663" spans="1:22" ht="12.75">
      <c r="A663" s="309"/>
      <c r="B663" s="309"/>
      <c r="C663" s="34"/>
      <c r="D663" s="34"/>
      <c r="E663" s="35"/>
      <c r="F663" s="34"/>
      <c r="G663" s="34"/>
      <c r="H663" s="65"/>
      <c r="I663" s="105"/>
      <c r="J663" s="34"/>
      <c r="K663" s="34"/>
      <c r="L663" s="34"/>
      <c r="M663" s="188"/>
      <c r="N663" s="188"/>
      <c r="O663" s="188"/>
      <c r="P663" s="34"/>
      <c r="Q663" s="304"/>
      <c r="R663" s="34"/>
      <c r="S663" s="34"/>
      <c r="T663" s="34"/>
      <c r="U663" s="105"/>
      <c r="V663" s="105"/>
    </row>
    <row r="664" spans="1:22" ht="12.75">
      <c r="A664" s="309"/>
      <c r="B664" s="309"/>
      <c r="C664" s="34"/>
      <c r="D664" s="34"/>
      <c r="E664" s="35"/>
      <c r="F664" s="34"/>
      <c r="G664" s="34"/>
      <c r="H664" s="65"/>
      <c r="I664" s="105"/>
      <c r="J664" s="34"/>
      <c r="K664" s="34"/>
      <c r="L664" s="34"/>
      <c r="M664" s="188"/>
      <c r="N664" s="188"/>
      <c r="O664" s="188"/>
      <c r="P664" s="34"/>
      <c r="Q664" s="304"/>
      <c r="R664" s="34"/>
      <c r="S664" s="34"/>
      <c r="T664" s="34"/>
      <c r="U664" s="105"/>
      <c r="V664" s="105"/>
    </row>
    <row r="665" spans="1:22" ht="12.75">
      <c r="A665" s="309"/>
      <c r="B665" s="309"/>
      <c r="C665" s="34"/>
      <c r="D665" s="34"/>
      <c r="E665" s="35"/>
      <c r="F665" s="34"/>
      <c r="G665" s="34"/>
      <c r="H665" s="65"/>
      <c r="I665" s="105"/>
      <c r="J665" s="34"/>
      <c r="K665" s="34"/>
      <c r="L665" s="34"/>
      <c r="M665" s="188"/>
      <c r="N665" s="188"/>
      <c r="O665" s="188"/>
      <c r="P665" s="34"/>
      <c r="Q665" s="304"/>
      <c r="R665" s="34"/>
      <c r="S665" s="34"/>
      <c r="T665" s="34"/>
      <c r="U665" s="105"/>
      <c r="V665" s="105"/>
    </row>
    <row r="666" spans="1:22" ht="12.75">
      <c r="A666" s="309"/>
      <c r="B666" s="309"/>
      <c r="C666" s="34"/>
      <c r="D666" s="34"/>
      <c r="E666" s="35"/>
      <c r="F666" s="34"/>
      <c r="G666" s="34"/>
      <c r="H666" s="65"/>
      <c r="I666" s="105"/>
      <c r="J666" s="34"/>
      <c r="K666" s="34"/>
      <c r="L666" s="34"/>
      <c r="M666" s="188"/>
      <c r="N666" s="188"/>
      <c r="O666" s="188"/>
      <c r="P666" s="34"/>
      <c r="Q666" s="304"/>
      <c r="R666" s="34"/>
      <c r="S666" s="34"/>
      <c r="T666" s="34"/>
      <c r="U666" s="105"/>
      <c r="V666" s="105"/>
    </row>
    <row r="667" spans="1:22" ht="12.75">
      <c r="A667" s="309"/>
      <c r="B667" s="309"/>
      <c r="C667" s="34"/>
      <c r="D667" s="34"/>
      <c r="E667" s="35"/>
      <c r="F667" s="34"/>
      <c r="G667" s="34"/>
      <c r="H667" s="65"/>
      <c r="I667" s="105"/>
      <c r="J667" s="34"/>
      <c r="K667" s="34"/>
      <c r="L667" s="34"/>
      <c r="M667" s="188"/>
      <c r="N667" s="188"/>
      <c r="O667" s="188"/>
      <c r="P667" s="34"/>
      <c r="Q667" s="304"/>
      <c r="R667" s="34"/>
      <c r="S667" s="34"/>
      <c r="T667" s="34"/>
      <c r="U667" s="105"/>
      <c r="V667" s="105"/>
    </row>
    <row r="668" spans="1:22" ht="12.75">
      <c r="A668" s="309"/>
      <c r="B668" s="309"/>
      <c r="C668" s="34"/>
      <c r="D668" s="34"/>
      <c r="E668" s="35"/>
      <c r="F668" s="34"/>
      <c r="G668" s="34"/>
      <c r="H668" s="65"/>
      <c r="I668" s="105"/>
      <c r="J668" s="34"/>
      <c r="K668" s="34"/>
      <c r="L668" s="34"/>
      <c r="M668" s="188"/>
      <c r="N668" s="188"/>
      <c r="O668" s="188"/>
      <c r="P668" s="34"/>
      <c r="Q668" s="304"/>
      <c r="R668" s="34"/>
      <c r="S668" s="34"/>
      <c r="T668" s="34"/>
      <c r="U668" s="105"/>
      <c r="V668" s="105"/>
    </row>
    <row r="669" spans="1:22" ht="12.75">
      <c r="A669" s="309"/>
      <c r="B669" s="309"/>
      <c r="C669" s="34"/>
      <c r="D669" s="34"/>
      <c r="E669" s="35"/>
      <c r="F669" s="34"/>
      <c r="G669" s="34"/>
      <c r="H669" s="65"/>
      <c r="I669" s="105"/>
      <c r="J669" s="34"/>
      <c r="K669" s="34"/>
      <c r="L669" s="34"/>
      <c r="M669" s="188"/>
      <c r="N669" s="188"/>
      <c r="O669" s="188"/>
      <c r="P669" s="34"/>
      <c r="Q669" s="304"/>
      <c r="R669" s="34"/>
      <c r="S669" s="34"/>
      <c r="T669" s="34"/>
      <c r="U669" s="105"/>
      <c r="V669" s="105"/>
    </row>
    <row r="670" spans="1:22" ht="12.75">
      <c r="A670" s="309"/>
      <c r="B670" s="309"/>
      <c r="C670" s="34"/>
      <c r="D670" s="34"/>
      <c r="E670" s="35"/>
      <c r="F670" s="34"/>
      <c r="G670" s="34"/>
      <c r="H670" s="65"/>
      <c r="I670" s="105"/>
      <c r="J670" s="34"/>
      <c r="K670" s="34"/>
      <c r="L670" s="34"/>
      <c r="M670" s="188"/>
      <c r="N670" s="188"/>
      <c r="O670" s="188"/>
      <c r="P670" s="34"/>
      <c r="Q670" s="304"/>
      <c r="R670" s="34"/>
      <c r="S670" s="34"/>
      <c r="T670" s="34"/>
      <c r="U670" s="105"/>
      <c r="V670" s="105"/>
    </row>
    <row r="671" spans="1:22" ht="12.75">
      <c r="A671" s="309"/>
      <c r="B671" s="309"/>
      <c r="C671" s="34"/>
      <c r="D671" s="34"/>
      <c r="E671" s="35"/>
      <c r="F671" s="34"/>
      <c r="G671" s="34"/>
      <c r="H671" s="65"/>
      <c r="I671" s="105"/>
      <c r="J671" s="34"/>
      <c r="K671" s="34"/>
      <c r="L671" s="34"/>
      <c r="M671" s="188"/>
      <c r="N671" s="188"/>
      <c r="O671" s="188"/>
      <c r="P671" s="34"/>
      <c r="Q671" s="304"/>
      <c r="R671" s="34"/>
      <c r="S671" s="34"/>
      <c r="T671" s="34"/>
      <c r="U671" s="105"/>
      <c r="V671" s="105"/>
    </row>
    <row r="672" spans="1:22" ht="12.75">
      <c r="A672" s="309"/>
      <c r="B672" s="309"/>
      <c r="C672" s="34"/>
      <c r="D672" s="34"/>
      <c r="E672" s="35"/>
      <c r="F672" s="34"/>
      <c r="G672" s="34"/>
      <c r="H672" s="65"/>
      <c r="I672" s="105"/>
      <c r="J672" s="34"/>
      <c r="K672" s="34"/>
      <c r="L672" s="34"/>
      <c r="M672" s="188"/>
      <c r="N672" s="188"/>
      <c r="O672" s="188"/>
      <c r="P672" s="34"/>
      <c r="Q672" s="304"/>
      <c r="R672" s="34"/>
      <c r="S672" s="34"/>
      <c r="T672" s="34"/>
      <c r="U672" s="105"/>
      <c r="V672" s="105"/>
    </row>
    <row r="673" spans="1:22" ht="12.75">
      <c r="A673" s="309"/>
      <c r="B673" s="309"/>
      <c r="C673" s="34"/>
      <c r="D673" s="34"/>
      <c r="E673" s="35"/>
      <c r="F673" s="34"/>
      <c r="G673" s="34"/>
      <c r="H673" s="65"/>
      <c r="I673" s="105"/>
      <c r="J673" s="34"/>
      <c r="K673" s="34"/>
      <c r="L673" s="34"/>
      <c r="M673" s="188"/>
      <c r="N673" s="188"/>
      <c r="O673" s="188"/>
      <c r="P673" s="34"/>
      <c r="Q673" s="304"/>
      <c r="R673" s="34"/>
      <c r="S673" s="34"/>
      <c r="T673" s="34"/>
      <c r="U673" s="105"/>
      <c r="V673" s="105"/>
    </row>
    <row r="674" spans="1:22" ht="12.75">
      <c r="A674" s="309"/>
      <c r="B674" s="309"/>
      <c r="C674" s="34"/>
      <c r="D674" s="34"/>
      <c r="E674" s="35"/>
      <c r="F674" s="34"/>
      <c r="G674" s="34"/>
      <c r="H674" s="65"/>
      <c r="I674" s="105"/>
      <c r="J674" s="34"/>
      <c r="K674" s="34"/>
      <c r="L674" s="34"/>
      <c r="M674" s="188"/>
      <c r="N674" s="188"/>
      <c r="O674" s="188"/>
      <c r="P674" s="34"/>
      <c r="Q674" s="304"/>
      <c r="R674" s="34"/>
      <c r="S674" s="34"/>
      <c r="T674" s="34"/>
      <c r="U674" s="105"/>
      <c r="V674" s="105"/>
    </row>
    <row r="675" spans="1:22" ht="12.75">
      <c r="A675" s="309"/>
      <c r="B675" s="309"/>
      <c r="C675" s="34"/>
      <c r="D675" s="34"/>
      <c r="E675" s="35"/>
      <c r="F675" s="34"/>
      <c r="G675" s="34"/>
      <c r="H675" s="65"/>
      <c r="I675" s="105"/>
      <c r="J675" s="34"/>
      <c r="K675" s="34"/>
      <c r="L675" s="34"/>
      <c r="M675" s="188"/>
      <c r="N675" s="188"/>
      <c r="O675" s="188"/>
      <c r="P675" s="34"/>
      <c r="Q675" s="304"/>
      <c r="R675" s="34"/>
      <c r="S675" s="34"/>
      <c r="T675" s="34"/>
      <c r="U675" s="105"/>
      <c r="V675" s="105"/>
    </row>
    <row r="676" spans="1:22" ht="12.75">
      <c r="A676" s="309"/>
      <c r="B676" s="309"/>
      <c r="C676" s="34"/>
      <c r="D676" s="34"/>
      <c r="E676" s="35"/>
      <c r="F676" s="34"/>
      <c r="G676" s="34"/>
      <c r="H676" s="65"/>
      <c r="I676" s="105"/>
      <c r="J676" s="34"/>
      <c r="K676" s="34"/>
      <c r="L676" s="34"/>
      <c r="M676" s="188"/>
      <c r="N676" s="188"/>
      <c r="O676" s="188"/>
      <c r="P676" s="34"/>
      <c r="Q676" s="304"/>
      <c r="R676" s="34"/>
      <c r="S676" s="34"/>
      <c r="T676" s="34"/>
      <c r="U676" s="105"/>
      <c r="V676" s="105"/>
    </row>
    <row r="677" spans="1:22" ht="12.75">
      <c r="A677" s="309"/>
      <c r="B677" s="309"/>
      <c r="C677" s="34"/>
      <c r="D677" s="34"/>
      <c r="E677" s="35"/>
      <c r="F677" s="34"/>
      <c r="G677" s="34"/>
      <c r="H677" s="65"/>
      <c r="I677" s="105"/>
      <c r="J677" s="34"/>
      <c r="K677" s="34"/>
      <c r="L677" s="34"/>
      <c r="M677" s="188"/>
      <c r="N677" s="188"/>
      <c r="O677" s="188"/>
      <c r="P677" s="34"/>
      <c r="Q677" s="304"/>
      <c r="R677" s="34"/>
      <c r="S677" s="34"/>
      <c r="T677" s="34"/>
      <c r="U677" s="105"/>
      <c r="V677" s="105"/>
    </row>
    <row r="678" spans="1:22" ht="12.75">
      <c r="A678" s="309"/>
      <c r="B678" s="309"/>
      <c r="C678" s="34"/>
      <c r="D678" s="34"/>
      <c r="E678" s="35"/>
      <c r="F678" s="34"/>
      <c r="G678" s="34"/>
      <c r="H678" s="65"/>
      <c r="I678" s="105"/>
      <c r="J678" s="34"/>
      <c r="K678" s="34"/>
      <c r="L678" s="34"/>
      <c r="M678" s="188"/>
      <c r="N678" s="188"/>
      <c r="O678" s="188"/>
      <c r="P678" s="34"/>
      <c r="Q678" s="304"/>
      <c r="R678" s="34"/>
      <c r="S678" s="34"/>
      <c r="T678" s="34"/>
      <c r="U678" s="105"/>
      <c r="V678" s="105"/>
    </row>
    <row r="679" spans="1:22" ht="12.75">
      <c r="A679" s="309"/>
      <c r="B679" s="309"/>
      <c r="C679" s="34"/>
      <c r="D679" s="34"/>
      <c r="E679" s="35"/>
      <c r="F679" s="34"/>
      <c r="G679" s="34"/>
      <c r="H679" s="65"/>
      <c r="I679" s="105"/>
      <c r="J679" s="34"/>
      <c r="K679" s="34"/>
      <c r="L679" s="34"/>
      <c r="M679" s="188"/>
      <c r="N679" s="188"/>
      <c r="O679" s="188"/>
      <c r="P679" s="34"/>
      <c r="Q679" s="304"/>
      <c r="R679" s="34"/>
      <c r="S679" s="34"/>
      <c r="T679" s="34"/>
      <c r="U679" s="105"/>
      <c r="V679" s="105"/>
    </row>
    <row r="680" spans="1:22" ht="12.75">
      <c r="A680" s="309"/>
      <c r="B680" s="309"/>
      <c r="C680" s="34"/>
      <c r="D680" s="34"/>
      <c r="E680" s="35"/>
      <c r="F680" s="34"/>
      <c r="G680" s="34"/>
      <c r="H680" s="65"/>
      <c r="I680" s="105"/>
      <c r="J680" s="34"/>
      <c r="K680" s="34"/>
      <c r="L680" s="34"/>
      <c r="M680" s="188"/>
      <c r="N680" s="188"/>
      <c r="O680" s="188"/>
      <c r="P680" s="34"/>
      <c r="Q680" s="304"/>
      <c r="R680" s="34"/>
      <c r="S680" s="34"/>
      <c r="T680" s="34"/>
      <c r="U680" s="105"/>
      <c r="V680" s="105"/>
    </row>
    <row r="681" spans="1:22" ht="12.75">
      <c r="A681" s="309"/>
      <c r="B681" s="309"/>
      <c r="C681" s="34"/>
      <c r="D681" s="34"/>
      <c r="E681" s="35"/>
      <c r="F681" s="34"/>
      <c r="G681" s="34"/>
      <c r="H681" s="65"/>
      <c r="I681" s="105"/>
      <c r="J681" s="34"/>
      <c r="K681" s="34"/>
      <c r="L681" s="34"/>
      <c r="M681" s="188"/>
      <c r="N681" s="188"/>
      <c r="O681" s="188"/>
      <c r="P681" s="34"/>
      <c r="Q681" s="304"/>
      <c r="R681" s="34"/>
      <c r="S681" s="34"/>
      <c r="T681" s="34"/>
      <c r="U681" s="105"/>
      <c r="V681" s="105"/>
    </row>
    <row r="682" spans="1:22" ht="12.75">
      <c r="A682" s="309"/>
      <c r="B682" s="309"/>
      <c r="C682" s="34"/>
      <c r="D682" s="34"/>
      <c r="E682" s="35"/>
      <c r="F682" s="34"/>
      <c r="G682" s="34"/>
      <c r="H682" s="65"/>
      <c r="I682" s="105"/>
      <c r="J682" s="34"/>
      <c r="K682" s="34"/>
      <c r="L682" s="34"/>
      <c r="M682" s="188"/>
      <c r="N682" s="188"/>
      <c r="O682" s="188"/>
      <c r="P682" s="34"/>
      <c r="Q682" s="304"/>
      <c r="R682" s="34"/>
      <c r="S682" s="34"/>
      <c r="T682" s="34"/>
      <c r="U682" s="105"/>
      <c r="V682" s="105"/>
    </row>
    <row r="683" spans="1:22" ht="12.75">
      <c r="A683" s="309"/>
      <c r="B683" s="309"/>
      <c r="C683" s="34"/>
      <c r="D683" s="34"/>
      <c r="E683" s="35"/>
      <c r="F683" s="34"/>
      <c r="G683" s="34"/>
      <c r="H683" s="65"/>
      <c r="I683" s="105"/>
      <c r="J683" s="34"/>
      <c r="K683" s="34"/>
      <c r="L683" s="34"/>
      <c r="M683" s="188"/>
      <c r="N683" s="188"/>
      <c r="O683" s="188"/>
      <c r="P683" s="34"/>
      <c r="Q683" s="304"/>
      <c r="R683" s="34"/>
      <c r="S683" s="34"/>
      <c r="T683" s="34"/>
      <c r="U683" s="105"/>
      <c r="V683" s="105"/>
    </row>
    <row r="684" spans="1:22" ht="12.75">
      <c r="A684" s="309"/>
      <c r="B684" s="309"/>
      <c r="C684" s="34"/>
      <c r="D684" s="34"/>
      <c r="E684" s="35"/>
      <c r="F684" s="34"/>
      <c r="G684" s="34"/>
      <c r="H684" s="65"/>
      <c r="I684" s="105"/>
      <c r="J684" s="34"/>
      <c r="K684" s="34"/>
      <c r="L684" s="34"/>
      <c r="M684" s="188"/>
      <c r="N684" s="188"/>
      <c r="O684" s="188"/>
      <c r="P684" s="34"/>
      <c r="Q684" s="304"/>
      <c r="R684" s="34"/>
      <c r="S684" s="34"/>
      <c r="T684" s="34"/>
      <c r="U684" s="105"/>
      <c r="V684" s="105"/>
    </row>
    <row r="685" spans="1:22" ht="12.75">
      <c r="A685" s="309"/>
      <c r="B685" s="309"/>
      <c r="C685" s="34"/>
      <c r="D685" s="34"/>
      <c r="E685" s="35"/>
      <c r="F685" s="34"/>
      <c r="G685" s="34"/>
      <c r="H685" s="65"/>
      <c r="I685" s="105"/>
      <c r="J685" s="34"/>
      <c r="K685" s="34"/>
      <c r="L685" s="34"/>
      <c r="M685" s="188"/>
      <c r="N685" s="188"/>
      <c r="O685" s="188"/>
      <c r="P685" s="34"/>
      <c r="Q685" s="304"/>
      <c r="R685" s="34"/>
      <c r="S685" s="34"/>
      <c r="T685" s="34"/>
      <c r="U685" s="105"/>
      <c r="V685" s="105"/>
    </row>
    <row r="686" spans="1:22" ht="12.75">
      <c r="A686" s="309"/>
      <c r="B686" s="309"/>
      <c r="C686" s="34"/>
      <c r="D686" s="34"/>
      <c r="E686" s="35"/>
      <c r="F686" s="34"/>
      <c r="G686" s="34"/>
      <c r="H686" s="65"/>
      <c r="I686" s="105"/>
      <c r="J686" s="34"/>
      <c r="K686" s="34"/>
      <c r="L686" s="34"/>
      <c r="M686" s="188"/>
      <c r="N686" s="188"/>
      <c r="O686" s="188"/>
      <c r="P686" s="34"/>
      <c r="Q686" s="304"/>
      <c r="R686" s="34"/>
      <c r="S686" s="34"/>
      <c r="T686" s="34"/>
      <c r="U686" s="105"/>
      <c r="V686" s="105"/>
    </row>
    <row r="687" spans="1:22" ht="12.75">
      <c r="A687" s="309"/>
      <c r="B687" s="309"/>
      <c r="C687" s="34"/>
      <c r="D687" s="34"/>
      <c r="E687" s="35"/>
      <c r="F687" s="34"/>
      <c r="G687" s="34"/>
      <c r="H687" s="65"/>
      <c r="I687" s="105"/>
      <c r="J687" s="34"/>
      <c r="K687" s="34"/>
      <c r="L687" s="34"/>
      <c r="M687" s="188"/>
      <c r="N687" s="188"/>
      <c r="O687" s="188"/>
      <c r="P687" s="34"/>
      <c r="Q687" s="304"/>
      <c r="R687" s="34"/>
      <c r="S687" s="34"/>
      <c r="T687" s="34"/>
      <c r="U687" s="105"/>
      <c r="V687" s="105"/>
    </row>
    <row r="688" spans="1:22" ht="12.75">
      <c r="A688" s="309"/>
      <c r="B688" s="309"/>
      <c r="C688" s="34"/>
      <c r="D688" s="34"/>
      <c r="E688" s="35"/>
      <c r="F688" s="34"/>
      <c r="G688" s="34"/>
      <c r="H688" s="65"/>
      <c r="I688" s="105"/>
      <c r="J688" s="34"/>
      <c r="K688" s="34"/>
      <c r="L688" s="34"/>
      <c r="M688" s="188"/>
      <c r="N688" s="188"/>
      <c r="O688" s="188"/>
      <c r="P688" s="34"/>
      <c r="Q688" s="304"/>
      <c r="R688" s="34"/>
      <c r="S688" s="34"/>
      <c r="T688" s="34"/>
      <c r="U688" s="105"/>
      <c r="V688" s="105"/>
    </row>
    <row r="689" spans="1:22" ht="12.75">
      <c r="A689" s="309"/>
      <c r="B689" s="309"/>
      <c r="C689" s="34"/>
      <c r="D689" s="34"/>
      <c r="E689" s="35"/>
      <c r="F689" s="34"/>
      <c r="G689" s="34"/>
      <c r="H689" s="65"/>
      <c r="I689" s="105"/>
      <c r="J689" s="34"/>
      <c r="K689" s="34"/>
      <c r="L689" s="34"/>
      <c r="M689" s="188"/>
      <c r="N689" s="188"/>
      <c r="O689" s="188"/>
      <c r="P689" s="34"/>
      <c r="Q689" s="304"/>
      <c r="R689" s="34"/>
      <c r="S689" s="34"/>
      <c r="T689" s="34"/>
      <c r="U689" s="105"/>
      <c r="V689" s="105"/>
    </row>
    <row r="690" spans="1:22" ht="12.75">
      <c r="A690" s="309"/>
      <c r="B690" s="309"/>
      <c r="C690" s="34"/>
      <c r="D690" s="34"/>
      <c r="E690" s="35"/>
      <c r="F690" s="34"/>
      <c r="G690" s="34"/>
      <c r="H690" s="65"/>
      <c r="I690" s="105"/>
      <c r="J690" s="34"/>
      <c r="K690" s="34"/>
      <c r="L690" s="34"/>
      <c r="M690" s="188"/>
      <c r="N690" s="188"/>
      <c r="O690" s="188"/>
      <c r="P690" s="34"/>
      <c r="Q690" s="304"/>
      <c r="R690" s="34"/>
      <c r="S690" s="34"/>
      <c r="T690" s="34"/>
      <c r="U690" s="105"/>
      <c r="V690" s="105"/>
    </row>
    <row r="691" spans="1:22" ht="12.75">
      <c r="A691" s="309"/>
      <c r="B691" s="309"/>
      <c r="C691" s="34"/>
      <c r="D691" s="34"/>
      <c r="E691" s="35"/>
      <c r="F691" s="34"/>
      <c r="G691" s="34"/>
      <c r="H691" s="65"/>
      <c r="I691" s="105"/>
      <c r="J691" s="34"/>
      <c r="K691" s="34"/>
      <c r="L691" s="34"/>
      <c r="M691" s="188"/>
      <c r="N691" s="188"/>
      <c r="O691" s="188"/>
      <c r="P691" s="34"/>
      <c r="Q691" s="304"/>
      <c r="R691" s="34"/>
      <c r="S691" s="34"/>
      <c r="T691" s="34"/>
      <c r="U691" s="105"/>
      <c r="V691" s="105"/>
    </row>
    <row r="692" spans="1:22" ht="12.75">
      <c r="A692" s="309"/>
      <c r="B692" s="309"/>
      <c r="C692" s="34"/>
      <c r="D692" s="34"/>
      <c r="E692" s="35"/>
      <c r="F692" s="34"/>
      <c r="G692" s="34"/>
      <c r="H692" s="65"/>
      <c r="I692" s="105"/>
      <c r="J692" s="34"/>
      <c r="K692" s="34"/>
      <c r="L692" s="34"/>
      <c r="M692" s="188"/>
      <c r="N692" s="188"/>
      <c r="O692" s="188"/>
      <c r="P692" s="34"/>
      <c r="Q692" s="304"/>
      <c r="R692" s="34"/>
      <c r="S692" s="34"/>
      <c r="T692" s="34"/>
      <c r="U692" s="105"/>
      <c r="V692" s="105"/>
    </row>
    <row r="693" spans="1:22" ht="12.75">
      <c r="A693" s="309"/>
      <c r="B693" s="309"/>
      <c r="C693" s="34"/>
      <c r="D693" s="34"/>
      <c r="E693" s="35"/>
      <c r="F693" s="34"/>
      <c r="G693" s="34"/>
      <c r="H693" s="65"/>
      <c r="I693" s="105"/>
      <c r="J693" s="34"/>
      <c r="K693" s="34"/>
      <c r="L693" s="34"/>
      <c r="M693" s="188"/>
      <c r="N693" s="188"/>
      <c r="O693" s="188"/>
      <c r="P693" s="34"/>
      <c r="Q693" s="304"/>
      <c r="R693" s="34"/>
      <c r="S693" s="34"/>
      <c r="T693" s="34"/>
      <c r="U693" s="105"/>
      <c r="V693" s="105"/>
    </row>
    <row r="694" spans="1:22" ht="12.75">
      <c r="A694" s="309"/>
      <c r="B694" s="309"/>
      <c r="C694" s="34"/>
      <c r="D694" s="34"/>
      <c r="E694" s="35"/>
      <c r="F694" s="34"/>
      <c r="G694" s="34"/>
      <c r="H694" s="65"/>
      <c r="I694" s="105"/>
      <c r="J694" s="34"/>
      <c r="K694" s="34"/>
      <c r="L694" s="34"/>
      <c r="M694" s="188"/>
      <c r="N694" s="188"/>
      <c r="O694" s="188"/>
      <c r="P694" s="34"/>
      <c r="Q694" s="304"/>
      <c r="R694" s="34"/>
      <c r="S694" s="34"/>
      <c r="T694" s="34"/>
      <c r="U694" s="105"/>
      <c r="V694" s="105"/>
    </row>
    <row r="695" spans="1:22" ht="12.75">
      <c r="A695" s="309"/>
      <c r="B695" s="309"/>
      <c r="C695" s="34"/>
      <c r="D695" s="34"/>
      <c r="E695" s="35"/>
      <c r="F695" s="34"/>
      <c r="G695" s="34"/>
      <c r="H695" s="65"/>
      <c r="I695" s="105"/>
      <c r="J695" s="34"/>
      <c r="K695" s="34"/>
      <c r="L695" s="34"/>
      <c r="M695" s="188"/>
      <c r="N695" s="188"/>
      <c r="O695" s="188"/>
      <c r="P695" s="34"/>
      <c r="Q695" s="304"/>
      <c r="R695" s="34"/>
      <c r="S695" s="34"/>
      <c r="T695" s="34"/>
      <c r="U695" s="105"/>
      <c r="V695" s="105"/>
    </row>
    <row r="696" spans="1:22" ht="12.75">
      <c r="A696" s="309"/>
      <c r="B696" s="309"/>
      <c r="C696" s="34"/>
      <c r="D696" s="34"/>
      <c r="E696" s="35"/>
      <c r="F696" s="34"/>
      <c r="G696" s="34"/>
      <c r="H696" s="65"/>
      <c r="I696" s="105"/>
      <c r="J696" s="34"/>
      <c r="K696" s="34"/>
      <c r="L696" s="34"/>
      <c r="M696" s="188"/>
      <c r="N696" s="188"/>
      <c r="O696" s="188"/>
      <c r="P696" s="34"/>
      <c r="Q696" s="304"/>
      <c r="R696" s="34"/>
      <c r="S696" s="34"/>
      <c r="T696" s="34"/>
      <c r="U696" s="105"/>
      <c r="V696" s="105"/>
    </row>
    <row r="697" spans="1:22" ht="12.75">
      <c r="A697" s="309"/>
      <c r="B697" s="309"/>
      <c r="C697" s="34"/>
      <c r="D697" s="34"/>
      <c r="E697" s="35"/>
      <c r="F697" s="34"/>
      <c r="G697" s="34"/>
      <c r="H697" s="65"/>
      <c r="I697" s="105"/>
      <c r="J697" s="34"/>
      <c r="K697" s="34"/>
      <c r="L697" s="34"/>
      <c r="M697" s="188"/>
      <c r="N697" s="188"/>
      <c r="O697" s="188"/>
      <c r="P697" s="34"/>
      <c r="Q697" s="304"/>
      <c r="R697" s="34"/>
      <c r="S697" s="34"/>
      <c r="T697" s="34"/>
      <c r="U697" s="105"/>
      <c r="V697" s="105"/>
    </row>
    <row r="698" spans="1:22" ht="12.75">
      <c r="A698" s="309"/>
      <c r="B698" s="309"/>
      <c r="C698" s="34"/>
      <c r="D698" s="34"/>
      <c r="E698" s="35"/>
      <c r="F698" s="34"/>
      <c r="G698" s="34"/>
      <c r="H698" s="65"/>
      <c r="I698" s="105"/>
      <c r="J698" s="34"/>
      <c r="K698" s="34"/>
      <c r="L698" s="34"/>
      <c r="M698" s="188"/>
      <c r="N698" s="188"/>
      <c r="O698" s="188"/>
      <c r="P698" s="34"/>
      <c r="Q698" s="304"/>
      <c r="R698" s="34"/>
      <c r="S698" s="34"/>
      <c r="T698" s="34"/>
      <c r="U698" s="105"/>
      <c r="V698" s="105"/>
    </row>
    <row r="699" spans="1:22" ht="12.75">
      <c r="A699" s="309"/>
      <c r="B699" s="309"/>
      <c r="C699" s="34"/>
      <c r="D699" s="34"/>
      <c r="E699" s="35"/>
      <c r="F699" s="34"/>
      <c r="G699" s="34"/>
      <c r="H699" s="65"/>
      <c r="I699" s="105"/>
      <c r="J699" s="34"/>
      <c r="K699" s="34"/>
      <c r="L699" s="34"/>
      <c r="M699" s="188"/>
      <c r="N699" s="188"/>
      <c r="O699" s="188"/>
      <c r="P699" s="34"/>
      <c r="Q699" s="304"/>
      <c r="R699" s="34"/>
      <c r="S699" s="34"/>
      <c r="T699" s="34"/>
      <c r="U699" s="105"/>
      <c r="V699" s="105"/>
    </row>
    <row r="700" spans="1:22" ht="12.75">
      <c r="A700" s="309"/>
      <c r="B700" s="309"/>
      <c r="C700" s="34"/>
      <c r="D700" s="34"/>
      <c r="E700" s="35"/>
      <c r="F700" s="34"/>
      <c r="G700" s="34"/>
      <c r="H700" s="65"/>
      <c r="I700" s="105"/>
      <c r="J700" s="34"/>
      <c r="K700" s="34"/>
      <c r="L700" s="34"/>
      <c r="M700" s="188"/>
      <c r="N700" s="188"/>
      <c r="O700" s="188"/>
      <c r="P700" s="34"/>
      <c r="Q700" s="304"/>
      <c r="R700" s="34"/>
      <c r="S700" s="34"/>
      <c r="T700" s="34"/>
      <c r="U700" s="105"/>
      <c r="V700" s="105"/>
    </row>
    <row r="701" spans="1:22" ht="12.75">
      <c r="A701" s="309"/>
      <c r="B701" s="309"/>
      <c r="C701" s="34"/>
      <c r="D701" s="34"/>
      <c r="E701" s="35"/>
      <c r="F701" s="34"/>
      <c r="G701" s="34"/>
      <c r="H701" s="65"/>
      <c r="I701" s="105"/>
      <c r="J701" s="34"/>
      <c r="K701" s="34"/>
      <c r="L701" s="34"/>
      <c r="M701" s="188"/>
      <c r="N701" s="188"/>
      <c r="O701" s="188"/>
      <c r="P701" s="34"/>
      <c r="Q701" s="304"/>
      <c r="R701" s="34"/>
      <c r="S701" s="34"/>
      <c r="T701" s="34"/>
      <c r="U701" s="105"/>
      <c r="V701" s="105"/>
    </row>
    <row r="702" spans="1:22" ht="12.75">
      <c r="A702" s="309"/>
      <c r="B702" s="309"/>
      <c r="C702" s="34"/>
      <c r="D702" s="34"/>
      <c r="E702" s="35"/>
      <c r="F702" s="34"/>
      <c r="G702" s="34"/>
      <c r="H702" s="65"/>
      <c r="I702" s="105"/>
      <c r="J702" s="34"/>
      <c r="K702" s="34"/>
      <c r="L702" s="34"/>
      <c r="M702" s="188"/>
      <c r="N702" s="188"/>
      <c r="O702" s="188"/>
      <c r="P702" s="34"/>
      <c r="Q702" s="304"/>
      <c r="R702" s="34"/>
      <c r="S702" s="34"/>
      <c r="T702" s="34"/>
      <c r="U702" s="105"/>
      <c r="V702" s="105"/>
    </row>
    <row r="703" spans="1:22" ht="12.75">
      <c r="A703" s="309"/>
      <c r="B703" s="309"/>
      <c r="C703" s="34"/>
      <c r="D703" s="34"/>
      <c r="E703" s="35"/>
      <c r="F703" s="34"/>
      <c r="G703" s="34"/>
      <c r="H703" s="65"/>
      <c r="I703" s="105"/>
      <c r="J703" s="34"/>
      <c r="K703" s="34"/>
      <c r="L703" s="34"/>
      <c r="M703" s="188"/>
      <c r="N703" s="188"/>
      <c r="O703" s="188"/>
      <c r="P703" s="34"/>
      <c r="Q703" s="304"/>
      <c r="R703" s="34"/>
      <c r="S703" s="34"/>
      <c r="T703" s="34"/>
      <c r="U703" s="105"/>
      <c r="V703" s="105"/>
    </row>
    <row r="704" spans="1:22" ht="12.75">
      <c r="A704" s="309"/>
      <c r="B704" s="309"/>
      <c r="C704" s="34"/>
      <c r="D704" s="34"/>
      <c r="E704" s="35"/>
      <c r="F704" s="34"/>
      <c r="G704" s="34"/>
      <c r="H704" s="65"/>
      <c r="I704" s="105"/>
      <c r="J704" s="34"/>
      <c r="K704" s="34"/>
      <c r="L704" s="34"/>
      <c r="M704" s="188"/>
      <c r="N704" s="188"/>
      <c r="O704" s="188"/>
      <c r="P704" s="34"/>
      <c r="Q704" s="304"/>
      <c r="R704" s="34"/>
      <c r="S704" s="34"/>
      <c r="T704" s="34"/>
      <c r="U704" s="105"/>
      <c r="V704" s="105"/>
    </row>
    <row r="705" spans="1:22" ht="12.75">
      <c r="A705" s="309"/>
      <c r="B705" s="309"/>
      <c r="C705" s="34"/>
      <c r="D705" s="34"/>
      <c r="E705" s="35"/>
      <c r="F705" s="34"/>
      <c r="G705" s="34"/>
      <c r="H705" s="65"/>
      <c r="I705" s="105"/>
      <c r="J705" s="34"/>
      <c r="K705" s="34"/>
      <c r="L705" s="34"/>
      <c r="M705" s="188"/>
      <c r="N705" s="188"/>
      <c r="O705" s="188"/>
      <c r="P705" s="34"/>
      <c r="Q705" s="304"/>
      <c r="R705" s="34"/>
      <c r="S705" s="34"/>
      <c r="T705" s="34"/>
      <c r="U705" s="105"/>
      <c r="V705" s="105"/>
    </row>
    <row r="706" spans="1:22" ht="12.75">
      <c r="A706" s="309"/>
      <c r="B706" s="309"/>
      <c r="C706" s="34"/>
      <c r="D706" s="34"/>
      <c r="E706" s="35"/>
      <c r="F706" s="34"/>
      <c r="G706" s="34"/>
      <c r="H706" s="65"/>
      <c r="I706" s="105"/>
      <c r="J706" s="34"/>
      <c r="K706" s="34"/>
      <c r="L706" s="34"/>
      <c r="M706" s="188"/>
      <c r="N706" s="188"/>
      <c r="O706" s="188"/>
      <c r="P706" s="34"/>
      <c r="Q706" s="304"/>
      <c r="R706" s="34"/>
      <c r="S706" s="34"/>
      <c r="T706" s="34"/>
      <c r="U706" s="105"/>
      <c r="V706" s="105"/>
    </row>
    <row r="707" spans="1:22" ht="12.75">
      <c r="A707" s="309"/>
      <c r="B707" s="309"/>
      <c r="C707" s="34"/>
      <c r="D707" s="34"/>
      <c r="E707" s="35"/>
      <c r="F707" s="34"/>
      <c r="G707" s="34"/>
      <c r="H707" s="65"/>
      <c r="I707" s="105"/>
      <c r="J707" s="34"/>
      <c r="K707" s="34"/>
      <c r="L707" s="34"/>
      <c r="M707" s="188"/>
      <c r="N707" s="188"/>
      <c r="O707" s="188"/>
      <c r="P707" s="34"/>
      <c r="Q707" s="304"/>
      <c r="R707" s="34"/>
      <c r="S707" s="34"/>
      <c r="T707" s="34"/>
      <c r="U707" s="105"/>
      <c r="V707" s="105"/>
    </row>
    <row r="708" spans="1:22" ht="12.75">
      <c r="A708" s="309"/>
      <c r="B708" s="309"/>
      <c r="C708" s="34"/>
      <c r="D708" s="34"/>
      <c r="E708" s="35"/>
      <c r="F708" s="34"/>
      <c r="G708" s="34"/>
      <c r="H708" s="65"/>
      <c r="I708" s="105"/>
      <c r="J708" s="34"/>
      <c r="K708" s="34"/>
      <c r="L708" s="34"/>
      <c r="M708" s="188"/>
      <c r="N708" s="188"/>
      <c r="O708" s="188"/>
      <c r="P708" s="34"/>
      <c r="Q708" s="304"/>
      <c r="R708" s="34"/>
      <c r="S708" s="34"/>
      <c r="T708" s="34"/>
      <c r="U708" s="105"/>
      <c r="V708" s="105"/>
    </row>
    <row r="709" spans="1:22" ht="12.75">
      <c r="A709" s="309"/>
      <c r="B709" s="309"/>
      <c r="C709" s="34"/>
      <c r="D709" s="34"/>
      <c r="E709" s="35"/>
      <c r="F709" s="34"/>
      <c r="G709" s="34"/>
      <c r="H709" s="65"/>
      <c r="I709" s="105"/>
      <c r="J709" s="34"/>
      <c r="K709" s="34"/>
      <c r="L709" s="34"/>
      <c r="M709" s="188"/>
      <c r="N709" s="188"/>
      <c r="O709" s="188"/>
      <c r="P709" s="34"/>
      <c r="Q709" s="304"/>
      <c r="R709" s="34"/>
      <c r="S709" s="34"/>
      <c r="T709" s="34"/>
      <c r="U709" s="105"/>
      <c r="V709" s="105"/>
    </row>
    <row r="710" spans="1:22" ht="12.75">
      <c r="A710" s="309"/>
      <c r="B710" s="309"/>
      <c r="C710" s="34"/>
      <c r="D710" s="34"/>
      <c r="E710" s="35"/>
      <c r="F710" s="34"/>
      <c r="G710" s="34"/>
      <c r="H710" s="65"/>
      <c r="I710" s="105"/>
      <c r="J710" s="34"/>
      <c r="K710" s="34"/>
      <c r="L710" s="34"/>
      <c r="M710" s="188"/>
      <c r="N710" s="188"/>
      <c r="O710" s="188"/>
      <c r="P710" s="34"/>
      <c r="Q710" s="304"/>
      <c r="R710" s="34"/>
      <c r="S710" s="34"/>
      <c r="T710" s="34"/>
      <c r="U710" s="105"/>
      <c r="V710" s="105"/>
    </row>
    <row r="711" spans="1:22" ht="12.75">
      <c r="A711" s="309"/>
      <c r="B711" s="309"/>
      <c r="C711" s="34"/>
      <c r="D711" s="34"/>
      <c r="E711" s="35"/>
      <c r="F711" s="34"/>
      <c r="G711" s="34"/>
      <c r="H711" s="65"/>
      <c r="I711" s="105"/>
      <c r="J711" s="34"/>
      <c r="K711" s="34"/>
      <c r="L711" s="34"/>
      <c r="M711" s="188"/>
      <c r="N711" s="188"/>
      <c r="O711" s="188"/>
      <c r="P711" s="34"/>
      <c r="Q711" s="304"/>
      <c r="R711" s="34"/>
      <c r="S711" s="34"/>
      <c r="T711" s="34"/>
      <c r="U711" s="105"/>
      <c r="V711" s="105"/>
    </row>
    <row r="712" spans="1:22" ht="12.75">
      <c r="A712" s="309"/>
      <c r="B712" s="309"/>
      <c r="C712" s="34"/>
      <c r="D712" s="34"/>
      <c r="E712" s="35"/>
      <c r="F712" s="34"/>
      <c r="G712" s="34"/>
      <c r="H712" s="65"/>
      <c r="I712" s="105"/>
      <c r="J712" s="34"/>
      <c r="K712" s="34"/>
      <c r="L712" s="34"/>
      <c r="M712" s="188"/>
      <c r="N712" s="188"/>
      <c r="O712" s="188"/>
      <c r="P712" s="34"/>
      <c r="Q712" s="304"/>
      <c r="R712" s="34"/>
      <c r="S712" s="34"/>
      <c r="T712" s="34"/>
      <c r="U712" s="105"/>
      <c r="V712" s="105"/>
    </row>
    <row r="713" spans="1:22" ht="12.75">
      <c r="A713" s="309"/>
      <c r="B713" s="309"/>
      <c r="C713" s="34"/>
      <c r="D713" s="34"/>
      <c r="E713" s="35"/>
      <c r="F713" s="34"/>
      <c r="G713" s="34"/>
      <c r="H713" s="65"/>
      <c r="I713" s="105"/>
      <c r="J713" s="34"/>
      <c r="K713" s="34"/>
      <c r="L713" s="34"/>
      <c r="M713" s="188"/>
      <c r="N713" s="188"/>
      <c r="O713" s="188"/>
      <c r="P713" s="34"/>
      <c r="Q713" s="304"/>
      <c r="R713" s="34"/>
      <c r="S713" s="34"/>
      <c r="T713" s="34"/>
      <c r="U713" s="105"/>
      <c r="V713" s="105"/>
    </row>
    <row r="714" spans="1:22" ht="12.75">
      <c r="A714" s="309"/>
      <c r="B714" s="309"/>
      <c r="C714" s="34"/>
      <c r="D714" s="34"/>
      <c r="E714" s="35"/>
      <c r="F714" s="34"/>
      <c r="G714" s="34"/>
      <c r="H714" s="65"/>
      <c r="I714" s="105"/>
      <c r="J714" s="34"/>
      <c r="K714" s="34"/>
      <c r="L714" s="34"/>
      <c r="M714" s="188"/>
      <c r="N714" s="188"/>
      <c r="O714" s="188"/>
      <c r="P714" s="34"/>
      <c r="Q714" s="304"/>
      <c r="R714" s="34"/>
      <c r="S714" s="34"/>
      <c r="T714" s="34"/>
      <c r="U714" s="105"/>
      <c r="V714" s="105"/>
    </row>
    <row r="715" spans="1:22" ht="12.75">
      <c r="A715" s="309"/>
      <c r="B715" s="309"/>
      <c r="C715" s="34"/>
      <c r="D715" s="34"/>
      <c r="E715" s="35"/>
      <c r="F715" s="34"/>
      <c r="G715" s="34"/>
      <c r="H715" s="65"/>
      <c r="I715" s="105"/>
      <c r="J715" s="34"/>
      <c r="K715" s="34"/>
      <c r="L715" s="34"/>
      <c r="M715" s="188"/>
      <c r="N715" s="188"/>
      <c r="O715" s="188"/>
      <c r="P715" s="34"/>
      <c r="Q715" s="304"/>
      <c r="R715" s="34"/>
      <c r="S715" s="34"/>
      <c r="T715" s="34"/>
      <c r="U715" s="105"/>
      <c r="V715" s="105"/>
    </row>
    <row r="716" spans="1:22" ht="12.75">
      <c r="A716" s="309"/>
      <c r="B716" s="309"/>
      <c r="C716" s="34"/>
      <c r="D716" s="34"/>
      <c r="E716" s="35"/>
      <c r="F716" s="34"/>
      <c r="G716" s="34"/>
      <c r="H716" s="65"/>
      <c r="I716" s="105"/>
      <c r="J716" s="34"/>
      <c r="K716" s="34"/>
      <c r="L716" s="34"/>
      <c r="M716" s="188"/>
      <c r="N716" s="188"/>
      <c r="O716" s="188"/>
      <c r="P716" s="34"/>
      <c r="Q716" s="304"/>
      <c r="R716" s="34"/>
      <c r="S716" s="34"/>
      <c r="T716" s="34"/>
      <c r="U716" s="105"/>
      <c r="V716" s="105"/>
    </row>
    <row r="717" spans="1:22" ht="12.75">
      <c r="A717" s="309"/>
      <c r="B717" s="309"/>
      <c r="C717" s="34"/>
      <c r="D717" s="34"/>
      <c r="E717" s="35"/>
      <c r="F717" s="34"/>
      <c r="G717" s="34"/>
      <c r="H717" s="65"/>
      <c r="I717" s="105"/>
      <c r="J717" s="34"/>
      <c r="K717" s="34"/>
      <c r="L717" s="34"/>
      <c r="M717" s="188"/>
      <c r="N717" s="188"/>
      <c r="O717" s="188"/>
      <c r="P717" s="34"/>
      <c r="Q717" s="304"/>
      <c r="R717" s="34"/>
      <c r="S717" s="34"/>
      <c r="T717" s="34"/>
      <c r="U717" s="105"/>
      <c r="V717" s="105"/>
    </row>
    <row r="718" spans="1:22" ht="12.75">
      <c r="A718" s="309"/>
      <c r="B718" s="309"/>
      <c r="C718" s="34"/>
      <c r="D718" s="34"/>
      <c r="E718" s="35"/>
      <c r="F718" s="34"/>
      <c r="G718" s="34"/>
      <c r="H718" s="65"/>
      <c r="I718" s="105"/>
      <c r="J718" s="34"/>
      <c r="K718" s="34"/>
      <c r="L718" s="34"/>
      <c r="M718" s="188"/>
      <c r="N718" s="188"/>
      <c r="O718" s="188"/>
      <c r="P718" s="34"/>
      <c r="Q718" s="304"/>
      <c r="R718" s="34"/>
      <c r="S718" s="34"/>
      <c r="T718" s="34"/>
      <c r="U718" s="105"/>
      <c r="V718" s="105"/>
    </row>
    <row r="719" spans="1:22" ht="12.75">
      <c r="A719" s="309"/>
      <c r="B719" s="309"/>
      <c r="C719" s="34"/>
      <c r="D719" s="34"/>
      <c r="E719" s="35"/>
      <c r="F719" s="34"/>
      <c r="G719" s="34"/>
      <c r="H719" s="65"/>
      <c r="I719" s="105"/>
      <c r="J719" s="34"/>
      <c r="K719" s="34"/>
      <c r="L719" s="34"/>
      <c r="M719" s="188"/>
      <c r="N719" s="188"/>
      <c r="O719" s="188"/>
      <c r="P719" s="34"/>
      <c r="Q719" s="304"/>
      <c r="R719" s="34"/>
      <c r="S719" s="34"/>
      <c r="T719" s="34"/>
      <c r="U719" s="105"/>
      <c r="V719" s="105"/>
    </row>
    <row r="720" spans="1:22" ht="12.75">
      <c r="A720" s="309"/>
      <c r="B720" s="309"/>
      <c r="C720" s="34"/>
      <c r="D720" s="34"/>
      <c r="E720" s="35"/>
      <c r="F720" s="34"/>
      <c r="G720" s="34"/>
      <c r="H720" s="65"/>
      <c r="I720" s="105"/>
      <c r="J720" s="34"/>
      <c r="K720" s="34"/>
      <c r="L720" s="34"/>
      <c r="M720" s="188"/>
      <c r="N720" s="188"/>
      <c r="O720" s="188"/>
      <c r="P720" s="34"/>
      <c r="Q720" s="304"/>
      <c r="R720" s="34"/>
      <c r="S720" s="34"/>
      <c r="T720" s="34"/>
      <c r="U720" s="105"/>
      <c r="V720" s="105"/>
    </row>
    <row r="721" spans="1:22" ht="12.75">
      <c r="A721" s="309"/>
      <c r="B721" s="309"/>
      <c r="C721" s="34"/>
      <c r="D721" s="34"/>
      <c r="E721" s="35"/>
      <c r="F721" s="34"/>
      <c r="G721" s="34"/>
      <c r="H721" s="65"/>
      <c r="I721" s="105"/>
      <c r="J721" s="34"/>
      <c r="K721" s="34"/>
      <c r="L721" s="34"/>
      <c r="M721" s="188"/>
      <c r="N721" s="188"/>
      <c r="O721" s="188"/>
      <c r="P721" s="34"/>
      <c r="Q721" s="304"/>
      <c r="R721" s="34"/>
      <c r="S721" s="34"/>
      <c r="T721" s="34"/>
      <c r="U721" s="105"/>
      <c r="V721" s="105"/>
    </row>
    <row r="722" spans="1:22" ht="12.75">
      <c r="A722" s="309"/>
      <c r="B722" s="309"/>
      <c r="C722" s="34"/>
      <c r="D722" s="34"/>
      <c r="E722" s="35"/>
      <c r="F722" s="34"/>
      <c r="G722" s="34"/>
      <c r="H722" s="65"/>
      <c r="I722" s="105"/>
      <c r="J722" s="34"/>
      <c r="K722" s="34"/>
      <c r="L722" s="34"/>
      <c r="M722" s="188"/>
      <c r="N722" s="188"/>
      <c r="O722" s="188"/>
      <c r="P722" s="34"/>
      <c r="Q722" s="304"/>
      <c r="R722" s="34"/>
      <c r="S722" s="34"/>
      <c r="T722" s="34"/>
      <c r="U722" s="105"/>
      <c r="V722" s="105"/>
    </row>
    <row r="723" spans="1:22" ht="12.75">
      <c r="A723" s="309"/>
      <c r="B723" s="309"/>
      <c r="C723" s="34"/>
      <c r="D723" s="34"/>
      <c r="E723" s="35"/>
      <c r="F723" s="34"/>
      <c r="G723" s="34"/>
      <c r="H723" s="65"/>
      <c r="I723" s="105"/>
      <c r="J723" s="34"/>
      <c r="K723" s="34"/>
      <c r="L723" s="34"/>
      <c r="M723" s="188"/>
      <c r="N723" s="188"/>
      <c r="O723" s="188"/>
      <c r="P723" s="34"/>
      <c r="Q723" s="304"/>
      <c r="R723" s="34"/>
      <c r="S723" s="34"/>
      <c r="T723" s="34"/>
      <c r="U723" s="105"/>
      <c r="V723" s="105"/>
    </row>
    <row r="724" spans="1:22" ht="12.75">
      <c r="A724" s="309"/>
      <c r="B724" s="309"/>
      <c r="C724" s="34"/>
      <c r="D724" s="34"/>
      <c r="E724" s="35"/>
      <c r="F724" s="34"/>
      <c r="G724" s="34"/>
      <c r="H724" s="65"/>
      <c r="I724" s="105"/>
      <c r="J724" s="34"/>
      <c r="K724" s="34"/>
      <c r="L724" s="34"/>
      <c r="M724" s="188"/>
      <c r="N724" s="188"/>
      <c r="O724" s="188"/>
      <c r="P724" s="34"/>
      <c r="Q724" s="304"/>
      <c r="R724" s="34"/>
      <c r="S724" s="34"/>
      <c r="T724" s="34"/>
      <c r="U724" s="105"/>
      <c r="V724" s="105"/>
    </row>
    <row r="725" spans="1:22" ht="12.75">
      <c r="A725" s="309"/>
      <c r="B725" s="309"/>
      <c r="C725" s="34"/>
      <c r="D725" s="34"/>
      <c r="E725" s="35"/>
      <c r="F725" s="34"/>
      <c r="G725" s="34"/>
      <c r="H725" s="65"/>
      <c r="I725" s="105"/>
      <c r="J725" s="34"/>
      <c r="K725" s="34"/>
      <c r="L725" s="34"/>
      <c r="M725" s="188"/>
      <c r="N725" s="188"/>
      <c r="O725" s="188"/>
      <c r="P725" s="34"/>
      <c r="Q725" s="304"/>
      <c r="R725" s="34"/>
      <c r="S725" s="34"/>
      <c r="T725" s="34"/>
      <c r="U725" s="105"/>
      <c r="V725" s="105"/>
    </row>
    <row r="726" spans="1:22" ht="12.75">
      <c r="A726" s="309"/>
      <c r="B726" s="309"/>
      <c r="C726" s="34"/>
      <c r="D726" s="34"/>
      <c r="E726" s="35"/>
      <c r="F726" s="34"/>
      <c r="G726" s="34"/>
      <c r="H726" s="65"/>
      <c r="I726" s="105"/>
      <c r="J726" s="34"/>
      <c r="K726" s="34"/>
      <c r="L726" s="34"/>
      <c r="M726" s="188"/>
      <c r="N726" s="188"/>
      <c r="O726" s="188"/>
      <c r="P726" s="34"/>
      <c r="Q726" s="304"/>
      <c r="R726" s="34"/>
      <c r="S726" s="34"/>
      <c r="T726" s="34"/>
      <c r="U726" s="105"/>
      <c r="V726" s="105"/>
    </row>
    <row r="727" spans="1:22" ht="12.75">
      <c r="A727" s="309"/>
      <c r="B727" s="309"/>
      <c r="C727" s="34"/>
      <c r="D727" s="34"/>
      <c r="E727" s="35"/>
      <c r="F727" s="34"/>
      <c r="G727" s="34"/>
      <c r="H727" s="65"/>
      <c r="I727" s="105"/>
      <c r="J727" s="34"/>
      <c r="K727" s="34"/>
      <c r="L727" s="34"/>
      <c r="M727" s="188"/>
      <c r="N727" s="188"/>
      <c r="O727" s="188"/>
      <c r="P727" s="34"/>
      <c r="Q727" s="304"/>
      <c r="R727" s="34"/>
      <c r="S727" s="34"/>
      <c r="T727" s="34"/>
      <c r="U727" s="105"/>
      <c r="V727" s="105"/>
    </row>
    <row r="728" spans="1:22" ht="12.75">
      <c r="A728" s="309"/>
      <c r="B728" s="309"/>
      <c r="C728" s="34"/>
      <c r="D728" s="34"/>
      <c r="E728" s="35"/>
      <c r="F728" s="34"/>
      <c r="G728" s="34"/>
      <c r="H728" s="65"/>
      <c r="I728" s="105"/>
      <c r="J728" s="34"/>
      <c r="K728" s="34"/>
      <c r="L728" s="34"/>
      <c r="M728" s="188"/>
      <c r="N728" s="188"/>
      <c r="O728" s="188"/>
      <c r="P728" s="34"/>
      <c r="Q728" s="304"/>
      <c r="R728" s="34"/>
      <c r="S728" s="34"/>
      <c r="T728" s="34"/>
      <c r="U728" s="105"/>
      <c r="V728" s="105"/>
    </row>
    <row r="729" spans="1:22" ht="12.75">
      <c r="A729" s="309"/>
      <c r="B729" s="309"/>
      <c r="C729" s="34"/>
      <c r="D729" s="34"/>
      <c r="E729" s="35"/>
      <c r="F729" s="34"/>
      <c r="G729" s="34"/>
      <c r="H729" s="65"/>
      <c r="I729" s="105"/>
      <c r="J729" s="34"/>
      <c r="K729" s="34"/>
      <c r="L729" s="34"/>
      <c r="M729" s="188"/>
      <c r="N729" s="188"/>
      <c r="O729" s="188"/>
      <c r="P729" s="34"/>
      <c r="Q729" s="304"/>
      <c r="R729" s="34"/>
      <c r="S729" s="34"/>
      <c r="T729" s="34"/>
      <c r="U729" s="105"/>
      <c r="V729" s="105"/>
    </row>
    <row r="730" spans="1:22" ht="12.75">
      <c r="A730" s="309"/>
      <c r="B730" s="309"/>
      <c r="C730" s="34"/>
      <c r="D730" s="34"/>
      <c r="E730" s="35"/>
      <c r="F730" s="34"/>
      <c r="G730" s="34"/>
      <c r="H730" s="65"/>
      <c r="I730" s="105"/>
      <c r="J730" s="34"/>
      <c r="K730" s="34"/>
      <c r="L730" s="34"/>
      <c r="M730" s="188"/>
      <c r="N730" s="188"/>
      <c r="O730" s="188"/>
      <c r="P730" s="34"/>
      <c r="Q730" s="304"/>
      <c r="R730" s="34"/>
      <c r="S730" s="34"/>
      <c r="T730" s="34"/>
      <c r="U730" s="105"/>
      <c r="V730" s="105"/>
    </row>
    <row r="731" spans="1:22" ht="12.75">
      <c r="A731" s="309"/>
      <c r="B731" s="309"/>
      <c r="C731" s="34"/>
      <c r="D731" s="34"/>
      <c r="E731" s="35"/>
      <c r="F731" s="34"/>
      <c r="G731" s="34"/>
      <c r="H731" s="65"/>
      <c r="I731" s="105"/>
      <c r="J731" s="34"/>
      <c r="K731" s="34"/>
      <c r="L731" s="34"/>
      <c r="M731" s="188"/>
      <c r="N731" s="188"/>
      <c r="O731" s="188"/>
      <c r="P731" s="34"/>
      <c r="Q731" s="304"/>
      <c r="R731" s="34"/>
      <c r="S731" s="34"/>
      <c r="T731" s="34"/>
      <c r="U731" s="105"/>
      <c r="V731" s="105"/>
    </row>
    <row r="732" spans="1:22" ht="12.75">
      <c r="A732" s="309"/>
      <c r="B732" s="309"/>
      <c r="C732" s="34"/>
      <c r="D732" s="34"/>
      <c r="E732" s="35"/>
      <c r="F732" s="34"/>
      <c r="G732" s="34"/>
      <c r="H732" s="65"/>
      <c r="I732" s="105"/>
      <c r="J732" s="34"/>
      <c r="K732" s="34"/>
      <c r="L732" s="34"/>
      <c r="M732" s="188"/>
      <c r="N732" s="188"/>
      <c r="O732" s="188"/>
      <c r="P732" s="34"/>
      <c r="Q732" s="304"/>
      <c r="R732" s="34"/>
      <c r="S732" s="34"/>
      <c r="T732" s="34"/>
      <c r="U732" s="105"/>
      <c r="V732" s="105"/>
    </row>
    <row r="733" spans="1:22" ht="12.75">
      <c r="A733" s="309"/>
      <c r="B733" s="309"/>
      <c r="C733" s="34"/>
      <c r="D733" s="34"/>
      <c r="E733" s="35"/>
      <c r="F733" s="34"/>
      <c r="G733" s="34"/>
      <c r="H733" s="65"/>
      <c r="I733" s="105"/>
      <c r="J733" s="34"/>
      <c r="K733" s="34"/>
      <c r="L733" s="34"/>
      <c r="M733" s="188"/>
      <c r="N733" s="188"/>
      <c r="O733" s="188"/>
      <c r="P733" s="34"/>
      <c r="Q733" s="304"/>
      <c r="R733" s="34"/>
      <c r="S733" s="34"/>
      <c r="T733" s="34"/>
      <c r="U733" s="105"/>
      <c r="V733" s="105"/>
    </row>
    <row r="734" spans="1:22" ht="12.75">
      <c r="A734" s="309"/>
      <c r="B734" s="309"/>
      <c r="C734" s="34"/>
      <c r="D734" s="34"/>
      <c r="E734" s="35"/>
      <c r="F734" s="34"/>
      <c r="G734" s="34"/>
      <c r="H734" s="65"/>
      <c r="I734" s="105"/>
      <c r="J734" s="34"/>
      <c r="K734" s="34"/>
      <c r="L734" s="34"/>
      <c r="M734" s="188"/>
      <c r="N734" s="188"/>
      <c r="O734" s="188"/>
      <c r="P734" s="34"/>
      <c r="Q734" s="304"/>
      <c r="R734" s="34"/>
      <c r="S734" s="34"/>
      <c r="T734" s="34"/>
      <c r="U734" s="105"/>
      <c r="V734" s="105"/>
    </row>
    <row r="735" spans="1:22" ht="12.75">
      <c r="A735" s="309"/>
      <c r="B735" s="309"/>
      <c r="C735" s="34"/>
      <c r="D735" s="34"/>
      <c r="E735" s="35"/>
      <c r="F735" s="34"/>
      <c r="G735" s="34"/>
      <c r="H735" s="65"/>
      <c r="I735" s="105"/>
      <c r="J735" s="34"/>
      <c r="K735" s="34"/>
      <c r="L735" s="34"/>
      <c r="M735" s="188"/>
      <c r="N735" s="188"/>
      <c r="O735" s="188"/>
      <c r="P735" s="34"/>
      <c r="Q735" s="304"/>
      <c r="R735" s="34"/>
      <c r="S735" s="34"/>
      <c r="T735" s="34"/>
      <c r="U735" s="105"/>
      <c r="V735" s="105"/>
    </row>
    <row r="736" spans="1:22" ht="12.75">
      <c r="A736" s="309"/>
      <c r="B736" s="309"/>
      <c r="C736" s="34"/>
      <c r="D736" s="34"/>
      <c r="E736" s="35"/>
      <c r="F736" s="34"/>
      <c r="G736" s="34"/>
      <c r="H736" s="65"/>
      <c r="I736" s="105"/>
      <c r="J736" s="34"/>
      <c r="K736" s="34"/>
      <c r="L736" s="34"/>
      <c r="M736" s="188"/>
      <c r="N736" s="188"/>
      <c r="O736" s="188"/>
      <c r="P736" s="34"/>
      <c r="Q736" s="304"/>
      <c r="R736" s="34"/>
      <c r="S736" s="34"/>
      <c r="T736" s="34"/>
      <c r="U736" s="105"/>
      <c r="V736" s="105"/>
    </row>
    <row r="737" spans="1:22" ht="12.75">
      <c r="A737" s="309"/>
      <c r="B737" s="309"/>
      <c r="C737" s="34"/>
      <c r="D737" s="34"/>
      <c r="E737" s="35"/>
      <c r="F737" s="34"/>
      <c r="G737" s="34"/>
      <c r="H737" s="65"/>
      <c r="I737" s="105"/>
      <c r="J737" s="34"/>
      <c r="K737" s="34"/>
      <c r="L737" s="34"/>
      <c r="M737" s="188"/>
      <c r="N737" s="188"/>
      <c r="O737" s="188"/>
      <c r="P737" s="34"/>
      <c r="Q737" s="304"/>
      <c r="R737" s="34"/>
      <c r="S737" s="34"/>
      <c r="T737" s="34"/>
      <c r="U737" s="105"/>
      <c r="V737" s="105"/>
    </row>
    <row r="738" spans="1:22" ht="12.75">
      <c r="A738" s="309"/>
      <c r="B738" s="309"/>
      <c r="C738" s="34"/>
      <c r="D738" s="34"/>
      <c r="E738" s="35"/>
      <c r="F738" s="34"/>
      <c r="G738" s="34"/>
      <c r="H738" s="65"/>
      <c r="I738" s="105"/>
      <c r="J738" s="34"/>
      <c r="K738" s="34"/>
      <c r="L738" s="34"/>
      <c r="M738" s="188"/>
      <c r="N738" s="188"/>
      <c r="O738" s="188"/>
      <c r="P738" s="34"/>
      <c r="Q738" s="304"/>
      <c r="R738" s="34"/>
      <c r="S738" s="34"/>
      <c r="T738" s="34"/>
      <c r="U738" s="105"/>
      <c r="V738" s="105"/>
    </row>
    <row r="739" spans="1:22" ht="12.75">
      <c r="A739" s="309"/>
      <c r="B739" s="309"/>
      <c r="C739" s="34"/>
      <c r="D739" s="34"/>
      <c r="E739" s="35"/>
      <c r="F739" s="34"/>
      <c r="G739" s="34"/>
      <c r="H739" s="65"/>
      <c r="I739" s="105"/>
      <c r="J739" s="34"/>
      <c r="K739" s="34"/>
      <c r="L739" s="34"/>
      <c r="M739" s="188"/>
      <c r="N739" s="188"/>
      <c r="O739" s="188"/>
      <c r="P739" s="34"/>
      <c r="Q739" s="304"/>
      <c r="R739" s="34"/>
      <c r="S739" s="34"/>
      <c r="T739" s="34"/>
      <c r="U739" s="105"/>
      <c r="V739" s="105"/>
    </row>
    <row r="740" spans="1:22" ht="12.75">
      <c r="A740" s="309"/>
      <c r="B740" s="309"/>
      <c r="C740" s="34"/>
      <c r="D740" s="34"/>
      <c r="E740" s="35"/>
      <c r="F740" s="34"/>
      <c r="G740" s="34"/>
      <c r="H740" s="65"/>
      <c r="I740" s="105"/>
      <c r="J740" s="34"/>
      <c r="K740" s="34"/>
      <c r="L740" s="34"/>
      <c r="M740" s="188"/>
      <c r="N740" s="188"/>
      <c r="O740" s="188"/>
      <c r="P740" s="34"/>
      <c r="Q740" s="304"/>
      <c r="R740" s="34"/>
      <c r="S740" s="34"/>
      <c r="T740" s="34"/>
      <c r="U740" s="105"/>
      <c r="V740" s="105"/>
    </row>
    <row r="741" spans="1:22" ht="12.75">
      <c r="A741" s="309"/>
      <c r="B741" s="309"/>
      <c r="C741" s="34"/>
      <c r="D741" s="34"/>
      <c r="E741" s="35"/>
      <c r="F741" s="34"/>
      <c r="G741" s="34"/>
      <c r="H741" s="65"/>
      <c r="I741" s="105"/>
      <c r="J741" s="34"/>
      <c r="K741" s="34"/>
      <c r="L741" s="34"/>
      <c r="M741" s="188"/>
      <c r="N741" s="188"/>
      <c r="O741" s="188"/>
      <c r="P741" s="34"/>
      <c r="Q741" s="304"/>
      <c r="R741" s="34"/>
      <c r="S741" s="34"/>
      <c r="T741" s="34"/>
      <c r="U741" s="105"/>
      <c r="V741" s="105"/>
    </row>
    <row r="742" spans="1:22" ht="12.75">
      <c r="A742" s="309"/>
      <c r="B742" s="309"/>
      <c r="C742" s="34"/>
      <c r="D742" s="34"/>
      <c r="E742" s="35"/>
      <c r="F742" s="34"/>
      <c r="G742" s="34"/>
      <c r="H742" s="65"/>
      <c r="I742" s="105"/>
      <c r="J742" s="34"/>
      <c r="K742" s="34"/>
      <c r="L742" s="34"/>
      <c r="M742" s="188"/>
      <c r="N742" s="188"/>
      <c r="O742" s="188"/>
      <c r="P742" s="34"/>
      <c r="Q742" s="304"/>
      <c r="R742" s="34"/>
      <c r="S742" s="34"/>
      <c r="T742" s="34"/>
      <c r="U742" s="105"/>
      <c r="V742" s="105"/>
    </row>
    <row r="743" spans="1:22" ht="12.75">
      <c r="A743" s="309"/>
      <c r="B743" s="309"/>
      <c r="C743" s="34"/>
      <c r="D743" s="34"/>
      <c r="E743" s="35"/>
      <c r="F743" s="34"/>
      <c r="G743" s="34"/>
      <c r="H743" s="65"/>
      <c r="I743" s="105"/>
      <c r="J743" s="34"/>
      <c r="K743" s="34"/>
      <c r="L743" s="34"/>
      <c r="M743" s="188"/>
      <c r="N743" s="188"/>
      <c r="O743" s="188"/>
      <c r="P743" s="34"/>
      <c r="Q743" s="304"/>
      <c r="R743" s="34"/>
      <c r="S743" s="34"/>
      <c r="T743" s="34"/>
      <c r="U743" s="105"/>
      <c r="V743" s="105"/>
    </row>
    <row r="744" spans="1:22" ht="12.75">
      <c r="A744" s="309"/>
      <c r="B744" s="309"/>
      <c r="C744" s="34"/>
      <c r="D744" s="34"/>
      <c r="E744" s="35"/>
      <c r="F744" s="34"/>
      <c r="G744" s="34"/>
      <c r="H744" s="65"/>
      <c r="I744" s="105"/>
      <c r="J744" s="34"/>
      <c r="K744" s="34"/>
      <c r="L744" s="34"/>
      <c r="M744" s="188"/>
      <c r="N744" s="188"/>
      <c r="O744" s="188"/>
      <c r="P744" s="34"/>
      <c r="Q744" s="304"/>
      <c r="R744" s="34"/>
      <c r="S744" s="34"/>
      <c r="T744" s="34"/>
      <c r="U744" s="105"/>
      <c r="V744" s="105"/>
    </row>
    <row r="745" spans="1:22" ht="12.75">
      <c r="A745" s="309"/>
      <c r="B745" s="309"/>
      <c r="C745" s="34"/>
      <c r="D745" s="34"/>
      <c r="E745" s="35"/>
      <c r="F745" s="34"/>
      <c r="G745" s="34"/>
      <c r="H745" s="65"/>
      <c r="I745" s="105"/>
      <c r="J745" s="34"/>
      <c r="K745" s="34"/>
      <c r="L745" s="34"/>
      <c r="M745" s="188"/>
      <c r="N745" s="188"/>
      <c r="O745" s="188"/>
      <c r="P745" s="34"/>
      <c r="Q745" s="304"/>
      <c r="R745" s="34"/>
      <c r="S745" s="34"/>
      <c r="T745" s="34"/>
      <c r="U745" s="105"/>
      <c r="V745" s="105"/>
    </row>
    <row r="746" spans="1:22" ht="12.75">
      <c r="A746" s="309"/>
      <c r="B746" s="309"/>
      <c r="C746" s="34"/>
      <c r="D746" s="34"/>
      <c r="E746" s="35"/>
      <c r="F746" s="34"/>
      <c r="G746" s="34"/>
      <c r="H746" s="65"/>
      <c r="I746" s="105"/>
      <c r="J746" s="34"/>
      <c r="K746" s="34"/>
      <c r="L746" s="34"/>
      <c r="M746" s="188"/>
      <c r="N746" s="188"/>
      <c r="O746" s="188"/>
      <c r="P746" s="34"/>
      <c r="Q746" s="304"/>
      <c r="R746" s="34"/>
      <c r="S746" s="34"/>
      <c r="T746" s="34"/>
      <c r="U746" s="105"/>
      <c r="V746" s="105"/>
    </row>
    <row r="747" spans="1:22" ht="12.75">
      <c r="A747" s="309"/>
      <c r="B747" s="309"/>
      <c r="C747" s="34"/>
      <c r="D747" s="34"/>
      <c r="E747" s="35"/>
      <c r="F747" s="34"/>
      <c r="G747" s="34"/>
      <c r="H747" s="65"/>
      <c r="I747" s="105"/>
      <c r="J747" s="34"/>
      <c r="K747" s="34"/>
      <c r="L747" s="34"/>
      <c r="M747" s="188"/>
      <c r="N747" s="188"/>
      <c r="O747" s="188"/>
      <c r="P747" s="34"/>
      <c r="Q747" s="304"/>
      <c r="R747" s="34"/>
      <c r="S747" s="34"/>
      <c r="T747" s="34"/>
      <c r="U747" s="105"/>
      <c r="V747" s="105"/>
    </row>
    <row r="748" spans="1:22" ht="12.75">
      <c r="A748" s="309"/>
      <c r="B748" s="309"/>
      <c r="C748" s="34"/>
      <c r="D748" s="34"/>
      <c r="E748" s="35"/>
      <c r="F748" s="34"/>
      <c r="G748" s="34"/>
      <c r="H748" s="65"/>
      <c r="I748" s="105"/>
      <c r="J748" s="34"/>
      <c r="K748" s="34"/>
      <c r="L748" s="34"/>
      <c r="M748" s="188"/>
      <c r="N748" s="188"/>
      <c r="O748" s="188"/>
      <c r="P748" s="34"/>
      <c r="Q748" s="304"/>
      <c r="R748" s="34"/>
      <c r="S748" s="34"/>
      <c r="T748" s="34"/>
      <c r="U748" s="105"/>
      <c r="V748" s="105"/>
    </row>
    <row r="749" spans="1:22" ht="12.75">
      <c r="A749" s="309"/>
      <c r="B749" s="309"/>
      <c r="C749" s="34"/>
      <c r="D749" s="34"/>
      <c r="E749" s="35"/>
      <c r="F749" s="34"/>
      <c r="G749" s="34"/>
      <c r="H749" s="65"/>
      <c r="I749" s="105"/>
      <c r="J749" s="34"/>
      <c r="K749" s="34"/>
      <c r="L749" s="34"/>
      <c r="M749" s="188"/>
      <c r="N749" s="188"/>
      <c r="O749" s="188"/>
      <c r="P749" s="34"/>
      <c r="Q749" s="304"/>
      <c r="R749" s="34"/>
      <c r="S749" s="34"/>
      <c r="T749" s="34"/>
      <c r="U749" s="105"/>
      <c r="V749" s="105"/>
    </row>
    <row r="750" spans="1:22" ht="12.75">
      <c r="A750" s="309"/>
      <c r="B750" s="309"/>
      <c r="C750" s="34"/>
      <c r="D750" s="34"/>
      <c r="E750" s="35"/>
      <c r="F750" s="34"/>
      <c r="G750" s="34"/>
      <c r="H750" s="65"/>
      <c r="I750" s="105"/>
      <c r="J750" s="34"/>
      <c r="K750" s="34"/>
      <c r="L750" s="34"/>
      <c r="M750" s="188"/>
      <c r="N750" s="188"/>
      <c r="O750" s="188"/>
      <c r="P750" s="34"/>
      <c r="Q750" s="304"/>
      <c r="R750" s="34"/>
      <c r="S750" s="34"/>
      <c r="T750" s="34"/>
      <c r="U750" s="105"/>
      <c r="V750" s="105"/>
    </row>
    <row r="751" spans="1:22" ht="12.75">
      <c r="A751" s="309"/>
      <c r="B751" s="309"/>
      <c r="C751" s="34"/>
      <c r="D751" s="34"/>
      <c r="E751" s="35"/>
      <c r="F751" s="34"/>
      <c r="G751" s="34"/>
      <c r="H751" s="65"/>
      <c r="I751" s="105"/>
      <c r="J751" s="34"/>
      <c r="K751" s="34"/>
      <c r="L751" s="34"/>
      <c r="M751" s="188"/>
      <c r="N751" s="188"/>
      <c r="O751" s="188"/>
      <c r="P751" s="34"/>
      <c r="Q751" s="304"/>
      <c r="R751" s="34"/>
      <c r="S751" s="34"/>
      <c r="T751" s="34"/>
      <c r="U751" s="105"/>
      <c r="V751" s="105"/>
    </row>
    <row r="752" spans="1:22" ht="12.75">
      <c r="A752" s="309"/>
      <c r="B752" s="309"/>
      <c r="C752" s="34"/>
      <c r="D752" s="34"/>
      <c r="E752" s="35"/>
      <c r="F752" s="34"/>
      <c r="G752" s="34"/>
      <c r="H752" s="65"/>
      <c r="I752" s="105"/>
      <c r="J752" s="34"/>
      <c r="K752" s="34"/>
      <c r="L752" s="34"/>
      <c r="M752" s="188"/>
      <c r="N752" s="188"/>
      <c r="O752" s="188"/>
      <c r="P752" s="34"/>
      <c r="Q752" s="304"/>
      <c r="R752" s="34"/>
      <c r="S752" s="34"/>
      <c r="T752" s="34"/>
      <c r="U752" s="105"/>
      <c r="V752" s="105"/>
    </row>
    <row r="753" spans="1:22" ht="12.75">
      <c r="A753" s="309"/>
      <c r="B753" s="309"/>
      <c r="C753" s="34"/>
      <c r="D753" s="34"/>
      <c r="E753" s="35"/>
      <c r="F753" s="34"/>
      <c r="G753" s="34"/>
      <c r="H753" s="65"/>
      <c r="I753" s="105"/>
      <c r="J753" s="34"/>
      <c r="K753" s="34"/>
      <c r="L753" s="34"/>
      <c r="M753" s="188"/>
      <c r="N753" s="188"/>
      <c r="O753" s="188"/>
      <c r="P753" s="34"/>
      <c r="Q753" s="304"/>
      <c r="R753" s="34"/>
      <c r="S753" s="34"/>
      <c r="T753" s="34"/>
      <c r="U753" s="105"/>
      <c r="V753" s="105"/>
    </row>
    <row r="754" spans="1:22" ht="12.75">
      <c r="A754" s="309"/>
      <c r="B754" s="309"/>
      <c r="C754" s="34"/>
      <c r="D754" s="34"/>
      <c r="E754" s="35"/>
      <c r="F754" s="34"/>
      <c r="G754" s="34"/>
      <c r="H754" s="65"/>
      <c r="I754" s="105"/>
      <c r="J754" s="34"/>
      <c r="K754" s="34"/>
      <c r="L754" s="34"/>
      <c r="M754" s="188"/>
      <c r="N754" s="188"/>
      <c r="O754" s="188"/>
      <c r="P754" s="34"/>
      <c r="Q754" s="304"/>
      <c r="R754" s="34"/>
      <c r="S754" s="34"/>
      <c r="T754" s="34"/>
      <c r="U754" s="105"/>
      <c r="V754" s="105"/>
    </row>
    <row r="755" spans="1:22" ht="12.75">
      <c r="A755" s="309"/>
      <c r="B755" s="309"/>
      <c r="C755" s="34"/>
      <c r="D755" s="34"/>
      <c r="E755" s="35"/>
      <c r="F755" s="34"/>
      <c r="G755" s="34"/>
      <c r="H755" s="65"/>
      <c r="I755" s="105"/>
      <c r="J755" s="34"/>
      <c r="K755" s="34"/>
      <c r="L755" s="34"/>
      <c r="M755" s="188"/>
      <c r="N755" s="188"/>
      <c r="O755" s="188"/>
      <c r="P755" s="34"/>
      <c r="Q755" s="304"/>
      <c r="R755" s="34"/>
      <c r="S755" s="34"/>
      <c r="T755" s="34"/>
      <c r="U755" s="105"/>
      <c r="V755" s="105"/>
    </row>
    <row r="756" spans="1:22" ht="12.75">
      <c r="A756" s="309"/>
      <c r="B756" s="309"/>
      <c r="C756" s="34"/>
      <c r="D756" s="34"/>
      <c r="E756" s="35"/>
      <c r="F756" s="34"/>
      <c r="G756" s="34"/>
      <c r="H756" s="65"/>
      <c r="I756" s="105"/>
      <c r="J756" s="34"/>
      <c r="K756" s="34"/>
      <c r="L756" s="34"/>
      <c r="M756" s="188"/>
      <c r="N756" s="188"/>
      <c r="O756" s="188"/>
      <c r="P756" s="34"/>
      <c r="Q756" s="304"/>
      <c r="R756" s="34"/>
      <c r="S756" s="34"/>
      <c r="T756" s="34"/>
      <c r="U756" s="105"/>
      <c r="V756" s="105"/>
    </row>
    <row r="757" spans="1:22" ht="12.75">
      <c r="A757" s="309"/>
      <c r="B757" s="309"/>
      <c r="C757" s="34"/>
      <c r="D757" s="34"/>
      <c r="E757" s="35"/>
      <c r="F757" s="34"/>
      <c r="G757" s="34"/>
      <c r="H757" s="65"/>
      <c r="I757" s="105"/>
      <c r="J757" s="34"/>
      <c r="K757" s="34"/>
      <c r="L757" s="34"/>
      <c r="M757" s="188"/>
      <c r="N757" s="188"/>
      <c r="O757" s="188"/>
      <c r="P757" s="34"/>
      <c r="Q757" s="304"/>
      <c r="R757" s="34"/>
      <c r="S757" s="34"/>
      <c r="T757" s="34"/>
      <c r="U757" s="105"/>
      <c r="V757" s="105"/>
    </row>
    <row r="758" spans="1:22" ht="12.75">
      <c r="A758" s="309"/>
      <c r="B758" s="309"/>
      <c r="C758" s="34"/>
      <c r="D758" s="34"/>
      <c r="E758" s="35"/>
      <c r="F758" s="34"/>
      <c r="G758" s="34"/>
      <c r="H758" s="65"/>
      <c r="I758" s="105"/>
      <c r="J758" s="34"/>
      <c r="K758" s="34"/>
      <c r="L758" s="34"/>
      <c r="M758" s="188"/>
      <c r="N758" s="188"/>
      <c r="O758" s="188"/>
      <c r="P758" s="34"/>
      <c r="Q758" s="304"/>
      <c r="R758" s="34"/>
      <c r="S758" s="34"/>
      <c r="T758" s="34"/>
      <c r="U758" s="105"/>
      <c r="V758" s="105"/>
    </row>
    <row r="759" spans="1:22" ht="12.75">
      <c r="A759" s="309"/>
      <c r="B759" s="309"/>
      <c r="C759" s="34"/>
      <c r="D759" s="34"/>
      <c r="E759" s="35"/>
      <c r="F759" s="34"/>
      <c r="G759" s="34"/>
      <c r="H759" s="65"/>
      <c r="I759" s="105"/>
      <c r="J759" s="34"/>
      <c r="K759" s="34"/>
      <c r="L759" s="34"/>
      <c r="M759" s="188"/>
      <c r="N759" s="188"/>
      <c r="O759" s="188"/>
      <c r="P759" s="34"/>
      <c r="Q759" s="304"/>
      <c r="R759" s="34"/>
      <c r="S759" s="34"/>
      <c r="T759" s="34"/>
      <c r="U759" s="105"/>
      <c r="V759" s="105"/>
    </row>
    <row r="760" spans="1:22" ht="12.75">
      <c r="A760" s="309"/>
      <c r="B760" s="309"/>
      <c r="C760" s="34"/>
      <c r="D760" s="34"/>
      <c r="E760" s="35"/>
      <c r="F760" s="34"/>
      <c r="G760" s="34"/>
      <c r="H760" s="65"/>
      <c r="I760" s="105"/>
      <c r="J760" s="34"/>
      <c r="K760" s="34"/>
      <c r="L760" s="34"/>
      <c r="M760" s="188"/>
      <c r="N760" s="188"/>
      <c r="O760" s="188"/>
      <c r="P760" s="34"/>
      <c r="Q760" s="304"/>
      <c r="R760" s="34"/>
      <c r="S760" s="34"/>
      <c r="T760" s="34"/>
      <c r="U760" s="105"/>
      <c r="V760" s="105"/>
    </row>
    <row r="761" spans="1:22" ht="12.75">
      <c r="A761" s="309"/>
      <c r="B761" s="309"/>
      <c r="C761" s="34"/>
      <c r="D761" s="34"/>
      <c r="E761" s="35"/>
      <c r="F761" s="34"/>
      <c r="G761" s="34"/>
      <c r="H761" s="65"/>
      <c r="I761" s="105"/>
      <c r="J761" s="34"/>
      <c r="K761" s="34"/>
      <c r="L761" s="34"/>
      <c r="M761" s="188"/>
      <c r="N761" s="188"/>
      <c r="O761" s="188"/>
      <c r="P761" s="34"/>
      <c r="Q761" s="304"/>
      <c r="R761" s="34"/>
      <c r="S761" s="34"/>
      <c r="T761" s="34"/>
      <c r="U761" s="105"/>
      <c r="V761" s="105"/>
    </row>
    <row r="762" spans="1:22" ht="12.75">
      <c r="A762" s="309"/>
      <c r="B762" s="309"/>
      <c r="C762" s="34"/>
      <c r="D762" s="34"/>
      <c r="E762" s="35"/>
      <c r="F762" s="34"/>
      <c r="G762" s="34"/>
      <c r="H762" s="65"/>
      <c r="I762" s="105"/>
      <c r="J762" s="34"/>
      <c r="K762" s="34"/>
      <c r="L762" s="34"/>
      <c r="M762" s="188"/>
      <c r="N762" s="188"/>
      <c r="O762" s="188"/>
      <c r="P762" s="34"/>
      <c r="Q762" s="304"/>
      <c r="R762" s="34"/>
      <c r="S762" s="34"/>
      <c r="T762" s="34"/>
      <c r="U762" s="105"/>
      <c r="V762" s="105"/>
    </row>
    <row r="763" spans="1:22" ht="12.75">
      <c r="A763" s="309"/>
      <c r="B763" s="309"/>
      <c r="C763" s="34"/>
      <c r="D763" s="34"/>
      <c r="E763" s="35"/>
      <c r="F763" s="34"/>
      <c r="G763" s="34"/>
      <c r="H763" s="65"/>
      <c r="I763" s="105"/>
      <c r="J763" s="34"/>
      <c r="K763" s="34"/>
      <c r="L763" s="34"/>
      <c r="M763" s="188"/>
      <c r="N763" s="188"/>
      <c r="O763" s="188"/>
      <c r="P763" s="34"/>
      <c r="Q763" s="304"/>
      <c r="R763" s="34"/>
      <c r="S763" s="34"/>
      <c r="T763" s="34"/>
      <c r="U763" s="105"/>
      <c r="V763" s="105"/>
    </row>
    <row r="764" spans="1:22" ht="12.75">
      <c r="A764" s="309"/>
      <c r="B764" s="309"/>
      <c r="C764" s="34"/>
      <c r="D764" s="34"/>
      <c r="E764" s="35"/>
      <c r="F764" s="34"/>
      <c r="G764" s="34"/>
      <c r="H764" s="65"/>
      <c r="I764" s="105"/>
      <c r="J764" s="34"/>
      <c r="K764" s="34"/>
      <c r="L764" s="34"/>
      <c r="M764" s="188"/>
      <c r="N764" s="188"/>
      <c r="O764" s="188"/>
      <c r="P764" s="34"/>
      <c r="Q764" s="304"/>
      <c r="R764" s="34"/>
      <c r="S764" s="34"/>
      <c r="T764" s="34"/>
      <c r="U764" s="105"/>
      <c r="V764" s="105"/>
    </row>
    <row r="765" spans="1:22" ht="12.75">
      <c r="A765" s="309"/>
      <c r="B765" s="309"/>
      <c r="C765" s="34"/>
      <c r="D765" s="34"/>
      <c r="E765" s="35"/>
      <c r="F765" s="34"/>
      <c r="G765" s="34"/>
      <c r="H765" s="65"/>
      <c r="I765" s="105"/>
      <c r="J765" s="34"/>
      <c r="K765" s="34"/>
      <c r="L765" s="34"/>
      <c r="M765" s="188"/>
      <c r="N765" s="188"/>
      <c r="O765" s="188"/>
      <c r="P765" s="34"/>
      <c r="Q765" s="304"/>
      <c r="R765" s="34"/>
      <c r="S765" s="34"/>
      <c r="T765" s="34"/>
      <c r="U765" s="105"/>
      <c r="V765" s="105"/>
    </row>
    <row r="766" spans="1:22" ht="12.75">
      <c r="A766" s="309"/>
      <c r="B766" s="309"/>
      <c r="C766" s="34"/>
      <c r="D766" s="34"/>
      <c r="E766" s="35"/>
      <c r="F766" s="34"/>
      <c r="G766" s="34"/>
      <c r="H766" s="65"/>
      <c r="I766" s="105"/>
      <c r="J766" s="34"/>
      <c r="K766" s="34"/>
      <c r="L766" s="34"/>
      <c r="M766" s="188"/>
      <c r="N766" s="188"/>
      <c r="O766" s="188"/>
      <c r="P766" s="34"/>
      <c r="Q766" s="304"/>
      <c r="R766" s="34"/>
      <c r="S766" s="34"/>
      <c r="T766" s="34"/>
      <c r="U766" s="105"/>
      <c r="V766" s="105"/>
    </row>
    <row r="767" spans="1:22" ht="12.75">
      <c r="A767" s="309"/>
      <c r="B767" s="309"/>
      <c r="C767" s="34"/>
      <c r="D767" s="34"/>
      <c r="E767" s="35"/>
      <c r="F767" s="34"/>
      <c r="G767" s="34"/>
      <c r="H767" s="65"/>
      <c r="I767" s="105"/>
      <c r="J767" s="34"/>
      <c r="K767" s="34"/>
      <c r="L767" s="34"/>
      <c r="M767" s="188"/>
      <c r="N767" s="188"/>
      <c r="O767" s="188"/>
      <c r="P767" s="34"/>
      <c r="Q767" s="304"/>
      <c r="R767" s="34"/>
      <c r="S767" s="34"/>
      <c r="T767" s="34"/>
      <c r="U767" s="105"/>
      <c r="V767" s="105"/>
    </row>
    <row r="768" spans="1:22" ht="12.75">
      <c r="A768" s="309"/>
      <c r="B768" s="309"/>
      <c r="C768" s="34"/>
      <c r="D768" s="34"/>
      <c r="E768" s="35"/>
      <c r="F768" s="34"/>
      <c r="G768" s="34"/>
      <c r="H768" s="65"/>
      <c r="I768" s="105"/>
      <c r="J768" s="34"/>
      <c r="K768" s="34"/>
      <c r="L768" s="34"/>
      <c r="M768" s="188"/>
      <c r="N768" s="188"/>
      <c r="O768" s="188"/>
      <c r="P768" s="34"/>
      <c r="Q768" s="304"/>
      <c r="R768" s="34"/>
      <c r="S768" s="34"/>
      <c r="T768" s="34"/>
      <c r="U768" s="105"/>
      <c r="V768" s="105"/>
    </row>
    <row r="769" spans="1:22" ht="12.75">
      <c r="A769" s="309"/>
      <c r="B769" s="309"/>
      <c r="C769" s="34"/>
      <c r="D769" s="34"/>
      <c r="E769" s="35"/>
      <c r="F769" s="34"/>
      <c r="G769" s="34"/>
      <c r="H769" s="65"/>
      <c r="I769" s="105"/>
      <c r="J769" s="34"/>
      <c r="K769" s="34"/>
      <c r="L769" s="34"/>
      <c r="M769" s="188"/>
      <c r="N769" s="188"/>
      <c r="O769" s="188"/>
      <c r="P769" s="34"/>
      <c r="Q769" s="304"/>
      <c r="R769" s="34"/>
      <c r="S769" s="34"/>
      <c r="T769" s="34"/>
      <c r="U769" s="105"/>
      <c r="V769" s="105"/>
    </row>
    <row r="770" spans="1:22" ht="12.75">
      <c r="A770" s="309"/>
      <c r="B770" s="309"/>
      <c r="C770" s="34"/>
      <c r="D770" s="34"/>
      <c r="E770" s="35"/>
      <c r="F770" s="34"/>
      <c r="G770" s="34"/>
      <c r="H770" s="65"/>
      <c r="I770" s="105"/>
      <c r="J770" s="34"/>
      <c r="K770" s="34"/>
      <c r="L770" s="34"/>
      <c r="M770" s="188"/>
      <c r="N770" s="188"/>
      <c r="O770" s="188"/>
      <c r="P770" s="34"/>
      <c r="Q770" s="304"/>
      <c r="R770" s="34"/>
      <c r="S770" s="34"/>
      <c r="T770" s="34"/>
      <c r="U770" s="105"/>
      <c r="V770" s="105"/>
    </row>
    <row r="771" spans="1:22" ht="12.75">
      <c r="A771" s="309"/>
      <c r="B771" s="309"/>
      <c r="C771" s="34"/>
      <c r="D771" s="34"/>
      <c r="E771" s="35"/>
      <c r="F771" s="34"/>
      <c r="G771" s="34"/>
      <c r="H771" s="65"/>
      <c r="I771" s="105"/>
      <c r="J771" s="34"/>
      <c r="K771" s="34"/>
      <c r="L771" s="34"/>
      <c r="M771" s="188"/>
      <c r="N771" s="188"/>
      <c r="O771" s="188"/>
      <c r="P771" s="34"/>
      <c r="Q771" s="304"/>
      <c r="R771" s="34"/>
      <c r="S771" s="34"/>
      <c r="T771" s="34"/>
      <c r="U771" s="105"/>
      <c r="V771" s="105"/>
    </row>
    <row r="772" spans="1:22" ht="12.75">
      <c r="A772" s="309"/>
      <c r="B772" s="309"/>
      <c r="C772" s="34"/>
      <c r="D772" s="34"/>
      <c r="E772" s="35"/>
      <c r="F772" s="34"/>
      <c r="G772" s="34"/>
      <c r="H772" s="65"/>
      <c r="I772" s="105"/>
      <c r="J772" s="34"/>
      <c r="K772" s="34"/>
      <c r="L772" s="34"/>
      <c r="M772" s="188"/>
      <c r="N772" s="188"/>
      <c r="O772" s="188"/>
      <c r="P772" s="34"/>
      <c r="Q772" s="304"/>
      <c r="R772" s="34"/>
      <c r="S772" s="34"/>
      <c r="T772" s="34"/>
      <c r="U772" s="105"/>
      <c r="V772" s="105"/>
    </row>
    <row r="773" spans="1:22" ht="12.75">
      <c r="A773" s="309"/>
      <c r="B773" s="309"/>
      <c r="C773" s="34"/>
      <c r="D773" s="34"/>
      <c r="E773" s="35"/>
      <c r="F773" s="34"/>
      <c r="G773" s="34"/>
      <c r="H773" s="65"/>
      <c r="I773" s="105"/>
      <c r="J773" s="34"/>
      <c r="K773" s="34"/>
      <c r="L773" s="34"/>
      <c r="M773" s="188"/>
      <c r="N773" s="188"/>
      <c r="O773" s="188"/>
      <c r="P773" s="34"/>
      <c r="Q773" s="304"/>
      <c r="R773" s="34"/>
      <c r="S773" s="34"/>
      <c r="T773" s="34"/>
      <c r="U773" s="105"/>
      <c r="V773" s="105"/>
    </row>
    <row r="774" spans="1:22" ht="12.75">
      <c r="A774" s="309"/>
      <c r="B774" s="309"/>
      <c r="C774" s="34"/>
      <c r="D774" s="34"/>
      <c r="E774" s="35"/>
      <c r="F774" s="34"/>
      <c r="G774" s="34"/>
      <c r="H774" s="65"/>
      <c r="I774" s="105"/>
      <c r="J774" s="34"/>
      <c r="K774" s="34"/>
      <c r="L774" s="34"/>
      <c r="M774" s="188"/>
      <c r="N774" s="188"/>
      <c r="O774" s="188"/>
      <c r="P774" s="34"/>
      <c r="Q774" s="304"/>
      <c r="R774" s="34"/>
      <c r="S774" s="34"/>
      <c r="T774" s="34"/>
      <c r="U774" s="105"/>
      <c r="V774" s="105"/>
    </row>
    <row r="775" spans="1:22" ht="12.75">
      <c r="A775" s="309"/>
      <c r="B775" s="309"/>
      <c r="C775" s="34"/>
      <c r="D775" s="34"/>
      <c r="E775" s="35"/>
      <c r="F775" s="34"/>
      <c r="G775" s="34"/>
      <c r="H775" s="65"/>
      <c r="I775" s="105"/>
      <c r="J775" s="34"/>
      <c r="K775" s="34"/>
      <c r="L775" s="34"/>
      <c r="M775" s="188"/>
      <c r="N775" s="188"/>
      <c r="O775" s="188"/>
      <c r="P775" s="34"/>
      <c r="Q775" s="304"/>
      <c r="R775" s="34"/>
      <c r="S775" s="34"/>
      <c r="T775" s="34"/>
      <c r="U775" s="105"/>
      <c r="V775" s="105"/>
    </row>
    <row r="776" spans="1:22" ht="12.75">
      <c r="A776" s="309"/>
      <c r="B776" s="309"/>
      <c r="C776" s="34"/>
      <c r="D776" s="34"/>
      <c r="E776" s="35"/>
      <c r="F776" s="34"/>
      <c r="G776" s="34"/>
      <c r="H776" s="65"/>
      <c r="I776" s="105"/>
      <c r="J776" s="34"/>
      <c r="K776" s="34"/>
      <c r="L776" s="34"/>
      <c r="M776" s="188"/>
      <c r="N776" s="188"/>
      <c r="O776" s="188"/>
      <c r="P776" s="34"/>
      <c r="Q776" s="304"/>
      <c r="R776" s="34"/>
      <c r="S776" s="34"/>
      <c r="T776" s="34"/>
      <c r="U776" s="105"/>
      <c r="V776" s="105"/>
    </row>
    <row r="777" spans="1:22" ht="12.75">
      <c r="A777" s="309"/>
      <c r="B777" s="309"/>
      <c r="C777" s="34"/>
      <c r="D777" s="34"/>
      <c r="E777" s="35"/>
      <c r="F777" s="34"/>
      <c r="G777" s="34"/>
      <c r="H777" s="65"/>
      <c r="I777" s="105"/>
      <c r="J777" s="34"/>
      <c r="K777" s="34"/>
      <c r="L777" s="34"/>
      <c r="M777" s="188"/>
      <c r="N777" s="188"/>
      <c r="O777" s="188"/>
      <c r="P777" s="34"/>
      <c r="Q777" s="304"/>
      <c r="R777" s="34"/>
      <c r="S777" s="34"/>
      <c r="T777" s="34"/>
      <c r="U777" s="105"/>
      <c r="V777" s="105"/>
    </row>
    <row r="778" spans="1:22" ht="12.75">
      <c r="A778" s="309"/>
      <c r="B778" s="309"/>
      <c r="C778" s="34"/>
      <c r="D778" s="34"/>
      <c r="E778" s="35"/>
      <c r="F778" s="34"/>
      <c r="G778" s="34"/>
      <c r="H778" s="65"/>
      <c r="I778" s="105"/>
      <c r="J778" s="34"/>
      <c r="K778" s="34"/>
      <c r="L778" s="34"/>
      <c r="M778" s="188"/>
      <c r="N778" s="188"/>
      <c r="O778" s="188"/>
      <c r="P778" s="34"/>
      <c r="Q778" s="304"/>
      <c r="R778" s="34"/>
      <c r="S778" s="34"/>
      <c r="T778" s="34"/>
      <c r="U778" s="105"/>
      <c r="V778" s="105"/>
    </row>
    <row r="779" spans="1:22" ht="12.75">
      <c r="A779" s="309"/>
      <c r="B779" s="309"/>
      <c r="C779" s="34"/>
      <c r="D779" s="34"/>
      <c r="E779" s="35"/>
      <c r="F779" s="34"/>
      <c r="G779" s="34"/>
      <c r="H779" s="65"/>
      <c r="I779" s="105"/>
      <c r="J779" s="34"/>
      <c r="K779" s="34"/>
      <c r="L779" s="34"/>
      <c r="M779" s="188"/>
      <c r="N779" s="188"/>
      <c r="O779" s="188"/>
      <c r="P779" s="34"/>
      <c r="Q779" s="304"/>
      <c r="R779" s="34"/>
      <c r="S779" s="34"/>
      <c r="T779" s="34"/>
      <c r="U779" s="105"/>
      <c r="V779" s="105"/>
    </row>
    <row r="780" spans="1:22" ht="12.75">
      <c r="A780" s="309"/>
      <c r="B780" s="309"/>
      <c r="C780" s="34"/>
      <c r="D780" s="34"/>
      <c r="E780" s="35"/>
      <c r="F780" s="34"/>
      <c r="G780" s="34"/>
      <c r="H780" s="65"/>
      <c r="I780" s="105"/>
      <c r="J780" s="34"/>
      <c r="K780" s="34"/>
      <c r="L780" s="34"/>
      <c r="M780" s="188"/>
      <c r="N780" s="188"/>
      <c r="O780" s="188"/>
      <c r="P780" s="34"/>
      <c r="Q780" s="304"/>
      <c r="R780" s="34"/>
      <c r="S780" s="34"/>
      <c r="T780" s="34"/>
      <c r="U780" s="105"/>
      <c r="V780" s="105"/>
    </row>
    <row r="781" spans="1:22" ht="12.75">
      <c r="A781" s="309"/>
      <c r="B781" s="309"/>
      <c r="C781" s="34"/>
      <c r="D781" s="34"/>
      <c r="E781" s="35"/>
      <c r="F781" s="34"/>
      <c r="G781" s="34"/>
      <c r="H781" s="65"/>
      <c r="I781" s="105"/>
      <c r="J781" s="34"/>
      <c r="K781" s="34"/>
      <c r="L781" s="34"/>
      <c r="M781" s="188"/>
      <c r="N781" s="188"/>
      <c r="O781" s="188"/>
      <c r="P781" s="34"/>
      <c r="Q781" s="304"/>
      <c r="R781" s="34"/>
      <c r="S781" s="34"/>
      <c r="T781" s="34"/>
      <c r="U781" s="105"/>
      <c r="V781" s="105"/>
    </row>
    <row r="782" spans="1:22" ht="12.75">
      <c r="A782" s="309"/>
      <c r="B782" s="309"/>
      <c r="C782" s="34"/>
      <c r="D782" s="34"/>
      <c r="E782" s="35"/>
      <c r="F782" s="34"/>
      <c r="G782" s="34"/>
      <c r="H782" s="65"/>
      <c r="I782" s="105"/>
      <c r="J782" s="34"/>
      <c r="K782" s="34"/>
      <c r="L782" s="34"/>
      <c r="M782" s="188"/>
      <c r="N782" s="188"/>
      <c r="O782" s="188"/>
      <c r="P782" s="34"/>
      <c r="Q782" s="304"/>
      <c r="R782" s="34"/>
      <c r="S782" s="34"/>
      <c r="T782" s="34"/>
      <c r="U782" s="105"/>
      <c r="V782" s="105"/>
    </row>
    <row r="783" spans="1:22" ht="12.75">
      <c r="A783" s="309"/>
      <c r="B783" s="309"/>
      <c r="C783" s="34"/>
      <c r="D783" s="34"/>
      <c r="E783" s="35"/>
      <c r="F783" s="34"/>
      <c r="G783" s="34"/>
      <c r="H783" s="65"/>
      <c r="I783" s="105"/>
      <c r="J783" s="34"/>
      <c r="K783" s="34"/>
      <c r="L783" s="34"/>
      <c r="M783" s="188"/>
      <c r="N783" s="188"/>
      <c r="O783" s="188"/>
      <c r="P783" s="34"/>
      <c r="Q783" s="304"/>
      <c r="R783" s="34"/>
      <c r="S783" s="34"/>
      <c r="T783" s="34"/>
      <c r="U783" s="105"/>
      <c r="V783" s="105"/>
    </row>
    <row r="784" spans="1:22" ht="12.75">
      <c r="A784" s="309"/>
      <c r="B784" s="309"/>
      <c r="C784" s="34"/>
      <c r="D784" s="34"/>
      <c r="E784" s="35"/>
      <c r="F784" s="34"/>
      <c r="G784" s="34"/>
      <c r="H784" s="65"/>
      <c r="I784" s="105"/>
      <c r="J784" s="34"/>
      <c r="K784" s="34"/>
      <c r="L784" s="34"/>
      <c r="M784" s="188"/>
      <c r="N784" s="188"/>
      <c r="O784" s="188"/>
      <c r="P784" s="34"/>
      <c r="Q784" s="304"/>
      <c r="R784" s="34"/>
      <c r="S784" s="34"/>
      <c r="T784" s="34"/>
      <c r="U784" s="105"/>
      <c r="V784" s="105"/>
    </row>
    <row r="785" spans="1:22" ht="12.75">
      <c r="A785" s="309"/>
      <c r="B785" s="309"/>
      <c r="C785" s="34"/>
      <c r="D785" s="34"/>
      <c r="E785" s="35"/>
      <c r="F785" s="34"/>
      <c r="G785" s="34"/>
      <c r="H785" s="65"/>
      <c r="I785" s="105"/>
      <c r="J785" s="34"/>
      <c r="K785" s="34"/>
      <c r="L785" s="34"/>
      <c r="M785" s="188"/>
      <c r="N785" s="188"/>
      <c r="O785" s="188"/>
      <c r="P785" s="34"/>
      <c r="Q785" s="304"/>
      <c r="R785" s="34"/>
      <c r="S785" s="34"/>
      <c r="T785" s="34"/>
      <c r="U785" s="105"/>
      <c r="V785" s="105"/>
    </row>
    <row r="786" spans="1:22" ht="12.75">
      <c r="A786" s="309"/>
      <c r="B786" s="309"/>
      <c r="C786" s="34"/>
      <c r="D786" s="34"/>
      <c r="E786" s="35"/>
      <c r="F786" s="34"/>
      <c r="G786" s="34"/>
      <c r="H786" s="65"/>
      <c r="I786" s="105"/>
      <c r="J786" s="34"/>
      <c r="K786" s="34"/>
      <c r="L786" s="34"/>
      <c r="M786" s="188"/>
      <c r="N786" s="188"/>
      <c r="O786" s="188"/>
      <c r="P786" s="34"/>
      <c r="Q786" s="304"/>
      <c r="R786" s="34"/>
      <c r="S786" s="34"/>
      <c r="T786" s="34"/>
      <c r="U786" s="105"/>
      <c r="V786" s="105"/>
    </row>
    <row r="787" spans="1:22" ht="12.75">
      <c r="A787" s="309"/>
      <c r="B787" s="309"/>
      <c r="C787" s="34"/>
      <c r="D787" s="34"/>
      <c r="E787" s="35"/>
      <c r="F787" s="34"/>
      <c r="G787" s="34"/>
      <c r="H787" s="65"/>
      <c r="I787" s="105"/>
      <c r="J787" s="34"/>
      <c r="K787" s="34"/>
      <c r="L787" s="34"/>
      <c r="M787" s="188"/>
      <c r="N787" s="188"/>
      <c r="O787" s="188"/>
      <c r="P787" s="34"/>
      <c r="Q787" s="304"/>
      <c r="R787" s="34"/>
      <c r="S787" s="34"/>
      <c r="T787" s="34"/>
      <c r="U787" s="105"/>
      <c r="V787" s="105"/>
    </row>
    <row r="788" spans="1:22" ht="12.75">
      <c r="A788" s="309"/>
      <c r="B788" s="309"/>
      <c r="C788" s="34"/>
      <c r="D788" s="34"/>
      <c r="E788" s="35"/>
      <c r="F788" s="34"/>
      <c r="G788" s="34"/>
      <c r="H788" s="65"/>
      <c r="I788" s="105"/>
      <c r="J788" s="34"/>
      <c r="K788" s="34"/>
      <c r="L788" s="34"/>
      <c r="M788" s="188"/>
      <c r="N788" s="188"/>
      <c r="O788" s="188"/>
      <c r="P788" s="34"/>
      <c r="Q788" s="304"/>
      <c r="R788" s="34"/>
      <c r="S788" s="34"/>
      <c r="T788" s="34"/>
      <c r="U788" s="105"/>
      <c r="V788" s="105"/>
    </row>
    <row r="789" spans="1:22" ht="12.75">
      <c r="A789" s="309"/>
      <c r="B789" s="309"/>
      <c r="C789" s="34"/>
      <c r="D789" s="34"/>
      <c r="E789" s="35"/>
      <c r="F789" s="34"/>
      <c r="G789" s="34"/>
      <c r="H789" s="65"/>
      <c r="I789" s="105"/>
      <c r="J789" s="34"/>
      <c r="K789" s="34"/>
      <c r="L789" s="34"/>
      <c r="M789" s="188"/>
      <c r="N789" s="188"/>
      <c r="O789" s="188"/>
      <c r="P789" s="34"/>
      <c r="Q789" s="304"/>
      <c r="R789" s="34"/>
      <c r="S789" s="34"/>
      <c r="T789" s="34"/>
      <c r="U789" s="105"/>
      <c r="V789" s="105"/>
    </row>
    <row r="790" spans="1:22" ht="12.75">
      <c r="A790" s="309"/>
      <c r="B790" s="309"/>
      <c r="C790" s="34"/>
      <c r="D790" s="34"/>
      <c r="E790" s="35"/>
      <c r="F790" s="34"/>
      <c r="G790" s="34"/>
      <c r="H790" s="65"/>
      <c r="I790" s="105"/>
      <c r="J790" s="34"/>
      <c r="K790" s="34"/>
      <c r="L790" s="34"/>
      <c r="M790" s="188"/>
      <c r="N790" s="188"/>
      <c r="O790" s="188"/>
      <c r="P790" s="34"/>
      <c r="Q790" s="304"/>
      <c r="R790" s="34"/>
      <c r="S790" s="34"/>
      <c r="T790" s="34"/>
      <c r="U790" s="105"/>
      <c r="V790" s="105"/>
    </row>
    <row r="791" spans="1:22" ht="12.75">
      <c r="A791" s="309"/>
      <c r="B791" s="309"/>
      <c r="C791" s="34"/>
      <c r="D791" s="34"/>
      <c r="E791" s="35"/>
      <c r="F791" s="34"/>
      <c r="G791" s="34"/>
      <c r="H791" s="65"/>
      <c r="I791" s="105"/>
      <c r="J791" s="34"/>
      <c r="K791" s="34"/>
      <c r="L791" s="34"/>
      <c r="M791" s="188"/>
      <c r="N791" s="188"/>
      <c r="O791" s="188"/>
      <c r="P791" s="34"/>
      <c r="Q791" s="304"/>
      <c r="R791" s="34"/>
      <c r="S791" s="34"/>
      <c r="T791" s="34"/>
      <c r="U791" s="105"/>
      <c r="V791" s="105"/>
    </row>
    <row r="792" spans="1:22" ht="12.75">
      <c r="A792" s="309"/>
      <c r="B792" s="309"/>
      <c r="C792" s="34"/>
      <c r="D792" s="34"/>
      <c r="E792" s="35"/>
      <c r="F792" s="34"/>
      <c r="G792" s="34"/>
      <c r="H792" s="65"/>
      <c r="I792" s="105"/>
      <c r="J792" s="34"/>
      <c r="K792" s="34"/>
      <c r="L792" s="34"/>
      <c r="M792" s="188"/>
      <c r="N792" s="188"/>
      <c r="O792" s="188"/>
      <c r="P792" s="34"/>
      <c r="Q792" s="304"/>
      <c r="R792" s="34"/>
      <c r="S792" s="34"/>
      <c r="T792" s="34"/>
      <c r="U792" s="105"/>
      <c r="V792" s="105"/>
    </row>
    <row r="793" spans="1:22" ht="12.75">
      <c r="A793" s="309"/>
      <c r="B793" s="309"/>
      <c r="C793" s="34"/>
      <c r="D793" s="34"/>
      <c r="E793" s="35"/>
      <c r="F793" s="34"/>
      <c r="G793" s="34"/>
      <c r="H793" s="65"/>
      <c r="I793" s="105"/>
      <c r="J793" s="34"/>
      <c r="K793" s="34"/>
      <c r="L793" s="34"/>
      <c r="M793" s="188"/>
      <c r="N793" s="188"/>
      <c r="O793" s="188"/>
      <c r="P793" s="34"/>
      <c r="Q793" s="304"/>
      <c r="R793" s="34"/>
      <c r="S793" s="34"/>
      <c r="T793" s="34"/>
      <c r="U793" s="105"/>
      <c r="V793" s="105"/>
    </row>
    <row r="794" spans="1:22" ht="12.75">
      <c r="A794" s="309"/>
      <c r="B794" s="309"/>
      <c r="C794" s="34"/>
      <c r="D794" s="34"/>
      <c r="E794" s="35"/>
      <c r="F794" s="34"/>
      <c r="G794" s="34"/>
      <c r="H794" s="65"/>
      <c r="I794" s="105"/>
      <c r="J794" s="34"/>
      <c r="K794" s="34"/>
      <c r="L794" s="34"/>
      <c r="M794" s="188"/>
      <c r="N794" s="188"/>
      <c r="O794" s="188"/>
      <c r="P794" s="34"/>
      <c r="Q794" s="304"/>
      <c r="R794" s="34"/>
      <c r="S794" s="34"/>
      <c r="T794" s="34"/>
      <c r="U794" s="105"/>
      <c r="V794" s="105"/>
    </row>
    <row r="795" spans="1:22" ht="12.75">
      <c r="A795" s="309"/>
      <c r="B795" s="309"/>
      <c r="C795" s="34"/>
      <c r="D795" s="34"/>
      <c r="E795" s="35"/>
      <c r="F795" s="34"/>
      <c r="G795" s="34"/>
      <c r="H795" s="65"/>
      <c r="I795" s="105"/>
      <c r="J795" s="34"/>
      <c r="K795" s="34"/>
      <c r="L795" s="34"/>
      <c r="M795" s="188"/>
      <c r="N795" s="188"/>
      <c r="O795" s="188"/>
      <c r="P795" s="34"/>
      <c r="Q795" s="304"/>
      <c r="R795" s="34"/>
      <c r="S795" s="34"/>
      <c r="T795" s="34"/>
      <c r="U795" s="105"/>
      <c r="V795" s="105"/>
    </row>
    <row r="796" spans="1:22" ht="12.75">
      <c r="A796" s="309"/>
      <c r="B796" s="309"/>
      <c r="C796" s="34"/>
      <c r="D796" s="34"/>
      <c r="E796" s="35"/>
      <c r="F796" s="34"/>
      <c r="G796" s="34"/>
      <c r="H796" s="65"/>
      <c r="I796" s="105"/>
      <c r="J796" s="34"/>
      <c r="K796" s="34"/>
      <c r="L796" s="34"/>
      <c r="M796" s="188"/>
      <c r="N796" s="188"/>
      <c r="O796" s="188"/>
      <c r="P796" s="34"/>
      <c r="Q796" s="304"/>
      <c r="R796" s="34"/>
      <c r="S796" s="34"/>
      <c r="T796" s="34"/>
      <c r="U796" s="105"/>
      <c r="V796" s="105"/>
    </row>
    <row r="797" spans="1:22" ht="12.75">
      <c r="A797" s="309"/>
      <c r="B797" s="309"/>
      <c r="C797" s="34"/>
      <c r="D797" s="34"/>
      <c r="E797" s="35"/>
      <c r="F797" s="34"/>
      <c r="G797" s="34"/>
      <c r="H797" s="65"/>
      <c r="I797" s="105"/>
      <c r="J797" s="34"/>
      <c r="K797" s="34"/>
      <c r="L797" s="34"/>
      <c r="M797" s="188"/>
      <c r="N797" s="188"/>
      <c r="O797" s="188"/>
      <c r="P797" s="34"/>
      <c r="Q797" s="304"/>
      <c r="R797" s="34"/>
      <c r="S797" s="34"/>
      <c r="T797" s="34"/>
      <c r="U797" s="105"/>
      <c r="V797" s="105"/>
    </row>
    <row r="798" spans="1:22" ht="12.75">
      <c r="A798" s="309"/>
      <c r="B798" s="309"/>
      <c r="C798" s="34"/>
      <c r="D798" s="34"/>
      <c r="E798" s="35"/>
      <c r="F798" s="34"/>
      <c r="G798" s="34"/>
      <c r="H798" s="65"/>
      <c r="I798" s="105"/>
      <c r="J798" s="34"/>
      <c r="K798" s="34"/>
      <c r="L798" s="34"/>
      <c r="M798" s="188"/>
      <c r="N798" s="188"/>
      <c r="O798" s="188"/>
      <c r="P798" s="34"/>
      <c r="Q798" s="304"/>
      <c r="R798" s="34"/>
      <c r="S798" s="34"/>
      <c r="T798" s="34"/>
      <c r="U798" s="105"/>
      <c r="V798" s="105"/>
    </row>
    <row r="799" spans="1:22" ht="12.75">
      <c r="A799" s="309"/>
      <c r="B799" s="309"/>
      <c r="C799" s="34"/>
      <c r="D799" s="34"/>
      <c r="E799" s="35"/>
      <c r="F799" s="34"/>
      <c r="G799" s="34"/>
      <c r="H799" s="65"/>
      <c r="I799" s="105"/>
      <c r="J799" s="34"/>
      <c r="K799" s="34"/>
      <c r="L799" s="34"/>
      <c r="M799" s="188"/>
      <c r="N799" s="188"/>
      <c r="O799" s="188"/>
      <c r="P799" s="34"/>
      <c r="Q799" s="304"/>
      <c r="R799" s="34"/>
      <c r="S799" s="34"/>
      <c r="T799" s="34"/>
      <c r="U799" s="105"/>
      <c r="V799" s="105"/>
    </row>
    <row r="800" spans="1:22" ht="12.75">
      <c r="A800" s="309"/>
      <c r="B800" s="309"/>
      <c r="C800" s="34"/>
      <c r="D800" s="34"/>
      <c r="E800" s="35"/>
      <c r="F800" s="34"/>
      <c r="G800" s="34"/>
      <c r="H800" s="65"/>
      <c r="I800" s="105"/>
      <c r="J800" s="34"/>
      <c r="K800" s="34"/>
      <c r="L800" s="34"/>
      <c r="M800" s="188"/>
      <c r="N800" s="188"/>
      <c r="O800" s="188"/>
      <c r="P800" s="34"/>
      <c r="Q800" s="304"/>
      <c r="R800" s="34"/>
      <c r="S800" s="34"/>
      <c r="T800" s="34"/>
      <c r="U800" s="105"/>
      <c r="V800" s="105"/>
    </row>
    <row r="801" spans="1:22" ht="12.75">
      <c r="A801" s="309"/>
      <c r="B801" s="309"/>
      <c r="C801" s="34"/>
      <c r="D801" s="34"/>
      <c r="E801" s="35"/>
      <c r="F801" s="34"/>
      <c r="G801" s="34"/>
      <c r="H801" s="65"/>
      <c r="I801" s="105"/>
      <c r="J801" s="34"/>
      <c r="K801" s="34"/>
      <c r="L801" s="34"/>
      <c r="M801" s="188"/>
      <c r="N801" s="188"/>
      <c r="O801" s="188"/>
      <c r="P801" s="34"/>
      <c r="Q801" s="304"/>
      <c r="R801" s="34"/>
      <c r="S801" s="34"/>
      <c r="T801" s="34"/>
      <c r="U801" s="105"/>
      <c r="V801" s="105"/>
    </row>
    <row r="802" spans="1:22" ht="12.75">
      <c r="A802" s="309"/>
      <c r="B802" s="309"/>
      <c r="C802" s="34"/>
      <c r="D802" s="34"/>
      <c r="E802" s="35"/>
      <c r="F802" s="34"/>
      <c r="G802" s="34"/>
      <c r="H802" s="65"/>
      <c r="I802" s="105"/>
      <c r="J802" s="34"/>
      <c r="K802" s="34"/>
      <c r="L802" s="34"/>
      <c r="M802" s="188"/>
      <c r="N802" s="188"/>
      <c r="O802" s="188"/>
      <c r="P802" s="34"/>
      <c r="Q802" s="304"/>
      <c r="R802" s="34"/>
      <c r="S802" s="34"/>
      <c r="T802" s="34"/>
      <c r="U802" s="105"/>
      <c r="V802" s="105"/>
    </row>
    <row r="803" spans="1:22" ht="12.75">
      <c r="A803" s="309"/>
      <c r="B803" s="309"/>
      <c r="C803" s="34"/>
      <c r="D803" s="34"/>
      <c r="E803" s="35"/>
      <c r="F803" s="34"/>
      <c r="G803" s="34"/>
      <c r="H803" s="65"/>
      <c r="I803" s="105"/>
      <c r="J803" s="34"/>
      <c r="K803" s="34"/>
      <c r="L803" s="34"/>
      <c r="M803" s="188"/>
      <c r="N803" s="188"/>
      <c r="O803" s="188"/>
      <c r="P803" s="34"/>
      <c r="Q803" s="304"/>
      <c r="R803" s="34"/>
      <c r="S803" s="34"/>
      <c r="T803" s="34"/>
      <c r="U803" s="105"/>
      <c r="V803" s="105"/>
    </row>
    <row r="804" spans="1:22" ht="12.75">
      <c r="A804" s="309"/>
      <c r="B804" s="309"/>
      <c r="C804" s="34"/>
      <c r="D804" s="34"/>
      <c r="E804" s="35"/>
      <c r="F804" s="34"/>
      <c r="G804" s="34"/>
      <c r="H804" s="65"/>
      <c r="I804" s="105"/>
      <c r="J804" s="34"/>
      <c r="K804" s="34"/>
      <c r="L804" s="34"/>
      <c r="M804" s="188"/>
      <c r="N804" s="188"/>
      <c r="O804" s="188"/>
      <c r="P804" s="34"/>
      <c r="Q804" s="304"/>
      <c r="R804" s="34"/>
      <c r="S804" s="34"/>
      <c r="T804" s="34"/>
      <c r="U804" s="105"/>
      <c r="V804" s="105"/>
    </row>
    <row r="805" spans="1:22" ht="12.75">
      <c r="A805" s="309"/>
      <c r="B805" s="309"/>
      <c r="C805" s="34"/>
      <c r="D805" s="34"/>
      <c r="E805" s="35"/>
      <c r="F805" s="34"/>
      <c r="G805" s="34"/>
      <c r="H805" s="65"/>
      <c r="I805" s="105"/>
      <c r="J805" s="34"/>
      <c r="K805" s="34"/>
      <c r="L805" s="34"/>
      <c r="M805" s="188"/>
      <c r="N805" s="188"/>
      <c r="O805" s="188"/>
      <c r="P805" s="34"/>
      <c r="Q805" s="304"/>
      <c r="R805" s="34"/>
      <c r="S805" s="34"/>
      <c r="T805" s="34"/>
      <c r="U805" s="105"/>
      <c r="V805" s="105"/>
    </row>
    <row r="806" spans="1:22" ht="12.75">
      <c r="A806" s="309"/>
      <c r="B806" s="309"/>
      <c r="C806" s="34"/>
      <c r="D806" s="34"/>
      <c r="E806" s="35"/>
      <c r="F806" s="34"/>
      <c r="G806" s="34"/>
      <c r="H806" s="65"/>
      <c r="I806" s="105"/>
      <c r="J806" s="34"/>
      <c r="K806" s="34"/>
      <c r="L806" s="34"/>
      <c r="M806" s="188"/>
      <c r="N806" s="188"/>
      <c r="O806" s="188"/>
      <c r="P806" s="34"/>
      <c r="Q806" s="304"/>
      <c r="R806" s="34"/>
      <c r="S806" s="34"/>
      <c r="T806" s="34"/>
      <c r="U806" s="105"/>
      <c r="V806" s="105"/>
    </row>
    <row r="807" spans="1:22" ht="12.75">
      <c r="A807" s="309"/>
      <c r="B807" s="309"/>
      <c r="C807" s="34"/>
      <c r="D807" s="34"/>
      <c r="E807" s="35"/>
      <c r="F807" s="34"/>
      <c r="G807" s="34"/>
      <c r="H807" s="65"/>
      <c r="I807" s="105"/>
      <c r="J807" s="34"/>
      <c r="K807" s="34"/>
      <c r="L807" s="34"/>
      <c r="M807" s="188"/>
      <c r="N807" s="188"/>
      <c r="O807" s="188"/>
      <c r="P807" s="34"/>
      <c r="Q807" s="304"/>
      <c r="R807" s="34"/>
      <c r="S807" s="34"/>
      <c r="T807" s="34"/>
      <c r="U807" s="105"/>
      <c r="V807" s="105"/>
    </row>
    <row r="808" spans="1:22" ht="12.75">
      <c r="A808" s="309"/>
      <c r="B808" s="309"/>
      <c r="C808" s="34"/>
      <c r="D808" s="34"/>
      <c r="E808" s="35"/>
      <c r="F808" s="34"/>
      <c r="G808" s="34"/>
      <c r="H808" s="65"/>
      <c r="I808" s="105"/>
      <c r="J808" s="34"/>
      <c r="K808" s="34"/>
      <c r="L808" s="34"/>
      <c r="M808" s="188"/>
      <c r="N808" s="188"/>
      <c r="O808" s="188"/>
      <c r="P808" s="34"/>
      <c r="Q808" s="304"/>
      <c r="R808" s="34"/>
      <c r="S808" s="34"/>
      <c r="T808" s="34"/>
      <c r="U808" s="105"/>
      <c r="V808" s="105"/>
    </row>
    <row r="809" spans="1:22" ht="12.75">
      <c r="A809" s="309"/>
      <c r="B809" s="309"/>
      <c r="C809" s="34"/>
      <c r="D809" s="34"/>
      <c r="E809" s="35"/>
      <c r="F809" s="34"/>
      <c r="G809" s="34"/>
      <c r="H809" s="65"/>
      <c r="I809" s="105"/>
      <c r="J809" s="34"/>
      <c r="K809" s="34"/>
      <c r="L809" s="34"/>
      <c r="M809" s="188"/>
      <c r="N809" s="188"/>
      <c r="O809" s="188"/>
      <c r="P809" s="34"/>
      <c r="Q809" s="304"/>
      <c r="R809" s="34"/>
      <c r="S809" s="34"/>
      <c r="T809" s="34"/>
      <c r="U809" s="105"/>
      <c r="V809" s="105"/>
    </row>
    <row r="810" spans="1:22" ht="12.75">
      <c r="A810" s="309"/>
      <c r="B810" s="309"/>
      <c r="C810" s="34"/>
      <c r="D810" s="34"/>
      <c r="E810" s="35"/>
      <c r="F810" s="34"/>
      <c r="G810" s="34"/>
      <c r="H810" s="65"/>
      <c r="I810" s="105"/>
      <c r="J810" s="34"/>
      <c r="K810" s="34"/>
      <c r="L810" s="34"/>
      <c r="M810" s="188"/>
      <c r="N810" s="188"/>
      <c r="O810" s="188"/>
      <c r="P810" s="34"/>
      <c r="Q810" s="304"/>
      <c r="R810" s="34"/>
      <c r="S810" s="34"/>
      <c r="T810" s="34"/>
      <c r="U810" s="105"/>
      <c r="V810" s="105"/>
    </row>
    <row r="811" spans="1:22" ht="12.75">
      <c r="A811" s="309"/>
      <c r="B811" s="309"/>
      <c r="C811" s="34"/>
      <c r="D811" s="34"/>
      <c r="E811" s="35"/>
      <c r="F811" s="34"/>
      <c r="G811" s="34"/>
      <c r="H811" s="65"/>
      <c r="I811" s="105"/>
      <c r="J811" s="34"/>
      <c r="K811" s="34"/>
      <c r="L811" s="34"/>
      <c r="M811" s="188"/>
      <c r="N811" s="188"/>
      <c r="O811" s="188"/>
      <c r="P811" s="34"/>
      <c r="Q811" s="304"/>
      <c r="R811" s="34"/>
      <c r="S811" s="34"/>
      <c r="T811" s="34"/>
      <c r="U811" s="105"/>
      <c r="V811" s="105"/>
    </row>
    <row r="812" spans="1:22" ht="12.75">
      <c r="A812" s="309"/>
      <c r="B812" s="309"/>
      <c r="C812" s="34"/>
      <c r="D812" s="34"/>
      <c r="E812" s="35"/>
      <c r="F812" s="34"/>
      <c r="G812" s="34"/>
      <c r="H812" s="65"/>
      <c r="I812" s="105"/>
      <c r="J812" s="34"/>
      <c r="K812" s="34"/>
      <c r="L812" s="34"/>
      <c r="M812" s="188"/>
      <c r="N812" s="188"/>
      <c r="O812" s="188"/>
      <c r="P812" s="34"/>
      <c r="Q812" s="304"/>
      <c r="R812" s="34"/>
      <c r="S812" s="34"/>
      <c r="T812" s="34"/>
      <c r="U812" s="105"/>
      <c r="V812" s="105"/>
    </row>
    <row r="813" spans="1:22" ht="12.75">
      <c r="A813" s="309"/>
      <c r="B813" s="309"/>
      <c r="C813" s="34"/>
      <c r="D813" s="34"/>
      <c r="E813" s="35"/>
      <c r="F813" s="34"/>
      <c r="G813" s="34"/>
      <c r="H813" s="65"/>
      <c r="I813" s="105"/>
      <c r="J813" s="34"/>
      <c r="K813" s="34"/>
      <c r="L813" s="34"/>
      <c r="M813" s="188"/>
      <c r="N813" s="188"/>
      <c r="O813" s="188"/>
      <c r="P813" s="34"/>
      <c r="Q813" s="304"/>
      <c r="R813" s="34"/>
      <c r="S813" s="34"/>
      <c r="T813" s="34"/>
      <c r="U813" s="105"/>
      <c r="V813" s="105"/>
    </row>
    <row r="814" spans="1:22" ht="12.75">
      <c r="A814" s="309"/>
      <c r="B814" s="309"/>
      <c r="C814" s="34"/>
      <c r="D814" s="34"/>
      <c r="E814" s="35"/>
      <c r="F814" s="34"/>
      <c r="G814" s="34"/>
      <c r="H814" s="65"/>
      <c r="I814" s="105"/>
      <c r="J814" s="34"/>
      <c r="K814" s="34"/>
      <c r="L814" s="34"/>
      <c r="M814" s="188"/>
      <c r="N814" s="188"/>
      <c r="O814" s="188"/>
      <c r="P814" s="34"/>
      <c r="Q814" s="304"/>
      <c r="R814" s="34"/>
      <c r="S814" s="34"/>
      <c r="T814" s="34"/>
      <c r="U814" s="105"/>
      <c r="V814" s="105"/>
    </row>
    <row r="815" spans="1:22" ht="12.75">
      <c r="A815" s="309"/>
      <c r="B815" s="309"/>
      <c r="C815" s="34"/>
      <c r="D815" s="34"/>
      <c r="E815" s="35"/>
      <c r="F815" s="34"/>
      <c r="G815" s="34"/>
      <c r="H815" s="65"/>
      <c r="I815" s="105"/>
      <c r="J815" s="34"/>
      <c r="K815" s="34"/>
      <c r="L815" s="34"/>
      <c r="M815" s="188"/>
      <c r="N815" s="188"/>
      <c r="O815" s="188"/>
      <c r="P815" s="34"/>
      <c r="Q815" s="304"/>
      <c r="R815" s="34"/>
      <c r="S815" s="34"/>
      <c r="T815" s="34"/>
      <c r="U815" s="105"/>
      <c r="V815" s="105"/>
    </row>
    <row r="816" spans="1:22" ht="12.75">
      <c r="A816" s="309"/>
      <c r="B816" s="309"/>
      <c r="C816" s="34"/>
      <c r="D816" s="34"/>
      <c r="E816" s="35"/>
      <c r="F816" s="34"/>
      <c r="G816" s="34"/>
      <c r="H816" s="65"/>
      <c r="I816" s="105"/>
      <c r="J816" s="34"/>
      <c r="K816" s="34"/>
      <c r="L816" s="34"/>
      <c r="M816" s="188"/>
      <c r="N816" s="188"/>
      <c r="O816" s="188"/>
      <c r="P816" s="34"/>
      <c r="Q816" s="304"/>
      <c r="R816" s="34"/>
      <c r="S816" s="34"/>
      <c r="T816" s="34"/>
      <c r="U816" s="105"/>
      <c r="V816" s="105"/>
    </row>
    <row r="817" spans="1:22" ht="12.75">
      <c r="A817" s="309"/>
      <c r="B817" s="309"/>
      <c r="C817" s="34"/>
      <c r="D817" s="34"/>
      <c r="E817" s="35"/>
      <c r="F817" s="34"/>
      <c r="G817" s="34"/>
      <c r="H817" s="65"/>
      <c r="I817" s="105"/>
      <c r="J817" s="34"/>
      <c r="K817" s="34"/>
      <c r="L817" s="34"/>
      <c r="M817" s="188"/>
      <c r="N817" s="188"/>
      <c r="O817" s="188"/>
      <c r="P817" s="34"/>
      <c r="Q817" s="304"/>
      <c r="R817" s="34"/>
      <c r="S817" s="34"/>
      <c r="T817" s="34"/>
      <c r="U817" s="105"/>
      <c r="V817" s="105"/>
    </row>
    <row r="818" spans="1:22" ht="12.75">
      <c r="A818" s="309"/>
      <c r="B818" s="309"/>
      <c r="C818" s="34"/>
      <c r="D818" s="34"/>
      <c r="E818" s="35"/>
      <c r="F818" s="34"/>
      <c r="G818" s="34"/>
      <c r="H818" s="65"/>
      <c r="I818" s="105"/>
      <c r="J818" s="34"/>
      <c r="K818" s="34"/>
      <c r="L818" s="34"/>
      <c r="M818" s="188"/>
      <c r="N818" s="188"/>
      <c r="O818" s="188"/>
      <c r="P818" s="34"/>
      <c r="Q818" s="304"/>
      <c r="R818" s="34"/>
      <c r="S818" s="34"/>
      <c r="T818" s="34"/>
      <c r="U818" s="105"/>
      <c r="V818" s="105"/>
    </row>
    <row r="819" spans="1:22" ht="12.75">
      <c r="A819" s="309"/>
      <c r="B819" s="309"/>
      <c r="C819" s="34"/>
      <c r="D819" s="34"/>
      <c r="E819" s="35"/>
      <c r="F819" s="34"/>
      <c r="G819" s="34"/>
      <c r="H819" s="65"/>
      <c r="I819" s="105"/>
      <c r="J819" s="34"/>
      <c r="K819" s="34"/>
      <c r="L819" s="34"/>
      <c r="M819" s="188"/>
      <c r="N819" s="188"/>
      <c r="O819" s="188"/>
      <c r="P819" s="34"/>
      <c r="Q819" s="304"/>
      <c r="R819" s="34"/>
      <c r="S819" s="34"/>
      <c r="T819" s="34"/>
      <c r="U819" s="105"/>
      <c r="V819" s="105"/>
    </row>
    <row r="820" spans="1:22" ht="12.75">
      <c r="A820" s="309"/>
      <c r="B820" s="309"/>
      <c r="C820" s="34"/>
      <c r="D820" s="34"/>
      <c r="E820" s="35"/>
      <c r="F820" s="34"/>
      <c r="G820" s="34"/>
      <c r="H820" s="65"/>
      <c r="I820" s="105"/>
      <c r="J820" s="34"/>
      <c r="K820" s="34"/>
      <c r="L820" s="34"/>
      <c r="M820" s="188"/>
      <c r="N820" s="188"/>
      <c r="O820" s="188"/>
      <c r="P820" s="34"/>
      <c r="Q820" s="304"/>
      <c r="R820" s="34"/>
      <c r="S820" s="34"/>
      <c r="T820" s="34"/>
      <c r="U820" s="105"/>
      <c r="V820" s="105"/>
    </row>
    <row r="821" spans="1:22" ht="12.75">
      <c r="A821" s="309"/>
      <c r="B821" s="309"/>
      <c r="C821" s="34"/>
      <c r="D821" s="34"/>
      <c r="E821" s="35"/>
      <c r="F821" s="34"/>
      <c r="G821" s="34"/>
      <c r="H821" s="65"/>
      <c r="I821" s="105"/>
      <c r="J821" s="34"/>
      <c r="K821" s="34"/>
      <c r="L821" s="34"/>
      <c r="M821" s="188"/>
      <c r="N821" s="188"/>
      <c r="O821" s="188"/>
      <c r="P821" s="34"/>
      <c r="Q821" s="304"/>
      <c r="R821" s="34"/>
      <c r="S821" s="34"/>
      <c r="T821" s="34"/>
      <c r="U821" s="105"/>
      <c r="V821" s="105"/>
    </row>
    <row r="822" spans="1:22" ht="12.75">
      <c r="A822" s="309"/>
      <c r="B822" s="309"/>
      <c r="C822" s="34"/>
      <c r="D822" s="34"/>
      <c r="E822" s="35"/>
      <c r="F822" s="34"/>
      <c r="G822" s="34"/>
      <c r="H822" s="65"/>
      <c r="I822" s="105"/>
      <c r="J822" s="34"/>
      <c r="K822" s="34"/>
      <c r="L822" s="34"/>
      <c r="M822" s="188"/>
      <c r="N822" s="188"/>
      <c r="O822" s="188"/>
      <c r="P822" s="34"/>
      <c r="Q822" s="304"/>
      <c r="R822" s="34"/>
      <c r="S822" s="34"/>
      <c r="T822" s="34"/>
      <c r="U822" s="105"/>
      <c r="V822" s="105"/>
    </row>
    <row r="823" spans="1:22" ht="12.75">
      <c r="A823" s="309"/>
      <c r="B823" s="309"/>
      <c r="C823" s="34"/>
      <c r="D823" s="34"/>
      <c r="E823" s="35"/>
      <c r="F823" s="34"/>
      <c r="G823" s="34"/>
      <c r="H823" s="65"/>
      <c r="I823" s="105"/>
      <c r="J823" s="34"/>
      <c r="K823" s="34"/>
      <c r="L823" s="34"/>
      <c r="M823" s="188"/>
      <c r="N823" s="188"/>
      <c r="O823" s="188"/>
      <c r="P823" s="34"/>
      <c r="Q823" s="304"/>
      <c r="R823" s="34"/>
      <c r="S823" s="34"/>
      <c r="T823" s="34"/>
      <c r="U823" s="105"/>
      <c r="V823" s="105"/>
    </row>
    <row r="824" spans="1:22" ht="12.75">
      <c r="A824" s="309"/>
      <c r="B824" s="309"/>
      <c r="C824" s="34"/>
      <c r="D824" s="34"/>
      <c r="E824" s="35"/>
      <c r="F824" s="34"/>
      <c r="G824" s="34"/>
      <c r="H824" s="65"/>
      <c r="I824" s="105"/>
      <c r="J824" s="34"/>
      <c r="K824" s="34"/>
      <c r="L824" s="34"/>
      <c r="M824" s="188"/>
      <c r="N824" s="188"/>
      <c r="O824" s="188"/>
      <c r="P824" s="34"/>
      <c r="Q824" s="304"/>
      <c r="R824" s="34"/>
      <c r="S824" s="34"/>
      <c r="T824" s="34"/>
      <c r="U824" s="105"/>
      <c r="V824" s="105"/>
    </row>
    <row r="825" spans="1:22" ht="12.75">
      <c r="A825" s="309"/>
      <c r="B825" s="309"/>
      <c r="C825" s="34"/>
      <c r="D825" s="34"/>
      <c r="E825" s="35"/>
      <c r="F825" s="34"/>
      <c r="G825" s="34"/>
      <c r="H825" s="65"/>
      <c r="I825" s="105"/>
      <c r="J825" s="34"/>
      <c r="K825" s="34"/>
      <c r="L825" s="34"/>
      <c r="M825" s="188"/>
      <c r="N825" s="188"/>
      <c r="O825" s="188"/>
      <c r="P825" s="34"/>
      <c r="Q825" s="304"/>
      <c r="R825" s="34"/>
      <c r="S825" s="34"/>
      <c r="T825" s="34"/>
      <c r="U825" s="105"/>
      <c r="V825" s="105"/>
    </row>
    <row r="826" spans="1:22" ht="12.75">
      <c r="A826" s="309"/>
      <c r="B826" s="309"/>
      <c r="C826" s="34"/>
      <c r="D826" s="34"/>
      <c r="E826" s="35"/>
      <c r="F826" s="34"/>
      <c r="G826" s="34"/>
      <c r="H826" s="65"/>
      <c r="I826" s="105"/>
      <c r="J826" s="34"/>
      <c r="K826" s="34"/>
      <c r="L826" s="34"/>
      <c r="M826" s="188"/>
      <c r="N826" s="188"/>
      <c r="O826" s="188"/>
      <c r="P826" s="34"/>
      <c r="Q826" s="304"/>
      <c r="R826" s="34"/>
      <c r="S826" s="34"/>
      <c r="T826" s="34"/>
      <c r="U826" s="105"/>
      <c r="V826" s="105"/>
    </row>
    <row r="827" spans="1:22" ht="12.75">
      <c r="A827" s="309"/>
      <c r="B827" s="309"/>
      <c r="C827" s="34"/>
      <c r="D827" s="34"/>
      <c r="E827" s="35"/>
      <c r="F827" s="34"/>
      <c r="G827" s="34"/>
      <c r="H827" s="65"/>
      <c r="I827" s="105"/>
      <c r="J827" s="34"/>
      <c r="K827" s="34"/>
      <c r="L827" s="34"/>
      <c r="M827" s="188"/>
      <c r="N827" s="188"/>
      <c r="O827" s="188"/>
      <c r="P827" s="34"/>
      <c r="Q827" s="304"/>
      <c r="R827" s="34"/>
      <c r="S827" s="34"/>
      <c r="T827" s="34"/>
      <c r="U827" s="105"/>
      <c r="V827" s="105"/>
    </row>
    <row r="828" spans="1:22" ht="12.75">
      <c r="A828" s="309"/>
      <c r="B828" s="309"/>
      <c r="C828" s="34"/>
      <c r="D828" s="34"/>
      <c r="E828" s="35"/>
      <c r="F828" s="34"/>
      <c r="G828" s="34"/>
      <c r="H828" s="65"/>
      <c r="I828" s="105"/>
      <c r="J828" s="34"/>
      <c r="K828" s="34"/>
      <c r="L828" s="34"/>
      <c r="M828" s="188"/>
      <c r="N828" s="188"/>
      <c r="O828" s="188"/>
      <c r="P828" s="34"/>
      <c r="Q828" s="304"/>
      <c r="R828" s="34"/>
      <c r="S828" s="34"/>
      <c r="T828" s="34"/>
      <c r="U828" s="105"/>
      <c r="V828" s="105"/>
    </row>
    <row r="829" spans="1:22" ht="12.75">
      <c r="A829" s="309"/>
      <c r="B829" s="309"/>
      <c r="C829" s="34"/>
      <c r="D829" s="34"/>
      <c r="E829" s="35"/>
      <c r="F829" s="34"/>
      <c r="G829" s="34"/>
      <c r="H829" s="65"/>
      <c r="I829" s="105"/>
      <c r="J829" s="34"/>
      <c r="K829" s="34"/>
      <c r="L829" s="34"/>
      <c r="M829" s="188"/>
      <c r="N829" s="188"/>
      <c r="O829" s="188"/>
      <c r="P829" s="34"/>
      <c r="Q829" s="304"/>
      <c r="R829" s="34"/>
      <c r="S829" s="34"/>
      <c r="T829" s="34"/>
      <c r="U829" s="105"/>
      <c r="V829" s="105"/>
    </row>
    <row r="830" spans="1:22" ht="12.75">
      <c r="A830" s="309"/>
      <c r="B830" s="309"/>
      <c r="C830" s="34"/>
      <c r="D830" s="34"/>
      <c r="E830" s="35"/>
      <c r="F830" s="34"/>
      <c r="G830" s="34"/>
      <c r="H830" s="65"/>
      <c r="I830" s="105"/>
      <c r="J830" s="34"/>
      <c r="K830" s="34"/>
      <c r="L830" s="34"/>
      <c r="M830" s="188"/>
      <c r="N830" s="188"/>
      <c r="O830" s="188"/>
      <c r="P830" s="34"/>
      <c r="Q830" s="304"/>
      <c r="R830" s="34"/>
      <c r="S830" s="34"/>
      <c r="T830" s="34"/>
      <c r="U830" s="105"/>
      <c r="V830" s="105"/>
    </row>
    <row r="831" spans="1:22" ht="12.75">
      <c r="A831" s="309"/>
      <c r="B831" s="309"/>
      <c r="C831" s="34"/>
      <c r="D831" s="34"/>
      <c r="E831" s="35"/>
      <c r="F831" s="34"/>
      <c r="G831" s="34"/>
      <c r="H831" s="65"/>
      <c r="I831" s="105"/>
      <c r="J831" s="34"/>
      <c r="K831" s="34"/>
      <c r="L831" s="34"/>
      <c r="M831" s="188"/>
      <c r="N831" s="188"/>
      <c r="O831" s="188"/>
      <c r="P831" s="34"/>
      <c r="Q831" s="304"/>
      <c r="R831" s="34"/>
      <c r="S831" s="34"/>
      <c r="T831" s="34"/>
      <c r="U831" s="105"/>
      <c r="V831" s="105"/>
    </row>
    <row r="832" spans="1:22" ht="12.75">
      <c r="A832" s="309"/>
      <c r="B832" s="309"/>
      <c r="C832" s="34"/>
      <c r="D832" s="34"/>
      <c r="E832" s="35"/>
      <c r="F832" s="34"/>
      <c r="G832" s="34"/>
      <c r="H832" s="65"/>
      <c r="I832" s="105"/>
      <c r="J832" s="34"/>
      <c r="K832" s="34"/>
      <c r="L832" s="34"/>
      <c r="M832" s="188"/>
      <c r="N832" s="188"/>
      <c r="O832" s="188"/>
      <c r="P832" s="34"/>
      <c r="Q832" s="304"/>
      <c r="R832" s="34"/>
      <c r="S832" s="34"/>
      <c r="T832" s="34"/>
      <c r="U832" s="105"/>
      <c r="V832" s="105"/>
    </row>
    <row r="833" spans="1:22" ht="12.75">
      <c r="A833" s="309"/>
      <c r="B833" s="309"/>
      <c r="C833" s="34"/>
      <c r="D833" s="34"/>
      <c r="E833" s="35"/>
      <c r="F833" s="34"/>
      <c r="G833" s="34"/>
      <c r="H833" s="65"/>
      <c r="I833" s="105"/>
      <c r="J833" s="34"/>
      <c r="K833" s="34"/>
      <c r="L833" s="34"/>
      <c r="M833" s="188"/>
      <c r="N833" s="188"/>
      <c r="O833" s="188"/>
      <c r="P833" s="34"/>
      <c r="Q833" s="304"/>
      <c r="R833" s="34"/>
      <c r="S833" s="34"/>
      <c r="T833" s="34"/>
      <c r="U833" s="105"/>
      <c r="V833" s="105"/>
    </row>
    <row r="834" spans="1:22" ht="12.75">
      <c r="A834" s="309"/>
      <c r="B834" s="309"/>
      <c r="C834" s="34"/>
      <c r="D834" s="34"/>
      <c r="E834" s="35"/>
      <c r="F834" s="34"/>
      <c r="G834" s="34"/>
      <c r="H834" s="65"/>
      <c r="I834" s="105"/>
      <c r="J834" s="34"/>
      <c r="K834" s="34"/>
      <c r="L834" s="34"/>
      <c r="M834" s="188"/>
      <c r="N834" s="188"/>
      <c r="O834" s="188"/>
      <c r="P834" s="34"/>
      <c r="Q834" s="304"/>
      <c r="R834" s="34"/>
      <c r="S834" s="34"/>
      <c r="T834" s="34"/>
      <c r="U834" s="105"/>
      <c r="V834" s="105"/>
    </row>
    <row r="835" spans="1:22" ht="12.75">
      <c r="A835" s="309"/>
      <c r="B835" s="309"/>
      <c r="C835" s="34"/>
      <c r="D835" s="34"/>
      <c r="E835" s="35"/>
      <c r="F835" s="34"/>
      <c r="G835" s="34"/>
      <c r="H835" s="65"/>
      <c r="I835" s="105"/>
      <c r="J835" s="34"/>
      <c r="K835" s="34"/>
      <c r="L835" s="34"/>
      <c r="M835" s="188"/>
      <c r="N835" s="188"/>
      <c r="O835" s="188"/>
      <c r="P835" s="34"/>
      <c r="Q835" s="304"/>
      <c r="R835" s="34"/>
      <c r="S835" s="34"/>
      <c r="T835" s="34"/>
      <c r="U835" s="105"/>
      <c r="V835" s="105"/>
    </row>
    <row r="836" spans="1:22" ht="12.75">
      <c r="A836" s="309"/>
      <c r="B836" s="309"/>
      <c r="C836" s="34"/>
      <c r="D836" s="34"/>
      <c r="E836" s="35"/>
      <c r="F836" s="34"/>
      <c r="G836" s="34"/>
      <c r="H836" s="65"/>
      <c r="I836" s="105"/>
      <c r="J836" s="34"/>
      <c r="K836" s="34"/>
      <c r="L836" s="34"/>
      <c r="M836" s="188"/>
      <c r="N836" s="188"/>
      <c r="O836" s="188"/>
      <c r="P836" s="34"/>
      <c r="Q836" s="304"/>
      <c r="R836" s="34"/>
      <c r="S836" s="34"/>
      <c r="T836" s="34"/>
      <c r="U836" s="105"/>
      <c r="V836" s="105"/>
    </row>
    <row r="837" spans="1:22" ht="12.75">
      <c r="A837" s="309"/>
      <c r="B837" s="309"/>
      <c r="C837" s="34"/>
      <c r="D837" s="34"/>
      <c r="E837" s="35"/>
      <c r="F837" s="34"/>
      <c r="G837" s="34"/>
      <c r="H837" s="65"/>
      <c r="I837" s="105"/>
      <c r="J837" s="34"/>
      <c r="K837" s="34"/>
      <c r="L837" s="34"/>
      <c r="M837" s="188"/>
      <c r="N837" s="188"/>
      <c r="O837" s="188"/>
      <c r="P837" s="34"/>
      <c r="Q837" s="304"/>
      <c r="R837" s="34"/>
      <c r="S837" s="34"/>
      <c r="T837" s="34"/>
      <c r="U837" s="105"/>
      <c r="V837" s="105"/>
    </row>
    <row r="838" spans="1:22" ht="12.75">
      <c r="A838" s="309"/>
      <c r="B838" s="309"/>
      <c r="C838" s="34"/>
      <c r="D838" s="34"/>
      <c r="E838" s="35"/>
      <c r="F838" s="34"/>
      <c r="G838" s="34"/>
      <c r="H838" s="65"/>
      <c r="I838" s="105"/>
      <c r="J838" s="34"/>
      <c r="K838" s="34"/>
      <c r="L838" s="34"/>
      <c r="M838" s="188"/>
      <c r="N838" s="188"/>
      <c r="O838" s="188"/>
      <c r="P838" s="34"/>
      <c r="Q838" s="304"/>
      <c r="R838" s="34"/>
      <c r="S838" s="34"/>
      <c r="T838" s="34"/>
      <c r="U838" s="105"/>
      <c r="V838" s="105"/>
    </row>
    <row r="839" spans="1:22" ht="12.75">
      <c r="A839" s="309"/>
      <c r="B839" s="309"/>
      <c r="C839" s="34"/>
      <c r="D839" s="34"/>
      <c r="E839" s="35"/>
      <c r="F839" s="34"/>
      <c r="G839" s="34"/>
      <c r="H839" s="65"/>
      <c r="I839" s="105"/>
      <c r="J839" s="34"/>
      <c r="K839" s="34"/>
      <c r="L839" s="34"/>
      <c r="M839" s="188"/>
      <c r="N839" s="188"/>
      <c r="O839" s="188"/>
      <c r="P839" s="34"/>
      <c r="Q839" s="304"/>
      <c r="R839" s="34"/>
      <c r="S839" s="34"/>
      <c r="T839" s="34"/>
      <c r="U839" s="105"/>
      <c r="V839" s="105"/>
    </row>
    <row r="840" spans="1:22" ht="12.75">
      <c r="A840" s="309"/>
      <c r="B840" s="309"/>
      <c r="C840" s="34"/>
      <c r="D840" s="34"/>
      <c r="E840" s="35"/>
      <c r="F840" s="34"/>
      <c r="G840" s="34"/>
      <c r="H840" s="65"/>
      <c r="I840" s="105"/>
      <c r="J840" s="34"/>
      <c r="K840" s="34"/>
      <c r="L840" s="34"/>
      <c r="M840" s="188"/>
      <c r="N840" s="188"/>
      <c r="O840" s="188"/>
      <c r="P840" s="34"/>
      <c r="Q840" s="304"/>
      <c r="R840" s="34"/>
      <c r="S840" s="34"/>
      <c r="T840" s="34"/>
      <c r="U840" s="105"/>
      <c r="V840" s="105"/>
    </row>
    <row r="841" spans="1:22" ht="12.75">
      <c r="A841" s="309"/>
      <c r="B841" s="309"/>
      <c r="C841" s="34"/>
      <c r="D841" s="34"/>
      <c r="E841" s="35"/>
      <c r="F841" s="34"/>
      <c r="G841" s="34"/>
      <c r="H841" s="65"/>
      <c r="I841" s="105"/>
      <c r="J841" s="34"/>
      <c r="K841" s="34"/>
      <c r="L841" s="34"/>
      <c r="M841" s="188"/>
      <c r="N841" s="188"/>
      <c r="O841" s="188"/>
      <c r="P841" s="34"/>
      <c r="Q841" s="304"/>
      <c r="R841" s="34"/>
      <c r="S841" s="34"/>
      <c r="T841" s="34"/>
      <c r="U841" s="105"/>
      <c r="V841" s="105"/>
    </row>
    <row r="842" spans="1:22" ht="12.75">
      <c r="A842" s="309"/>
      <c r="B842" s="309"/>
      <c r="C842" s="34"/>
      <c r="D842" s="34"/>
      <c r="E842" s="35"/>
      <c r="F842" s="34"/>
      <c r="G842" s="34"/>
      <c r="H842" s="65"/>
      <c r="I842" s="105"/>
      <c r="J842" s="34"/>
      <c r="K842" s="34"/>
      <c r="L842" s="34"/>
      <c r="M842" s="188"/>
      <c r="N842" s="188"/>
      <c r="O842" s="188"/>
      <c r="P842" s="34"/>
      <c r="Q842" s="304"/>
      <c r="R842" s="34"/>
      <c r="S842" s="34"/>
      <c r="T842" s="34"/>
      <c r="U842" s="105"/>
      <c r="V842" s="105"/>
    </row>
    <row r="843" spans="1:22" ht="12.75">
      <c r="A843" s="309"/>
      <c r="B843" s="309"/>
      <c r="C843" s="34"/>
      <c r="D843" s="34"/>
      <c r="E843" s="35"/>
      <c r="F843" s="34"/>
      <c r="G843" s="34"/>
      <c r="H843" s="65"/>
      <c r="I843" s="105"/>
      <c r="J843" s="34"/>
      <c r="K843" s="34"/>
      <c r="L843" s="34"/>
      <c r="M843" s="188"/>
      <c r="N843" s="188"/>
      <c r="O843" s="188"/>
      <c r="P843" s="34"/>
      <c r="Q843" s="304"/>
      <c r="R843" s="34"/>
      <c r="S843" s="34"/>
      <c r="T843" s="34"/>
      <c r="U843" s="105"/>
      <c r="V843" s="105"/>
    </row>
    <row r="844" spans="1:22" ht="12.75">
      <c r="A844" s="309"/>
      <c r="B844" s="309"/>
      <c r="C844" s="34"/>
      <c r="D844" s="34"/>
      <c r="E844" s="35"/>
      <c r="F844" s="34"/>
      <c r="G844" s="34"/>
      <c r="H844" s="65"/>
      <c r="I844" s="105"/>
      <c r="J844" s="34"/>
      <c r="K844" s="34"/>
      <c r="L844" s="34"/>
      <c r="M844" s="188"/>
      <c r="N844" s="188"/>
      <c r="O844" s="188"/>
      <c r="P844" s="34"/>
      <c r="Q844" s="304"/>
      <c r="R844" s="34"/>
      <c r="S844" s="34"/>
      <c r="T844" s="34"/>
      <c r="U844" s="105"/>
      <c r="V844" s="105"/>
    </row>
    <row r="845" spans="1:22" ht="12.75">
      <c r="A845" s="309"/>
      <c r="B845" s="309"/>
      <c r="C845" s="34"/>
      <c r="D845" s="34"/>
      <c r="E845" s="35"/>
      <c r="F845" s="34"/>
      <c r="G845" s="34"/>
      <c r="H845" s="65"/>
      <c r="I845" s="105"/>
      <c r="J845" s="34"/>
      <c r="K845" s="34"/>
      <c r="L845" s="34"/>
      <c r="M845" s="188"/>
      <c r="N845" s="188"/>
      <c r="O845" s="188"/>
      <c r="P845" s="34"/>
      <c r="Q845" s="304"/>
      <c r="R845" s="34"/>
      <c r="S845" s="34"/>
      <c r="T845" s="34"/>
      <c r="U845" s="105"/>
      <c r="V845" s="105"/>
    </row>
    <row r="846" spans="1:22" ht="12.75">
      <c r="A846" s="309"/>
      <c r="B846" s="309"/>
      <c r="C846" s="34"/>
      <c r="D846" s="34"/>
      <c r="E846" s="35"/>
      <c r="F846" s="34"/>
      <c r="G846" s="34"/>
      <c r="H846" s="65"/>
      <c r="I846" s="105"/>
      <c r="J846" s="34"/>
      <c r="K846" s="34"/>
      <c r="L846" s="34"/>
      <c r="M846" s="188"/>
      <c r="N846" s="188"/>
      <c r="O846" s="188"/>
      <c r="P846" s="34"/>
      <c r="Q846" s="304"/>
      <c r="R846" s="34"/>
      <c r="S846" s="34"/>
      <c r="T846" s="34"/>
      <c r="U846" s="105"/>
      <c r="V846" s="105"/>
    </row>
    <row r="847" spans="1:22" ht="12.75">
      <c r="A847" s="309"/>
      <c r="B847" s="309"/>
      <c r="C847" s="34"/>
      <c r="D847" s="34"/>
      <c r="E847" s="35"/>
      <c r="F847" s="34"/>
      <c r="G847" s="34"/>
      <c r="H847" s="65"/>
      <c r="I847" s="105"/>
      <c r="J847" s="34"/>
      <c r="K847" s="34"/>
      <c r="L847" s="34"/>
      <c r="M847" s="188"/>
      <c r="N847" s="188"/>
      <c r="O847" s="188"/>
      <c r="P847" s="34"/>
      <c r="Q847" s="304"/>
      <c r="R847" s="34"/>
      <c r="S847" s="34"/>
      <c r="T847" s="34"/>
      <c r="U847" s="105"/>
      <c r="V847" s="105"/>
    </row>
    <row r="848" spans="1:22" ht="12.75">
      <c r="A848" s="309"/>
      <c r="B848" s="309"/>
      <c r="C848" s="34"/>
      <c r="D848" s="34"/>
      <c r="E848" s="35"/>
      <c r="F848" s="34"/>
      <c r="G848" s="34"/>
      <c r="H848" s="65"/>
      <c r="I848" s="105"/>
      <c r="J848" s="34"/>
      <c r="K848" s="34"/>
      <c r="L848" s="34"/>
      <c r="M848" s="188"/>
      <c r="N848" s="188"/>
      <c r="O848" s="188"/>
      <c r="P848" s="34"/>
      <c r="Q848" s="304"/>
      <c r="R848" s="34"/>
      <c r="S848" s="34"/>
      <c r="T848" s="34"/>
      <c r="U848" s="105"/>
      <c r="V848" s="105"/>
    </row>
    <row r="849" spans="1:22" ht="12.75">
      <c r="A849" s="309"/>
      <c r="B849" s="309"/>
      <c r="C849" s="34"/>
      <c r="D849" s="34"/>
      <c r="E849" s="35"/>
      <c r="F849" s="34"/>
      <c r="G849" s="34"/>
      <c r="H849" s="65"/>
      <c r="I849" s="105"/>
      <c r="J849" s="34"/>
      <c r="K849" s="34"/>
      <c r="L849" s="34"/>
      <c r="M849" s="188"/>
      <c r="N849" s="188"/>
      <c r="O849" s="188"/>
      <c r="P849" s="34"/>
      <c r="Q849" s="304"/>
      <c r="R849" s="34"/>
      <c r="S849" s="34"/>
      <c r="T849" s="34"/>
      <c r="U849" s="105"/>
      <c r="V849" s="105"/>
    </row>
    <row r="850" spans="1:22" ht="12.75">
      <c r="A850" s="309"/>
      <c r="B850" s="309"/>
      <c r="C850" s="34"/>
      <c r="D850" s="34"/>
      <c r="E850" s="35"/>
      <c r="F850" s="34"/>
      <c r="G850" s="34"/>
      <c r="H850" s="65"/>
      <c r="I850" s="105"/>
      <c r="J850" s="34"/>
      <c r="K850" s="34"/>
      <c r="L850" s="34"/>
      <c r="M850" s="188"/>
      <c r="N850" s="188"/>
      <c r="O850" s="188"/>
      <c r="P850" s="34"/>
      <c r="Q850" s="304"/>
      <c r="R850" s="34"/>
      <c r="S850" s="34"/>
      <c r="T850" s="34"/>
      <c r="U850" s="105"/>
      <c r="V850" s="105"/>
    </row>
    <row r="851" spans="1:22" ht="12.75">
      <c r="A851" s="309"/>
      <c r="B851" s="309"/>
      <c r="C851" s="34"/>
      <c r="D851" s="34"/>
      <c r="E851" s="35"/>
      <c r="F851" s="34"/>
      <c r="G851" s="34"/>
      <c r="H851" s="65"/>
      <c r="I851" s="105"/>
      <c r="J851" s="34"/>
      <c r="K851" s="34"/>
      <c r="L851" s="34"/>
      <c r="M851" s="188"/>
      <c r="N851" s="188"/>
      <c r="O851" s="188"/>
      <c r="P851" s="34"/>
      <c r="Q851" s="304"/>
      <c r="R851" s="34"/>
      <c r="S851" s="34"/>
      <c r="T851" s="34"/>
      <c r="U851" s="105"/>
      <c r="V851" s="105"/>
    </row>
    <row r="852" spans="1:22" ht="12.75">
      <c r="A852" s="309"/>
      <c r="B852" s="309"/>
      <c r="C852" s="34"/>
      <c r="D852" s="34"/>
      <c r="E852" s="35"/>
      <c r="F852" s="34"/>
      <c r="G852" s="34"/>
      <c r="H852" s="65"/>
      <c r="I852" s="105"/>
      <c r="J852" s="34"/>
      <c r="K852" s="34"/>
      <c r="L852" s="34"/>
      <c r="M852" s="188"/>
      <c r="N852" s="188"/>
      <c r="O852" s="188"/>
      <c r="P852" s="34"/>
      <c r="Q852" s="304"/>
      <c r="R852" s="34"/>
      <c r="S852" s="34"/>
      <c r="T852" s="34"/>
      <c r="U852" s="105"/>
      <c r="V852" s="105"/>
    </row>
    <row r="853" spans="1:22" ht="12.75">
      <c r="A853" s="309"/>
      <c r="B853" s="309"/>
      <c r="C853" s="34"/>
      <c r="D853" s="34"/>
      <c r="E853" s="35"/>
      <c r="F853" s="34"/>
      <c r="G853" s="34"/>
      <c r="H853" s="65"/>
      <c r="I853" s="105"/>
      <c r="J853" s="34"/>
      <c r="K853" s="34"/>
      <c r="L853" s="34"/>
      <c r="M853" s="188"/>
      <c r="N853" s="188"/>
      <c r="O853" s="188"/>
      <c r="P853" s="34"/>
      <c r="Q853" s="304"/>
      <c r="R853" s="34"/>
      <c r="S853" s="34"/>
      <c r="T853" s="34"/>
      <c r="U853" s="105"/>
      <c r="V853" s="105"/>
    </row>
    <row r="854" spans="1:22" ht="12.75">
      <c r="A854" s="309"/>
      <c r="B854" s="309"/>
      <c r="C854" s="34"/>
      <c r="D854" s="34"/>
      <c r="E854" s="35"/>
      <c r="F854" s="34"/>
      <c r="G854" s="34"/>
      <c r="H854" s="65"/>
      <c r="I854" s="105"/>
      <c r="J854" s="34"/>
      <c r="K854" s="34"/>
      <c r="L854" s="34"/>
      <c r="M854" s="188"/>
      <c r="N854" s="188"/>
      <c r="O854" s="188"/>
      <c r="P854" s="34"/>
      <c r="Q854" s="304"/>
      <c r="R854" s="34"/>
      <c r="S854" s="34"/>
      <c r="T854" s="34"/>
      <c r="U854" s="105"/>
      <c r="V854" s="105"/>
    </row>
    <row r="855" spans="1:22" ht="12.75">
      <c r="A855" s="309"/>
      <c r="B855" s="309"/>
      <c r="C855" s="34"/>
      <c r="D855" s="34"/>
      <c r="E855" s="35"/>
      <c r="F855" s="34"/>
      <c r="G855" s="34"/>
      <c r="H855" s="65"/>
      <c r="I855" s="105"/>
      <c r="J855" s="34"/>
      <c r="K855" s="34"/>
      <c r="L855" s="34"/>
      <c r="M855" s="188"/>
      <c r="N855" s="188"/>
      <c r="O855" s="188"/>
      <c r="P855" s="34"/>
      <c r="Q855" s="304"/>
      <c r="R855" s="34"/>
      <c r="S855" s="34"/>
      <c r="T855" s="34"/>
      <c r="U855" s="105"/>
      <c r="V855" s="105"/>
    </row>
    <row r="856" spans="1:22" ht="12.75">
      <c r="A856" s="309"/>
      <c r="B856" s="309"/>
      <c r="C856" s="34"/>
      <c r="D856" s="34"/>
      <c r="E856" s="35"/>
      <c r="F856" s="34"/>
      <c r="G856" s="34"/>
      <c r="H856" s="65"/>
      <c r="I856" s="105"/>
      <c r="J856" s="34"/>
      <c r="K856" s="34"/>
      <c r="L856" s="34"/>
      <c r="M856" s="188"/>
      <c r="N856" s="188"/>
      <c r="O856" s="188"/>
      <c r="P856" s="34"/>
      <c r="Q856" s="304"/>
      <c r="R856" s="34"/>
      <c r="S856" s="34"/>
      <c r="T856" s="34"/>
      <c r="U856" s="105"/>
      <c r="V856" s="105"/>
    </row>
    <row r="857" spans="1:22" ht="12.75">
      <c r="A857" s="309"/>
      <c r="B857" s="309"/>
      <c r="C857" s="34"/>
      <c r="D857" s="34"/>
      <c r="E857" s="35"/>
      <c r="F857" s="34"/>
      <c r="G857" s="34"/>
      <c r="H857" s="65"/>
      <c r="I857" s="105"/>
      <c r="J857" s="34"/>
      <c r="K857" s="34"/>
      <c r="L857" s="34"/>
      <c r="M857" s="188"/>
      <c r="N857" s="188"/>
      <c r="O857" s="188"/>
      <c r="P857" s="34"/>
      <c r="Q857" s="304"/>
      <c r="R857" s="34"/>
      <c r="S857" s="34"/>
      <c r="T857" s="34"/>
      <c r="U857" s="105"/>
      <c r="V857" s="105"/>
    </row>
    <row r="858" spans="1:22" ht="12.75">
      <c r="A858" s="309"/>
      <c r="B858" s="309"/>
      <c r="C858" s="34"/>
      <c r="D858" s="34"/>
      <c r="E858" s="35"/>
      <c r="F858" s="34"/>
      <c r="G858" s="34"/>
      <c r="H858" s="65"/>
      <c r="I858" s="105"/>
      <c r="J858" s="34"/>
      <c r="K858" s="34"/>
      <c r="L858" s="34"/>
      <c r="M858" s="188"/>
      <c r="N858" s="188"/>
      <c r="O858" s="188"/>
      <c r="P858" s="34"/>
      <c r="Q858" s="304"/>
      <c r="R858" s="34"/>
      <c r="S858" s="34"/>
      <c r="T858" s="34"/>
      <c r="U858" s="105"/>
      <c r="V858" s="105"/>
    </row>
    <row r="859" spans="1:22" ht="12.75">
      <c r="A859" s="309"/>
      <c r="B859" s="309"/>
      <c r="C859" s="34"/>
      <c r="D859" s="34"/>
      <c r="E859" s="35"/>
      <c r="F859" s="34"/>
      <c r="G859" s="34"/>
      <c r="H859" s="65"/>
      <c r="I859" s="105"/>
      <c r="J859" s="34"/>
      <c r="K859" s="34"/>
      <c r="L859" s="34"/>
      <c r="M859" s="188"/>
      <c r="N859" s="188"/>
      <c r="O859" s="188"/>
      <c r="P859" s="34"/>
      <c r="Q859" s="304"/>
      <c r="R859" s="34"/>
      <c r="S859" s="34"/>
      <c r="T859" s="34"/>
      <c r="U859" s="105"/>
      <c r="V859" s="105"/>
    </row>
    <row r="860" spans="1:22" ht="12.75">
      <c r="A860" s="309"/>
      <c r="B860" s="309"/>
      <c r="C860" s="34"/>
      <c r="D860" s="34"/>
      <c r="E860" s="35"/>
      <c r="F860" s="34"/>
      <c r="G860" s="34"/>
      <c r="H860" s="65"/>
      <c r="I860" s="105"/>
      <c r="J860" s="34"/>
      <c r="K860" s="34"/>
      <c r="L860" s="34"/>
      <c r="M860" s="188"/>
      <c r="N860" s="188"/>
      <c r="O860" s="188"/>
      <c r="P860" s="34"/>
      <c r="Q860" s="304"/>
      <c r="R860" s="34"/>
      <c r="S860" s="34"/>
      <c r="T860" s="34"/>
      <c r="U860" s="105"/>
      <c r="V860" s="105"/>
    </row>
    <row r="861" spans="1:22" ht="12.75">
      <c r="A861" s="309"/>
      <c r="B861" s="309"/>
      <c r="C861" s="34"/>
      <c r="D861" s="34"/>
      <c r="E861" s="35"/>
      <c r="F861" s="34"/>
      <c r="G861" s="34"/>
      <c r="H861" s="65"/>
      <c r="I861" s="105"/>
      <c r="J861" s="34"/>
      <c r="K861" s="34"/>
      <c r="L861" s="34"/>
      <c r="M861" s="188"/>
      <c r="N861" s="188"/>
      <c r="O861" s="188"/>
      <c r="P861" s="34"/>
      <c r="Q861" s="304"/>
      <c r="R861" s="34"/>
      <c r="S861" s="34"/>
      <c r="T861" s="34"/>
      <c r="U861" s="105"/>
      <c r="V861" s="105"/>
    </row>
    <row r="862" spans="1:22" ht="12.75">
      <c r="A862" s="309"/>
      <c r="B862" s="309"/>
      <c r="C862" s="34"/>
      <c r="D862" s="34"/>
      <c r="E862" s="35"/>
      <c r="F862" s="34"/>
      <c r="G862" s="34"/>
      <c r="H862" s="65"/>
      <c r="I862" s="105"/>
      <c r="J862" s="34"/>
      <c r="K862" s="34"/>
      <c r="L862" s="34"/>
      <c r="M862" s="188"/>
      <c r="N862" s="188"/>
      <c r="O862" s="188"/>
      <c r="P862" s="34"/>
      <c r="Q862" s="304"/>
      <c r="R862" s="34"/>
      <c r="S862" s="34"/>
      <c r="T862" s="34"/>
      <c r="U862" s="105"/>
      <c r="V862" s="105"/>
    </row>
    <row r="863" spans="1:22" ht="12.75">
      <c r="A863" s="309"/>
      <c r="B863" s="309"/>
      <c r="C863" s="34"/>
      <c r="D863" s="34"/>
      <c r="E863" s="35"/>
      <c r="F863" s="34"/>
      <c r="G863" s="34"/>
      <c r="H863" s="65"/>
      <c r="I863" s="105"/>
      <c r="J863" s="34"/>
      <c r="K863" s="34"/>
      <c r="L863" s="34"/>
      <c r="M863" s="188"/>
      <c r="N863" s="188"/>
      <c r="O863" s="188"/>
      <c r="P863" s="34"/>
      <c r="Q863" s="304"/>
      <c r="R863" s="34"/>
      <c r="S863" s="34"/>
      <c r="T863" s="34"/>
      <c r="U863" s="105"/>
      <c r="V863" s="105"/>
    </row>
    <row r="864" spans="1:22" ht="12.75">
      <c r="A864" s="309"/>
      <c r="B864" s="309"/>
      <c r="C864" s="34"/>
      <c r="D864" s="34"/>
      <c r="E864" s="35"/>
      <c r="F864" s="34"/>
      <c r="G864" s="34"/>
      <c r="H864" s="65"/>
      <c r="I864" s="105"/>
      <c r="J864" s="34"/>
      <c r="K864" s="34"/>
      <c r="L864" s="34"/>
      <c r="M864" s="188"/>
      <c r="N864" s="188"/>
      <c r="O864" s="188"/>
      <c r="P864" s="34"/>
      <c r="Q864" s="304"/>
      <c r="R864" s="34"/>
      <c r="S864" s="34"/>
      <c r="T864" s="34"/>
      <c r="U864" s="105"/>
      <c r="V864" s="105"/>
    </row>
    <row r="865" spans="1:22" ht="12.75">
      <c r="A865" s="309"/>
      <c r="B865" s="309"/>
      <c r="C865" s="34"/>
      <c r="D865" s="34"/>
      <c r="E865" s="35"/>
      <c r="F865" s="34"/>
      <c r="G865" s="34"/>
      <c r="H865" s="65"/>
      <c r="I865" s="105"/>
      <c r="J865" s="34"/>
      <c r="K865" s="34"/>
      <c r="L865" s="34"/>
      <c r="M865" s="188"/>
      <c r="N865" s="188"/>
      <c r="O865" s="188"/>
      <c r="P865" s="34"/>
      <c r="Q865" s="304"/>
      <c r="R865" s="34"/>
      <c r="S865" s="34"/>
      <c r="T865" s="34"/>
      <c r="U865" s="105"/>
      <c r="V865" s="105"/>
    </row>
    <row r="866" spans="1:22" ht="12.75">
      <c r="A866" s="309"/>
      <c r="B866" s="309"/>
      <c r="C866" s="34"/>
      <c r="D866" s="34"/>
      <c r="E866" s="35"/>
      <c r="F866" s="34"/>
      <c r="G866" s="34"/>
      <c r="H866" s="65"/>
      <c r="I866" s="105"/>
      <c r="J866" s="34"/>
      <c r="K866" s="34"/>
      <c r="L866" s="34"/>
      <c r="M866" s="188"/>
      <c r="N866" s="188"/>
      <c r="O866" s="188"/>
      <c r="P866" s="34"/>
      <c r="Q866" s="304"/>
      <c r="R866" s="34"/>
      <c r="S866" s="34"/>
      <c r="T866" s="34"/>
      <c r="U866" s="105"/>
      <c r="V866" s="105"/>
    </row>
    <row r="867" spans="1:22" ht="12.75">
      <c r="A867" s="309"/>
      <c r="B867" s="309"/>
      <c r="C867" s="34"/>
      <c r="D867" s="34"/>
      <c r="E867" s="35"/>
      <c r="F867" s="34"/>
      <c r="G867" s="34"/>
      <c r="H867" s="65"/>
      <c r="I867" s="105"/>
      <c r="J867" s="34"/>
      <c r="K867" s="34"/>
      <c r="L867" s="34"/>
      <c r="M867" s="188"/>
      <c r="N867" s="188"/>
      <c r="O867" s="188"/>
      <c r="P867" s="34"/>
      <c r="Q867" s="304"/>
      <c r="R867" s="34"/>
      <c r="S867" s="34"/>
      <c r="T867" s="34"/>
      <c r="U867" s="105"/>
      <c r="V867" s="105"/>
    </row>
    <row r="868" spans="1:22" ht="12.75">
      <c r="A868" s="309"/>
      <c r="B868" s="309"/>
      <c r="C868" s="34"/>
      <c r="D868" s="34"/>
      <c r="E868" s="35"/>
      <c r="F868" s="34"/>
      <c r="G868" s="34"/>
      <c r="H868" s="65"/>
      <c r="I868" s="105"/>
      <c r="J868" s="34"/>
      <c r="K868" s="34"/>
      <c r="L868" s="34"/>
      <c r="M868" s="188"/>
      <c r="N868" s="188"/>
      <c r="O868" s="188"/>
      <c r="P868" s="34"/>
      <c r="Q868" s="304"/>
      <c r="R868" s="34"/>
      <c r="S868" s="34"/>
      <c r="T868" s="34"/>
      <c r="U868" s="105"/>
      <c r="V868" s="105"/>
    </row>
    <row r="869" spans="1:22" ht="12.75">
      <c r="A869" s="309"/>
      <c r="B869" s="309"/>
      <c r="C869" s="34"/>
      <c r="D869" s="34"/>
      <c r="E869" s="35"/>
      <c r="F869" s="34"/>
      <c r="G869" s="34"/>
      <c r="H869" s="65"/>
      <c r="I869" s="105"/>
      <c r="J869" s="34"/>
      <c r="K869" s="34"/>
      <c r="L869" s="34"/>
      <c r="M869" s="188"/>
      <c r="N869" s="188"/>
      <c r="O869" s="188"/>
      <c r="P869" s="34"/>
      <c r="Q869" s="304"/>
      <c r="R869" s="34"/>
      <c r="S869" s="34"/>
      <c r="T869" s="34"/>
      <c r="U869" s="105"/>
      <c r="V869" s="105"/>
    </row>
    <row r="870" spans="1:22" ht="12.75">
      <c r="A870" s="309"/>
      <c r="B870" s="309"/>
      <c r="C870" s="34"/>
      <c r="D870" s="34"/>
      <c r="E870" s="35"/>
      <c r="F870" s="34"/>
      <c r="G870" s="34"/>
      <c r="H870" s="65"/>
      <c r="I870" s="105"/>
      <c r="J870" s="34"/>
      <c r="K870" s="34"/>
      <c r="L870" s="34"/>
      <c r="M870" s="188"/>
      <c r="N870" s="188"/>
      <c r="O870" s="188"/>
      <c r="P870" s="34"/>
      <c r="Q870" s="304"/>
      <c r="R870" s="34"/>
      <c r="S870" s="34"/>
      <c r="T870" s="34"/>
      <c r="U870" s="105"/>
      <c r="V870" s="105"/>
    </row>
    <row r="871" spans="1:22" ht="12.75">
      <c r="A871" s="309"/>
      <c r="B871" s="309"/>
      <c r="C871" s="34"/>
      <c r="D871" s="34"/>
      <c r="E871" s="35"/>
      <c r="F871" s="34"/>
      <c r="G871" s="34"/>
      <c r="H871" s="65"/>
      <c r="I871" s="105"/>
      <c r="J871" s="34"/>
      <c r="K871" s="34"/>
      <c r="L871" s="34"/>
      <c r="M871" s="188"/>
      <c r="N871" s="188"/>
      <c r="O871" s="188"/>
      <c r="P871" s="34"/>
      <c r="Q871" s="304"/>
      <c r="R871" s="34"/>
      <c r="S871" s="34"/>
      <c r="T871" s="34"/>
      <c r="U871" s="105"/>
      <c r="V871" s="105"/>
    </row>
    <row r="872" spans="1:22" ht="12.75">
      <c r="A872" s="309"/>
      <c r="B872" s="309"/>
      <c r="C872" s="34"/>
      <c r="D872" s="34"/>
      <c r="E872" s="35"/>
      <c r="F872" s="34"/>
      <c r="G872" s="34"/>
      <c r="H872" s="65"/>
      <c r="I872" s="105"/>
      <c r="J872" s="34"/>
      <c r="K872" s="34"/>
      <c r="L872" s="34"/>
      <c r="M872" s="188"/>
      <c r="N872" s="188"/>
      <c r="O872" s="188"/>
      <c r="P872" s="34"/>
      <c r="Q872" s="304"/>
      <c r="R872" s="34"/>
      <c r="S872" s="34"/>
      <c r="T872" s="34"/>
      <c r="U872" s="105"/>
      <c r="V872" s="105"/>
    </row>
    <row r="873" spans="1:22" ht="12.75">
      <c r="A873" s="309"/>
      <c r="B873" s="309"/>
      <c r="C873" s="34"/>
      <c r="D873" s="34"/>
      <c r="E873" s="35"/>
      <c r="F873" s="34"/>
      <c r="G873" s="34"/>
      <c r="H873" s="65"/>
      <c r="I873" s="105"/>
      <c r="J873" s="34"/>
      <c r="K873" s="34"/>
      <c r="L873" s="34"/>
      <c r="M873" s="188"/>
      <c r="N873" s="188"/>
      <c r="O873" s="188"/>
      <c r="P873" s="34"/>
      <c r="Q873" s="304"/>
      <c r="R873" s="34"/>
      <c r="S873" s="34"/>
      <c r="T873" s="34"/>
      <c r="U873" s="105"/>
      <c r="V873" s="105"/>
    </row>
    <row r="874" spans="1:22" ht="12.75">
      <c r="A874" s="309"/>
      <c r="B874" s="309"/>
      <c r="C874" s="34"/>
      <c r="D874" s="34"/>
      <c r="E874" s="35"/>
      <c r="F874" s="34"/>
      <c r="G874" s="34"/>
      <c r="H874" s="65"/>
      <c r="I874" s="105"/>
      <c r="J874" s="34"/>
      <c r="K874" s="34"/>
      <c r="L874" s="34"/>
      <c r="M874" s="188"/>
      <c r="N874" s="188"/>
      <c r="O874" s="188"/>
      <c r="P874" s="34"/>
      <c r="Q874" s="304"/>
      <c r="R874" s="34"/>
      <c r="S874" s="34"/>
      <c r="T874" s="34"/>
      <c r="U874" s="105"/>
      <c r="V874" s="105"/>
    </row>
    <row r="875" spans="1:22" ht="12.75">
      <c r="A875" s="309"/>
      <c r="B875" s="309"/>
      <c r="C875" s="34"/>
      <c r="D875" s="34"/>
      <c r="E875" s="35"/>
      <c r="F875" s="34"/>
      <c r="G875" s="34"/>
      <c r="H875" s="65"/>
      <c r="I875" s="105"/>
      <c r="J875" s="34"/>
      <c r="K875" s="34"/>
      <c r="L875" s="34"/>
      <c r="M875" s="188"/>
      <c r="N875" s="188"/>
      <c r="O875" s="188"/>
      <c r="P875" s="34"/>
      <c r="Q875" s="304"/>
      <c r="R875" s="34"/>
      <c r="S875" s="34"/>
      <c r="T875" s="34"/>
      <c r="U875" s="105"/>
      <c r="V875" s="105"/>
    </row>
    <row r="876" spans="1:22" ht="12.75">
      <c r="A876" s="309"/>
      <c r="B876" s="309"/>
      <c r="C876" s="34"/>
      <c r="D876" s="34"/>
      <c r="E876" s="35"/>
      <c r="F876" s="34"/>
      <c r="G876" s="34"/>
      <c r="H876" s="65"/>
      <c r="I876" s="105"/>
      <c r="J876" s="34"/>
      <c r="K876" s="34"/>
      <c r="L876" s="34"/>
      <c r="M876" s="188"/>
      <c r="N876" s="188"/>
      <c r="O876" s="188"/>
      <c r="P876" s="34"/>
      <c r="Q876" s="304"/>
      <c r="R876" s="34"/>
      <c r="S876" s="34"/>
      <c r="T876" s="34"/>
      <c r="U876" s="105"/>
      <c r="V876" s="105"/>
    </row>
    <row r="877" spans="1:22" ht="12.75">
      <c r="A877" s="309"/>
      <c r="B877" s="309"/>
      <c r="C877" s="34"/>
      <c r="D877" s="34"/>
      <c r="E877" s="35"/>
      <c r="F877" s="34"/>
      <c r="G877" s="34"/>
      <c r="H877" s="65"/>
      <c r="I877" s="105"/>
      <c r="J877" s="34"/>
      <c r="K877" s="34"/>
      <c r="L877" s="34"/>
      <c r="M877" s="188"/>
      <c r="N877" s="188"/>
      <c r="O877" s="188"/>
      <c r="P877" s="34"/>
      <c r="Q877" s="304"/>
      <c r="R877" s="34"/>
      <c r="S877" s="34"/>
      <c r="T877" s="34"/>
      <c r="U877" s="105"/>
      <c r="V877" s="105"/>
    </row>
    <row r="878" spans="1:22" ht="12.75">
      <c r="A878" s="309"/>
      <c r="B878" s="309"/>
      <c r="C878" s="34"/>
      <c r="D878" s="34"/>
      <c r="E878" s="35"/>
      <c r="F878" s="34"/>
      <c r="G878" s="34"/>
      <c r="H878" s="65"/>
      <c r="I878" s="105"/>
      <c r="J878" s="34"/>
      <c r="K878" s="34"/>
      <c r="L878" s="34"/>
      <c r="M878" s="188"/>
      <c r="N878" s="188"/>
      <c r="O878" s="188"/>
      <c r="P878" s="34"/>
      <c r="Q878" s="304"/>
      <c r="R878" s="34"/>
      <c r="S878" s="34"/>
      <c r="T878" s="34"/>
      <c r="U878" s="105"/>
      <c r="V878" s="105"/>
    </row>
    <row r="879" spans="1:22" ht="12.75">
      <c r="A879" s="309"/>
      <c r="B879" s="309"/>
      <c r="C879" s="34"/>
      <c r="D879" s="34"/>
      <c r="E879" s="35"/>
      <c r="F879" s="34"/>
      <c r="G879" s="34"/>
      <c r="H879" s="65"/>
      <c r="I879" s="105"/>
      <c r="J879" s="34"/>
      <c r="K879" s="34"/>
      <c r="L879" s="34"/>
      <c r="M879" s="188"/>
      <c r="N879" s="188"/>
      <c r="O879" s="188"/>
      <c r="P879" s="34"/>
      <c r="Q879" s="304"/>
      <c r="R879" s="34"/>
      <c r="S879" s="34"/>
      <c r="T879" s="34"/>
      <c r="U879" s="105"/>
      <c r="V879" s="105"/>
    </row>
  </sheetData>
  <customSheetViews>
    <customSheetView guid="{54124929-EE60-443F-B392-D879CA063A10}" filter="1" showAutoFilter="1">
      <pageMargins left="0.7" right="0.7" top="0.75" bottom="0.75" header="0.3" footer="0.3"/>
      <autoFilter ref="A1:N879" xr:uid="{1CE191B7-FD51-4643-B541-F16320689336}"/>
    </customSheetView>
  </customSheetViews>
  <dataValidations count="1">
    <dataValidation type="list" allowBlank="1" showErrorMessage="1" sqref="R2:R40 Q41 S42 R43:R276" xr:uid="{00000000-0002-0000-0D00-000000000000}">
      <formula1>"N/A,FEMALE,MALE"</formula1>
    </dataValidation>
  </dataValidations>
  <hyperlinks>
    <hyperlink ref="P2" r:id="rId1" xr:uid="{00000000-0004-0000-0D00-000000000000}"/>
    <hyperlink ref="P4" r:id="rId2" xr:uid="{00000000-0004-0000-0D00-000001000000}"/>
    <hyperlink ref="P5" r:id="rId3" xr:uid="{00000000-0004-0000-0D00-000002000000}"/>
    <hyperlink ref="P6" r:id="rId4" xr:uid="{00000000-0004-0000-0D00-000003000000}"/>
    <hyperlink ref="P7" r:id="rId5" xr:uid="{00000000-0004-0000-0D00-000004000000}"/>
    <hyperlink ref="P8" r:id="rId6" xr:uid="{00000000-0004-0000-0D00-000005000000}"/>
    <hyperlink ref="P9" r:id="rId7" xr:uid="{00000000-0004-0000-0D00-000006000000}"/>
    <hyperlink ref="P10" r:id="rId8" xr:uid="{00000000-0004-0000-0D00-000007000000}"/>
    <hyperlink ref="P11" r:id="rId9" xr:uid="{00000000-0004-0000-0D00-000008000000}"/>
    <hyperlink ref="P13" r:id="rId10" xr:uid="{00000000-0004-0000-0D00-000009000000}"/>
    <hyperlink ref="P14" r:id="rId11" xr:uid="{00000000-0004-0000-0D00-00000A000000}"/>
    <hyperlink ref="P15" r:id="rId12" xr:uid="{00000000-0004-0000-0D00-00000B000000}"/>
    <hyperlink ref="P16" r:id="rId13" xr:uid="{00000000-0004-0000-0D00-00000C000000}"/>
    <hyperlink ref="P17" r:id="rId14" xr:uid="{00000000-0004-0000-0D00-00000D000000}"/>
    <hyperlink ref="P18" r:id="rId15" xr:uid="{00000000-0004-0000-0D00-00000E000000}"/>
    <hyperlink ref="P19" r:id="rId16" xr:uid="{00000000-0004-0000-0D00-00000F000000}"/>
    <hyperlink ref="P20" r:id="rId17" xr:uid="{00000000-0004-0000-0D00-000010000000}"/>
    <hyperlink ref="P21" r:id="rId18" xr:uid="{00000000-0004-0000-0D00-000011000000}"/>
    <hyperlink ref="P22" r:id="rId19" xr:uid="{00000000-0004-0000-0D00-000012000000}"/>
    <hyperlink ref="P25" r:id="rId20" xr:uid="{00000000-0004-0000-0D00-000013000000}"/>
    <hyperlink ref="P26" r:id="rId21" xr:uid="{00000000-0004-0000-0D00-000014000000}"/>
    <hyperlink ref="P27" r:id="rId22" xr:uid="{00000000-0004-0000-0D00-000015000000}"/>
    <hyperlink ref="P28" r:id="rId23" xr:uid="{00000000-0004-0000-0D00-000016000000}"/>
    <hyperlink ref="P29" r:id="rId24" xr:uid="{00000000-0004-0000-0D00-000017000000}"/>
    <hyperlink ref="P31" r:id="rId25" xr:uid="{00000000-0004-0000-0D00-000018000000}"/>
    <hyperlink ref="P32" r:id="rId26" xr:uid="{00000000-0004-0000-0D00-000019000000}"/>
    <hyperlink ref="P33" r:id="rId27" xr:uid="{00000000-0004-0000-0D00-00001A000000}"/>
    <hyperlink ref="P34" r:id="rId28" xr:uid="{00000000-0004-0000-0D00-00001B000000}"/>
    <hyperlink ref="P35" r:id="rId29" xr:uid="{00000000-0004-0000-0D00-00001C000000}"/>
  </hyperlinks>
  <printOptions horizontalCentered="1" gridLines="1"/>
  <pageMargins left="0.7" right="0.7" top="0.75" bottom="0.75" header="0" footer="0"/>
  <pageSetup paperSize="9"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X89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outlineLevelCol="1"/>
  <cols>
    <col min="1" max="1" width="15.140625" customWidth="1"/>
    <col min="2" max="2" width="1.5703125" customWidth="1"/>
    <col min="3" max="3" width="23.5703125" customWidth="1"/>
    <col min="4" max="4" width="30.7109375" customWidth="1"/>
    <col min="5" max="5" width="17.42578125" customWidth="1"/>
    <col min="6" max="6" width="15.7109375" customWidth="1"/>
    <col min="7" max="8" width="17.42578125" customWidth="1"/>
    <col min="9" max="9" width="32.28515625" customWidth="1"/>
    <col min="10" max="10" width="12.85546875" customWidth="1"/>
    <col min="11" max="11" width="20" customWidth="1"/>
    <col min="12" max="12" width="30.7109375" customWidth="1" outlineLevel="1"/>
    <col min="14" max="14" width="29.85546875" customWidth="1"/>
    <col min="15" max="15" width="28.85546875" customWidth="1"/>
    <col min="16" max="16" width="25.85546875" hidden="1" customWidth="1"/>
    <col min="17" max="17" width="27.5703125" hidden="1" customWidth="1"/>
    <col min="18" max="19" width="17.42578125" hidden="1" customWidth="1"/>
    <col min="20" max="20" width="25.42578125" hidden="1" customWidth="1"/>
    <col min="21" max="21" width="12.5703125" hidden="1"/>
    <col min="22" max="22" width="14.85546875" hidden="1" customWidth="1"/>
    <col min="23" max="23" width="34.42578125" hidden="1" customWidth="1"/>
    <col min="24" max="24" width="14.5703125" hidden="1" customWidth="1"/>
  </cols>
  <sheetData>
    <row r="1" spans="1:24" ht="165.75" hidden="1">
      <c r="A1" s="317" t="s">
        <v>5638</v>
      </c>
      <c r="B1" s="270" t="s">
        <v>2</v>
      </c>
      <c r="C1" s="271" t="s">
        <v>5892</v>
      </c>
      <c r="D1" s="318" t="s">
        <v>5630</v>
      </c>
      <c r="E1" s="271" t="s">
        <v>389</v>
      </c>
      <c r="F1" s="271" t="s">
        <v>4</v>
      </c>
      <c r="G1" s="271" t="s">
        <v>5893</v>
      </c>
      <c r="H1" s="272" t="s">
        <v>5</v>
      </c>
      <c r="I1" s="271" t="s">
        <v>6</v>
      </c>
      <c r="J1" s="271" t="s">
        <v>7</v>
      </c>
      <c r="K1" s="273" t="s">
        <v>5627</v>
      </c>
      <c r="L1" s="271" t="s">
        <v>8</v>
      </c>
      <c r="M1" s="271" t="s">
        <v>1821</v>
      </c>
      <c r="N1" s="271" t="s">
        <v>5305</v>
      </c>
      <c r="O1" s="271" t="s">
        <v>1822</v>
      </c>
      <c r="P1" s="271" t="s">
        <v>5894</v>
      </c>
      <c r="Q1" s="271" t="s">
        <v>5630</v>
      </c>
      <c r="R1" s="271" t="s">
        <v>5631</v>
      </c>
      <c r="S1" s="271" t="s">
        <v>5632</v>
      </c>
      <c r="T1" s="271" t="s">
        <v>1820</v>
      </c>
      <c r="U1" s="319" t="s">
        <v>5633</v>
      </c>
      <c r="V1" s="271" t="s">
        <v>1818</v>
      </c>
      <c r="W1" s="274" t="s">
        <v>5634</v>
      </c>
      <c r="X1" s="274" t="s">
        <v>5628</v>
      </c>
    </row>
    <row r="2" spans="1:24" ht="140.25" hidden="1">
      <c r="A2" s="276" t="s">
        <v>997</v>
      </c>
      <c r="B2" s="243" t="s">
        <v>5514</v>
      </c>
      <c r="C2" s="22"/>
      <c r="D2" s="320" t="s">
        <v>5895</v>
      </c>
      <c r="E2" s="6" t="s">
        <v>5509</v>
      </c>
      <c r="F2" s="6" t="s">
        <v>1862</v>
      </c>
      <c r="G2" s="7"/>
      <c r="H2" s="7">
        <v>44937</v>
      </c>
      <c r="I2" s="6" t="s">
        <v>5515</v>
      </c>
      <c r="J2" s="6" t="s">
        <v>1419</v>
      </c>
      <c r="K2" s="8">
        <v>995600</v>
      </c>
      <c r="L2" s="220"/>
      <c r="M2" s="220" t="s">
        <v>1828</v>
      </c>
      <c r="N2" s="22"/>
      <c r="O2" s="22" t="s">
        <v>5896</v>
      </c>
      <c r="P2" s="52"/>
      <c r="Q2" s="52"/>
      <c r="R2" s="6" t="s">
        <v>1808</v>
      </c>
      <c r="S2" s="6" t="s">
        <v>1808</v>
      </c>
      <c r="T2" s="6"/>
      <c r="U2" s="6" t="s">
        <v>82</v>
      </c>
      <c r="V2" s="6"/>
      <c r="W2" s="54"/>
      <c r="X2" s="54"/>
    </row>
    <row r="3" spans="1:24" ht="255" hidden="1">
      <c r="A3" s="276" t="s">
        <v>129</v>
      </c>
      <c r="B3" s="243" t="s">
        <v>5516</v>
      </c>
      <c r="C3" s="22"/>
      <c r="D3" s="321" t="s">
        <v>5897</v>
      </c>
      <c r="E3" s="6" t="s">
        <v>5509</v>
      </c>
      <c r="F3" s="6" t="s">
        <v>1549</v>
      </c>
      <c r="G3" s="7"/>
      <c r="H3" s="7">
        <v>44951</v>
      </c>
      <c r="I3" s="6" t="s">
        <v>1418</v>
      </c>
      <c r="J3" s="6" t="s">
        <v>1419</v>
      </c>
      <c r="K3" s="8">
        <v>1835300</v>
      </c>
      <c r="L3" s="220"/>
      <c r="M3" s="220" t="s">
        <v>1828</v>
      </c>
      <c r="N3" s="22"/>
      <c r="O3" s="22" t="s">
        <v>5898</v>
      </c>
      <c r="P3" s="52"/>
      <c r="Q3" s="52"/>
      <c r="R3" s="6" t="s">
        <v>1808</v>
      </c>
      <c r="S3" s="6" t="s">
        <v>1808</v>
      </c>
      <c r="T3" s="6"/>
      <c r="U3" s="6" t="s">
        <v>82</v>
      </c>
      <c r="V3" s="6"/>
      <c r="W3" s="54"/>
      <c r="X3" s="54"/>
    </row>
    <row r="4" spans="1:24" ht="89.25" hidden="1">
      <c r="A4" s="276" t="s">
        <v>129</v>
      </c>
      <c r="B4" s="243" t="s">
        <v>5517</v>
      </c>
      <c r="C4" s="52"/>
      <c r="D4" s="321" t="s">
        <v>5899</v>
      </c>
      <c r="E4" s="6" t="s">
        <v>2406</v>
      </c>
      <c r="F4" s="6" t="s">
        <v>62</v>
      </c>
      <c r="G4" s="7"/>
      <c r="H4" s="7">
        <v>44951</v>
      </c>
      <c r="I4" s="6" t="s">
        <v>5518</v>
      </c>
      <c r="J4" s="6" t="s">
        <v>5519</v>
      </c>
      <c r="K4" s="225" t="s">
        <v>1808</v>
      </c>
      <c r="L4" s="6" t="s">
        <v>5900</v>
      </c>
      <c r="M4" s="6"/>
      <c r="N4" s="52"/>
      <c r="O4" s="52"/>
      <c r="P4" s="52"/>
      <c r="Q4" s="52"/>
      <c r="R4" s="179"/>
      <c r="S4" s="6"/>
      <c r="T4" s="6"/>
      <c r="U4" s="6" t="s">
        <v>1904</v>
      </c>
      <c r="V4" s="6"/>
      <c r="W4" s="54"/>
      <c r="X4" s="54"/>
    </row>
    <row r="5" spans="1:24" ht="395.25" hidden="1">
      <c r="A5" s="243" t="s">
        <v>129</v>
      </c>
      <c r="B5" s="322" t="s">
        <v>5325</v>
      </c>
      <c r="C5" s="6" t="s">
        <v>5901</v>
      </c>
      <c r="D5" s="323" t="s">
        <v>5902</v>
      </c>
      <c r="E5" s="6" t="s">
        <v>61</v>
      </c>
      <c r="F5" s="6" t="s">
        <v>62</v>
      </c>
      <c r="G5" s="7"/>
      <c r="H5" s="7">
        <v>44965</v>
      </c>
      <c r="I5" s="6" t="s">
        <v>1031</v>
      </c>
      <c r="J5" s="210" t="s">
        <v>1032</v>
      </c>
      <c r="K5" s="30">
        <v>380000</v>
      </c>
      <c r="L5" s="6" t="s">
        <v>5903</v>
      </c>
      <c r="M5" s="6"/>
      <c r="N5" s="22"/>
      <c r="O5" s="22" t="s">
        <v>5904</v>
      </c>
      <c r="P5" s="52"/>
      <c r="Q5" s="52"/>
      <c r="R5" s="179"/>
      <c r="S5" s="6"/>
      <c r="T5" s="6"/>
      <c r="U5" s="6" t="s">
        <v>1904</v>
      </c>
      <c r="V5" s="6"/>
      <c r="W5" s="54"/>
      <c r="X5" s="54"/>
    </row>
    <row r="6" spans="1:24" ht="89.25" hidden="1">
      <c r="A6" s="243" t="s">
        <v>129</v>
      </c>
      <c r="B6" s="324" t="s">
        <v>5520</v>
      </c>
      <c r="C6" s="325" t="s">
        <v>5905</v>
      </c>
      <c r="D6" s="326"/>
      <c r="E6" s="325"/>
      <c r="F6" s="325"/>
      <c r="G6" s="327"/>
      <c r="H6" s="327"/>
      <c r="I6" s="325" t="s">
        <v>2232</v>
      </c>
      <c r="J6" s="325" t="s">
        <v>5521</v>
      </c>
      <c r="K6" s="328"/>
      <c r="L6" s="325"/>
      <c r="M6" s="325"/>
      <c r="N6" s="329"/>
      <c r="O6" s="329"/>
      <c r="P6" s="330"/>
      <c r="Q6" s="330"/>
      <c r="R6" s="331"/>
      <c r="S6" s="325"/>
      <c r="T6" s="325"/>
      <c r="U6" s="325"/>
      <c r="V6" s="325"/>
      <c r="W6" s="332"/>
      <c r="X6" s="332"/>
    </row>
    <row r="7" spans="1:24" ht="165.75" hidden="1">
      <c r="A7" s="243" t="s">
        <v>129</v>
      </c>
      <c r="B7" s="322" t="s">
        <v>5522</v>
      </c>
      <c r="C7" s="6" t="s">
        <v>5901</v>
      </c>
      <c r="D7" s="333" t="s">
        <v>5906</v>
      </c>
      <c r="E7" s="220" t="s">
        <v>61</v>
      </c>
      <c r="F7" s="6" t="s">
        <v>5523</v>
      </c>
      <c r="G7" s="334"/>
      <c r="H7" s="334">
        <v>44965</v>
      </c>
      <c r="I7" s="29" t="s">
        <v>1421</v>
      </c>
      <c r="J7" s="29" t="s">
        <v>1419</v>
      </c>
      <c r="K7" s="225">
        <v>1500000</v>
      </c>
      <c r="L7" s="220"/>
      <c r="M7" s="220" t="s">
        <v>1828</v>
      </c>
      <c r="N7" s="22"/>
      <c r="O7" s="22" t="s">
        <v>5907</v>
      </c>
      <c r="P7" s="52"/>
      <c r="Q7" s="52"/>
      <c r="R7" s="6" t="s">
        <v>1808</v>
      </c>
      <c r="S7" s="6" t="s">
        <v>1808</v>
      </c>
      <c r="T7" s="220"/>
      <c r="U7" s="220" t="s">
        <v>82</v>
      </c>
      <c r="V7" s="6"/>
      <c r="W7" s="284"/>
      <c r="X7" s="54"/>
    </row>
    <row r="8" spans="1:24" ht="89.25" hidden="1">
      <c r="A8" s="243" t="s">
        <v>129</v>
      </c>
      <c r="B8" s="322" t="s">
        <v>5524</v>
      </c>
      <c r="C8" s="282"/>
      <c r="D8" s="323" t="s">
        <v>5908</v>
      </c>
      <c r="E8" s="220" t="s">
        <v>1867</v>
      </c>
      <c r="F8" s="220" t="s">
        <v>62</v>
      </c>
      <c r="G8" s="221"/>
      <c r="H8" s="221"/>
      <c r="I8" s="29" t="s">
        <v>5525</v>
      </c>
      <c r="J8" s="29" t="s">
        <v>5526</v>
      </c>
      <c r="K8" s="225" t="s">
        <v>1808</v>
      </c>
      <c r="L8" s="220" t="s">
        <v>5909</v>
      </c>
      <c r="M8" s="220"/>
      <c r="N8" s="282"/>
      <c r="O8" s="282"/>
      <c r="P8" s="29"/>
      <c r="Q8" s="29"/>
      <c r="R8" s="285"/>
      <c r="S8" s="220"/>
      <c r="T8" s="220"/>
      <c r="U8" s="220" t="s">
        <v>1904</v>
      </c>
      <c r="V8" s="220"/>
      <c r="W8" s="284"/>
      <c r="X8" s="54"/>
    </row>
    <row r="9" spans="1:24" ht="89.25" hidden="1">
      <c r="A9" s="243" t="s">
        <v>129</v>
      </c>
      <c r="B9" s="322" t="s">
        <v>5511</v>
      </c>
      <c r="C9" s="29" t="s">
        <v>5901</v>
      </c>
      <c r="D9" s="323" t="s">
        <v>5910</v>
      </c>
      <c r="E9" s="220" t="s">
        <v>61</v>
      </c>
      <c r="F9" s="220" t="s">
        <v>1383</v>
      </c>
      <c r="G9" s="221"/>
      <c r="H9" s="221">
        <v>44972</v>
      </c>
      <c r="I9" s="29" t="s">
        <v>1422</v>
      </c>
      <c r="J9" s="29" t="s">
        <v>1423</v>
      </c>
      <c r="K9" s="225">
        <v>85000</v>
      </c>
      <c r="L9" s="220" t="s">
        <v>5911</v>
      </c>
      <c r="M9" s="220" t="s">
        <v>1828</v>
      </c>
      <c r="N9" s="282"/>
      <c r="O9" s="282"/>
      <c r="P9" s="29"/>
      <c r="Q9" s="29"/>
      <c r="R9" s="285"/>
      <c r="S9" s="220"/>
      <c r="T9" s="220"/>
      <c r="U9" s="220" t="s">
        <v>82</v>
      </c>
      <c r="V9" s="220"/>
      <c r="W9" s="284"/>
      <c r="X9" s="54"/>
    </row>
    <row r="10" spans="1:24" ht="89.25" hidden="1">
      <c r="A10" s="243" t="s">
        <v>129</v>
      </c>
      <c r="B10" s="322" t="s">
        <v>5527</v>
      </c>
      <c r="C10" s="282"/>
      <c r="D10" s="323" t="s">
        <v>5912</v>
      </c>
      <c r="E10" s="220" t="s">
        <v>1867</v>
      </c>
      <c r="F10" s="220" t="s">
        <v>62</v>
      </c>
      <c r="G10" s="221"/>
      <c r="H10" s="221">
        <v>44972</v>
      </c>
      <c r="I10" s="29" t="s">
        <v>5528</v>
      </c>
      <c r="J10" s="29" t="s">
        <v>5529</v>
      </c>
      <c r="K10" s="225" t="s">
        <v>1808</v>
      </c>
      <c r="L10" s="220" t="s">
        <v>5911</v>
      </c>
      <c r="M10" s="220"/>
      <c r="N10" s="282"/>
      <c r="O10" s="282"/>
      <c r="P10" s="29"/>
      <c r="Q10" s="29"/>
      <c r="R10" s="285"/>
      <c r="S10" s="220"/>
      <c r="T10" s="220"/>
      <c r="U10" s="220" t="s">
        <v>1904</v>
      </c>
      <c r="V10" s="220"/>
      <c r="W10" s="284"/>
      <c r="X10" s="54"/>
    </row>
    <row r="11" spans="1:24" ht="267.75" hidden="1">
      <c r="A11" s="243" t="s">
        <v>129</v>
      </c>
      <c r="B11" s="322" t="s">
        <v>5530</v>
      </c>
      <c r="C11" s="282"/>
      <c r="D11" s="333" t="s">
        <v>5913</v>
      </c>
      <c r="E11" s="220" t="s">
        <v>1867</v>
      </c>
      <c r="F11" s="220" t="s">
        <v>62</v>
      </c>
      <c r="G11" s="221"/>
      <c r="H11" s="221">
        <v>45141</v>
      </c>
      <c r="I11" s="29" t="s">
        <v>5531</v>
      </c>
      <c r="J11" s="29" t="s">
        <v>5532</v>
      </c>
      <c r="K11" s="225" t="s">
        <v>1808</v>
      </c>
      <c r="L11" s="220" t="s">
        <v>5914</v>
      </c>
      <c r="M11" s="220"/>
      <c r="N11" s="282"/>
      <c r="O11" s="282" t="s">
        <v>5915</v>
      </c>
      <c r="P11" s="29"/>
      <c r="Q11" s="29"/>
      <c r="R11" s="285"/>
      <c r="S11" s="220"/>
      <c r="T11" s="220"/>
      <c r="U11" s="220" t="s">
        <v>1904</v>
      </c>
      <c r="V11" s="220"/>
      <c r="W11" s="284"/>
      <c r="X11" s="54"/>
    </row>
    <row r="12" spans="1:24" ht="114.75" hidden="1">
      <c r="A12" s="243" t="s">
        <v>129</v>
      </c>
      <c r="B12" s="322" t="s">
        <v>5533</v>
      </c>
      <c r="C12" s="22"/>
      <c r="D12" s="323" t="s">
        <v>5916</v>
      </c>
      <c r="E12" s="6" t="s">
        <v>5509</v>
      </c>
      <c r="F12" s="6" t="s">
        <v>1549</v>
      </c>
      <c r="G12" s="7"/>
      <c r="H12" s="7">
        <v>45007</v>
      </c>
      <c r="I12" s="6" t="s">
        <v>1424</v>
      </c>
      <c r="J12" s="6" t="s">
        <v>5534</v>
      </c>
      <c r="K12" s="8">
        <v>2087500</v>
      </c>
      <c r="L12" s="6"/>
      <c r="M12" s="6" t="s">
        <v>1828</v>
      </c>
      <c r="N12" s="22"/>
      <c r="O12" s="22" t="s">
        <v>5917</v>
      </c>
      <c r="P12" s="6"/>
      <c r="Q12" s="6"/>
      <c r="R12" s="179"/>
      <c r="S12" s="6"/>
      <c r="T12" s="6"/>
      <c r="U12" s="6" t="s">
        <v>82</v>
      </c>
      <c r="V12" s="6"/>
      <c r="W12" s="54"/>
      <c r="X12" s="54"/>
    </row>
    <row r="13" spans="1:24" ht="191.25" hidden="1">
      <c r="A13" s="243" t="s">
        <v>129</v>
      </c>
      <c r="B13" s="322" t="s">
        <v>5508</v>
      </c>
      <c r="C13" s="22"/>
      <c r="D13" s="323" t="s">
        <v>5918</v>
      </c>
      <c r="E13" s="6" t="s">
        <v>5509</v>
      </c>
      <c r="F13" s="6" t="s">
        <v>1383</v>
      </c>
      <c r="G13" s="7"/>
      <c r="H13" s="7">
        <v>45007</v>
      </c>
      <c r="I13" s="6" t="s">
        <v>5510</v>
      </c>
      <c r="J13" s="6" t="s">
        <v>1425</v>
      </c>
      <c r="K13" s="8">
        <v>6276000</v>
      </c>
      <c r="L13" s="6"/>
      <c r="M13" s="6" t="s">
        <v>1828</v>
      </c>
      <c r="N13" s="22"/>
      <c r="O13" s="22" t="s">
        <v>5919</v>
      </c>
      <c r="P13" s="6"/>
      <c r="Q13" s="6"/>
      <c r="R13" s="179" t="s">
        <v>1808</v>
      </c>
      <c r="S13" s="6" t="s">
        <v>1808</v>
      </c>
      <c r="T13" s="6"/>
      <c r="U13" s="6" t="s">
        <v>82</v>
      </c>
      <c r="V13" s="6"/>
      <c r="W13" s="54"/>
      <c r="X13" s="6" t="s">
        <v>1520</v>
      </c>
    </row>
    <row r="14" spans="1:24" ht="89.25" hidden="1">
      <c r="A14" s="243" t="s">
        <v>129</v>
      </c>
      <c r="B14" s="322" t="s">
        <v>5535</v>
      </c>
      <c r="C14" s="22"/>
      <c r="D14" s="323" t="s">
        <v>5920</v>
      </c>
      <c r="E14" s="6" t="s">
        <v>1867</v>
      </c>
      <c r="F14" s="6" t="s">
        <v>3371</v>
      </c>
      <c r="G14" s="7"/>
      <c r="H14" s="7">
        <v>45021</v>
      </c>
      <c r="I14" s="6" t="s">
        <v>5536</v>
      </c>
      <c r="J14" s="6"/>
      <c r="K14" s="8"/>
      <c r="L14" s="6"/>
      <c r="M14" s="6"/>
      <c r="N14" s="22"/>
      <c r="O14" s="22"/>
      <c r="P14" s="6"/>
      <c r="Q14" s="6"/>
      <c r="R14" s="179"/>
      <c r="S14" s="6"/>
      <c r="T14" s="6"/>
      <c r="U14" s="6" t="s">
        <v>1904</v>
      </c>
      <c r="V14" s="6"/>
      <c r="W14" s="54"/>
      <c r="X14" s="54"/>
    </row>
    <row r="15" spans="1:24" ht="89.25" hidden="1">
      <c r="A15" s="243" t="s">
        <v>129</v>
      </c>
      <c r="B15" s="322" t="s">
        <v>1794</v>
      </c>
      <c r="C15" s="6" t="s">
        <v>5901</v>
      </c>
      <c r="D15" s="323" t="s">
        <v>5921</v>
      </c>
      <c r="E15" s="6" t="s">
        <v>61</v>
      </c>
      <c r="F15" s="6" t="s">
        <v>1782</v>
      </c>
      <c r="G15" s="7"/>
      <c r="H15" s="7">
        <v>45022</v>
      </c>
      <c r="I15" s="6" t="s">
        <v>1795</v>
      </c>
      <c r="J15" s="6" t="s">
        <v>2104</v>
      </c>
      <c r="K15" s="8">
        <v>100000</v>
      </c>
      <c r="L15" s="6" t="s">
        <v>5922</v>
      </c>
      <c r="M15" s="6"/>
      <c r="N15" s="22"/>
      <c r="O15" s="22"/>
      <c r="P15" s="6"/>
      <c r="Q15" s="6"/>
      <c r="R15" s="179"/>
      <c r="S15" s="6"/>
      <c r="T15" s="6"/>
      <c r="U15" s="6" t="s">
        <v>1853</v>
      </c>
      <c r="V15" s="6"/>
      <c r="W15" s="54"/>
      <c r="X15" s="54"/>
    </row>
    <row r="16" spans="1:24" ht="89.25" hidden="1">
      <c r="A16" s="243" t="s">
        <v>129</v>
      </c>
      <c r="B16" s="322" t="s">
        <v>1426</v>
      </c>
      <c r="C16" s="6" t="s">
        <v>5901</v>
      </c>
      <c r="D16" s="323" t="s">
        <v>5923</v>
      </c>
      <c r="E16" s="6" t="s">
        <v>61</v>
      </c>
      <c r="F16" s="6" t="s">
        <v>1383</v>
      </c>
      <c r="G16" s="7"/>
      <c r="H16" s="7">
        <v>45035</v>
      </c>
      <c r="I16" s="6" t="s">
        <v>1427</v>
      </c>
      <c r="J16" s="6" t="s">
        <v>494</v>
      </c>
      <c r="K16" s="8">
        <v>200000</v>
      </c>
      <c r="L16" s="6"/>
      <c r="M16" s="6" t="s">
        <v>5924</v>
      </c>
      <c r="N16" s="22"/>
      <c r="O16" s="22" t="s">
        <v>5925</v>
      </c>
      <c r="P16" s="6"/>
      <c r="Q16" s="6"/>
      <c r="R16" s="179"/>
      <c r="S16" s="6"/>
      <c r="T16" s="6"/>
      <c r="U16" s="6" t="s">
        <v>82</v>
      </c>
      <c r="V16" s="6"/>
      <c r="W16" s="54"/>
      <c r="X16" s="6" t="s">
        <v>1468</v>
      </c>
    </row>
    <row r="17" spans="1:24" ht="216.75" hidden="1">
      <c r="A17" s="243" t="s">
        <v>129</v>
      </c>
      <c r="B17" s="322" t="s">
        <v>1796</v>
      </c>
      <c r="C17" s="6" t="s">
        <v>5901</v>
      </c>
      <c r="D17" s="323" t="s">
        <v>5926</v>
      </c>
      <c r="E17" s="6" t="s">
        <v>61</v>
      </c>
      <c r="F17" s="6" t="s">
        <v>1782</v>
      </c>
      <c r="G17" s="7"/>
      <c r="H17" s="7">
        <v>45035</v>
      </c>
      <c r="I17" s="6" t="s">
        <v>1797</v>
      </c>
      <c r="J17" s="6" t="s">
        <v>1798</v>
      </c>
      <c r="K17" s="8">
        <v>100000</v>
      </c>
      <c r="L17" s="6"/>
      <c r="M17" s="6"/>
      <c r="N17" s="22"/>
      <c r="O17" s="22" t="s">
        <v>5927</v>
      </c>
      <c r="P17" s="6"/>
      <c r="Q17" s="6"/>
      <c r="R17" s="179"/>
      <c r="S17" s="6"/>
      <c r="T17" s="6"/>
      <c r="U17" s="6" t="s">
        <v>1853</v>
      </c>
      <c r="V17" s="6"/>
      <c r="W17" s="54"/>
      <c r="X17" s="54"/>
    </row>
    <row r="18" spans="1:24" ht="89.25" hidden="1">
      <c r="A18" s="243" t="s">
        <v>129</v>
      </c>
      <c r="B18" s="322" t="s">
        <v>492</v>
      </c>
      <c r="C18" s="6" t="s">
        <v>5901</v>
      </c>
      <c r="D18" s="323" t="s">
        <v>5928</v>
      </c>
      <c r="E18" s="6" t="s">
        <v>61</v>
      </c>
      <c r="F18" s="6" t="s">
        <v>394</v>
      </c>
      <c r="G18" s="7"/>
      <c r="H18" s="7">
        <v>45035</v>
      </c>
      <c r="I18" s="6" t="s">
        <v>493</v>
      </c>
      <c r="J18" s="6" t="s">
        <v>494</v>
      </c>
      <c r="K18" s="8">
        <v>101820</v>
      </c>
      <c r="L18" s="6" t="s">
        <v>5929</v>
      </c>
      <c r="M18" s="6" t="s">
        <v>5924</v>
      </c>
      <c r="N18" s="22"/>
      <c r="O18" s="22"/>
      <c r="P18" s="6"/>
      <c r="Q18" s="6"/>
      <c r="R18" s="179"/>
      <c r="S18" s="6"/>
      <c r="T18" s="6"/>
      <c r="U18" s="6" t="s">
        <v>1853</v>
      </c>
      <c r="V18" s="6"/>
      <c r="W18" s="54"/>
      <c r="X18" s="54"/>
    </row>
    <row r="19" spans="1:24" ht="102" hidden="1">
      <c r="A19" s="243" t="s">
        <v>129</v>
      </c>
      <c r="B19" s="322" t="s">
        <v>495</v>
      </c>
      <c r="C19" s="6" t="s">
        <v>5901</v>
      </c>
      <c r="D19" s="323" t="s">
        <v>5930</v>
      </c>
      <c r="E19" s="6" t="s">
        <v>61</v>
      </c>
      <c r="F19" s="6" t="s">
        <v>394</v>
      </c>
      <c r="G19" s="7"/>
      <c r="H19" s="7">
        <v>45042</v>
      </c>
      <c r="I19" s="6" t="s">
        <v>496</v>
      </c>
      <c r="J19" s="6" t="s">
        <v>497</v>
      </c>
      <c r="K19" s="8">
        <v>134575</v>
      </c>
      <c r="L19" s="6" t="s">
        <v>5931</v>
      </c>
      <c r="M19" s="6" t="s">
        <v>1896</v>
      </c>
      <c r="N19" s="22"/>
      <c r="O19" s="22" t="s">
        <v>5932</v>
      </c>
      <c r="P19" s="6"/>
      <c r="Q19" s="6"/>
      <c r="R19" s="179"/>
      <c r="S19" s="6"/>
      <c r="T19" s="6"/>
      <c r="U19" s="6" t="s">
        <v>1853</v>
      </c>
      <c r="V19" s="6"/>
      <c r="W19" s="54"/>
      <c r="X19" s="54"/>
    </row>
    <row r="20" spans="1:24" ht="127.5" hidden="1">
      <c r="A20" s="243" t="s">
        <v>129</v>
      </c>
      <c r="B20" s="322" t="s">
        <v>498</v>
      </c>
      <c r="C20" s="6" t="s">
        <v>5901</v>
      </c>
      <c r="D20" s="323" t="s">
        <v>5933</v>
      </c>
      <c r="E20" s="6" t="s">
        <v>61</v>
      </c>
      <c r="F20" s="6" t="s">
        <v>394</v>
      </c>
      <c r="G20" s="7"/>
      <c r="H20" s="7">
        <v>45049</v>
      </c>
      <c r="I20" s="6" t="s">
        <v>499</v>
      </c>
      <c r="J20" s="6" t="s">
        <v>500</v>
      </c>
      <c r="K20" s="8" t="s">
        <v>5537</v>
      </c>
      <c r="L20" s="335" t="s">
        <v>5934</v>
      </c>
      <c r="M20" s="6" t="s">
        <v>2085</v>
      </c>
      <c r="N20" s="22"/>
      <c r="O20" s="22" t="s">
        <v>5935</v>
      </c>
      <c r="P20" s="6"/>
      <c r="Q20" s="6"/>
      <c r="R20" s="179"/>
      <c r="S20" s="6"/>
      <c r="T20" s="6"/>
      <c r="U20" s="6" t="s">
        <v>1853</v>
      </c>
      <c r="V20" s="6"/>
      <c r="W20" s="54"/>
      <c r="X20" s="54"/>
    </row>
    <row r="21" spans="1:24" ht="114.75" hidden="1">
      <c r="A21" s="243" t="s">
        <v>129</v>
      </c>
      <c r="B21" s="322" t="s">
        <v>1033</v>
      </c>
      <c r="C21" s="6" t="s">
        <v>5901</v>
      </c>
      <c r="D21" s="323" t="s">
        <v>5933</v>
      </c>
      <c r="E21" s="6" t="s">
        <v>61</v>
      </c>
      <c r="F21" s="6" t="s">
        <v>62</v>
      </c>
      <c r="G21" s="7"/>
      <c r="H21" s="7">
        <v>45056</v>
      </c>
      <c r="I21" s="6" t="s">
        <v>1034</v>
      </c>
      <c r="J21" s="210" t="s">
        <v>5326</v>
      </c>
      <c r="K21" s="30">
        <v>918215.51</v>
      </c>
      <c r="L21" s="6" t="s">
        <v>5936</v>
      </c>
      <c r="M21" s="6" t="s">
        <v>1828</v>
      </c>
      <c r="N21" s="22"/>
      <c r="O21" s="22" t="s">
        <v>5937</v>
      </c>
      <c r="P21" s="6"/>
      <c r="Q21" s="6"/>
      <c r="R21" s="179"/>
      <c r="S21" s="6" t="s">
        <v>5650</v>
      </c>
      <c r="T21" s="6"/>
      <c r="U21" s="6" t="s">
        <v>1904</v>
      </c>
      <c r="V21" s="6"/>
      <c r="W21" s="54"/>
      <c r="X21" s="54"/>
    </row>
    <row r="22" spans="1:24" ht="89.25" hidden="1">
      <c r="A22" s="243" t="s">
        <v>129</v>
      </c>
      <c r="B22" s="336" t="s">
        <v>501</v>
      </c>
      <c r="C22" s="6" t="s">
        <v>5901</v>
      </c>
      <c r="D22" s="337" t="s">
        <v>5938</v>
      </c>
      <c r="E22" s="6" t="s">
        <v>61</v>
      </c>
      <c r="F22" s="6" t="s">
        <v>394</v>
      </c>
      <c r="G22" s="7"/>
      <c r="H22" s="7">
        <v>45056</v>
      </c>
      <c r="I22" s="6" t="s">
        <v>502</v>
      </c>
      <c r="J22" s="6" t="s">
        <v>497</v>
      </c>
      <c r="K22" s="8">
        <v>26000</v>
      </c>
      <c r="L22" s="6" t="s">
        <v>5939</v>
      </c>
      <c r="M22" s="6" t="s">
        <v>1896</v>
      </c>
      <c r="N22" s="22"/>
      <c r="O22" s="22" t="s">
        <v>5940</v>
      </c>
      <c r="P22" s="6"/>
      <c r="Q22" s="6"/>
      <c r="R22" s="179"/>
      <c r="S22" s="6"/>
      <c r="T22" s="6"/>
      <c r="U22" s="6" t="s">
        <v>1853</v>
      </c>
      <c r="V22" s="6"/>
      <c r="W22" s="54"/>
      <c r="X22" s="54"/>
    </row>
    <row r="23" spans="1:24" ht="267.75" hidden="1">
      <c r="A23" s="243" t="s">
        <v>129</v>
      </c>
      <c r="B23" s="336" t="s">
        <v>1799</v>
      </c>
      <c r="C23" s="6" t="s">
        <v>5901</v>
      </c>
      <c r="D23" s="337" t="s">
        <v>5941</v>
      </c>
      <c r="E23" s="6" t="s">
        <v>61</v>
      </c>
      <c r="F23" s="6" t="s">
        <v>1782</v>
      </c>
      <c r="G23" s="7"/>
      <c r="H23" s="7">
        <v>45063</v>
      </c>
      <c r="I23" s="6" t="s">
        <v>1800</v>
      </c>
      <c r="J23" s="6" t="s">
        <v>1482</v>
      </c>
      <c r="K23" s="8">
        <v>100000</v>
      </c>
      <c r="L23" s="6"/>
      <c r="M23" s="6" t="s">
        <v>2472</v>
      </c>
      <c r="N23" s="22"/>
      <c r="O23" s="22" t="s">
        <v>5942</v>
      </c>
      <c r="P23" s="6"/>
      <c r="Q23" s="6"/>
      <c r="R23" s="179"/>
      <c r="S23" s="6"/>
      <c r="T23" s="6"/>
      <c r="U23" s="6"/>
      <c r="V23" s="6"/>
      <c r="W23" s="54"/>
      <c r="X23" s="54"/>
    </row>
    <row r="24" spans="1:24" ht="89.25" hidden="1">
      <c r="A24" s="243" t="s">
        <v>129</v>
      </c>
      <c r="B24" s="336" t="s">
        <v>5538</v>
      </c>
      <c r="C24" s="22"/>
      <c r="D24" s="337" t="s">
        <v>5943</v>
      </c>
      <c r="E24" s="6" t="s">
        <v>1867</v>
      </c>
      <c r="F24" s="6" t="s">
        <v>1262</v>
      </c>
      <c r="G24" s="7"/>
      <c r="H24" s="7">
        <v>45063</v>
      </c>
      <c r="I24" s="6" t="s">
        <v>5539</v>
      </c>
      <c r="J24" s="6" t="s">
        <v>5540</v>
      </c>
      <c r="K24" s="8">
        <v>1094940</v>
      </c>
      <c r="L24" s="6"/>
      <c r="M24" s="6"/>
      <c r="N24" s="22"/>
      <c r="O24" s="22" t="s">
        <v>5944</v>
      </c>
      <c r="P24" s="6"/>
      <c r="Q24" s="6"/>
      <c r="R24" s="179"/>
      <c r="S24" s="6"/>
      <c r="T24" s="6"/>
      <c r="U24" s="6"/>
      <c r="V24" s="6"/>
      <c r="W24" s="54"/>
      <c r="X24" s="54"/>
    </row>
    <row r="25" spans="1:24" ht="89.25" hidden="1">
      <c r="A25" s="243" t="s">
        <v>129</v>
      </c>
      <c r="B25" s="336" t="s">
        <v>1428</v>
      </c>
      <c r="C25" s="6" t="s">
        <v>5901</v>
      </c>
      <c r="D25" s="337" t="s">
        <v>5945</v>
      </c>
      <c r="E25" s="6" t="s">
        <v>61</v>
      </c>
      <c r="F25" s="6" t="s">
        <v>1383</v>
      </c>
      <c r="G25" s="7"/>
      <c r="H25" s="7">
        <v>45070</v>
      </c>
      <c r="I25" s="6" t="s">
        <v>1429</v>
      </c>
      <c r="J25" s="6" t="s">
        <v>1430</v>
      </c>
      <c r="K25" s="8">
        <v>50050</v>
      </c>
      <c r="L25" s="6"/>
      <c r="M25" s="6" t="s">
        <v>1828</v>
      </c>
      <c r="N25" s="22"/>
      <c r="O25" s="22"/>
      <c r="P25" s="6"/>
      <c r="Q25" s="6"/>
      <c r="R25" s="179"/>
      <c r="S25" s="6"/>
      <c r="T25" s="6"/>
      <c r="U25" s="6"/>
      <c r="V25" s="6"/>
      <c r="W25" s="54"/>
      <c r="X25" s="6" t="s">
        <v>1383</v>
      </c>
    </row>
    <row r="26" spans="1:24" ht="140.25" hidden="1">
      <c r="A26" s="243" t="s">
        <v>129</v>
      </c>
      <c r="B26" s="338" t="s">
        <v>1036</v>
      </c>
      <c r="C26" s="339" t="s">
        <v>5901</v>
      </c>
      <c r="D26" s="340" t="s">
        <v>5946</v>
      </c>
      <c r="E26" s="339" t="s">
        <v>61</v>
      </c>
      <c r="F26" s="339" t="s">
        <v>62</v>
      </c>
      <c r="G26" s="341"/>
      <c r="H26" s="341">
        <v>45077</v>
      </c>
      <c r="I26" s="339" t="s">
        <v>1037</v>
      </c>
      <c r="J26" s="342" t="s">
        <v>5327</v>
      </c>
      <c r="K26" s="343">
        <v>496800</v>
      </c>
      <c r="L26" s="339"/>
      <c r="M26" s="339" t="s">
        <v>2472</v>
      </c>
      <c r="N26" s="344"/>
      <c r="O26" s="344"/>
      <c r="P26" s="339"/>
      <c r="Q26" s="339"/>
      <c r="R26" s="345"/>
      <c r="S26" s="339"/>
      <c r="T26" s="339"/>
      <c r="U26" s="339"/>
      <c r="V26" s="339"/>
      <c r="W26" s="346"/>
      <c r="X26" s="346"/>
    </row>
    <row r="27" spans="1:24" ht="165.75" hidden="1">
      <c r="A27" s="347" t="s">
        <v>129</v>
      </c>
      <c r="B27" s="348" t="s">
        <v>5541</v>
      </c>
      <c r="C27" s="349" t="s">
        <v>5901</v>
      </c>
      <c r="D27" s="350" t="s">
        <v>5947</v>
      </c>
      <c r="E27" s="349" t="s">
        <v>61</v>
      </c>
      <c r="F27" s="349" t="s">
        <v>62</v>
      </c>
      <c r="G27" s="351"/>
      <c r="H27" s="352">
        <v>45084</v>
      </c>
      <c r="I27" s="349" t="s">
        <v>5543</v>
      </c>
      <c r="J27" s="353" t="s">
        <v>5544</v>
      </c>
      <c r="K27" s="354">
        <v>302825.5</v>
      </c>
      <c r="L27" s="349" t="s">
        <v>5948</v>
      </c>
      <c r="M27" s="349" t="s">
        <v>1828</v>
      </c>
      <c r="N27" s="355"/>
      <c r="O27" s="355" t="s">
        <v>5949</v>
      </c>
      <c r="P27" s="349"/>
      <c r="Q27" s="349"/>
      <c r="R27" s="356"/>
      <c r="S27" s="349"/>
      <c r="T27" s="349"/>
      <c r="U27" s="349"/>
      <c r="V27" s="349"/>
      <c r="W27" s="357"/>
      <c r="X27" s="357"/>
    </row>
    <row r="28" spans="1:24" ht="89.25" hidden="1">
      <c r="A28" s="243" t="s">
        <v>129</v>
      </c>
      <c r="B28" s="338" t="s">
        <v>1039</v>
      </c>
      <c r="C28" s="339" t="s">
        <v>5901</v>
      </c>
      <c r="D28" s="340" t="s">
        <v>5950</v>
      </c>
      <c r="E28" s="339" t="s">
        <v>61</v>
      </c>
      <c r="F28" s="339" t="s">
        <v>62</v>
      </c>
      <c r="G28" s="341"/>
      <c r="H28" s="7"/>
      <c r="I28" s="339" t="s">
        <v>1040</v>
      </c>
      <c r="J28" s="342" t="s">
        <v>1041</v>
      </c>
      <c r="K28" s="343">
        <v>556803.44999999995</v>
      </c>
      <c r="L28" s="339" t="s">
        <v>5951</v>
      </c>
      <c r="M28" s="339" t="s">
        <v>1828</v>
      </c>
      <c r="N28" s="344"/>
      <c r="O28" s="344"/>
      <c r="P28" s="339"/>
      <c r="Q28" s="339"/>
      <c r="R28" s="345"/>
      <c r="S28" s="339"/>
      <c r="T28" s="339"/>
      <c r="U28" s="339"/>
      <c r="V28" s="339"/>
      <c r="W28" s="346"/>
      <c r="X28" s="346"/>
    </row>
    <row r="29" spans="1:24" ht="89.25" hidden="1">
      <c r="A29" s="243" t="s">
        <v>129</v>
      </c>
      <c r="B29" s="338" t="s">
        <v>503</v>
      </c>
      <c r="C29" s="6" t="s">
        <v>5901</v>
      </c>
      <c r="D29" s="340" t="s">
        <v>5952</v>
      </c>
      <c r="E29" s="6" t="s">
        <v>61</v>
      </c>
      <c r="F29" s="6" t="s">
        <v>85</v>
      </c>
      <c r="G29" s="7"/>
      <c r="H29" s="7">
        <v>45084</v>
      </c>
      <c r="I29" s="6" t="s">
        <v>504</v>
      </c>
      <c r="J29" s="6" t="s">
        <v>505</v>
      </c>
      <c r="K29" s="8">
        <v>185078</v>
      </c>
      <c r="L29" s="6" t="s">
        <v>5953</v>
      </c>
      <c r="M29" s="6" t="s">
        <v>1828</v>
      </c>
      <c r="N29" s="22"/>
      <c r="O29" s="22"/>
      <c r="P29" s="6"/>
      <c r="Q29" s="6"/>
      <c r="R29" s="179"/>
      <c r="S29" s="6"/>
      <c r="T29" s="6"/>
      <c r="U29" s="6"/>
      <c r="V29" s="6"/>
      <c r="W29" s="54"/>
      <c r="X29" s="54"/>
    </row>
    <row r="30" spans="1:24" ht="89.25" hidden="1">
      <c r="A30" s="243" t="s">
        <v>129</v>
      </c>
      <c r="B30" s="338" t="s">
        <v>506</v>
      </c>
      <c r="C30" s="6" t="s">
        <v>5901</v>
      </c>
      <c r="D30" s="340" t="s">
        <v>5954</v>
      </c>
      <c r="E30" s="6" t="s">
        <v>61</v>
      </c>
      <c r="F30" s="6" t="s">
        <v>85</v>
      </c>
      <c r="G30" s="7"/>
      <c r="H30" s="7">
        <v>45084</v>
      </c>
      <c r="I30" s="6" t="s">
        <v>507</v>
      </c>
      <c r="J30" s="6" t="s">
        <v>508</v>
      </c>
      <c r="K30" s="8">
        <v>51292</v>
      </c>
      <c r="L30" s="6" t="s">
        <v>5955</v>
      </c>
      <c r="M30" s="6" t="s">
        <v>2472</v>
      </c>
      <c r="N30" s="22"/>
      <c r="O30" s="22"/>
      <c r="P30" s="6"/>
      <c r="Q30" s="6"/>
      <c r="R30" s="179"/>
      <c r="S30" s="6"/>
      <c r="T30" s="6"/>
      <c r="U30" s="6"/>
      <c r="V30" s="6"/>
      <c r="W30" s="54"/>
      <c r="X30" s="54"/>
    </row>
    <row r="31" spans="1:24" ht="89.25" hidden="1">
      <c r="A31" s="243" t="s">
        <v>129</v>
      </c>
      <c r="B31" s="338" t="s">
        <v>138</v>
      </c>
      <c r="C31" s="6" t="s">
        <v>5901</v>
      </c>
      <c r="D31" s="340" t="s">
        <v>5956</v>
      </c>
      <c r="E31" s="6" t="s">
        <v>61</v>
      </c>
      <c r="F31" s="6" t="s">
        <v>85</v>
      </c>
      <c r="G31" s="6"/>
      <c r="H31" s="7">
        <v>45086</v>
      </c>
      <c r="I31" s="6" t="s">
        <v>86</v>
      </c>
      <c r="J31" s="6" t="s">
        <v>87</v>
      </c>
      <c r="K31" s="8">
        <v>349799.56</v>
      </c>
      <c r="L31" s="6" t="s">
        <v>5957</v>
      </c>
      <c r="M31" s="6" t="s">
        <v>2472</v>
      </c>
      <c r="N31" s="22"/>
      <c r="O31" s="22"/>
      <c r="P31" s="6"/>
      <c r="Q31" s="6"/>
      <c r="R31" s="179"/>
      <c r="S31" s="6"/>
      <c r="T31" s="6"/>
      <c r="U31" s="6"/>
      <c r="V31" s="6"/>
      <c r="W31" s="54"/>
      <c r="X31" s="54"/>
    </row>
    <row r="32" spans="1:24" ht="89.25" hidden="1">
      <c r="A32" s="27" t="s">
        <v>129</v>
      </c>
      <c r="B32" s="27" t="s">
        <v>1042</v>
      </c>
      <c r="C32" s="6" t="s">
        <v>5901</v>
      </c>
      <c r="D32" s="358" t="s">
        <v>5958</v>
      </c>
      <c r="E32" s="339" t="s">
        <v>61</v>
      </c>
      <c r="F32" s="6" t="s">
        <v>62</v>
      </c>
      <c r="G32" s="7"/>
      <c r="H32" s="7">
        <v>45091</v>
      </c>
      <c r="I32" s="6" t="s">
        <v>1043</v>
      </c>
      <c r="J32" s="210" t="s">
        <v>1044</v>
      </c>
      <c r="K32" s="30">
        <v>1996038</v>
      </c>
      <c r="L32" s="6" t="s">
        <v>5959</v>
      </c>
      <c r="M32" s="6" t="s">
        <v>1828</v>
      </c>
      <c r="N32" s="22"/>
      <c r="O32" s="22"/>
      <c r="P32" s="34"/>
      <c r="Q32" s="34"/>
      <c r="R32" s="304"/>
      <c r="S32" s="34"/>
      <c r="T32" s="34"/>
      <c r="U32" s="34"/>
      <c r="V32" s="34"/>
      <c r="W32" s="105"/>
      <c r="X32" s="105"/>
    </row>
    <row r="33" spans="1:24" ht="89.25" hidden="1">
      <c r="A33" s="27" t="s">
        <v>129</v>
      </c>
      <c r="B33" s="27" t="s">
        <v>509</v>
      </c>
      <c r="C33" s="6" t="s">
        <v>5901</v>
      </c>
      <c r="D33" s="358" t="s">
        <v>5960</v>
      </c>
      <c r="E33" s="6" t="s">
        <v>61</v>
      </c>
      <c r="F33" s="6" t="s">
        <v>85</v>
      </c>
      <c r="G33" s="7"/>
      <c r="H33" s="7">
        <v>45091</v>
      </c>
      <c r="I33" s="6" t="s">
        <v>510</v>
      </c>
      <c r="J33" s="6" t="s">
        <v>511</v>
      </c>
      <c r="K33" s="8">
        <v>218000</v>
      </c>
      <c r="L33" s="6" t="s">
        <v>5961</v>
      </c>
      <c r="M33" s="6" t="s">
        <v>2472</v>
      </c>
      <c r="N33" s="22"/>
      <c r="O33" s="22"/>
      <c r="P33" s="34"/>
      <c r="Q33" s="34"/>
      <c r="R33" s="304"/>
      <c r="S33" s="34"/>
      <c r="T33" s="34"/>
      <c r="U33" s="34"/>
      <c r="V33" s="34"/>
      <c r="W33" s="105"/>
      <c r="X33" s="105"/>
    </row>
    <row r="34" spans="1:24" ht="89.25" hidden="1">
      <c r="A34" s="27" t="s">
        <v>129</v>
      </c>
      <c r="B34" s="27" t="s">
        <v>512</v>
      </c>
      <c r="C34" s="6" t="s">
        <v>5901</v>
      </c>
      <c r="D34" s="358" t="s">
        <v>5962</v>
      </c>
      <c r="E34" s="6" t="s">
        <v>61</v>
      </c>
      <c r="F34" s="6" t="s">
        <v>85</v>
      </c>
      <c r="G34" s="7"/>
      <c r="H34" s="7">
        <v>45091</v>
      </c>
      <c r="I34" s="6" t="s">
        <v>5545</v>
      </c>
      <c r="J34" s="6" t="s">
        <v>514</v>
      </c>
      <c r="K34" s="8">
        <v>35620</v>
      </c>
      <c r="L34" s="6" t="s">
        <v>5651</v>
      </c>
      <c r="M34" s="6" t="s">
        <v>1896</v>
      </c>
      <c r="N34" s="22"/>
      <c r="O34" s="22"/>
      <c r="P34" s="34"/>
      <c r="Q34" s="34"/>
      <c r="R34" s="304"/>
      <c r="S34" s="34"/>
      <c r="T34" s="34"/>
      <c r="U34" s="34"/>
      <c r="V34" s="34"/>
      <c r="W34" s="105"/>
      <c r="X34" s="105"/>
    </row>
    <row r="35" spans="1:24" ht="89.25" hidden="1">
      <c r="A35" s="27" t="s">
        <v>129</v>
      </c>
      <c r="B35" s="27" t="s">
        <v>515</v>
      </c>
      <c r="C35" s="6" t="s">
        <v>5901</v>
      </c>
      <c r="D35" s="358" t="s">
        <v>5963</v>
      </c>
      <c r="E35" s="6" t="s">
        <v>61</v>
      </c>
      <c r="F35" s="6" t="s">
        <v>85</v>
      </c>
      <c r="G35" s="7"/>
      <c r="H35" s="7">
        <v>45091</v>
      </c>
      <c r="I35" s="6" t="s">
        <v>516</v>
      </c>
      <c r="J35" s="6" t="s">
        <v>517</v>
      </c>
      <c r="K35" s="8">
        <v>55730</v>
      </c>
      <c r="L35" s="6" t="s">
        <v>5964</v>
      </c>
      <c r="M35" s="6" t="s">
        <v>2130</v>
      </c>
      <c r="N35" s="22"/>
      <c r="O35" s="22"/>
      <c r="P35" s="34"/>
      <c r="Q35" s="34"/>
      <c r="R35" s="304"/>
      <c r="S35" s="34"/>
      <c r="T35" s="34"/>
      <c r="U35" s="34"/>
      <c r="V35" s="34"/>
      <c r="W35" s="105"/>
      <c r="X35" s="105"/>
    </row>
    <row r="36" spans="1:24" ht="89.25" hidden="1">
      <c r="A36" s="27" t="s">
        <v>129</v>
      </c>
      <c r="B36" s="27" t="s">
        <v>518</v>
      </c>
      <c r="C36" s="6" t="s">
        <v>5901</v>
      </c>
      <c r="D36" s="358" t="s">
        <v>5965</v>
      </c>
      <c r="E36" s="6" t="s">
        <v>61</v>
      </c>
      <c r="F36" s="6" t="s">
        <v>85</v>
      </c>
      <c r="G36" s="7"/>
      <c r="H36" s="7">
        <v>45091</v>
      </c>
      <c r="I36" s="6" t="s">
        <v>519</v>
      </c>
      <c r="J36" s="6" t="s">
        <v>520</v>
      </c>
      <c r="K36" s="8">
        <v>99750</v>
      </c>
      <c r="L36" s="6" t="s">
        <v>5966</v>
      </c>
      <c r="M36" s="6" t="s">
        <v>2085</v>
      </c>
      <c r="N36" s="22"/>
      <c r="O36" s="22"/>
      <c r="P36" s="34"/>
      <c r="Q36" s="34"/>
      <c r="R36" s="304"/>
      <c r="S36" s="34"/>
      <c r="T36" s="34"/>
      <c r="U36" s="34"/>
      <c r="V36" s="34"/>
      <c r="W36" s="105"/>
      <c r="X36" s="105"/>
    </row>
    <row r="37" spans="1:24" ht="89.25" hidden="1">
      <c r="A37" s="27" t="s">
        <v>129</v>
      </c>
      <c r="B37" s="27" t="s">
        <v>521</v>
      </c>
      <c r="C37" s="6" t="s">
        <v>5901</v>
      </c>
      <c r="D37" s="358" t="s">
        <v>5967</v>
      </c>
      <c r="E37" s="6" t="s">
        <v>61</v>
      </c>
      <c r="F37" s="6" t="s">
        <v>85</v>
      </c>
      <c r="G37" s="7"/>
      <c r="H37" s="7">
        <v>45091</v>
      </c>
      <c r="I37" s="6" t="s">
        <v>522</v>
      </c>
      <c r="J37" s="6" t="s">
        <v>523</v>
      </c>
      <c r="K37" s="8">
        <v>94750</v>
      </c>
      <c r="L37" s="6" t="s">
        <v>5966</v>
      </c>
      <c r="M37" s="6" t="s">
        <v>2085</v>
      </c>
      <c r="N37" s="22"/>
      <c r="O37" s="22"/>
      <c r="P37" s="34"/>
      <c r="Q37" s="34"/>
      <c r="R37" s="304"/>
      <c r="S37" s="34"/>
      <c r="T37" s="34"/>
      <c r="U37" s="34"/>
      <c r="V37" s="34"/>
      <c r="W37" s="105"/>
      <c r="X37" s="105"/>
    </row>
    <row r="38" spans="1:24" ht="89.25" hidden="1">
      <c r="A38" s="27" t="s">
        <v>129</v>
      </c>
      <c r="B38" s="27" t="s">
        <v>524</v>
      </c>
      <c r="C38" s="6" t="s">
        <v>5901</v>
      </c>
      <c r="D38" s="358" t="s">
        <v>5968</v>
      </c>
      <c r="E38" s="6" t="s">
        <v>61</v>
      </c>
      <c r="F38" s="6" t="s">
        <v>125</v>
      </c>
      <c r="G38" s="7"/>
      <c r="H38" s="7">
        <v>45091</v>
      </c>
      <c r="I38" s="6" t="s">
        <v>525</v>
      </c>
      <c r="J38" s="6" t="s">
        <v>526</v>
      </c>
      <c r="K38" s="8">
        <v>2518284</v>
      </c>
      <c r="L38" s="6"/>
      <c r="M38" s="6" t="s">
        <v>2472</v>
      </c>
      <c r="N38" s="22"/>
      <c r="O38" s="22"/>
      <c r="P38" s="34"/>
      <c r="Q38" s="34"/>
      <c r="R38" s="304"/>
      <c r="S38" s="34"/>
      <c r="T38" s="34"/>
      <c r="U38" s="34"/>
      <c r="V38" s="34"/>
      <c r="W38" s="105"/>
      <c r="X38" s="105"/>
    </row>
    <row r="39" spans="1:24" ht="89.25" hidden="1">
      <c r="A39" s="27" t="s">
        <v>129</v>
      </c>
      <c r="B39" s="27" t="s">
        <v>5546</v>
      </c>
      <c r="C39" s="6" t="s">
        <v>5901</v>
      </c>
      <c r="D39" s="358" t="s">
        <v>5969</v>
      </c>
      <c r="E39" s="6" t="s">
        <v>61</v>
      </c>
      <c r="F39" s="6" t="s">
        <v>125</v>
      </c>
      <c r="G39" s="7"/>
      <c r="H39" s="7">
        <v>45091</v>
      </c>
      <c r="I39" s="6" t="s">
        <v>5547</v>
      </c>
      <c r="J39" s="6" t="s">
        <v>5548</v>
      </c>
      <c r="K39" s="8">
        <v>2663400</v>
      </c>
      <c r="L39" s="6"/>
      <c r="M39" s="6"/>
      <c r="N39" s="22"/>
      <c r="O39" s="22"/>
      <c r="P39" s="34"/>
      <c r="Q39" s="34"/>
      <c r="R39" s="304"/>
      <c r="S39" s="34"/>
      <c r="T39" s="34"/>
      <c r="U39" s="34"/>
      <c r="V39" s="34"/>
      <c r="W39" s="105"/>
      <c r="X39" s="105"/>
    </row>
    <row r="40" spans="1:24" ht="89.25" hidden="1">
      <c r="A40" s="27" t="s">
        <v>129</v>
      </c>
      <c r="B40" s="27" t="s">
        <v>1431</v>
      </c>
      <c r="C40" s="6" t="s">
        <v>5901</v>
      </c>
      <c r="D40" s="358" t="s">
        <v>5970</v>
      </c>
      <c r="E40" s="6" t="s">
        <v>61</v>
      </c>
      <c r="F40" s="6" t="s">
        <v>1383</v>
      </c>
      <c r="G40" s="7"/>
      <c r="H40" s="7">
        <v>45098</v>
      </c>
      <c r="I40" s="6" t="s">
        <v>1432</v>
      </c>
      <c r="J40" s="6" t="s">
        <v>1433</v>
      </c>
      <c r="K40" s="8">
        <v>200000</v>
      </c>
      <c r="L40" s="6"/>
      <c r="M40" s="6"/>
      <c r="N40" s="22"/>
      <c r="O40" s="22"/>
      <c r="P40" s="34"/>
      <c r="Q40" s="34"/>
      <c r="R40" s="304"/>
      <c r="S40" s="34"/>
      <c r="T40" s="34"/>
      <c r="U40" s="34"/>
      <c r="V40" s="34"/>
      <c r="W40" s="105"/>
      <c r="X40" s="105"/>
    </row>
    <row r="41" spans="1:24" ht="89.25" hidden="1">
      <c r="A41" s="27" t="s">
        <v>129</v>
      </c>
      <c r="B41" s="27" t="s">
        <v>527</v>
      </c>
      <c r="C41" s="6" t="s">
        <v>5901</v>
      </c>
      <c r="D41" s="358" t="s">
        <v>5971</v>
      </c>
      <c r="E41" s="6" t="s">
        <v>61</v>
      </c>
      <c r="F41" s="6" t="s">
        <v>456</v>
      </c>
      <c r="G41" s="7"/>
      <c r="H41" s="7">
        <v>45098</v>
      </c>
      <c r="I41" s="6" t="s">
        <v>528</v>
      </c>
      <c r="J41" s="6" t="s">
        <v>5549</v>
      </c>
      <c r="K41" s="8">
        <v>66200</v>
      </c>
      <c r="L41" s="6" t="s">
        <v>5972</v>
      </c>
      <c r="M41" s="6"/>
      <c r="N41" s="22"/>
      <c r="O41" s="22"/>
      <c r="P41" s="34"/>
      <c r="Q41" s="34"/>
      <c r="R41" s="304"/>
      <c r="S41" s="34"/>
      <c r="T41" s="34"/>
      <c r="U41" s="34"/>
      <c r="V41" s="34"/>
      <c r="W41" s="105"/>
      <c r="X41" s="105"/>
    </row>
    <row r="42" spans="1:24" ht="89.25" hidden="1">
      <c r="A42" s="27" t="s">
        <v>129</v>
      </c>
      <c r="B42" s="27" t="s">
        <v>530</v>
      </c>
      <c r="C42" s="6" t="s">
        <v>5901</v>
      </c>
      <c r="D42" s="358" t="s">
        <v>5973</v>
      </c>
      <c r="E42" s="6" t="s">
        <v>61</v>
      </c>
      <c r="F42" s="6" t="s">
        <v>85</v>
      </c>
      <c r="G42" s="7"/>
      <c r="H42" s="7">
        <v>45098</v>
      </c>
      <c r="I42" s="6" t="s">
        <v>5974</v>
      </c>
      <c r="J42" s="6" t="s">
        <v>5975</v>
      </c>
      <c r="K42" s="8">
        <v>142051</v>
      </c>
      <c r="L42" s="6" t="s">
        <v>5976</v>
      </c>
      <c r="M42" s="6" t="s">
        <v>2130</v>
      </c>
      <c r="N42" s="22"/>
      <c r="O42" s="22"/>
      <c r="P42" s="34"/>
      <c r="Q42" s="34"/>
      <c r="R42" s="304"/>
      <c r="S42" s="34"/>
      <c r="T42" s="34"/>
      <c r="U42" s="34"/>
      <c r="V42" s="34"/>
      <c r="W42" s="105"/>
      <c r="X42" s="105"/>
    </row>
    <row r="43" spans="1:24" ht="89.25" hidden="1">
      <c r="A43" s="27" t="s">
        <v>129</v>
      </c>
      <c r="B43" s="27" t="s">
        <v>533</v>
      </c>
      <c r="C43" s="6" t="s">
        <v>5901</v>
      </c>
      <c r="D43" s="358" t="s">
        <v>5977</v>
      </c>
      <c r="E43" s="6" t="s">
        <v>61</v>
      </c>
      <c r="F43" s="6" t="s">
        <v>85</v>
      </c>
      <c r="G43" s="7"/>
      <c r="H43" s="7">
        <v>45098</v>
      </c>
      <c r="I43" s="6" t="s">
        <v>534</v>
      </c>
      <c r="J43" s="6" t="s">
        <v>535</v>
      </c>
      <c r="K43" s="8">
        <v>79200</v>
      </c>
      <c r="L43" s="6" t="s">
        <v>5978</v>
      </c>
      <c r="M43" s="6" t="s">
        <v>1899</v>
      </c>
      <c r="N43" s="22"/>
      <c r="O43" s="22"/>
      <c r="P43" s="34"/>
      <c r="Q43" s="34"/>
      <c r="R43" s="304"/>
      <c r="S43" s="34"/>
      <c r="T43" s="34"/>
      <c r="U43" s="34"/>
      <c r="V43" s="34"/>
      <c r="W43" s="105"/>
      <c r="X43" s="105"/>
    </row>
    <row r="44" spans="1:24" ht="89.25" hidden="1">
      <c r="A44" s="27" t="s">
        <v>129</v>
      </c>
      <c r="B44" s="27" t="s">
        <v>536</v>
      </c>
      <c r="C44" s="6" t="s">
        <v>5901</v>
      </c>
      <c r="D44" s="359"/>
      <c r="E44" s="6" t="s">
        <v>61</v>
      </c>
      <c r="F44" s="6" t="s">
        <v>85</v>
      </c>
      <c r="G44" s="7"/>
      <c r="H44" s="7">
        <v>45104</v>
      </c>
      <c r="I44" s="6" t="s">
        <v>537</v>
      </c>
      <c r="J44" s="210" t="s">
        <v>5551</v>
      </c>
      <c r="K44" s="30">
        <v>170921.5</v>
      </c>
      <c r="L44" s="6" t="s">
        <v>5979</v>
      </c>
      <c r="M44" s="6" t="s">
        <v>2571</v>
      </c>
      <c r="N44" s="22"/>
      <c r="O44" s="22"/>
      <c r="P44" s="34"/>
      <c r="Q44" s="34"/>
      <c r="R44" s="304"/>
      <c r="S44" s="34"/>
      <c r="T44" s="34"/>
      <c r="U44" s="34"/>
      <c r="V44" s="34"/>
      <c r="W44" s="105"/>
      <c r="X44" s="105"/>
    </row>
    <row r="45" spans="1:24" ht="89.25" hidden="1">
      <c r="A45" s="27" t="s">
        <v>129</v>
      </c>
      <c r="B45" s="27" t="s">
        <v>539</v>
      </c>
      <c r="C45" s="6" t="s">
        <v>5901</v>
      </c>
      <c r="D45" s="358" t="s">
        <v>5980</v>
      </c>
      <c r="E45" s="6" t="s">
        <v>61</v>
      </c>
      <c r="F45" s="6" t="s">
        <v>85</v>
      </c>
      <c r="G45" s="7"/>
      <c r="H45" s="7">
        <v>45104</v>
      </c>
      <c r="I45" s="6" t="s">
        <v>540</v>
      </c>
      <c r="J45" s="210" t="s">
        <v>541</v>
      </c>
      <c r="K45" s="30">
        <v>96088.5</v>
      </c>
      <c r="L45" s="6" t="s">
        <v>5981</v>
      </c>
      <c r="M45" s="6" t="s">
        <v>1828</v>
      </c>
      <c r="N45" s="22"/>
      <c r="O45" s="22"/>
      <c r="P45" s="34"/>
      <c r="Q45" s="34"/>
      <c r="R45" s="304"/>
      <c r="S45" s="34"/>
      <c r="T45" s="34"/>
      <c r="U45" s="34"/>
      <c r="V45" s="34"/>
      <c r="W45" s="105"/>
      <c r="X45" s="105"/>
    </row>
    <row r="46" spans="1:24" ht="89.25" hidden="1">
      <c r="A46" s="27" t="s">
        <v>129</v>
      </c>
      <c r="B46" s="27" t="s">
        <v>5552</v>
      </c>
      <c r="C46" s="22"/>
      <c r="D46" s="359"/>
      <c r="E46" s="6" t="s">
        <v>1867</v>
      </c>
      <c r="F46" s="6" t="s">
        <v>62</v>
      </c>
      <c r="G46" s="7"/>
      <c r="H46" s="7">
        <v>45104</v>
      </c>
      <c r="I46" s="6" t="s">
        <v>5553</v>
      </c>
      <c r="J46" s="210" t="s">
        <v>5554</v>
      </c>
      <c r="K46" s="30"/>
      <c r="L46" s="6"/>
      <c r="M46" s="6"/>
      <c r="N46" s="22"/>
      <c r="O46" s="22"/>
      <c r="P46" s="34"/>
      <c r="Q46" s="34"/>
      <c r="R46" s="304"/>
      <c r="S46" s="34"/>
      <c r="T46" s="34"/>
      <c r="U46" s="34"/>
      <c r="V46" s="34"/>
      <c r="W46" s="105"/>
      <c r="X46" s="105"/>
    </row>
    <row r="47" spans="1:24" ht="89.25" hidden="1">
      <c r="A47" s="27" t="s">
        <v>129</v>
      </c>
      <c r="B47" s="27" t="s">
        <v>542</v>
      </c>
      <c r="C47" s="6" t="s">
        <v>5901</v>
      </c>
      <c r="D47" s="359"/>
      <c r="E47" s="6" t="s">
        <v>61</v>
      </c>
      <c r="F47" s="6" t="s">
        <v>125</v>
      </c>
      <c r="G47" s="7"/>
      <c r="H47" s="7">
        <v>45106</v>
      </c>
      <c r="I47" s="6" t="s">
        <v>543</v>
      </c>
      <c r="J47" s="6" t="s">
        <v>544</v>
      </c>
      <c r="K47" s="30">
        <v>2743807.5</v>
      </c>
      <c r="L47" s="6" t="s">
        <v>5982</v>
      </c>
      <c r="M47" s="6" t="s">
        <v>2082</v>
      </c>
      <c r="N47" s="22"/>
      <c r="O47" s="22"/>
      <c r="P47" s="34"/>
      <c r="Q47" s="34"/>
      <c r="R47" s="304"/>
      <c r="S47" s="34"/>
      <c r="T47" s="34"/>
      <c r="U47" s="34"/>
      <c r="V47" s="34"/>
      <c r="W47" s="105"/>
      <c r="X47" s="105"/>
    </row>
    <row r="48" spans="1:24" ht="89.25" hidden="1">
      <c r="A48" s="27" t="s">
        <v>129</v>
      </c>
      <c r="B48" s="27" t="s">
        <v>1045</v>
      </c>
      <c r="C48" s="6" t="s">
        <v>5901</v>
      </c>
      <c r="D48" s="359"/>
      <c r="E48" s="6" t="s">
        <v>61</v>
      </c>
      <c r="F48" s="6" t="s">
        <v>62</v>
      </c>
      <c r="G48" s="7"/>
      <c r="H48" s="7">
        <v>45119</v>
      </c>
      <c r="I48" s="6" t="s">
        <v>1046</v>
      </c>
      <c r="J48" s="210" t="s">
        <v>1047</v>
      </c>
      <c r="K48" s="30">
        <v>163174.5</v>
      </c>
      <c r="L48" s="6" t="s">
        <v>5983</v>
      </c>
      <c r="M48" s="6"/>
      <c r="N48" s="22"/>
      <c r="O48" s="22"/>
      <c r="P48" s="34"/>
      <c r="Q48" s="34"/>
      <c r="R48" s="304"/>
      <c r="S48" s="34"/>
      <c r="T48" s="34"/>
      <c r="U48" s="34"/>
      <c r="V48" s="34"/>
      <c r="W48" s="105"/>
      <c r="X48" s="105"/>
    </row>
    <row r="49" spans="1:24" ht="178.5" hidden="1">
      <c r="A49" s="27" t="s">
        <v>129</v>
      </c>
      <c r="B49" s="27" t="s">
        <v>545</v>
      </c>
      <c r="C49" s="6" t="s">
        <v>5901</v>
      </c>
      <c r="D49" s="359"/>
      <c r="E49" s="6" t="s">
        <v>61</v>
      </c>
      <c r="F49" s="6" t="s">
        <v>85</v>
      </c>
      <c r="G49" s="7"/>
      <c r="H49" s="7">
        <v>45119</v>
      </c>
      <c r="I49" s="6" t="s">
        <v>546</v>
      </c>
      <c r="J49" s="210" t="s">
        <v>547</v>
      </c>
      <c r="K49" s="30">
        <v>66103</v>
      </c>
      <c r="L49" s="6" t="s">
        <v>5984</v>
      </c>
      <c r="M49" s="6" t="s">
        <v>1896</v>
      </c>
      <c r="N49" s="22"/>
      <c r="O49" s="22" t="s">
        <v>5985</v>
      </c>
      <c r="P49" s="34"/>
      <c r="Q49" s="34"/>
      <c r="R49" s="304"/>
      <c r="S49" s="34"/>
      <c r="T49" s="34"/>
      <c r="U49" s="34"/>
      <c r="V49" s="34"/>
      <c r="W49" s="105"/>
      <c r="X49" s="105"/>
    </row>
    <row r="50" spans="1:24" ht="89.25" hidden="1">
      <c r="A50" s="27" t="s">
        <v>129</v>
      </c>
      <c r="B50" s="27" t="s">
        <v>1048</v>
      </c>
      <c r="C50" s="6" t="s">
        <v>5901</v>
      </c>
      <c r="D50" s="359"/>
      <c r="E50" s="6" t="s">
        <v>61</v>
      </c>
      <c r="F50" s="6" t="s">
        <v>62</v>
      </c>
      <c r="G50" s="7"/>
      <c r="H50" s="7">
        <v>45126</v>
      </c>
      <c r="I50" s="6" t="s">
        <v>1049</v>
      </c>
      <c r="J50" s="210" t="s">
        <v>1050</v>
      </c>
      <c r="K50" s="30">
        <v>500000</v>
      </c>
      <c r="L50" s="6" t="s">
        <v>5986</v>
      </c>
      <c r="M50" s="6"/>
      <c r="N50" s="22"/>
      <c r="O50" s="22"/>
      <c r="P50" s="34"/>
      <c r="Q50" s="34"/>
      <c r="R50" s="304"/>
      <c r="S50" s="34"/>
      <c r="T50" s="34"/>
      <c r="U50" s="34"/>
      <c r="V50" s="34"/>
      <c r="W50" s="105"/>
      <c r="X50" s="105"/>
    </row>
    <row r="51" spans="1:24" ht="89.25" hidden="1">
      <c r="A51" s="27" t="s">
        <v>129</v>
      </c>
      <c r="B51" s="27" t="s">
        <v>1051</v>
      </c>
      <c r="C51" s="6"/>
      <c r="D51" s="359"/>
      <c r="E51" s="6" t="s">
        <v>61</v>
      </c>
      <c r="F51" s="6" t="s">
        <v>62</v>
      </c>
      <c r="G51" s="7"/>
      <c r="H51" s="7">
        <v>45126</v>
      </c>
      <c r="I51" s="6" t="s">
        <v>1052</v>
      </c>
      <c r="J51" s="210" t="s">
        <v>1053</v>
      </c>
      <c r="K51" s="30">
        <v>1493838</v>
      </c>
      <c r="L51" s="6" t="s">
        <v>5674</v>
      </c>
      <c r="M51" s="6"/>
      <c r="N51" s="22"/>
      <c r="O51" s="22"/>
      <c r="P51" s="34"/>
      <c r="Q51" s="34"/>
      <c r="R51" s="304"/>
      <c r="S51" s="34"/>
      <c r="T51" s="34"/>
      <c r="U51" s="34"/>
      <c r="V51" s="34"/>
      <c r="W51" s="105"/>
      <c r="X51" s="105"/>
    </row>
    <row r="52" spans="1:24" ht="89.25" hidden="1">
      <c r="A52" s="27" t="s">
        <v>129</v>
      </c>
      <c r="B52" s="27" t="s">
        <v>5328</v>
      </c>
      <c r="C52" s="6" t="s">
        <v>5901</v>
      </c>
      <c r="D52" s="359"/>
      <c r="E52" s="6" t="s">
        <v>61</v>
      </c>
      <c r="F52" s="6" t="s">
        <v>62</v>
      </c>
      <c r="G52" s="7"/>
      <c r="H52" s="7">
        <v>45126</v>
      </c>
      <c r="I52" s="6" t="s">
        <v>5329</v>
      </c>
      <c r="J52" s="210" t="s">
        <v>5330</v>
      </c>
      <c r="K52" s="30">
        <v>417360</v>
      </c>
      <c r="L52" s="6" t="s">
        <v>5987</v>
      </c>
      <c r="M52" s="6"/>
      <c r="N52" s="22"/>
      <c r="O52" s="22"/>
      <c r="P52" s="34"/>
      <c r="Q52" s="34"/>
      <c r="R52" s="304"/>
      <c r="S52" s="34"/>
      <c r="T52" s="34"/>
      <c r="U52" s="34"/>
      <c r="V52" s="34"/>
      <c r="W52" s="105"/>
      <c r="X52" s="105"/>
    </row>
    <row r="53" spans="1:24" ht="89.25" hidden="1">
      <c r="A53" s="27" t="s">
        <v>129</v>
      </c>
      <c r="B53" s="27" t="s">
        <v>1054</v>
      </c>
      <c r="C53" s="6" t="s">
        <v>5901</v>
      </c>
      <c r="D53" s="359"/>
      <c r="E53" s="6" t="s">
        <v>61</v>
      </c>
      <c r="F53" s="6" t="s">
        <v>62</v>
      </c>
      <c r="G53" s="7"/>
      <c r="H53" s="7">
        <v>45126</v>
      </c>
      <c r="I53" s="6" t="s">
        <v>1055</v>
      </c>
      <c r="J53" s="210" t="s">
        <v>1056</v>
      </c>
      <c r="K53" s="30">
        <v>1240000</v>
      </c>
      <c r="L53" s="6" t="s">
        <v>5988</v>
      </c>
      <c r="M53" s="6"/>
      <c r="N53" s="22"/>
      <c r="O53" s="22"/>
      <c r="P53" s="34"/>
      <c r="Q53" s="34"/>
      <c r="R53" s="304"/>
      <c r="S53" s="34"/>
      <c r="T53" s="34"/>
      <c r="U53" s="34"/>
      <c r="V53" s="34"/>
      <c r="W53" s="105"/>
      <c r="X53" s="105"/>
    </row>
    <row r="54" spans="1:24" ht="89.25" hidden="1">
      <c r="A54" s="27" t="s">
        <v>129</v>
      </c>
      <c r="B54" s="27" t="s">
        <v>1057</v>
      </c>
      <c r="C54" s="6" t="s">
        <v>5901</v>
      </c>
      <c r="D54" s="359"/>
      <c r="E54" s="6" t="s">
        <v>61</v>
      </c>
      <c r="F54" s="6" t="s">
        <v>62</v>
      </c>
      <c r="G54" s="7"/>
      <c r="H54" s="7">
        <v>45126</v>
      </c>
      <c r="I54" s="6" t="s">
        <v>1058</v>
      </c>
      <c r="J54" s="210" t="s">
        <v>1059</v>
      </c>
      <c r="K54" s="30">
        <v>249255</v>
      </c>
      <c r="L54" s="6" t="s">
        <v>5989</v>
      </c>
      <c r="M54" s="6"/>
      <c r="N54" s="22"/>
      <c r="O54" s="22"/>
      <c r="P54" s="34"/>
      <c r="Q54" s="34"/>
      <c r="R54" s="304"/>
      <c r="S54" s="34"/>
      <c r="T54" s="34"/>
      <c r="U54" s="34"/>
      <c r="V54" s="34"/>
      <c r="W54" s="105"/>
      <c r="X54" s="105"/>
    </row>
    <row r="55" spans="1:24" ht="89.25" hidden="1">
      <c r="A55" s="27" t="s">
        <v>129</v>
      </c>
      <c r="B55" s="27" t="s">
        <v>5555</v>
      </c>
      <c r="C55" s="6"/>
      <c r="D55" s="359"/>
      <c r="E55" s="6" t="s">
        <v>1867</v>
      </c>
      <c r="F55" s="6" t="s">
        <v>1877</v>
      </c>
      <c r="G55" s="7"/>
      <c r="H55" s="7">
        <v>45126</v>
      </c>
      <c r="I55" s="6" t="s">
        <v>5556</v>
      </c>
      <c r="J55" s="210" t="s">
        <v>657</v>
      </c>
      <c r="K55" s="30"/>
      <c r="L55" s="6" t="s">
        <v>2096</v>
      </c>
      <c r="M55" s="6"/>
      <c r="N55" s="22"/>
      <c r="O55" s="22"/>
      <c r="P55" s="34"/>
      <c r="Q55" s="34"/>
      <c r="R55" s="304"/>
      <c r="S55" s="34"/>
      <c r="T55" s="34"/>
      <c r="U55" s="34"/>
      <c r="V55" s="34"/>
      <c r="W55" s="105"/>
      <c r="X55" s="105"/>
    </row>
    <row r="56" spans="1:24" ht="89.25" hidden="1">
      <c r="A56" s="27" t="s">
        <v>129</v>
      </c>
      <c r="B56" s="27" t="s">
        <v>1060</v>
      </c>
      <c r="C56" s="6"/>
      <c r="D56" s="359"/>
      <c r="E56" s="6" t="s">
        <v>61</v>
      </c>
      <c r="F56" s="6" t="s">
        <v>62</v>
      </c>
      <c r="G56" s="7"/>
      <c r="H56" s="7">
        <v>45133</v>
      </c>
      <c r="I56" s="6" t="s">
        <v>1061</v>
      </c>
      <c r="J56" s="210" t="s">
        <v>1062</v>
      </c>
      <c r="K56" s="30">
        <v>1652388.53</v>
      </c>
      <c r="L56" s="6" t="s">
        <v>5990</v>
      </c>
      <c r="M56" s="6"/>
      <c r="N56" s="22"/>
      <c r="O56" s="22"/>
      <c r="P56" s="34"/>
      <c r="Q56" s="34"/>
      <c r="R56" s="304"/>
      <c r="S56" s="34"/>
      <c r="T56" s="34"/>
      <c r="U56" s="34"/>
      <c r="V56" s="34"/>
      <c r="W56" s="105"/>
      <c r="X56" s="105"/>
    </row>
    <row r="57" spans="1:24" ht="89.25" hidden="1">
      <c r="A57" s="27" t="s">
        <v>129</v>
      </c>
      <c r="B57" s="27" t="s">
        <v>5557</v>
      </c>
      <c r="C57" s="22"/>
      <c r="D57" s="359"/>
      <c r="E57" s="6" t="s">
        <v>61</v>
      </c>
      <c r="F57" s="6" t="s">
        <v>62</v>
      </c>
      <c r="G57" s="7"/>
      <c r="H57" s="7">
        <v>45133</v>
      </c>
      <c r="I57" s="6" t="s">
        <v>5558</v>
      </c>
      <c r="J57" s="210" t="s">
        <v>5559</v>
      </c>
      <c r="K57" s="30">
        <v>1107106.72</v>
      </c>
      <c r="L57" s="6" t="s">
        <v>5991</v>
      </c>
      <c r="M57" s="6"/>
      <c r="N57" s="22"/>
      <c r="O57" s="22"/>
      <c r="P57" s="34"/>
      <c r="Q57" s="34"/>
      <c r="R57" s="304"/>
      <c r="S57" s="34"/>
      <c r="T57" s="34"/>
      <c r="U57" s="34"/>
      <c r="V57" s="34"/>
      <c r="W57" s="105"/>
      <c r="X57" s="105"/>
    </row>
    <row r="58" spans="1:24" ht="89.25" hidden="1">
      <c r="A58" s="27" t="s">
        <v>129</v>
      </c>
      <c r="B58" s="27" t="s">
        <v>5560</v>
      </c>
      <c r="C58" s="6" t="s">
        <v>5901</v>
      </c>
      <c r="D58" s="359"/>
      <c r="E58" s="6" t="s">
        <v>61</v>
      </c>
      <c r="F58" s="6" t="s">
        <v>62</v>
      </c>
      <c r="G58" s="7"/>
      <c r="H58" s="7">
        <v>45140</v>
      </c>
      <c r="I58" s="6" t="s">
        <v>5561</v>
      </c>
      <c r="J58" s="6" t="s">
        <v>5562</v>
      </c>
      <c r="K58" s="8">
        <v>870750</v>
      </c>
      <c r="L58" s="6" t="s">
        <v>5992</v>
      </c>
      <c r="M58" s="6"/>
      <c r="N58" s="22"/>
      <c r="O58" s="22"/>
      <c r="P58" s="34"/>
      <c r="Q58" s="34"/>
      <c r="R58" s="304"/>
      <c r="S58" s="34"/>
      <c r="T58" s="34"/>
      <c r="U58" s="34"/>
      <c r="V58" s="34"/>
      <c r="W58" s="105"/>
      <c r="X58" s="105"/>
    </row>
    <row r="59" spans="1:24" ht="89.25" hidden="1">
      <c r="A59" s="27" t="s">
        <v>129</v>
      </c>
      <c r="B59" s="27" t="s">
        <v>548</v>
      </c>
      <c r="C59" s="6" t="s">
        <v>5901</v>
      </c>
      <c r="D59" s="359"/>
      <c r="E59" s="6" t="s">
        <v>61</v>
      </c>
      <c r="F59" s="6" t="s">
        <v>85</v>
      </c>
      <c r="G59" s="7"/>
      <c r="H59" s="7">
        <v>45140</v>
      </c>
      <c r="I59" s="6" t="s">
        <v>549</v>
      </c>
      <c r="J59" s="6" t="s">
        <v>5993</v>
      </c>
      <c r="K59" s="8">
        <v>185800</v>
      </c>
      <c r="L59" s="6" t="s">
        <v>5994</v>
      </c>
      <c r="M59" s="6" t="s">
        <v>2130</v>
      </c>
      <c r="N59" s="22"/>
      <c r="O59" s="22"/>
      <c r="P59" s="34"/>
      <c r="Q59" s="34"/>
      <c r="R59" s="304"/>
      <c r="S59" s="34"/>
      <c r="T59" s="34"/>
      <c r="U59" s="34"/>
      <c r="V59" s="34"/>
      <c r="W59" s="105"/>
      <c r="X59" s="105"/>
    </row>
    <row r="60" spans="1:24" ht="89.25" hidden="1">
      <c r="A60" s="27" t="s">
        <v>129</v>
      </c>
      <c r="B60" s="27" t="s">
        <v>5563</v>
      </c>
      <c r="C60" s="6" t="s">
        <v>5901</v>
      </c>
      <c r="D60" s="359"/>
      <c r="E60" s="6" t="s">
        <v>61</v>
      </c>
      <c r="F60" s="6" t="s">
        <v>5470</v>
      </c>
      <c r="G60" s="7"/>
      <c r="H60" s="7">
        <v>45140</v>
      </c>
      <c r="I60" s="6"/>
      <c r="J60" s="6"/>
      <c r="K60" s="8"/>
      <c r="L60" s="6"/>
      <c r="M60" s="6"/>
      <c r="N60" s="22"/>
      <c r="O60" s="22"/>
      <c r="P60" s="34"/>
      <c r="Q60" s="34"/>
      <c r="R60" s="304"/>
      <c r="S60" s="34"/>
      <c r="T60" s="34"/>
      <c r="U60" s="34"/>
      <c r="V60" s="34"/>
      <c r="W60" s="105"/>
      <c r="X60" s="105"/>
    </row>
    <row r="61" spans="1:24" ht="89.25" hidden="1">
      <c r="A61" s="27" t="s">
        <v>129</v>
      </c>
      <c r="B61" s="27" t="s">
        <v>1063</v>
      </c>
      <c r="C61" s="6" t="s">
        <v>5901</v>
      </c>
      <c r="D61" s="359"/>
      <c r="E61" s="6" t="s">
        <v>61</v>
      </c>
      <c r="F61" s="6" t="s">
        <v>62</v>
      </c>
      <c r="G61" s="7"/>
      <c r="H61" s="7">
        <v>45140</v>
      </c>
      <c r="I61" s="6" t="s">
        <v>1064</v>
      </c>
      <c r="J61" s="6" t="s">
        <v>1065</v>
      </c>
      <c r="K61" s="8">
        <v>369166.12</v>
      </c>
      <c r="L61" s="6" t="s">
        <v>5995</v>
      </c>
      <c r="M61" s="6"/>
      <c r="N61" s="22"/>
      <c r="O61" s="22"/>
      <c r="P61" s="34"/>
      <c r="Q61" s="34"/>
      <c r="R61" s="304"/>
      <c r="S61" s="34"/>
      <c r="T61" s="34"/>
      <c r="U61" s="34"/>
      <c r="V61" s="34"/>
      <c r="W61" s="105"/>
      <c r="X61" s="105"/>
    </row>
    <row r="62" spans="1:24" ht="76.5" hidden="1">
      <c r="A62" s="27"/>
      <c r="B62" s="27"/>
      <c r="C62" s="22"/>
      <c r="D62" s="359"/>
      <c r="E62" s="6"/>
      <c r="F62" s="6"/>
      <c r="G62" s="7"/>
      <c r="H62" s="7"/>
      <c r="I62" s="6"/>
      <c r="J62" s="360" t="s">
        <v>5996</v>
      </c>
      <c r="K62" s="361">
        <f>SUMIFS('Copy of 2023 GIA SummaryMonitor'!K:K, 'Copy of 2023 GIA SummaryMonitor'!E:E, "APPROVAL", 'Copy of 2023 GIA SummaryMonitor'!A:A, "2023")</f>
        <v>25133041.390000001</v>
      </c>
      <c r="L62" s="6"/>
      <c r="M62" s="6"/>
      <c r="N62" s="22"/>
      <c r="O62" s="22"/>
      <c r="P62" s="34"/>
      <c r="Q62" s="34"/>
      <c r="R62" s="304"/>
      <c r="S62" s="34"/>
      <c r="T62" s="34"/>
      <c r="U62" s="34"/>
      <c r="V62" s="34"/>
      <c r="W62" s="105"/>
      <c r="X62" s="105"/>
    </row>
    <row r="63" spans="1:24" ht="25.5" hidden="1">
      <c r="A63" s="309"/>
      <c r="B63" s="309"/>
      <c r="C63" s="34"/>
      <c r="D63" s="362"/>
      <c r="E63" s="34"/>
      <c r="F63" s="34"/>
      <c r="G63" s="35"/>
      <c r="H63" s="35"/>
      <c r="I63" s="34"/>
      <c r="J63" s="363" t="s">
        <v>5997</v>
      </c>
      <c r="K63" s="364">
        <f>K57+K56+K54+K53+K52+K51+K50+K48+K32+K28+K27+K26+K21+K5</f>
        <v>11473805.209999999</v>
      </c>
      <c r="L63" s="65">
        <f>K63-K27</f>
        <v>11170979.709999999</v>
      </c>
      <c r="M63" s="34"/>
      <c r="N63" s="188"/>
      <c r="O63" s="188"/>
      <c r="P63" s="34"/>
      <c r="Q63" s="34"/>
      <c r="R63" s="304"/>
      <c r="S63" s="34"/>
      <c r="T63" s="34"/>
      <c r="U63" s="34"/>
      <c r="V63" s="34"/>
      <c r="W63" s="105"/>
      <c r="X63" s="105"/>
    </row>
    <row r="64" spans="1:24" ht="12.75" hidden="1">
      <c r="A64" s="309"/>
      <c r="B64" s="309"/>
      <c r="C64" s="34"/>
      <c r="D64" s="362"/>
      <c r="E64" s="34"/>
      <c r="F64" s="34"/>
      <c r="G64" s="35"/>
      <c r="H64" s="35"/>
      <c r="I64" s="34"/>
      <c r="J64" s="310" t="s">
        <v>5998</v>
      </c>
      <c r="K64" s="311">
        <v>15673751</v>
      </c>
      <c r="L64" s="34"/>
      <c r="M64" s="34"/>
      <c r="N64" s="188"/>
      <c r="O64" s="188"/>
      <c r="P64" s="34"/>
      <c r="Q64" s="34"/>
      <c r="R64" s="304"/>
      <c r="S64" s="34"/>
      <c r="T64" s="34"/>
      <c r="U64" s="34"/>
      <c r="V64" s="34"/>
      <c r="W64" s="105"/>
      <c r="X64" s="105"/>
    </row>
    <row r="65" spans="1:24" ht="12.75" hidden="1">
      <c r="A65" s="309"/>
      <c r="B65" s="309"/>
      <c r="C65" s="34"/>
      <c r="D65" s="362"/>
      <c r="E65" s="34"/>
      <c r="F65" s="34"/>
      <c r="G65" s="35"/>
      <c r="H65" s="35"/>
      <c r="I65" s="34"/>
      <c r="J65" s="34"/>
      <c r="K65" s="311">
        <f>K64-K63</f>
        <v>4199945.790000001</v>
      </c>
      <c r="L65" s="364">
        <f>K64-L63</f>
        <v>4502771.290000001</v>
      </c>
      <c r="M65" s="34"/>
      <c r="N65" s="188"/>
      <c r="O65" s="188"/>
      <c r="P65" s="34"/>
      <c r="Q65" s="34"/>
      <c r="R65" s="304"/>
      <c r="S65" s="34"/>
      <c r="T65" s="34"/>
      <c r="U65" s="34"/>
      <c r="V65" s="34"/>
      <c r="W65" s="105"/>
      <c r="X65" s="105"/>
    </row>
    <row r="66" spans="1:24" ht="12.75" hidden="1">
      <c r="A66" s="309"/>
      <c r="B66" s="309"/>
      <c r="C66" s="34"/>
      <c r="D66" s="362"/>
      <c r="E66" s="34"/>
      <c r="F66" s="34"/>
      <c r="G66" s="35"/>
      <c r="H66" s="35"/>
      <c r="I66" s="34"/>
      <c r="J66" s="34"/>
      <c r="K66" s="65">
        <f>K47+K39+K38</f>
        <v>7925491.5</v>
      </c>
      <c r="L66" s="34"/>
      <c r="M66" s="34"/>
      <c r="N66" s="188"/>
      <c r="O66" s="188"/>
      <c r="P66" s="34"/>
      <c r="Q66" s="34"/>
      <c r="R66" s="304"/>
      <c r="S66" s="34"/>
      <c r="T66" s="34"/>
      <c r="U66" s="34"/>
      <c r="V66" s="34"/>
      <c r="W66" s="105"/>
      <c r="X66" s="105"/>
    </row>
    <row r="67" spans="1:24" ht="12.75" hidden="1">
      <c r="A67" s="309"/>
      <c r="B67" s="309"/>
      <c r="C67" s="34"/>
      <c r="D67" s="362"/>
      <c r="E67" s="34"/>
      <c r="F67" s="34"/>
      <c r="G67" s="35"/>
      <c r="H67" s="35"/>
      <c r="I67" s="34"/>
      <c r="J67" s="34"/>
      <c r="K67" s="65"/>
      <c r="L67" s="34"/>
      <c r="M67" s="34"/>
      <c r="N67" s="188"/>
      <c r="O67" s="188"/>
      <c r="P67" s="34"/>
      <c r="Q67" s="34"/>
      <c r="R67" s="304"/>
      <c r="S67" s="34"/>
      <c r="T67" s="34"/>
      <c r="U67" s="34"/>
      <c r="V67" s="34"/>
      <c r="W67" s="105"/>
      <c r="X67" s="105"/>
    </row>
    <row r="68" spans="1:24" ht="12.75">
      <c r="A68" s="809"/>
      <c r="B68" s="309"/>
      <c r="C68" s="6"/>
      <c r="D68" s="811" t="s">
        <v>5999</v>
      </c>
      <c r="E68" s="812"/>
      <c r="F68" s="813"/>
      <c r="G68" s="35"/>
      <c r="H68" s="65"/>
      <c r="I68" s="34"/>
      <c r="J68" s="310"/>
      <c r="K68" s="365"/>
      <c r="L68" s="188"/>
      <c r="M68" s="366"/>
      <c r="N68" s="367"/>
      <c r="O68" s="188"/>
      <c r="P68" s="34"/>
      <c r="Q68" s="34"/>
      <c r="R68" s="304"/>
      <c r="S68" s="34"/>
      <c r="T68" s="34"/>
      <c r="U68" s="34"/>
      <c r="V68" s="34"/>
      <c r="W68" s="105"/>
      <c r="X68" s="105"/>
    </row>
    <row r="69" spans="1:24" ht="45">
      <c r="A69" s="810"/>
      <c r="B69" s="309"/>
      <c r="C69" s="368" t="s">
        <v>6000</v>
      </c>
      <c r="D69" s="369" t="s">
        <v>6001</v>
      </c>
      <c r="E69" s="368" t="s">
        <v>6002</v>
      </c>
      <c r="F69" s="368" t="s">
        <v>6003</v>
      </c>
      <c r="G69" s="370"/>
      <c r="H69" s="311"/>
      <c r="I69" s="371"/>
      <c r="J69" s="372"/>
      <c r="K69" s="65"/>
      <c r="L69" s="188"/>
      <c r="M69" s="373"/>
      <c r="N69" s="374"/>
      <c r="O69" s="188"/>
      <c r="P69" s="34"/>
      <c r="Q69" s="34"/>
      <c r="R69" s="304"/>
      <c r="S69" s="34"/>
      <c r="T69" s="34"/>
      <c r="U69" s="34"/>
      <c r="V69" s="34"/>
      <c r="W69" s="105"/>
      <c r="X69" s="105"/>
    </row>
    <row r="70" spans="1:24" ht="42.75">
      <c r="A70" s="309"/>
      <c r="B70" s="309"/>
      <c r="C70" s="375" t="s">
        <v>6004</v>
      </c>
      <c r="D70" s="376" t="s">
        <v>6005</v>
      </c>
      <c r="E70" s="377">
        <v>49750</v>
      </c>
      <c r="F70" s="377">
        <v>73750</v>
      </c>
      <c r="G70" s="370"/>
      <c r="H70" s="366"/>
      <c r="I70" s="212"/>
      <c r="J70" s="372"/>
      <c r="K70" s="311"/>
      <c r="L70" s="371"/>
      <c r="M70" s="373"/>
      <c r="N70" s="378"/>
      <c r="O70" s="371"/>
      <c r="P70" s="34"/>
      <c r="Q70" s="34"/>
      <c r="R70" s="304"/>
      <c r="S70" s="34"/>
      <c r="T70" s="34"/>
      <c r="U70" s="34"/>
      <c r="V70" s="34"/>
      <c r="W70" s="105"/>
      <c r="X70" s="105"/>
    </row>
    <row r="71" spans="1:24" ht="42.75">
      <c r="A71" s="309"/>
      <c r="B71" s="309"/>
      <c r="C71" s="375" t="s">
        <v>6006</v>
      </c>
      <c r="D71" s="376" t="s">
        <v>6007</v>
      </c>
      <c r="E71" s="377">
        <v>33700</v>
      </c>
      <c r="F71" s="377">
        <v>75541</v>
      </c>
      <c r="G71" s="35"/>
      <c r="H71" s="379"/>
      <c r="I71" s="380"/>
      <c r="J71" s="372"/>
      <c r="K71" s="65"/>
      <c r="L71" s="188"/>
      <c r="M71" s="373"/>
      <c r="N71" s="374"/>
      <c r="O71" s="188"/>
      <c r="P71" s="34"/>
      <c r="Q71" s="34"/>
      <c r="R71" s="304"/>
      <c r="S71" s="34"/>
      <c r="T71" s="34"/>
      <c r="U71" s="34"/>
      <c r="V71" s="34"/>
      <c r="W71" s="105"/>
      <c r="X71" s="105"/>
    </row>
    <row r="72" spans="1:24" ht="12.75">
      <c r="A72" s="309"/>
      <c r="B72" s="309"/>
      <c r="C72" s="34"/>
      <c r="D72" s="381">
        <f t="shared" ref="D72:F72" si="0">D71+D70</f>
        <v>65841</v>
      </c>
      <c r="E72" s="8">
        <f t="shared" si="0"/>
        <v>83450</v>
      </c>
      <c r="F72" s="8">
        <f t="shared" si="0"/>
        <v>149291</v>
      </c>
      <c r="G72" s="35"/>
      <c r="H72" s="379"/>
      <c r="I72" s="380"/>
      <c r="J72" s="372"/>
      <c r="K72" s="65"/>
      <c r="L72" s="188"/>
      <c r="M72" s="373"/>
      <c r="N72" s="382"/>
      <c r="O72" s="188"/>
      <c r="P72" s="34"/>
      <c r="Q72" s="34"/>
      <c r="R72" s="304"/>
      <c r="S72" s="34"/>
      <c r="T72" s="34"/>
      <c r="U72" s="34"/>
      <c r="V72" s="34"/>
      <c r="W72" s="105"/>
      <c r="X72" s="105"/>
    </row>
    <row r="73" spans="1:24" ht="12.75">
      <c r="A73" s="309"/>
      <c r="B73" s="309"/>
      <c r="C73" s="34"/>
      <c r="D73" s="362"/>
      <c r="E73" s="34"/>
      <c r="F73" s="34"/>
      <c r="G73" s="35"/>
      <c r="H73" s="379"/>
      <c r="I73" s="380"/>
      <c r="J73" s="372"/>
      <c r="K73" s="65"/>
      <c r="L73" s="188"/>
      <c r="M73" s="383"/>
      <c r="N73" s="374"/>
      <c r="O73" s="188"/>
      <c r="P73" s="34"/>
      <c r="Q73" s="34"/>
      <c r="R73" s="304"/>
      <c r="S73" s="34"/>
      <c r="T73" s="34"/>
      <c r="U73" s="34"/>
      <c r="V73" s="34"/>
      <c r="W73" s="105"/>
      <c r="X73" s="105"/>
    </row>
    <row r="74" spans="1:24" ht="12.75">
      <c r="A74" s="309"/>
      <c r="B74" s="309"/>
      <c r="C74" s="34"/>
      <c r="D74" s="362"/>
      <c r="E74" s="34"/>
      <c r="F74" s="34"/>
      <c r="G74" s="35"/>
      <c r="H74" s="379"/>
      <c r="I74" s="380"/>
      <c r="J74" s="372"/>
      <c r="K74" s="65"/>
      <c r="L74" s="188"/>
      <c r="M74" s="384"/>
      <c r="N74" s="65"/>
      <c r="O74" s="188"/>
      <c r="P74" s="34"/>
      <c r="Q74" s="34"/>
      <c r="R74" s="304"/>
      <c r="S74" s="34"/>
      <c r="T74" s="34"/>
      <c r="U74" s="34"/>
      <c r="V74" s="34"/>
      <c r="W74" s="105"/>
      <c r="X74" s="105"/>
    </row>
    <row r="75" spans="1:24" ht="12.75">
      <c r="A75" s="309"/>
      <c r="B75" s="309"/>
      <c r="C75" s="34"/>
      <c r="D75" s="362"/>
      <c r="E75" s="34"/>
      <c r="F75" s="34"/>
      <c r="G75" s="35"/>
      <c r="H75" s="311"/>
      <c r="I75" s="371"/>
      <c r="J75" s="372"/>
      <c r="K75" s="65"/>
      <c r="L75" s="188"/>
      <c r="M75" s="384"/>
      <c r="N75" s="65"/>
      <c r="O75" s="34"/>
      <c r="P75" s="34"/>
      <c r="Q75" s="34"/>
      <c r="R75" s="304"/>
      <c r="S75" s="34"/>
      <c r="T75" s="34"/>
      <c r="U75" s="34"/>
      <c r="V75" s="34"/>
      <c r="W75" s="105"/>
      <c r="X75" s="105"/>
    </row>
    <row r="76" spans="1:24" ht="12.75">
      <c r="A76" s="309"/>
      <c r="B76" s="309"/>
      <c r="C76" s="34"/>
      <c r="D76" s="362"/>
      <c r="E76" s="34"/>
      <c r="F76" s="34"/>
      <c r="G76" s="35"/>
      <c r="H76" s="379"/>
      <c r="I76" s="380"/>
      <c r="J76" s="372"/>
      <c r="K76" s="65"/>
      <c r="L76" s="188"/>
      <c r="M76" s="372"/>
      <c r="N76" s="65"/>
      <c r="O76" s="188"/>
      <c r="P76" s="34"/>
      <c r="Q76" s="34"/>
      <c r="R76" s="304"/>
      <c r="S76" s="34"/>
      <c r="T76" s="34"/>
      <c r="U76" s="34"/>
      <c r="V76" s="34"/>
      <c r="W76" s="105"/>
      <c r="X76" s="105"/>
    </row>
    <row r="77" spans="1:24" ht="12.75">
      <c r="A77" s="309"/>
      <c r="B77" s="309"/>
      <c r="C77" s="34"/>
      <c r="D77" s="362"/>
      <c r="E77" s="34"/>
      <c r="F77" s="34"/>
      <c r="G77" s="35"/>
      <c r="H77" s="379"/>
      <c r="I77" s="380"/>
      <c r="J77" s="34"/>
      <c r="K77" s="65"/>
      <c r="L77" s="188"/>
      <c r="M77" s="372"/>
      <c r="N77" s="65"/>
      <c r="O77" s="188"/>
      <c r="P77" s="34"/>
      <c r="Q77" s="34"/>
      <c r="R77" s="304"/>
      <c r="S77" s="34"/>
      <c r="T77" s="34"/>
      <c r="U77" s="34"/>
      <c r="V77" s="34"/>
      <c r="W77" s="105"/>
      <c r="X77" s="105"/>
    </row>
    <row r="78" spans="1:24" ht="12.75">
      <c r="A78" s="309"/>
      <c r="B78" s="309"/>
      <c r="C78" s="34"/>
      <c r="D78" s="362"/>
      <c r="E78" s="34"/>
      <c r="F78" s="34"/>
      <c r="G78" s="35"/>
      <c r="H78" s="379"/>
      <c r="I78" s="380"/>
      <c r="J78" s="34"/>
      <c r="K78" s="65"/>
      <c r="L78" s="188"/>
      <c r="M78" s="372"/>
      <c r="N78" s="65"/>
      <c r="O78" s="188"/>
      <c r="P78" s="34"/>
      <c r="Q78" s="34"/>
      <c r="R78" s="304"/>
      <c r="S78" s="34"/>
      <c r="T78" s="34"/>
      <c r="U78" s="34"/>
      <c r="V78" s="34"/>
      <c r="W78" s="105"/>
      <c r="X78" s="105"/>
    </row>
    <row r="79" spans="1:24" ht="12.75">
      <c r="A79" s="309"/>
      <c r="B79" s="309"/>
      <c r="C79" s="34"/>
      <c r="D79" s="362"/>
      <c r="E79" s="34"/>
      <c r="F79" s="34"/>
      <c r="G79" s="35"/>
      <c r="H79" s="379"/>
      <c r="I79" s="380"/>
      <c r="M79" s="372"/>
      <c r="N79" s="65"/>
      <c r="O79" s="188"/>
      <c r="P79" s="34"/>
      <c r="Q79" s="34"/>
      <c r="R79" s="304"/>
      <c r="S79" s="34"/>
      <c r="T79" s="34"/>
      <c r="U79" s="34"/>
      <c r="V79" s="34"/>
      <c r="W79" s="105"/>
      <c r="X79" s="105"/>
    </row>
    <row r="80" spans="1:24" ht="12.75">
      <c r="A80" s="309"/>
      <c r="B80" s="309"/>
      <c r="C80" s="34"/>
      <c r="D80" s="362"/>
      <c r="E80" s="34"/>
      <c r="F80" s="34"/>
      <c r="G80" s="35"/>
      <c r="H80" s="35"/>
      <c r="I80" s="34"/>
      <c r="J80" s="373"/>
      <c r="K80" s="65"/>
      <c r="L80" s="188"/>
      <c r="M80" s="34"/>
      <c r="N80" s="188"/>
      <c r="O80" s="188"/>
      <c r="P80" s="34"/>
      <c r="Q80" s="34"/>
      <c r="R80" s="304"/>
      <c r="S80" s="34"/>
      <c r="T80" s="34"/>
      <c r="U80" s="34"/>
      <c r="V80" s="34"/>
      <c r="W80" s="105"/>
      <c r="X80" s="105"/>
    </row>
    <row r="81" spans="1:24" ht="12.75">
      <c r="A81" s="309"/>
      <c r="B81" s="309"/>
      <c r="C81" s="34"/>
      <c r="D81" s="362"/>
      <c r="E81" s="34"/>
      <c r="F81" s="34"/>
      <c r="G81" s="35"/>
      <c r="H81" s="35"/>
      <c r="I81" s="34"/>
      <c r="K81" s="65"/>
      <c r="L81" s="188"/>
      <c r="M81" s="310"/>
      <c r="N81" s="374"/>
      <c r="O81" s="188"/>
      <c r="P81" s="34"/>
      <c r="Q81" s="34"/>
      <c r="R81" s="304"/>
      <c r="S81" s="34"/>
      <c r="T81" s="34"/>
      <c r="U81" s="34"/>
      <c r="V81" s="34"/>
      <c r="W81" s="105"/>
      <c r="X81" s="105"/>
    </row>
    <row r="82" spans="1:24" ht="12.75">
      <c r="A82" s="309"/>
      <c r="B82" s="309"/>
      <c r="C82" s="34"/>
      <c r="D82" s="362"/>
      <c r="E82" s="34"/>
      <c r="F82" s="385"/>
      <c r="G82" s="385"/>
      <c r="H82" s="814"/>
      <c r="I82" s="810"/>
      <c r="K82" s="65"/>
      <c r="L82" s="188"/>
      <c r="M82" s="372"/>
      <c r="N82" s="374"/>
      <c r="O82" s="188"/>
      <c r="P82" s="34"/>
      <c r="Q82" s="34"/>
      <c r="R82" s="304"/>
      <c r="S82" s="34"/>
      <c r="T82" s="34"/>
      <c r="U82" s="34"/>
      <c r="V82" s="34"/>
      <c r="W82" s="105"/>
      <c r="X82" s="105"/>
    </row>
    <row r="83" spans="1:24" ht="12.75">
      <c r="A83" s="309"/>
      <c r="B83" s="309"/>
      <c r="C83" s="34"/>
      <c r="D83" s="362"/>
      <c r="E83" s="34"/>
      <c r="F83" s="385"/>
      <c r="G83" s="385"/>
      <c r="H83" s="814"/>
      <c r="I83" s="810"/>
      <c r="M83" s="372"/>
      <c r="N83" s="378"/>
      <c r="O83" s="371"/>
      <c r="P83" s="34"/>
      <c r="Q83" s="34"/>
      <c r="R83" s="304"/>
      <c r="S83" s="34"/>
      <c r="T83" s="34"/>
      <c r="U83" s="34"/>
      <c r="V83" s="34"/>
      <c r="W83" s="105"/>
      <c r="X83" s="105"/>
    </row>
    <row r="84" spans="1:24" ht="12.75">
      <c r="A84" s="309"/>
      <c r="B84" s="309"/>
      <c r="C84" s="34"/>
      <c r="D84" s="362"/>
      <c r="E84" s="34"/>
      <c r="F84" s="386"/>
      <c r="H84" s="386"/>
      <c r="I84" s="387"/>
      <c r="J84" s="373"/>
      <c r="K84" s="65"/>
      <c r="L84" s="188"/>
      <c r="M84" s="372"/>
      <c r="N84" s="65"/>
      <c r="O84" s="188"/>
      <c r="P84" s="34"/>
      <c r="Q84" s="34"/>
      <c r="R84" s="304"/>
      <c r="S84" s="34"/>
      <c r="T84" s="34"/>
      <c r="U84" s="34"/>
      <c r="V84" s="34"/>
      <c r="W84" s="105"/>
      <c r="X84" s="105"/>
    </row>
    <row r="85" spans="1:24" ht="12.75">
      <c r="A85" s="309"/>
      <c r="B85" s="309"/>
      <c r="C85" s="34"/>
      <c r="D85" s="362"/>
      <c r="E85" s="34"/>
      <c r="F85" s="386"/>
      <c r="G85" s="386"/>
      <c r="H85" s="386"/>
      <c r="I85" s="387"/>
      <c r="J85" s="373"/>
      <c r="K85" s="65"/>
      <c r="L85" s="188"/>
      <c r="M85" s="372"/>
      <c r="N85" s="65"/>
      <c r="O85" s="188"/>
      <c r="P85" s="34"/>
      <c r="Q85" s="34"/>
      <c r="R85" s="304"/>
      <c r="S85" s="34"/>
      <c r="T85" s="34"/>
      <c r="U85" s="34"/>
      <c r="V85" s="34"/>
      <c r="W85" s="105"/>
      <c r="X85" s="105"/>
    </row>
    <row r="86" spans="1:24" ht="12.75">
      <c r="A86" s="309"/>
      <c r="B86" s="309"/>
      <c r="C86" s="34"/>
      <c r="D86" s="362"/>
      <c r="E86" s="34"/>
      <c r="F86" s="388"/>
      <c r="G86" s="386"/>
      <c r="H86" s="385"/>
      <c r="I86" s="389"/>
      <c r="J86" s="373"/>
      <c r="K86" s="65"/>
      <c r="L86" s="188"/>
      <c r="M86" s="34"/>
      <c r="N86" s="65"/>
      <c r="O86" s="188"/>
      <c r="P86" s="34"/>
      <c r="Q86" s="34"/>
      <c r="R86" s="304"/>
      <c r="S86" s="34"/>
      <c r="T86" s="34"/>
      <c r="U86" s="34"/>
      <c r="V86" s="34"/>
      <c r="W86" s="105"/>
      <c r="X86" s="105"/>
    </row>
    <row r="87" spans="1:24" ht="12.75">
      <c r="A87" s="309"/>
      <c r="B87" s="309"/>
      <c r="C87" s="34"/>
      <c r="D87" s="362"/>
      <c r="E87" s="34"/>
      <c r="F87" s="385"/>
      <c r="G87" s="390"/>
      <c r="H87" s="385"/>
      <c r="I87" s="391"/>
      <c r="J87" s="373"/>
      <c r="K87" s="65"/>
      <c r="L87" s="188"/>
      <c r="M87" s="34"/>
      <c r="N87" s="65"/>
      <c r="O87" s="188"/>
      <c r="P87" s="34"/>
      <c r="Q87" s="34"/>
      <c r="R87" s="304"/>
      <c r="S87" s="34"/>
      <c r="T87" s="34"/>
      <c r="U87" s="34"/>
      <c r="V87" s="34"/>
      <c r="W87" s="105"/>
      <c r="X87" s="105"/>
    </row>
    <row r="88" spans="1:24" ht="12.75">
      <c r="A88" s="309"/>
      <c r="B88" s="309"/>
      <c r="C88" s="34"/>
      <c r="D88" s="362"/>
      <c r="E88" s="34"/>
      <c r="F88" s="392"/>
      <c r="G88" s="386"/>
      <c r="H88" s="386"/>
      <c r="I88" s="387"/>
      <c r="J88" s="373"/>
      <c r="K88" s="65"/>
      <c r="L88" s="188"/>
      <c r="M88" s="34"/>
      <c r="N88" s="65"/>
      <c r="O88" s="34"/>
      <c r="P88" s="34"/>
      <c r="Q88" s="34"/>
      <c r="R88" s="304"/>
      <c r="S88" s="34"/>
      <c r="T88" s="34"/>
      <c r="U88" s="34"/>
      <c r="V88" s="34"/>
      <c r="W88" s="105"/>
      <c r="X88" s="105"/>
    </row>
    <row r="89" spans="1:24" ht="12.75">
      <c r="A89" s="309"/>
      <c r="B89" s="309"/>
      <c r="C89" s="34"/>
      <c r="D89" s="362"/>
      <c r="E89" s="34"/>
      <c r="F89" s="386"/>
      <c r="G89" s="386"/>
      <c r="H89" s="386"/>
      <c r="I89" s="393"/>
      <c r="K89" s="65"/>
      <c r="L89" s="188"/>
      <c r="M89" s="372"/>
      <c r="N89" s="65"/>
      <c r="O89" s="188"/>
      <c r="P89" s="34"/>
      <c r="Q89" s="34"/>
      <c r="R89" s="304"/>
      <c r="S89" s="34"/>
      <c r="T89" s="34"/>
      <c r="U89" s="34"/>
      <c r="V89" s="34"/>
      <c r="W89" s="105"/>
      <c r="X89" s="105"/>
    </row>
    <row r="90" spans="1:24" ht="12.75">
      <c r="A90" s="309"/>
      <c r="B90" s="309"/>
      <c r="C90" s="34"/>
      <c r="D90" s="362"/>
      <c r="E90" s="34"/>
      <c r="F90" s="385"/>
      <c r="G90" s="390"/>
      <c r="H90" s="385"/>
      <c r="I90" s="391"/>
      <c r="K90" s="311"/>
      <c r="L90" s="371"/>
      <c r="M90" s="34"/>
      <c r="N90" s="65"/>
      <c r="O90" s="188"/>
      <c r="P90" s="34"/>
      <c r="Q90" s="34"/>
      <c r="R90" s="304"/>
      <c r="S90" s="34"/>
      <c r="T90" s="34"/>
      <c r="U90" s="34"/>
      <c r="V90" s="34"/>
      <c r="W90" s="105"/>
      <c r="X90" s="105"/>
    </row>
    <row r="91" spans="1:24" ht="12.75">
      <c r="A91" s="309"/>
      <c r="B91" s="309"/>
      <c r="C91" s="34"/>
      <c r="D91" s="362"/>
      <c r="E91" s="34"/>
      <c r="F91" s="34"/>
      <c r="G91" s="35"/>
      <c r="H91" s="35"/>
      <c r="I91" s="34"/>
      <c r="M91" s="34"/>
      <c r="N91" s="65"/>
      <c r="O91" s="188"/>
      <c r="P91" s="34"/>
      <c r="Q91" s="34"/>
      <c r="R91" s="304"/>
      <c r="S91" s="34"/>
      <c r="T91" s="34"/>
      <c r="U91" s="34"/>
      <c r="V91" s="34"/>
      <c r="W91" s="105"/>
      <c r="X91" s="105"/>
    </row>
    <row r="92" spans="1:24" ht="12.75">
      <c r="A92" s="309"/>
      <c r="B92" s="309"/>
      <c r="C92" s="34"/>
      <c r="D92" s="362"/>
      <c r="E92" s="34"/>
      <c r="F92" s="34"/>
      <c r="G92" s="35"/>
      <c r="H92" s="35"/>
      <c r="I92" s="34"/>
      <c r="J92" s="34"/>
      <c r="K92" s="65"/>
      <c r="L92" s="34"/>
      <c r="M92" s="34"/>
      <c r="N92" s="65"/>
      <c r="O92" s="34"/>
      <c r="P92" s="34"/>
      <c r="Q92" s="34"/>
      <c r="R92" s="304"/>
      <c r="S92" s="34"/>
      <c r="T92" s="34"/>
      <c r="U92" s="34"/>
      <c r="V92" s="34"/>
      <c r="W92" s="105"/>
      <c r="X92" s="105"/>
    </row>
    <row r="93" spans="1:24" ht="12.75">
      <c r="A93" s="309"/>
      <c r="B93" s="309"/>
      <c r="C93" s="34"/>
      <c r="D93" s="362"/>
      <c r="E93" s="34"/>
      <c r="F93" s="394"/>
      <c r="G93" s="34"/>
      <c r="H93" s="65"/>
      <c r="I93" s="374"/>
      <c r="J93" s="366"/>
      <c r="K93" s="65"/>
      <c r="L93" s="188"/>
      <c r="M93" s="372"/>
      <c r="N93" s="65"/>
      <c r="O93" s="188"/>
      <c r="P93" s="34"/>
      <c r="Q93" s="34"/>
      <c r="R93" s="304"/>
      <c r="S93" s="34"/>
      <c r="T93" s="34"/>
      <c r="U93" s="34"/>
      <c r="V93" s="34"/>
      <c r="W93" s="105"/>
      <c r="X93" s="105"/>
    </row>
    <row r="94" spans="1:24" ht="12.75">
      <c r="A94" s="309"/>
      <c r="B94" s="309"/>
      <c r="C94" s="34"/>
      <c r="D94" s="362"/>
      <c r="E94" s="34"/>
      <c r="F94" s="34"/>
      <c r="G94" s="34"/>
      <c r="H94" s="65"/>
      <c r="I94" s="66"/>
      <c r="K94" s="65"/>
      <c r="L94" s="188"/>
      <c r="M94" s="34"/>
      <c r="N94" s="65"/>
      <c r="O94" s="188"/>
      <c r="P94" s="34"/>
      <c r="Q94" s="34"/>
      <c r="R94" s="304"/>
      <c r="S94" s="34"/>
      <c r="T94" s="34"/>
      <c r="U94" s="34"/>
      <c r="V94" s="34"/>
      <c r="W94" s="105"/>
      <c r="X94" s="105"/>
    </row>
    <row r="95" spans="1:24" ht="12.75">
      <c r="A95" s="309"/>
      <c r="B95" s="309"/>
      <c r="C95" s="34"/>
      <c r="D95" s="362"/>
      <c r="E95" s="34"/>
      <c r="F95" s="34"/>
      <c r="H95" s="383"/>
      <c r="I95" s="310"/>
      <c r="K95" s="65"/>
      <c r="L95" s="188"/>
      <c r="M95" s="34"/>
      <c r="N95" s="65"/>
      <c r="O95" s="188"/>
      <c r="P95" s="34"/>
      <c r="Q95" s="34"/>
      <c r="R95" s="304"/>
      <c r="S95" s="34"/>
      <c r="T95" s="34"/>
      <c r="U95" s="34"/>
      <c r="V95" s="34"/>
      <c r="W95" s="105"/>
      <c r="X95" s="105"/>
    </row>
    <row r="96" spans="1:24" ht="12.75">
      <c r="A96" s="309"/>
      <c r="B96" s="309"/>
      <c r="C96" s="34"/>
      <c r="D96" s="362"/>
      <c r="E96" s="34"/>
      <c r="F96" s="34"/>
      <c r="G96" s="34"/>
      <c r="J96" s="34"/>
      <c r="K96" s="65"/>
      <c r="L96" s="34"/>
      <c r="M96" s="34"/>
      <c r="N96" s="65"/>
      <c r="O96" s="34"/>
      <c r="P96" s="34"/>
      <c r="Q96" s="34"/>
      <c r="R96" s="304"/>
      <c r="S96" s="34"/>
      <c r="T96" s="34"/>
      <c r="U96" s="34"/>
      <c r="V96" s="34"/>
      <c r="W96" s="105"/>
      <c r="X96" s="105"/>
    </row>
    <row r="97" spans="1:24" ht="12.75">
      <c r="A97" s="309"/>
      <c r="B97" s="309"/>
      <c r="C97" s="34"/>
      <c r="D97" s="362"/>
      <c r="E97" s="34"/>
      <c r="F97" s="34"/>
      <c r="G97" s="35"/>
      <c r="H97" s="65"/>
      <c r="I97" s="395"/>
      <c r="M97" s="372"/>
      <c r="N97" s="65"/>
      <c r="O97" s="188"/>
      <c r="P97" s="34"/>
      <c r="Q97" s="34"/>
      <c r="R97" s="304"/>
      <c r="S97" s="34"/>
      <c r="T97" s="34"/>
      <c r="U97" s="34"/>
      <c r="V97" s="34"/>
      <c r="W97" s="105"/>
      <c r="X97" s="105"/>
    </row>
    <row r="98" spans="1:24" ht="12.75">
      <c r="A98" s="309"/>
      <c r="B98" s="309"/>
      <c r="C98" s="34"/>
      <c r="D98" s="362"/>
      <c r="E98" s="34"/>
      <c r="F98" s="34"/>
      <c r="G98" s="35"/>
      <c r="H98" s="34"/>
      <c r="I98" s="66"/>
      <c r="K98" s="395"/>
      <c r="M98" s="34"/>
      <c r="N98" s="65"/>
      <c r="O98" s="188"/>
      <c r="P98" s="34"/>
      <c r="Q98" s="34"/>
      <c r="R98" s="304"/>
      <c r="S98" s="34"/>
      <c r="T98" s="34"/>
      <c r="U98" s="34"/>
      <c r="V98" s="34"/>
      <c r="W98" s="105"/>
      <c r="X98" s="105"/>
    </row>
    <row r="99" spans="1:24" ht="12.75">
      <c r="A99" s="309"/>
      <c r="B99" s="309"/>
      <c r="C99" s="34"/>
      <c r="D99" s="362"/>
      <c r="E99" s="34"/>
      <c r="M99" s="34"/>
      <c r="N99" s="65"/>
      <c r="O99" s="188"/>
      <c r="P99" s="34"/>
      <c r="Q99" s="34"/>
      <c r="R99" s="304"/>
      <c r="S99" s="34"/>
      <c r="T99" s="34"/>
      <c r="U99" s="34"/>
      <c r="V99" s="34"/>
      <c r="W99" s="105"/>
      <c r="X99" s="105"/>
    </row>
    <row r="100" spans="1:24" ht="12.75">
      <c r="A100" s="309"/>
      <c r="B100" s="309"/>
      <c r="C100" s="34"/>
      <c r="D100" s="362"/>
      <c r="E100" s="34"/>
      <c r="H100" s="311"/>
      <c r="I100" s="371"/>
      <c r="M100" s="34"/>
      <c r="N100" s="65"/>
      <c r="O100" s="34"/>
      <c r="P100" s="34"/>
      <c r="Q100" s="34"/>
      <c r="R100" s="304"/>
      <c r="S100" s="34"/>
      <c r="T100" s="34"/>
      <c r="U100" s="34"/>
      <c r="V100" s="34"/>
      <c r="W100" s="105"/>
      <c r="X100" s="105"/>
    </row>
    <row r="101" spans="1:24" ht="12.75">
      <c r="A101" s="309"/>
      <c r="B101" s="309"/>
      <c r="C101" s="34"/>
      <c r="D101" s="362"/>
      <c r="E101" s="34"/>
      <c r="L101" s="34"/>
      <c r="M101" s="34"/>
      <c r="N101" s="188"/>
      <c r="O101" s="188"/>
      <c r="P101" s="34"/>
      <c r="Q101" s="34"/>
      <c r="R101" s="304"/>
      <c r="S101" s="34"/>
      <c r="T101" s="34"/>
      <c r="U101" s="34"/>
      <c r="V101" s="34"/>
      <c r="W101" s="105"/>
      <c r="X101" s="105"/>
    </row>
    <row r="102" spans="1:24" ht="12.75">
      <c r="A102" s="309"/>
      <c r="B102" s="309"/>
      <c r="C102" s="34"/>
      <c r="D102" s="362"/>
      <c r="E102" s="34"/>
      <c r="H102" s="59"/>
      <c r="J102" s="34"/>
      <c r="K102" s="65"/>
      <c r="L102" s="66"/>
      <c r="M102" s="34"/>
      <c r="N102" s="188"/>
      <c r="O102" s="188"/>
      <c r="P102" s="34"/>
      <c r="Q102" s="34"/>
      <c r="R102" s="304"/>
      <c r="S102" s="34"/>
      <c r="T102" s="34"/>
      <c r="U102" s="34"/>
      <c r="V102" s="34"/>
      <c r="W102" s="105"/>
      <c r="X102" s="105"/>
    </row>
    <row r="103" spans="1:24" ht="12.75">
      <c r="A103" s="309"/>
      <c r="B103" s="309"/>
      <c r="C103" s="34"/>
      <c r="D103" s="362"/>
      <c r="E103" s="34"/>
      <c r="F103" s="34"/>
      <c r="G103" s="35"/>
      <c r="H103" s="396"/>
      <c r="I103" s="34"/>
      <c r="J103" s="34"/>
      <c r="K103" s="65"/>
      <c r="L103" s="34"/>
      <c r="M103" s="34"/>
      <c r="N103" s="188"/>
      <c r="O103" s="188"/>
      <c r="P103" s="34"/>
      <c r="Q103" s="34"/>
      <c r="R103" s="304"/>
      <c r="S103" s="34"/>
      <c r="T103" s="34"/>
      <c r="U103" s="34"/>
      <c r="V103" s="34"/>
      <c r="W103" s="105"/>
      <c r="X103" s="105"/>
    </row>
    <row r="104" spans="1:24" ht="25.5">
      <c r="A104" s="309"/>
      <c r="B104" s="309"/>
      <c r="C104" s="34"/>
      <c r="D104" s="362"/>
      <c r="E104" s="34"/>
      <c r="F104" s="34"/>
      <c r="G104" s="35"/>
      <c r="H104" s="35"/>
      <c r="I104" s="34"/>
      <c r="J104" s="34" t="s">
        <v>6008</v>
      </c>
      <c r="K104" s="65"/>
      <c r="L104" s="34"/>
      <c r="M104" s="34"/>
      <c r="N104" s="188"/>
      <c r="O104" s="188"/>
      <c r="P104" s="34"/>
      <c r="Q104" s="34"/>
      <c r="R104" s="304"/>
      <c r="S104" s="34"/>
      <c r="T104" s="34"/>
      <c r="U104" s="34"/>
      <c r="V104" s="34"/>
      <c r="W104" s="105"/>
      <c r="X104" s="105"/>
    </row>
    <row r="105" spans="1:24" ht="12.75">
      <c r="A105" s="309"/>
      <c r="B105" s="309"/>
      <c r="C105" s="34"/>
      <c r="D105" s="362"/>
      <c r="E105" s="34"/>
      <c r="F105" s="34"/>
      <c r="G105" s="35"/>
      <c r="H105" s="35"/>
      <c r="I105" s="34"/>
      <c r="J105" s="34" t="s">
        <v>6009</v>
      </c>
      <c r="K105" s="397">
        <v>3897512</v>
      </c>
      <c r="L105" s="34"/>
      <c r="M105" s="34"/>
      <c r="N105" s="188"/>
      <c r="O105" s="188"/>
      <c r="P105" s="34"/>
      <c r="Q105" s="34"/>
      <c r="R105" s="304"/>
      <c r="S105" s="34"/>
      <c r="T105" s="34"/>
      <c r="U105" s="34"/>
      <c r="V105" s="34"/>
      <c r="W105" s="105"/>
      <c r="X105" s="105"/>
    </row>
    <row r="106" spans="1:24" ht="12.75">
      <c r="A106" s="309"/>
      <c r="B106" s="309"/>
      <c r="C106" s="34"/>
      <c r="D106" s="362"/>
      <c r="E106" s="34"/>
      <c r="F106" s="34"/>
      <c r="G106" s="35"/>
      <c r="H106" s="35"/>
      <c r="I106" s="34"/>
      <c r="J106" s="34" t="s">
        <v>6010</v>
      </c>
      <c r="K106" s="8">
        <v>2802604</v>
      </c>
      <c r="L106" s="34"/>
      <c r="M106" s="34"/>
      <c r="N106" s="188"/>
      <c r="O106" s="188"/>
      <c r="P106" s="34"/>
      <c r="Q106" s="34"/>
      <c r="R106" s="304"/>
      <c r="S106" s="34"/>
      <c r="T106" s="34"/>
      <c r="U106" s="34"/>
      <c r="V106" s="34"/>
      <c r="W106" s="105"/>
      <c r="X106" s="105"/>
    </row>
    <row r="107" spans="1:24" ht="12.75">
      <c r="A107" s="309"/>
      <c r="B107" s="309"/>
      <c r="C107" s="34"/>
      <c r="D107" s="362"/>
      <c r="E107" s="34"/>
      <c r="F107" s="34"/>
      <c r="G107" s="35"/>
      <c r="H107" s="35"/>
      <c r="I107" s="34"/>
      <c r="J107" s="34" t="s">
        <v>6011</v>
      </c>
      <c r="K107" s="8">
        <v>1450894</v>
      </c>
      <c r="L107" s="34"/>
      <c r="M107" s="34"/>
      <c r="N107" s="188"/>
      <c r="O107" s="188"/>
      <c r="P107" s="34"/>
      <c r="Q107" s="34"/>
      <c r="R107" s="304"/>
      <c r="S107" s="34"/>
      <c r="T107" s="34"/>
      <c r="U107" s="34"/>
      <c r="V107" s="34"/>
      <c r="W107" s="105"/>
      <c r="X107" s="105"/>
    </row>
    <row r="108" spans="1:24" ht="12.75">
      <c r="A108" s="309"/>
      <c r="B108" s="309"/>
      <c r="C108" s="34"/>
      <c r="D108" s="362"/>
      <c r="E108" s="34"/>
      <c r="F108" s="34"/>
      <c r="G108" s="35"/>
      <c r="H108" s="35"/>
      <c r="I108" s="34"/>
      <c r="J108" s="34" t="s">
        <v>6012</v>
      </c>
      <c r="K108" s="8">
        <v>1780736</v>
      </c>
      <c r="L108" s="34"/>
      <c r="M108" s="34"/>
      <c r="N108" s="188"/>
      <c r="O108" s="188"/>
      <c r="P108" s="34"/>
      <c r="Q108" s="34"/>
      <c r="R108" s="304"/>
      <c r="S108" s="34"/>
      <c r="T108" s="34"/>
      <c r="U108" s="34"/>
      <c r="V108" s="34"/>
      <c r="W108" s="105"/>
      <c r="X108" s="105"/>
    </row>
    <row r="109" spans="1:24" ht="12.75">
      <c r="A109" s="309"/>
      <c r="B109" s="309"/>
      <c r="C109" s="34"/>
      <c r="D109" s="362"/>
      <c r="E109" s="34"/>
      <c r="F109" s="34"/>
      <c r="G109" s="35"/>
      <c r="H109" s="35"/>
      <c r="I109" s="34"/>
      <c r="J109" s="34" t="s">
        <v>6013</v>
      </c>
      <c r="K109" s="8">
        <v>2353196</v>
      </c>
      <c r="L109" s="34"/>
      <c r="M109" s="34"/>
      <c r="N109" s="188"/>
      <c r="O109" s="188"/>
      <c r="P109" s="34"/>
      <c r="Q109" s="34"/>
      <c r="R109" s="304"/>
      <c r="S109" s="34"/>
      <c r="T109" s="34"/>
      <c r="U109" s="34"/>
      <c r="V109" s="34"/>
      <c r="W109" s="105"/>
      <c r="X109" s="105"/>
    </row>
    <row r="110" spans="1:24" ht="12.75">
      <c r="A110" s="309"/>
      <c r="B110" s="309"/>
      <c r="C110" s="34"/>
      <c r="D110" s="362"/>
      <c r="E110" s="34"/>
      <c r="F110" s="34"/>
      <c r="G110" s="35"/>
      <c r="H110" s="35"/>
      <c r="I110" s="34"/>
      <c r="J110" s="34"/>
      <c r="K110" s="65">
        <f>SUM(K105:K109)</f>
        <v>12284942</v>
      </c>
      <c r="L110" s="34"/>
      <c r="M110" s="34"/>
      <c r="N110" s="188"/>
      <c r="O110" s="188"/>
      <c r="P110" s="34"/>
      <c r="Q110" s="34"/>
      <c r="R110" s="304"/>
      <c r="S110" s="34"/>
      <c r="T110" s="34"/>
      <c r="U110" s="34"/>
      <c r="V110" s="34"/>
      <c r="W110" s="105"/>
      <c r="X110" s="105"/>
    </row>
    <row r="111" spans="1:24" ht="12.75">
      <c r="A111" s="309"/>
      <c r="B111" s="309"/>
      <c r="C111" s="34"/>
      <c r="D111" s="362"/>
      <c r="E111" s="34"/>
      <c r="F111" s="34"/>
      <c r="G111" s="35"/>
      <c r="H111" s="35"/>
      <c r="I111" s="34"/>
      <c r="J111" s="34"/>
      <c r="K111" s="65">
        <f>K110+K103</f>
        <v>12284942</v>
      </c>
      <c r="L111" s="34"/>
      <c r="M111" s="34"/>
      <c r="N111" s="188"/>
      <c r="O111" s="188"/>
      <c r="P111" s="34"/>
      <c r="Q111" s="34"/>
      <c r="R111" s="304"/>
      <c r="S111" s="34"/>
      <c r="T111" s="34"/>
      <c r="U111" s="34"/>
      <c r="V111" s="34"/>
      <c r="W111" s="105"/>
      <c r="X111" s="105"/>
    </row>
    <row r="112" spans="1:24" ht="12.75">
      <c r="A112" s="309"/>
      <c r="B112" s="309"/>
      <c r="C112" s="34"/>
      <c r="D112" s="362"/>
      <c r="E112" s="34"/>
      <c r="F112" s="34"/>
      <c r="G112" s="35"/>
      <c r="H112" s="35"/>
      <c r="I112" s="34"/>
      <c r="J112" s="34"/>
      <c r="K112" s="65"/>
      <c r="L112" s="34"/>
      <c r="M112" s="34"/>
      <c r="N112" s="188"/>
      <c r="O112" s="188"/>
      <c r="P112" s="34"/>
      <c r="Q112" s="34"/>
      <c r="R112" s="304"/>
      <c r="S112" s="34"/>
      <c r="T112" s="34"/>
      <c r="U112" s="34"/>
      <c r="V112" s="34"/>
      <c r="W112" s="105"/>
      <c r="X112" s="105"/>
    </row>
    <row r="113" spans="1:24" ht="12.75">
      <c r="A113" s="309"/>
      <c r="B113" s="309"/>
      <c r="C113" s="34"/>
      <c r="D113" s="362"/>
      <c r="E113" s="34"/>
      <c r="F113" s="34"/>
      <c r="G113" s="35"/>
      <c r="H113" s="35"/>
      <c r="I113" s="34"/>
      <c r="J113" s="34"/>
      <c r="K113" s="65"/>
      <c r="L113" s="34"/>
      <c r="M113" s="34"/>
      <c r="N113" s="188"/>
      <c r="O113" s="188"/>
      <c r="P113" s="34"/>
      <c r="Q113" s="34"/>
      <c r="R113" s="304"/>
      <c r="S113" s="34"/>
      <c r="T113" s="34"/>
      <c r="U113" s="34"/>
      <c r="V113" s="34"/>
      <c r="W113" s="105"/>
      <c r="X113" s="105"/>
    </row>
    <row r="114" spans="1:24" ht="12.75">
      <c r="A114" s="309"/>
      <c r="B114" s="309"/>
      <c r="C114" s="34"/>
      <c r="D114" s="362"/>
      <c r="E114" s="34"/>
      <c r="F114" s="34"/>
      <c r="G114" s="35"/>
      <c r="H114" s="35"/>
      <c r="I114" s="34"/>
      <c r="J114" s="34"/>
      <c r="K114" s="65"/>
      <c r="L114" s="34"/>
      <c r="M114" s="34"/>
      <c r="N114" s="188"/>
      <c r="O114" s="188"/>
      <c r="P114" s="34"/>
      <c r="Q114" s="34"/>
      <c r="R114" s="304"/>
      <c r="S114" s="34"/>
      <c r="T114" s="34"/>
      <c r="U114" s="34"/>
      <c r="V114" s="34"/>
      <c r="W114" s="105"/>
      <c r="X114" s="105"/>
    </row>
    <row r="115" spans="1:24" ht="12.75">
      <c r="A115" s="309"/>
      <c r="B115" s="309"/>
      <c r="C115" s="34"/>
      <c r="D115" s="362"/>
      <c r="E115" s="34"/>
      <c r="F115" s="34"/>
      <c r="G115" s="35"/>
      <c r="H115" s="35"/>
      <c r="I115" s="34"/>
      <c r="J115" s="34"/>
      <c r="K115" s="65"/>
      <c r="L115" s="34"/>
      <c r="M115" s="34"/>
      <c r="N115" s="188"/>
      <c r="O115" s="188"/>
      <c r="P115" s="34"/>
      <c r="Q115" s="34"/>
      <c r="R115" s="304"/>
      <c r="S115" s="34"/>
      <c r="T115" s="34"/>
      <c r="U115" s="34"/>
      <c r="V115" s="34"/>
      <c r="W115" s="105"/>
      <c r="X115" s="105"/>
    </row>
    <row r="116" spans="1:24" ht="12.75">
      <c r="A116" s="309"/>
      <c r="B116" s="309"/>
      <c r="C116" s="34"/>
      <c r="D116" s="362"/>
      <c r="E116" s="34"/>
      <c r="F116" s="34"/>
      <c r="G116" s="35"/>
      <c r="H116" s="35"/>
      <c r="I116" s="34"/>
      <c r="J116" s="34"/>
      <c r="K116" s="65"/>
      <c r="L116" s="34"/>
      <c r="M116" s="34"/>
      <c r="N116" s="188"/>
      <c r="O116" s="188"/>
      <c r="P116" s="34"/>
      <c r="Q116" s="34"/>
      <c r="R116" s="304"/>
      <c r="S116" s="34"/>
      <c r="T116" s="34"/>
      <c r="U116" s="34"/>
      <c r="V116" s="34"/>
      <c r="W116" s="105"/>
      <c r="X116" s="105"/>
    </row>
    <row r="117" spans="1:24" ht="12.75">
      <c r="A117" s="309"/>
      <c r="B117" s="309"/>
      <c r="C117" s="34"/>
      <c r="D117" s="362"/>
      <c r="E117" s="34"/>
      <c r="F117" s="34"/>
      <c r="G117" s="35"/>
      <c r="H117" s="35"/>
      <c r="I117" s="34"/>
      <c r="J117" s="34"/>
      <c r="K117" s="65"/>
      <c r="L117" s="34"/>
      <c r="M117" s="34"/>
      <c r="N117" s="188"/>
      <c r="O117" s="188"/>
      <c r="P117" s="34"/>
      <c r="Q117" s="34"/>
      <c r="R117" s="304"/>
      <c r="S117" s="34"/>
      <c r="T117" s="34"/>
      <c r="U117" s="34"/>
      <c r="V117" s="34"/>
      <c r="W117" s="105"/>
      <c r="X117" s="105"/>
    </row>
    <row r="118" spans="1:24" ht="12.75">
      <c r="A118" s="309"/>
      <c r="B118" s="309"/>
      <c r="C118" s="34"/>
      <c r="D118" s="362"/>
      <c r="E118" s="34"/>
      <c r="F118" s="34"/>
      <c r="G118" s="35"/>
      <c r="H118" s="35"/>
      <c r="I118" s="34"/>
      <c r="J118" s="34"/>
      <c r="K118" s="65"/>
      <c r="L118" s="34"/>
      <c r="M118" s="34"/>
      <c r="N118" s="188"/>
      <c r="O118" s="188"/>
      <c r="P118" s="34"/>
      <c r="Q118" s="34"/>
      <c r="R118" s="304"/>
      <c r="S118" s="34"/>
      <c r="T118" s="34"/>
      <c r="U118" s="34"/>
      <c r="V118" s="34"/>
      <c r="W118" s="105"/>
      <c r="X118" s="105"/>
    </row>
    <row r="119" spans="1:24" ht="12.75">
      <c r="A119" s="309"/>
      <c r="B119" s="309"/>
      <c r="C119" s="34"/>
      <c r="D119" s="362"/>
      <c r="E119" s="34"/>
      <c r="F119" s="34"/>
      <c r="G119" s="35"/>
      <c r="H119" s="35"/>
      <c r="I119" s="34"/>
      <c r="J119" s="34"/>
      <c r="K119" s="65"/>
      <c r="L119" s="34"/>
      <c r="M119" s="34"/>
      <c r="N119" s="188"/>
      <c r="O119" s="188"/>
      <c r="P119" s="34"/>
      <c r="Q119" s="34"/>
      <c r="R119" s="304"/>
      <c r="S119" s="34"/>
      <c r="T119" s="34"/>
      <c r="U119" s="34"/>
      <c r="V119" s="34"/>
      <c r="W119" s="105"/>
      <c r="X119" s="105"/>
    </row>
    <row r="120" spans="1:24" ht="12.75">
      <c r="A120" s="309"/>
      <c r="B120" s="309"/>
      <c r="C120" s="34"/>
      <c r="D120" s="362"/>
      <c r="E120" s="34"/>
      <c r="F120" s="34"/>
      <c r="G120" s="35"/>
      <c r="H120" s="35"/>
      <c r="I120" s="34"/>
      <c r="J120" s="34"/>
      <c r="K120" s="65"/>
      <c r="L120" s="34"/>
      <c r="M120" s="34"/>
      <c r="N120" s="188"/>
      <c r="O120" s="188"/>
      <c r="P120" s="34"/>
      <c r="Q120" s="34"/>
      <c r="R120" s="304"/>
      <c r="S120" s="34"/>
      <c r="T120" s="34"/>
      <c r="U120" s="34"/>
      <c r="V120" s="34"/>
      <c r="W120" s="105"/>
      <c r="X120" s="105"/>
    </row>
    <row r="121" spans="1:24" ht="12.75">
      <c r="A121" s="309"/>
      <c r="B121" s="309"/>
      <c r="C121" s="34"/>
      <c r="D121" s="362"/>
      <c r="E121" s="34"/>
      <c r="F121" s="34"/>
      <c r="G121" s="35"/>
      <c r="H121" s="35"/>
      <c r="I121" s="34"/>
      <c r="J121" s="34"/>
      <c r="K121" s="65"/>
      <c r="L121" s="34"/>
      <c r="M121" s="34"/>
      <c r="N121" s="188"/>
      <c r="O121" s="188"/>
      <c r="P121" s="34"/>
      <c r="Q121" s="34"/>
      <c r="R121" s="304"/>
      <c r="S121" s="34"/>
      <c r="T121" s="34"/>
      <c r="U121" s="34"/>
      <c r="V121" s="34"/>
      <c r="W121" s="105"/>
      <c r="X121" s="105"/>
    </row>
    <row r="122" spans="1:24" ht="12.75">
      <c r="A122" s="309"/>
      <c r="B122" s="309"/>
      <c r="C122" s="34"/>
      <c r="D122" s="362"/>
      <c r="E122" s="34"/>
      <c r="F122" s="34"/>
      <c r="G122" s="35"/>
      <c r="H122" s="35"/>
      <c r="I122" s="34"/>
      <c r="J122" s="34"/>
      <c r="K122" s="65"/>
      <c r="L122" s="34"/>
      <c r="M122" s="34"/>
      <c r="N122" s="188"/>
      <c r="O122" s="188"/>
      <c r="P122" s="34"/>
      <c r="Q122" s="34"/>
      <c r="R122" s="304"/>
      <c r="S122" s="34"/>
      <c r="T122" s="34"/>
      <c r="U122" s="34"/>
      <c r="V122" s="34"/>
      <c r="W122" s="105"/>
      <c r="X122" s="105"/>
    </row>
    <row r="123" spans="1:24" ht="12.75">
      <c r="A123" s="309"/>
      <c r="B123" s="309"/>
      <c r="C123" s="34"/>
      <c r="D123" s="362"/>
      <c r="E123" s="34"/>
      <c r="F123" s="34"/>
      <c r="G123" s="35"/>
      <c r="H123" s="35"/>
      <c r="I123" s="34"/>
      <c r="J123" s="34"/>
      <c r="K123" s="65"/>
      <c r="L123" s="34"/>
      <c r="M123" s="34"/>
      <c r="N123" s="188"/>
      <c r="O123" s="188"/>
      <c r="P123" s="34"/>
      <c r="Q123" s="34"/>
      <c r="R123" s="304"/>
      <c r="S123" s="34"/>
      <c r="T123" s="34"/>
      <c r="U123" s="34"/>
      <c r="V123" s="34"/>
      <c r="W123" s="105"/>
      <c r="X123" s="105"/>
    </row>
    <row r="124" spans="1:24" ht="12.75">
      <c r="A124" s="309"/>
      <c r="B124" s="309"/>
      <c r="C124" s="34"/>
      <c r="D124" s="362"/>
      <c r="E124" s="34"/>
      <c r="F124" s="34"/>
      <c r="G124" s="35"/>
      <c r="H124" s="35"/>
      <c r="I124" s="34"/>
      <c r="J124" s="34"/>
      <c r="K124" s="65"/>
      <c r="L124" s="34"/>
      <c r="M124" s="34"/>
      <c r="N124" s="188"/>
      <c r="O124" s="188"/>
      <c r="P124" s="34"/>
      <c r="Q124" s="34"/>
      <c r="R124" s="304"/>
      <c r="S124" s="34"/>
      <c r="T124" s="34"/>
      <c r="U124" s="34"/>
      <c r="V124" s="34"/>
      <c r="W124" s="105"/>
      <c r="X124" s="105"/>
    </row>
    <row r="125" spans="1:24" ht="12.75">
      <c r="A125" s="309"/>
      <c r="B125" s="309"/>
      <c r="C125" s="34"/>
      <c r="D125" s="362"/>
      <c r="E125" s="34"/>
      <c r="F125" s="34"/>
      <c r="G125" s="35"/>
      <c r="H125" s="35"/>
      <c r="I125" s="34"/>
      <c r="J125" s="34"/>
      <c r="K125" s="65"/>
      <c r="L125" s="34"/>
      <c r="M125" s="34"/>
      <c r="N125" s="188"/>
      <c r="O125" s="188"/>
      <c r="P125" s="34"/>
      <c r="Q125" s="34"/>
      <c r="R125" s="304"/>
      <c r="S125" s="34"/>
      <c r="T125" s="34"/>
      <c r="U125" s="34"/>
      <c r="V125" s="34"/>
      <c r="W125" s="105"/>
      <c r="X125" s="105"/>
    </row>
    <row r="126" spans="1:24" ht="12.75">
      <c r="A126" s="309"/>
      <c r="B126" s="309"/>
      <c r="C126" s="34"/>
      <c r="D126" s="362"/>
      <c r="E126" s="34"/>
      <c r="F126" s="34"/>
      <c r="G126" s="35"/>
      <c r="H126" s="35"/>
      <c r="I126" s="34"/>
      <c r="J126" s="34"/>
      <c r="K126" s="65"/>
      <c r="L126" s="34"/>
      <c r="M126" s="34"/>
      <c r="N126" s="188"/>
      <c r="O126" s="188"/>
      <c r="P126" s="34"/>
      <c r="Q126" s="34"/>
      <c r="R126" s="304"/>
      <c r="S126" s="34"/>
      <c r="T126" s="34"/>
      <c r="U126" s="34"/>
      <c r="V126" s="34"/>
      <c r="W126" s="105"/>
      <c r="X126" s="105"/>
    </row>
    <row r="127" spans="1:24" ht="12.75">
      <c r="A127" s="309"/>
      <c r="B127" s="309"/>
      <c r="C127" s="34"/>
      <c r="D127" s="362"/>
      <c r="E127" s="34"/>
      <c r="F127" s="34"/>
      <c r="G127" s="35"/>
      <c r="H127" s="35"/>
      <c r="I127" s="34"/>
      <c r="J127" s="34"/>
      <c r="K127" s="65"/>
      <c r="L127" s="34"/>
      <c r="M127" s="34"/>
      <c r="N127" s="188"/>
      <c r="O127" s="188"/>
      <c r="P127" s="34"/>
      <c r="Q127" s="34"/>
      <c r="R127" s="304"/>
      <c r="S127" s="34"/>
      <c r="T127" s="34"/>
      <c r="U127" s="34"/>
      <c r="V127" s="34"/>
      <c r="W127" s="105"/>
      <c r="X127" s="105"/>
    </row>
    <row r="128" spans="1:24" ht="12.75">
      <c r="A128" s="309"/>
      <c r="B128" s="309"/>
      <c r="C128" s="34"/>
      <c r="D128" s="362"/>
      <c r="E128" s="34"/>
      <c r="F128" s="34"/>
      <c r="G128" s="35"/>
      <c r="H128" s="35"/>
      <c r="I128" s="34"/>
      <c r="J128" s="34"/>
      <c r="K128" s="65"/>
      <c r="L128" s="34"/>
      <c r="M128" s="34"/>
      <c r="N128" s="188"/>
      <c r="O128" s="188"/>
      <c r="P128" s="34"/>
      <c r="Q128" s="34"/>
      <c r="R128" s="304"/>
      <c r="S128" s="34"/>
      <c r="T128" s="34"/>
      <c r="U128" s="34"/>
      <c r="V128" s="34"/>
      <c r="W128" s="105"/>
      <c r="X128" s="105"/>
    </row>
    <row r="129" spans="1:24" ht="12.75">
      <c r="A129" s="309"/>
      <c r="B129" s="309"/>
      <c r="C129" s="34"/>
      <c r="D129" s="362"/>
      <c r="E129" s="34"/>
      <c r="F129" s="34"/>
      <c r="G129" s="35"/>
      <c r="H129" s="35"/>
      <c r="I129" s="34"/>
      <c r="J129" s="34"/>
      <c r="K129" s="65"/>
      <c r="L129" s="34"/>
      <c r="M129" s="34"/>
      <c r="N129" s="188"/>
      <c r="O129" s="188"/>
      <c r="P129" s="34"/>
      <c r="Q129" s="34"/>
      <c r="R129" s="304"/>
      <c r="S129" s="34"/>
      <c r="T129" s="34"/>
      <c r="U129" s="34"/>
      <c r="V129" s="34"/>
      <c r="W129" s="105"/>
      <c r="X129" s="105"/>
    </row>
    <row r="130" spans="1:24" ht="12.75">
      <c r="A130" s="309"/>
      <c r="B130" s="309"/>
      <c r="C130" s="34"/>
      <c r="D130" s="362"/>
      <c r="E130" s="34"/>
      <c r="F130" s="34"/>
      <c r="G130" s="35"/>
      <c r="H130" s="35"/>
      <c r="I130" s="34"/>
      <c r="J130" s="34"/>
      <c r="K130" s="65"/>
      <c r="L130" s="34"/>
      <c r="M130" s="34"/>
      <c r="N130" s="188"/>
      <c r="O130" s="188"/>
      <c r="P130" s="34"/>
      <c r="Q130" s="34"/>
      <c r="R130" s="304"/>
      <c r="S130" s="34"/>
      <c r="T130" s="34"/>
      <c r="U130" s="34"/>
      <c r="V130" s="34"/>
      <c r="W130" s="105"/>
      <c r="X130" s="105"/>
    </row>
    <row r="131" spans="1:24" ht="12.75">
      <c r="A131" s="309"/>
      <c r="B131" s="309"/>
      <c r="C131" s="34"/>
      <c r="D131" s="362"/>
      <c r="E131" s="34"/>
      <c r="F131" s="34"/>
      <c r="G131" s="35"/>
      <c r="H131" s="35"/>
      <c r="I131" s="34"/>
      <c r="J131" s="34"/>
      <c r="K131" s="65"/>
      <c r="L131" s="34"/>
      <c r="M131" s="34"/>
      <c r="N131" s="188"/>
      <c r="O131" s="188"/>
      <c r="P131" s="34"/>
      <c r="Q131" s="34"/>
      <c r="R131" s="304"/>
      <c r="S131" s="34"/>
      <c r="T131" s="34"/>
      <c r="U131" s="34"/>
      <c r="V131" s="34"/>
      <c r="W131" s="105"/>
      <c r="X131" s="105"/>
    </row>
    <row r="132" spans="1:24" ht="12.75">
      <c r="A132" s="309"/>
      <c r="B132" s="309"/>
      <c r="C132" s="34"/>
      <c r="D132" s="362"/>
      <c r="E132" s="34"/>
      <c r="F132" s="34"/>
      <c r="G132" s="35"/>
      <c r="H132" s="35"/>
      <c r="I132" s="34"/>
      <c r="J132" s="34"/>
      <c r="K132" s="65"/>
      <c r="L132" s="34"/>
      <c r="M132" s="34"/>
      <c r="N132" s="188"/>
      <c r="O132" s="188"/>
      <c r="P132" s="34"/>
      <c r="Q132" s="34"/>
      <c r="R132" s="304"/>
      <c r="S132" s="34"/>
      <c r="T132" s="34"/>
      <c r="U132" s="34"/>
      <c r="V132" s="34"/>
      <c r="W132" s="105"/>
      <c r="X132" s="105"/>
    </row>
    <row r="133" spans="1:24" ht="12.75">
      <c r="A133" s="309"/>
      <c r="B133" s="309"/>
      <c r="C133" s="34"/>
      <c r="D133" s="362"/>
      <c r="E133" s="34"/>
      <c r="F133" s="34"/>
      <c r="G133" s="35"/>
      <c r="H133" s="35"/>
      <c r="I133" s="34"/>
      <c r="J133" s="34"/>
      <c r="K133" s="65"/>
      <c r="L133" s="34"/>
      <c r="M133" s="34"/>
      <c r="N133" s="188"/>
      <c r="O133" s="188"/>
      <c r="P133" s="34"/>
      <c r="Q133" s="34"/>
      <c r="R133" s="304"/>
      <c r="S133" s="34"/>
      <c r="T133" s="34"/>
      <c r="U133" s="34"/>
      <c r="V133" s="34"/>
      <c r="W133" s="105"/>
      <c r="X133" s="105"/>
    </row>
    <row r="134" spans="1:24" ht="12.75">
      <c r="A134" s="309"/>
      <c r="B134" s="309"/>
      <c r="C134" s="34"/>
      <c r="D134" s="362"/>
      <c r="E134" s="34"/>
      <c r="F134" s="34"/>
      <c r="G134" s="35"/>
      <c r="H134" s="35"/>
      <c r="I134" s="34"/>
      <c r="J134" s="34"/>
      <c r="K134" s="65"/>
      <c r="L134" s="34"/>
      <c r="M134" s="34"/>
      <c r="N134" s="188"/>
      <c r="O134" s="188"/>
      <c r="P134" s="34"/>
      <c r="Q134" s="34"/>
      <c r="R134" s="304"/>
      <c r="S134" s="34"/>
      <c r="T134" s="34"/>
      <c r="U134" s="34"/>
      <c r="V134" s="34"/>
      <c r="W134" s="105"/>
      <c r="X134" s="105"/>
    </row>
    <row r="135" spans="1:24" ht="12.75">
      <c r="A135" s="309"/>
      <c r="B135" s="309"/>
      <c r="C135" s="34"/>
      <c r="D135" s="362"/>
      <c r="E135" s="34"/>
      <c r="F135" s="34"/>
      <c r="G135" s="35"/>
      <c r="H135" s="35"/>
      <c r="I135" s="34"/>
      <c r="J135" s="34"/>
      <c r="K135" s="65"/>
      <c r="L135" s="34"/>
      <c r="M135" s="34"/>
      <c r="N135" s="188"/>
      <c r="O135" s="188"/>
      <c r="P135" s="34"/>
      <c r="Q135" s="34"/>
      <c r="R135" s="304"/>
      <c r="S135" s="34"/>
      <c r="T135" s="34"/>
      <c r="U135" s="34"/>
      <c r="V135" s="34"/>
      <c r="W135" s="105"/>
      <c r="X135" s="105"/>
    </row>
    <row r="136" spans="1:24" ht="12.75">
      <c r="A136" s="309"/>
      <c r="B136" s="309"/>
      <c r="C136" s="34"/>
      <c r="D136" s="362"/>
      <c r="E136" s="34"/>
      <c r="F136" s="34"/>
      <c r="G136" s="35"/>
      <c r="H136" s="35"/>
      <c r="I136" s="34"/>
      <c r="J136" s="34"/>
      <c r="K136" s="65"/>
      <c r="L136" s="34"/>
      <c r="M136" s="34"/>
      <c r="N136" s="188"/>
      <c r="O136" s="188"/>
      <c r="P136" s="34"/>
      <c r="Q136" s="34"/>
      <c r="R136" s="304"/>
      <c r="S136" s="34"/>
      <c r="T136" s="34"/>
      <c r="U136" s="34"/>
      <c r="V136" s="34"/>
      <c r="W136" s="105"/>
      <c r="X136" s="105"/>
    </row>
    <row r="137" spans="1:24" ht="12.75">
      <c r="A137" s="309"/>
      <c r="B137" s="309"/>
      <c r="C137" s="34"/>
      <c r="D137" s="362"/>
      <c r="E137" s="34"/>
      <c r="F137" s="34"/>
      <c r="G137" s="35"/>
      <c r="H137" s="35"/>
      <c r="I137" s="34"/>
      <c r="J137" s="34"/>
      <c r="K137" s="65"/>
      <c r="L137" s="34"/>
      <c r="M137" s="34"/>
      <c r="N137" s="188"/>
      <c r="O137" s="188"/>
      <c r="P137" s="34"/>
      <c r="Q137" s="34"/>
      <c r="R137" s="304"/>
      <c r="S137" s="34"/>
      <c r="T137" s="34"/>
      <c r="U137" s="34"/>
      <c r="V137" s="34"/>
      <c r="W137" s="105"/>
      <c r="X137" s="105"/>
    </row>
    <row r="138" spans="1:24" ht="12.75">
      <c r="A138" s="309"/>
      <c r="B138" s="309"/>
      <c r="C138" s="34"/>
      <c r="D138" s="362"/>
      <c r="E138" s="34"/>
      <c r="F138" s="34"/>
      <c r="G138" s="35"/>
      <c r="H138" s="35"/>
      <c r="I138" s="34"/>
      <c r="J138" s="34"/>
      <c r="K138" s="65"/>
      <c r="L138" s="34"/>
      <c r="M138" s="34"/>
      <c r="N138" s="188"/>
      <c r="O138" s="188"/>
      <c r="P138" s="34"/>
      <c r="Q138" s="34"/>
      <c r="R138" s="304"/>
      <c r="S138" s="34"/>
      <c r="T138" s="34"/>
      <c r="U138" s="34"/>
      <c r="V138" s="34"/>
      <c r="W138" s="105"/>
      <c r="X138" s="105"/>
    </row>
    <row r="139" spans="1:24" ht="12.75">
      <c r="A139" s="309"/>
      <c r="B139" s="309"/>
      <c r="C139" s="34"/>
      <c r="D139" s="362"/>
      <c r="E139" s="34"/>
      <c r="F139" s="34"/>
      <c r="G139" s="35"/>
      <c r="H139" s="35"/>
      <c r="I139" s="34"/>
      <c r="J139" s="34"/>
      <c r="K139" s="65"/>
      <c r="L139" s="34"/>
      <c r="M139" s="34"/>
      <c r="N139" s="188"/>
      <c r="O139" s="188"/>
      <c r="P139" s="34"/>
      <c r="Q139" s="34"/>
      <c r="R139" s="304"/>
      <c r="S139" s="34"/>
      <c r="T139" s="34"/>
      <c r="U139" s="34"/>
      <c r="V139" s="34"/>
      <c r="W139" s="105"/>
      <c r="X139" s="105"/>
    </row>
    <row r="140" spans="1:24" ht="12.75">
      <c r="A140" s="309"/>
      <c r="B140" s="309"/>
      <c r="C140" s="34"/>
      <c r="D140" s="362"/>
      <c r="E140" s="34"/>
      <c r="F140" s="34"/>
      <c r="G140" s="35"/>
      <c r="H140" s="35"/>
      <c r="I140" s="34"/>
      <c r="J140" s="34"/>
      <c r="K140" s="65"/>
      <c r="L140" s="34"/>
      <c r="M140" s="34"/>
      <c r="N140" s="188"/>
      <c r="O140" s="188"/>
      <c r="P140" s="34"/>
      <c r="Q140" s="34"/>
      <c r="R140" s="304"/>
      <c r="S140" s="34"/>
      <c r="T140" s="34"/>
      <c r="U140" s="34"/>
      <c r="V140" s="34"/>
      <c r="W140" s="105"/>
      <c r="X140" s="105"/>
    </row>
    <row r="141" spans="1:24" ht="12.75">
      <c r="A141" s="309"/>
      <c r="B141" s="309"/>
      <c r="C141" s="34"/>
      <c r="D141" s="362"/>
      <c r="E141" s="34"/>
      <c r="F141" s="34"/>
      <c r="G141" s="35"/>
      <c r="H141" s="35"/>
      <c r="I141" s="34"/>
      <c r="J141" s="34"/>
      <c r="K141" s="65"/>
      <c r="L141" s="34"/>
      <c r="M141" s="34"/>
      <c r="N141" s="188"/>
      <c r="O141" s="188"/>
      <c r="P141" s="34"/>
      <c r="Q141" s="34"/>
      <c r="R141" s="304"/>
      <c r="S141" s="34"/>
      <c r="T141" s="34"/>
      <c r="U141" s="34"/>
      <c r="V141" s="34"/>
      <c r="W141" s="105"/>
      <c r="X141" s="105"/>
    </row>
    <row r="142" spans="1:24" ht="12.75">
      <c r="A142" s="309"/>
      <c r="B142" s="309"/>
      <c r="C142" s="34"/>
      <c r="D142" s="362"/>
      <c r="E142" s="34"/>
      <c r="F142" s="34"/>
      <c r="G142" s="35"/>
      <c r="H142" s="35"/>
      <c r="I142" s="34"/>
      <c r="J142" s="34"/>
      <c r="K142" s="65"/>
      <c r="L142" s="34"/>
      <c r="M142" s="34"/>
      <c r="N142" s="188"/>
      <c r="O142" s="188"/>
      <c r="P142" s="34"/>
      <c r="Q142" s="34"/>
      <c r="R142" s="304"/>
      <c r="S142" s="34"/>
      <c r="T142" s="34"/>
      <c r="U142" s="34"/>
      <c r="V142" s="34"/>
      <c r="W142" s="105"/>
      <c r="X142" s="105"/>
    </row>
    <row r="143" spans="1:24" ht="12.75">
      <c r="A143" s="309"/>
      <c r="B143" s="309"/>
      <c r="C143" s="34"/>
      <c r="D143" s="362"/>
      <c r="E143" s="34"/>
      <c r="F143" s="34"/>
      <c r="G143" s="35"/>
      <c r="H143" s="35"/>
      <c r="I143" s="34"/>
      <c r="J143" s="34"/>
      <c r="K143" s="65"/>
      <c r="L143" s="34"/>
      <c r="M143" s="34"/>
      <c r="N143" s="188"/>
      <c r="O143" s="188"/>
      <c r="P143" s="34"/>
      <c r="Q143" s="34"/>
      <c r="R143" s="304"/>
      <c r="S143" s="34"/>
      <c r="T143" s="34"/>
      <c r="U143" s="34"/>
      <c r="V143" s="34"/>
      <c r="W143" s="105"/>
      <c r="X143" s="105"/>
    </row>
    <row r="144" spans="1:24" ht="12.75">
      <c r="A144" s="309"/>
      <c r="B144" s="309"/>
      <c r="C144" s="34"/>
      <c r="D144" s="362"/>
      <c r="E144" s="34"/>
      <c r="F144" s="34"/>
      <c r="G144" s="35"/>
      <c r="H144" s="35"/>
      <c r="I144" s="34"/>
      <c r="J144" s="34"/>
      <c r="K144" s="65"/>
      <c r="L144" s="34"/>
      <c r="M144" s="34"/>
      <c r="N144" s="188"/>
      <c r="O144" s="188"/>
      <c r="P144" s="34"/>
      <c r="Q144" s="34"/>
      <c r="R144" s="304"/>
      <c r="S144" s="34"/>
      <c r="T144" s="34"/>
      <c r="U144" s="34"/>
      <c r="V144" s="34"/>
      <c r="W144" s="105"/>
      <c r="X144" s="105"/>
    </row>
    <row r="145" spans="1:24" ht="12.75">
      <c r="A145" s="309"/>
      <c r="B145" s="309"/>
      <c r="C145" s="34"/>
      <c r="D145" s="362"/>
      <c r="E145" s="34"/>
      <c r="F145" s="34"/>
      <c r="G145" s="35"/>
      <c r="H145" s="35"/>
      <c r="I145" s="34"/>
      <c r="J145" s="34"/>
      <c r="K145" s="65"/>
      <c r="L145" s="34"/>
      <c r="M145" s="34"/>
      <c r="N145" s="188"/>
      <c r="O145" s="188"/>
      <c r="P145" s="34"/>
      <c r="Q145" s="34"/>
      <c r="R145" s="304"/>
      <c r="S145" s="34"/>
      <c r="T145" s="34"/>
      <c r="U145" s="34"/>
      <c r="V145" s="34"/>
      <c r="W145" s="105"/>
      <c r="X145" s="105"/>
    </row>
    <row r="146" spans="1:24" ht="12.75">
      <c r="A146" s="309"/>
      <c r="B146" s="309"/>
      <c r="C146" s="34"/>
      <c r="D146" s="362"/>
      <c r="E146" s="34"/>
      <c r="F146" s="34"/>
      <c r="G146" s="35"/>
      <c r="H146" s="35"/>
      <c r="I146" s="34"/>
      <c r="J146" s="34"/>
      <c r="K146" s="65"/>
      <c r="L146" s="34"/>
      <c r="M146" s="34"/>
      <c r="N146" s="188"/>
      <c r="O146" s="188"/>
      <c r="P146" s="34"/>
      <c r="Q146" s="34"/>
      <c r="R146" s="304"/>
      <c r="S146" s="34"/>
      <c r="T146" s="34"/>
      <c r="U146" s="34"/>
      <c r="V146" s="34"/>
      <c r="W146" s="105"/>
      <c r="X146" s="105"/>
    </row>
    <row r="147" spans="1:24" ht="12.75">
      <c r="A147" s="309"/>
      <c r="B147" s="309"/>
      <c r="C147" s="34"/>
      <c r="D147" s="362"/>
      <c r="E147" s="34"/>
      <c r="F147" s="34"/>
      <c r="G147" s="35"/>
      <c r="H147" s="35"/>
      <c r="I147" s="34"/>
      <c r="J147" s="34"/>
      <c r="K147" s="65"/>
      <c r="L147" s="34"/>
      <c r="M147" s="34"/>
      <c r="N147" s="188"/>
      <c r="O147" s="188"/>
      <c r="P147" s="34"/>
      <c r="Q147" s="34"/>
      <c r="R147" s="304"/>
      <c r="S147" s="34"/>
      <c r="T147" s="34"/>
      <c r="U147" s="34"/>
      <c r="V147" s="34"/>
      <c r="W147" s="105"/>
      <c r="X147" s="105"/>
    </row>
    <row r="148" spans="1:24" ht="12.75">
      <c r="A148" s="309"/>
      <c r="B148" s="309"/>
      <c r="C148" s="34"/>
      <c r="D148" s="362"/>
      <c r="E148" s="34"/>
      <c r="F148" s="34"/>
      <c r="G148" s="35"/>
      <c r="H148" s="35"/>
      <c r="I148" s="34"/>
      <c r="J148" s="34"/>
      <c r="K148" s="65"/>
      <c r="L148" s="34"/>
      <c r="M148" s="34"/>
      <c r="N148" s="188"/>
      <c r="O148" s="188"/>
      <c r="P148" s="34"/>
      <c r="Q148" s="34"/>
      <c r="R148" s="304"/>
      <c r="S148" s="34"/>
      <c r="T148" s="34"/>
      <c r="U148" s="34"/>
      <c r="V148" s="34"/>
      <c r="W148" s="105"/>
      <c r="X148" s="105"/>
    </row>
    <row r="149" spans="1:24" ht="12.75">
      <c r="A149" s="309"/>
      <c r="B149" s="309"/>
      <c r="C149" s="34"/>
      <c r="D149" s="362"/>
      <c r="E149" s="34"/>
      <c r="F149" s="34"/>
      <c r="G149" s="35"/>
      <c r="H149" s="35"/>
      <c r="I149" s="34"/>
      <c r="J149" s="34"/>
      <c r="K149" s="65"/>
      <c r="L149" s="34"/>
      <c r="M149" s="34"/>
      <c r="N149" s="188"/>
      <c r="O149" s="188"/>
      <c r="P149" s="34"/>
      <c r="Q149" s="34"/>
      <c r="R149" s="304"/>
      <c r="S149" s="34"/>
      <c r="T149" s="34"/>
      <c r="U149" s="34"/>
      <c r="V149" s="34"/>
      <c r="W149" s="105"/>
      <c r="X149" s="105"/>
    </row>
    <row r="150" spans="1:24" ht="12.75">
      <c r="A150" s="309"/>
      <c r="B150" s="309"/>
      <c r="C150" s="34"/>
      <c r="D150" s="362"/>
      <c r="E150" s="34"/>
      <c r="F150" s="34"/>
      <c r="G150" s="35"/>
      <c r="H150" s="35"/>
      <c r="I150" s="34"/>
      <c r="J150" s="34"/>
      <c r="K150" s="65"/>
      <c r="L150" s="34"/>
      <c r="M150" s="34"/>
      <c r="N150" s="188"/>
      <c r="O150" s="188"/>
      <c r="P150" s="34"/>
      <c r="Q150" s="34"/>
      <c r="R150" s="304"/>
      <c r="S150" s="34"/>
      <c r="T150" s="34"/>
      <c r="U150" s="34"/>
      <c r="V150" s="34"/>
      <c r="W150" s="105"/>
      <c r="X150" s="105"/>
    </row>
    <row r="151" spans="1:24" ht="12.75">
      <c r="A151" s="309"/>
      <c r="B151" s="309"/>
      <c r="C151" s="34"/>
      <c r="D151" s="362"/>
      <c r="E151" s="34"/>
      <c r="F151" s="34"/>
      <c r="G151" s="35"/>
      <c r="H151" s="35"/>
      <c r="I151" s="34"/>
      <c r="J151" s="34"/>
      <c r="K151" s="65"/>
      <c r="L151" s="34"/>
      <c r="M151" s="34"/>
      <c r="N151" s="188"/>
      <c r="O151" s="188"/>
      <c r="P151" s="34"/>
      <c r="Q151" s="34"/>
      <c r="R151" s="304"/>
      <c r="S151" s="34"/>
      <c r="T151" s="34"/>
      <c r="U151" s="34"/>
      <c r="V151" s="34"/>
      <c r="W151" s="105"/>
      <c r="X151" s="105"/>
    </row>
    <row r="152" spans="1:24" ht="12.75">
      <c r="A152" s="309"/>
      <c r="B152" s="309"/>
      <c r="C152" s="34"/>
      <c r="D152" s="362"/>
      <c r="E152" s="34"/>
      <c r="F152" s="34"/>
      <c r="G152" s="35"/>
      <c r="H152" s="35"/>
      <c r="I152" s="34"/>
      <c r="J152" s="34"/>
      <c r="K152" s="65"/>
      <c r="L152" s="34"/>
      <c r="M152" s="34"/>
      <c r="N152" s="188"/>
      <c r="O152" s="188"/>
      <c r="P152" s="34"/>
      <c r="Q152" s="34"/>
      <c r="R152" s="304"/>
      <c r="S152" s="34"/>
      <c r="T152" s="34"/>
      <c r="U152" s="34"/>
      <c r="V152" s="34"/>
      <c r="W152" s="105"/>
      <c r="X152" s="105"/>
    </row>
    <row r="153" spans="1:24" ht="12.75">
      <c r="A153" s="309"/>
      <c r="B153" s="309"/>
      <c r="C153" s="34"/>
      <c r="D153" s="362"/>
      <c r="E153" s="34"/>
      <c r="F153" s="34"/>
      <c r="G153" s="35"/>
      <c r="H153" s="35"/>
      <c r="I153" s="34"/>
      <c r="J153" s="34"/>
      <c r="K153" s="65"/>
      <c r="L153" s="34"/>
      <c r="M153" s="34"/>
      <c r="N153" s="188"/>
      <c r="O153" s="188"/>
      <c r="P153" s="34"/>
      <c r="Q153" s="34"/>
      <c r="R153" s="304"/>
      <c r="S153" s="34"/>
      <c r="T153" s="34"/>
      <c r="U153" s="34"/>
      <c r="V153" s="34"/>
      <c r="W153" s="105"/>
      <c r="X153" s="105"/>
    </row>
    <row r="154" spans="1:24" ht="12.75">
      <c r="A154" s="309"/>
      <c r="B154" s="309"/>
      <c r="C154" s="34"/>
      <c r="D154" s="362"/>
      <c r="E154" s="34"/>
      <c r="F154" s="34"/>
      <c r="G154" s="35"/>
      <c r="H154" s="35"/>
      <c r="I154" s="34"/>
      <c r="J154" s="34"/>
      <c r="K154" s="65"/>
      <c r="L154" s="34"/>
      <c r="M154" s="34"/>
      <c r="N154" s="188"/>
      <c r="O154" s="188"/>
      <c r="P154" s="34"/>
      <c r="Q154" s="34"/>
      <c r="R154" s="304"/>
      <c r="S154" s="34"/>
      <c r="T154" s="34"/>
      <c r="U154" s="34"/>
      <c r="V154" s="34"/>
      <c r="W154" s="105"/>
      <c r="X154" s="105"/>
    </row>
    <row r="155" spans="1:24" ht="12.75">
      <c r="A155" s="309"/>
      <c r="B155" s="309"/>
      <c r="C155" s="34"/>
      <c r="D155" s="362"/>
      <c r="E155" s="34"/>
      <c r="F155" s="34"/>
      <c r="G155" s="35"/>
      <c r="H155" s="35"/>
      <c r="I155" s="34"/>
      <c r="J155" s="34"/>
      <c r="K155" s="65"/>
      <c r="L155" s="34"/>
      <c r="M155" s="34"/>
      <c r="N155" s="188"/>
      <c r="O155" s="188"/>
      <c r="P155" s="34"/>
      <c r="Q155" s="34"/>
      <c r="R155" s="304"/>
      <c r="S155" s="34"/>
      <c r="T155" s="34"/>
      <c r="U155" s="34"/>
      <c r="V155" s="34"/>
      <c r="W155" s="105"/>
      <c r="X155" s="105"/>
    </row>
    <row r="156" spans="1:24" ht="12.75">
      <c r="A156" s="309"/>
      <c r="B156" s="309"/>
      <c r="C156" s="34"/>
      <c r="D156" s="362"/>
      <c r="E156" s="34"/>
      <c r="F156" s="34"/>
      <c r="G156" s="35"/>
      <c r="H156" s="35"/>
      <c r="I156" s="34"/>
      <c r="J156" s="34"/>
      <c r="K156" s="65"/>
      <c r="L156" s="34"/>
      <c r="M156" s="34"/>
      <c r="N156" s="188"/>
      <c r="O156" s="188"/>
      <c r="P156" s="34"/>
      <c r="Q156" s="34"/>
      <c r="R156" s="304"/>
      <c r="S156" s="34"/>
      <c r="T156" s="34"/>
      <c r="U156" s="34"/>
      <c r="V156" s="34"/>
      <c r="W156" s="105"/>
      <c r="X156" s="105"/>
    </row>
    <row r="157" spans="1:24" ht="12.75">
      <c r="A157" s="309"/>
      <c r="B157" s="309"/>
      <c r="C157" s="34"/>
      <c r="D157" s="362"/>
      <c r="E157" s="34"/>
      <c r="F157" s="34"/>
      <c r="G157" s="35"/>
      <c r="H157" s="35"/>
      <c r="I157" s="34"/>
      <c r="J157" s="34"/>
      <c r="K157" s="65"/>
      <c r="L157" s="34"/>
      <c r="M157" s="34"/>
      <c r="N157" s="188"/>
      <c r="O157" s="188"/>
      <c r="P157" s="34"/>
      <c r="Q157" s="34"/>
      <c r="R157" s="304"/>
      <c r="S157" s="34"/>
      <c r="T157" s="34"/>
      <c r="U157" s="34"/>
      <c r="V157" s="34"/>
      <c r="W157" s="105"/>
      <c r="X157" s="105"/>
    </row>
    <row r="158" spans="1:24" ht="12.75">
      <c r="A158" s="309"/>
      <c r="B158" s="309"/>
      <c r="C158" s="34"/>
      <c r="D158" s="362"/>
      <c r="E158" s="34"/>
      <c r="F158" s="34"/>
      <c r="G158" s="35"/>
      <c r="H158" s="35"/>
      <c r="I158" s="34"/>
      <c r="J158" s="34"/>
      <c r="K158" s="65"/>
      <c r="L158" s="34"/>
      <c r="M158" s="34"/>
      <c r="N158" s="188"/>
      <c r="O158" s="188"/>
      <c r="P158" s="34"/>
      <c r="Q158" s="34"/>
      <c r="R158" s="304"/>
      <c r="S158" s="34"/>
      <c r="T158" s="34"/>
      <c r="U158" s="34"/>
      <c r="V158" s="34"/>
      <c r="W158" s="105"/>
      <c r="X158" s="105"/>
    </row>
    <row r="159" spans="1:24" ht="12.75">
      <c r="A159" s="309"/>
      <c r="B159" s="309"/>
      <c r="C159" s="34"/>
      <c r="D159" s="362"/>
      <c r="E159" s="34"/>
      <c r="F159" s="34"/>
      <c r="G159" s="35"/>
      <c r="H159" s="35"/>
      <c r="I159" s="34"/>
      <c r="J159" s="34"/>
      <c r="K159" s="65"/>
      <c r="L159" s="34"/>
      <c r="M159" s="34"/>
      <c r="N159" s="188"/>
      <c r="O159" s="188"/>
      <c r="P159" s="34"/>
      <c r="Q159" s="34"/>
      <c r="R159" s="304"/>
      <c r="S159" s="34"/>
      <c r="T159" s="34"/>
      <c r="U159" s="34"/>
      <c r="V159" s="34"/>
      <c r="W159" s="105"/>
      <c r="X159" s="105"/>
    </row>
    <row r="160" spans="1:24" ht="12.75">
      <c r="A160" s="309"/>
      <c r="B160" s="309"/>
      <c r="C160" s="34"/>
      <c r="D160" s="362"/>
      <c r="E160" s="34"/>
      <c r="F160" s="34"/>
      <c r="G160" s="35"/>
      <c r="H160" s="35"/>
      <c r="I160" s="34"/>
      <c r="J160" s="34"/>
      <c r="K160" s="65"/>
      <c r="L160" s="34"/>
      <c r="M160" s="34"/>
      <c r="N160" s="188"/>
      <c r="O160" s="188"/>
      <c r="P160" s="34"/>
      <c r="Q160" s="34"/>
      <c r="R160" s="304"/>
      <c r="S160" s="34"/>
      <c r="T160" s="34"/>
      <c r="U160" s="34"/>
      <c r="V160" s="34"/>
      <c r="W160" s="105"/>
      <c r="X160" s="105"/>
    </row>
    <row r="161" spans="1:24" ht="12.75">
      <c r="A161" s="309"/>
      <c r="B161" s="309"/>
      <c r="C161" s="34"/>
      <c r="D161" s="362"/>
      <c r="E161" s="34"/>
      <c r="F161" s="34"/>
      <c r="G161" s="35"/>
      <c r="H161" s="35"/>
      <c r="I161" s="34"/>
      <c r="J161" s="34"/>
      <c r="K161" s="65"/>
      <c r="L161" s="34"/>
      <c r="M161" s="34"/>
      <c r="N161" s="188"/>
      <c r="O161" s="188"/>
      <c r="P161" s="34"/>
      <c r="Q161" s="34"/>
      <c r="R161" s="304"/>
      <c r="S161" s="34"/>
      <c r="T161" s="34"/>
      <c r="U161" s="34"/>
      <c r="V161" s="34"/>
      <c r="W161" s="105"/>
      <c r="X161" s="105"/>
    </row>
    <row r="162" spans="1:24" ht="12.75">
      <c r="A162" s="309"/>
      <c r="B162" s="309"/>
      <c r="C162" s="34"/>
      <c r="D162" s="362"/>
      <c r="E162" s="34"/>
      <c r="F162" s="34"/>
      <c r="G162" s="35"/>
      <c r="H162" s="35"/>
      <c r="I162" s="34"/>
      <c r="J162" s="34"/>
      <c r="K162" s="65"/>
      <c r="L162" s="34"/>
      <c r="M162" s="34"/>
      <c r="N162" s="188"/>
      <c r="O162" s="188"/>
      <c r="P162" s="34"/>
      <c r="Q162" s="34"/>
      <c r="R162" s="304"/>
      <c r="S162" s="34"/>
      <c r="T162" s="34"/>
      <c r="U162" s="34"/>
      <c r="V162" s="34"/>
      <c r="W162" s="105"/>
      <c r="X162" s="105"/>
    </row>
    <row r="163" spans="1:24" ht="12.75">
      <c r="A163" s="309"/>
      <c r="B163" s="309"/>
      <c r="C163" s="34"/>
      <c r="D163" s="362"/>
      <c r="E163" s="34"/>
      <c r="F163" s="34"/>
      <c r="G163" s="35"/>
      <c r="H163" s="35"/>
      <c r="I163" s="34"/>
      <c r="J163" s="34"/>
      <c r="K163" s="65"/>
      <c r="L163" s="34"/>
      <c r="M163" s="34"/>
      <c r="N163" s="188"/>
      <c r="O163" s="188"/>
      <c r="P163" s="34"/>
      <c r="Q163" s="34"/>
      <c r="R163" s="304"/>
      <c r="S163" s="34"/>
      <c r="T163" s="34"/>
      <c r="U163" s="34"/>
      <c r="V163" s="34"/>
      <c r="W163" s="105"/>
      <c r="X163" s="105"/>
    </row>
    <row r="164" spans="1:24" ht="12.75">
      <c r="A164" s="309"/>
      <c r="B164" s="309"/>
      <c r="C164" s="34"/>
      <c r="D164" s="362"/>
      <c r="E164" s="34"/>
      <c r="F164" s="34"/>
      <c r="G164" s="35"/>
      <c r="H164" s="35"/>
      <c r="I164" s="34"/>
      <c r="J164" s="34"/>
      <c r="K164" s="65"/>
      <c r="L164" s="34"/>
      <c r="M164" s="34"/>
      <c r="N164" s="188"/>
      <c r="O164" s="188"/>
      <c r="P164" s="34"/>
      <c r="Q164" s="34"/>
      <c r="R164" s="304"/>
      <c r="S164" s="34"/>
      <c r="T164" s="34"/>
      <c r="U164" s="34"/>
      <c r="V164" s="34"/>
      <c r="W164" s="105"/>
      <c r="X164" s="105"/>
    </row>
    <row r="165" spans="1:24" ht="12.75">
      <c r="A165" s="309"/>
      <c r="B165" s="309"/>
      <c r="C165" s="34"/>
      <c r="D165" s="362"/>
      <c r="E165" s="34"/>
      <c r="F165" s="34"/>
      <c r="G165" s="35"/>
      <c r="H165" s="35"/>
      <c r="I165" s="34"/>
      <c r="J165" s="34"/>
      <c r="K165" s="65"/>
      <c r="L165" s="34"/>
      <c r="M165" s="34"/>
      <c r="N165" s="188"/>
      <c r="O165" s="188"/>
      <c r="P165" s="34"/>
      <c r="Q165" s="34"/>
      <c r="R165" s="304"/>
      <c r="S165" s="34"/>
      <c r="T165" s="34"/>
      <c r="U165" s="34"/>
      <c r="V165" s="34"/>
      <c r="W165" s="105"/>
      <c r="X165" s="105"/>
    </row>
    <row r="166" spans="1:24" ht="12.75">
      <c r="A166" s="309"/>
      <c r="B166" s="309"/>
      <c r="C166" s="34"/>
      <c r="D166" s="362"/>
      <c r="E166" s="34"/>
      <c r="F166" s="34"/>
      <c r="G166" s="35"/>
      <c r="H166" s="35"/>
      <c r="I166" s="34"/>
      <c r="J166" s="34"/>
      <c r="K166" s="65"/>
      <c r="L166" s="34"/>
      <c r="M166" s="34"/>
      <c r="N166" s="188"/>
      <c r="O166" s="188"/>
      <c r="P166" s="34"/>
      <c r="Q166" s="34"/>
      <c r="R166" s="304"/>
      <c r="S166" s="34"/>
      <c r="T166" s="34"/>
      <c r="U166" s="34"/>
      <c r="V166" s="34"/>
      <c r="W166" s="105"/>
      <c r="X166" s="105"/>
    </row>
    <row r="167" spans="1:24" ht="12.75">
      <c r="A167" s="309"/>
      <c r="B167" s="309"/>
      <c r="C167" s="34"/>
      <c r="D167" s="362"/>
      <c r="E167" s="34"/>
      <c r="F167" s="34"/>
      <c r="G167" s="35"/>
      <c r="H167" s="35"/>
      <c r="I167" s="34"/>
      <c r="J167" s="34"/>
      <c r="K167" s="65"/>
      <c r="L167" s="34"/>
      <c r="M167" s="34"/>
      <c r="N167" s="188"/>
      <c r="O167" s="188"/>
      <c r="P167" s="34"/>
      <c r="Q167" s="34"/>
      <c r="R167" s="304"/>
      <c r="S167" s="34"/>
      <c r="T167" s="34"/>
      <c r="U167" s="34"/>
      <c r="V167" s="34"/>
      <c r="W167" s="105"/>
      <c r="X167" s="105"/>
    </row>
    <row r="168" spans="1:24" ht="12.75">
      <c r="A168" s="309"/>
      <c r="B168" s="309"/>
      <c r="C168" s="34"/>
      <c r="D168" s="362"/>
      <c r="E168" s="34"/>
      <c r="F168" s="34"/>
      <c r="G168" s="35"/>
      <c r="H168" s="35"/>
      <c r="I168" s="34"/>
      <c r="J168" s="34"/>
      <c r="K168" s="65"/>
      <c r="L168" s="34"/>
      <c r="M168" s="34"/>
      <c r="N168" s="188"/>
      <c r="O168" s="188"/>
      <c r="P168" s="34"/>
      <c r="Q168" s="34"/>
      <c r="R168" s="304"/>
      <c r="S168" s="34"/>
      <c r="T168" s="34"/>
      <c r="U168" s="34"/>
      <c r="V168" s="34"/>
      <c r="W168" s="105"/>
      <c r="X168" s="105"/>
    </row>
    <row r="169" spans="1:24" ht="12.75">
      <c r="A169" s="309"/>
      <c r="B169" s="309"/>
      <c r="C169" s="34"/>
      <c r="D169" s="362"/>
      <c r="E169" s="34"/>
      <c r="F169" s="34"/>
      <c r="G169" s="35"/>
      <c r="H169" s="35"/>
      <c r="I169" s="34"/>
      <c r="J169" s="34"/>
      <c r="K169" s="65"/>
      <c r="L169" s="34"/>
      <c r="M169" s="34"/>
      <c r="N169" s="188"/>
      <c r="O169" s="188"/>
      <c r="P169" s="34"/>
      <c r="Q169" s="34"/>
      <c r="R169" s="304"/>
      <c r="S169" s="34"/>
      <c r="T169" s="34"/>
      <c r="U169" s="34"/>
      <c r="V169" s="34"/>
      <c r="W169" s="105"/>
      <c r="X169" s="105"/>
    </row>
    <row r="170" spans="1:24" ht="12.75">
      <c r="A170" s="309"/>
      <c r="B170" s="309"/>
      <c r="C170" s="34"/>
      <c r="D170" s="362"/>
      <c r="E170" s="34"/>
      <c r="F170" s="34"/>
      <c r="G170" s="35"/>
      <c r="H170" s="35"/>
      <c r="I170" s="34"/>
      <c r="J170" s="34"/>
      <c r="K170" s="65"/>
      <c r="L170" s="34"/>
      <c r="M170" s="34"/>
      <c r="N170" s="188"/>
      <c r="O170" s="188"/>
      <c r="P170" s="34"/>
      <c r="Q170" s="34"/>
      <c r="R170" s="304"/>
      <c r="S170" s="34"/>
      <c r="T170" s="34"/>
      <c r="U170" s="34"/>
      <c r="V170" s="34"/>
      <c r="W170" s="105"/>
      <c r="X170" s="105"/>
    </row>
    <row r="171" spans="1:24" ht="12.75">
      <c r="A171" s="309"/>
      <c r="B171" s="309"/>
      <c r="C171" s="34"/>
      <c r="D171" s="362"/>
      <c r="E171" s="34"/>
      <c r="F171" s="34"/>
      <c r="G171" s="35"/>
      <c r="H171" s="35"/>
      <c r="I171" s="34"/>
      <c r="J171" s="34"/>
      <c r="K171" s="65"/>
      <c r="L171" s="34"/>
      <c r="M171" s="34"/>
      <c r="N171" s="188"/>
      <c r="O171" s="188"/>
      <c r="P171" s="34"/>
      <c r="Q171" s="34"/>
      <c r="R171" s="304"/>
      <c r="S171" s="34"/>
      <c r="T171" s="34"/>
      <c r="U171" s="34"/>
      <c r="V171" s="34"/>
      <c r="W171" s="105"/>
      <c r="X171" s="105"/>
    </row>
    <row r="172" spans="1:24" ht="12.75">
      <c r="A172" s="309"/>
      <c r="B172" s="309"/>
      <c r="C172" s="34"/>
      <c r="D172" s="362"/>
      <c r="E172" s="34"/>
      <c r="F172" s="34"/>
      <c r="G172" s="35"/>
      <c r="H172" s="35"/>
      <c r="I172" s="34"/>
      <c r="J172" s="34"/>
      <c r="K172" s="65"/>
      <c r="L172" s="34"/>
      <c r="M172" s="34"/>
      <c r="N172" s="188"/>
      <c r="O172" s="188"/>
      <c r="P172" s="34"/>
      <c r="Q172" s="34"/>
      <c r="R172" s="304"/>
      <c r="S172" s="34"/>
      <c r="T172" s="34"/>
      <c r="U172" s="34"/>
      <c r="V172" s="34"/>
      <c r="W172" s="105"/>
      <c r="X172" s="105"/>
    </row>
    <row r="173" spans="1:24" ht="12.75">
      <c r="A173" s="309"/>
      <c r="B173" s="309"/>
      <c r="C173" s="34"/>
      <c r="D173" s="362"/>
      <c r="E173" s="34"/>
      <c r="F173" s="34"/>
      <c r="G173" s="35"/>
      <c r="H173" s="35"/>
      <c r="I173" s="34"/>
      <c r="J173" s="34"/>
      <c r="K173" s="65"/>
      <c r="L173" s="34"/>
      <c r="M173" s="34"/>
      <c r="N173" s="188"/>
      <c r="O173" s="188"/>
      <c r="P173" s="34"/>
      <c r="Q173" s="34"/>
      <c r="R173" s="304"/>
      <c r="S173" s="34"/>
      <c r="T173" s="34"/>
      <c r="U173" s="34"/>
      <c r="V173" s="34"/>
      <c r="W173" s="105"/>
      <c r="X173" s="105"/>
    </row>
    <row r="174" spans="1:24" ht="12.75">
      <c r="A174" s="309"/>
      <c r="B174" s="309"/>
      <c r="C174" s="34"/>
      <c r="D174" s="362"/>
      <c r="E174" s="34"/>
      <c r="F174" s="34"/>
      <c r="G174" s="35"/>
      <c r="H174" s="35"/>
      <c r="I174" s="34"/>
      <c r="J174" s="34"/>
      <c r="K174" s="65"/>
      <c r="L174" s="34"/>
      <c r="M174" s="34"/>
      <c r="N174" s="188"/>
      <c r="O174" s="188"/>
      <c r="P174" s="34"/>
      <c r="Q174" s="34"/>
      <c r="R174" s="304"/>
      <c r="S174" s="34"/>
      <c r="T174" s="34"/>
      <c r="U174" s="34"/>
      <c r="V174" s="34"/>
      <c r="W174" s="105"/>
      <c r="X174" s="105"/>
    </row>
    <row r="175" spans="1:24" ht="12.75">
      <c r="A175" s="309"/>
      <c r="B175" s="309"/>
      <c r="C175" s="34"/>
      <c r="D175" s="362"/>
      <c r="E175" s="34"/>
      <c r="F175" s="34"/>
      <c r="G175" s="35"/>
      <c r="H175" s="35"/>
      <c r="I175" s="34"/>
      <c r="J175" s="34"/>
      <c r="K175" s="65"/>
      <c r="L175" s="34"/>
      <c r="M175" s="34"/>
      <c r="N175" s="188"/>
      <c r="O175" s="188"/>
      <c r="P175" s="34"/>
      <c r="Q175" s="34"/>
      <c r="R175" s="304"/>
      <c r="S175" s="34"/>
      <c r="T175" s="34"/>
      <c r="U175" s="34"/>
      <c r="V175" s="34"/>
      <c r="W175" s="105"/>
      <c r="X175" s="105"/>
    </row>
    <row r="176" spans="1:24" ht="12.75">
      <c r="A176" s="309"/>
      <c r="B176" s="309"/>
      <c r="C176" s="34"/>
      <c r="D176" s="362"/>
      <c r="E176" s="34"/>
      <c r="F176" s="34"/>
      <c r="G176" s="35"/>
      <c r="H176" s="35"/>
      <c r="I176" s="34"/>
      <c r="J176" s="34"/>
      <c r="K176" s="65"/>
      <c r="L176" s="34"/>
      <c r="M176" s="34"/>
      <c r="N176" s="188"/>
      <c r="O176" s="188"/>
      <c r="P176" s="34"/>
      <c r="Q176" s="34"/>
      <c r="R176" s="304"/>
      <c r="S176" s="34"/>
      <c r="T176" s="34"/>
      <c r="U176" s="34"/>
      <c r="V176" s="34"/>
      <c r="W176" s="105"/>
      <c r="X176" s="105"/>
    </row>
    <row r="177" spans="1:24" ht="12.75">
      <c r="A177" s="309"/>
      <c r="B177" s="309"/>
      <c r="C177" s="34"/>
      <c r="D177" s="362"/>
      <c r="E177" s="34"/>
      <c r="F177" s="34"/>
      <c r="G177" s="35"/>
      <c r="H177" s="35"/>
      <c r="I177" s="34"/>
      <c r="J177" s="34"/>
      <c r="K177" s="65"/>
      <c r="L177" s="34"/>
      <c r="M177" s="34"/>
      <c r="N177" s="188"/>
      <c r="O177" s="188"/>
      <c r="P177" s="34"/>
      <c r="Q177" s="34"/>
      <c r="R177" s="304"/>
      <c r="S177" s="34"/>
      <c r="T177" s="34"/>
      <c r="U177" s="34"/>
      <c r="V177" s="34"/>
      <c r="W177" s="105"/>
      <c r="X177" s="105"/>
    </row>
    <row r="178" spans="1:24" ht="12.75">
      <c r="A178" s="309"/>
      <c r="B178" s="309"/>
      <c r="C178" s="34"/>
      <c r="D178" s="362"/>
      <c r="E178" s="34"/>
      <c r="F178" s="34"/>
      <c r="G178" s="35"/>
      <c r="H178" s="35"/>
      <c r="I178" s="34"/>
      <c r="J178" s="34"/>
      <c r="K178" s="65"/>
      <c r="L178" s="34"/>
      <c r="M178" s="34"/>
      <c r="N178" s="188"/>
      <c r="O178" s="188"/>
      <c r="P178" s="34"/>
      <c r="Q178" s="34"/>
      <c r="R178" s="304"/>
      <c r="S178" s="34"/>
      <c r="T178" s="34"/>
      <c r="U178" s="34"/>
      <c r="V178" s="34"/>
      <c r="W178" s="105"/>
      <c r="X178" s="105"/>
    </row>
    <row r="179" spans="1:24" ht="12.75">
      <c r="A179" s="309"/>
      <c r="B179" s="309"/>
      <c r="C179" s="34"/>
      <c r="D179" s="362"/>
      <c r="E179" s="34"/>
      <c r="F179" s="34"/>
      <c r="G179" s="35"/>
      <c r="H179" s="35"/>
      <c r="I179" s="34"/>
      <c r="J179" s="34"/>
      <c r="K179" s="65"/>
      <c r="L179" s="34"/>
      <c r="M179" s="34"/>
      <c r="N179" s="188"/>
      <c r="O179" s="188"/>
      <c r="P179" s="34"/>
      <c r="Q179" s="34"/>
      <c r="R179" s="304"/>
      <c r="S179" s="34"/>
      <c r="T179" s="34"/>
      <c r="U179" s="34"/>
      <c r="V179" s="34"/>
      <c r="W179" s="105"/>
      <c r="X179" s="105"/>
    </row>
    <row r="180" spans="1:24" ht="12.75">
      <c r="A180" s="309"/>
      <c r="B180" s="309"/>
      <c r="C180" s="34"/>
      <c r="D180" s="362"/>
      <c r="E180" s="34"/>
      <c r="F180" s="34"/>
      <c r="G180" s="35"/>
      <c r="H180" s="35"/>
      <c r="I180" s="34"/>
      <c r="J180" s="34"/>
      <c r="K180" s="65"/>
      <c r="L180" s="34"/>
      <c r="M180" s="34"/>
      <c r="N180" s="188"/>
      <c r="O180" s="188"/>
      <c r="P180" s="34"/>
      <c r="Q180" s="34"/>
      <c r="R180" s="304"/>
      <c r="S180" s="34"/>
      <c r="T180" s="34"/>
      <c r="U180" s="34"/>
      <c r="V180" s="34"/>
      <c r="W180" s="105"/>
      <c r="X180" s="105"/>
    </row>
    <row r="181" spans="1:24" ht="12.75">
      <c r="A181" s="309"/>
      <c r="B181" s="309"/>
      <c r="C181" s="34"/>
      <c r="D181" s="362"/>
      <c r="E181" s="34"/>
      <c r="F181" s="34"/>
      <c r="G181" s="35"/>
      <c r="H181" s="35"/>
      <c r="I181" s="34"/>
      <c r="J181" s="34"/>
      <c r="K181" s="65"/>
      <c r="L181" s="34"/>
      <c r="M181" s="34"/>
      <c r="N181" s="188"/>
      <c r="O181" s="188"/>
      <c r="P181" s="34"/>
      <c r="Q181" s="34"/>
      <c r="R181" s="304"/>
      <c r="S181" s="34"/>
      <c r="T181" s="34"/>
      <c r="U181" s="34"/>
      <c r="V181" s="34"/>
      <c r="W181" s="105"/>
      <c r="X181" s="105"/>
    </row>
    <row r="182" spans="1:24" ht="12.75">
      <c r="A182" s="309"/>
      <c r="B182" s="309"/>
      <c r="C182" s="34"/>
      <c r="D182" s="362"/>
      <c r="E182" s="34"/>
      <c r="F182" s="34"/>
      <c r="G182" s="35"/>
      <c r="H182" s="35"/>
      <c r="I182" s="34"/>
      <c r="J182" s="34"/>
      <c r="K182" s="65"/>
      <c r="L182" s="34"/>
      <c r="M182" s="34"/>
      <c r="N182" s="188"/>
      <c r="O182" s="188"/>
      <c r="P182" s="34"/>
      <c r="Q182" s="34"/>
      <c r="R182" s="304"/>
      <c r="S182" s="34"/>
      <c r="T182" s="34"/>
      <c r="U182" s="34"/>
      <c r="V182" s="34"/>
      <c r="W182" s="105"/>
      <c r="X182" s="105"/>
    </row>
    <row r="183" spans="1:24" ht="12.75">
      <c r="A183" s="309"/>
      <c r="B183" s="309"/>
      <c r="C183" s="34"/>
      <c r="D183" s="362"/>
      <c r="E183" s="34"/>
      <c r="F183" s="34"/>
      <c r="G183" s="35"/>
      <c r="H183" s="35"/>
      <c r="I183" s="34"/>
      <c r="J183" s="34"/>
      <c r="K183" s="65"/>
      <c r="L183" s="34"/>
      <c r="M183" s="34"/>
      <c r="N183" s="188"/>
      <c r="O183" s="188"/>
      <c r="P183" s="34"/>
      <c r="Q183" s="34"/>
      <c r="R183" s="304"/>
      <c r="S183" s="34"/>
      <c r="T183" s="34"/>
      <c r="U183" s="34"/>
      <c r="V183" s="34"/>
      <c r="W183" s="105"/>
      <c r="X183" s="105"/>
    </row>
    <row r="184" spans="1:24" ht="12.75">
      <c r="A184" s="309"/>
      <c r="B184" s="309"/>
      <c r="C184" s="34"/>
      <c r="D184" s="362"/>
      <c r="E184" s="34"/>
      <c r="F184" s="34"/>
      <c r="G184" s="35"/>
      <c r="H184" s="35"/>
      <c r="I184" s="34"/>
      <c r="J184" s="34"/>
      <c r="K184" s="65"/>
      <c r="L184" s="34"/>
      <c r="M184" s="34"/>
      <c r="N184" s="188"/>
      <c r="O184" s="188"/>
      <c r="P184" s="34"/>
      <c r="Q184" s="34"/>
      <c r="R184" s="304"/>
      <c r="S184" s="34"/>
      <c r="T184" s="34"/>
      <c r="U184" s="34"/>
      <c r="V184" s="34"/>
      <c r="W184" s="105"/>
      <c r="X184" s="105"/>
    </row>
    <row r="185" spans="1:24" ht="12.75">
      <c r="A185" s="309"/>
      <c r="B185" s="309"/>
      <c r="C185" s="34"/>
      <c r="D185" s="362"/>
      <c r="E185" s="34"/>
      <c r="F185" s="34"/>
      <c r="G185" s="35"/>
      <c r="H185" s="35"/>
      <c r="I185" s="34"/>
      <c r="J185" s="34"/>
      <c r="K185" s="65"/>
      <c r="L185" s="34"/>
      <c r="M185" s="34"/>
      <c r="N185" s="188"/>
      <c r="O185" s="188"/>
      <c r="P185" s="34"/>
      <c r="Q185" s="34"/>
      <c r="R185" s="304"/>
      <c r="S185" s="34"/>
      <c r="T185" s="34"/>
      <c r="U185" s="34"/>
      <c r="V185" s="34"/>
      <c r="W185" s="105"/>
      <c r="X185" s="105"/>
    </row>
    <row r="186" spans="1:24" ht="12.75">
      <c r="A186" s="309"/>
      <c r="B186" s="309"/>
      <c r="C186" s="34"/>
      <c r="D186" s="362"/>
      <c r="E186" s="34"/>
      <c r="F186" s="34"/>
      <c r="G186" s="35"/>
      <c r="H186" s="35"/>
      <c r="I186" s="34"/>
      <c r="J186" s="34"/>
      <c r="K186" s="65"/>
      <c r="L186" s="34"/>
      <c r="M186" s="34"/>
      <c r="N186" s="188"/>
      <c r="O186" s="188"/>
      <c r="P186" s="34"/>
      <c r="Q186" s="34"/>
      <c r="R186" s="304"/>
      <c r="S186" s="34"/>
      <c r="T186" s="34"/>
      <c r="U186" s="34"/>
      <c r="V186" s="34"/>
      <c r="W186" s="105"/>
      <c r="X186" s="105"/>
    </row>
    <row r="187" spans="1:24" ht="12.75">
      <c r="A187" s="309"/>
      <c r="B187" s="309"/>
      <c r="C187" s="34"/>
      <c r="D187" s="362"/>
      <c r="E187" s="34"/>
      <c r="F187" s="34"/>
      <c r="G187" s="35"/>
      <c r="H187" s="35"/>
      <c r="I187" s="34"/>
      <c r="J187" s="34"/>
      <c r="K187" s="65"/>
      <c r="L187" s="34"/>
      <c r="M187" s="34"/>
      <c r="N187" s="188"/>
      <c r="O187" s="188"/>
      <c r="P187" s="34"/>
      <c r="Q187" s="34"/>
      <c r="R187" s="304"/>
      <c r="S187" s="34"/>
      <c r="T187" s="34"/>
      <c r="U187" s="34"/>
      <c r="V187" s="34"/>
      <c r="W187" s="105"/>
      <c r="X187" s="105"/>
    </row>
    <row r="188" spans="1:24" ht="12.75">
      <c r="A188" s="309"/>
      <c r="B188" s="309"/>
      <c r="C188" s="34"/>
      <c r="D188" s="362"/>
      <c r="E188" s="34"/>
      <c r="F188" s="34"/>
      <c r="G188" s="35"/>
      <c r="H188" s="35"/>
      <c r="I188" s="34"/>
      <c r="J188" s="34"/>
      <c r="K188" s="65"/>
      <c r="L188" s="34"/>
      <c r="M188" s="34"/>
      <c r="N188" s="188"/>
      <c r="O188" s="188"/>
      <c r="P188" s="34"/>
      <c r="Q188" s="34"/>
      <c r="R188" s="304"/>
      <c r="S188" s="34"/>
      <c r="T188" s="34"/>
      <c r="U188" s="34"/>
      <c r="V188" s="34"/>
      <c r="W188" s="105"/>
      <c r="X188" s="105"/>
    </row>
    <row r="189" spans="1:24" ht="12.75">
      <c r="A189" s="309"/>
      <c r="B189" s="309"/>
      <c r="C189" s="34"/>
      <c r="D189" s="362"/>
      <c r="E189" s="34"/>
      <c r="F189" s="34"/>
      <c r="G189" s="35"/>
      <c r="H189" s="35"/>
      <c r="I189" s="34"/>
      <c r="J189" s="34"/>
      <c r="K189" s="65"/>
      <c r="L189" s="34"/>
      <c r="M189" s="34"/>
      <c r="N189" s="188"/>
      <c r="O189" s="188"/>
      <c r="P189" s="34"/>
      <c r="Q189" s="34"/>
      <c r="R189" s="304"/>
      <c r="S189" s="34"/>
      <c r="T189" s="34"/>
      <c r="U189" s="34"/>
      <c r="V189" s="34"/>
      <c r="W189" s="105"/>
      <c r="X189" s="105"/>
    </row>
    <row r="190" spans="1:24" ht="12.75">
      <c r="A190" s="309"/>
      <c r="B190" s="309"/>
      <c r="C190" s="34"/>
      <c r="D190" s="362"/>
      <c r="E190" s="34"/>
      <c r="F190" s="34"/>
      <c r="G190" s="35"/>
      <c r="H190" s="35"/>
      <c r="I190" s="34"/>
      <c r="J190" s="34"/>
      <c r="K190" s="65"/>
      <c r="L190" s="34"/>
      <c r="M190" s="34"/>
      <c r="N190" s="188"/>
      <c r="O190" s="188"/>
      <c r="P190" s="34"/>
      <c r="Q190" s="34"/>
      <c r="R190" s="304"/>
      <c r="S190" s="34"/>
      <c r="T190" s="34"/>
      <c r="U190" s="34"/>
      <c r="V190" s="34"/>
      <c r="W190" s="105"/>
      <c r="X190" s="105"/>
    </row>
    <row r="191" spans="1:24" ht="12.75">
      <c r="A191" s="309"/>
      <c r="B191" s="309"/>
      <c r="C191" s="34"/>
      <c r="D191" s="362"/>
      <c r="E191" s="34"/>
      <c r="F191" s="34"/>
      <c r="G191" s="35"/>
      <c r="H191" s="35"/>
      <c r="I191" s="34"/>
      <c r="J191" s="34"/>
      <c r="K191" s="65"/>
      <c r="L191" s="34"/>
      <c r="M191" s="34"/>
      <c r="N191" s="188"/>
      <c r="O191" s="188"/>
      <c r="P191" s="34"/>
      <c r="Q191" s="34"/>
      <c r="R191" s="304"/>
      <c r="S191" s="34"/>
      <c r="T191" s="34"/>
      <c r="U191" s="34"/>
      <c r="V191" s="34"/>
      <c r="W191" s="105"/>
      <c r="X191" s="105"/>
    </row>
    <row r="192" spans="1:24" ht="12.75">
      <c r="A192" s="309"/>
      <c r="B192" s="309"/>
      <c r="C192" s="34"/>
      <c r="D192" s="362"/>
      <c r="E192" s="34"/>
      <c r="F192" s="34"/>
      <c r="G192" s="35"/>
      <c r="H192" s="35"/>
      <c r="I192" s="34"/>
      <c r="J192" s="34"/>
      <c r="K192" s="65"/>
      <c r="L192" s="34"/>
      <c r="M192" s="34"/>
      <c r="N192" s="188"/>
      <c r="O192" s="188"/>
      <c r="P192" s="34"/>
      <c r="Q192" s="34"/>
      <c r="R192" s="304"/>
      <c r="S192" s="34"/>
      <c r="T192" s="34"/>
      <c r="U192" s="34"/>
      <c r="V192" s="34"/>
      <c r="W192" s="105"/>
      <c r="X192" s="105"/>
    </row>
    <row r="193" spans="1:24" ht="12.75">
      <c r="A193" s="309"/>
      <c r="B193" s="309"/>
      <c r="C193" s="34"/>
      <c r="D193" s="362"/>
      <c r="E193" s="34"/>
      <c r="F193" s="34"/>
      <c r="G193" s="35"/>
      <c r="H193" s="35"/>
      <c r="I193" s="34"/>
      <c r="J193" s="34"/>
      <c r="K193" s="65"/>
      <c r="L193" s="34"/>
      <c r="M193" s="34"/>
      <c r="N193" s="188"/>
      <c r="O193" s="188"/>
      <c r="P193" s="34"/>
      <c r="Q193" s="34"/>
      <c r="R193" s="304"/>
      <c r="S193" s="34"/>
      <c r="T193" s="34"/>
      <c r="U193" s="34"/>
      <c r="V193" s="34"/>
      <c r="W193" s="105"/>
      <c r="X193" s="105"/>
    </row>
    <row r="194" spans="1:24" ht="12.75">
      <c r="A194" s="309"/>
      <c r="B194" s="309"/>
      <c r="C194" s="34"/>
      <c r="D194" s="362"/>
      <c r="E194" s="34"/>
      <c r="F194" s="34"/>
      <c r="G194" s="35"/>
      <c r="H194" s="35"/>
      <c r="I194" s="34"/>
      <c r="J194" s="34"/>
      <c r="K194" s="65"/>
      <c r="L194" s="34"/>
      <c r="M194" s="34"/>
      <c r="N194" s="188"/>
      <c r="O194" s="188"/>
      <c r="P194" s="34"/>
      <c r="Q194" s="34"/>
      <c r="R194" s="304"/>
      <c r="S194" s="34"/>
      <c r="T194" s="34"/>
      <c r="U194" s="34"/>
      <c r="V194" s="34"/>
      <c r="W194" s="105"/>
      <c r="X194" s="105"/>
    </row>
    <row r="195" spans="1:24" ht="12.75">
      <c r="A195" s="309"/>
      <c r="B195" s="309"/>
      <c r="C195" s="34"/>
      <c r="D195" s="362"/>
      <c r="E195" s="34"/>
      <c r="F195" s="34"/>
      <c r="G195" s="35"/>
      <c r="H195" s="35"/>
      <c r="I195" s="34"/>
      <c r="J195" s="34"/>
      <c r="K195" s="65"/>
      <c r="L195" s="34"/>
      <c r="M195" s="34"/>
      <c r="N195" s="188"/>
      <c r="O195" s="188"/>
      <c r="P195" s="34"/>
      <c r="Q195" s="34"/>
      <c r="R195" s="304"/>
      <c r="S195" s="34"/>
      <c r="T195" s="34"/>
      <c r="U195" s="34"/>
      <c r="V195" s="34"/>
      <c r="W195" s="105"/>
      <c r="X195" s="105"/>
    </row>
    <row r="196" spans="1:24" ht="12.75">
      <c r="A196" s="309"/>
      <c r="B196" s="309"/>
      <c r="C196" s="34"/>
      <c r="D196" s="362"/>
      <c r="E196" s="34"/>
      <c r="F196" s="34"/>
      <c r="G196" s="35"/>
      <c r="H196" s="35"/>
      <c r="I196" s="34"/>
      <c r="J196" s="34"/>
      <c r="K196" s="65"/>
      <c r="L196" s="34"/>
      <c r="M196" s="34"/>
      <c r="N196" s="188"/>
      <c r="O196" s="188"/>
      <c r="P196" s="34"/>
      <c r="Q196" s="34"/>
      <c r="R196" s="304"/>
      <c r="S196" s="34"/>
      <c r="T196" s="34"/>
      <c r="U196" s="34"/>
      <c r="V196" s="34"/>
      <c r="W196" s="105"/>
      <c r="X196" s="105"/>
    </row>
    <row r="197" spans="1:24" ht="12.75">
      <c r="A197" s="309"/>
      <c r="B197" s="309"/>
      <c r="C197" s="34"/>
      <c r="D197" s="362"/>
      <c r="E197" s="34"/>
      <c r="F197" s="34"/>
      <c r="G197" s="35"/>
      <c r="H197" s="35"/>
      <c r="I197" s="34"/>
      <c r="J197" s="34"/>
      <c r="K197" s="65"/>
      <c r="L197" s="34"/>
      <c r="M197" s="34"/>
      <c r="N197" s="188"/>
      <c r="O197" s="188"/>
      <c r="P197" s="34"/>
      <c r="Q197" s="34"/>
      <c r="R197" s="304"/>
      <c r="S197" s="34"/>
      <c r="T197" s="34"/>
      <c r="U197" s="34"/>
      <c r="V197" s="34"/>
      <c r="W197" s="105"/>
      <c r="X197" s="105"/>
    </row>
    <row r="198" spans="1:24" ht="12.75">
      <c r="A198" s="309"/>
      <c r="B198" s="309"/>
      <c r="C198" s="34"/>
      <c r="D198" s="362"/>
      <c r="E198" s="34"/>
      <c r="F198" s="34"/>
      <c r="G198" s="35"/>
      <c r="H198" s="35"/>
      <c r="I198" s="34"/>
      <c r="J198" s="34"/>
      <c r="K198" s="65"/>
      <c r="L198" s="34"/>
      <c r="M198" s="34"/>
      <c r="N198" s="188"/>
      <c r="O198" s="188"/>
      <c r="P198" s="34"/>
      <c r="Q198" s="34"/>
      <c r="R198" s="304"/>
      <c r="S198" s="34"/>
      <c r="T198" s="34"/>
      <c r="U198" s="34"/>
      <c r="V198" s="34"/>
      <c r="W198" s="105"/>
      <c r="X198" s="105"/>
    </row>
    <row r="199" spans="1:24" ht="12.75">
      <c r="A199" s="309"/>
      <c r="B199" s="309"/>
      <c r="C199" s="34"/>
      <c r="D199" s="362"/>
      <c r="E199" s="34"/>
      <c r="F199" s="34"/>
      <c r="G199" s="35"/>
      <c r="H199" s="35"/>
      <c r="I199" s="34"/>
      <c r="J199" s="34"/>
      <c r="K199" s="65"/>
      <c r="L199" s="34"/>
      <c r="M199" s="34"/>
      <c r="N199" s="188"/>
      <c r="O199" s="188"/>
      <c r="P199" s="34"/>
      <c r="Q199" s="34"/>
      <c r="R199" s="304"/>
      <c r="S199" s="34"/>
      <c r="T199" s="34"/>
      <c r="U199" s="34"/>
      <c r="V199" s="34"/>
      <c r="W199" s="105"/>
      <c r="X199" s="105"/>
    </row>
    <row r="200" spans="1:24" ht="12.75">
      <c r="A200" s="309"/>
      <c r="B200" s="309"/>
      <c r="C200" s="34"/>
      <c r="D200" s="362"/>
      <c r="E200" s="34"/>
      <c r="F200" s="34"/>
      <c r="G200" s="35"/>
      <c r="H200" s="35"/>
      <c r="I200" s="34"/>
      <c r="J200" s="34"/>
      <c r="K200" s="65"/>
      <c r="L200" s="34"/>
      <c r="M200" s="34"/>
      <c r="N200" s="188"/>
      <c r="O200" s="188"/>
      <c r="P200" s="34"/>
      <c r="Q200" s="34"/>
      <c r="R200" s="304"/>
      <c r="S200" s="34"/>
      <c r="T200" s="34"/>
      <c r="U200" s="34"/>
      <c r="V200" s="34"/>
      <c r="W200" s="105"/>
      <c r="X200" s="105"/>
    </row>
    <row r="201" spans="1:24" ht="12.75">
      <c r="A201" s="309"/>
      <c r="B201" s="309"/>
      <c r="C201" s="34"/>
      <c r="D201" s="362"/>
      <c r="E201" s="34"/>
      <c r="F201" s="34"/>
      <c r="G201" s="35"/>
      <c r="H201" s="35"/>
      <c r="I201" s="34"/>
      <c r="J201" s="34"/>
      <c r="K201" s="65"/>
      <c r="L201" s="34"/>
      <c r="M201" s="34"/>
      <c r="N201" s="188"/>
      <c r="O201" s="188"/>
      <c r="P201" s="34"/>
      <c r="Q201" s="34"/>
      <c r="R201" s="304"/>
      <c r="S201" s="34"/>
      <c r="T201" s="34"/>
      <c r="U201" s="34"/>
      <c r="V201" s="34"/>
      <c r="W201" s="105"/>
      <c r="X201" s="105"/>
    </row>
    <row r="202" spans="1:24" ht="12.75">
      <c r="A202" s="309"/>
      <c r="B202" s="309"/>
      <c r="C202" s="34"/>
      <c r="D202" s="362"/>
      <c r="E202" s="34"/>
      <c r="F202" s="34"/>
      <c r="G202" s="35"/>
      <c r="H202" s="35"/>
      <c r="I202" s="34"/>
      <c r="J202" s="34"/>
      <c r="K202" s="65"/>
      <c r="L202" s="34"/>
      <c r="M202" s="34"/>
      <c r="N202" s="188"/>
      <c r="O202" s="188"/>
      <c r="P202" s="34"/>
      <c r="Q202" s="34"/>
      <c r="R202" s="304"/>
      <c r="S202" s="34"/>
      <c r="T202" s="34"/>
      <c r="U202" s="34"/>
      <c r="V202" s="34"/>
      <c r="W202" s="105"/>
      <c r="X202" s="105"/>
    </row>
    <row r="203" spans="1:24" ht="12.75">
      <c r="A203" s="309"/>
      <c r="B203" s="309"/>
      <c r="C203" s="34"/>
      <c r="D203" s="362"/>
      <c r="E203" s="34"/>
      <c r="F203" s="34"/>
      <c r="G203" s="35"/>
      <c r="H203" s="35"/>
      <c r="I203" s="34"/>
      <c r="J203" s="34"/>
      <c r="K203" s="65"/>
      <c r="L203" s="34"/>
      <c r="M203" s="34"/>
      <c r="N203" s="188"/>
      <c r="O203" s="188"/>
      <c r="P203" s="34"/>
      <c r="Q203" s="34"/>
      <c r="R203" s="304"/>
      <c r="S203" s="34"/>
      <c r="T203" s="34"/>
      <c r="U203" s="34"/>
      <c r="V203" s="34"/>
      <c r="W203" s="105"/>
      <c r="X203" s="105"/>
    </row>
    <row r="204" spans="1:24" ht="12.75">
      <c r="A204" s="309"/>
      <c r="B204" s="309"/>
      <c r="C204" s="34"/>
      <c r="D204" s="362"/>
      <c r="E204" s="34"/>
      <c r="F204" s="34"/>
      <c r="G204" s="35"/>
      <c r="H204" s="35"/>
      <c r="I204" s="34"/>
      <c r="J204" s="34"/>
      <c r="K204" s="65"/>
      <c r="L204" s="34"/>
      <c r="M204" s="34"/>
      <c r="N204" s="188"/>
      <c r="O204" s="188"/>
      <c r="P204" s="34"/>
      <c r="Q204" s="34"/>
      <c r="R204" s="304"/>
      <c r="S204" s="34"/>
      <c r="T204" s="34"/>
      <c r="U204" s="34"/>
      <c r="V204" s="34"/>
      <c r="W204" s="105"/>
      <c r="X204" s="105"/>
    </row>
    <row r="205" spans="1:24" ht="12.75">
      <c r="A205" s="309"/>
      <c r="B205" s="309"/>
      <c r="C205" s="34"/>
      <c r="D205" s="362"/>
      <c r="E205" s="34"/>
      <c r="F205" s="34"/>
      <c r="G205" s="35"/>
      <c r="H205" s="35"/>
      <c r="I205" s="34"/>
      <c r="J205" s="34"/>
      <c r="K205" s="65"/>
      <c r="L205" s="34"/>
      <c r="M205" s="34"/>
      <c r="N205" s="188"/>
      <c r="O205" s="188"/>
      <c r="P205" s="34"/>
      <c r="Q205" s="34"/>
      <c r="R205" s="304"/>
      <c r="S205" s="34"/>
      <c r="T205" s="34"/>
      <c r="U205" s="34"/>
      <c r="V205" s="34"/>
      <c r="W205" s="105"/>
      <c r="X205" s="105"/>
    </row>
    <row r="206" spans="1:24" ht="12.75">
      <c r="A206" s="309"/>
      <c r="B206" s="309"/>
      <c r="C206" s="34"/>
      <c r="D206" s="362"/>
      <c r="E206" s="34"/>
      <c r="F206" s="34"/>
      <c r="G206" s="35"/>
      <c r="H206" s="35"/>
      <c r="I206" s="34"/>
      <c r="J206" s="34"/>
      <c r="K206" s="65"/>
      <c r="L206" s="34"/>
      <c r="M206" s="34"/>
      <c r="N206" s="188"/>
      <c r="O206" s="188"/>
      <c r="P206" s="34"/>
      <c r="Q206" s="34"/>
      <c r="R206" s="304"/>
      <c r="S206" s="34"/>
      <c r="T206" s="34"/>
      <c r="U206" s="34"/>
      <c r="V206" s="34"/>
      <c r="W206" s="105"/>
      <c r="X206" s="105"/>
    </row>
    <row r="207" spans="1:24" ht="12.75">
      <c r="A207" s="309"/>
      <c r="B207" s="309"/>
      <c r="C207" s="34"/>
      <c r="D207" s="362"/>
      <c r="E207" s="34"/>
      <c r="F207" s="34"/>
      <c r="G207" s="35"/>
      <c r="H207" s="35"/>
      <c r="I207" s="34"/>
      <c r="J207" s="34"/>
      <c r="K207" s="65"/>
      <c r="L207" s="34"/>
      <c r="M207" s="34"/>
      <c r="N207" s="188"/>
      <c r="O207" s="188"/>
      <c r="P207" s="34"/>
      <c r="Q207" s="34"/>
      <c r="R207" s="304"/>
      <c r="S207" s="34"/>
      <c r="T207" s="34"/>
      <c r="U207" s="34"/>
      <c r="V207" s="34"/>
      <c r="W207" s="105"/>
      <c r="X207" s="105"/>
    </row>
    <row r="208" spans="1:24" ht="12.75">
      <c r="A208" s="309"/>
      <c r="B208" s="309"/>
      <c r="C208" s="34"/>
      <c r="D208" s="362"/>
      <c r="E208" s="34"/>
      <c r="F208" s="34"/>
      <c r="G208" s="35"/>
      <c r="H208" s="35"/>
      <c r="I208" s="34"/>
      <c r="J208" s="34"/>
      <c r="K208" s="65"/>
      <c r="L208" s="34"/>
      <c r="M208" s="34"/>
      <c r="N208" s="188"/>
      <c r="O208" s="188"/>
      <c r="P208" s="34"/>
      <c r="Q208" s="34"/>
      <c r="R208" s="304"/>
      <c r="S208" s="34"/>
      <c r="T208" s="34"/>
      <c r="U208" s="34"/>
      <c r="V208" s="34"/>
      <c r="W208" s="105"/>
      <c r="X208" s="105"/>
    </row>
    <row r="209" spans="1:24" ht="12.75">
      <c r="A209" s="309"/>
      <c r="B209" s="309"/>
      <c r="C209" s="34"/>
      <c r="D209" s="362"/>
      <c r="E209" s="34"/>
      <c r="F209" s="34"/>
      <c r="G209" s="35"/>
      <c r="H209" s="35"/>
      <c r="I209" s="34"/>
      <c r="J209" s="34"/>
      <c r="K209" s="65"/>
      <c r="L209" s="34"/>
      <c r="M209" s="34"/>
      <c r="N209" s="188"/>
      <c r="O209" s="188"/>
      <c r="P209" s="34"/>
      <c r="Q209" s="34"/>
      <c r="R209" s="304"/>
      <c r="S209" s="34"/>
      <c r="T209" s="34"/>
      <c r="U209" s="34"/>
      <c r="V209" s="34"/>
      <c r="W209" s="105"/>
      <c r="X209" s="105"/>
    </row>
    <row r="210" spans="1:24" ht="12.75">
      <c r="A210" s="309"/>
      <c r="B210" s="309"/>
      <c r="C210" s="34"/>
      <c r="D210" s="362"/>
      <c r="E210" s="34"/>
      <c r="F210" s="34"/>
      <c r="G210" s="35"/>
      <c r="H210" s="35"/>
      <c r="I210" s="34"/>
      <c r="J210" s="34"/>
      <c r="K210" s="65"/>
      <c r="L210" s="34"/>
      <c r="M210" s="34"/>
      <c r="N210" s="188"/>
      <c r="O210" s="188"/>
      <c r="P210" s="34"/>
      <c r="Q210" s="34"/>
      <c r="R210" s="304"/>
      <c r="S210" s="34"/>
      <c r="T210" s="34"/>
      <c r="U210" s="34"/>
      <c r="V210" s="34"/>
      <c r="W210" s="105"/>
      <c r="X210" s="105"/>
    </row>
    <row r="211" spans="1:24" ht="12.75">
      <c r="A211" s="309"/>
      <c r="B211" s="309"/>
      <c r="C211" s="34"/>
      <c r="D211" s="362"/>
      <c r="E211" s="34"/>
      <c r="F211" s="34"/>
      <c r="G211" s="35"/>
      <c r="H211" s="35"/>
      <c r="I211" s="34"/>
      <c r="J211" s="34"/>
      <c r="K211" s="65"/>
      <c r="L211" s="34"/>
      <c r="M211" s="34"/>
      <c r="N211" s="188"/>
      <c r="O211" s="188"/>
      <c r="P211" s="34"/>
      <c r="Q211" s="34"/>
      <c r="R211" s="304"/>
      <c r="S211" s="34"/>
      <c r="T211" s="34"/>
      <c r="U211" s="34"/>
      <c r="V211" s="34"/>
      <c r="W211" s="105"/>
      <c r="X211" s="105"/>
    </row>
    <row r="212" spans="1:24" ht="12.75">
      <c r="A212" s="309"/>
      <c r="B212" s="309"/>
      <c r="C212" s="34"/>
      <c r="D212" s="362"/>
      <c r="E212" s="34"/>
      <c r="F212" s="34"/>
      <c r="G212" s="35"/>
      <c r="H212" s="35"/>
      <c r="I212" s="34"/>
      <c r="J212" s="34"/>
      <c r="K212" s="65"/>
      <c r="L212" s="34"/>
      <c r="M212" s="34"/>
      <c r="N212" s="188"/>
      <c r="O212" s="188"/>
      <c r="P212" s="34"/>
      <c r="Q212" s="34"/>
      <c r="R212" s="304"/>
      <c r="S212" s="34"/>
      <c r="T212" s="34"/>
      <c r="U212" s="34"/>
      <c r="V212" s="34"/>
      <c r="W212" s="105"/>
      <c r="X212" s="105"/>
    </row>
    <row r="213" spans="1:24" ht="12.75">
      <c r="A213" s="309"/>
      <c r="B213" s="309"/>
      <c r="C213" s="34"/>
      <c r="D213" s="362"/>
      <c r="E213" s="34"/>
      <c r="F213" s="34"/>
      <c r="G213" s="35"/>
      <c r="H213" s="35"/>
      <c r="I213" s="34"/>
      <c r="J213" s="34"/>
      <c r="K213" s="65"/>
      <c r="L213" s="34"/>
      <c r="M213" s="34"/>
      <c r="N213" s="188"/>
      <c r="O213" s="188"/>
      <c r="P213" s="34"/>
      <c r="Q213" s="34"/>
      <c r="R213" s="304"/>
      <c r="S213" s="34"/>
      <c r="T213" s="34"/>
      <c r="U213" s="34"/>
      <c r="V213" s="34"/>
      <c r="W213" s="105"/>
      <c r="X213" s="105"/>
    </row>
    <row r="214" spans="1:24" ht="12.75">
      <c r="A214" s="309"/>
      <c r="B214" s="309"/>
      <c r="C214" s="34"/>
      <c r="D214" s="362"/>
      <c r="E214" s="34"/>
      <c r="F214" s="34"/>
      <c r="G214" s="35"/>
      <c r="H214" s="35"/>
      <c r="I214" s="34"/>
      <c r="J214" s="34"/>
      <c r="K214" s="65"/>
      <c r="L214" s="34"/>
      <c r="M214" s="34"/>
      <c r="N214" s="188"/>
      <c r="O214" s="188"/>
      <c r="P214" s="34"/>
      <c r="Q214" s="34"/>
      <c r="R214" s="304"/>
      <c r="S214" s="34"/>
      <c r="T214" s="34"/>
      <c r="U214" s="34"/>
      <c r="V214" s="34"/>
      <c r="W214" s="105"/>
      <c r="X214" s="105"/>
    </row>
    <row r="215" spans="1:24" ht="12.75">
      <c r="A215" s="309"/>
      <c r="B215" s="309"/>
      <c r="C215" s="34"/>
      <c r="D215" s="362"/>
      <c r="E215" s="34"/>
      <c r="F215" s="34"/>
      <c r="G215" s="35"/>
      <c r="H215" s="35"/>
      <c r="I215" s="34"/>
      <c r="J215" s="34"/>
      <c r="K215" s="65"/>
      <c r="L215" s="34"/>
      <c r="M215" s="34"/>
      <c r="N215" s="188"/>
      <c r="O215" s="188"/>
      <c r="P215" s="34"/>
      <c r="Q215" s="34"/>
      <c r="R215" s="304"/>
      <c r="S215" s="34"/>
      <c r="T215" s="34"/>
      <c r="U215" s="34"/>
      <c r="V215" s="34"/>
      <c r="W215" s="105"/>
      <c r="X215" s="105"/>
    </row>
    <row r="216" spans="1:24" ht="12.75">
      <c r="A216" s="309"/>
      <c r="B216" s="309"/>
      <c r="C216" s="34"/>
      <c r="D216" s="362"/>
      <c r="E216" s="34"/>
      <c r="F216" s="34"/>
      <c r="G216" s="35"/>
      <c r="H216" s="35"/>
      <c r="I216" s="34"/>
      <c r="J216" s="34"/>
      <c r="K216" s="65"/>
      <c r="L216" s="34"/>
      <c r="M216" s="34"/>
      <c r="N216" s="188"/>
      <c r="O216" s="188"/>
      <c r="P216" s="34"/>
      <c r="Q216" s="34"/>
      <c r="R216" s="304"/>
      <c r="S216" s="34"/>
      <c r="T216" s="34"/>
      <c r="U216" s="34"/>
      <c r="V216" s="34"/>
      <c r="W216" s="105"/>
      <c r="X216" s="105"/>
    </row>
    <row r="217" spans="1:24" ht="12.75">
      <c r="A217" s="309"/>
      <c r="B217" s="309"/>
      <c r="C217" s="34"/>
      <c r="D217" s="362"/>
      <c r="E217" s="34"/>
      <c r="F217" s="34"/>
      <c r="G217" s="35"/>
      <c r="H217" s="35"/>
      <c r="I217" s="34"/>
      <c r="J217" s="34"/>
      <c r="K217" s="65"/>
      <c r="L217" s="34"/>
      <c r="M217" s="34"/>
      <c r="N217" s="188"/>
      <c r="O217" s="188"/>
      <c r="P217" s="34"/>
      <c r="Q217" s="34"/>
      <c r="R217" s="304"/>
      <c r="S217" s="34"/>
      <c r="T217" s="34"/>
      <c r="U217" s="34"/>
      <c r="V217" s="34"/>
      <c r="W217" s="105"/>
      <c r="X217" s="105"/>
    </row>
    <row r="218" spans="1:24" ht="12.75">
      <c r="A218" s="309"/>
      <c r="B218" s="309"/>
      <c r="C218" s="34"/>
      <c r="D218" s="362"/>
      <c r="E218" s="34"/>
      <c r="F218" s="34"/>
      <c r="G218" s="35"/>
      <c r="H218" s="35"/>
      <c r="I218" s="34"/>
      <c r="J218" s="34"/>
      <c r="K218" s="65"/>
      <c r="L218" s="34"/>
      <c r="M218" s="34"/>
      <c r="N218" s="188"/>
      <c r="O218" s="188"/>
      <c r="P218" s="34"/>
      <c r="Q218" s="34"/>
      <c r="R218" s="304"/>
      <c r="S218" s="34"/>
      <c r="T218" s="34"/>
      <c r="U218" s="34"/>
      <c r="V218" s="34"/>
      <c r="W218" s="105"/>
      <c r="X218" s="105"/>
    </row>
    <row r="219" spans="1:24" ht="12.75">
      <c r="A219" s="309"/>
      <c r="B219" s="309"/>
      <c r="C219" s="34"/>
      <c r="D219" s="362"/>
      <c r="E219" s="34"/>
      <c r="F219" s="34"/>
      <c r="G219" s="35"/>
      <c r="H219" s="35"/>
      <c r="I219" s="34"/>
      <c r="J219" s="34"/>
      <c r="K219" s="65"/>
      <c r="L219" s="34"/>
      <c r="M219" s="34"/>
      <c r="N219" s="188"/>
      <c r="O219" s="188"/>
      <c r="P219" s="34"/>
      <c r="Q219" s="34"/>
      <c r="R219" s="304"/>
      <c r="S219" s="34"/>
      <c r="T219" s="34"/>
      <c r="U219" s="34"/>
      <c r="V219" s="34"/>
      <c r="W219" s="105"/>
      <c r="X219" s="105"/>
    </row>
    <row r="220" spans="1:24" ht="12.75">
      <c r="A220" s="309"/>
      <c r="B220" s="309"/>
      <c r="C220" s="34"/>
      <c r="D220" s="362"/>
      <c r="E220" s="34"/>
      <c r="F220" s="34"/>
      <c r="G220" s="35"/>
      <c r="H220" s="35"/>
      <c r="I220" s="34"/>
      <c r="J220" s="34"/>
      <c r="K220" s="65"/>
      <c r="L220" s="34"/>
      <c r="M220" s="34"/>
      <c r="N220" s="188"/>
      <c r="O220" s="188"/>
      <c r="P220" s="34"/>
      <c r="Q220" s="34"/>
      <c r="R220" s="304"/>
      <c r="S220" s="34"/>
      <c r="T220" s="34"/>
      <c r="U220" s="34"/>
      <c r="V220" s="34"/>
      <c r="W220" s="105"/>
      <c r="X220" s="105"/>
    </row>
    <row r="221" spans="1:24" ht="12.75">
      <c r="A221" s="309"/>
      <c r="B221" s="309"/>
      <c r="C221" s="34"/>
      <c r="D221" s="362"/>
      <c r="E221" s="34"/>
      <c r="F221" s="34"/>
      <c r="G221" s="35"/>
      <c r="H221" s="35"/>
      <c r="I221" s="34"/>
      <c r="J221" s="34"/>
      <c r="K221" s="65"/>
      <c r="L221" s="34"/>
      <c r="M221" s="34"/>
      <c r="N221" s="188"/>
      <c r="O221" s="188"/>
      <c r="P221" s="34"/>
      <c r="Q221" s="34"/>
      <c r="R221" s="304"/>
      <c r="S221" s="34"/>
      <c r="T221" s="34"/>
      <c r="U221" s="34"/>
      <c r="V221" s="34"/>
      <c r="W221" s="105"/>
      <c r="X221" s="105"/>
    </row>
    <row r="222" spans="1:24" ht="12.75">
      <c r="A222" s="309"/>
      <c r="B222" s="309"/>
      <c r="C222" s="34"/>
      <c r="D222" s="362"/>
      <c r="E222" s="34"/>
      <c r="F222" s="34"/>
      <c r="G222" s="35"/>
      <c r="H222" s="35"/>
      <c r="I222" s="34"/>
      <c r="J222" s="34"/>
      <c r="K222" s="65"/>
      <c r="L222" s="34"/>
      <c r="M222" s="34"/>
      <c r="N222" s="188"/>
      <c r="O222" s="188"/>
      <c r="P222" s="34"/>
      <c r="Q222" s="34"/>
      <c r="R222" s="304"/>
      <c r="S222" s="34"/>
      <c r="T222" s="34"/>
      <c r="U222" s="34"/>
      <c r="V222" s="34"/>
      <c r="W222" s="105"/>
      <c r="X222" s="105"/>
    </row>
    <row r="223" spans="1:24" ht="12.75">
      <c r="A223" s="309"/>
      <c r="B223" s="309"/>
      <c r="C223" s="34"/>
      <c r="D223" s="362"/>
      <c r="E223" s="34"/>
      <c r="F223" s="34"/>
      <c r="G223" s="35"/>
      <c r="H223" s="35"/>
      <c r="I223" s="34"/>
      <c r="J223" s="34"/>
      <c r="K223" s="65"/>
      <c r="L223" s="34"/>
      <c r="M223" s="34"/>
      <c r="N223" s="188"/>
      <c r="O223" s="188"/>
      <c r="P223" s="34"/>
      <c r="Q223" s="34"/>
      <c r="R223" s="304"/>
      <c r="S223" s="34"/>
      <c r="T223" s="34"/>
      <c r="U223" s="34"/>
      <c r="V223" s="34"/>
      <c r="W223" s="105"/>
      <c r="X223" s="105"/>
    </row>
    <row r="224" spans="1:24" ht="12.75">
      <c r="A224" s="309"/>
      <c r="B224" s="309"/>
      <c r="C224" s="34"/>
      <c r="D224" s="362"/>
      <c r="E224" s="34"/>
      <c r="F224" s="34"/>
      <c r="G224" s="35"/>
      <c r="H224" s="35"/>
      <c r="I224" s="34"/>
      <c r="J224" s="34"/>
      <c r="K224" s="65"/>
      <c r="L224" s="34"/>
      <c r="M224" s="34"/>
      <c r="N224" s="188"/>
      <c r="O224" s="188"/>
      <c r="P224" s="34"/>
      <c r="Q224" s="34"/>
      <c r="R224" s="304"/>
      <c r="S224" s="34"/>
      <c r="T224" s="34"/>
      <c r="U224" s="34"/>
      <c r="V224" s="34"/>
      <c r="W224" s="105"/>
      <c r="X224" s="105"/>
    </row>
    <row r="225" spans="1:24" ht="12.75">
      <c r="A225" s="309"/>
      <c r="B225" s="309"/>
      <c r="C225" s="34"/>
      <c r="D225" s="362"/>
      <c r="E225" s="34"/>
      <c r="F225" s="34"/>
      <c r="G225" s="35"/>
      <c r="H225" s="35"/>
      <c r="I225" s="34"/>
      <c r="J225" s="34"/>
      <c r="K225" s="65"/>
      <c r="L225" s="34"/>
      <c r="M225" s="34"/>
      <c r="N225" s="188"/>
      <c r="O225" s="188"/>
      <c r="P225" s="34"/>
      <c r="Q225" s="34"/>
      <c r="R225" s="304"/>
      <c r="S225" s="34"/>
      <c r="T225" s="34"/>
      <c r="U225" s="34"/>
      <c r="V225" s="34"/>
      <c r="W225" s="105"/>
      <c r="X225" s="105"/>
    </row>
    <row r="226" spans="1:24" ht="12.75">
      <c r="A226" s="309"/>
      <c r="B226" s="309"/>
      <c r="C226" s="34"/>
      <c r="D226" s="362"/>
      <c r="E226" s="34"/>
      <c r="F226" s="34"/>
      <c r="G226" s="35"/>
      <c r="H226" s="35"/>
      <c r="I226" s="34"/>
      <c r="J226" s="34"/>
      <c r="K226" s="65"/>
      <c r="L226" s="34"/>
      <c r="M226" s="34"/>
      <c r="N226" s="188"/>
      <c r="O226" s="188"/>
      <c r="P226" s="34"/>
      <c r="Q226" s="34"/>
      <c r="R226" s="304"/>
      <c r="S226" s="34"/>
      <c r="T226" s="34"/>
      <c r="U226" s="34"/>
      <c r="V226" s="34"/>
      <c r="W226" s="105"/>
      <c r="X226" s="105"/>
    </row>
    <row r="227" spans="1:24" ht="12.75">
      <c r="A227" s="309"/>
      <c r="B227" s="309"/>
      <c r="C227" s="34"/>
      <c r="D227" s="362"/>
      <c r="E227" s="34"/>
      <c r="F227" s="34"/>
      <c r="G227" s="35"/>
      <c r="H227" s="35"/>
      <c r="I227" s="34"/>
      <c r="J227" s="34"/>
      <c r="K227" s="65"/>
      <c r="L227" s="34"/>
      <c r="M227" s="34"/>
      <c r="N227" s="188"/>
      <c r="O227" s="188"/>
      <c r="P227" s="34"/>
      <c r="Q227" s="34"/>
      <c r="R227" s="304"/>
      <c r="S227" s="34"/>
      <c r="T227" s="34"/>
      <c r="U227" s="34"/>
      <c r="V227" s="34"/>
      <c r="W227" s="105"/>
      <c r="X227" s="105"/>
    </row>
    <row r="228" spans="1:24" ht="12.75">
      <c r="A228" s="309"/>
      <c r="B228" s="309"/>
      <c r="C228" s="34"/>
      <c r="D228" s="362"/>
      <c r="E228" s="34"/>
      <c r="F228" s="34"/>
      <c r="G228" s="35"/>
      <c r="H228" s="35"/>
      <c r="I228" s="34"/>
      <c r="J228" s="34"/>
      <c r="K228" s="65"/>
      <c r="L228" s="34"/>
      <c r="M228" s="34"/>
      <c r="N228" s="188"/>
      <c r="O228" s="188"/>
      <c r="P228" s="34"/>
      <c r="Q228" s="34"/>
      <c r="R228" s="304"/>
      <c r="S228" s="34"/>
      <c r="T228" s="34"/>
      <c r="U228" s="34"/>
      <c r="V228" s="34"/>
      <c r="W228" s="105"/>
      <c r="X228" s="105"/>
    </row>
    <row r="229" spans="1:24" ht="12.75">
      <c r="A229" s="309"/>
      <c r="B229" s="309"/>
      <c r="C229" s="34"/>
      <c r="D229" s="362"/>
      <c r="E229" s="34"/>
      <c r="F229" s="34"/>
      <c r="G229" s="35"/>
      <c r="H229" s="35"/>
      <c r="I229" s="34"/>
      <c r="J229" s="34"/>
      <c r="K229" s="65"/>
      <c r="L229" s="34"/>
      <c r="M229" s="34"/>
      <c r="N229" s="188"/>
      <c r="O229" s="188"/>
      <c r="P229" s="34"/>
      <c r="Q229" s="34"/>
      <c r="R229" s="304"/>
      <c r="S229" s="34"/>
      <c r="T229" s="34"/>
      <c r="U229" s="34"/>
      <c r="V229" s="34"/>
      <c r="W229" s="105"/>
      <c r="X229" s="105"/>
    </row>
    <row r="230" spans="1:24" ht="12.75">
      <c r="A230" s="309"/>
      <c r="B230" s="309"/>
      <c r="C230" s="34"/>
      <c r="D230" s="362"/>
      <c r="E230" s="34"/>
      <c r="F230" s="34"/>
      <c r="G230" s="35"/>
      <c r="H230" s="35"/>
      <c r="I230" s="34"/>
      <c r="J230" s="34"/>
      <c r="K230" s="65"/>
      <c r="L230" s="34"/>
      <c r="M230" s="34"/>
      <c r="N230" s="188"/>
      <c r="O230" s="188"/>
      <c r="P230" s="34"/>
      <c r="Q230" s="34"/>
      <c r="R230" s="304"/>
      <c r="S230" s="34"/>
      <c r="T230" s="34"/>
      <c r="U230" s="34"/>
      <c r="V230" s="34"/>
      <c r="W230" s="105"/>
      <c r="X230" s="105"/>
    </row>
    <row r="231" spans="1:24" ht="12.75">
      <c r="A231" s="309"/>
      <c r="B231" s="309"/>
      <c r="C231" s="34"/>
      <c r="D231" s="362"/>
      <c r="E231" s="34"/>
      <c r="F231" s="34"/>
      <c r="G231" s="35"/>
      <c r="H231" s="35"/>
      <c r="I231" s="34"/>
      <c r="J231" s="34"/>
      <c r="K231" s="65"/>
      <c r="L231" s="34"/>
      <c r="M231" s="34"/>
      <c r="N231" s="188"/>
      <c r="O231" s="188"/>
      <c r="P231" s="34"/>
      <c r="Q231" s="34"/>
      <c r="R231" s="304"/>
      <c r="S231" s="34"/>
      <c r="T231" s="34"/>
      <c r="U231" s="34"/>
      <c r="V231" s="34"/>
      <c r="W231" s="105"/>
      <c r="X231" s="105"/>
    </row>
    <row r="232" spans="1:24" ht="12.75">
      <c r="A232" s="309"/>
      <c r="B232" s="309"/>
      <c r="C232" s="34"/>
      <c r="D232" s="362"/>
      <c r="E232" s="34"/>
      <c r="F232" s="34"/>
      <c r="G232" s="35"/>
      <c r="H232" s="35"/>
      <c r="I232" s="34"/>
      <c r="J232" s="34"/>
      <c r="K232" s="65"/>
      <c r="L232" s="34"/>
      <c r="M232" s="34"/>
      <c r="N232" s="188"/>
      <c r="O232" s="188"/>
      <c r="P232" s="34"/>
      <c r="Q232" s="34"/>
      <c r="R232" s="304"/>
      <c r="S232" s="34"/>
      <c r="T232" s="34"/>
      <c r="U232" s="34"/>
      <c r="V232" s="34"/>
      <c r="W232" s="105"/>
      <c r="X232" s="105"/>
    </row>
    <row r="233" spans="1:24" ht="12.75">
      <c r="A233" s="309"/>
      <c r="B233" s="309"/>
      <c r="C233" s="34"/>
      <c r="D233" s="362"/>
      <c r="E233" s="34"/>
      <c r="F233" s="34"/>
      <c r="G233" s="35"/>
      <c r="H233" s="35"/>
      <c r="I233" s="34"/>
      <c r="J233" s="34"/>
      <c r="K233" s="65"/>
      <c r="L233" s="34"/>
      <c r="M233" s="34"/>
      <c r="N233" s="188"/>
      <c r="O233" s="188"/>
      <c r="P233" s="34"/>
      <c r="Q233" s="34"/>
      <c r="R233" s="304"/>
      <c r="S233" s="34"/>
      <c r="T233" s="34"/>
      <c r="U233" s="34"/>
      <c r="V233" s="34"/>
      <c r="W233" s="105"/>
      <c r="X233" s="105"/>
    </row>
    <row r="234" spans="1:24" ht="12.75">
      <c r="A234" s="309"/>
      <c r="B234" s="309"/>
      <c r="C234" s="34"/>
      <c r="D234" s="362"/>
      <c r="E234" s="34"/>
      <c r="F234" s="34"/>
      <c r="G234" s="35"/>
      <c r="H234" s="35"/>
      <c r="I234" s="34"/>
      <c r="J234" s="34"/>
      <c r="K234" s="65"/>
      <c r="L234" s="34"/>
      <c r="M234" s="34"/>
      <c r="N234" s="188"/>
      <c r="O234" s="188"/>
      <c r="P234" s="34"/>
      <c r="Q234" s="34"/>
      <c r="R234" s="304"/>
      <c r="S234" s="34"/>
      <c r="T234" s="34"/>
      <c r="U234" s="34"/>
      <c r="V234" s="34"/>
      <c r="W234" s="105"/>
      <c r="X234" s="105"/>
    </row>
    <row r="235" spans="1:24" ht="12.75">
      <c r="A235" s="309"/>
      <c r="B235" s="309"/>
      <c r="C235" s="34"/>
      <c r="D235" s="362"/>
      <c r="E235" s="34"/>
      <c r="F235" s="34"/>
      <c r="G235" s="35"/>
      <c r="H235" s="35"/>
      <c r="I235" s="34"/>
      <c r="J235" s="34"/>
      <c r="K235" s="65"/>
      <c r="L235" s="34"/>
      <c r="M235" s="34"/>
      <c r="N235" s="188"/>
      <c r="O235" s="188"/>
      <c r="P235" s="34"/>
      <c r="Q235" s="34"/>
      <c r="R235" s="304"/>
      <c r="S235" s="34"/>
      <c r="T235" s="34"/>
      <c r="U235" s="34"/>
      <c r="V235" s="34"/>
      <c r="W235" s="105"/>
      <c r="X235" s="105"/>
    </row>
    <row r="236" spans="1:24" ht="12.75">
      <c r="A236" s="309"/>
      <c r="B236" s="309"/>
      <c r="C236" s="34"/>
      <c r="D236" s="362"/>
      <c r="E236" s="34"/>
      <c r="F236" s="34"/>
      <c r="G236" s="35"/>
      <c r="H236" s="35"/>
      <c r="I236" s="34"/>
      <c r="J236" s="34"/>
      <c r="K236" s="65"/>
      <c r="L236" s="34"/>
      <c r="M236" s="34"/>
      <c r="N236" s="188"/>
      <c r="O236" s="188"/>
      <c r="P236" s="34"/>
      <c r="Q236" s="34"/>
      <c r="R236" s="304"/>
      <c r="S236" s="34"/>
      <c r="T236" s="34"/>
      <c r="U236" s="34"/>
      <c r="V236" s="34"/>
      <c r="W236" s="105"/>
      <c r="X236" s="105"/>
    </row>
    <row r="237" spans="1:24" ht="12.75">
      <c r="A237" s="309"/>
      <c r="B237" s="309"/>
      <c r="C237" s="34"/>
      <c r="D237" s="362"/>
      <c r="E237" s="34"/>
      <c r="F237" s="34"/>
      <c r="G237" s="35"/>
      <c r="H237" s="35"/>
      <c r="I237" s="34"/>
      <c r="J237" s="34"/>
      <c r="K237" s="65"/>
      <c r="L237" s="34"/>
      <c r="M237" s="34"/>
      <c r="N237" s="188"/>
      <c r="O237" s="188"/>
      <c r="P237" s="34"/>
      <c r="Q237" s="34"/>
      <c r="R237" s="304"/>
      <c r="S237" s="34"/>
      <c r="T237" s="34"/>
      <c r="U237" s="34"/>
      <c r="V237" s="34"/>
      <c r="W237" s="105"/>
      <c r="X237" s="105"/>
    </row>
    <row r="238" spans="1:24" ht="12.75">
      <c r="A238" s="309"/>
      <c r="B238" s="309"/>
      <c r="C238" s="34"/>
      <c r="D238" s="362"/>
      <c r="E238" s="34"/>
      <c r="F238" s="34"/>
      <c r="G238" s="35"/>
      <c r="H238" s="35"/>
      <c r="I238" s="34"/>
      <c r="J238" s="34"/>
      <c r="K238" s="65"/>
      <c r="L238" s="34"/>
      <c r="M238" s="34"/>
      <c r="N238" s="188"/>
      <c r="O238" s="188"/>
      <c r="P238" s="34"/>
      <c r="Q238" s="34"/>
      <c r="R238" s="304"/>
      <c r="S238" s="34"/>
      <c r="T238" s="34"/>
      <c r="U238" s="34"/>
      <c r="V238" s="34"/>
      <c r="W238" s="105"/>
      <c r="X238" s="105"/>
    </row>
    <row r="239" spans="1:24" ht="12.75">
      <c r="A239" s="309"/>
      <c r="B239" s="309"/>
      <c r="C239" s="34"/>
      <c r="D239" s="362"/>
      <c r="E239" s="34"/>
      <c r="F239" s="34"/>
      <c r="G239" s="35"/>
      <c r="H239" s="35"/>
      <c r="I239" s="34"/>
      <c r="J239" s="34"/>
      <c r="K239" s="65"/>
      <c r="L239" s="34"/>
      <c r="M239" s="34"/>
      <c r="N239" s="188"/>
      <c r="O239" s="188"/>
      <c r="P239" s="34"/>
      <c r="Q239" s="34"/>
      <c r="R239" s="304"/>
      <c r="S239" s="34"/>
      <c r="T239" s="34"/>
      <c r="U239" s="34"/>
      <c r="V239" s="34"/>
      <c r="W239" s="105"/>
      <c r="X239" s="105"/>
    </row>
    <row r="240" spans="1:24" ht="12.75">
      <c r="A240" s="309"/>
      <c r="B240" s="309"/>
      <c r="C240" s="34"/>
      <c r="D240" s="362"/>
      <c r="E240" s="34"/>
      <c r="F240" s="34"/>
      <c r="G240" s="35"/>
      <c r="H240" s="35"/>
      <c r="I240" s="34"/>
      <c r="J240" s="34"/>
      <c r="K240" s="65"/>
      <c r="L240" s="34"/>
      <c r="M240" s="34"/>
      <c r="N240" s="188"/>
      <c r="O240" s="188"/>
      <c r="P240" s="34"/>
      <c r="Q240" s="34"/>
      <c r="R240" s="304"/>
      <c r="S240" s="34"/>
      <c r="T240" s="34"/>
      <c r="U240" s="34"/>
      <c r="V240" s="34"/>
      <c r="W240" s="105"/>
      <c r="X240" s="105"/>
    </row>
    <row r="241" spans="1:24" ht="12.75">
      <c r="A241" s="309"/>
      <c r="B241" s="309"/>
      <c r="C241" s="34"/>
      <c r="D241" s="362"/>
      <c r="E241" s="34"/>
      <c r="F241" s="34"/>
      <c r="G241" s="35"/>
      <c r="H241" s="35"/>
      <c r="I241" s="34"/>
      <c r="J241" s="34"/>
      <c r="K241" s="65"/>
      <c r="L241" s="34"/>
      <c r="M241" s="34"/>
      <c r="N241" s="188"/>
      <c r="O241" s="188"/>
      <c r="P241" s="34"/>
      <c r="Q241" s="34"/>
      <c r="R241" s="304"/>
      <c r="S241" s="34"/>
      <c r="T241" s="34"/>
      <c r="U241" s="34"/>
      <c r="V241" s="34"/>
      <c r="W241" s="105"/>
      <c r="X241" s="105"/>
    </row>
    <row r="242" spans="1:24" ht="12.75">
      <c r="A242" s="309"/>
      <c r="B242" s="309"/>
      <c r="C242" s="34"/>
      <c r="D242" s="362"/>
      <c r="E242" s="34"/>
      <c r="F242" s="34"/>
      <c r="G242" s="35"/>
      <c r="H242" s="35"/>
      <c r="I242" s="34"/>
      <c r="J242" s="34"/>
      <c r="K242" s="65"/>
      <c r="L242" s="34"/>
      <c r="M242" s="34"/>
      <c r="N242" s="188"/>
      <c r="O242" s="188"/>
      <c r="P242" s="34"/>
      <c r="Q242" s="34"/>
      <c r="R242" s="304"/>
      <c r="S242" s="34"/>
      <c r="T242" s="34"/>
      <c r="U242" s="34"/>
      <c r="V242" s="34"/>
      <c r="W242" s="105"/>
      <c r="X242" s="105"/>
    </row>
    <row r="243" spans="1:24" ht="12.75">
      <c r="A243" s="309"/>
      <c r="B243" s="309"/>
      <c r="C243" s="34"/>
      <c r="D243" s="362"/>
      <c r="E243" s="34"/>
      <c r="F243" s="34"/>
      <c r="G243" s="35"/>
      <c r="H243" s="35"/>
      <c r="I243" s="34"/>
      <c r="J243" s="34"/>
      <c r="K243" s="65"/>
      <c r="L243" s="34"/>
      <c r="M243" s="34"/>
      <c r="N243" s="188"/>
      <c r="O243" s="188"/>
      <c r="P243" s="34"/>
      <c r="Q243" s="34"/>
      <c r="R243" s="304"/>
      <c r="S243" s="34"/>
      <c r="T243" s="34"/>
      <c r="U243" s="34"/>
      <c r="V243" s="34"/>
      <c r="W243" s="105"/>
      <c r="X243" s="105"/>
    </row>
    <row r="244" spans="1:24" ht="12.75">
      <c r="A244" s="309"/>
      <c r="B244" s="309"/>
      <c r="C244" s="34"/>
      <c r="D244" s="362"/>
      <c r="E244" s="34"/>
      <c r="F244" s="34"/>
      <c r="G244" s="35"/>
      <c r="H244" s="35"/>
      <c r="I244" s="34"/>
      <c r="J244" s="34"/>
      <c r="K244" s="65"/>
      <c r="L244" s="34"/>
      <c r="M244" s="34"/>
      <c r="N244" s="188"/>
      <c r="O244" s="188"/>
      <c r="P244" s="34"/>
      <c r="Q244" s="34"/>
      <c r="R244" s="304"/>
      <c r="S244" s="34"/>
      <c r="T244" s="34"/>
      <c r="U244" s="34"/>
      <c r="V244" s="34"/>
      <c r="W244" s="105"/>
      <c r="X244" s="105"/>
    </row>
    <row r="245" spans="1:24" ht="12.75">
      <c r="A245" s="309"/>
      <c r="B245" s="309"/>
      <c r="C245" s="34"/>
      <c r="D245" s="362"/>
      <c r="E245" s="34"/>
      <c r="F245" s="34"/>
      <c r="G245" s="35"/>
      <c r="H245" s="35"/>
      <c r="I245" s="34"/>
      <c r="J245" s="34"/>
      <c r="K245" s="65"/>
      <c r="L245" s="34"/>
      <c r="M245" s="34"/>
      <c r="N245" s="188"/>
      <c r="O245" s="188"/>
      <c r="P245" s="34"/>
      <c r="Q245" s="34"/>
      <c r="R245" s="304"/>
      <c r="S245" s="34"/>
      <c r="T245" s="34"/>
      <c r="U245" s="34"/>
      <c r="V245" s="34"/>
      <c r="W245" s="105"/>
      <c r="X245" s="105"/>
    </row>
    <row r="246" spans="1:24" ht="12.75">
      <c r="A246" s="309"/>
      <c r="B246" s="309"/>
      <c r="C246" s="34"/>
      <c r="D246" s="362"/>
      <c r="E246" s="34"/>
      <c r="F246" s="34"/>
      <c r="G246" s="35"/>
      <c r="H246" s="35"/>
      <c r="I246" s="34"/>
      <c r="J246" s="34"/>
      <c r="K246" s="65"/>
      <c r="L246" s="34"/>
      <c r="M246" s="34"/>
      <c r="N246" s="188"/>
      <c r="O246" s="188"/>
      <c r="P246" s="34"/>
      <c r="Q246" s="34"/>
      <c r="R246" s="304"/>
      <c r="S246" s="34"/>
      <c r="T246" s="34"/>
      <c r="U246" s="34"/>
      <c r="V246" s="34"/>
      <c r="W246" s="105"/>
      <c r="X246" s="105"/>
    </row>
    <row r="247" spans="1:24" ht="12.75">
      <c r="A247" s="309"/>
      <c r="B247" s="309"/>
      <c r="C247" s="34"/>
      <c r="D247" s="362"/>
      <c r="E247" s="34"/>
      <c r="F247" s="34"/>
      <c r="G247" s="35"/>
      <c r="H247" s="35"/>
      <c r="I247" s="34"/>
      <c r="J247" s="34"/>
      <c r="K247" s="65"/>
      <c r="L247" s="34"/>
      <c r="M247" s="34"/>
      <c r="N247" s="188"/>
      <c r="O247" s="188"/>
      <c r="P247" s="34"/>
      <c r="Q247" s="34"/>
      <c r="R247" s="304"/>
      <c r="S247" s="34"/>
      <c r="T247" s="34"/>
      <c r="U247" s="34"/>
      <c r="V247" s="34"/>
      <c r="W247" s="105"/>
      <c r="X247" s="105"/>
    </row>
    <row r="248" spans="1:24" ht="12.75">
      <c r="A248" s="309"/>
      <c r="B248" s="309"/>
      <c r="C248" s="34"/>
      <c r="D248" s="362"/>
      <c r="E248" s="34"/>
      <c r="F248" s="34"/>
      <c r="G248" s="35"/>
      <c r="H248" s="35"/>
      <c r="I248" s="34"/>
      <c r="J248" s="34"/>
      <c r="K248" s="65"/>
      <c r="L248" s="34"/>
      <c r="M248" s="34"/>
      <c r="N248" s="188"/>
      <c r="O248" s="188"/>
      <c r="P248" s="34"/>
      <c r="Q248" s="34"/>
      <c r="R248" s="304"/>
      <c r="S248" s="34"/>
      <c r="T248" s="34"/>
      <c r="U248" s="34"/>
      <c r="V248" s="34"/>
      <c r="W248" s="105"/>
      <c r="X248" s="105"/>
    </row>
    <row r="249" spans="1:24" ht="12.75">
      <c r="A249" s="309"/>
      <c r="B249" s="309"/>
      <c r="C249" s="34"/>
      <c r="D249" s="362"/>
      <c r="E249" s="34"/>
      <c r="F249" s="34"/>
      <c r="G249" s="35"/>
      <c r="H249" s="35"/>
      <c r="I249" s="34"/>
      <c r="J249" s="34"/>
      <c r="K249" s="65"/>
      <c r="L249" s="34"/>
      <c r="M249" s="34"/>
      <c r="N249" s="188"/>
      <c r="O249" s="188"/>
      <c r="P249" s="34"/>
      <c r="Q249" s="34"/>
      <c r="R249" s="304"/>
      <c r="S249" s="34"/>
      <c r="T249" s="34"/>
      <c r="U249" s="34"/>
      <c r="V249" s="34"/>
      <c r="W249" s="105"/>
      <c r="X249" s="105"/>
    </row>
    <row r="250" spans="1:24" ht="12.75">
      <c r="A250" s="309"/>
      <c r="B250" s="309"/>
      <c r="C250" s="34"/>
      <c r="D250" s="362"/>
      <c r="E250" s="34"/>
      <c r="F250" s="34"/>
      <c r="G250" s="35"/>
      <c r="H250" s="35"/>
      <c r="I250" s="34"/>
      <c r="J250" s="34"/>
      <c r="K250" s="65"/>
      <c r="L250" s="34"/>
      <c r="M250" s="34"/>
      <c r="N250" s="188"/>
      <c r="O250" s="188"/>
      <c r="P250" s="34"/>
      <c r="Q250" s="34"/>
      <c r="R250" s="304"/>
      <c r="S250" s="34"/>
      <c r="T250" s="34"/>
      <c r="U250" s="34"/>
      <c r="V250" s="34"/>
      <c r="W250" s="105"/>
      <c r="X250" s="105"/>
    </row>
    <row r="251" spans="1:24" ht="12.75">
      <c r="A251" s="309"/>
      <c r="B251" s="309"/>
      <c r="C251" s="34"/>
      <c r="D251" s="362"/>
      <c r="E251" s="34"/>
      <c r="F251" s="34"/>
      <c r="G251" s="35"/>
      <c r="H251" s="35"/>
      <c r="I251" s="34"/>
      <c r="J251" s="34"/>
      <c r="K251" s="65"/>
      <c r="L251" s="34"/>
      <c r="M251" s="34"/>
      <c r="N251" s="188"/>
      <c r="O251" s="188"/>
      <c r="P251" s="34"/>
      <c r="Q251" s="34"/>
      <c r="R251" s="304"/>
      <c r="S251" s="34"/>
      <c r="T251" s="34"/>
      <c r="U251" s="34"/>
      <c r="V251" s="34"/>
      <c r="W251" s="105"/>
      <c r="X251" s="105"/>
    </row>
    <row r="252" spans="1:24" ht="12.75">
      <c r="A252" s="309"/>
      <c r="B252" s="309"/>
      <c r="C252" s="34"/>
      <c r="D252" s="362"/>
      <c r="E252" s="34"/>
      <c r="F252" s="34"/>
      <c r="G252" s="35"/>
      <c r="H252" s="35"/>
      <c r="I252" s="34"/>
      <c r="J252" s="34"/>
      <c r="K252" s="65"/>
      <c r="L252" s="34"/>
      <c r="M252" s="34"/>
      <c r="N252" s="188"/>
      <c r="O252" s="188"/>
      <c r="P252" s="34"/>
      <c r="Q252" s="34"/>
      <c r="R252" s="304"/>
      <c r="S252" s="34"/>
      <c r="T252" s="34"/>
      <c r="U252" s="34"/>
      <c r="V252" s="34"/>
      <c r="W252" s="105"/>
      <c r="X252" s="105"/>
    </row>
    <row r="253" spans="1:24" ht="12.75">
      <c r="A253" s="309"/>
      <c r="B253" s="309"/>
      <c r="C253" s="34"/>
      <c r="D253" s="362"/>
      <c r="E253" s="34"/>
      <c r="F253" s="34"/>
      <c r="G253" s="35"/>
      <c r="H253" s="35"/>
      <c r="I253" s="34"/>
      <c r="J253" s="34"/>
      <c r="K253" s="65"/>
      <c r="L253" s="34"/>
      <c r="M253" s="34"/>
      <c r="N253" s="188"/>
      <c r="O253" s="188"/>
      <c r="P253" s="34"/>
      <c r="Q253" s="34"/>
      <c r="R253" s="304"/>
      <c r="S253" s="34"/>
      <c r="T253" s="34"/>
      <c r="U253" s="34"/>
      <c r="V253" s="34"/>
      <c r="W253" s="105"/>
      <c r="X253" s="105"/>
    </row>
    <row r="254" spans="1:24" ht="12.75">
      <c r="A254" s="309"/>
      <c r="B254" s="309"/>
      <c r="C254" s="34"/>
      <c r="D254" s="362"/>
      <c r="E254" s="34"/>
      <c r="F254" s="34"/>
      <c r="G254" s="35"/>
      <c r="H254" s="35"/>
      <c r="I254" s="34"/>
      <c r="J254" s="34"/>
      <c r="K254" s="65"/>
      <c r="L254" s="34"/>
      <c r="M254" s="34"/>
      <c r="N254" s="188"/>
      <c r="O254" s="188"/>
      <c r="P254" s="34"/>
      <c r="Q254" s="34"/>
      <c r="R254" s="304"/>
      <c r="S254" s="34"/>
      <c r="T254" s="34"/>
      <c r="U254" s="34"/>
      <c r="V254" s="34"/>
      <c r="W254" s="105"/>
      <c r="X254" s="105"/>
    </row>
    <row r="255" spans="1:24" ht="12.75">
      <c r="A255" s="309"/>
      <c r="B255" s="309"/>
      <c r="C255" s="34"/>
      <c r="D255" s="362"/>
      <c r="E255" s="34"/>
      <c r="F255" s="34"/>
      <c r="G255" s="35"/>
      <c r="H255" s="35"/>
      <c r="I255" s="34"/>
      <c r="J255" s="34"/>
      <c r="K255" s="65"/>
      <c r="L255" s="34"/>
      <c r="M255" s="34"/>
      <c r="N255" s="188"/>
      <c r="O255" s="188"/>
      <c r="P255" s="34"/>
      <c r="Q255" s="34"/>
      <c r="R255" s="304"/>
      <c r="S255" s="34"/>
      <c r="T255" s="34"/>
      <c r="U255" s="34"/>
      <c r="V255" s="34"/>
      <c r="W255" s="105"/>
      <c r="X255" s="105"/>
    </row>
    <row r="256" spans="1:24" ht="12.75">
      <c r="A256" s="309"/>
      <c r="B256" s="309"/>
      <c r="C256" s="34"/>
      <c r="D256" s="362"/>
      <c r="E256" s="34"/>
      <c r="F256" s="34"/>
      <c r="G256" s="35"/>
      <c r="H256" s="35"/>
      <c r="I256" s="34"/>
      <c r="J256" s="34"/>
      <c r="K256" s="65"/>
      <c r="L256" s="34"/>
      <c r="M256" s="34"/>
      <c r="N256" s="188"/>
      <c r="O256" s="188"/>
      <c r="P256" s="34"/>
      <c r="Q256" s="34"/>
      <c r="R256" s="304"/>
      <c r="S256" s="34"/>
      <c r="T256" s="34"/>
      <c r="U256" s="34"/>
      <c r="V256" s="34"/>
      <c r="W256" s="105"/>
      <c r="X256" s="105"/>
    </row>
    <row r="257" spans="1:24" ht="12.75">
      <c r="A257" s="309"/>
      <c r="B257" s="309"/>
      <c r="C257" s="34"/>
      <c r="D257" s="362"/>
      <c r="E257" s="34"/>
      <c r="F257" s="34"/>
      <c r="G257" s="35"/>
      <c r="H257" s="35"/>
      <c r="I257" s="34"/>
      <c r="J257" s="34"/>
      <c r="K257" s="65"/>
      <c r="L257" s="34"/>
      <c r="M257" s="34"/>
      <c r="N257" s="188"/>
      <c r="O257" s="188"/>
      <c r="P257" s="34"/>
      <c r="Q257" s="34"/>
      <c r="R257" s="304"/>
      <c r="S257" s="34"/>
      <c r="T257" s="34"/>
      <c r="U257" s="34"/>
      <c r="V257" s="34"/>
      <c r="W257" s="105"/>
      <c r="X257" s="105"/>
    </row>
    <row r="258" spans="1:24" ht="12.75">
      <c r="A258" s="309"/>
      <c r="B258" s="309"/>
      <c r="C258" s="34"/>
      <c r="D258" s="362"/>
      <c r="E258" s="34"/>
      <c r="F258" s="34"/>
      <c r="G258" s="35"/>
      <c r="H258" s="35"/>
      <c r="I258" s="34"/>
      <c r="J258" s="34"/>
      <c r="K258" s="65"/>
      <c r="L258" s="34"/>
      <c r="M258" s="34"/>
      <c r="N258" s="188"/>
      <c r="O258" s="188"/>
      <c r="P258" s="34"/>
      <c r="Q258" s="34"/>
      <c r="R258" s="304"/>
      <c r="S258" s="34"/>
      <c r="T258" s="34"/>
      <c r="U258" s="34"/>
      <c r="V258" s="34"/>
      <c r="W258" s="105"/>
      <c r="X258" s="105"/>
    </row>
    <row r="259" spans="1:24" ht="12.75">
      <c r="A259" s="309"/>
      <c r="B259" s="309"/>
      <c r="C259" s="34"/>
      <c r="D259" s="362"/>
      <c r="E259" s="34"/>
      <c r="F259" s="34"/>
      <c r="G259" s="35"/>
      <c r="H259" s="35"/>
      <c r="I259" s="34"/>
      <c r="J259" s="34"/>
      <c r="K259" s="65"/>
      <c r="L259" s="34"/>
      <c r="M259" s="34"/>
      <c r="N259" s="188"/>
      <c r="O259" s="188"/>
      <c r="P259" s="34"/>
      <c r="Q259" s="34"/>
      <c r="R259" s="304"/>
      <c r="S259" s="34"/>
      <c r="T259" s="34"/>
      <c r="U259" s="34"/>
      <c r="V259" s="34"/>
      <c r="W259" s="105"/>
      <c r="X259" s="105"/>
    </row>
    <row r="260" spans="1:24" ht="12.75">
      <c r="A260" s="309"/>
      <c r="B260" s="309"/>
      <c r="C260" s="34"/>
      <c r="D260" s="362"/>
      <c r="E260" s="34"/>
      <c r="F260" s="34"/>
      <c r="G260" s="35"/>
      <c r="H260" s="35"/>
      <c r="I260" s="34"/>
      <c r="J260" s="34"/>
      <c r="K260" s="65"/>
      <c r="L260" s="34"/>
      <c r="M260" s="34"/>
      <c r="N260" s="188"/>
      <c r="O260" s="188"/>
      <c r="P260" s="34"/>
      <c r="Q260" s="34"/>
      <c r="R260" s="304"/>
      <c r="S260" s="34"/>
      <c r="T260" s="34"/>
      <c r="U260" s="34"/>
      <c r="V260" s="34"/>
      <c r="W260" s="105"/>
      <c r="X260" s="105"/>
    </row>
    <row r="261" spans="1:24" ht="12.75">
      <c r="A261" s="309"/>
      <c r="B261" s="309"/>
      <c r="C261" s="34"/>
      <c r="D261" s="362"/>
      <c r="E261" s="34"/>
      <c r="F261" s="34"/>
      <c r="G261" s="35"/>
      <c r="H261" s="35"/>
      <c r="I261" s="34"/>
      <c r="J261" s="34"/>
      <c r="K261" s="65"/>
      <c r="L261" s="34"/>
      <c r="M261" s="34"/>
      <c r="N261" s="188"/>
      <c r="O261" s="188"/>
      <c r="P261" s="34"/>
      <c r="Q261" s="34"/>
      <c r="R261" s="304"/>
      <c r="S261" s="34"/>
      <c r="T261" s="34"/>
      <c r="U261" s="34"/>
      <c r="V261" s="34"/>
      <c r="W261" s="105"/>
      <c r="X261" s="105"/>
    </row>
    <row r="262" spans="1:24" ht="12.75">
      <c r="A262" s="309"/>
      <c r="B262" s="309"/>
      <c r="C262" s="34"/>
      <c r="D262" s="362"/>
      <c r="E262" s="34"/>
      <c r="F262" s="34"/>
      <c r="G262" s="35"/>
      <c r="H262" s="35"/>
      <c r="I262" s="34"/>
      <c r="J262" s="34"/>
      <c r="K262" s="65"/>
      <c r="L262" s="34"/>
      <c r="M262" s="34"/>
      <c r="N262" s="188"/>
      <c r="O262" s="188"/>
      <c r="P262" s="34"/>
      <c r="Q262" s="34"/>
      <c r="R262" s="304"/>
      <c r="S262" s="34"/>
      <c r="T262" s="34"/>
      <c r="U262" s="34"/>
      <c r="V262" s="34"/>
      <c r="W262" s="105"/>
      <c r="X262" s="105"/>
    </row>
    <row r="263" spans="1:24" ht="12.75">
      <c r="A263" s="309"/>
      <c r="B263" s="309"/>
      <c r="C263" s="34"/>
      <c r="D263" s="362"/>
      <c r="E263" s="34"/>
      <c r="F263" s="34"/>
      <c r="G263" s="35"/>
      <c r="H263" s="35"/>
      <c r="I263" s="34"/>
      <c r="J263" s="34"/>
      <c r="K263" s="65"/>
      <c r="L263" s="34"/>
      <c r="M263" s="34"/>
      <c r="N263" s="188"/>
      <c r="O263" s="188"/>
      <c r="P263" s="34"/>
      <c r="Q263" s="34"/>
      <c r="R263" s="304"/>
      <c r="S263" s="34"/>
      <c r="T263" s="34"/>
      <c r="U263" s="34"/>
      <c r="V263" s="34"/>
      <c r="W263" s="105"/>
      <c r="X263" s="105"/>
    </row>
    <row r="264" spans="1:24" ht="12.75">
      <c r="A264" s="309"/>
      <c r="B264" s="309"/>
      <c r="C264" s="34"/>
      <c r="D264" s="362"/>
      <c r="E264" s="34"/>
      <c r="F264" s="34"/>
      <c r="G264" s="35"/>
      <c r="H264" s="35"/>
      <c r="I264" s="34"/>
      <c r="J264" s="34"/>
      <c r="K264" s="65"/>
      <c r="L264" s="34"/>
      <c r="M264" s="34"/>
      <c r="N264" s="188"/>
      <c r="O264" s="188"/>
      <c r="P264" s="34"/>
      <c r="Q264" s="34"/>
      <c r="R264" s="304"/>
      <c r="S264" s="34"/>
      <c r="T264" s="34"/>
      <c r="U264" s="34"/>
      <c r="V264" s="34"/>
      <c r="W264" s="105"/>
      <c r="X264" s="105"/>
    </row>
    <row r="265" spans="1:24" ht="12.75">
      <c r="A265" s="309"/>
      <c r="B265" s="309"/>
      <c r="C265" s="34"/>
      <c r="D265" s="362"/>
      <c r="E265" s="34"/>
      <c r="F265" s="34"/>
      <c r="G265" s="35"/>
      <c r="H265" s="35"/>
      <c r="I265" s="34"/>
      <c r="J265" s="34"/>
      <c r="K265" s="65"/>
      <c r="L265" s="34"/>
      <c r="M265" s="34"/>
      <c r="N265" s="188"/>
      <c r="O265" s="188"/>
      <c r="P265" s="34"/>
      <c r="Q265" s="34"/>
      <c r="R265" s="304"/>
      <c r="S265" s="34"/>
      <c r="T265" s="34"/>
      <c r="U265" s="34"/>
      <c r="V265" s="34"/>
      <c r="W265" s="105"/>
      <c r="X265" s="105"/>
    </row>
    <row r="266" spans="1:24" ht="12.75">
      <c r="A266" s="309"/>
      <c r="B266" s="309"/>
      <c r="C266" s="34"/>
      <c r="D266" s="362"/>
      <c r="E266" s="34"/>
      <c r="F266" s="34"/>
      <c r="G266" s="35"/>
      <c r="H266" s="35"/>
      <c r="I266" s="34"/>
      <c r="J266" s="34"/>
      <c r="K266" s="65"/>
      <c r="L266" s="34"/>
      <c r="M266" s="34"/>
      <c r="N266" s="188"/>
      <c r="O266" s="188"/>
      <c r="P266" s="34"/>
      <c r="Q266" s="34"/>
      <c r="R266" s="304"/>
      <c r="S266" s="34"/>
      <c r="T266" s="34"/>
      <c r="U266" s="34"/>
      <c r="V266" s="34"/>
      <c r="W266" s="105"/>
      <c r="X266" s="105"/>
    </row>
    <row r="267" spans="1:24" ht="12.75">
      <c r="A267" s="309"/>
      <c r="B267" s="309"/>
      <c r="C267" s="34"/>
      <c r="D267" s="362"/>
      <c r="E267" s="34"/>
      <c r="F267" s="34"/>
      <c r="G267" s="35"/>
      <c r="H267" s="35"/>
      <c r="I267" s="34"/>
      <c r="J267" s="34"/>
      <c r="K267" s="65"/>
      <c r="L267" s="34"/>
      <c r="M267" s="34"/>
      <c r="N267" s="188"/>
      <c r="O267" s="188"/>
      <c r="P267" s="34"/>
      <c r="Q267" s="34"/>
      <c r="R267" s="304"/>
      <c r="S267" s="34"/>
      <c r="T267" s="34"/>
      <c r="U267" s="34"/>
      <c r="V267" s="34"/>
      <c r="W267" s="105"/>
      <c r="X267" s="105"/>
    </row>
    <row r="268" spans="1:24" ht="12.75">
      <c r="A268" s="309"/>
      <c r="B268" s="309"/>
      <c r="C268" s="34"/>
      <c r="D268" s="362"/>
      <c r="E268" s="34"/>
      <c r="F268" s="34"/>
      <c r="G268" s="35"/>
      <c r="H268" s="35"/>
      <c r="I268" s="34"/>
      <c r="J268" s="34"/>
      <c r="K268" s="65"/>
      <c r="L268" s="34"/>
      <c r="M268" s="34"/>
      <c r="N268" s="188"/>
      <c r="O268" s="188"/>
      <c r="P268" s="34"/>
      <c r="Q268" s="34"/>
      <c r="R268" s="304"/>
      <c r="S268" s="34"/>
      <c r="T268" s="34"/>
      <c r="U268" s="34"/>
      <c r="V268" s="34"/>
      <c r="W268" s="105"/>
      <c r="X268" s="105"/>
    </row>
    <row r="269" spans="1:24" ht="12.75">
      <c r="A269" s="309"/>
      <c r="B269" s="309"/>
      <c r="C269" s="34"/>
      <c r="D269" s="362"/>
      <c r="E269" s="34"/>
      <c r="F269" s="34"/>
      <c r="G269" s="35"/>
      <c r="H269" s="35"/>
      <c r="I269" s="34"/>
      <c r="J269" s="34"/>
      <c r="K269" s="65"/>
      <c r="L269" s="34"/>
      <c r="M269" s="34"/>
      <c r="N269" s="188"/>
      <c r="O269" s="188"/>
      <c r="P269" s="34"/>
      <c r="Q269" s="34"/>
      <c r="R269" s="304"/>
      <c r="S269" s="34"/>
      <c r="T269" s="34"/>
      <c r="U269" s="34"/>
      <c r="V269" s="34"/>
      <c r="W269" s="105"/>
      <c r="X269" s="105"/>
    </row>
    <row r="270" spans="1:24" ht="12.75">
      <c r="A270" s="309"/>
      <c r="B270" s="309"/>
      <c r="C270" s="34"/>
      <c r="D270" s="362"/>
      <c r="E270" s="34"/>
      <c r="F270" s="34"/>
      <c r="G270" s="35"/>
      <c r="H270" s="35"/>
      <c r="I270" s="34"/>
      <c r="J270" s="34"/>
      <c r="K270" s="65"/>
      <c r="L270" s="34"/>
      <c r="M270" s="34"/>
      <c r="N270" s="188"/>
      <c r="O270" s="188"/>
      <c r="P270" s="34"/>
      <c r="Q270" s="34"/>
      <c r="R270" s="304"/>
      <c r="S270" s="34"/>
      <c r="T270" s="34"/>
      <c r="U270" s="34"/>
      <c r="V270" s="34"/>
      <c r="W270" s="105"/>
      <c r="X270" s="105"/>
    </row>
    <row r="271" spans="1:24" ht="12.75">
      <c r="A271" s="309"/>
      <c r="B271" s="309"/>
      <c r="C271" s="34"/>
      <c r="D271" s="362"/>
      <c r="E271" s="34"/>
      <c r="F271" s="34"/>
      <c r="G271" s="35"/>
      <c r="H271" s="35"/>
      <c r="I271" s="34"/>
      <c r="J271" s="34"/>
      <c r="K271" s="65"/>
      <c r="L271" s="34"/>
      <c r="M271" s="34"/>
      <c r="N271" s="188"/>
      <c r="O271" s="188"/>
      <c r="P271" s="34"/>
      <c r="Q271" s="34"/>
      <c r="R271" s="304"/>
      <c r="S271" s="34"/>
      <c r="T271" s="34"/>
      <c r="U271" s="34"/>
      <c r="V271" s="34"/>
      <c r="W271" s="105"/>
      <c r="X271" s="105"/>
    </row>
    <row r="272" spans="1:24" ht="12.75">
      <c r="A272" s="309"/>
      <c r="B272" s="309"/>
      <c r="C272" s="34"/>
      <c r="D272" s="362"/>
      <c r="E272" s="34"/>
      <c r="F272" s="34"/>
      <c r="G272" s="35"/>
      <c r="H272" s="35"/>
      <c r="I272" s="34"/>
      <c r="J272" s="34"/>
      <c r="K272" s="65"/>
      <c r="L272" s="34"/>
      <c r="M272" s="34"/>
      <c r="N272" s="188"/>
      <c r="O272" s="188"/>
      <c r="P272" s="34"/>
      <c r="Q272" s="34"/>
      <c r="R272" s="304"/>
      <c r="S272" s="34"/>
      <c r="T272" s="34"/>
      <c r="U272" s="34"/>
      <c r="V272" s="34"/>
      <c r="W272" s="105"/>
      <c r="X272" s="105"/>
    </row>
    <row r="273" spans="1:24" ht="12.75">
      <c r="A273" s="309"/>
      <c r="B273" s="309"/>
      <c r="C273" s="34"/>
      <c r="D273" s="362"/>
      <c r="E273" s="34"/>
      <c r="F273" s="34"/>
      <c r="G273" s="35"/>
      <c r="H273" s="35"/>
      <c r="I273" s="34"/>
      <c r="J273" s="34"/>
      <c r="K273" s="65"/>
      <c r="L273" s="34"/>
      <c r="M273" s="34"/>
      <c r="N273" s="188"/>
      <c r="O273" s="188"/>
      <c r="P273" s="34"/>
      <c r="Q273" s="34"/>
      <c r="R273" s="304"/>
      <c r="S273" s="34"/>
      <c r="T273" s="34"/>
      <c r="U273" s="34"/>
      <c r="V273" s="34"/>
      <c r="W273" s="105"/>
      <c r="X273" s="105"/>
    </row>
    <row r="274" spans="1:24" ht="12.75">
      <c r="A274" s="309"/>
      <c r="B274" s="309"/>
      <c r="C274" s="34"/>
      <c r="D274" s="362"/>
      <c r="E274" s="34"/>
      <c r="F274" s="34"/>
      <c r="G274" s="35"/>
      <c r="H274" s="35"/>
      <c r="I274" s="34"/>
      <c r="J274" s="34"/>
      <c r="K274" s="65"/>
      <c r="L274" s="34"/>
      <c r="M274" s="34"/>
      <c r="N274" s="188"/>
      <c r="O274" s="188"/>
      <c r="P274" s="34"/>
      <c r="Q274" s="34"/>
      <c r="R274" s="304"/>
      <c r="S274" s="34"/>
      <c r="T274" s="34"/>
      <c r="U274" s="34"/>
      <c r="V274" s="34"/>
      <c r="W274" s="105"/>
      <c r="X274" s="105"/>
    </row>
    <row r="275" spans="1:24" ht="12.75">
      <c r="A275" s="309"/>
      <c r="B275" s="309"/>
      <c r="C275" s="34"/>
      <c r="D275" s="362"/>
      <c r="E275" s="34"/>
      <c r="F275" s="34"/>
      <c r="G275" s="35"/>
      <c r="H275" s="35"/>
      <c r="I275" s="34"/>
      <c r="J275" s="34"/>
      <c r="K275" s="65"/>
      <c r="L275" s="34"/>
      <c r="M275" s="34"/>
      <c r="N275" s="188"/>
      <c r="O275" s="188"/>
      <c r="P275" s="34"/>
      <c r="Q275" s="34"/>
      <c r="R275" s="304"/>
      <c r="S275" s="34"/>
      <c r="T275" s="34"/>
      <c r="U275" s="34"/>
      <c r="V275" s="34"/>
      <c r="W275" s="105"/>
      <c r="X275" s="105"/>
    </row>
    <row r="276" spans="1:24" ht="12.75">
      <c r="A276" s="309"/>
      <c r="B276" s="309"/>
      <c r="C276" s="34"/>
      <c r="D276" s="362"/>
      <c r="E276" s="34"/>
      <c r="F276" s="34"/>
      <c r="G276" s="35"/>
      <c r="H276" s="35"/>
      <c r="I276" s="34"/>
      <c r="J276" s="34"/>
      <c r="K276" s="65"/>
      <c r="L276" s="34"/>
      <c r="M276" s="34"/>
      <c r="N276" s="188"/>
      <c r="O276" s="188"/>
      <c r="P276" s="34"/>
      <c r="Q276" s="34"/>
      <c r="R276" s="304"/>
      <c r="S276" s="34"/>
      <c r="T276" s="34"/>
      <c r="U276" s="34"/>
      <c r="V276" s="34"/>
      <c r="W276" s="105"/>
      <c r="X276" s="105"/>
    </row>
    <row r="277" spans="1:24" ht="12.75">
      <c r="A277" s="309"/>
      <c r="B277" s="309"/>
      <c r="C277" s="34"/>
      <c r="D277" s="362"/>
      <c r="E277" s="34"/>
      <c r="F277" s="34"/>
      <c r="G277" s="35"/>
      <c r="H277" s="35"/>
      <c r="I277" s="34"/>
      <c r="J277" s="34"/>
      <c r="K277" s="65"/>
      <c r="L277" s="34"/>
      <c r="M277" s="34"/>
      <c r="N277" s="188"/>
      <c r="O277" s="188"/>
      <c r="P277" s="34"/>
      <c r="Q277" s="34"/>
      <c r="R277" s="304"/>
      <c r="S277" s="34"/>
      <c r="T277" s="34"/>
      <c r="U277" s="34"/>
      <c r="V277" s="34"/>
      <c r="W277" s="105"/>
      <c r="X277" s="105"/>
    </row>
    <row r="278" spans="1:24" ht="12.75">
      <c r="A278" s="309"/>
      <c r="B278" s="309"/>
      <c r="C278" s="34"/>
      <c r="D278" s="362"/>
      <c r="E278" s="34"/>
      <c r="F278" s="34"/>
      <c r="G278" s="35"/>
      <c r="H278" s="35"/>
      <c r="I278" s="34"/>
      <c r="J278" s="34"/>
      <c r="K278" s="65"/>
      <c r="L278" s="34"/>
      <c r="M278" s="34"/>
      <c r="N278" s="188"/>
      <c r="O278" s="188"/>
      <c r="P278" s="34"/>
      <c r="Q278" s="34"/>
      <c r="R278" s="304"/>
      <c r="S278" s="34"/>
      <c r="T278" s="34"/>
      <c r="U278" s="34"/>
      <c r="V278" s="34"/>
      <c r="W278" s="105"/>
      <c r="X278" s="105"/>
    </row>
    <row r="279" spans="1:24" ht="12.75">
      <c r="A279" s="309"/>
      <c r="B279" s="309"/>
      <c r="C279" s="34"/>
      <c r="D279" s="362"/>
      <c r="E279" s="34"/>
      <c r="F279" s="34"/>
      <c r="G279" s="35"/>
      <c r="H279" s="35"/>
      <c r="I279" s="34"/>
      <c r="J279" s="34"/>
      <c r="K279" s="65"/>
      <c r="L279" s="34"/>
      <c r="M279" s="34"/>
      <c r="N279" s="188"/>
      <c r="O279" s="188"/>
      <c r="P279" s="34"/>
      <c r="Q279" s="34"/>
      <c r="R279" s="304"/>
      <c r="S279" s="34"/>
      <c r="T279" s="34"/>
      <c r="U279" s="34"/>
      <c r="V279" s="34"/>
      <c r="W279" s="105"/>
      <c r="X279" s="105"/>
    </row>
    <row r="280" spans="1:24" ht="12.75">
      <c r="A280" s="309"/>
      <c r="B280" s="309"/>
      <c r="C280" s="34"/>
      <c r="D280" s="362"/>
      <c r="E280" s="34"/>
      <c r="F280" s="34"/>
      <c r="G280" s="35"/>
      <c r="H280" s="35"/>
      <c r="I280" s="34"/>
      <c r="J280" s="34"/>
      <c r="K280" s="65"/>
      <c r="L280" s="34"/>
      <c r="M280" s="34"/>
      <c r="N280" s="188"/>
      <c r="O280" s="188"/>
      <c r="P280" s="34"/>
      <c r="Q280" s="34"/>
      <c r="R280" s="304"/>
      <c r="S280" s="34"/>
      <c r="T280" s="34"/>
      <c r="U280" s="34"/>
      <c r="V280" s="34"/>
      <c r="W280" s="105"/>
      <c r="X280" s="105"/>
    </row>
    <row r="281" spans="1:24" ht="12.75">
      <c r="A281" s="309"/>
      <c r="B281" s="309"/>
      <c r="C281" s="34"/>
      <c r="D281" s="362"/>
      <c r="E281" s="34"/>
      <c r="F281" s="34"/>
      <c r="G281" s="35"/>
      <c r="H281" s="35"/>
      <c r="I281" s="34"/>
      <c r="J281" s="34"/>
      <c r="K281" s="65"/>
      <c r="L281" s="34"/>
      <c r="M281" s="34"/>
      <c r="N281" s="188"/>
      <c r="O281" s="188"/>
      <c r="P281" s="34"/>
      <c r="Q281" s="34"/>
      <c r="R281" s="304"/>
      <c r="S281" s="34"/>
      <c r="T281" s="34"/>
      <c r="U281" s="34"/>
      <c r="V281" s="34"/>
      <c r="W281" s="105"/>
      <c r="X281" s="105"/>
    </row>
    <row r="282" spans="1:24" ht="12.75">
      <c r="A282" s="309"/>
      <c r="B282" s="309"/>
      <c r="C282" s="34"/>
      <c r="D282" s="362"/>
      <c r="E282" s="34"/>
      <c r="F282" s="34"/>
      <c r="G282" s="35"/>
      <c r="H282" s="35"/>
      <c r="I282" s="34"/>
      <c r="J282" s="34"/>
      <c r="K282" s="65"/>
      <c r="L282" s="34"/>
      <c r="M282" s="34"/>
      <c r="N282" s="188"/>
      <c r="O282" s="188"/>
      <c r="P282" s="34"/>
      <c r="Q282" s="34"/>
      <c r="R282" s="304"/>
      <c r="S282" s="34"/>
      <c r="T282" s="34"/>
      <c r="U282" s="34"/>
      <c r="V282" s="34"/>
      <c r="W282" s="105"/>
      <c r="X282" s="105"/>
    </row>
    <row r="283" spans="1:24" ht="12.75">
      <c r="A283" s="309"/>
      <c r="B283" s="309"/>
      <c r="C283" s="34"/>
      <c r="D283" s="362"/>
      <c r="E283" s="34"/>
      <c r="F283" s="34"/>
      <c r="G283" s="35"/>
      <c r="H283" s="35"/>
      <c r="I283" s="34"/>
      <c r="J283" s="34"/>
      <c r="K283" s="65"/>
      <c r="L283" s="34"/>
      <c r="M283" s="34"/>
      <c r="N283" s="188"/>
      <c r="O283" s="188"/>
      <c r="P283" s="34"/>
      <c r="Q283" s="34"/>
      <c r="R283" s="304"/>
      <c r="S283" s="34"/>
      <c r="T283" s="34"/>
      <c r="U283" s="34"/>
      <c r="V283" s="34"/>
      <c r="W283" s="105"/>
      <c r="X283" s="105"/>
    </row>
    <row r="284" spans="1:24" ht="12.75">
      <c r="A284" s="309"/>
      <c r="B284" s="309"/>
      <c r="C284" s="34"/>
      <c r="D284" s="362"/>
      <c r="E284" s="34"/>
      <c r="F284" s="34"/>
      <c r="G284" s="35"/>
      <c r="H284" s="35"/>
      <c r="I284" s="34"/>
      <c r="J284" s="34"/>
      <c r="K284" s="65"/>
      <c r="L284" s="34"/>
      <c r="M284" s="34"/>
      <c r="N284" s="188"/>
      <c r="O284" s="188"/>
      <c r="P284" s="34"/>
      <c r="Q284" s="34"/>
      <c r="R284" s="304"/>
      <c r="S284" s="34"/>
      <c r="T284" s="34"/>
      <c r="U284" s="34"/>
      <c r="V284" s="34"/>
      <c r="W284" s="105"/>
      <c r="X284" s="105"/>
    </row>
    <row r="285" spans="1:24" ht="12.75">
      <c r="A285" s="309"/>
      <c r="B285" s="309"/>
      <c r="C285" s="34"/>
      <c r="D285" s="362"/>
      <c r="E285" s="34"/>
      <c r="F285" s="34"/>
      <c r="G285" s="35"/>
      <c r="H285" s="35"/>
      <c r="I285" s="34"/>
      <c r="J285" s="34"/>
      <c r="K285" s="65"/>
      <c r="L285" s="34"/>
      <c r="M285" s="34"/>
      <c r="N285" s="188"/>
      <c r="O285" s="188"/>
      <c r="P285" s="34"/>
      <c r="Q285" s="34"/>
      <c r="R285" s="304"/>
      <c r="S285" s="34"/>
      <c r="T285" s="34"/>
      <c r="U285" s="34"/>
      <c r="V285" s="34"/>
      <c r="W285" s="105"/>
      <c r="X285" s="105"/>
    </row>
    <row r="286" spans="1:24" ht="12.75">
      <c r="A286" s="309"/>
      <c r="B286" s="309"/>
      <c r="C286" s="34"/>
      <c r="D286" s="362"/>
      <c r="E286" s="34"/>
      <c r="F286" s="34"/>
      <c r="G286" s="35"/>
      <c r="H286" s="35"/>
      <c r="I286" s="34"/>
      <c r="J286" s="34"/>
      <c r="K286" s="65"/>
      <c r="L286" s="34"/>
      <c r="M286" s="34"/>
      <c r="N286" s="188"/>
      <c r="O286" s="188"/>
      <c r="P286" s="34"/>
      <c r="Q286" s="34"/>
      <c r="R286" s="304"/>
      <c r="S286" s="34"/>
      <c r="T286" s="34"/>
      <c r="U286" s="34"/>
      <c r="V286" s="34"/>
      <c r="W286" s="105"/>
      <c r="X286" s="105"/>
    </row>
    <row r="287" spans="1:24" ht="12.75">
      <c r="A287" s="309"/>
      <c r="B287" s="309"/>
      <c r="C287" s="34"/>
      <c r="D287" s="362"/>
      <c r="E287" s="34"/>
      <c r="F287" s="34"/>
      <c r="G287" s="35"/>
      <c r="H287" s="35"/>
      <c r="I287" s="34"/>
      <c r="J287" s="34"/>
      <c r="K287" s="65"/>
      <c r="L287" s="34"/>
      <c r="M287" s="34"/>
      <c r="N287" s="188"/>
      <c r="O287" s="188"/>
      <c r="P287" s="34"/>
      <c r="Q287" s="34"/>
      <c r="R287" s="304"/>
      <c r="S287" s="34"/>
      <c r="T287" s="34"/>
      <c r="U287" s="34"/>
      <c r="V287" s="34"/>
      <c r="W287" s="105"/>
      <c r="X287" s="105"/>
    </row>
    <row r="288" spans="1:24" ht="12.75">
      <c r="A288" s="309"/>
      <c r="B288" s="309"/>
      <c r="C288" s="34"/>
      <c r="D288" s="362"/>
      <c r="E288" s="34"/>
      <c r="F288" s="34"/>
      <c r="G288" s="35"/>
      <c r="H288" s="35"/>
      <c r="I288" s="34"/>
      <c r="J288" s="34"/>
      <c r="K288" s="65"/>
      <c r="L288" s="34"/>
      <c r="M288" s="34"/>
      <c r="N288" s="188"/>
      <c r="O288" s="188"/>
      <c r="P288" s="34"/>
      <c r="Q288" s="34"/>
      <c r="R288" s="304"/>
      <c r="S288" s="34"/>
      <c r="T288" s="34"/>
      <c r="U288" s="34"/>
      <c r="V288" s="34"/>
      <c r="W288" s="105"/>
      <c r="X288" s="105"/>
    </row>
    <row r="289" spans="1:24" ht="12.75">
      <c r="A289" s="309"/>
      <c r="B289" s="309"/>
      <c r="C289" s="34"/>
      <c r="D289" s="362"/>
      <c r="E289" s="34"/>
      <c r="F289" s="34"/>
      <c r="G289" s="35"/>
      <c r="H289" s="35"/>
      <c r="I289" s="34"/>
      <c r="J289" s="34"/>
      <c r="K289" s="65"/>
      <c r="L289" s="34"/>
      <c r="M289" s="34"/>
      <c r="N289" s="188"/>
      <c r="O289" s="188"/>
      <c r="P289" s="34"/>
      <c r="Q289" s="34"/>
      <c r="R289" s="304"/>
      <c r="S289" s="34"/>
      <c r="T289" s="34"/>
      <c r="U289" s="34"/>
      <c r="V289" s="34"/>
      <c r="W289" s="105"/>
      <c r="X289" s="105"/>
    </row>
    <row r="290" spans="1:24" ht="12.75">
      <c r="A290" s="309"/>
      <c r="B290" s="309"/>
      <c r="C290" s="34"/>
      <c r="D290" s="362"/>
      <c r="E290" s="34"/>
      <c r="F290" s="34"/>
      <c r="G290" s="35"/>
      <c r="H290" s="35"/>
      <c r="I290" s="34"/>
      <c r="J290" s="34"/>
      <c r="K290" s="65"/>
      <c r="L290" s="34"/>
      <c r="M290" s="34"/>
      <c r="N290" s="188"/>
      <c r="O290" s="188"/>
      <c r="P290" s="34"/>
      <c r="Q290" s="34"/>
      <c r="R290" s="304"/>
      <c r="S290" s="34"/>
      <c r="T290" s="34"/>
      <c r="U290" s="34"/>
      <c r="V290" s="34"/>
      <c r="W290" s="105"/>
      <c r="X290" s="105"/>
    </row>
    <row r="291" spans="1:24" ht="12.75">
      <c r="A291" s="309"/>
      <c r="B291" s="309"/>
      <c r="C291" s="34"/>
      <c r="D291" s="362"/>
      <c r="E291" s="34"/>
      <c r="F291" s="34"/>
      <c r="G291" s="35"/>
      <c r="H291" s="35"/>
      <c r="I291" s="34"/>
      <c r="J291" s="34"/>
      <c r="K291" s="65"/>
      <c r="L291" s="34"/>
      <c r="M291" s="34"/>
      <c r="N291" s="188"/>
      <c r="O291" s="188"/>
      <c r="P291" s="34"/>
      <c r="Q291" s="34"/>
      <c r="R291" s="304"/>
      <c r="S291" s="34"/>
      <c r="T291" s="34"/>
      <c r="U291" s="34"/>
      <c r="V291" s="34"/>
      <c r="W291" s="105"/>
      <c r="X291" s="105"/>
    </row>
    <row r="292" spans="1:24" ht="12.75">
      <c r="A292" s="309"/>
      <c r="B292" s="309"/>
      <c r="C292" s="34"/>
      <c r="D292" s="362"/>
      <c r="E292" s="34"/>
      <c r="F292" s="34"/>
      <c r="G292" s="35"/>
      <c r="H292" s="35"/>
      <c r="I292" s="34"/>
      <c r="J292" s="34"/>
      <c r="K292" s="65"/>
      <c r="L292" s="34"/>
      <c r="M292" s="34"/>
      <c r="N292" s="188"/>
      <c r="O292" s="188"/>
      <c r="P292" s="34"/>
      <c r="Q292" s="34"/>
      <c r="R292" s="304"/>
      <c r="S292" s="34"/>
      <c r="T292" s="34"/>
      <c r="U292" s="34"/>
      <c r="V292" s="34"/>
      <c r="W292" s="105"/>
      <c r="X292" s="105"/>
    </row>
    <row r="293" spans="1:24" ht="12.75">
      <c r="A293" s="309"/>
      <c r="B293" s="309"/>
      <c r="C293" s="34"/>
      <c r="D293" s="362"/>
      <c r="E293" s="34"/>
      <c r="F293" s="34"/>
      <c r="G293" s="35"/>
      <c r="H293" s="35"/>
      <c r="I293" s="34"/>
      <c r="J293" s="34"/>
      <c r="K293" s="65"/>
      <c r="L293" s="34"/>
      <c r="M293" s="34"/>
      <c r="N293" s="188"/>
      <c r="O293" s="188"/>
      <c r="P293" s="34"/>
      <c r="Q293" s="34"/>
      <c r="R293" s="304"/>
      <c r="S293" s="34"/>
      <c r="T293" s="34"/>
      <c r="U293" s="34"/>
      <c r="V293" s="34"/>
      <c r="W293" s="105"/>
      <c r="X293" s="105"/>
    </row>
    <row r="294" spans="1:24" ht="12.75">
      <c r="A294" s="309"/>
      <c r="B294" s="309"/>
      <c r="C294" s="34"/>
      <c r="D294" s="362"/>
      <c r="E294" s="34"/>
      <c r="F294" s="34"/>
      <c r="G294" s="35"/>
      <c r="H294" s="35"/>
      <c r="I294" s="34"/>
      <c r="J294" s="34"/>
      <c r="K294" s="65"/>
      <c r="L294" s="34"/>
      <c r="M294" s="34"/>
      <c r="N294" s="188"/>
      <c r="O294" s="188"/>
      <c r="P294" s="34"/>
      <c r="Q294" s="34"/>
      <c r="R294" s="304"/>
      <c r="S294" s="34"/>
      <c r="T294" s="34"/>
      <c r="U294" s="34"/>
      <c r="V294" s="34"/>
      <c r="W294" s="105"/>
      <c r="X294" s="105"/>
    </row>
    <row r="295" spans="1:24" ht="12.75">
      <c r="A295" s="309"/>
      <c r="B295" s="309"/>
      <c r="C295" s="34"/>
      <c r="D295" s="362"/>
      <c r="E295" s="34"/>
      <c r="F295" s="34"/>
      <c r="G295" s="35"/>
      <c r="H295" s="35"/>
      <c r="I295" s="34"/>
      <c r="J295" s="34"/>
      <c r="K295" s="65"/>
      <c r="L295" s="34"/>
      <c r="M295" s="34"/>
      <c r="N295" s="188"/>
      <c r="O295" s="188"/>
      <c r="P295" s="34"/>
      <c r="Q295" s="34"/>
      <c r="R295" s="304"/>
      <c r="S295" s="34"/>
      <c r="T295" s="34"/>
      <c r="U295" s="34"/>
      <c r="V295" s="34"/>
      <c r="W295" s="105"/>
      <c r="X295" s="105"/>
    </row>
    <row r="296" spans="1:24" ht="12.75">
      <c r="A296" s="309"/>
      <c r="B296" s="309"/>
      <c r="C296" s="34"/>
      <c r="D296" s="362"/>
      <c r="E296" s="34"/>
      <c r="F296" s="34"/>
      <c r="G296" s="35"/>
      <c r="H296" s="35"/>
      <c r="I296" s="34"/>
      <c r="J296" s="34"/>
      <c r="K296" s="65"/>
      <c r="L296" s="34"/>
      <c r="M296" s="34"/>
      <c r="N296" s="188"/>
      <c r="O296" s="188"/>
      <c r="P296" s="34"/>
      <c r="Q296" s="34"/>
      <c r="R296" s="304"/>
      <c r="S296" s="34"/>
      <c r="T296" s="34"/>
      <c r="U296" s="34"/>
      <c r="V296" s="34"/>
      <c r="W296" s="105"/>
      <c r="X296" s="105"/>
    </row>
    <row r="297" spans="1:24" ht="12.75">
      <c r="A297" s="309"/>
      <c r="B297" s="309"/>
      <c r="C297" s="34"/>
      <c r="D297" s="362"/>
      <c r="E297" s="34"/>
      <c r="F297" s="34"/>
      <c r="G297" s="35"/>
      <c r="H297" s="35"/>
      <c r="I297" s="34"/>
      <c r="J297" s="34"/>
      <c r="K297" s="65"/>
      <c r="L297" s="34"/>
      <c r="M297" s="34"/>
      <c r="N297" s="188"/>
      <c r="O297" s="188"/>
      <c r="P297" s="34"/>
      <c r="Q297" s="34"/>
      <c r="R297" s="304"/>
      <c r="S297" s="34"/>
      <c r="T297" s="34"/>
      <c r="U297" s="34"/>
      <c r="V297" s="34"/>
      <c r="W297" s="105"/>
      <c r="X297" s="105"/>
    </row>
    <row r="298" spans="1:24" ht="12.75">
      <c r="A298" s="309"/>
      <c r="B298" s="309"/>
      <c r="C298" s="34"/>
      <c r="D298" s="362"/>
      <c r="E298" s="34"/>
      <c r="F298" s="34"/>
      <c r="G298" s="35"/>
      <c r="H298" s="35"/>
      <c r="I298" s="34"/>
      <c r="J298" s="34"/>
      <c r="K298" s="65"/>
      <c r="L298" s="34"/>
      <c r="M298" s="34"/>
      <c r="N298" s="188"/>
      <c r="O298" s="188"/>
      <c r="P298" s="34"/>
      <c r="Q298" s="34"/>
      <c r="R298" s="304"/>
      <c r="S298" s="34"/>
      <c r="T298" s="34"/>
      <c r="U298" s="34"/>
      <c r="V298" s="34"/>
      <c r="W298" s="105"/>
      <c r="X298" s="105"/>
    </row>
    <row r="299" spans="1:24" ht="12.75">
      <c r="A299" s="309"/>
      <c r="B299" s="309"/>
      <c r="C299" s="34"/>
      <c r="D299" s="362"/>
      <c r="E299" s="34"/>
      <c r="F299" s="34"/>
      <c r="G299" s="35"/>
      <c r="H299" s="35"/>
      <c r="I299" s="34"/>
      <c r="J299" s="34"/>
      <c r="K299" s="65"/>
      <c r="L299" s="34"/>
      <c r="M299" s="34"/>
      <c r="N299" s="188"/>
      <c r="O299" s="188"/>
      <c r="P299" s="34"/>
      <c r="Q299" s="34"/>
      <c r="R299" s="304"/>
      <c r="S299" s="34"/>
      <c r="T299" s="34"/>
      <c r="U299" s="34"/>
      <c r="V299" s="34"/>
      <c r="W299" s="105"/>
      <c r="X299" s="105"/>
    </row>
    <row r="300" spans="1:24" ht="12.75">
      <c r="A300" s="309"/>
      <c r="B300" s="309"/>
      <c r="C300" s="34"/>
      <c r="D300" s="362"/>
      <c r="E300" s="34"/>
      <c r="F300" s="34"/>
      <c r="G300" s="35"/>
      <c r="H300" s="35"/>
      <c r="I300" s="34"/>
      <c r="J300" s="34"/>
      <c r="K300" s="65"/>
      <c r="L300" s="34"/>
      <c r="M300" s="34"/>
      <c r="N300" s="188"/>
      <c r="O300" s="188"/>
      <c r="P300" s="34"/>
      <c r="Q300" s="34"/>
      <c r="R300" s="304"/>
      <c r="S300" s="34"/>
      <c r="T300" s="34"/>
      <c r="U300" s="34"/>
      <c r="V300" s="34"/>
      <c r="W300" s="105"/>
      <c r="X300" s="105"/>
    </row>
    <row r="301" spans="1:24" ht="12.75">
      <c r="A301" s="309"/>
      <c r="B301" s="309"/>
      <c r="C301" s="34"/>
      <c r="D301" s="362"/>
      <c r="E301" s="34"/>
      <c r="F301" s="34"/>
      <c r="G301" s="35"/>
      <c r="H301" s="35"/>
      <c r="I301" s="34"/>
      <c r="J301" s="34"/>
      <c r="K301" s="65"/>
      <c r="L301" s="34"/>
      <c r="M301" s="34"/>
      <c r="N301" s="188"/>
      <c r="O301" s="188"/>
      <c r="P301" s="34"/>
      <c r="Q301" s="34"/>
      <c r="R301" s="304"/>
      <c r="S301" s="34"/>
      <c r="T301" s="34"/>
      <c r="U301" s="34"/>
      <c r="V301" s="34"/>
      <c r="W301" s="105"/>
      <c r="X301" s="105"/>
    </row>
    <row r="302" spans="1:24" ht="12.75">
      <c r="A302" s="309"/>
      <c r="B302" s="309"/>
      <c r="C302" s="34"/>
      <c r="D302" s="362"/>
      <c r="E302" s="34"/>
      <c r="F302" s="34"/>
      <c r="G302" s="35"/>
      <c r="H302" s="35"/>
      <c r="I302" s="34"/>
      <c r="J302" s="34"/>
      <c r="K302" s="65"/>
      <c r="L302" s="34"/>
      <c r="M302" s="34"/>
      <c r="N302" s="188"/>
      <c r="O302" s="188"/>
      <c r="P302" s="34"/>
      <c r="Q302" s="34"/>
      <c r="R302" s="304"/>
      <c r="S302" s="34"/>
      <c r="T302" s="34"/>
      <c r="U302" s="34"/>
      <c r="V302" s="34"/>
      <c r="W302" s="105"/>
      <c r="X302" s="105"/>
    </row>
    <row r="303" spans="1:24" ht="12.75">
      <c r="A303" s="309"/>
      <c r="B303" s="309"/>
      <c r="C303" s="34"/>
      <c r="D303" s="362"/>
      <c r="E303" s="34"/>
      <c r="F303" s="34"/>
      <c r="G303" s="35"/>
      <c r="H303" s="35"/>
      <c r="I303" s="34"/>
      <c r="J303" s="34"/>
      <c r="K303" s="65"/>
      <c r="L303" s="34"/>
      <c r="M303" s="34"/>
      <c r="N303" s="188"/>
      <c r="O303" s="188"/>
      <c r="P303" s="34"/>
      <c r="Q303" s="34"/>
      <c r="R303" s="304"/>
      <c r="S303" s="34"/>
      <c r="T303" s="34"/>
      <c r="U303" s="34"/>
      <c r="V303" s="34"/>
      <c r="W303" s="105"/>
      <c r="X303" s="105"/>
    </row>
    <row r="304" spans="1:24" ht="12.75">
      <c r="A304" s="309"/>
      <c r="B304" s="309"/>
      <c r="C304" s="34"/>
      <c r="D304" s="362"/>
      <c r="E304" s="34"/>
      <c r="F304" s="34"/>
      <c r="G304" s="35"/>
      <c r="H304" s="35"/>
      <c r="I304" s="34"/>
      <c r="J304" s="34"/>
      <c r="K304" s="65"/>
      <c r="L304" s="34"/>
      <c r="M304" s="34"/>
      <c r="N304" s="188"/>
      <c r="O304" s="188"/>
      <c r="P304" s="34"/>
      <c r="Q304" s="34"/>
      <c r="R304" s="304"/>
      <c r="S304" s="34"/>
      <c r="T304" s="34"/>
      <c r="U304" s="34"/>
      <c r="V304" s="34"/>
      <c r="W304" s="105"/>
      <c r="X304" s="105"/>
    </row>
    <row r="305" spans="1:24" ht="12.75">
      <c r="A305" s="309"/>
      <c r="B305" s="309"/>
      <c r="C305" s="34"/>
      <c r="D305" s="362"/>
      <c r="E305" s="34"/>
      <c r="F305" s="34"/>
      <c r="G305" s="35"/>
      <c r="H305" s="35"/>
      <c r="I305" s="34"/>
      <c r="J305" s="34"/>
      <c r="K305" s="65"/>
      <c r="L305" s="34"/>
      <c r="M305" s="34"/>
      <c r="N305" s="188"/>
      <c r="O305" s="188"/>
      <c r="P305" s="34"/>
      <c r="Q305" s="34"/>
      <c r="R305" s="304"/>
      <c r="S305" s="34"/>
      <c r="T305" s="34"/>
      <c r="U305" s="34"/>
      <c r="V305" s="34"/>
      <c r="W305" s="105"/>
      <c r="X305" s="105"/>
    </row>
    <row r="306" spans="1:24" ht="12.75">
      <c r="A306" s="309"/>
      <c r="B306" s="309"/>
      <c r="C306" s="34"/>
      <c r="D306" s="362"/>
      <c r="E306" s="34"/>
      <c r="F306" s="34"/>
      <c r="G306" s="35"/>
      <c r="H306" s="35"/>
      <c r="I306" s="34"/>
      <c r="J306" s="34"/>
      <c r="K306" s="65"/>
      <c r="L306" s="34"/>
      <c r="M306" s="34"/>
      <c r="N306" s="188"/>
      <c r="O306" s="188"/>
      <c r="P306" s="34"/>
      <c r="Q306" s="34"/>
      <c r="R306" s="304"/>
      <c r="S306" s="34"/>
      <c r="T306" s="34"/>
      <c r="U306" s="34"/>
      <c r="V306" s="34"/>
      <c r="W306" s="105"/>
      <c r="X306" s="105"/>
    </row>
    <row r="307" spans="1:24" ht="12.75">
      <c r="A307" s="309"/>
      <c r="B307" s="309"/>
      <c r="C307" s="34"/>
      <c r="D307" s="362"/>
      <c r="E307" s="34"/>
      <c r="F307" s="34"/>
      <c r="G307" s="35"/>
      <c r="H307" s="35"/>
      <c r="I307" s="34"/>
      <c r="J307" s="34"/>
      <c r="K307" s="65"/>
      <c r="L307" s="34"/>
      <c r="M307" s="34"/>
      <c r="N307" s="188"/>
      <c r="O307" s="188"/>
      <c r="P307" s="34"/>
      <c r="Q307" s="34"/>
      <c r="R307" s="304"/>
      <c r="S307" s="34"/>
      <c r="T307" s="34"/>
      <c r="U307" s="34"/>
      <c r="V307" s="34"/>
      <c r="W307" s="105"/>
      <c r="X307" s="105"/>
    </row>
    <row r="308" spans="1:24" ht="12.75">
      <c r="A308" s="309"/>
      <c r="B308" s="309"/>
      <c r="C308" s="34"/>
      <c r="D308" s="362"/>
      <c r="E308" s="34"/>
      <c r="F308" s="34"/>
      <c r="G308" s="35"/>
      <c r="H308" s="35"/>
      <c r="I308" s="34"/>
      <c r="J308" s="34"/>
      <c r="K308" s="65"/>
      <c r="L308" s="34"/>
      <c r="M308" s="34"/>
      <c r="N308" s="188"/>
      <c r="O308" s="188"/>
      <c r="P308" s="34"/>
      <c r="Q308" s="34"/>
      <c r="R308" s="304"/>
      <c r="S308" s="34"/>
      <c r="T308" s="34"/>
      <c r="U308" s="34"/>
      <c r="V308" s="34"/>
      <c r="W308" s="105"/>
      <c r="X308" s="105"/>
    </row>
    <row r="309" spans="1:24" ht="12.75">
      <c r="A309" s="309"/>
      <c r="B309" s="309"/>
      <c r="C309" s="34"/>
      <c r="D309" s="362"/>
      <c r="E309" s="34"/>
      <c r="F309" s="34"/>
      <c r="G309" s="35"/>
      <c r="H309" s="35"/>
      <c r="I309" s="34"/>
      <c r="J309" s="34"/>
      <c r="K309" s="65"/>
      <c r="L309" s="34"/>
      <c r="M309" s="34"/>
      <c r="N309" s="188"/>
      <c r="O309" s="188"/>
      <c r="P309" s="34"/>
      <c r="Q309" s="34"/>
      <c r="R309" s="304"/>
      <c r="S309" s="34"/>
      <c r="T309" s="34"/>
      <c r="U309" s="34"/>
      <c r="V309" s="34"/>
      <c r="W309" s="105"/>
      <c r="X309" s="105"/>
    </row>
    <row r="310" spans="1:24" ht="12.75">
      <c r="A310" s="309"/>
      <c r="B310" s="309"/>
      <c r="C310" s="34"/>
      <c r="D310" s="362"/>
      <c r="E310" s="34"/>
      <c r="F310" s="34"/>
      <c r="G310" s="35"/>
      <c r="H310" s="35"/>
      <c r="I310" s="34"/>
      <c r="J310" s="34"/>
      <c r="K310" s="65"/>
      <c r="L310" s="34"/>
      <c r="M310" s="34"/>
      <c r="N310" s="188"/>
      <c r="O310" s="188"/>
      <c r="P310" s="34"/>
      <c r="Q310" s="34"/>
      <c r="R310" s="304"/>
      <c r="S310" s="34"/>
      <c r="T310" s="34"/>
      <c r="U310" s="34"/>
      <c r="V310" s="34"/>
      <c r="W310" s="105"/>
      <c r="X310" s="105"/>
    </row>
    <row r="311" spans="1:24" ht="12.75">
      <c r="A311" s="309"/>
      <c r="B311" s="309"/>
      <c r="C311" s="34"/>
      <c r="D311" s="362"/>
      <c r="E311" s="34"/>
      <c r="F311" s="34"/>
      <c r="G311" s="35"/>
      <c r="H311" s="35"/>
      <c r="I311" s="34"/>
      <c r="J311" s="34"/>
      <c r="K311" s="65"/>
      <c r="L311" s="34"/>
      <c r="M311" s="34"/>
      <c r="N311" s="188"/>
      <c r="O311" s="188"/>
      <c r="P311" s="34"/>
      <c r="Q311" s="34"/>
      <c r="R311" s="304"/>
      <c r="S311" s="34"/>
      <c r="T311" s="34"/>
      <c r="U311" s="34"/>
      <c r="V311" s="34"/>
      <c r="W311" s="105"/>
      <c r="X311" s="105"/>
    </row>
    <row r="312" spans="1:24" ht="12.75">
      <c r="A312" s="309"/>
      <c r="B312" s="309"/>
      <c r="C312" s="34"/>
      <c r="D312" s="362"/>
      <c r="E312" s="34"/>
      <c r="F312" s="34"/>
      <c r="G312" s="35"/>
      <c r="H312" s="35"/>
      <c r="I312" s="34"/>
      <c r="J312" s="34"/>
      <c r="K312" s="65"/>
      <c r="L312" s="34"/>
      <c r="M312" s="34"/>
      <c r="N312" s="188"/>
      <c r="O312" s="188"/>
      <c r="P312" s="34"/>
      <c r="Q312" s="34"/>
      <c r="R312" s="304"/>
      <c r="S312" s="34"/>
      <c r="T312" s="34"/>
      <c r="U312" s="34"/>
      <c r="V312" s="34"/>
      <c r="W312" s="105"/>
      <c r="X312" s="105"/>
    </row>
    <row r="313" spans="1:24" ht="12.75">
      <c r="A313" s="309"/>
      <c r="B313" s="309"/>
      <c r="C313" s="34"/>
      <c r="D313" s="362"/>
      <c r="E313" s="34"/>
      <c r="F313" s="34"/>
      <c r="G313" s="35"/>
      <c r="H313" s="35"/>
      <c r="I313" s="34"/>
      <c r="J313" s="34"/>
      <c r="K313" s="65"/>
      <c r="L313" s="34"/>
      <c r="M313" s="34"/>
      <c r="N313" s="188"/>
      <c r="O313" s="188"/>
      <c r="P313" s="34"/>
      <c r="Q313" s="34"/>
      <c r="R313" s="304"/>
      <c r="S313" s="34"/>
      <c r="T313" s="34"/>
      <c r="U313" s="34"/>
      <c r="V313" s="34"/>
      <c r="W313" s="105"/>
      <c r="X313" s="105"/>
    </row>
    <row r="314" spans="1:24" ht="12.75">
      <c r="A314" s="309"/>
      <c r="B314" s="309"/>
      <c r="C314" s="34"/>
      <c r="D314" s="362"/>
      <c r="E314" s="34"/>
      <c r="F314" s="34"/>
      <c r="G314" s="35"/>
      <c r="H314" s="35"/>
      <c r="I314" s="34"/>
      <c r="J314" s="34"/>
      <c r="K314" s="65"/>
      <c r="L314" s="34"/>
      <c r="M314" s="34"/>
      <c r="N314" s="188"/>
      <c r="O314" s="188"/>
      <c r="P314" s="34"/>
      <c r="Q314" s="34"/>
      <c r="R314" s="304"/>
      <c r="S314" s="34"/>
      <c r="T314" s="34"/>
      <c r="U314" s="34"/>
      <c r="V314" s="34"/>
      <c r="W314" s="105"/>
      <c r="X314" s="105"/>
    </row>
    <row r="315" spans="1:24" ht="12.75">
      <c r="A315" s="309"/>
      <c r="B315" s="309"/>
      <c r="C315" s="34"/>
      <c r="D315" s="362"/>
      <c r="E315" s="34"/>
      <c r="F315" s="34"/>
      <c r="G315" s="35"/>
      <c r="H315" s="35"/>
      <c r="I315" s="34"/>
      <c r="J315" s="34"/>
      <c r="K315" s="65"/>
      <c r="L315" s="34"/>
      <c r="M315" s="34"/>
      <c r="N315" s="188"/>
      <c r="O315" s="188"/>
      <c r="P315" s="34"/>
      <c r="Q315" s="34"/>
      <c r="R315" s="304"/>
      <c r="S315" s="34"/>
      <c r="T315" s="34"/>
      <c r="U315" s="34"/>
      <c r="V315" s="34"/>
      <c r="W315" s="105"/>
      <c r="X315" s="105"/>
    </row>
    <row r="316" spans="1:24" ht="12.75">
      <c r="A316" s="309"/>
      <c r="B316" s="309"/>
      <c r="C316" s="34"/>
      <c r="D316" s="362"/>
      <c r="E316" s="34"/>
      <c r="F316" s="34"/>
      <c r="G316" s="35"/>
      <c r="H316" s="35"/>
      <c r="I316" s="34"/>
      <c r="J316" s="34"/>
      <c r="K316" s="65"/>
      <c r="L316" s="34"/>
      <c r="M316" s="34"/>
      <c r="N316" s="188"/>
      <c r="O316" s="188"/>
      <c r="P316" s="34"/>
      <c r="Q316" s="34"/>
      <c r="R316" s="304"/>
      <c r="S316" s="34"/>
      <c r="T316" s="34"/>
      <c r="U316" s="34"/>
      <c r="V316" s="34"/>
      <c r="W316" s="105"/>
      <c r="X316" s="105"/>
    </row>
    <row r="317" spans="1:24" ht="12.75">
      <c r="A317" s="309"/>
      <c r="B317" s="309"/>
      <c r="C317" s="34"/>
      <c r="D317" s="362"/>
      <c r="E317" s="34"/>
      <c r="F317" s="34"/>
      <c r="G317" s="35"/>
      <c r="H317" s="35"/>
      <c r="I317" s="34"/>
      <c r="J317" s="34"/>
      <c r="K317" s="65"/>
      <c r="L317" s="34"/>
      <c r="M317" s="34"/>
      <c r="N317" s="188"/>
      <c r="O317" s="188"/>
      <c r="P317" s="34"/>
      <c r="Q317" s="34"/>
      <c r="R317" s="304"/>
      <c r="S317" s="34"/>
      <c r="T317" s="34"/>
      <c r="U317" s="34"/>
      <c r="V317" s="34"/>
      <c r="W317" s="105"/>
      <c r="X317" s="105"/>
    </row>
    <row r="318" spans="1:24" ht="12.75">
      <c r="A318" s="309"/>
      <c r="B318" s="309"/>
      <c r="C318" s="34"/>
      <c r="D318" s="362"/>
      <c r="E318" s="34"/>
      <c r="F318" s="34"/>
      <c r="G318" s="35"/>
      <c r="H318" s="35"/>
      <c r="I318" s="34"/>
      <c r="J318" s="34"/>
      <c r="K318" s="65"/>
      <c r="L318" s="34"/>
      <c r="M318" s="34"/>
      <c r="N318" s="188"/>
      <c r="O318" s="188"/>
      <c r="P318" s="34"/>
      <c r="Q318" s="34"/>
      <c r="R318" s="304"/>
      <c r="S318" s="34"/>
      <c r="T318" s="34"/>
      <c r="U318" s="34"/>
      <c r="V318" s="34"/>
      <c r="W318" s="105"/>
      <c r="X318" s="105"/>
    </row>
    <row r="319" spans="1:24" ht="12.75">
      <c r="A319" s="309"/>
      <c r="B319" s="309"/>
      <c r="C319" s="34"/>
      <c r="D319" s="362"/>
      <c r="E319" s="34"/>
      <c r="F319" s="34"/>
      <c r="G319" s="35"/>
      <c r="H319" s="35"/>
      <c r="I319" s="34"/>
      <c r="J319" s="34"/>
      <c r="K319" s="65"/>
      <c r="L319" s="34"/>
      <c r="M319" s="34"/>
      <c r="N319" s="188"/>
      <c r="O319" s="188"/>
      <c r="P319" s="34"/>
      <c r="Q319" s="34"/>
      <c r="R319" s="304"/>
      <c r="S319" s="34"/>
      <c r="T319" s="34"/>
      <c r="U319" s="34"/>
      <c r="V319" s="34"/>
      <c r="W319" s="105"/>
      <c r="X319" s="105"/>
    </row>
    <row r="320" spans="1:24" ht="12.75">
      <c r="A320" s="309"/>
      <c r="B320" s="309"/>
      <c r="C320" s="34"/>
      <c r="D320" s="362"/>
      <c r="E320" s="34"/>
      <c r="F320" s="34"/>
      <c r="G320" s="35"/>
      <c r="H320" s="35"/>
      <c r="I320" s="34"/>
      <c r="J320" s="34"/>
      <c r="K320" s="65"/>
      <c r="L320" s="34"/>
      <c r="M320" s="34"/>
      <c r="N320" s="188"/>
      <c r="O320" s="188"/>
      <c r="P320" s="34"/>
      <c r="Q320" s="34"/>
      <c r="R320" s="304"/>
      <c r="S320" s="34"/>
      <c r="T320" s="34"/>
      <c r="U320" s="34"/>
      <c r="V320" s="34"/>
      <c r="W320" s="105"/>
      <c r="X320" s="105"/>
    </row>
    <row r="321" spans="1:24" ht="12.75">
      <c r="A321" s="309"/>
      <c r="B321" s="309"/>
      <c r="C321" s="34"/>
      <c r="D321" s="362"/>
      <c r="E321" s="34"/>
      <c r="F321" s="34"/>
      <c r="G321" s="35"/>
      <c r="H321" s="35"/>
      <c r="I321" s="34"/>
      <c r="J321" s="34"/>
      <c r="K321" s="65"/>
      <c r="L321" s="34"/>
      <c r="M321" s="34"/>
      <c r="N321" s="188"/>
      <c r="O321" s="188"/>
      <c r="P321" s="34"/>
      <c r="Q321" s="34"/>
      <c r="R321" s="304"/>
      <c r="S321" s="34"/>
      <c r="T321" s="34"/>
      <c r="U321" s="34"/>
      <c r="V321" s="34"/>
      <c r="W321" s="105"/>
      <c r="X321" s="105"/>
    </row>
    <row r="322" spans="1:24" ht="12.75">
      <c r="A322" s="309"/>
      <c r="B322" s="309"/>
      <c r="C322" s="34"/>
      <c r="D322" s="362"/>
      <c r="E322" s="34"/>
      <c r="F322" s="34"/>
      <c r="G322" s="35"/>
      <c r="H322" s="35"/>
      <c r="I322" s="34"/>
      <c r="J322" s="34"/>
      <c r="K322" s="65"/>
      <c r="L322" s="34"/>
      <c r="M322" s="34"/>
      <c r="N322" s="188"/>
      <c r="O322" s="188"/>
      <c r="P322" s="34"/>
      <c r="Q322" s="34"/>
      <c r="R322" s="304"/>
      <c r="S322" s="34"/>
      <c r="T322" s="34"/>
      <c r="U322" s="34"/>
      <c r="V322" s="34"/>
      <c r="W322" s="105"/>
      <c r="X322" s="105"/>
    </row>
    <row r="323" spans="1:24" ht="12.75">
      <c r="A323" s="309"/>
      <c r="B323" s="309"/>
      <c r="C323" s="34"/>
      <c r="D323" s="362"/>
      <c r="E323" s="34"/>
      <c r="F323" s="34"/>
      <c r="G323" s="35"/>
      <c r="H323" s="35"/>
      <c r="I323" s="34"/>
      <c r="J323" s="34"/>
      <c r="K323" s="65"/>
      <c r="L323" s="34"/>
      <c r="M323" s="34"/>
      <c r="N323" s="188"/>
      <c r="O323" s="188"/>
      <c r="P323" s="34"/>
      <c r="Q323" s="34"/>
      <c r="R323" s="304"/>
      <c r="S323" s="34"/>
      <c r="T323" s="34"/>
      <c r="U323" s="34"/>
      <c r="V323" s="34"/>
      <c r="W323" s="105"/>
      <c r="X323" s="105"/>
    </row>
    <row r="324" spans="1:24" ht="12.75">
      <c r="A324" s="309"/>
      <c r="B324" s="309"/>
      <c r="C324" s="34"/>
      <c r="D324" s="362"/>
      <c r="E324" s="34"/>
      <c r="F324" s="34"/>
      <c r="G324" s="35"/>
      <c r="H324" s="35"/>
      <c r="I324" s="34"/>
      <c r="J324" s="34"/>
      <c r="K324" s="65"/>
      <c r="L324" s="34"/>
      <c r="M324" s="34"/>
      <c r="N324" s="188"/>
      <c r="O324" s="188"/>
      <c r="P324" s="34"/>
      <c r="Q324" s="34"/>
      <c r="R324" s="304"/>
      <c r="S324" s="34"/>
      <c r="T324" s="34"/>
      <c r="U324" s="34"/>
      <c r="V324" s="34"/>
      <c r="W324" s="105"/>
      <c r="X324" s="105"/>
    </row>
    <row r="325" spans="1:24" ht="12.75">
      <c r="A325" s="309"/>
      <c r="B325" s="309"/>
      <c r="C325" s="34"/>
      <c r="D325" s="362"/>
      <c r="E325" s="34"/>
      <c r="F325" s="34"/>
      <c r="G325" s="35"/>
      <c r="H325" s="35"/>
      <c r="I325" s="34"/>
      <c r="J325" s="34"/>
      <c r="K325" s="65"/>
      <c r="L325" s="34"/>
      <c r="M325" s="34"/>
      <c r="N325" s="188"/>
      <c r="O325" s="188"/>
      <c r="P325" s="34"/>
      <c r="Q325" s="34"/>
      <c r="R325" s="304"/>
      <c r="S325" s="34"/>
      <c r="T325" s="34"/>
      <c r="U325" s="34"/>
      <c r="V325" s="34"/>
      <c r="W325" s="105"/>
      <c r="X325" s="105"/>
    </row>
    <row r="326" spans="1:24" ht="12.75">
      <c r="A326" s="309"/>
      <c r="B326" s="309"/>
      <c r="C326" s="34"/>
      <c r="D326" s="362"/>
      <c r="E326" s="34"/>
      <c r="F326" s="34"/>
      <c r="G326" s="35"/>
      <c r="H326" s="35"/>
      <c r="I326" s="34"/>
      <c r="J326" s="34"/>
      <c r="K326" s="65"/>
      <c r="L326" s="34"/>
      <c r="M326" s="34"/>
      <c r="N326" s="188"/>
      <c r="O326" s="188"/>
      <c r="P326" s="34"/>
      <c r="Q326" s="34"/>
      <c r="R326" s="304"/>
      <c r="S326" s="34"/>
      <c r="T326" s="34"/>
      <c r="U326" s="34"/>
      <c r="V326" s="34"/>
      <c r="W326" s="105"/>
      <c r="X326" s="105"/>
    </row>
    <row r="327" spans="1:24" ht="12.75">
      <c r="A327" s="309"/>
      <c r="B327" s="309"/>
      <c r="C327" s="34"/>
      <c r="D327" s="362"/>
      <c r="E327" s="34"/>
      <c r="F327" s="34"/>
      <c r="G327" s="35"/>
      <c r="H327" s="35"/>
      <c r="I327" s="34"/>
      <c r="J327" s="34"/>
      <c r="K327" s="65"/>
      <c r="L327" s="34"/>
      <c r="M327" s="34"/>
      <c r="N327" s="188"/>
      <c r="O327" s="188"/>
      <c r="P327" s="34"/>
      <c r="Q327" s="34"/>
      <c r="R327" s="304"/>
      <c r="S327" s="34"/>
      <c r="T327" s="34"/>
      <c r="U327" s="34"/>
      <c r="V327" s="34"/>
      <c r="W327" s="105"/>
      <c r="X327" s="105"/>
    </row>
    <row r="328" spans="1:24" ht="12.75">
      <c r="A328" s="309"/>
      <c r="B328" s="309"/>
      <c r="C328" s="34"/>
      <c r="D328" s="362"/>
      <c r="E328" s="34"/>
      <c r="F328" s="34"/>
      <c r="G328" s="35"/>
      <c r="H328" s="35"/>
      <c r="I328" s="34"/>
      <c r="J328" s="34"/>
      <c r="K328" s="65"/>
      <c r="L328" s="34"/>
      <c r="M328" s="34"/>
      <c r="N328" s="188"/>
      <c r="O328" s="188"/>
      <c r="P328" s="34"/>
      <c r="Q328" s="34"/>
      <c r="R328" s="304"/>
      <c r="S328" s="34"/>
      <c r="T328" s="34"/>
      <c r="U328" s="34"/>
      <c r="V328" s="34"/>
      <c r="W328" s="105"/>
      <c r="X328" s="105"/>
    </row>
    <row r="329" spans="1:24" ht="12.75">
      <c r="A329" s="309"/>
      <c r="B329" s="309"/>
      <c r="C329" s="34"/>
      <c r="D329" s="362"/>
      <c r="E329" s="34"/>
      <c r="F329" s="34"/>
      <c r="G329" s="35"/>
      <c r="H329" s="35"/>
      <c r="I329" s="34"/>
      <c r="J329" s="34"/>
      <c r="K329" s="65"/>
      <c r="L329" s="34"/>
      <c r="M329" s="34"/>
      <c r="N329" s="188"/>
      <c r="O329" s="188"/>
      <c r="P329" s="34"/>
      <c r="Q329" s="34"/>
      <c r="R329" s="304"/>
      <c r="S329" s="34"/>
      <c r="T329" s="34"/>
      <c r="U329" s="34"/>
      <c r="V329" s="34"/>
      <c r="W329" s="105"/>
      <c r="X329" s="105"/>
    </row>
    <row r="330" spans="1:24" ht="12.75">
      <c r="A330" s="309"/>
      <c r="B330" s="309"/>
      <c r="C330" s="34"/>
      <c r="D330" s="362"/>
      <c r="E330" s="34"/>
      <c r="F330" s="34"/>
      <c r="G330" s="35"/>
      <c r="H330" s="35"/>
      <c r="I330" s="34"/>
      <c r="J330" s="34"/>
      <c r="K330" s="65"/>
      <c r="L330" s="34"/>
      <c r="M330" s="34"/>
      <c r="N330" s="188"/>
      <c r="O330" s="188"/>
      <c r="P330" s="34"/>
      <c r="Q330" s="34"/>
      <c r="R330" s="304"/>
      <c r="S330" s="34"/>
      <c r="T330" s="34"/>
      <c r="U330" s="34"/>
      <c r="V330" s="34"/>
      <c r="W330" s="105"/>
      <c r="X330" s="105"/>
    </row>
    <row r="331" spans="1:24" ht="12.75">
      <c r="A331" s="309"/>
      <c r="B331" s="309"/>
      <c r="C331" s="34"/>
      <c r="D331" s="362"/>
      <c r="E331" s="34"/>
      <c r="F331" s="34"/>
      <c r="G331" s="35"/>
      <c r="H331" s="35"/>
      <c r="I331" s="34"/>
      <c r="J331" s="34"/>
      <c r="K331" s="65"/>
      <c r="L331" s="34"/>
      <c r="M331" s="34"/>
      <c r="N331" s="188"/>
      <c r="O331" s="188"/>
      <c r="P331" s="34"/>
      <c r="Q331" s="34"/>
      <c r="R331" s="304"/>
      <c r="S331" s="34"/>
      <c r="T331" s="34"/>
      <c r="U331" s="34"/>
      <c r="V331" s="34"/>
      <c r="W331" s="105"/>
      <c r="X331" s="105"/>
    </row>
    <row r="332" spans="1:24" ht="12.75">
      <c r="A332" s="309"/>
      <c r="B332" s="309"/>
      <c r="C332" s="34"/>
      <c r="D332" s="362"/>
      <c r="E332" s="34"/>
      <c r="F332" s="34"/>
      <c r="G332" s="35"/>
      <c r="H332" s="35"/>
      <c r="I332" s="34"/>
      <c r="J332" s="34"/>
      <c r="K332" s="65"/>
      <c r="L332" s="34"/>
      <c r="M332" s="34"/>
      <c r="N332" s="188"/>
      <c r="O332" s="188"/>
      <c r="P332" s="34"/>
      <c r="Q332" s="34"/>
      <c r="R332" s="304"/>
      <c r="S332" s="34"/>
      <c r="T332" s="34"/>
      <c r="U332" s="34"/>
      <c r="V332" s="34"/>
      <c r="W332" s="105"/>
      <c r="X332" s="105"/>
    </row>
    <row r="333" spans="1:24" ht="12.75">
      <c r="A333" s="309"/>
      <c r="B333" s="309"/>
      <c r="C333" s="34"/>
      <c r="D333" s="362"/>
      <c r="E333" s="34"/>
      <c r="F333" s="34"/>
      <c r="G333" s="35"/>
      <c r="H333" s="35"/>
      <c r="I333" s="34"/>
      <c r="J333" s="34"/>
      <c r="K333" s="65"/>
      <c r="L333" s="34"/>
      <c r="M333" s="34"/>
      <c r="N333" s="188"/>
      <c r="O333" s="188"/>
      <c r="P333" s="34"/>
      <c r="Q333" s="34"/>
      <c r="R333" s="304"/>
      <c r="S333" s="34"/>
      <c r="T333" s="34"/>
      <c r="U333" s="34"/>
      <c r="V333" s="34"/>
      <c r="W333" s="105"/>
      <c r="X333" s="105"/>
    </row>
    <row r="334" spans="1:24" ht="12.75">
      <c r="A334" s="309"/>
      <c r="B334" s="309"/>
      <c r="C334" s="34"/>
      <c r="D334" s="362"/>
      <c r="E334" s="34"/>
      <c r="F334" s="34"/>
      <c r="G334" s="35"/>
      <c r="H334" s="35"/>
      <c r="I334" s="34"/>
      <c r="J334" s="34"/>
      <c r="K334" s="65"/>
      <c r="L334" s="34"/>
      <c r="M334" s="34"/>
      <c r="N334" s="188"/>
      <c r="O334" s="188"/>
      <c r="P334" s="34"/>
      <c r="Q334" s="34"/>
      <c r="R334" s="304"/>
      <c r="S334" s="34"/>
      <c r="T334" s="34"/>
      <c r="U334" s="34"/>
      <c r="V334" s="34"/>
      <c r="W334" s="105"/>
      <c r="X334" s="105"/>
    </row>
    <row r="335" spans="1:24" ht="12.75">
      <c r="A335" s="309"/>
      <c r="B335" s="309"/>
      <c r="C335" s="34"/>
      <c r="D335" s="362"/>
      <c r="E335" s="34"/>
      <c r="F335" s="34"/>
      <c r="G335" s="35"/>
      <c r="H335" s="35"/>
      <c r="I335" s="34"/>
      <c r="J335" s="34"/>
      <c r="K335" s="65"/>
      <c r="L335" s="34"/>
      <c r="M335" s="34"/>
      <c r="N335" s="188"/>
      <c r="O335" s="188"/>
      <c r="P335" s="34"/>
      <c r="Q335" s="34"/>
      <c r="R335" s="304"/>
      <c r="S335" s="34"/>
      <c r="T335" s="34"/>
      <c r="U335" s="34"/>
      <c r="V335" s="34"/>
      <c r="W335" s="105"/>
      <c r="X335" s="105"/>
    </row>
    <row r="336" spans="1:24" ht="12.75">
      <c r="A336" s="309"/>
      <c r="B336" s="309"/>
      <c r="C336" s="34"/>
      <c r="D336" s="362"/>
      <c r="E336" s="34"/>
      <c r="F336" s="34"/>
      <c r="G336" s="35"/>
      <c r="H336" s="35"/>
      <c r="I336" s="34"/>
      <c r="J336" s="34"/>
      <c r="K336" s="65"/>
      <c r="L336" s="34"/>
      <c r="M336" s="34"/>
      <c r="N336" s="188"/>
      <c r="O336" s="188"/>
      <c r="P336" s="34"/>
      <c r="Q336" s="34"/>
      <c r="R336" s="304"/>
      <c r="S336" s="34"/>
      <c r="T336" s="34"/>
      <c r="U336" s="34"/>
      <c r="V336" s="34"/>
      <c r="W336" s="105"/>
      <c r="X336" s="105"/>
    </row>
    <row r="337" spans="1:24" ht="12.75">
      <c r="A337" s="309"/>
      <c r="B337" s="309"/>
      <c r="C337" s="34"/>
      <c r="D337" s="362"/>
      <c r="E337" s="34"/>
      <c r="F337" s="34"/>
      <c r="G337" s="35"/>
      <c r="H337" s="35"/>
      <c r="I337" s="34"/>
      <c r="J337" s="34"/>
      <c r="K337" s="65"/>
      <c r="L337" s="34"/>
      <c r="M337" s="34"/>
      <c r="N337" s="188"/>
      <c r="O337" s="188"/>
      <c r="P337" s="34"/>
      <c r="Q337" s="34"/>
      <c r="R337" s="304"/>
      <c r="S337" s="34"/>
      <c r="T337" s="34"/>
      <c r="U337" s="34"/>
      <c r="V337" s="34"/>
      <c r="W337" s="105"/>
      <c r="X337" s="105"/>
    </row>
    <row r="338" spans="1:24" ht="12.75">
      <c r="A338" s="309"/>
      <c r="B338" s="309"/>
      <c r="C338" s="34"/>
      <c r="D338" s="362"/>
      <c r="E338" s="34"/>
      <c r="F338" s="34"/>
      <c r="G338" s="35"/>
      <c r="H338" s="35"/>
      <c r="I338" s="34"/>
      <c r="J338" s="34"/>
      <c r="K338" s="65"/>
      <c r="L338" s="34"/>
      <c r="M338" s="34"/>
      <c r="N338" s="188"/>
      <c r="O338" s="188"/>
      <c r="P338" s="34"/>
      <c r="Q338" s="34"/>
      <c r="R338" s="304"/>
      <c r="S338" s="34"/>
      <c r="T338" s="34"/>
      <c r="U338" s="34"/>
      <c r="V338" s="34"/>
      <c r="W338" s="105"/>
      <c r="X338" s="105"/>
    </row>
    <row r="339" spans="1:24" ht="12.75">
      <c r="A339" s="309"/>
      <c r="B339" s="309"/>
      <c r="C339" s="34"/>
      <c r="D339" s="362"/>
      <c r="E339" s="34"/>
      <c r="F339" s="34"/>
      <c r="G339" s="35"/>
      <c r="H339" s="35"/>
      <c r="I339" s="34"/>
      <c r="J339" s="34"/>
      <c r="K339" s="65"/>
      <c r="L339" s="34"/>
      <c r="M339" s="34"/>
      <c r="N339" s="188"/>
      <c r="O339" s="188"/>
      <c r="P339" s="34"/>
      <c r="Q339" s="34"/>
      <c r="R339" s="304"/>
      <c r="S339" s="34"/>
      <c r="T339" s="34"/>
      <c r="U339" s="34"/>
      <c r="V339" s="34"/>
      <c r="W339" s="105"/>
      <c r="X339" s="105"/>
    </row>
    <row r="340" spans="1:24" ht="12.75">
      <c r="A340" s="309"/>
      <c r="B340" s="309"/>
      <c r="C340" s="34"/>
      <c r="D340" s="362"/>
      <c r="E340" s="34"/>
      <c r="F340" s="34"/>
      <c r="G340" s="35"/>
      <c r="H340" s="35"/>
      <c r="I340" s="34"/>
      <c r="J340" s="34"/>
      <c r="K340" s="65"/>
      <c r="L340" s="34"/>
      <c r="M340" s="34"/>
      <c r="N340" s="188"/>
      <c r="O340" s="188"/>
      <c r="P340" s="34"/>
      <c r="Q340" s="34"/>
      <c r="R340" s="304"/>
      <c r="S340" s="34"/>
      <c r="T340" s="34"/>
      <c r="U340" s="34"/>
      <c r="V340" s="34"/>
      <c r="W340" s="105"/>
      <c r="X340" s="105"/>
    </row>
    <row r="341" spans="1:24" ht="12.75">
      <c r="A341" s="309"/>
      <c r="B341" s="309"/>
      <c r="C341" s="34"/>
      <c r="D341" s="362"/>
      <c r="E341" s="34"/>
      <c r="F341" s="34"/>
      <c r="G341" s="35"/>
      <c r="H341" s="35"/>
      <c r="I341" s="34"/>
      <c r="J341" s="34"/>
      <c r="K341" s="65"/>
      <c r="L341" s="34"/>
      <c r="M341" s="34"/>
      <c r="N341" s="188"/>
      <c r="O341" s="188"/>
      <c r="P341" s="34"/>
      <c r="Q341" s="34"/>
      <c r="R341" s="304"/>
      <c r="S341" s="34"/>
      <c r="T341" s="34"/>
      <c r="U341" s="34"/>
      <c r="V341" s="34"/>
      <c r="W341" s="105"/>
      <c r="X341" s="105"/>
    </row>
    <row r="342" spans="1:24" ht="12.75">
      <c r="A342" s="309"/>
      <c r="B342" s="309"/>
      <c r="C342" s="34"/>
      <c r="D342" s="362"/>
      <c r="E342" s="34"/>
      <c r="F342" s="34"/>
      <c r="G342" s="35"/>
      <c r="H342" s="35"/>
      <c r="I342" s="34"/>
      <c r="J342" s="34"/>
      <c r="K342" s="65"/>
      <c r="L342" s="34"/>
      <c r="M342" s="34"/>
      <c r="N342" s="188"/>
      <c r="O342" s="188"/>
      <c r="P342" s="34"/>
      <c r="Q342" s="34"/>
      <c r="R342" s="304"/>
      <c r="S342" s="34"/>
      <c r="T342" s="34"/>
      <c r="U342" s="34"/>
      <c r="V342" s="34"/>
      <c r="W342" s="105"/>
      <c r="X342" s="105"/>
    </row>
    <row r="343" spans="1:24" ht="12.75">
      <c r="A343" s="309"/>
      <c r="B343" s="309"/>
      <c r="C343" s="34"/>
      <c r="D343" s="362"/>
      <c r="E343" s="34"/>
      <c r="F343" s="34"/>
      <c r="G343" s="35"/>
      <c r="H343" s="35"/>
      <c r="I343" s="34"/>
      <c r="J343" s="34"/>
      <c r="K343" s="65"/>
      <c r="L343" s="34"/>
      <c r="M343" s="34"/>
      <c r="N343" s="188"/>
      <c r="O343" s="188"/>
      <c r="P343" s="34"/>
      <c r="Q343" s="34"/>
      <c r="R343" s="304"/>
      <c r="S343" s="34"/>
      <c r="T343" s="34"/>
      <c r="U343" s="34"/>
      <c r="V343" s="34"/>
      <c r="W343" s="105"/>
      <c r="X343" s="105"/>
    </row>
    <row r="344" spans="1:24" ht="12.75">
      <c r="A344" s="309"/>
      <c r="B344" s="309"/>
      <c r="C344" s="34"/>
      <c r="D344" s="362"/>
      <c r="E344" s="34"/>
      <c r="F344" s="34"/>
      <c r="G344" s="35"/>
      <c r="H344" s="35"/>
      <c r="I344" s="34"/>
      <c r="J344" s="34"/>
      <c r="K344" s="65"/>
      <c r="L344" s="34"/>
      <c r="M344" s="34"/>
      <c r="N344" s="188"/>
      <c r="O344" s="188"/>
      <c r="P344" s="34"/>
      <c r="Q344" s="34"/>
      <c r="R344" s="304"/>
      <c r="S344" s="34"/>
      <c r="T344" s="34"/>
      <c r="U344" s="34"/>
      <c r="V344" s="34"/>
      <c r="W344" s="105"/>
      <c r="X344" s="105"/>
    </row>
    <row r="345" spans="1:24" ht="12.75">
      <c r="A345" s="309"/>
      <c r="B345" s="309"/>
      <c r="C345" s="34"/>
      <c r="D345" s="362"/>
      <c r="E345" s="34"/>
      <c r="F345" s="34"/>
      <c r="G345" s="35"/>
      <c r="H345" s="35"/>
      <c r="I345" s="34"/>
      <c r="J345" s="34"/>
      <c r="K345" s="65"/>
      <c r="L345" s="34"/>
      <c r="M345" s="34"/>
      <c r="N345" s="188"/>
      <c r="O345" s="188"/>
      <c r="P345" s="34"/>
      <c r="Q345" s="34"/>
      <c r="R345" s="304"/>
      <c r="S345" s="34"/>
      <c r="T345" s="34"/>
      <c r="U345" s="34"/>
      <c r="V345" s="34"/>
      <c r="W345" s="105"/>
      <c r="X345" s="105"/>
    </row>
    <row r="346" spans="1:24" ht="12.75">
      <c r="A346" s="309"/>
      <c r="B346" s="309"/>
      <c r="C346" s="34"/>
      <c r="D346" s="362"/>
      <c r="E346" s="34"/>
      <c r="F346" s="34"/>
      <c r="G346" s="35"/>
      <c r="H346" s="35"/>
      <c r="I346" s="34"/>
      <c r="J346" s="34"/>
      <c r="K346" s="65"/>
      <c r="L346" s="34"/>
      <c r="M346" s="34"/>
      <c r="N346" s="188"/>
      <c r="O346" s="188"/>
      <c r="P346" s="34"/>
      <c r="Q346" s="34"/>
      <c r="R346" s="304"/>
      <c r="S346" s="34"/>
      <c r="T346" s="34"/>
      <c r="U346" s="34"/>
      <c r="V346" s="34"/>
      <c r="W346" s="105"/>
      <c r="X346" s="105"/>
    </row>
    <row r="347" spans="1:24" ht="12.75">
      <c r="A347" s="309"/>
      <c r="B347" s="309"/>
      <c r="C347" s="34"/>
      <c r="D347" s="362"/>
      <c r="E347" s="34"/>
      <c r="F347" s="34"/>
      <c r="G347" s="35"/>
      <c r="H347" s="35"/>
      <c r="I347" s="34"/>
      <c r="J347" s="34"/>
      <c r="K347" s="65"/>
      <c r="L347" s="34"/>
      <c r="M347" s="34"/>
      <c r="N347" s="188"/>
      <c r="O347" s="188"/>
      <c r="P347" s="34"/>
      <c r="Q347" s="34"/>
      <c r="R347" s="304"/>
      <c r="S347" s="34"/>
      <c r="T347" s="34"/>
      <c r="U347" s="34"/>
      <c r="V347" s="34"/>
      <c r="W347" s="105"/>
      <c r="X347" s="105"/>
    </row>
    <row r="348" spans="1:24" ht="12.75">
      <c r="A348" s="309"/>
      <c r="B348" s="309"/>
      <c r="C348" s="34"/>
      <c r="D348" s="362"/>
      <c r="E348" s="34"/>
      <c r="F348" s="34"/>
      <c r="G348" s="35"/>
      <c r="H348" s="35"/>
      <c r="I348" s="34"/>
      <c r="J348" s="34"/>
      <c r="K348" s="65"/>
      <c r="L348" s="34"/>
      <c r="M348" s="34"/>
      <c r="N348" s="188"/>
      <c r="O348" s="188"/>
      <c r="P348" s="34"/>
      <c r="Q348" s="34"/>
      <c r="R348" s="304"/>
      <c r="S348" s="34"/>
      <c r="T348" s="34"/>
      <c r="U348" s="34"/>
      <c r="V348" s="34"/>
      <c r="W348" s="105"/>
      <c r="X348" s="105"/>
    </row>
    <row r="349" spans="1:24" ht="12.75">
      <c r="A349" s="309"/>
      <c r="B349" s="309"/>
      <c r="C349" s="34"/>
      <c r="D349" s="362"/>
      <c r="E349" s="34"/>
      <c r="F349" s="34"/>
      <c r="G349" s="35"/>
      <c r="H349" s="35"/>
      <c r="I349" s="34"/>
      <c r="J349" s="34"/>
      <c r="K349" s="65"/>
      <c r="L349" s="34"/>
      <c r="M349" s="34"/>
      <c r="N349" s="188"/>
      <c r="O349" s="188"/>
      <c r="P349" s="34"/>
      <c r="Q349" s="34"/>
      <c r="R349" s="304"/>
      <c r="S349" s="34"/>
      <c r="T349" s="34"/>
      <c r="U349" s="34"/>
      <c r="V349" s="34"/>
      <c r="W349" s="105"/>
      <c r="X349" s="105"/>
    </row>
    <row r="350" spans="1:24" ht="12.75">
      <c r="A350" s="309"/>
      <c r="B350" s="309"/>
      <c r="C350" s="34"/>
      <c r="D350" s="362"/>
      <c r="E350" s="34"/>
      <c r="F350" s="34"/>
      <c r="G350" s="35"/>
      <c r="H350" s="35"/>
      <c r="I350" s="34"/>
      <c r="J350" s="34"/>
      <c r="K350" s="65"/>
      <c r="L350" s="34"/>
      <c r="M350" s="34"/>
      <c r="N350" s="188"/>
      <c r="O350" s="188"/>
      <c r="P350" s="34"/>
      <c r="Q350" s="34"/>
      <c r="R350" s="304"/>
      <c r="S350" s="34"/>
      <c r="T350" s="34"/>
      <c r="U350" s="34"/>
      <c r="V350" s="34"/>
      <c r="W350" s="105"/>
      <c r="X350" s="105"/>
    </row>
    <row r="351" spans="1:24" ht="12.75">
      <c r="A351" s="309"/>
      <c r="B351" s="309"/>
      <c r="C351" s="34"/>
      <c r="D351" s="362"/>
      <c r="E351" s="34"/>
      <c r="F351" s="34"/>
      <c r="G351" s="35"/>
      <c r="H351" s="35"/>
      <c r="I351" s="34"/>
      <c r="J351" s="34"/>
      <c r="K351" s="65"/>
      <c r="L351" s="34"/>
      <c r="M351" s="34"/>
      <c r="N351" s="188"/>
      <c r="O351" s="188"/>
      <c r="P351" s="34"/>
      <c r="Q351" s="34"/>
      <c r="R351" s="304"/>
      <c r="S351" s="34"/>
      <c r="T351" s="34"/>
      <c r="U351" s="34"/>
      <c r="V351" s="34"/>
      <c r="W351" s="105"/>
      <c r="X351" s="105"/>
    </row>
    <row r="352" spans="1:24" ht="12.75">
      <c r="A352" s="309"/>
      <c r="B352" s="309"/>
      <c r="C352" s="34"/>
      <c r="D352" s="362"/>
      <c r="E352" s="34"/>
      <c r="F352" s="34"/>
      <c r="G352" s="35"/>
      <c r="H352" s="35"/>
      <c r="I352" s="34"/>
      <c r="J352" s="34"/>
      <c r="K352" s="65"/>
      <c r="L352" s="34"/>
      <c r="M352" s="34"/>
      <c r="N352" s="188"/>
      <c r="O352" s="188"/>
      <c r="P352" s="34"/>
      <c r="Q352" s="34"/>
      <c r="R352" s="304"/>
      <c r="S352" s="34"/>
      <c r="T352" s="34"/>
      <c r="U352" s="34"/>
      <c r="V352" s="34"/>
      <c r="W352" s="105"/>
      <c r="X352" s="105"/>
    </row>
    <row r="353" spans="1:24" ht="12.75">
      <c r="A353" s="309"/>
      <c r="B353" s="309"/>
      <c r="C353" s="34"/>
      <c r="D353" s="362"/>
      <c r="E353" s="34"/>
      <c r="F353" s="34"/>
      <c r="G353" s="35"/>
      <c r="H353" s="35"/>
      <c r="I353" s="34"/>
      <c r="J353" s="34"/>
      <c r="K353" s="65"/>
      <c r="L353" s="34"/>
      <c r="M353" s="34"/>
      <c r="N353" s="188"/>
      <c r="O353" s="188"/>
      <c r="P353" s="34"/>
      <c r="Q353" s="34"/>
      <c r="R353" s="304"/>
      <c r="S353" s="34"/>
      <c r="T353" s="34"/>
      <c r="U353" s="34"/>
      <c r="V353" s="34"/>
      <c r="W353" s="105"/>
      <c r="X353" s="105"/>
    </row>
    <row r="354" spans="1:24" ht="12.75">
      <c r="A354" s="309"/>
      <c r="B354" s="309"/>
      <c r="C354" s="34"/>
      <c r="D354" s="362"/>
      <c r="E354" s="34"/>
      <c r="F354" s="34"/>
      <c r="G354" s="35"/>
      <c r="H354" s="35"/>
      <c r="I354" s="34"/>
      <c r="J354" s="34"/>
      <c r="K354" s="65"/>
      <c r="L354" s="34"/>
      <c r="M354" s="34"/>
      <c r="N354" s="188"/>
      <c r="O354" s="188"/>
      <c r="P354" s="34"/>
      <c r="Q354" s="34"/>
      <c r="R354" s="304"/>
      <c r="S354" s="34"/>
      <c r="T354" s="34"/>
      <c r="U354" s="34"/>
      <c r="V354" s="34"/>
      <c r="W354" s="105"/>
      <c r="X354" s="105"/>
    </row>
    <row r="355" spans="1:24" ht="12.75">
      <c r="A355" s="309"/>
      <c r="B355" s="309"/>
      <c r="C355" s="34"/>
      <c r="D355" s="362"/>
      <c r="E355" s="34"/>
      <c r="F355" s="34"/>
      <c r="G355" s="35"/>
      <c r="H355" s="35"/>
      <c r="I355" s="34"/>
      <c r="J355" s="34"/>
      <c r="K355" s="65"/>
      <c r="L355" s="34"/>
      <c r="M355" s="34"/>
      <c r="N355" s="188"/>
      <c r="O355" s="188"/>
      <c r="P355" s="34"/>
      <c r="Q355" s="34"/>
      <c r="R355" s="304"/>
      <c r="S355" s="34"/>
      <c r="T355" s="34"/>
      <c r="U355" s="34"/>
      <c r="V355" s="34"/>
      <c r="W355" s="105"/>
      <c r="X355" s="105"/>
    </row>
    <row r="356" spans="1:24" ht="12.75">
      <c r="A356" s="309"/>
      <c r="B356" s="309"/>
      <c r="C356" s="34"/>
      <c r="D356" s="362"/>
      <c r="E356" s="34"/>
      <c r="F356" s="34"/>
      <c r="G356" s="35"/>
      <c r="H356" s="35"/>
      <c r="I356" s="34"/>
      <c r="J356" s="34"/>
      <c r="K356" s="65"/>
      <c r="L356" s="34"/>
      <c r="M356" s="34"/>
      <c r="N356" s="188"/>
      <c r="O356" s="188"/>
      <c r="P356" s="34"/>
      <c r="Q356" s="34"/>
      <c r="R356" s="304"/>
      <c r="S356" s="34"/>
      <c r="T356" s="34"/>
      <c r="U356" s="34"/>
      <c r="V356" s="34"/>
      <c r="W356" s="105"/>
      <c r="X356" s="105"/>
    </row>
    <row r="357" spans="1:24" ht="12.75">
      <c r="A357" s="309"/>
      <c r="B357" s="309"/>
      <c r="C357" s="34"/>
      <c r="D357" s="362"/>
      <c r="E357" s="34"/>
      <c r="F357" s="34"/>
      <c r="G357" s="35"/>
      <c r="H357" s="35"/>
      <c r="I357" s="34"/>
      <c r="J357" s="34"/>
      <c r="K357" s="65"/>
      <c r="L357" s="34"/>
      <c r="M357" s="34"/>
      <c r="N357" s="188"/>
      <c r="O357" s="188"/>
      <c r="P357" s="34"/>
      <c r="Q357" s="34"/>
      <c r="R357" s="304"/>
      <c r="S357" s="34"/>
      <c r="T357" s="34"/>
      <c r="U357" s="34"/>
      <c r="V357" s="34"/>
      <c r="W357" s="105"/>
      <c r="X357" s="105"/>
    </row>
    <row r="358" spans="1:24" ht="12.75">
      <c r="A358" s="309"/>
      <c r="B358" s="309"/>
      <c r="C358" s="34"/>
      <c r="D358" s="362"/>
      <c r="E358" s="34"/>
      <c r="F358" s="34"/>
      <c r="G358" s="35"/>
      <c r="H358" s="35"/>
      <c r="I358" s="34"/>
      <c r="J358" s="34"/>
      <c r="K358" s="65"/>
      <c r="L358" s="34"/>
      <c r="M358" s="34"/>
      <c r="N358" s="188"/>
      <c r="O358" s="188"/>
      <c r="P358" s="34"/>
      <c r="Q358" s="34"/>
      <c r="R358" s="304"/>
      <c r="S358" s="34"/>
      <c r="T358" s="34"/>
      <c r="U358" s="34"/>
      <c r="V358" s="34"/>
      <c r="W358" s="105"/>
      <c r="X358" s="105"/>
    </row>
    <row r="359" spans="1:24" ht="12.75">
      <c r="A359" s="309"/>
      <c r="B359" s="309"/>
      <c r="C359" s="34"/>
      <c r="D359" s="362"/>
      <c r="E359" s="34"/>
      <c r="F359" s="34"/>
      <c r="G359" s="35"/>
      <c r="H359" s="35"/>
      <c r="I359" s="34"/>
      <c r="J359" s="34"/>
      <c r="K359" s="65"/>
      <c r="L359" s="34"/>
      <c r="M359" s="34"/>
      <c r="N359" s="188"/>
      <c r="O359" s="188"/>
      <c r="P359" s="34"/>
      <c r="Q359" s="34"/>
      <c r="R359" s="304"/>
      <c r="S359" s="34"/>
      <c r="T359" s="34"/>
      <c r="U359" s="34"/>
      <c r="V359" s="34"/>
      <c r="W359" s="105"/>
      <c r="X359" s="105"/>
    </row>
    <row r="360" spans="1:24" ht="12.75">
      <c r="A360" s="309"/>
      <c r="B360" s="309"/>
      <c r="C360" s="34"/>
      <c r="D360" s="362"/>
      <c r="E360" s="34"/>
      <c r="F360" s="34"/>
      <c r="G360" s="35"/>
      <c r="H360" s="35"/>
      <c r="I360" s="34"/>
      <c r="J360" s="34"/>
      <c r="K360" s="65"/>
      <c r="L360" s="34"/>
      <c r="M360" s="34"/>
      <c r="N360" s="188"/>
      <c r="O360" s="188"/>
      <c r="P360" s="34"/>
      <c r="Q360" s="34"/>
      <c r="R360" s="304"/>
      <c r="S360" s="34"/>
      <c r="T360" s="34"/>
      <c r="U360" s="34"/>
      <c r="V360" s="34"/>
      <c r="W360" s="105"/>
      <c r="X360" s="105"/>
    </row>
    <row r="361" spans="1:24" ht="12.75">
      <c r="A361" s="309"/>
      <c r="B361" s="309"/>
      <c r="C361" s="34"/>
      <c r="D361" s="362"/>
      <c r="E361" s="34"/>
      <c r="F361" s="34"/>
      <c r="G361" s="35"/>
      <c r="H361" s="35"/>
      <c r="I361" s="34"/>
      <c r="J361" s="34"/>
      <c r="K361" s="65"/>
      <c r="L361" s="34"/>
      <c r="M361" s="34"/>
      <c r="N361" s="188"/>
      <c r="O361" s="188"/>
      <c r="P361" s="34"/>
      <c r="Q361" s="34"/>
      <c r="R361" s="304"/>
      <c r="S361" s="34"/>
      <c r="T361" s="34"/>
      <c r="U361" s="34"/>
      <c r="V361" s="34"/>
      <c r="W361" s="105"/>
      <c r="X361" s="105"/>
    </row>
    <row r="362" spans="1:24" ht="12.75">
      <c r="A362" s="309"/>
      <c r="B362" s="309"/>
      <c r="C362" s="34"/>
      <c r="D362" s="362"/>
      <c r="E362" s="34"/>
      <c r="F362" s="34"/>
      <c r="G362" s="35"/>
      <c r="H362" s="35"/>
      <c r="I362" s="34"/>
      <c r="J362" s="34"/>
      <c r="K362" s="65"/>
      <c r="L362" s="34"/>
      <c r="M362" s="34"/>
      <c r="N362" s="188"/>
      <c r="O362" s="188"/>
      <c r="P362" s="34"/>
      <c r="Q362" s="34"/>
      <c r="R362" s="304"/>
      <c r="S362" s="34"/>
      <c r="T362" s="34"/>
      <c r="U362" s="34"/>
      <c r="V362" s="34"/>
      <c r="W362" s="105"/>
      <c r="X362" s="105"/>
    </row>
    <row r="363" spans="1:24" ht="12.75">
      <c r="A363" s="309"/>
      <c r="B363" s="309"/>
      <c r="C363" s="34"/>
      <c r="D363" s="362"/>
      <c r="E363" s="34"/>
      <c r="F363" s="34"/>
      <c r="G363" s="35"/>
      <c r="H363" s="35"/>
      <c r="I363" s="34"/>
      <c r="J363" s="34"/>
      <c r="K363" s="65"/>
      <c r="L363" s="34"/>
      <c r="M363" s="34"/>
      <c r="N363" s="188"/>
      <c r="O363" s="188"/>
      <c r="P363" s="34"/>
      <c r="Q363" s="34"/>
      <c r="R363" s="304"/>
      <c r="S363" s="34"/>
      <c r="T363" s="34"/>
      <c r="U363" s="34"/>
      <c r="V363" s="34"/>
      <c r="W363" s="105"/>
      <c r="X363" s="105"/>
    </row>
    <row r="364" spans="1:24" ht="12.75">
      <c r="A364" s="309"/>
      <c r="B364" s="309"/>
      <c r="C364" s="34"/>
      <c r="D364" s="362"/>
      <c r="E364" s="34"/>
      <c r="F364" s="34"/>
      <c r="G364" s="35"/>
      <c r="H364" s="35"/>
      <c r="I364" s="34"/>
      <c r="J364" s="34"/>
      <c r="K364" s="65"/>
      <c r="L364" s="34"/>
      <c r="M364" s="34"/>
      <c r="N364" s="188"/>
      <c r="O364" s="188"/>
      <c r="P364" s="34"/>
      <c r="Q364" s="34"/>
      <c r="R364" s="304"/>
      <c r="S364" s="34"/>
      <c r="T364" s="34"/>
      <c r="U364" s="34"/>
      <c r="V364" s="34"/>
      <c r="W364" s="105"/>
      <c r="X364" s="105"/>
    </row>
    <row r="365" spans="1:24" ht="12.75">
      <c r="A365" s="309"/>
      <c r="B365" s="309"/>
      <c r="C365" s="34"/>
      <c r="D365" s="362"/>
      <c r="E365" s="34"/>
      <c r="F365" s="34"/>
      <c r="G365" s="35"/>
      <c r="H365" s="35"/>
      <c r="I365" s="34"/>
      <c r="J365" s="34"/>
      <c r="K365" s="65"/>
      <c r="L365" s="34"/>
      <c r="M365" s="34"/>
      <c r="N365" s="188"/>
      <c r="O365" s="188"/>
      <c r="P365" s="34"/>
      <c r="Q365" s="34"/>
      <c r="R365" s="304"/>
      <c r="S365" s="34"/>
      <c r="T365" s="34"/>
      <c r="U365" s="34"/>
      <c r="V365" s="34"/>
      <c r="W365" s="105"/>
      <c r="X365" s="105"/>
    </row>
    <row r="366" spans="1:24" ht="12.75">
      <c r="A366" s="309"/>
      <c r="B366" s="309"/>
      <c r="C366" s="34"/>
      <c r="D366" s="362"/>
      <c r="E366" s="34"/>
      <c r="F366" s="34"/>
      <c r="G366" s="35"/>
      <c r="H366" s="35"/>
      <c r="I366" s="34"/>
      <c r="J366" s="34"/>
      <c r="K366" s="65"/>
      <c r="L366" s="34"/>
      <c r="M366" s="34"/>
      <c r="N366" s="188"/>
      <c r="O366" s="188"/>
      <c r="P366" s="34"/>
      <c r="Q366" s="34"/>
      <c r="R366" s="304"/>
      <c r="S366" s="34"/>
      <c r="T366" s="34"/>
      <c r="U366" s="34"/>
      <c r="V366" s="34"/>
      <c r="W366" s="105"/>
      <c r="X366" s="105"/>
    </row>
    <row r="367" spans="1:24" ht="12.75">
      <c r="A367" s="309"/>
      <c r="B367" s="309"/>
      <c r="C367" s="34"/>
      <c r="D367" s="362"/>
      <c r="E367" s="34"/>
      <c r="F367" s="34"/>
      <c r="G367" s="35"/>
      <c r="H367" s="35"/>
      <c r="I367" s="34"/>
      <c r="J367" s="34"/>
      <c r="K367" s="65"/>
      <c r="L367" s="34"/>
      <c r="M367" s="34"/>
      <c r="N367" s="188"/>
      <c r="O367" s="188"/>
      <c r="P367" s="34"/>
      <c r="Q367" s="34"/>
      <c r="R367" s="304"/>
      <c r="S367" s="34"/>
      <c r="T367" s="34"/>
      <c r="U367" s="34"/>
      <c r="V367" s="34"/>
      <c r="W367" s="105"/>
      <c r="X367" s="105"/>
    </row>
    <row r="368" spans="1:24" ht="12.75">
      <c r="A368" s="309"/>
      <c r="B368" s="309"/>
      <c r="C368" s="34"/>
      <c r="D368" s="362"/>
      <c r="E368" s="34"/>
      <c r="F368" s="34"/>
      <c r="G368" s="35"/>
      <c r="H368" s="35"/>
      <c r="I368" s="34"/>
      <c r="J368" s="34"/>
      <c r="K368" s="65"/>
      <c r="L368" s="34"/>
      <c r="M368" s="34"/>
      <c r="N368" s="188"/>
      <c r="O368" s="188"/>
      <c r="P368" s="34"/>
      <c r="Q368" s="34"/>
      <c r="R368" s="304"/>
      <c r="S368" s="34"/>
      <c r="T368" s="34"/>
      <c r="U368" s="34"/>
      <c r="V368" s="34"/>
      <c r="W368" s="105"/>
      <c r="X368" s="105"/>
    </row>
    <row r="369" spans="1:24" ht="12.75">
      <c r="A369" s="309"/>
      <c r="B369" s="309"/>
      <c r="C369" s="34"/>
      <c r="D369" s="362"/>
      <c r="E369" s="34"/>
      <c r="F369" s="34"/>
      <c r="G369" s="35"/>
      <c r="H369" s="35"/>
      <c r="I369" s="34"/>
      <c r="J369" s="34"/>
      <c r="K369" s="65"/>
      <c r="L369" s="34"/>
      <c r="M369" s="34"/>
      <c r="N369" s="188"/>
      <c r="O369" s="188"/>
      <c r="P369" s="34"/>
      <c r="Q369" s="34"/>
      <c r="R369" s="304"/>
      <c r="S369" s="34"/>
      <c r="T369" s="34"/>
      <c r="U369" s="34"/>
      <c r="V369" s="34"/>
      <c r="W369" s="105"/>
      <c r="X369" s="105"/>
    </row>
    <row r="370" spans="1:24" ht="12.75">
      <c r="A370" s="309"/>
      <c r="B370" s="309"/>
      <c r="C370" s="34"/>
      <c r="D370" s="362"/>
      <c r="E370" s="34"/>
      <c r="F370" s="34"/>
      <c r="G370" s="35"/>
      <c r="H370" s="35"/>
      <c r="I370" s="34"/>
      <c r="J370" s="34"/>
      <c r="K370" s="65"/>
      <c r="L370" s="34"/>
      <c r="M370" s="34"/>
      <c r="N370" s="188"/>
      <c r="O370" s="188"/>
      <c r="P370" s="34"/>
      <c r="Q370" s="34"/>
      <c r="R370" s="304"/>
      <c r="S370" s="34"/>
      <c r="T370" s="34"/>
      <c r="U370" s="34"/>
      <c r="V370" s="34"/>
      <c r="W370" s="105"/>
      <c r="X370" s="105"/>
    </row>
    <row r="371" spans="1:24" ht="12.75">
      <c r="A371" s="309"/>
      <c r="B371" s="309"/>
      <c r="C371" s="34"/>
      <c r="D371" s="362"/>
      <c r="E371" s="34"/>
      <c r="F371" s="34"/>
      <c r="G371" s="35"/>
      <c r="H371" s="35"/>
      <c r="I371" s="34"/>
      <c r="J371" s="34"/>
      <c r="K371" s="65"/>
      <c r="L371" s="34"/>
      <c r="M371" s="34"/>
      <c r="N371" s="188"/>
      <c r="O371" s="188"/>
      <c r="P371" s="34"/>
      <c r="Q371" s="34"/>
      <c r="R371" s="304"/>
      <c r="S371" s="34"/>
      <c r="T371" s="34"/>
      <c r="U371" s="34"/>
      <c r="V371" s="34"/>
      <c r="W371" s="105"/>
      <c r="X371" s="105"/>
    </row>
    <row r="372" spans="1:24" ht="12.75">
      <c r="A372" s="309"/>
      <c r="B372" s="309"/>
      <c r="C372" s="34"/>
      <c r="D372" s="362"/>
      <c r="E372" s="34"/>
      <c r="F372" s="34"/>
      <c r="G372" s="35"/>
      <c r="H372" s="35"/>
      <c r="I372" s="34"/>
      <c r="J372" s="34"/>
      <c r="K372" s="65"/>
      <c r="L372" s="34"/>
      <c r="M372" s="34"/>
      <c r="N372" s="188"/>
      <c r="O372" s="188"/>
      <c r="P372" s="34"/>
      <c r="Q372" s="34"/>
      <c r="R372" s="304"/>
      <c r="S372" s="34"/>
      <c r="T372" s="34"/>
      <c r="U372" s="34"/>
      <c r="V372" s="34"/>
      <c r="W372" s="105"/>
      <c r="X372" s="105"/>
    </row>
    <row r="373" spans="1:24" ht="12.75">
      <c r="A373" s="309"/>
      <c r="B373" s="309"/>
      <c r="C373" s="34"/>
      <c r="D373" s="362"/>
      <c r="E373" s="34"/>
      <c r="F373" s="34"/>
      <c r="G373" s="35"/>
      <c r="H373" s="35"/>
      <c r="I373" s="34"/>
      <c r="J373" s="34"/>
      <c r="K373" s="65"/>
      <c r="L373" s="34"/>
      <c r="M373" s="34"/>
      <c r="N373" s="188"/>
      <c r="O373" s="188"/>
      <c r="P373" s="34"/>
      <c r="Q373" s="34"/>
      <c r="R373" s="304"/>
      <c r="S373" s="34"/>
      <c r="T373" s="34"/>
      <c r="U373" s="34"/>
      <c r="V373" s="34"/>
      <c r="W373" s="105"/>
      <c r="X373" s="105"/>
    </row>
    <row r="374" spans="1:24" ht="12.75">
      <c r="A374" s="309"/>
      <c r="B374" s="309"/>
      <c r="C374" s="34"/>
      <c r="D374" s="362"/>
      <c r="E374" s="34"/>
      <c r="F374" s="34"/>
      <c r="G374" s="35"/>
      <c r="H374" s="35"/>
      <c r="I374" s="34"/>
      <c r="J374" s="34"/>
      <c r="K374" s="65"/>
      <c r="L374" s="34"/>
      <c r="M374" s="34"/>
      <c r="N374" s="188"/>
      <c r="O374" s="188"/>
      <c r="P374" s="34"/>
      <c r="Q374" s="34"/>
      <c r="R374" s="304"/>
      <c r="S374" s="34"/>
      <c r="T374" s="34"/>
      <c r="U374" s="34"/>
      <c r="V374" s="34"/>
      <c r="W374" s="105"/>
      <c r="X374" s="105"/>
    </row>
    <row r="375" spans="1:24" ht="12.75">
      <c r="A375" s="309"/>
      <c r="B375" s="309"/>
      <c r="C375" s="34"/>
      <c r="D375" s="362"/>
      <c r="E375" s="34"/>
      <c r="F375" s="34"/>
      <c r="G375" s="35"/>
      <c r="H375" s="35"/>
      <c r="I375" s="34"/>
      <c r="J375" s="34"/>
      <c r="K375" s="65"/>
      <c r="L375" s="34"/>
      <c r="M375" s="34"/>
      <c r="N375" s="188"/>
      <c r="O375" s="188"/>
      <c r="P375" s="34"/>
      <c r="Q375" s="34"/>
      <c r="R375" s="304"/>
      <c r="S375" s="34"/>
      <c r="T375" s="34"/>
      <c r="U375" s="34"/>
      <c r="V375" s="34"/>
      <c r="W375" s="105"/>
      <c r="X375" s="105"/>
    </row>
    <row r="376" spans="1:24" ht="12.75">
      <c r="A376" s="309"/>
      <c r="B376" s="309"/>
      <c r="C376" s="34"/>
      <c r="D376" s="362"/>
      <c r="E376" s="34"/>
      <c r="F376" s="34"/>
      <c r="G376" s="35"/>
      <c r="H376" s="35"/>
      <c r="I376" s="34"/>
      <c r="J376" s="34"/>
      <c r="K376" s="65"/>
      <c r="L376" s="34"/>
      <c r="M376" s="34"/>
      <c r="N376" s="188"/>
      <c r="O376" s="188"/>
      <c r="P376" s="34"/>
      <c r="Q376" s="34"/>
      <c r="R376" s="304"/>
      <c r="S376" s="34"/>
      <c r="T376" s="34"/>
      <c r="U376" s="34"/>
      <c r="V376" s="34"/>
      <c r="W376" s="105"/>
      <c r="X376" s="105"/>
    </row>
    <row r="377" spans="1:24" ht="12.75">
      <c r="A377" s="309"/>
      <c r="B377" s="309"/>
      <c r="C377" s="34"/>
      <c r="D377" s="362"/>
      <c r="E377" s="34"/>
      <c r="F377" s="34"/>
      <c r="G377" s="35"/>
      <c r="H377" s="35"/>
      <c r="I377" s="34"/>
      <c r="J377" s="34"/>
      <c r="K377" s="65"/>
      <c r="L377" s="34"/>
      <c r="M377" s="34"/>
      <c r="N377" s="188"/>
      <c r="O377" s="188"/>
      <c r="P377" s="34"/>
      <c r="Q377" s="34"/>
      <c r="R377" s="304"/>
      <c r="S377" s="34"/>
      <c r="T377" s="34"/>
      <c r="U377" s="34"/>
      <c r="V377" s="34"/>
      <c r="W377" s="105"/>
      <c r="X377" s="105"/>
    </row>
    <row r="378" spans="1:24" ht="12.75">
      <c r="A378" s="309"/>
      <c r="B378" s="309"/>
      <c r="C378" s="34"/>
      <c r="D378" s="362"/>
      <c r="E378" s="34"/>
      <c r="F378" s="34"/>
      <c r="G378" s="35"/>
      <c r="H378" s="35"/>
      <c r="I378" s="34"/>
      <c r="J378" s="34"/>
      <c r="K378" s="65"/>
      <c r="L378" s="34"/>
      <c r="M378" s="34"/>
      <c r="N378" s="188"/>
      <c r="O378" s="188"/>
      <c r="P378" s="34"/>
      <c r="Q378" s="34"/>
      <c r="R378" s="304"/>
      <c r="S378" s="34"/>
      <c r="T378" s="34"/>
      <c r="U378" s="34"/>
      <c r="V378" s="34"/>
      <c r="W378" s="105"/>
      <c r="X378" s="105"/>
    </row>
    <row r="379" spans="1:24" ht="12.75">
      <c r="A379" s="309"/>
      <c r="B379" s="309"/>
      <c r="C379" s="34"/>
      <c r="D379" s="362"/>
      <c r="E379" s="34"/>
      <c r="F379" s="34"/>
      <c r="G379" s="35"/>
      <c r="H379" s="35"/>
      <c r="I379" s="34"/>
      <c r="J379" s="34"/>
      <c r="K379" s="65"/>
      <c r="L379" s="34"/>
      <c r="M379" s="34"/>
      <c r="N379" s="188"/>
      <c r="O379" s="188"/>
      <c r="P379" s="34"/>
      <c r="Q379" s="34"/>
      <c r="R379" s="304"/>
      <c r="S379" s="34"/>
      <c r="T379" s="34"/>
      <c r="U379" s="34"/>
      <c r="V379" s="34"/>
      <c r="W379" s="105"/>
      <c r="X379" s="105"/>
    </row>
    <row r="380" spans="1:24" ht="12.75">
      <c r="A380" s="309"/>
      <c r="B380" s="309"/>
      <c r="C380" s="34"/>
      <c r="D380" s="362"/>
      <c r="E380" s="34"/>
      <c r="F380" s="34"/>
      <c r="G380" s="35"/>
      <c r="H380" s="35"/>
      <c r="I380" s="34"/>
      <c r="J380" s="34"/>
      <c r="K380" s="65"/>
      <c r="L380" s="34"/>
      <c r="M380" s="34"/>
      <c r="N380" s="188"/>
      <c r="O380" s="188"/>
      <c r="P380" s="34"/>
      <c r="Q380" s="34"/>
      <c r="R380" s="304"/>
      <c r="S380" s="34"/>
      <c r="T380" s="34"/>
      <c r="U380" s="34"/>
      <c r="V380" s="34"/>
      <c r="W380" s="105"/>
      <c r="X380" s="105"/>
    </row>
    <row r="381" spans="1:24" ht="12.75">
      <c r="A381" s="309"/>
      <c r="B381" s="309"/>
      <c r="C381" s="34"/>
      <c r="D381" s="362"/>
      <c r="E381" s="34"/>
      <c r="F381" s="34"/>
      <c r="G381" s="35"/>
      <c r="H381" s="35"/>
      <c r="I381" s="34"/>
      <c r="J381" s="34"/>
      <c r="K381" s="65"/>
      <c r="L381" s="34"/>
      <c r="M381" s="34"/>
      <c r="N381" s="188"/>
      <c r="O381" s="188"/>
      <c r="P381" s="34"/>
      <c r="Q381" s="34"/>
      <c r="R381" s="304"/>
      <c r="S381" s="34"/>
      <c r="T381" s="34"/>
      <c r="U381" s="34"/>
      <c r="V381" s="34"/>
      <c r="W381" s="105"/>
      <c r="X381" s="105"/>
    </row>
    <row r="382" spans="1:24" ht="12.75">
      <c r="A382" s="309"/>
      <c r="B382" s="309"/>
      <c r="C382" s="34"/>
      <c r="D382" s="362"/>
      <c r="E382" s="34"/>
      <c r="F382" s="34"/>
      <c r="G382" s="35"/>
      <c r="H382" s="35"/>
      <c r="I382" s="34"/>
      <c r="J382" s="34"/>
      <c r="K382" s="65"/>
      <c r="L382" s="34"/>
      <c r="M382" s="34"/>
      <c r="N382" s="188"/>
      <c r="O382" s="188"/>
      <c r="P382" s="34"/>
      <c r="Q382" s="34"/>
      <c r="R382" s="304"/>
      <c r="S382" s="34"/>
      <c r="T382" s="34"/>
      <c r="U382" s="34"/>
      <c r="V382" s="34"/>
      <c r="W382" s="105"/>
      <c r="X382" s="105"/>
    </row>
    <row r="383" spans="1:24" ht="12.75">
      <c r="A383" s="309"/>
      <c r="B383" s="309"/>
      <c r="C383" s="34"/>
      <c r="D383" s="362"/>
      <c r="E383" s="34"/>
      <c r="F383" s="34"/>
      <c r="G383" s="35"/>
      <c r="H383" s="35"/>
      <c r="I383" s="34"/>
      <c r="J383" s="34"/>
      <c r="K383" s="65"/>
      <c r="L383" s="34"/>
      <c r="M383" s="34"/>
      <c r="N383" s="188"/>
      <c r="O383" s="188"/>
      <c r="P383" s="34"/>
      <c r="Q383" s="34"/>
      <c r="R383" s="304"/>
      <c r="S383" s="34"/>
      <c r="T383" s="34"/>
      <c r="U383" s="34"/>
      <c r="V383" s="34"/>
      <c r="W383" s="105"/>
      <c r="X383" s="105"/>
    </row>
    <row r="384" spans="1:24" ht="12.75">
      <c r="A384" s="309"/>
      <c r="B384" s="309"/>
      <c r="C384" s="34"/>
      <c r="D384" s="362"/>
      <c r="E384" s="34"/>
      <c r="F384" s="34"/>
      <c r="G384" s="35"/>
      <c r="H384" s="35"/>
      <c r="I384" s="34"/>
      <c r="J384" s="34"/>
      <c r="K384" s="65"/>
      <c r="L384" s="34"/>
      <c r="M384" s="34"/>
      <c r="N384" s="188"/>
      <c r="O384" s="188"/>
      <c r="P384" s="34"/>
      <c r="Q384" s="34"/>
      <c r="R384" s="304"/>
      <c r="S384" s="34"/>
      <c r="T384" s="34"/>
      <c r="U384" s="34"/>
      <c r="V384" s="34"/>
      <c r="W384" s="105"/>
      <c r="X384" s="105"/>
    </row>
    <row r="385" spans="1:24" ht="12.75">
      <c r="A385" s="309"/>
      <c r="B385" s="309"/>
      <c r="C385" s="34"/>
      <c r="D385" s="362"/>
      <c r="E385" s="34"/>
      <c r="F385" s="34"/>
      <c r="G385" s="35"/>
      <c r="H385" s="35"/>
      <c r="I385" s="34"/>
      <c r="J385" s="34"/>
      <c r="K385" s="65"/>
      <c r="L385" s="34"/>
      <c r="M385" s="34"/>
      <c r="N385" s="188"/>
      <c r="O385" s="188"/>
      <c r="P385" s="34"/>
      <c r="Q385" s="34"/>
      <c r="R385" s="304"/>
      <c r="S385" s="34"/>
      <c r="T385" s="34"/>
      <c r="U385" s="34"/>
      <c r="V385" s="34"/>
      <c r="W385" s="105"/>
      <c r="X385" s="105"/>
    </row>
    <row r="386" spans="1:24" ht="12.75">
      <c r="A386" s="309"/>
      <c r="B386" s="309"/>
      <c r="C386" s="34"/>
      <c r="D386" s="362"/>
      <c r="E386" s="34"/>
      <c r="F386" s="34"/>
      <c r="G386" s="35"/>
      <c r="H386" s="35"/>
      <c r="I386" s="34"/>
      <c r="J386" s="34"/>
      <c r="K386" s="65"/>
      <c r="L386" s="34"/>
      <c r="M386" s="34"/>
      <c r="N386" s="188"/>
      <c r="O386" s="188"/>
      <c r="P386" s="34"/>
      <c r="Q386" s="34"/>
      <c r="R386" s="304"/>
      <c r="S386" s="34"/>
      <c r="T386" s="34"/>
      <c r="U386" s="34"/>
      <c r="V386" s="34"/>
      <c r="W386" s="105"/>
      <c r="X386" s="105"/>
    </row>
    <row r="387" spans="1:24" ht="12.75">
      <c r="A387" s="309"/>
      <c r="B387" s="309"/>
      <c r="C387" s="34"/>
      <c r="D387" s="362"/>
      <c r="E387" s="34"/>
      <c r="F387" s="34"/>
      <c r="G387" s="35"/>
      <c r="H387" s="35"/>
      <c r="I387" s="34"/>
      <c r="J387" s="34"/>
      <c r="K387" s="65"/>
      <c r="L387" s="34"/>
      <c r="M387" s="34"/>
      <c r="N387" s="188"/>
      <c r="O387" s="188"/>
      <c r="P387" s="34"/>
      <c r="Q387" s="34"/>
      <c r="R387" s="304"/>
      <c r="S387" s="34"/>
      <c r="T387" s="34"/>
      <c r="U387" s="34"/>
      <c r="V387" s="34"/>
      <c r="W387" s="105"/>
      <c r="X387" s="105"/>
    </row>
    <row r="388" spans="1:24" ht="12.75">
      <c r="A388" s="309"/>
      <c r="B388" s="309"/>
      <c r="C388" s="34"/>
      <c r="D388" s="362"/>
      <c r="E388" s="34"/>
      <c r="F388" s="34"/>
      <c r="G388" s="35"/>
      <c r="H388" s="35"/>
      <c r="I388" s="34"/>
      <c r="J388" s="34"/>
      <c r="K388" s="65"/>
      <c r="L388" s="34"/>
      <c r="M388" s="34"/>
      <c r="N388" s="188"/>
      <c r="O388" s="188"/>
      <c r="P388" s="34"/>
      <c r="Q388" s="34"/>
      <c r="R388" s="304"/>
      <c r="S388" s="34"/>
      <c r="T388" s="34"/>
      <c r="U388" s="34"/>
      <c r="V388" s="34"/>
      <c r="W388" s="105"/>
      <c r="X388" s="105"/>
    </row>
    <row r="389" spans="1:24" ht="12.75">
      <c r="A389" s="309"/>
      <c r="B389" s="309"/>
      <c r="C389" s="34"/>
      <c r="D389" s="362"/>
      <c r="E389" s="34"/>
      <c r="F389" s="34"/>
      <c r="G389" s="35"/>
      <c r="H389" s="35"/>
      <c r="I389" s="34"/>
      <c r="J389" s="34"/>
      <c r="K389" s="65"/>
      <c r="L389" s="34"/>
      <c r="M389" s="34"/>
      <c r="N389" s="188"/>
      <c r="O389" s="188"/>
      <c r="P389" s="34"/>
      <c r="Q389" s="34"/>
      <c r="R389" s="304"/>
      <c r="S389" s="34"/>
      <c r="T389" s="34"/>
      <c r="U389" s="34"/>
      <c r="V389" s="34"/>
      <c r="W389" s="105"/>
      <c r="X389" s="105"/>
    </row>
    <row r="390" spans="1:24" ht="12.75">
      <c r="A390" s="309"/>
      <c r="B390" s="309"/>
      <c r="C390" s="34"/>
      <c r="D390" s="362"/>
      <c r="E390" s="34"/>
      <c r="F390" s="34"/>
      <c r="G390" s="35"/>
      <c r="H390" s="35"/>
      <c r="I390" s="34"/>
      <c r="J390" s="34"/>
      <c r="K390" s="65"/>
      <c r="L390" s="34"/>
      <c r="M390" s="34"/>
      <c r="N390" s="188"/>
      <c r="O390" s="188"/>
      <c r="P390" s="34"/>
      <c r="Q390" s="34"/>
      <c r="R390" s="304"/>
      <c r="S390" s="34"/>
      <c r="T390" s="34"/>
      <c r="U390" s="34"/>
      <c r="V390" s="34"/>
      <c r="W390" s="105"/>
      <c r="X390" s="105"/>
    </row>
    <row r="391" spans="1:24" ht="12.75">
      <c r="A391" s="309"/>
      <c r="B391" s="309"/>
      <c r="C391" s="34"/>
      <c r="D391" s="362"/>
      <c r="E391" s="34"/>
      <c r="F391" s="34"/>
      <c r="G391" s="35"/>
      <c r="H391" s="35"/>
      <c r="I391" s="34"/>
      <c r="J391" s="34"/>
      <c r="K391" s="65"/>
      <c r="L391" s="34"/>
      <c r="M391" s="34"/>
      <c r="N391" s="188"/>
      <c r="O391" s="188"/>
      <c r="P391" s="34"/>
      <c r="Q391" s="34"/>
      <c r="R391" s="304"/>
      <c r="S391" s="34"/>
      <c r="T391" s="34"/>
      <c r="U391" s="34"/>
      <c r="V391" s="34"/>
      <c r="W391" s="105"/>
      <c r="X391" s="105"/>
    </row>
    <row r="392" spans="1:24" ht="12.75">
      <c r="A392" s="309"/>
      <c r="B392" s="309"/>
      <c r="C392" s="34"/>
      <c r="D392" s="362"/>
      <c r="E392" s="34"/>
      <c r="F392" s="34"/>
      <c r="G392" s="35"/>
      <c r="H392" s="35"/>
      <c r="I392" s="34"/>
      <c r="J392" s="34"/>
      <c r="K392" s="65"/>
      <c r="L392" s="34"/>
      <c r="M392" s="34"/>
      <c r="N392" s="188"/>
      <c r="O392" s="188"/>
      <c r="P392" s="34"/>
      <c r="Q392" s="34"/>
      <c r="R392" s="304"/>
      <c r="S392" s="34"/>
      <c r="T392" s="34"/>
      <c r="U392" s="34"/>
      <c r="V392" s="34"/>
      <c r="W392" s="105"/>
      <c r="X392" s="105"/>
    </row>
    <row r="393" spans="1:24" ht="12.75">
      <c r="A393" s="309"/>
      <c r="B393" s="309"/>
      <c r="C393" s="34"/>
      <c r="D393" s="362"/>
      <c r="E393" s="34"/>
      <c r="F393" s="34"/>
      <c r="G393" s="35"/>
      <c r="H393" s="35"/>
      <c r="I393" s="34"/>
      <c r="J393" s="34"/>
      <c r="K393" s="65"/>
      <c r="L393" s="34"/>
      <c r="M393" s="34"/>
      <c r="N393" s="188"/>
      <c r="O393" s="188"/>
      <c r="P393" s="34"/>
      <c r="Q393" s="34"/>
      <c r="R393" s="304"/>
      <c r="S393" s="34"/>
      <c r="T393" s="34"/>
      <c r="U393" s="34"/>
      <c r="V393" s="34"/>
      <c r="W393" s="105"/>
      <c r="X393" s="105"/>
    </row>
    <row r="394" spans="1:24" ht="12.75">
      <c r="A394" s="309"/>
      <c r="B394" s="309"/>
      <c r="C394" s="34"/>
      <c r="D394" s="362"/>
      <c r="E394" s="34"/>
      <c r="F394" s="34"/>
      <c r="G394" s="35"/>
      <c r="H394" s="35"/>
      <c r="I394" s="34"/>
      <c r="J394" s="34"/>
      <c r="K394" s="65"/>
      <c r="L394" s="34"/>
      <c r="M394" s="34"/>
      <c r="N394" s="188"/>
      <c r="O394" s="188"/>
      <c r="P394" s="34"/>
      <c r="Q394" s="34"/>
      <c r="R394" s="304"/>
      <c r="S394" s="34"/>
      <c r="T394" s="34"/>
      <c r="U394" s="34"/>
      <c r="V394" s="34"/>
      <c r="W394" s="105"/>
      <c r="X394" s="105"/>
    </row>
    <row r="395" spans="1:24" ht="12.75">
      <c r="A395" s="309"/>
      <c r="B395" s="309"/>
      <c r="C395" s="34"/>
      <c r="D395" s="362"/>
      <c r="E395" s="34"/>
      <c r="F395" s="34"/>
      <c r="G395" s="35"/>
      <c r="H395" s="35"/>
      <c r="I395" s="34"/>
      <c r="J395" s="34"/>
      <c r="K395" s="65"/>
      <c r="L395" s="34"/>
      <c r="M395" s="34"/>
      <c r="N395" s="188"/>
      <c r="O395" s="188"/>
      <c r="P395" s="34"/>
      <c r="Q395" s="34"/>
      <c r="R395" s="304"/>
      <c r="S395" s="34"/>
      <c r="T395" s="34"/>
      <c r="U395" s="34"/>
      <c r="V395" s="34"/>
      <c r="W395" s="105"/>
      <c r="X395" s="105"/>
    </row>
    <row r="396" spans="1:24" ht="12.75">
      <c r="A396" s="309"/>
      <c r="B396" s="309"/>
      <c r="C396" s="34"/>
      <c r="D396" s="362"/>
      <c r="E396" s="34"/>
      <c r="F396" s="34"/>
      <c r="G396" s="35"/>
      <c r="H396" s="35"/>
      <c r="I396" s="34"/>
      <c r="J396" s="34"/>
      <c r="K396" s="65"/>
      <c r="L396" s="34"/>
      <c r="M396" s="34"/>
      <c r="N396" s="188"/>
      <c r="O396" s="188"/>
      <c r="P396" s="34"/>
      <c r="Q396" s="34"/>
      <c r="R396" s="304"/>
      <c r="S396" s="34"/>
      <c r="T396" s="34"/>
      <c r="U396" s="34"/>
      <c r="V396" s="34"/>
      <c r="W396" s="105"/>
      <c r="X396" s="105"/>
    </row>
    <row r="397" spans="1:24" ht="12.75">
      <c r="A397" s="309"/>
      <c r="B397" s="309"/>
      <c r="C397" s="34"/>
      <c r="D397" s="362"/>
      <c r="E397" s="34"/>
      <c r="F397" s="34"/>
      <c r="G397" s="35"/>
      <c r="H397" s="35"/>
      <c r="I397" s="34"/>
      <c r="J397" s="34"/>
      <c r="K397" s="65"/>
      <c r="L397" s="34"/>
      <c r="M397" s="34"/>
      <c r="N397" s="188"/>
      <c r="O397" s="188"/>
      <c r="P397" s="34"/>
      <c r="Q397" s="34"/>
      <c r="R397" s="304"/>
      <c r="S397" s="34"/>
      <c r="T397" s="34"/>
      <c r="U397" s="34"/>
      <c r="V397" s="34"/>
      <c r="W397" s="105"/>
      <c r="X397" s="105"/>
    </row>
    <row r="398" spans="1:24" ht="12.75">
      <c r="A398" s="309"/>
      <c r="B398" s="309"/>
      <c r="C398" s="34"/>
      <c r="D398" s="362"/>
      <c r="E398" s="34"/>
      <c r="F398" s="34"/>
      <c r="G398" s="35"/>
      <c r="H398" s="35"/>
      <c r="I398" s="34"/>
      <c r="J398" s="34"/>
      <c r="K398" s="65"/>
      <c r="L398" s="34"/>
      <c r="M398" s="34"/>
      <c r="N398" s="188"/>
      <c r="O398" s="188"/>
      <c r="P398" s="34"/>
      <c r="Q398" s="34"/>
      <c r="R398" s="304"/>
      <c r="S398" s="34"/>
      <c r="T398" s="34"/>
      <c r="U398" s="34"/>
      <c r="V398" s="34"/>
      <c r="W398" s="105"/>
      <c r="X398" s="105"/>
    </row>
    <row r="399" spans="1:24" ht="12.75">
      <c r="A399" s="309"/>
      <c r="B399" s="309"/>
      <c r="C399" s="34"/>
      <c r="D399" s="362"/>
      <c r="E399" s="34"/>
      <c r="F399" s="34"/>
      <c r="G399" s="35"/>
      <c r="H399" s="35"/>
      <c r="I399" s="34"/>
      <c r="J399" s="34"/>
      <c r="K399" s="65"/>
      <c r="L399" s="34"/>
      <c r="M399" s="34"/>
      <c r="N399" s="188"/>
      <c r="O399" s="188"/>
      <c r="P399" s="34"/>
      <c r="Q399" s="34"/>
      <c r="R399" s="304"/>
      <c r="S399" s="34"/>
      <c r="T399" s="34"/>
      <c r="U399" s="34"/>
      <c r="V399" s="34"/>
      <c r="W399" s="105"/>
      <c r="X399" s="105"/>
    </row>
    <row r="400" spans="1:24" ht="12.75">
      <c r="A400" s="309"/>
      <c r="B400" s="309"/>
      <c r="C400" s="34"/>
      <c r="D400" s="362"/>
      <c r="E400" s="34"/>
      <c r="F400" s="34"/>
      <c r="G400" s="35"/>
      <c r="H400" s="35"/>
      <c r="I400" s="34"/>
      <c r="J400" s="34"/>
      <c r="K400" s="65"/>
      <c r="L400" s="34"/>
      <c r="M400" s="34"/>
      <c r="N400" s="188"/>
      <c r="O400" s="188"/>
      <c r="P400" s="34"/>
      <c r="Q400" s="34"/>
      <c r="R400" s="304"/>
      <c r="S400" s="34"/>
      <c r="T400" s="34"/>
      <c r="U400" s="34"/>
      <c r="V400" s="34"/>
      <c r="W400" s="105"/>
      <c r="X400" s="105"/>
    </row>
    <row r="401" spans="1:24" ht="12.75">
      <c r="A401" s="309"/>
      <c r="B401" s="309"/>
      <c r="C401" s="34"/>
      <c r="D401" s="362"/>
      <c r="E401" s="34"/>
      <c r="F401" s="34"/>
      <c r="G401" s="35"/>
      <c r="H401" s="35"/>
      <c r="I401" s="34"/>
      <c r="J401" s="34"/>
      <c r="K401" s="65"/>
      <c r="L401" s="34"/>
      <c r="M401" s="34"/>
      <c r="N401" s="188"/>
      <c r="O401" s="188"/>
      <c r="P401" s="34"/>
      <c r="Q401" s="34"/>
      <c r="R401" s="304"/>
      <c r="S401" s="34"/>
      <c r="T401" s="34"/>
      <c r="U401" s="34"/>
      <c r="V401" s="34"/>
      <c r="W401" s="105"/>
      <c r="X401" s="105"/>
    </row>
    <row r="402" spans="1:24" ht="12.75">
      <c r="A402" s="309"/>
      <c r="B402" s="309"/>
      <c r="C402" s="34"/>
      <c r="D402" s="362"/>
      <c r="E402" s="34"/>
      <c r="F402" s="34"/>
      <c r="G402" s="35"/>
      <c r="H402" s="35"/>
      <c r="I402" s="34"/>
      <c r="J402" s="34"/>
      <c r="K402" s="65"/>
      <c r="L402" s="34"/>
      <c r="M402" s="34"/>
      <c r="N402" s="188"/>
      <c r="O402" s="188"/>
      <c r="P402" s="34"/>
      <c r="Q402" s="34"/>
      <c r="R402" s="304"/>
      <c r="S402" s="34"/>
      <c r="T402" s="34"/>
      <c r="U402" s="34"/>
      <c r="V402" s="34"/>
      <c r="W402" s="105"/>
      <c r="X402" s="105"/>
    </row>
    <row r="403" spans="1:24" ht="12.75">
      <c r="A403" s="309"/>
      <c r="B403" s="309"/>
      <c r="C403" s="34"/>
      <c r="D403" s="362"/>
      <c r="E403" s="34"/>
      <c r="F403" s="34"/>
      <c r="G403" s="35"/>
      <c r="H403" s="35"/>
      <c r="I403" s="34"/>
      <c r="J403" s="34"/>
      <c r="K403" s="65"/>
      <c r="L403" s="34"/>
      <c r="M403" s="34"/>
      <c r="N403" s="188"/>
      <c r="O403" s="188"/>
      <c r="P403" s="34"/>
      <c r="Q403" s="34"/>
      <c r="R403" s="304"/>
      <c r="S403" s="34"/>
      <c r="T403" s="34"/>
      <c r="U403" s="34"/>
      <c r="V403" s="34"/>
      <c r="W403" s="105"/>
      <c r="X403" s="105"/>
    </row>
    <row r="404" spans="1:24" ht="12.75">
      <c r="A404" s="309"/>
      <c r="B404" s="309"/>
      <c r="C404" s="34"/>
      <c r="D404" s="362"/>
      <c r="E404" s="34"/>
      <c r="F404" s="34"/>
      <c r="G404" s="35"/>
      <c r="H404" s="35"/>
      <c r="I404" s="34"/>
      <c r="J404" s="34"/>
      <c r="K404" s="65"/>
      <c r="L404" s="34"/>
      <c r="M404" s="34"/>
      <c r="N404" s="188"/>
      <c r="O404" s="188"/>
      <c r="P404" s="34"/>
      <c r="Q404" s="34"/>
      <c r="R404" s="304"/>
      <c r="S404" s="34"/>
      <c r="T404" s="34"/>
      <c r="U404" s="34"/>
      <c r="V404" s="34"/>
      <c r="W404" s="105"/>
      <c r="X404" s="105"/>
    </row>
    <row r="405" spans="1:24" ht="12.75">
      <c r="A405" s="309"/>
      <c r="B405" s="309"/>
      <c r="C405" s="34"/>
      <c r="D405" s="362"/>
      <c r="E405" s="34"/>
      <c r="F405" s="34"/>
      <c r="G405" s="35"/>
      <c r="H405" s="35"/>
      <c r="I405" s="34"/>
      <c r="J405" s="34"/>
      <c r="K405" s="65"/>
      <c r="L405" s="34"/>
      <c r="M405" s="34"/>
      <c r="N405" s="188"/>
      <c r="O405" s="188"/>
      <c r="P405" s="34"/>
      <c r="Q405" s="34"/>
      <c r="R405" s="304"/>
      <c r="S405" s="34"/>
      <c r="T405" s="34"/>
      <c r="U405" s="34"/>
      <c r="V405" s="34"/>
      <c r="W405" s="105"/>
      <c r="X405" s="105"/>
    </row>
    <row r="406" spans="1:24" ht="12.75">
      <c r="A406" s="309"/>
      <c r="B406" s="309"/>
      <c r="C406" s="34"/>
      <c r="D406" s="362"/>
      <c r="E406" s="34"/>
      <c r="F406" s="34"/>
      <c r="G406" s="35"/>
      <c r="H406" s="35"/>
      <c r="I406" s="34"/>
      <c r="J406" s="34"/>
      <c r="K406" s="65"/>
      <c r="L406" s="34"/>
      <c r="M406" s="34"/>
      <c r="N406" s="188"/>
      <c r="O406" s="188"/>
      <c r="P406" s="34"/>
      <c r="Q406" s="34"/>
      <c r="R406" s="304"/>
      <c r="S406" s="34"/>
      <c r="T406" s="34"/>
      <c r="U406" s="34"/>
      <c r="V406" s="34"/>
      <c r="W406" s="105"/>
      <c r="X406" s="105"/>
    </row>
    <row r="407" spans="1:24" ht="12.75">
      <c r="A407" s="309"/>
      <c r="B407" s="309"/>
      <c r="C407" s="34"/>
      <c r="D407" s="362"/>
      <c r="E407" s="34"/>
      <c r="F407" s="34"/>
      <c r="G407" s="35"/>
      <c r="H407" s="35"/>
      <c r="I407" s="34"/>
      <c r="J407" s="34"/>
      <c r="K407" s="65"/>
      <c r="L407" s="34"/>
      <c r="M407" s="34"/>
      <c r="N407" s="188"/>
      <c r="O407" s="188"/>
      <c r="P407" s="34"/>
      <c r="Q407" s="34"/>
      <c r="R407" s="304"/>
      <c r="S407" s="34"/>
      <c r="T407" s="34"/>
      <c r="U407" s="34"/>
      <c r="V407" s="34"/>
      <c r="W407" s="105"/>
      <c r="X407" s="105"/>
    </row>
    <row r="408" spans="1:24" ht="12.75">
      <c r="A408" s="309"/>
      <c r="B408" s="309"/>
      <c r="C408" s="34"/>
      <c r="D408" s="362"/>
      <c r="E408" s="34"/>
      <c r="F408" s="34"/>
      <c r="G408" s="35"/>
      <c r="H408" s="35"/>
      <c r="I408" s="34"/>
      <c r="J408" s="34"/>
      <c r="K408" s="65"/>
      <c r="L408" s="34"/>
      <c r="M408" s="34"/>
      <c r="N408" s="188"/>
      <c r="O408" s="188"/>
      <c r="P408" s="34"/>
      <c r="Q408" s="34"/>
      <c r="R408" s="304"/>
      <c r="S408" s="34"/>
      <c r="T408" s="34"/>
      <c r="U408" s="34"/>
      <c r="V408" s="34"/>
      <c r="W408" s="105"/>
      <c r="X408" s="105"/>
    </row>
    <row r="409" spans="1:24" ht="12.75">
      <c r="A409" s="309"/>
      <c r="B409" s="309"/>
      <c r="C409" s="34"/>
      <c r="D409" s="362"/>
      <c r="E409" s="34"/>
      <c r="F409" s="34"/>
      <c r="G409" s="35"/>
      <c r="H409" s="35"/>
      <c r="I409" s="34"/>
      <c r="J409" s="34"/>
      <c r="K409" s="65"/>
      <c r="L409" s="34"/>
      <c r="M409" s="34"/>
      <c r="N409" s="188"/>
      <c r="O409" s="188"/>
      <c r="P409" s="34"/>
      <c r="Q409" s="34"/>
      <c r="R409" s="304"/>
      <c r="S409" s="34"/>
      <c r="T409" s="34"/>
      <c r="U409" s="34"/>
      <c r="V409" s="34"/>
      <c r="W409" s="105"/>
      <c r="X409" s="105"/>
    </row>
    <row r="410" spans="1:24" ht="12.75">
      <c r="A410" s="309"/>
      <c r="B410" s="309"/>
      <c r="C410" s="34"/>
      <c r="D410" s="362"/>
      <c r="E410" s="34"/>
      <c r="F410" s="34"/>
      <c r="G410" s="35"/>
      <c r="H410" s="35"/>
      <c r="I410" s="34"/>
      <c r="J410" s="34"/>
      <c r="K410" s="65"/>
      <c r="L410" s="34"/>
      <c r="M410" s="34"/>
      <c r="N410" s="188"/>
      <c r="O410" s="188"/>
      <c r="P410" s="34"/>
      <c r="Q410" s="34"/>
      <c r="R410" s="304"/>
      <c r="S410" s="34"/>
      <c r="T410" s="34"/>
      <c r="U410" s="34"/>
      <c r="V410" s="34"/>
      <c r="W410" s="105"/>
      <c r="X410" s="105"/>
    </row>
    <row r="411" spans="1:24" ht="12.75">
      <c r="A411" s="309"/>
      <c r="B411" s="309"/>
      <c r="C411" s="34"/>
      <c r="D411" s="362"/>
      <c r="E411" s="34"/>
      <c r="F411" s="34"/>
      <c r="G411" s="35"/>
      <c r="H411" s="35"/>
      <c r="I411" s="34"/>
      <c r="J411" s="34"/>
      <c r="K411" s="65"/>
      <c r="L411" s="34"/>
      <c r="M411" s="34"/>
      <c r="N411" s="188"/>
      <c r="O411" s="188"/>
      <c r="P411" s="34"/>
      <c r="Q411" s="34"/>
      <c r="R411" s="304"/>
      <c r="S411" s="34"/>
      <c r="T411" s="34"/>
      <c r="U411" s="34"/>
      <c r="V411" s="34"/>
      <c r="W411" s="105"/>
      <c r="X411" s="105"/>
    </row>
    <row r="412" spans="1:24" ht="12.75">
      <c r="A412" s="309"/>
      <c r="B412" s="309"/>
      <c r="C412" s="34"/>
      <c r="D412" s="362"/>
      <c r="E412" s="34"/>
      <c r="F412" s="34"/>
      <c r="G412" s="35"/>
      <c r="H412" s="35"/>
      <c r="I412" s="34"/>
      <c r="J412" s="34"/>
      <c r="K412" s="65"/>
      <c r="L412" s="34"/>
      <c r="M412" s="34"/>
      <c r="N412" s="188"/>
      <c r="O412" s="188"/>
      <c r="P412" s="34"/>
      <c r="Q412" s="34"/>
      <c r="R412" s="304"/>
      <c r="S412" s="34"/>
      <c r="T412" s="34"/>
      <c r="U412" s="34"/>
      <c r="V412" s="34"/>
      <c r="W412" s="105"/>
      <c r="X412" s="105"/>
    </row>
    <row r="413" spans="1:24" ht="12.75">
      <c r="A413" s="309"/>
      <c r="B413" s="309"/>
      <c r="C413" s="34"/>
      <c r="D413" s="362"/>
      <c r="E413" s="34"/>
      <c r="F413" s="34"/>
      <c r="G413" s="35"/>
      <c r="H413" s="35"/>
      <c r="I413" s="34"/>
      <c r="J413" s="34"/>
      <c r="K413" s="65"/>
      <c r="L413" s="34"/>
      <c r="M413" s="34"/>
      <c r="N413" s="188"/>
      <c r="O413" s="188"/>
      <c r="P413" s="34"/>
      <c r="Q413" s="34"/>
      <c r="R413" s="304"/>
      <c r="S413" s="34"/>
      <c r="T413" s="34"/>
      <c r="U413" s="34"/>
      <c r="V413" s="34"/>
      <c r="W413" s="105"/>
      <c r="X413" s="105"/>
    </row>
    <row r="414" spans="1:24" ht="12.75">
      <c r="A414" s="309"/>
      <c r="B414" s="309"/>
      <c r="C414" s="34"/>
      <c r="D414" s="362"/>
      <c r="E414" s="34"/>
      <c r="F414" s="34"/>
      <c r="G414" s="35"/>
      <c r="H414" s="35"/>
      <c r="I414" s="34"/>
      <c r="J414" s="34"/>
      <c r="K414" s="65"/>
      <c r="L414" s="34"/>
      <c r="M414" s="34"/>
      <c r="N414" s="188"/>
      <c r="O414" s="188"/>
      <c r="P414" s="34"/>
      <c r="Q414" s="34"/>
      <c r="R414" s="304"/>
      <c r="S414" s="34"/>
      <c r="T414" s="34"/>
      <c r="U414" s="34"/>
      <c r="V414" s="34"/>
      <c r="W414" s="105"/>
      <c r="X414" s="105"/>
    </row>
    <row r="415" spans="1:24" ht="12.75">
      <c r="A415" s="309"/>
      <c r="B415" s="309"/>
      <c r="C415" s="34"/>
      <c r="D415" s="362"/>
      <c r="E415" s="34"/>
      <c r="F415" s="34"/>
      <c r="G415" s="35"/>
      <c r="H415" s="35"/>
      <c r="I415" s="34"/>
      <c r="J415" s="34"/>
      <c r="K415" s="65"/>
      <c r="L415" s="34"/>
      <c r="M415" s="34"/>
      <c r="N415" s="188"/>
      <c r="O415" s="188"/>
      <c r="P415" s="34"/>
      <c r="Q415" s="34"/>
      <c r="R415" s="304"/>
      <c r="S415" s="34"/>
      <c r="T415" s="34"/>
      <c r="U415" s="34"/>
      <c r="V415" s="34"/>
      <c r="W415" s="105"/>
      <c r="X415" s="105"/>
    </row>
    <row r="416" spans="1:24" ht="12.75">
      <c r="A416" s="309"/>
      <c r="B416" s="309"/>
      <c r="C416" s="34"/>
      <c r="D416" s="362"/>
      <c r="E416" s="34"/>
      <c r="F416" s="34"/>
      <c r="G416" s="35"/>
      <c r="H416" s="35"/>
      <c r="I416" s="34"/>
      <c r="J416" s="34"/>
      <c r="K416" s="65"/>
      <c r="L416" s="34"/>
      <c r="M416" s="34"/>
      <c r="N416" s="188"/>
      <c r="O416" s="188"/>
      <c r="P416" s="34"/>
      <c r="Q416" s="34"/>
      <c r="R416" s="304"/>
      <c r="S416" s="34"/>
      <c r="T416" s="34"/>
      <c r="U416" s="34"/>
      <c r="V416" s="34"/>
      <c r="W416" s="105"/>
      <c r="X416" s="105"/>
    </row>
    <row r="417" spans="1:24" ht="12.75">
      <c r="A417" s="309"/>
      <c r="B417" s="309"/>
      <c r="C417" s="34"/>
      <c r="D417" s="362"/>
      <c r="E417" s="34"/>
      <c r="F417" s="34"/>
      <c r="G417" s="35"/>
      <c r="H417" s="35"/>
      <c r="I417" s="34"/>
      <c r="J417" s="34"/>
      <c r="K417" s="65"/>
      <c r="L417" s="34"/>
      <c r="M417" s="34"/>
      <c r="N417" s="188"/>
      <c r="O417" s="188"/>
      <c r="P417" s="34"/>
      <c r="Q417" s="34"/>
      <c r="R417" s="304"/>
      <c r="S417" s="34"/>
      <c r="T417" s="34"/>
      <c r="U417" s="34"/>
      <c r="V417" s="34"/>
      <c r="W417" s="105"/>
      <c r="X417" s="105"/>
    </row>
    <row r="418" spans="1:24" ht="12.75">
      <c r="A418" s="309"/>
      <c r="B418" s="309"/>
      <c r="C418" s="34"/>
      <c r="D418" s="362"/>
      <c r="E418" s="34"/>
      <c r="F418" s="34"/>
      <c r="G418" s="35"/>
      <c r="H418" s="35"/>
      <c r="I418" s="34"/>
      <c r="J418" s="34"/>
      <c r="K418" s="65"/>
      <c r="L418" s="34"/>
      <c r="M418" s="34"/>
      <c r="N418" s="188"/>
      <c r="O418" s="188"/>
      <c r="P418" s="34"/>
      <c r="Q418" s="34"/>
      <c r="R418" s="304"/>
      <c r="S418" s="34"/>
      <c r="T418" s="34"/>
      <c r="U418" s="34"/>
      <c r="V418" s="34"/>
      <c r="W418" s="105"/>
      <c r="X418" s="105"/>
    </row>
    <row r="419" spans="1:24" ht="12.75">
      <c r="A419" s="309"/>
      <c r="B419" s="309"/>
      <c r="C419" s="34"/>
      <c r="D419" s="362"/>
      <c r="E419" s="34"/>
      <c r="F419" s="34"/>
      <c r="G419" s="35"/>
      <c r="H419" s="35"/>
      <c r="I419" s="34"/>
      <c r="J419" s="34"/>
      <c r="K419" s="65"/>
      <c r="L419" s="34"/>
      <c r="M419" s="34"/>
      <c r="N419" s="188"/>
      <c r="O419" s="188"/>
      <c r="P419" s="34"/>
      <c r="Q419" s="34"/>
      <c r="R419" s="304"/>
      <c r="S419" s="34"/>
      <c r="T419" s="34"/>
      <c r="U419" s="34"/>
      <c r="V419" s="34"/>
      <c r="W419" s="105"/>
      <c r="X419" s="105"/>
    </row>
    <row r="420" spans="1:24" ht="12.75">
      <c r="A420" s="309"/>
      <c r="B420" s="309"/>
      <c r="C420" s="34"/>
      <c r="D420" s="362"/>
      <c r="E420" s="34"/>
      <c r="F420" s="34"/>
      <c r="G420" s="35"/>
      <c r="H420" s="35"/>
      <c r="I420" s="34"/>
      <c r="J420" s="34"/>
      <c r="K420" s="65"/>
      <c r="L420" s="34"/>
      <c r="M420" s="34"/>
      <c r="N420" s="188"/>
      <c r="O420" s="188"/>
      <c r="P420" s="34"/>
      <c r="Q420" s="34"/>
      <c r="R420" s="304"/>
      <c r="S420" s="34"/>
      <c r="T420" s="34"/>
      <c r="U420" s="34"/>
      <c r="V420" s="34"/>
      <c r="W420" s="105"/>
      <c r="X420" s="105"/>
    </row>
    <row r="421" spans="1:24" ht="12.75">
      <c r="A421" s="309"/>
      <c r="B421" s="309"/>
      <c r="C421" s="34"/>
      <c r="D421" s="362"/>
      <c r="E421" s="34"/>
      <c r="F421" s="34"/>
      <c r="G421" s="35"/>
      <c r="H421" s="35"/>
      <c r="I421" s="34"/>
      <c r="J421" s="34"/>
      <c r="K421" s="65"/>
      <c r="L421" s="34"/>
      <c r="M421" s="34"/>
      <c r="N421" s="188"/>
      <c r="O421" s="188"/>
      <c r="P421" s="34"/>
      <c r="Q421" s="34"/>
      <c r="R421" s="304"/>
      <c r="S421" s="34"/>
      <c r="T421" s="34"/>
      <c r="U421" s="34"/>
      <c r="V421" s="34"/>
      <c r="W421" s="105"/>
      <c r="X421" s="105"/>
    </row>
    <row r="422" spans="1:24" ht="12.75">
      <c r="A422" s="309"/>
      <c r="B422" s="309"/>
      <c r="C422" s="34"/>
      <c r="D422" s="362"/>
      <c r="E422" s="34"/>
      <c r="F422" s="34"/>
      <c r="G422" s="35"/>
      <c r="H422" s="35"/>
      <c r="I422" s="34"/>
      <c r="J422" s="34"/>
      <c r="K422" s="65"/>
      <c r="L422" s="34"/>
      <c r="M422" s="34"/>
      <c r="N422" s="188"/>
      <c r="O422" s="188"/>
      <c r="P422" s="34"/>
      <c r="Q422" s="34"/>
      <c r="R422" s="304"/>
      <c r="S422" s="34"/>
      <c r="T422" s="34"/>
      <c r="U422" s="34"/>
      <c r="V422" s="34"/>
      <c r="W422" s="105"/>
      <c r="X422" s="105"/>
    </row>
    <row r="423" spans="1:24" ht="12.75">
      <c r="A423" s="309"/>
      <c r="B423" s="309"/>
      <c r="C423" s="34"/>
      <c r="D423" s="362"/>
      <c r="E423" s="34"/>
      <c r="F423" s="34"/>
      <c r="G423" s="35"/>
      <c r="H423" s="35"/>
      <c r="I423" s="34"/>
      <c r="J423" s="34"/>
      <c r="K423" s="65"/>
      <c r="L423" s="34"/>
      <c r="M423" s="34"/>
      <c r="N423" s="188"/>
      <c r="O423" s="188"/>
      <c r="P423" s="34"/>
      <c r="Q423" s="34"/>
      <c r="R423" s="304"/>
      <c r="S423" s="34"/>
      <c r="T423" s="34"/>
      <c r="U423" s="34"/>
      <c r="V423" s="34"/>
      <c r="W423" s="105"/>
      <c r="X423" s="105"/>
    </row>
    <row r="424" spans="1:24" ht="12.75">
      <c r="A424" s="309"/>
      <c r="B424" s="309"/>
      <c r="C424" s="34"/>
      <c r="D424" s="362"/>
      <c r="E424" s="34"/>
      <c r="F424" s="34"/>
      <c r="G424" s="35"/>
      <c r="H424" s="35"/>
      <c r="I424" s="34"/>
      <c r="J424" s="34"/>
      <c r="K424" s="65"/>
      <c r="L424" s="34"/>
      <c r="M424" s="34"/>
      <c r="N424" s="188"/>
      <c r="O424" s="188"/>
      <c r="P424" s="34"/>
      <c r="Q424" s="34"/>
      <c r="R424" s="304"/>
      <c r="S424" s="34"/>
      <c r="T424" s="34"/>
      <c r="U424" s="34"/>
      <c r="V424" s="34"/>
      <c r="W424" s="105"/>
      <c r="X424" s="105"/>
    </row>
    <row r="425" spans="1:24" ht="12.75">
      <c r="A425" s="309"/>
      <c r="B425" s="309"/>
      <c r="C425" s="34"/>
      <c r="D425" s="362"/>
      <c r="E425" s="34"/>
      <c r="F425" s="34"/>
      <c r="G425" s="35"/>
      <c r="H425" s="35"/>
      <c r="I425" s="34"/>
      <c r="J425" s="34"/>
      <c r="K425" s="65"/>
      <c r="L425" s="34"/>
      <c r="M425" s="34"/>
      <c r="N425" s="188"/>
      <c r="O425" s="188"/>
      <c r="P425" s="34"/>
      <c r="Q425" s="34"/>
      <c r="R425" s="304"/>
      <c r="S425" s="34"/>
      <c r="T425" s="34"/>
      <c r="U425" s="34"/>
      <c r="V425" s="34"/>
      <c r="W425" s="105"/>
      <c r="X425" s="105"/>
    </row>
    <row r="426" spans="1:24" ht="12.75">
      <c r="A426" s="309"/>
      <c r="B426" s="309"/>
      <c r="C426" s="34"/>
      <c r="D426" s="362"/>
      <c r="E426" s="34"/>
      <c r="F426" s="34"/>
      <c r="G426" s="35"/>
      <c r="H426" s="35"/>
      <c r="I426" s="34"/>
      <c r="J426" s="34"/>
      <c r="K426" s="65"/>
      <c r="L426" s="34"/>
      <c r="M426" s="34"/>
      <c r="N426" s="188"/>
      <c r="O426" s="188"/>
      <c r="P426" s="34"/>
      <c r="Q426" s="34"/>
      <c r="R426" s="304"/>
      <c r="S426" s="34"/>
      <c r="T426" s="34"/>
      <c r="U426" s="34"/>
      <c r="V426" s="34"/>
      <c r="W426" s="105"/>
      <c r="X426" s="105"/>
    </row>
    <row r="427" spans="1:24" ht="12.75">
      <c r="A427" s="309"/>
      <c r="B427" s="309"/>
      <c r="C427" s="34"/>
      <c r="D427" s="362"/>
      <c r="E427" s="34"/>
      <c r="F427" s="34"/>
      <c r="G427" s="35"/>
      <c r="H427" s="35"/>
      <c r="I427" s="34"/>
      <c r="J427" s="34"/>
      <c r="K427" s="65"/>
      <c r="L427" s="34"/>
      <c r="M427" s="34"/>
      <c r="N427" s="188"/>
      <c r="O427" s="188"/>
      <c r="P427" s="34"/>
      <c r="Q427" s="34"/>
      <c r="R427" s="304"/>
      <c r="S427" s="34"/>
      <c r="T427" s="34"/>
      <c r="U427" s="34"/>
      <c r="V427" s="34"/>
      <c r="W427" s="105"/>
      <c r="X427" s="105"/>
    </row>
    <row r="428" spans="1:24" ht="12.75">
      <c r="A428" s="309"/>
      <c r="B428" s="309"/>
      <c r="C428" s="34"/>
      <c r="D428" s="362"/>
      <c r="E428" s="34"/>
      <c r="F428" s="34"/>
      <c r="G428" s="35"/>
      <c r="H428" s="35"/>
      <c r="I428" s="34"/>
      <c r="J428" s="34"/>
      <c r="K428" s="65"/>
      <c r="L428" s="34"/>
      <c r="M428" s="34"/>
      <c r="N428" s="188"/>
      <c r="O428" s="188"/>
      <c r="P428" s="34"/>
      <c r="Q428" s="34"/>
      <c r="R428" s="304"/>
      <c r="S428" s="34"/>
      <c r="T428" s="34"/>
      <c r="U428" s="34"/>
      <c r="V428" s="34"/>
      <c r="W428" s="105"/>
      <c r="X428" s="105"/>
    </row>
    <row r="429" spans="1:24" ht="12.75">
      <c r="A429" s="309"/>
      <c r="B429" s="309"/>
      <c r="C429" s="34"/>
      <c r="D429" s="362"/>
      <c r="E429" s="34"/>
      <c r="F429" s="34"/>
      <c r="G429" s="35"/>
      <c r="H429" s="35"/>
      <c r="I429" s="34"/>
      <c r="J429" s="34"/>
      <c r="K429" s="65"/>
      <c r="L429" s="34"/>
      <c r="M429" s="34"/>
      <c r="N429" s="188"/>
      <c r="O429" s="188"/>
      <c r="P429" s="34"/>
      <c r="Q429" s="34"/>
      <c r="R429" s="304"/>
      <c r="S429" s="34"/>
      <c r="T429" s="34"/>
      <c r="U429" s="34"/>
      <c r="V429" s="34"/>
      <c r="W429" s="105"/>
      <c r="X429" s="105"/>
    </row>
    <row r="430" spans="1:24" ht="12.75">
      <c r="A430" s="309"/>
      <c r="B430" s="309"/>
      <c r="C430" s="34"/>
      <c r="D430" s="362"/>
      <c r="E430" s="34"/>
      <c r="F430" s="34"/>
      <c r="G430" s="35"/>
      <c r="H430" s="35"/>
      <c r="I430" s="34"/>
      <c r="J430" s="34"/>
      <c r="K430" s="65"/>
      <c r="L430" s="34"/>
      <c r="M430" s="34"/>
      <c r="N430" s="188"/>
      <c r="O430" s="188"/>
      <c r="P430" s="34"/>
      <c r="Q430" s="34"/>
      <c r="R430" s="304"/>
      <c r="S430" s="34"/>
      <c r="T430" s="34"/>
      <c r="U430" s="34"/>
      <c r="V430" s="34"/>
      <c r="W430" s="105"/>
      <c r="X430" s="105"/>
    </row>
    <row r="431" spans="1:24" ht="12.75">
      <c r="A431" s="309"/>
      <c r="B431" s="309"/>
      <c r="C431" s="34"/>
      <c r="D431" s="362"/>
      <c r="E431" s="34"/>
      <c r="F431" s="34"/>
      <c r="G431" s="35"/>
      <c r="H431" s="35"/>
      <c r="I431" s="34"/>
      <c r="J431" s="34"/>
      <c r="K431" s="65"/>
      <c r="L431" s="34"/>
      <c r="M431" s="34"/>
      <c r="N431" s="188"/>
      <c r="O431" s="188"/>
      <c r="P431" s="34"/>
      <c r="Q431" s="34"/>
      <c r="R431" s="304"/>
      <c r="S431" s="34"/>
      <c r="T431" s="34"/>
      <c r="U431" s="34"/>
      <c r="V431" s="34"/>
      <c r="W431" s="105"/>
      <c r="X431" s="105"/>
    </row>
    <row r="432" spans="1:24" ht="12.75">
      <c r="A432" s="309"/>
      <c r="B432" s="309"/>
      <c r="C432" s="34"/>
      <c r="D432" s="362"/>
      <c r="E432" s="34"/>
      <c r="F432" s="34"/>
      <c r="G432" s="35"/>
      <c r="H432" s="35"/>
      <c r="I432" s="34"/>
      <c r="J432" s="34"/>
      <c r="K432" s="65"/>
      <c r="L432" s="34"/>
      <c r="M432" s="34"/>
      <c r="N432" s="188"/>
      <c r="O432" s="188"/>
      <c r="P432" s="34"/>
      <c r="Q432" s="34"/>
      <c r="R432" s="304"/>
      <c r="S432" s="34"/>
      <c r="T432" s="34"/>
      <c r="U432" s="34"/>
      <c r="V432" s="34"/>
      <c r="W432" s="105"/>
      <c r="X432" s="105"/>
    </row>
    <row r="433" spans="1:24" ht="12.75">
      <c r="A433" s="309"/>
      <c r="B433" s="309"/>
      <c r="C433" s="34"/>
      <c r="D433" s="362"/>
      <c r="E433" s="34"/>
      <c r="F433" s="34"/>
      <c r="G433" s="35"/>
      <c r="H433" s="35"/>
      <c r="I433" s="34"/>
      <c r="J433" s="34"/>
      <c r="K433" s="65"/>
      <c r="L433" s="34"/>
      <c r="M433" s="34"/>
      <c r="N433" s="188"/>
      <c r="O433" s="188"/>
      <c r="P433" s="34"/>
      <c r="Q433" s="34"/>
      <c r="R433" s="304"/>
      <c r="S433" s="34"/>
      <c r="T433" s="34"/>
      <c r="U433" s="34"/>
      <c r="V433" s="34"/>
      <c r="W433" s="105"/>
      <c r="X433" s="105"/>
    </row>
    <row r="434" spans="1:24" ht="12.75">
      <c r="A434" s="309"/>
      <c r="B434" s="309"/>
      <c r="C434" s="34"/>
      <c r="D434" s="362"/>
      <c r="E434" s="34"/>
      <c r="F434" s="34"/>
      <c r="G434" s="35"/>
      <c r="H434" s="35"/>
      <c r="I434" s="34"/>
      <c r="J434" s="34"/>
      <c r="K434" s="65"/>
      <c r="L434" s="34"/>
      <c r="M434" s="34"/>
      <c r="N434" s="188"/>
      <c r="O434" s="188"/>
      <c r="P434" s="34"/>
      <c r="Q434" s="34"/>
      <c r="R434" s="304"/>
      <c r="S434" s="34"/>
      <c r="T434" s="34"/>
      <c r="U434" s="34"/>
      <c r="V434" s="34"/>
      <c r="W434" s="105"/>
      <c r="X434" s="105"/>
    </row>
    <row r="435" spans="1:24" ht="12.75">
      <c r="A435" s="309"/>
      <c r="B435" s="309"/>
      <c r="C435" s="34"/>
      <c r="D435" s="362"/>
      <c r="E435" s="34"/>
      <c r="F435" s="34"/>
      <c r="G435" s="35"/>
      <c r="H435" s="35"/>
      <c r="I435" s="34"/>
      <c r="J435" s="34"/>
      <c r="K435" s="65"/>
      <c r="L435" s="34"/>
      <c r="M435" s="34"/>
      <c r="N435" s="188"/>
      <c r="O435" s="188"/>
      <c r="P435" s="34"/>
      <c r="Q435" s="34"/>
      <c r="R435" s="304"/>
      <c r="S435" s="34"/>
      <c r="T435" s="34"/>
      <c r="U435" s="34"/>
      <c r="V435" s="34"/>
      <c r="W435" s="105"/>
      <c r="X435" s="105"/>
    </row>
    <row r="436" spans="1:24" ht="12.75">
      <c r="A436" s="309"/>
      <c r="B436" s="309"/>
      <c r="C436" s="34"/>
      <c r="D436" s="362"/>
      <c r="E436" s="34"/>
      <c r="F436" s="34"/>
      <c r="G436" s="35"/>
      <c r="H436" s="35"/>
      <c r="I436" s="34"/>
      <c r="J436" s="34"/>
      <c r="K436" s="65"/>
      <c r="L436" s="34"/>
      <c r="M436" s="34"/>
      <c r="N436" s="188"/>
      <c r="O436" s="188"/>
      <c r="P436" s="34"/>
      <c r="Q436" s="34"/>
      <c r="R436" s="304"/>
      <c r="S436" s="34"/>
      <c r="T436" s="34"/>
      <c r="U436" s="34"/>
      <c r="V436" s="34"/>
      <c r="W436" s="105"/>
      <c r="X436" s="105"/>
    </row>
    <row r="437" spans="1:24" ht="12.75">
      <c r="A437" s="309"/>
      <c r="B437" s="309"/>
      <c r="C437" s="34"/>
      <c r="D437" s="362"/>
      <c r="E437" s="34"/>
      <c r="F437" s="34"/>
      <c r="G437" s="35"/>
      <c r="H437" s="35"/>
      <c r="I437" s="34"/>
      <c r="J437" s="34"/>
      <c r="K437" s="65"/>
      <c r="L437" s="34"/>
      <c r="M437" s="34"/>
      <c r="N437" s="188"/>
      <c r="O437" s="188"/>
      <c r="P437" s="34"/>
      <c r="Q437" s="34"/>
      <c r="R437" s="304"/>
      <c r="S437" s="34"/>
      <c r="T437" s="34"/>
      <c r="U437" s="34"/>
      <c r="V437" s="34"/>
      <c r="W437" s="105"/>
      <c r="X437" s="105"/>
    </row>
    <row r="438" spans="1:24" ht="12.75">
      <c r="A438" s="309"/>
      <c r="B438" s="309"/>
      <c r="C438" s="34"/>
      <c r="D438" s="362"/>
      <c r="E438" s="34"/>
      <c r="F438" s="34"/>
      <c r="G438" s="35"/>
      <c r="H438" s="35"/>
      <c r="I438" s="34"/>
      <c r="J438" s="34"/>
      <c r="K438" s="65"/>
      <c r="L438" s="34"/>
      <c r="M438" s="34"/>
      <c r="N438" s="188"/>
      <c r="O438" s="188"/>
      <c r="P438" s="34"/>
      <c r="Q438" s="34"/>
      <c r="R438" s="304"/>
      <c r="S438" s="34"/>
      <c r="T438" s="34"/>
      <c r="U438" s="34"/>
      <c r="V438" s="34"/>
      <c r="W438" s="105"/>
      <c r="X438" s="105"/>
    </row>
    <row r="439" spans="1:24" ht="12.75">
      <c r="A439" s="309"/>
      <c r="B439" s="309"/>
      <c r="C439" s="34"/>
      <c r="D439" s="362"/>
      <c r="E439" s="34"/>
      <c r="F439" s="34"/>
      <c r="G439" s="35"/>
      <c r="H439" s="35"/>
      <c r="I439" s="34"/>
      <c r="J439" s="34"/>
      <c r="K439" s="65"/>
      <c r="L439" s="34"/>
      <c r="M439" s="34"/>
      <c r="N439" s="188"/>
      <c r="O439" s="188"/>
      <c r="P439" s="34"/>
      <c r="Q439" s="34"/>
      <c r="R439" s="304"/>
      <c r="S439" s="34"/>
      <c r="T439" s="34"/>
      <c r="U439" s="34"/>
      <c r="V439" s="34"/>
      <c r="W439" s="105"/>
      <c r="X439" s="105"/>
    </row>
    <row r="440" spans="1:24" ht="12.75">
      <c r="A440" s="309"/>
      <c r="B440" s="309"/>
      <c r="C440" s="34"/>
      <c r="D440" s="362"/>
      <c r="E440" s="34"/>
      <c r="F440" s="34"/>
      <c r="G440" s="35"/>
      <c r="H440" s="35"/>
      <c r="I440" s="34"/>
      <c r="J440" s="34"/>
      <c r="K440" s="65"/>
      <c r="L440" s="34"/>
      <c r="M440" s="34"/>
      <c r="N440" s="188"/>
      <c r="O440" s="188"/>
      <c r="P440" s="34"/>
      <c r="Q440" s="34"/>
      <c r="R440" s="304"/>
      <c r="S440" s="34"/>
      <c r="T440" s="34"/>
      <c r="U440" s="34"/>
      <c r="V440" s="34"/>
      <c r="W440" s="105"/>
      <c r="X440" s="105"/>
    </row>
    <row r="441" spans="1:24" ht="12.75">
      <c r="A441" s="309"/>
      <c r="B441" s="309"/>
      <c r="C441" s="34"/>
      <c r="D441" s="362"/>
      <c r="E441" s="34"/>
      <c r="F441" s="34"/>
      <c r="G441" s="35"/>
      <c r="H441" s="35"/>
      <c r="I441" s="34"/>
      <c r="J441" s="34"/>
      <c r="K441" s="65"/>
      <c r="L441" s="34"/>
      <c r="M441" s="34"/>
      <c r="N441" s="188"/>
      <c r="O441" s="188"/>
      <c r="P441" s="34"/>
      <c r="Q441" s="34"/>
      <c r="R441" s="304"/>
      <c r="S441" s="34"/>
      <c r="T441" s="34"/>
      <c r="U441" s="34"/>
      <c r="V441" s="34"/>
      <c r="W441" s="105"/>
      <c r="X441" s="105"/>
    </row>
    <row r="442" spans="1:24" ht="12.75">
      <c r="A442" s="309"/>
      <c r="B442" s="309"/>
      <c r="C442" s="34"/>
      <c r="D442" s="362"/>
      <c r="E442" s="34"/>
      <c r="F442" s="34"/>
      <c r="G442" s="35"/>
      <c r="H442" s="35"/>
      <c r="I442" s="34"/>
      <c r="J442" s="34"/>
      <c r="K442" s="65"/>
      <c r="L442" s="34"/>
      <c r="M442" s="34"/>
      <c r="N442" s="188"/>
      <c r="O442" s="188"/>
      <c r="P442" s="34"/>
      <c r="Q442" s="34"/>
      <c r="R442" s="304"/>
      <c r="S442" s="34"/>
      <c r="T442" s="34"/>
      <c r="U442" s="34"/>
      <c r="V442" s="34"/>
      <c r="W442" s="105"/>
      <c r="X442" s="105"/>
    </row>
    <row r="443" spans="1:24" ht="12.75">
      <c r="A443" s="309"/>
      <c r="B443" s="309"/>
      <c r="C443" s="34"/>
      <c r="D443" s="362"/>
      <c r="E443" s="34"/>
      <c r="F443" s="34"/>
      <c r="G443" s="35"/>
      <c r="H443" s="35"/>
      <c r="I443" s="34"/>
      <c r="J443" s="34"/>
      <c r="K443" s="65"/>
      <c r="L443" s="34"/>
      <c r="M443" s="34"/>
      <c r="N443" s="188"/>
      <c r="O443" s="188"/>
      <c r="P443" s="34"/>
      <c r="Q443" s="34"/>
      <c r="R443" s="304"/>
      <c r="S443" s="34"/>
      <c r="T443" s="34"/>
      <c r="U443" s="34"/>
      <c r="V443" s="34"/>
      <c r="W443" s="105"/>
      <c r="X443" s="105"/>
    </row>
    <row r="444" spans="1:24" ht="12.75">
      <c r="A444" s="309"/>
      <c r="B444" s="309"/>
      <c r="C444" s="34"/>
      <c r="D444" s="362"/>
      <c r="E444" s="34"/>
      <c r="F444" s="34"/>
      <c r="G444" s="35"/>
      <c r="H444" s="35"/>
      <c r="I444" s="34"/>
      <c r="J444" s="34"/>
      <c r="K444" s="65"/>
      <c r="L444" s="34"/>
      <c r="M444" s="34"/>
      <c r="N444" s="188"/>
      <c r="O444" s="188"/>
      <c r="P444" s="34"/>
      <c r="Q444" s="34"/>
      <c r="R444" s="304"/>
      <c r="S444" s="34"/>
      <c r="T444" s="34"/>
      <c r="U444" s="34"/>
      <c r="V444" s="34"/>
      <c r="W444" s="105"/>
      <c r="X444" s="105"/>
    </row>
    <row r="445" spans="1:24" ht="12.75">
      <c r="A445" s="309"/>
      <c r="B445" s="309"/>
      <c r="C445" s="34"/>
      <c r="D445" s="362"/>
      <c r="E445" s="34"/>
      <c r="F445" s="34"/>
      <c r="G445" s="35"/>
      <c r="H445" s="35"/>
      <c r="I445" s="34"/>
      <c r="J445" s="34"/>
      <c r="K445" s="65"/>
      <c r="L445" s="34"/>
      <c r="M445" s="34"/>
      <c r="N445" s="188"/>
      <c r="O445" s="188"/>
      <c r="P445" s="34"/>
      <c r="Q445" s="34"/>
      <c r="R445" s="304"/>
      <c r="S445" s="34"/>
      <c r="T445" s="34"/>
      <c r="U445" s="34"/>
      <c r="V445" s="34"/>
      <c r="W445" s="105"/>
      <c r="X445" s="105"/>
    </row>
    <row r="446" spans="1:24" ht="12.75">
      <c r="A446" s="309"/>
      <c r="B446" s="309"/>
      <c r="C446" s="34"/>
      <c r="D446" s="362"/>
      <c r="E446" s="34"/>
      <c r="F446" s="34"/>
      <c r="G446" s="35"/>
      <c r="H446" s="35"/>
      <c r="I446" s="34"/>
      <c r="J446" s="34"/>
      <c r="K446" s="65"/>
      <c r="L446" s="34"/>
      <c r="M446" s="34"/>
      <c r="N446" s="188"/>
      <c r="O446" s="188"/>
      <c r="P446" s="34"/>
      <c r="Q446" s="34"/>
      <c r="R446" s="304"/>
      <c r="S446" s="34"/>
      <c r="T446" s="34"/>
      <c r="U446" s="34"/>
      <c r="V446" s="34"/>
      <c r="W446" s="105"/>
      <c r="X446" s="105"/>
    </row>
    <row r="447" spans="1:24" ht="12.75">
      <c r="A447" s="309"/>
      <c r="B447" s="309"/>
      <c r="C447" s="34"/>
      <c r="D447" s="362"/>
      <c r="E447" s="34"/>
      <c r="F447" s="34"/>
      <c r="G447" s="35"/>
      <c r="H447" s="35"/>
      <c r="I447" s="34"/>
      <c r="J447" s="34"/>
      <c r="K447" s="65"/>
      <c r="L447" s="34"/>
      <c r="M447" s="34"/>
      <c r="N447" s="188"/>
      <c r="O447" s="188"/>
      <c r="P447" s="34"/>
      <c r="Q447" s="34"/>
      <c r="R447" s="304"/>
      <c r="S447" s="34"/>
      <c r="T447" s="34"/>
      <c r="U447" s="34"/>
      <c r="V447" s="34"/>
      <c r="W447" s="105"/>
      <c r="X447" s="105"/>
    </row>
    <row r="448" spans="1:24" ht="12.75">
      <c r="A448" s="309"/>
      <c r="B448" s="309"/>
      <c r="C448" s="34"/>
      <c r="D448" s="362"/>
      <c r="E448" s="34"/>
      <c r="F448" s="34"/>
      <c r="G448" s="35"/>
      <c r="H448" s="35"/>
      <c r="I448" s="34"/>
      <c r="J448" s="34"/>
      <c r="K448" s="65"/>
      <c r="L448" s="34"/>
      <c r="M448" s="34"/>
      <c r="N448" s="188"/>
      <c r="O448" s="188"/>
      <c r="P448" s="34"/>
      <c r="Q448" s="34"/>
      <c r="R448" s="304"/>
      <c r="S448" s="34"/>
      <c r="T448" s="34"/>
      <c r="U448" s="34"/>
      <c r="V448" s="34"/>
      <c r="W448" s="105"/>
      <c r="X448" s="105"/>
    </row>
    <row r="449" spans="1:24" ht="12.75">
      <c r="A449" s="309"/>
      <c r="B449" s="309"/>
      <c r="C449" s="34"/>
      <c r="D449" s="362"/>
      <c r="E449" s="34"/>
      <c r="F449" s="34"/>
      <c r="G449" s="35"/>
      <c r="H449" s="35"/>
      <c r="I449" s="34"/>
      <c r="J449" s="34"/>
      <c r="K449" s="65"/>
      <c r="L449" s="34"/>
      <c r="M449" s="34"/>
      <c r="N449" s="188"/>
      <c r="O449" s="188"/>
      <c r="P449" s="34"/>
      <c r="Q449" s="34"/>
      <c r="R449" s="304"/>
      <c r="S449" s="34"/>
      <c r="T449" s="34"/>
      <c r="U449" s="34"/>
      <c r="V449" s="34"/>
      <c r="W449" s="105"/>
      <c r="X449" s="105"/>
    </row>
    <row r="450" spans="1:24" ht="12.75">
      <c r="A450" s="309"/>
      <c r="B450" s="309"/>
      <c r="C450" s="34"/>
      <c r="D450" s="362"/>
      <c r="E450" s="34"/>
      <c r="F450" s="34"/>
      <c r="G450" s="35"/>
      <c r="H450" s="35"/>
      <c r="I450" s="34"/>
      <c r="J450" s="34"/>
      <c r="K450" s="65"/>
      <c r="L450" s="34"/>
      <c r="M450" s="34"/>
      <c r="N450" s="188"/>
      <c r="O450" s="188"/>
      <c r="P450" s="34"/>
      <c r="Q450" s="34"/>
      <c r="R450" s="304"/>
      <c r="S450" s="34"/>
      <c r="T450" s="34"/>
      <c r="U450" s="34"/>
      <c r="V450" s="34"/>
      <c r="W450" s="105"/>
      <c r="X450" s="105"/>
    </row>
    <row r="451" spans="1:24" ht="12.75">
      <c r="A451" s="309"/>
      <c r="B451" s="309"/>
      <c r="C451" s="34"/>
      <c r="D451" s="362"/>
      <c r="E451" s="34"/>
      <c r="F451" s="34"/>
      <c r="G451" s="35"/>
      <c r="H451" s="35"/>
      <c r="I451" s="34"/>
      <c r="J451" s="34"/>
      <c r="K451" s="65"/>
      <c r="L451" s="34"/>
      <c r="M451" s="34"/>
      <c r="N451" s="188"/>
      <c r="O451" s="188"/>
      <c r="P451" s="34"/>
      <c r="Q451" s="34"/>
      <c r="R451" s="304"/>
      <c r="S451" s="34"/>
      <c r="T451" s="34"/>
      <c r="U451" s="34"/>
      <c r="V451" s="34"/>
      <c r="W451" s="105"/>
      <c r="X451" s="105"/>
    </row>
    <row r="452" spans="1:24" ht="12.75">
      <c r="A452" s="309"/>
      <c r="B452" s="309"/>
      <c r="C452" s="34"/>
      <c r="D452" s="362"/>
      <c r="E452" s="34"/>
      <c r="F452" s="34"/>
      <c r="G452" s="35"/>
      <c r="H452" s="35"/>
      <c r="I452" s="34"/>
      <c r="J452" s="34"/>
      <c r="K452" s="65"/>
      <c r="L452" s="34"/>
      <c r="M452" s="34"/>
      <c r="N452" s="188"/>
      <c r="O452" s="188"/>
      <c r="P452" s="34"/>
      <c r="Q452" s="34"/>
      <c r="R452" s="304"/>
      <c r="S452" s="34"/>
      <c r="T452" s="34"/>
      <c r="U452" s="34"/>
      <c r="V452" s="34"/>
      <c r="W452" s="105"/>
      <c r="X452" s="105"/>
    </row>
    <row r="453" spans="1:24" ht="12.75">
      <c r="A453" s="309"/>
      <c r="B453" s="309"/>
      <c r="C453" s="34"/>
      <c r="D453" s="362"/>
      <c r="E453" s="34"/>
      <c r="F453" s="34"/>
      <c r="G453" s="35"/>
      <c r="H453" s="35"/>
      <c r="I453" s="34"/>
      <c r="J453" s="34"/>
      <c r="K453" s="65"/>
      <c r="L453" s="34"/>
      <c r="M453" s="34"/>
      <c r="N453" s="188"/>
      <c r="O453" s="188"/>
      <c r="P453" s="34"/>
      <c r="Q453" s="34"/>
      <c r="R453" s="304"/>
      <c r="S453" s="34"/>
      <c r="T453" s="34"/>
      <c r="U453" s="34"/>
      <c r="V453" s="34"/>
      <c r="W453" s="105"/>
      <c r="X453" s="105"/>
    </row>
    <row r="454" spans="1:24" ht="12.75">
      <c r="A454" s="309"/>
      <c r="B454" s="309"/>
      <c r="C454" s="34"/>
      <c r="D454" s="362"/>
      <c r="E454" s="34"/>
      <c r="F454" s="34"/>
      <c r="G454" s="35"/>
      <c r="H454" s="35"/>
      <c r="I454" s="34"/>
      <c r="J454" s="34"/>
      <c r="K454" s="65"/>
      <c r="L454" s="34"/>
      <c r="M454" s="34"/>
      <c r="N454" s="188"/>
      <c r="O454" s="188"/>
      <c r="P454" s="34"/>
      <c r="Q454" s="34"/>
      <c r="R454" s="304"/>
      <c r="S454" s="34"/>
      <c r="T454" s="34"/>
      <c r="U454" s="34"/>
      <c r="V454" s="34"/>
      <c r="W454" s="105"/>
      <c r="X454" s="105"/>
    </row>
    <row r="455" spans="1:24" ht="12.75">
      <c r="A455" s="309"/>
      <c r="B455" s="309"/>
      <c r="C455" s="34"/>
      <c r="D455" s="362"/>
      <c r="E455" s="34"/>
      <c r="F455" s="34"/>
      <c r="G455" s="35"/>
      <c r="H455" s="35"/>
      <c r="I455" s="34"/>
      <c r="J455" s="34"/>
      <c r="K455" s="65"/>
      <c r="L455" s="34"/>
      <c r="M455" s="34"/>
      <c r="N455" s="188"/>
      <c r="O455" s="188"/>
      <c r="P455" s="34"/>
      <c r="Q455" s="34"/>
      <c r="R455" s="304"/>
      <c r="S455" s="34"/>
      <c r="T455" s="34"/>
      <c r="U455" s="34"/>
      <c r="V455" s="34"/>
      <c r="W455" s="105"/>
      <c r="X455" s="105"/>
    </row>
    <row r="456" spans="1:24" ht="12.75">
      <c r="A456" s="309"/>
      <c r="B456" s="309"/>
      <c r="C456" s="34"/>
      <c r="D456" s="362"/>
      <c r="E456" s="34"/>
      <c r="F456" s="34"/>
      <c r="G456" s="35"/>
      <c r="H456" s="35"/>
      <c r="I456" s="34"/>
      <c r="J456" s="34"/>
      <c r="K456" s="65"/>
      <c r="L456" s="34"/>
      <c r="M456" s="34"/>
      <c r="N456" s="188"/>
      <c r="O456" s="188"/>
      <c r="P456" s="34"/>
      <c r="Q456" s="34"/>
      <c r="R456" s="304"/>
      <c r="S456" s="34"/>
      <c r="T456" s="34"/>
      <c r="U456" s="34"/>
      <c r="V456" s="34"/>
      <c r="W456" s="105"/>
      <c r="X456" s="105"/>
    </row>
    <row r="457" spans="1:24" ht="12.75">
      <c r="A457" s="309"/>
      <c r="B457" s="309"/>
      <c r="C457" s="34"/>
      <c r="D457" s="362"/>
      <c r="E457" s="34"/>
      <c r="F457" s="34"/>
      <c r="G457" s="35"/>
      <c r="H457" s="35"/>
      <c r="I457" s="34"/>
      <c r="J457" s="34"/>
      <c r="K457" s="65"/>
      <c r="L457" s="34"/>
      <c r="M457" s="34"/>
      <c r="N457" s="188"/>
      <c r="O457" s="188"/>
      <c r="P457" s="34"/>
      <c r="Q457" s="34"/>
      <c r="R457" s="304"/>
      <c r="S457" s="34"/>
      <c r="T457" s="34"/>
      <c r="U457" s="34"/>
      <c r="V457" s="34"/>
      <c r="W457" s="105"/>
      <c r="X457" s="105"/>
    </row>
    <row r="458" spans="1:24" ht="12.75">
      <c r="A458" s="309"/>
      <c r="B458" s="309"/>
      <c r="C458" s="34"/>
      <c r="D458" s="362"/>
      <c r="E458" s="34"/>
      <c r="F458" s="34"/>
      <c r="G458" s="35"/>
      <c r="H458" s="35"/>
      <c r="I458" s="34"/>
      <c r="J458" s="34"/>
      <c r="K458" s="65"/>
      <c r="L458" s="34"/>
      <c r="M458" s="34"/>
      <c r="N458" s="188"/>
      <c r="O458" s="188"/>
      <c r="P458" s="34"/>
      <c r="Q458" s="34"/>
      <c r="R458" s="304"/>
      <c r="S458" s="34"/>
      <c r="T458" s="34"/>
      <c r="U458" s="34"/>
      <c r="V458" s="34"/>
      <c r="W458" s="105"/>
      <c r="X458" s="105"/>
    </row>
    <row r="459" spans="1:24" ht="12.75">
      <c r="A459" s="309"/>
      <c r="B459" s="309"/>
      <c r="C459" s="34"/>
      <c r="D459" s="362"/>
      <c r="E459" s="34"/>
      <c r="F459" s="34"/>
      <c r="G459" s="35"/>
      <c r="H459" s="35"/>
      <c r="I459" s="34"/>
      <c r="J459" s="34"/>
      <c r="K459" s="65"/>
      <c r="L459" s="34"/>
      <c r="M459" s="34"/>
      <c r="N459" s="188"/>
      <c r="O459" s="188"/>
      <c r="P459" s="34"/>
      <c r="Q459" s="34"/>
      <c r="R459" s="304"/>
      <c r="S459" s="34"/>
      <c r="T459" s="34"/>
      <c r="U459" s="34"/>
      <c r="V459" s="34"/>
      <c r="W459" s="105"/>
      <c r="X459" s="105"/>
    </row>
    <row r="460" spans="1:24" ht="12.75">
      <c r="A460" s="309"/>
      <c r="B460" s="309"/>
      <c r="C460" s="34"/>
      <c r="D460" s="362"/>
      <c r="E460" s="34"/>
      <c r="F460" s="34"/>
      <c r="G460" s="35"/>
      <c r="H460" s="35"/>
      <c r="I460" s="34"/>
      <c r="J460" s="34"/>
      <c r="K460" s="65"/>
      <c r="L460" s="34"/>
      <c r="M460" s="34"/>
      <c r="N460" s="188"/>
      <c r="O460" s="188"/>
      <c r="P460" s="34"/>
      <c r="Q460" s="34"/>
      <c r="R460" s="304"/>
      <c r="S460" s="34"/>
      <c r="T460" s="34"/>
      <c r="U460" s="34"/>
      <c r="V460" s="34"/>
      <c r="W460" s="105"/>
      <c r="X460" s="105"/>
    </row>
    <row r="461" spans="1:24" ht="12.75">
      <c r="A461" s="309"/>
      <c r="B461" s="309"/>
      <c r="C461" s="34"/>
      <c r="D461" s="362"/>
      <c r="E461" s="34"/>
      <c r="F461" s="34"/>
      <c r="G461" s="35"/>
      <c r="H461" s="35"/>
      <c r="I461" s="34"/>
      <c r="J461" s="34"/>
      <c r="K461" s="65"/>
      <c r="L461" s="34"/>
      <c r="M461" s="34"/>
      <c r="N461" s="188"/>
      <c r="O461" s="188"/>
      <c r="P461" s="34"/>
      <c r="Q461" s="34"/>
      <c r="R461" s="304"/>
      <c r="S461" s="34"/>
      <c r="T461" s="34"/>
      <c r="U461" s="34"/>
      <c r="V461" s="34"/>
      <c r="W461" s="105"/>
      <c r="X461" s="105"/>
    </row>
    <row r="462" spans="1:24" ht="12.75">
      <c r="A462" s="309"/>
      <c r="B462" s="309"/>
      <c r="C462" s="34"/>
      <c r="D462" s="362"/>
      <c r="E462" s="34"/>
      <c r="F462" s="34"/>
      <c r="G462" s="35"/>
      <c r="H462" s="35"/>
      <c r="I462" s="34"/>
      <c r="J462" s="34"/>
      <c r="K462" s="65"/>
      <c r="L462" s="34"/>
      <c r="M462" s="34"/>
      <c r="N462" s="188"/>
      <c r="O462" s="188"/>
      <c r="P462" s="34"/>
      <c r="Q462" s="34"/>
      <c r="R462" s="304"/>
      <c r="S462" s="34"/>
      <c r="T462" s="34"/>
      <c r="U462" s="34"/>
      <c r="V462" s="34"/>
      <c r="W462" s="105"/>
      <c r="X462" s="105"/>
    </row>
    <row r="463" spans="1:24" ht="12.75">
      <c r="A463" s="309"/>
      <c r="B463" s="309"/>
      <c r="C463" s="34"/>
      <c r="D463" s="362"/>
      <c r="E463" s="34"/>
      <c r="F463" s="34"/>
      <c r="G463" s="35"/>
      <c r="H463" s="35"/>
      <c r="I463" s="34"/>
      <c r="J463" s="34"/>
      <c r="K463" s="65"/>
      <c r="L463" s="34"/>
      <c r="M463" s="34"/>
      <c r="N463" s="188"/>
      <c r="O463" s="188"/>
      <c r="P463" s="34"/>
      <c r="Q463" s="34"/>
      <c r="R463" s="304"/>
      <c r="S463" s="34"/>
      <c r="T463" s="34"/>
      <c r="U463" s="34"/>
      <c r="V463" s="34"/>
      <c r="W463" s="105"/>
      <c r="X463" s="105"/>
    </row>
    <row r="464" spans="1:24" ht="12.75">
      <c r="A464" s="309"/>
      <c r="B464" s="309"/>
      <c r="C464" s="34"/>
      <c r="D464" s="362"/>
      <c r="E464" s="34"/>
      <c r="F464" s="34"/>
      <c r="G464" s="35"/>
      <c r="H464" s="35"/>
      <c r="I464" s="34"/>
      <c r="J464" s="34"/>
      <c r="K464" s="65"/>
      <c r="L464" s="34"/>
      <c r="M464" s="34"/>
      <c r="N464" s="188"/>
      <c r="O464" s="188"/>
      <c r="P464" s="34"/>
      <c r="Q464" s="34"/>
      <c r="R464" s="304"/>
      <c r="S464" s="34"/>
      <c r="T464" s="34"/>
      <c r="U464" s="34"/>
      <c r="V464" s="34"/>
      <c r="W464" s="105"/>
      <c r="X464" s="105"/>
    </row>
    <row r="465" spans="1:24" ht="12.75">
      <c r="A465" s="309"/>
      <c r="B465" s="309"/>
      <c r="C465" s="34"/>
      <c r="D465" s="362"/>
      <c r="E465" s="34"/>
      <c r="F465" s="34"/>
      <c r="G465" s="35"/>
      <c r="H465" s="35"/>
      <c r="I465" s="34"/>
      <c r="J465" s="34"/>
      <c r="K465" s="65"/>
      <c r="L465" s="34"/>
      <c r="M465" s="34"/>
      <c r="N465" s="188"/>
      <c r="O465" s="188"/>
      <c r="P465" s="34"/>
      <c r="Q465" s="34"/>
      <c r="R465" s="304"/>
      <c r="S465" s="34"/>
      <c r="T465" s="34"/>
      <c r="U465" s="34"/>
      <c r="V465" s="34"/>
      <c r="W465" s="105"/>
      <c r="X465" s="105"/>
    </row>
    <row r="466" spans="1:24" ht="12.75">
      <c r="A466" s="309"/>
      <c r="B466" s="309"/>
      <c r="C466" s="34"/>
      <c r="D466" s="362"/>
      <c r="E466" s="34"/>
      <c r="F466" s="34"/>
      <c r="G466" s="35"/>
      <c r="H466" s="35"/>
      <c r="I466" s="34"/>
      <c r="J466" s="34"/>
      <c r="K466" s="65"/>
      <c r="L466" s="34"/>
      <c r="M466" s="34"/>
      <c r="N466" s="188"/>
      <c r="O466" s="188"/>
      <c r="P466" s="34"/>
      <c r="Q466" s="34"/>
      <c r="R466" s="304"/>
      <c r="S466" s="34"/>
      <c r="T466" s="34"/>
      <c r="U466" s="34"/>
      <c r="V466" s="34"/>
      <c r="W466" s="105"/>
      <c r="X466" s="105"/>
    </row>
    <row r="467" spans="1:24" ht="12.75">
      <c r="A467" s="309"/>
      <c r="B467" s="309"/>
      <c r="C467" s="34"/>
      <c r="D467" s="362"/>
      <c r="E467" s="34"/>
      <c r="F467" s="34"/>
      <c r="G467" s="35"/>
      <c r="H467" s="35"/>
      <c r="I467" s="34"/>
      <c r="J467" s="34"/>
      <c r="K467" s="65"/>
      <c r="L467" s="34"/>
      <c r="M467" s="34"/>
      <c r="N467" s="188"/>
      <c r="O467" s="188"/>
      <c r="P467" s="34"/>
      <c r="Q467" s="34"/>
      <c r="R467" s="304"/>
      <c r="S467" s="34"/>
      <c r="T467" s="34"/>
      <c r="U467" s="34"/>
      <c r="V467" s="34"/>
      <c r="W467" s="105"/>
      <c r="X467" s="105"/>
    </row>
    <row r="468" spans="1:24" ht="12.75">
      <c r="A468" s="309"/>
      <c r="B468" s="309"/>
      <c r="C468" s="34"/>
      <c r="D468" s="362"/>
      <c r="E468" s="34"/>
      <c r="F468" s="34"/>
      <c r="G468" s="35"/>
      <c r="H468" s="35"/>
      <c r="I468" s="34"/>
      <c r="J468" s="34"/>
      <c r="K468" s="65"/>
      <c r="L468" s="34"/>
      <c r="M468" s="34"/>
      <c r="N468" s="188"/>
      <c r="O468" s="188"/>
      <c r="P468" s="34"/>
      <c r="Q468" s="34"/>
      <c r="R468" s="304"/>
      <c r="S468" s="34"/>
      <c r="T468" s="34"/>
      <c r="U468" s="34"/>
      <c r="V468" s="34"/>
      <c r="W468" s="105"/>
      <c r="X468" s="105"/>
    </row>
    <row r="469" spans="1:24" ht="12.75">
      <c r="A469" s="309"/>
      <c r="B469" s="309"/>
      <c r="C469" s="34"/>
      <c r="D469" s="362"/>
      <c r="E469" s="34"/>
      <c r="F469" s="34"/>
      <c r="G469" s="35"/>
      <c r="H469" s="35"/>
      <c r="I469" s="34"/>
      <c r="J469" s="34"/>
      <c r="K469" s="65"/>
      <c r="L469" s="34"/>
      <c r="M469" s="34"/>
      <c r="N469" s="188"/>
      <c r="O469" s="188"/>
      <c r="P469" s="34"/>
      <c r="Q469" s="34"/>
      <c r="R469" s="304"/>
      <c r="S469" s="34"/>
      <c r="T469" s="34"/>
      <c r="U469" s="34"/>
      <c r="V469" s="34"/>
      <c r="W469" s="105"/>
      <c r="X469" s="105"/>
    </row>
    <row r="470" spans="1:24" ht="12.75">
      <c r="A470" s="309"/>
      <c r="B470" s="309"/>
      <c r="C470" s="34"/>
      <c r="D470" s="362"/>
      <c r="E470" s="34"/>
      <c r="F470" s="34"/>
      <c r="G470" s="35"/>
      <c r="H470" s="35"/>
      <c r="I470" s="34"/>
      <c r="J470" s="34"/>
      <c r="K470" s="65"/>
      <c r="L470" s="34"/>
      <c r="M470" s="34"/>
      <c r="N470" s="188"/>
      <c r="O470" s="188"/>
      <c r="P470" s="34"/>
      <c r="Q470" s="34"/>
      <c r="R470" s="304"/>
      <c r="S470" s="34"/>
      <c r="T470" s="34"/>
      <c r="U470" s="34"/>
      <c r="V470" s="34"/>
      <c r="W470" s="105"/>
      <c r="X470" s="105"/>
    </row>
    <row r="471" spans="1:24" ht="12.75">
      <c r="A471" s="309"/>
      <c r="B471" s="309"/>
      <c r="C471" s="34"/>
      <c r="D471" s="362"/>
      <c r="E471" s="34"/>
      <c r="F471" s="34"/>
      <c r="G471" s="35"/>
      <c r="H471" s="35"/>
      <c r="I471" s="34"/>
      <c r="J471" s="34"/>
      <c r="K471" s="65"/>
      <c r="L471" s="34"/>
      <c r="M471" s="34"/>
      <c r="N471" s="188"/>
      <c r="O471" s="188"/>
      <c r="P471" s="34"/>
      <c r="Q471" s="34"/>
      <c r="R471" s="304"/>
      <c r="S471" s="34"/>
      <c r="T471" s="34"/>
      <c r="U471" s="34"/>
      <c r="V471" s="34"/>
      <c r="W471" s="105"/>
      <c r="X471" s="105"/>
    </row>
    <row r="472" spans="1:24" ht="12.75">
      <c r="A472" s="309"/>
      <c r="B472" s="309"/>
      <c r="C472" s="34"/>
      <c r="D472" s="362"/>
      <c r="E472" s="34"/>
      <c r="F472" s="34"/>
      <c r="G472" s="35"/>
      <c r="H472" s="35"/>
      <c r="I472" s="34"/>
      <c r="J472" s="34"/>
      <c r="K472" s="65"/>
      <c r="L472" s="34"/>
      <c r="M472" s="34"/>
      <c r="N472" s="188"/>
      <c r="O472" s="188"/>
      <c r="P472" s="34"/>
      <c r="Q472" s="34"/>
      <c r="R472" s="304"/>
      <c r="S472" s="34"/>
      <c r="T472" s="34"/>
      <c r="U472" s="34"/>
      <c r="V472" s="34"/>
      <c r="W472" s="105"/>
      <c r="X472" s="105"/>
    </row>
    <row r="473" spans="1:24" ht="12.75">
      <c r="A473" s="309"/>
      <c r="B473" s="309"/>
      <c r="C473" s="34"/>
      <c r="D473" s="362"/>
      <c r="E473" s="34"/>
      <c r="F473" s="34"/>
      <c r="G473" s="35"/>
      <c r="H473" s="35"/>
      <c r="I473" s="34"/>
      <c r="J473" s="34"/>
      <c r="K473" s="65"/>
      <c r="L473" s="34"/>
      <c r="M473" s="34"/>
      <c r="N473" s="188"/>
      <c r="O473" s="188"/>
      <c r="P473" s="34"/>
      <c r="Q473" s="34"/>
      <c r="R473" s="304"/>
      <c r="S473" s="34"/>
      <c r="T473" s="34"/>
      <c r="U473" s="34"/>
      <c r="V473" s="34"/>
      <c r="W473" s="105"/>
      <c r="X473" s="105"/>
    </row>
    <row r="474" spans="1:24" ht="12.75">
      <c r="A474" s="309"/>
      <c r="B474" s="309"/>
      <c r="C474" s="34"/>
      <c r="D474" s="362"/>
      <c r="E474" s="34"/>
      <c r="F474" s="34"/>
      <c r="G474" s="35"/>
      <c r="H474" s="35"/>
      <c r="I474" s="34"/>
      <c r="J474" s="34"/>
      <c r="K474" s="65"/>
      <c r="L474" s="34"/>
      <c r="M474" s="34"/>
      <c r="N474" s="188"/>
      <c r="O474" s="188"/>
      <c r="P474" s="34"/>
      <c r="Q474" s="34"/>
      <c r="R474" s="304"/>
      <c r="S474" s="34"/>
      <c r="T474" s="34"/>
      <c r="U474" s="34"/>
      <c r="V474" s="34"/>
      <c r="W474" s="105"/>
      <c r="X474" s="105"/>
    </row>
    <row r="475" spans="1:24" ht="12.75">
      <c r="A475" s="309"/>
      <c r="B475" s="309"/>
      <c r="C475" s="34"/>
      <c r="D475" s="362"/>
      <c r="E475" s="34"/>
      <c r="F475" s="34"/>
      <c r="G475" s="35"/>
      <c r="H475" s="35"/>
      <c r="I475" s="34"/>
      <c r="J475" s="34"/>
      <c r="K475" s="65"/>
      <c r="L475" s="34"/>
      <c r="M475" s="34"/>
      <c r="N475" s="188"/>
      <c r="O475" s="188"/>
      <c r="P475" s="34"/>
      <c r="Q475" s="34"/>
      <c r="R475" s="304"/>
      <c r="S475" s="34"/>
      <c r="T475" s="34"/>
      <c r="U475" s="34"/>
      <c r="V475" s="34"/>
      <c r="W475" s="105"/>
      <c r="X475" s="105"/>
    </row>
    <row r="476" spans="1:24" ht="12.75">
      <c r="A476" s="309"/>
      <c r="B476" s="309"/>
      <c r="C476" s="34"/>
      <c r="D476" s="362"/>
      <c r="E476" s="34"/>
      <c r="F476" s="34"/>
      <c r="G476" s="35"/>
      <c r="H476" s="35"/>
      <c r="I476" s="34"/>
      <c r="J476" s="34"/>
      <c r="K476" s="65"/>
      <c r="L476" s="34"/>
      <c r="M476" s="34"/>
      <c r="N476" s="188"/>
      <c r="O476" s="188"/>
      <c r="P476" s="34"/>
      <c r="Q476" s="34"/>
      <c r="R476" s="304"/>
      <c r="S476" s="34"/>
      <c r="T476" s="34"/>
      <c r="U476" s="34"/>
      <c r="V476" s="34"/>
      <c r="W476" s="105"/>
      <c r="X476" s="105"/>
    </row>
    <row r="477" spans="1:24" ht="12.75">
      <c r="A477" s="309"/>
      <c r="B477" s="309"/>
      <c r="C477" s="34"/>
      <c r="D477" s="362"/>
      <c r="E477" s="34"/>
      <c r="F477" s="34"/>
      <c r="G477" s="35"/>
      <c r="H477" s="35"/>
      <c r="I477" s="34"/>
      <c r="J477" s="34"/>
      <c r="K477" s="65"/>
      <c r="L477" s="34"/>
      <c r="M477" s="34"/>
      <c r="N477" s="188"/>
      <c r="O477" s="188"/>
      <c r="P477" s="34"/>
      <c r="Q477" s="34"/>
      <c r="R477" s="304"/>
      <c r="S477" s="34"/>
      <c r="T477" s="34"/>
      <c r="U477" s="34"/>
      <c r="V477" s="34"/>
      <c r="W477" s="105"/>
      <c r="X477" s="105"/>
    </row>
    <row r="478" spans="1:24" ht="12.75">
      <c r="A478" s="309"/>
      <c r="B478" s="309"/>
      <c r="C478" s="34"/>
      <c r="D478" s="362"/>
      <c r="E478" s="34"/>
      <c r="F478" s="34"/>
      <c r="G478" s="35"/>
      <c r="H478" s="35"/>
      <c r="I478" s="34"/>
      <c r="J478" s="34"/>
      <c r="K478" s="65"/>
      <c r="L478" s="34"/>
      <c r="M478" s="34"/>
      <c r="N478" s="188"/>
      <c r="O478" s="188"/>
      <c r="P478" s="34"/>
      <c r="Q478" s="34"/>
      <c r="R478" s="304"/>
      <c r="S478" s="34"/>
      <c r="T478" s="34"/>
      <c r="U478" s="34"/>
      <c r="V478" s="34"/>
      <c r="W478" s="105"/>
      <c r="X478" s="105"/>
    </row>
    <row r="479" spans="1:24" ht="12.75">
      <c r="A479" s="309"/>
      <c r="B479" s="309"/>
      <c r="C479" s="34"/>
      <c r="D479" s="362"/>
      <c r="E479" s="34"/>
      <c r="F479" s="34"/>
      <c r="G479" s="35"/>
      <c r="H479" s="35"/>
      <c r="I479" s="34"/>
      <c r="J479" s="34"/>
      <c r="K479" s="65"/>
      <c r="L479" s="34"/>
      <c r="M479" s="34"/>
      <c r="N479" s="188"/>
      <c r="O479" s="188"/>
      <c r="P479" s="34"/>
      <c r="Q479" s="34"/>
      <c r="R479" s="304"/>
      <c r="S479" s="34"/>
      <c r="T479" s="34"/>
      <c r="U479" s="34"/>
      <c r="V479" s="34"/>
      <c r="W479" s="105"/>
      <c r="X479" s="105"/>
    </row>
    <row r="480" spans="1:24" ht="12.75">
      <c r="A480" s="309"/>
      <c r="B480" s="309"/>
      <c r="C480" s="34"/>
      <c r="D480" s="362"/>
      <c r="E480" s="34"/>
      <c r="F480" s="34"/>
      <c r="G480" s="35"/>
      <c r="H480" s="35"/>
      <c r="I480" s="34"/>
      <c r="J480" s="34"/>
      <c r="K480" s="65"/>
      <c r="L480" s="34"/>
      <c r="M480" s="34"/>
      <c r="N480" s="188"/>
      <c r="O480" s="188"/>
      <c r="P480" s="34"/>
      <c r="Q480" s="34"/>
      <c r="R480" s="304"/>
      <c r="S480" s="34"/>
      <c r="T480" s="34"/>
      <c r="U480" s="34"/>
      <c r="V480" s="34"/>
      <c r="W480" s="105"/>
      <c r="X480" s="105"/>
    </row>
    <row r="481" spans="1:24" ht="12.75">
      <c r="A481" s="309"/>
      <c r="B481" s="309"/>
      <c r="C481" s="34"/>
      <c r="D481" s="362"/>
      <c r="E481" s="34"/>
      <c r="F481" s="34"/>
      <c r="G481" s="35"/>
      <c r="H481" s="35"/>
      <c r="I481" s="34"/>
      <c r="J481" s="34"/>
      <c r="K481" s="65"/>
      <c r="L481" s="34"/>
      <c r="M481" s="34"/>
      <c r="N481" s="188"/>
      <c r="O481" s="188"/>
      <c r="P481" s="34"/>
      <c r="Q481" s="34"/>
      <c r="R481" s="304"/>
      <c r="S481" s="34"/>
      <c r="T481" s="34"/>
      <c r="U481" s="34"/>
      <c r="V481" s="34"/>
      <c r="W481" s="105"/>
      <c r="X481" s="105"/>
    </row>
    <row r="482" spans="1:24" ht="12.75">
      <c r="A482" s="309"/>
      <c r="B482" s="309"/>
      <c r="C482" s="34"/>
      <c r="D482" s="362"/>
      <c r="E482" s="34"/>
      <c r="F482" s="34"/>
      <c r="G482" s="35"/>
      <c r="H482" s="35"/>
      <c r="I482" s="34"/>
      <c r="J482" s="34"/>
      <c r="K482" s="65"/>
      <c r="L482" s="34"/>
      <c r="M482" s="34"/>
      <c r="N482" s="188"/>
      <c r="O482" s="188"/>
      <c r="P482" s="34"/>
      <c r="Q482" s="34"/>
      <c r="R482" s="304"/>
      <c r="S482" s="34"/>
      <c r="T482" s="34"/>
      <c r="U482" s="34"/>
      <c r="V482" s="34"/>
      <c r="W482" s="105"/>
      <c r="X482" s="105"/>
    </row>
    <row r="483" spans="1:24" ht="12.75">
      <c r="A483" s="309"/>
      <c r="B483" s="309"/>
      <c r="C483" s="34"/>
      <c r="D483" s="362"/>
      <c r="E483" s="34"/>
      <c r="F483" s="34"/>
      <c r="G483" s="35"/>
      <c r="H483" s="35"/>
      <c r="I483" s="34"/>
      <c r="J483" s="34"/>
      <c r="K483" s="65"/>
      <c r="L483" s="34"/>
      <c r="M483" s="34"/>
      <c r="N483" s="188"/>
      <c r="O483" s="188"/>
      <c r="P483" s="34"/>
      <c r="Q483" s="34"/>
      <c r="R483" s="304"/>
      <c r="S483" s="34"/>
      <c r="T483" s="34"/>
      <c r="U483" s="34"/>
      <c r="V483" s="34"/>
      <c r="W483" s="105"/>
      <c r="X483" s="105"/>
    </row>
    <row r="484" spans="1:24" ht="12.75">
      <c r="A484" s="309"/>
      <c r="B484" s="309"/>
      <c r="C484" s="34"/>
      <c r="D484" s="362"/>
      <c r="E484" s="34"/>
      <c r="F484" s="34"/>
      <c r="G484" s="35"/>
      <c r="H484" s="35"/>
      <c r="I484" s="34"/>
      <c r="J484" s="34"/>
      <c r="K484" s="65"/>
      <c r="L484" s="34"/>
      <c r="M484" s="34"/>
      <c r="N484" s="188"/>
      <c r="O484" s="188"/>
      <c r="P484" s="34"/>
      <c r="Q484" s="34"/>
      <c r="R484" s="304"/>
      <c r="S484" s="34"/>
      <c r="T484" s="34"/>
      <c r="U484" s="34"/>
      <c r="V484" s="34"/>
      <c r="W484" s="105"/>
      <c r="X484" s="105"/>
    </row>
    <row r="485" spans="1:24" ht="12.75">
      <c r="A485" s="309"/>
      <c r="B485" s="309"/>
      <c r="C485" s="34"/>
      <c r="D485" s="362"/>
      <c r="E485" s="34"/>
      <c r="F485" s="34"/>
      <c r="G485" s="35"/>
      <c r="H485" s="35"/>
      <c r="I485" s="34"/>
      <c r="J485" s="34"/>
      <c r="K485" s="65"/>
      <c r="L485" s="34"/>
      <c r="M485" s="34"/>
      <c r="N485" s="188"/>
      <c r="O485" s="188"/>
      <c r="P485" s="34"/>
      <c r="Q485" s="34"/>
      <c r="R485" s="304"/>
      <c r="S485" s="34"/>
      <c r="T485" s="34"/>
      <c r="U485" s="34"/>
      <c r="V485" s="34"/>
      <c r="W485" s="105"/>
      <c r="X485" s="105"/>
    </row>
    <row r="486" spans="1:24" ht="12.75">
      <c r="A486" s="309"/>
      <c r="B486" s="309"/>
      <c r="C486" s="34"/>
      <c r="D486" s="362"/>
      <c r="E486" s="34"/>
      <c r="F486" s="34"/>
      <c r="G486" s="35"/>
      <c r="H486" s="35"/>
      <c r="I486" s="34"/>
      <c r="J486" s="34"/>
      <c r="K486" s="65"/>
      <c r="L486" s="34"/>
      <c r="M486" s="34"/>
      <c r="N486" s="188"/>
      <c r="O486" s="188"/>
      <c r="P486" s="34"/>
      <c r="Q486" s="34"/>
      <c r="R486" s="304"/>
      <c r="S486" s="34"/>
      <c r="T486" s="34"/>
      <c r="U486" s="34"/>
      <c r="V486" s="34"/>
      <c r="W486" s="105"/>
      <c r="X486" s="105"/>
    </row>
    <row r="487" spans="1:24" ht="12.75">
      <c r="A487" s="309"/>
      <c r="B487" s="309"/>
      <c r="C487" s="34"/>
      <c r="D487" s="362"/>
      <c r="E487" s="34"/>
      <c r="F487" s="34"/>
      <c r="G487" s="35"/>
      <c r="H487" s="35"/>
      <c r="I487" s="34"/>
      <c r="J487" s="34"/>
      <c r="K487" s="65"/>
      <c r="L487" s="34"/>
      <c r="M487" s="34"/>
      <c r="N487" s="188"/>
      <c r="O487" s="188"/>
      <c r="P487" s="34"/>
      <c r="Q487" s="34"/>
      <c r="R487" s="304"/>
      <c r="S487" s="34"/>
      <c r="T487" s="34"/>
      <c r="U487" s="34"/>
      <c r="V487" s="34"/>
      <c r="W487" s="105"/>
      <c r="X487" s="105"/>
    </row>
    <row r="488" spans="1:24" ht="12.75">
      <c r="A488" s="309"/>
      <c r="B488" s="309"/>
      <c r="C488" s="34"/>
      <c r="D488" s="362"/>
      <c r="E488" s="34"/>
      <c r="F488" s="34"/>
      <c r="G488" s="35"/>
      <c r="H488" s="35"/>
      <c r="I488" s="34"/>
      <c r="J488" s="34"/>
      <c r="K488" s="65"/>
      <c r="L488" s="34"/>
      <c r="M488" s="34"/>
      <c r="N488" s="188"/>
      <c r="O488" s="188"/>
      <c r="P488" s="34"/>
      <c r="Q488" s="34"/>
      <c r="R488" s="304"/>
      <c r="S488" s="34"/>
      <c r="T488" s="34"/>
      <c r="U488" s="34"/>
      <c r="V488" s="34"/>
      <c r="W488" s="105"/>
      <c r="X488" s="105"/>
    </row>
    <row r="489" spans="1:24" ht="12.75">
      <c r="A489" s="309"/>
      <c r="B489" s="309"/>
      <c r="C489" s="34"/>
      <c r="D489" s="362"/>
      <c r="E489" s="34"/>
      <c r="F489" s="34"/>
      <c r="G489" s="35"/>
      <c r="H489" s="35"/>
      <c r="I489" s="34"/>
      <c r="J489" s="34"/>
      <c r="K489" s="65"/>
      <c r="L489" s="34"/>
      <c r="M489" s="34"/>
      <c r="N489" s="188"/>
      <c r="O489" s="188"/>
      <c r="P489" s="34"/>
      <c r="Q489" s="34"/>
      <c r="R489" s="304"/>
      <c r="S489" s="34"/>
      <c r="T489" s="34"/>
      <c r="U489" s="34"/>
      <c r="V489" s="34"/>
      <c r="W489" s="105"/>
      <c r="X489" s="105"/>
    </row>
    <row r="490" spans="1:24" ht="12.75">
      <c r="A490" s="309"/>
      <c r="B490" s="309"/>
      <c r="C490" s="34"/>
      <c r="D490" s="362"/>
      <c r="E490" s="34"/>
      <c r="F490" s="34"/>
      <c r="G490" s="35"/>
      <c r="H490" s="35"/>
      <c r="I490" s="34"/>
      <c r="J490" s="34"/>
      <c r="K490" s="65"/>
      <c r="L490" s="34"/>
      <c r="M490" s="34"/>
      <c r="N490" s="188"/>
      <c r="O490" s="188"/>
      <c r="P490" s="34"/>
      <c r="Q490" s="34"/>
      <c r="R490" s="304"/>
      <c r="S490" s="34"/>
      <c r="T490" s="34"/>
      <c r="U490" s="34"/>
      <c r="V490" s="34"/>
      <c r="W490" s="105"/>
      <c r="X490" s="105"/>
    </row>
    <row r="491" spans="1:24" ht="12.75">
      <c r="A491" s="309"/>
      <c r="B491" s="309"/>
      <c r="C491" s="34"/>
      <c r="D491" s="362"/>
      <c r="E491" s="34"/>
      <c r="F491" s="34"/>
      <c r="G491" s="35"/>
      <c r="H491" s="35"/>
      <c r="I491" s="34"/>
      <c r="J491" s="34"/>
      <c r="K491" s="65"/>
      <c r="L491" s="34"/>
      <c r="M491" s="34"/>
      <c r="N491" s="188"/>
      <c r="O491" s="188"/>
      <c r="P491" s="34"/>
      <c r="Q491" s="34"/>
      <c r="R491" s="304"/>
      <c r="S491" s="34"/>
      <c r="T491" s="34"/>
      <c r="U491" s="34"/>
      <c r="V491" s="34"/>
      <c r="W491" s="105"/>
      <c r="X491" s="105"/>
    </row>
    <row r="492" spans="1:24" ht="12.75">
      <c r="A492" s="309"/>
      <c r="B492" s="309"/>
      <c r="C492" s="34"/>
      <c r="D492" s="362"/>
      <c r="E492" s="34"/>
      <c r="F492" s="34"/>
      <c r="G492" s="35"/>
      <c r="H492" s="35"/>
      <c r="I492" s="34"/>
      <c r="J492" s="34"/>
      <c r="K492" s="65"/>
      <c r="L492" s="34"/>
      <c r="M492" s="34"/>
      <c r="N492" s="188"/>
      <c r="O492" s="188"/>
      <c r="P492" s="34"/>
      <c r="Q492" s="34"/>
      <c r="R492" s="304"/>
      <c r="S492" s="34"/>
      <c r="T492" s="34"/>
      <c r="U492" s="34"/>
      <c r="V492" s="34"/>
      <c r="W492" s="105"/>
      <c r="X492" s="105"/>
    </row>
    <row r="493" spans="1:24" ht="12.75">
      <c r="A493" s="309"/>
      <c r="B493" s="309"/>
      <c r="C493" s="34"/>
      <c r="D493" s="362"/>
      <c r="E493" s="34"/>
      <c r="F493" s="34"/>
      <c r="G493" s="35"/>
      <c r="H493" s="35"/>
      <c r="I493" s="34"/>
      <c r="J493" s="34"/>
      <c r="K493" s="65"/>
      <c r="L493" s="34"/>
      <c r="M493" s="34"/>
      <c r="N493" s="188"/>
      <c r="O493" s="188"/>
      <c r="P493" s="34"/>
      <c r="Q493" s="34"/>
      <c r="R493" s="304"/>
      <c r="S493" s="34"/>
      <c r="T493" s="34"/>
      <c r="U493" s="34"/>
      <c r="V493" s="34"/>
      <c r="W493" s="105"/>
      <c r="X493" s="105"/>
    </row>
    <row r="494" spans="1:24" ht="12.75">
      <c r="A494" s="309"/>
      <c r="B494" s="309"/>
      <c r="C494" s="34"/>
      <c r="D494" s="362"/>
      <c r="E494" s="34"/>
      <c r="F494" s="34"/>
      <c r="G494" s="35"/>
      <c r="H494" s="35"/>
      <c r="I494" s="34"/>
      <c r="J494" s="34"/>
      <c r="K494" s="65"/>
      <c r="L494" s="34"/>
      <c r="M494" s="34"/>
      <c r="N494" s="188"/>
      <c r="O494" s="188"/>
      <c r="P494" s="34"/>
      <c r="Q494" s="34"/>
      <c r="R494" s="304"/>
      <c r="S494" s="34"/>
      <c r="T494" s="34"/>
      <c r="U494" s="34"/>
      <c r="V494" s="34"/>
      <c r="W494" s="105"/>
      <c r="X494" s="105"/>
    </row>
    <row r="495" spans="1:24" ht="12.75">
      <c r="A495" s="309"/>
      <c r="B495" s="309"/>
      <c r="C495" s="34"/>
      <c r="D495" s="362"/>
      <c r="E495" s="34"/>
      <c r="F495" s="34"/>
      <c r="G495" s="35"/>
      <c r="H495" s="35"/>
      <c r="I495" s="34"/>
      <c r="J495" s="34"/>
      <c r="K495" s="65"/>
      <c r="L495" s="34"/>
      <c r="M495" s="34"/>
      <c r="N495" s="188"/>
      <c r="O495" s="188"/>
      <c r="P495" s="34"/>
      <c r="Q495" s="34"/>
      <c r="R495" s="304"/>
      <c r="S495" s="34"/>
      <c r="T495" s="34"/>
      <c r="U495" s="34"/>
      <c r="V495" s="34"/>
      <c r="W495" s="105"/>
      <c r="X495" s="105"/>
    </row>
    <row r="496" spans="1:24" ht="12.75">
      <c r="A496" s="309"/>
      <c r="B496" s="309"/>
      <c r="C496" s="34"/>
      <c r="D496" s="362"/>
      <c r="E496" s="34"/>
      <c r="F496" s="34"/>
      <c r="G496" s="35"/>
      <c r="H496" s="35"/>
      <c r="I496" s="34"/>
      <c r="J496" s="34"/>
      <c r="K496" s="65"/>
      <c r="L496" s="34"/>
      <c r="M496" s="34"/>
      <c r="N496" s="188"/>
      <c r="O496" s="188"/>
      <c r="P496" s="34"/>
      <c r="Q496" s="34"/>
      <c r="R496" s="304"/>
      <c r="S496" s="34"/>
      <c r="T496" s="34"/>
      <c r="U496" s="34"/>
      <c r="V496" s="34"/>
      <c r="W496" s="105"/>
      <c r="X496" s="105"/>
    </row>
    <row r="497" spans="1:24" ht="12.75">
      <c r="A497" s="309"/>
      <c r="B497" s="309"/>
      <c r="C497" s="34"/>
      <c r="D497" s="362"/>
      <c r="E497" s="34"/>
      <c r="F497" s="34"/>
      <c r="G497" s="35"/>
      <c r="H497" s="35"/>
      <c r="I497" s="34"/>
      <c r="J497" s="34"/>
      <c r="K497" s="65"/>
      <c r="L497" s="34"/>
      <c r="M497" s="34"/>
      <c r="N497" s="188"/>
      <c r="O497" s="188"/>
      <c r="P497" s="34"/>
      <c r="Q497" s="34"/>
      <c r="R497" s="304"/>
      <c r="S497" s="34"/>
      <c r="T497" s="34"/>
      <c r="U497" s="34"/>
      <c r="V497" s="34"/>
      <c r="W497" s="105"/>
      <c r="X497" s="105"/>
    </row>
    <row r="498" spans="1:24" ht="12.75">
      <c r="A498" s="309"/>
      <c r="B498" s="309"/>
      <c r="C498" s="34"/>
      <c r="D498" s="362"/>
      <c r="E498" s="34"/>
      <c r="F498" s="34"/>
      <c r="G498" s="35"/>
      <c r="H498" s="35"/>
      <c r="I498" s="34"/>
      <c r="J498" s="34"/>
      <c r="K498" s="65"/>
      <c r="L498" s="34"/>
      <c r="M498" s="34"/>
      <c r="N498" s="188"/>
      <c r="O498" s="188"/>
      <c r="P498" s="34"/>
      <c r="Q498" s="34"/>
      <c r="R498" s="304"/>
      <c r="S498" s="34"/>
      <c r="T498" s="34"/>
      <c r="U498" s="34"/>
      <c r="V498" s="34"/>
      <c r="W498" s="105"/>
      <c r="X498" s="105"/>
    </row>
    <row r="499" spans="1:24" ht="12.75">
      <c r="A499" s="309"/>
      <c r="B499" s="309"/>
      <c r="C499" s="34"/>
      <c r="D499" s="362"/>
      <c r="E499" s="34"/>
      <c r="F499" s="34"/>
      <c r="G499" s="35"/>
      <c r="H499" s="35"/>
      <c r="I499" s="34"/>
      <c r="J499" s="34"/>
      <c r="K499" s="65"/>
      <c r="L499" s="34"/>
      <c r="M499" s="34"/>
      <c r="N499" s="188"/>
      <c r="O499" s="188"/>
      <c r="P499" s="34"/>
      <c r="Q499" s="34"/>
      <c r="R499" s="304"/>
      <c r="S499" s="34"/>
      <c r="T499" s="34"/>
      <c r="U499" s="34"/>
      <c r="V499" s="34"/>
      <c r="W499" s="105"/>
      <c r="X499" s="105"/>
    </row>
    <row r="500" spans="1:24" ht="12.75">
      <c r="A500" s="309"/>
      <c r="B500" s="309"/>
      <c r="C500" s="34"/>
      <c r="D500" s="362"/>
      <c r="E500" s="34"/>
      <c r="F500" s="34"/>
      <c r="G500" s="35"/>
      <c r="H500" s="35"/>
      <c r="I500" s="34"/>
      <c r="J500" s="34"/>
      <c r="K500" s="65"/>
      <c r="L500" s="34"/>
      <c r="M500" s="34"/>
      <c r="N500" s="188"/>
      <c r="O500" s="188"/>
      <c r="P500" s="34"/>
      <c r="Q500" s="34"/>
      <c r="R500" s="304"/>
      <c r="S500" s="34"/>
      <c r="T500" s="34"/>
      <c r="U500" s="34"/>
      <c r="V500" s="34"/>
      <c r="W500" s="105"/>
      <c r="X500" s="105"/>
    </row>
    <row r="501" spans="1:24" ht="12.75">
      <c r="A501" s="309"/>
      <c r="B501" s="309"/>
      <c r="C501" s="34"/>
      <c r="D501" s="362"/>
      <c r="E501" s="34"/>
      <c r="F501" s="34"/>
      <c r="G501" s="35"/>
      <c r="H501" s="35"/>
      <c r="I501" s="34"/>
      <c r="J501" s="34"/>
      <c r="K501" s="65"/>
      <c r="L501" s="34"/>
      <c r="M501" s="34"/>
      <c r="N501" s="188"/>
      <c r="O501" s="188"/>
      <c r="P501" s="34"/>
      <c r="Q501" s="34"/>
      <c r="R501" s="304"/>
      <c r="S501" s="34"/>
      <c r="T501" s="34"/>
      <c r="U501" s="34"/>
      <c r="V501" s="34"/>
      <c r="W501" s="105"/>
      <c r="X501" s="105"/>
    </row>
    <row r="502" spans="1:24" ht="12.75">
      <c r="A502" s="309"/>
      <c r="B502" s="309"/>
      <c r="C502" s="34"/>
      <c r="D502" s="362"/>
      <c r="E502" s="34"/>
      <c r="F502" s="34"/>
      <c r="G502" s="35"/>
      <c r="H502" s="35"/>
      <c r="I502" s="34"/>
      <c r="J502" s="34"/>
      <c r="K502" s="65"/>
      <c r="L502" s="34"/>
      <c r="M502" s="34"/>
      <c r="N502" s="188"/>
      <c r="O502" s="188"/>
      <c r="P502" s="34"/>
      <c r="Q502" s="34"/>
      <c r="R502" s="304"/>
      <c r="S502" s="34"/>
      <c r="T502" s="34"/>
      <c r="U502" s="34"/>
      <c r="V502" s="34"/>
      <c r="W502" s="105"/>
      <c r="X502" s="105"/>
    </row>
    <row r="503" spans="1:24" ht="12.75">
      <c r="A503" s="309"/>
      <c r="B503" s="309"/>
      <c r="C503" s="34"/>
      <c r="D503" s="362"/>
      <c r="E503" s="34"/>
      <c r="F503" s="34"/>
      <c r="G503" s="35"/>
      <c r="H503" s="35"/>
      <c r="I503" s="34"/>
      <c r="J503" s="34"/>
      <c r="K503" s="65"/>
      <c r="L503" s="34"/>
      <c r="M503" s="34"/>
      <c r="N503" s="188"/>
      <c r="O503" s="188"/>
      <c r="P503" s="34"/>
      <c r="Q503" s="34"/>
      <c r="R503" s="304"/>
      <c r="S503" s="34"/>
      <c r="T503" s="34"/>
      <c r="U503" s="34"/>
      <c r="V503" s="34"/>
      <c r="W503" s="105"/>
      <c r="X503" s="105"/>
    </row>
    <row r="504" spans="1:24" ht="12.75">
      <c r="A504" s="309"/>
      <c r="B504" s="309"/>
      <c r="C504" s="34"/>
      <c r="D504" s="362"/>
      <c r="E504" s="34"/>
      <c r="F504" s="34"/>
      <c r="G504" s="35"/>
      <c r="H504" s="35"/>
      <c r="I504" s="34"/>
      <c r="J504" s="34"/>
      <c r="K504" s="65"/>
      <c r="L504" s="34"/>
      <c r="M504" s="34"/>
      <c r="N504" s="188"/>
      <c r="O504" s="188"/>
      <c r="P504" s="34"/>
      <c r="Q504" s="34"/>
      <c r="R504" s="304"/>
      <c r="S504" s="34"/>
      <c r="T504" s="34"/>
      <c r="U504" s="34"/>
      <c r="V504" s="34"/>
      <c r="W504" s="105"/>
      <c r="X504" s="105"/>
    </row>
    <row r="505" spans="1:24" ht="12.75">
      <c r="A505" s="309"/>
      <c r="B505" s="309"/>
      <c r="C505" s="34"/>
      <c r="D505" s="362"/>
      <c r="E505" s="34"/>
      <c r="F505" s="34"/>
      <c r="G505" s="35"/>
      <c r="H505" s="35"/>
      <c r="I505" s="34"/>
      <c r="J505" s="34"/>
      <c r="K505" s="65"/>
      <c r="L505" s="34"/>
      <c r="M505" s="34"/>
      <c r="N505" s="188"/>
      <c r="O505" s="188"/>
      <c r="P505" s="34"/>
      <c r="Q505" s="34"/>
      <c r="R505" s="304"/>
      <c r="S505" s="34"/>
      <c r="T505" s="34"/>
      <c r="U505" s="34"/>
      <c r="V505" s="34"/>
      <c r="W505" s="105"/>
      <c r="X505" s="105"/>
    </row>
    <row r="506" spans="1:24" ht="12.75">
      <c r="A506" s="309"/>
      <c r="B506" s="309"/>
      <c r="C506" s="34"/>
      <c r="D506" s="362"/>
      <c r="E506" s="34"/>
      <c r="F506" s="34"/>
      <c r="G506" s="35"/>
      <c r="H506" s="35"/>
      <c r="I506" s="34"/>
      <c r="J506" s="34"/>
      <c r="K506" s="65"/>
      <c r="L506" s="34"/>
      <c r="M506" s="34"/>
      <c r="N506" s="188"/>
      <c r="O506" s="188"/>
      <c r="P506" s="34"/>
      <c r="Q506" s="34"/>
      <c r="R506" s="304"/>
      <c r="S506" s="34"/>
      <c r="T506" s="34"/>
      <c r="U506" s="34"/>
      <c r="V506" s="34"/>
      <c r="W506" s="105"/>
      <c r="X506" s="105"/>
    </row>
    <row r="507" spans="1:24" ht="12.75">
      <c r="A507" s="309"/>
      <c r="B507" s="309"/>
      <c r="C507" s="34"/>
      <c r="D507" s="362"/>
      <c r="E507" s="34"/>
      <c r="F507" s="34"/>
      <c r="G507" s="35"/>
      <c r="H507" s="35"/>
      <c r="I507" s="34"/>
      <c r="J507" s="34"/>
      <c r="K507" s="65"/>
      <c r="L507" s="34"/>
      <c r="M507" s="34"/>
      <c r="N507" s="188"/>
      <c r="O507" s="188"/>
      <c r="P507" s="34"/>
      <c r="Q507" s="34"/>
      <c r="R507" s="304"/>
      <c r="S507" s="34"/>
      <c r="T507" s="34"/>
      <c r="U507" s="34"/>
      <c r="V507" s="34"/>
      <c r="W507" s="105"/>
      <c r="X507" s="105"/>
    </row>
    <row r="508" spans="1:24" ht="12.75">
      <c r="A508" s="309"/>
      <c r="B508" s="309"/>
      <c r="C508" s="34"/>
      <c r="D508" s="362"/>
      <c r="E508" s="34"/>
      <c r="F508" s="34"/>
      <c r="G508" s="35"/>
      <c r="H508" s="35"/>
      <c r="I508" s="34"/>
      <c r="J508" s="34"/>
      <c r="K508" s="65"/>
      <c r="L508" s="34"/>
      <c r="M508" s="34"/>
      <c r="N508" s="188"/>
      <c r="O508" s="188"/>
      <c r="P508" s="34"/>
      <c r="Q508" s="34"/>
      <c r="R508" s="304"/>
      <c r="S508" s="34"/>
      <c r="T508" s="34"/>
      <c r="U508" s="34"/>
      <c r="V508" s="34"/>
      <c r="W508" s="105"/>
      <c r="X508" s="105"/>
    </row>
    <row r="509" spans="1:24" ht="12.75">
      <c r="A509" s="309"/>
      <c r="B509" s="309"/>
      <c r="C509" s="34"/>
      <c r="D509" s="362"/>
      <c r="E509" s="34"/>
      <c r="F509" s="34"/>
      <c r="G509" s="35"/>
      <c r="H509" s="35"/>
      <c r="I509" s="34"/>
      <c r="J509" s="34"/>
      <c r="K509" s="65"/>
      <c r="L509" s="34"/>
      <c r="M509" s="34"/>
      <c r="N509" s="188"/>
      <c r="O509" s="188"/>
      <c r="P509" s="34"/>
      <c r="Q509" s="34"/>
      <c r="R509" s="304"/>
      <c r="S509" s="34"/>
      <c r="T509" s="34"/>
      <c r="U509" s="34"/>
      <c r="V509" s="34"/>
      <c r="W509" s="105"/>
      <c r="X509" s="105"/>
    </row>
    <row r="510" spans="1:24" ht="12.75">
      <c r="A510" s="309"/>
      <c r="B510" s="309"/>
      <c r="C510" s="34"/>
      <c r="D510" s="362"/>
      <c r="E510" s="34"/>
      <c r="F510" s="34"/>
      <c r="G510" s="35"/>
      <c r="H510" s="35"/>
      <c r="I510" s="34"/>
      <c r="J510" s="34"/>
      <c r="K510" s="65"/>
      <c r="L510" s="34"/>
      <c r="M510" s="34"/>
      <c r="N510" s="188"/>
      <c r="O510" s="188"/>
      <c r="P510" s="34"/>
      <c r="Q510" s="34"/>
      <c r="R510" s="304"/>
      <c r="S510" s="34"/>
      <c r="T510" s="34"/>
      <c r="U510" s="34"/>
      <c r="V510" s="34"/>
      <c r="W510" s="105"/>
      <c r="X510" s="105"/>
    </row>
    <row r="511" spans="1:24" ht="12.75">
      <c r="A511" s="309"/>
      <c r="B511" s="309"/>
      <c r="C511" s="34"/>
      <c r="D511" s="362"/>
      <c r="E511" s="34"/>
      <c r="F511" s="34"/>
      <c r="G511" s="35"/>
      <c r="H511" s="35"/>
      <c r="I511" s="34"/>
      <c r="J511" s="34"/>
      <c r="K511" s="65"/>
      <c r="L511" s="34"/>
      <c r="M511" s="34"/>
      <c r="N511" s="188"/>
      <c r="O511" s="188"/>
      <c r="P511" s="34"/>
      <c r="Q511" s="34"/>
      <c r="R511" s="304"/>
      <c r="S511" s="34"/>
      <c r="T511" s="34"/>
      <c r="U511" s="34"/>
      <c r="V511" s="34"/>
      <c r="W511" s="105"/>
      <c r="X511" s="105"/>
    </row>
    <row r="512" spans="1:24" ht="12.75">
      <c r="A512" s="309"/>
      <c r="B512" s="309"/>
      <c r="C512" s="34"/>
      <c r="D512" s="362"/>
      <c r="E512" s="34"/>
      <c r="F512" s="34"/>
      <c r="G512" s="35"/>
      <c r="H512" s="35"/>
      <c r="I512" s="34"/>
      <c r="J512" s="34"/>
      <c r="K512" s="65"/>
      <c r="L512" s="34"/>
      <c r="M512" s="34"/>
      <c r="N512" s="188"/>
      <c r="O512" s="188"/>
      <c r="P512" s="34"/>
      <c r="Q512" s="34"/>
      <c r="R512" s="304"/>
      <c r="S512" s="34"/>
      <c r="T512" s="34"/>
      <c r="U512" s="34"/>
      <c r="V512" s="34"/>
      <c r="W512" s="105"/>
      <c r="X512" s="105"/>
    </row>
    <row r="513" spans="1:24" ht="12.75">
      <c r="A513" s="309"/>
      <c r="B513" s="309"/>
      <c r="C513" s="34"/>
      <c r="D513" s="362"/>
      <c r="E513" s="34"/>
      <c r="F513" s="34"/>
      <c r="G513" s="35"/>
      <c r="H513" s="35"/>
      <c r="I513" s="34"/>
      <c r="J513" s="34"/>
      <c r="K513" s="65"/>
      <c r="L513" s="34"/>
      <c r="M513" s="34"/>
      <c r="N513" s="188"/>
      <c r="O513" s="188"/>
      <c r="P513" s="34"/>
      <c r="Q513" s="34"/>
      <c r="R513" s="304"/>
      <c r="S513" s="34"/>
      <c r="T513" s="34"/>
      <c r="U513" s="34"/>
      <c r="V513" s="34"/>
      <c r="W513" s="105"/>
      <c r="X513" s="105"/>
    </row>
    <row r="514" spans="1:24" ht="12.75">
      <c r="A514" s="309"/>
      <c r="B514" s="309"/>
      <c r="C514" s="34"/>
      <c r="D514" s="362"/>
      <c r="E514" s="34"/>
      <c r="F514" s="34"/>
      <c r="G514" s="35"/>
      <c r="H514" s="35"/>
      <c r="I514" s="34"/>
      <c r="J514" s="34"/>
      <c r="K514" s="65"/>
      <c r="L514" s="34"/>
      <c r="M514" s="34"/>
      <c r="N514" s="188"/>
      <c r="O514" s="188"/>
      <c r="P514" s="34"/>
      <c r="Q514" s="34"/>
      <c r="R514" s="304"/>
      <c r="S514" s="34"/>
      <c r="T514" s="34"/>
      <c r="U514" s="34"/>
      <c r="V514" s="34"/>
      <c r="W514" s="105"/>
      <c r="X514" s="105"/>
    </row>
    <row r="515" spans="1:24" ht="12.75">
      <c r="A515" s="309"/>
      <c r="B515" s="309"/>
      <c r="C515" s="34"/>
      <c r="D515" s="362"/>
      <c r="E515" s="34"/>
      <c r="F515" s="34"/>
      <c r="G515" s="35"/>
      <c r="H515" s="35"/>
      <c r="I515" s="34"/>
      <c r="J515" s="34"/>
      <c r="K515" s="65"/>
      <c r="L515" s="34"/>
      <c r="M515" s="34"/>
      <c r="N515" s="188"/>
      <c r="O515" s="188"/>
      <c r="P515" s="34"/>
      <c r="Q515" s="34"/>
      <c r="R515" s="304"/>
      <c r="S515" s="34"/>
      <c r="T515" s="34"/>
      <c r="U515" s="34"/>
      <c r="V515" s="34"/>
      <c r="W515" s="105"/>
      <c r="X515" s="105"/>
    </row>
    <row r="516" spans="1:24" ht="12.75">
      <c r="A516" s="309"/>
      <c r="B516" s="309"/>
      <c r="C516" s="34"/>
      <c r="D516" s="362"/>
      <c r="E516" s="34"/>
      <c r="F516" s="34"/>
      <c r="G516" s="35"/>
      <c r="H516" s="35"/>
      <c r="I516" s="34"/>
      <c r="J516" s="34"/>
      <c r="K516" s="65"/>
      <c r="L516" s="34"/>
      <c r="M516" s="34"/>
      <c r="N516" s="188"/>
      <c r="O516" s="188"/>
      <c r="P516" s="34"/>
      <c r="Q516" s="34"/>
      <c r="R516" s="304"/>
      <c r="S516" s="34"/>
      <c r="T516" s="34"/>
      <c r="U516" s="34"/>
      <c r="V516" s="34"/>
      <c r="W516" s="105"/>
      <c r="X516" s="105"/>
    </row>
    <row r="517" spans="1:24" ht="12.75">
      <c r="A517" s="309"/>
      <c r="B517" s="309"/>
      <c r="C517" s="34"/>
      <c r="D517" s="362"/>
      <c r="E517" s="34"/>
      <c r="F517" s="34"/>
      <c r="G517" s="35"/>
      <c r="H517" s="35"/>
      <c r="I517" s="34"/>
      <c r="J517" s="34"/>
      <c r="K517" s="65"/>
      <c r="L517" s="34"/>
      <c r="M517" s="34"/>
      <c r="N517" s="188"/>
      <c r="O517" s="188"/>
      <c r="P517" s="34"/>
      <c r="Q517" s="34"/>
      <c r="R517" s="304"/>
      <c r="S517" s="34"/>
      <c r="T517" s="34"/>
      <c r="U517" s="34"/>
      <c r="V517" s="34"/>
      <c r="W517" s="105"/>
      <c r="X517" s="105"/>
    </row>
    <row r="518" spans="1:24" ht="12.75">
      <c r="A518" s="309"/>
      <c r="B518" s="309"/>
      <c r="C518" s="34"/>
      <c r="D518" s="362"/>
      <c r="E518" s="34"/>
      <c r="F518" s="34"/>
      <c r="G518" s="35"/>
      <c r="H518" s="35"/>
      <c r="I518" s="34"/>
      <c r="J518" s="34"/>
      <c r="K518" s="65"/>
      <c r="L518" s="34"/>
      <c r="M518" s="34"/>
      <c r="N518" s="188"/>
      <c r="O518" s="188"/>
      <c r="P518" s="34"/>
      <c r="Q518" s="34"/>
      <c r="R518" s="304"/>
      <c r="S518" s="34"/>
      <c r="T518" s="34"/>
      <c r="U518" s="34"/>
      <c r="V518" s="34"/>
      <c r="W518" s="105"/>
      <c r="X518" s="105"/>
    </row>
    <row r="519" spans="1:24" ht="12.75">
      <c r="A519" s="309"/>
      <c r="B519" s="309"/>
      <c r="C519" s="34"/>
      <c r="D519" s="362"/>
      <c r="E519" s="34"/>
      <c r="F519" s="34"/>
      <c r="G519" s="35"/>
      <c r="H519" s="35"/>
      <c r="I519" s="34"/>
      <c r="J519" s="34"/>
      <c r="K519" s="65"/>
      <c r="L519" s="34"/>
      <c r="M519" s="34"/>
      <c r="N519" s="188"/>
      <c r="O519" s="188"/>
      <c r="P519" s="34"/>
      <c r="Q519" s="34"/>
      <c r="R519" s="304"/>
      <c r="S519" s="34"/>
      <c r="T519" s="34"/>
      <c r="U519" s="34"/>
      <c r="V519" s="34"/>
      <c r="W519" s="105"/>
      <c r="X519" s="105"/>
    </row>
    <row r="520" spans="1:24" ht="12.75">
      <c r="A520" s="309"/>
      <c r="B520" s="309"/>
      <c r="C520" s="34"/>
      <c r="D520" s="362"/>
      <c r="E520" s="34"/>
      <c r="F520" s="34"/>
      <c r="G520" s="35"/>
      <c r="H520" s="35"/>
      <c r="I520" s="34"/>
      <c r="J520" s="34"/>
      <c r="K520" s="65"/>
      <c r="L520" s="34"/>
      <c r="M520" s="34"/>
      <c r="N520" s="188"/>
      <c r="O520" s="188"/>
      <c r="P520" s="34"/>
      <c r="Q520" s="34"/>
      <c r="R520" s="304"/>
      <c r="S520" s="34"/>
      <c r="T520" s="34"/>
      <c r="U520" s="34"/>
      <c r="V520" s="34"/>
      <c r="W520" s="105"/>
      <c r="X520" s="105"/>
    </row>
    <row r="521" spans="1:24" ht="12.75">
      <c r="A521" s="309"/>
      <c r="B521" s="309"/>
      <c r="C521" s="34"/>
      <c r="D521" s="362"/>
      <c r="E521" s="34"/>
      <c r="F521" s="34"/>
      <c r="G521" s="35"/>
      <c r="H521" s="35"/>
      <c r="I521" s="34"/>
      <c r="J521" s="34"/>
      <c r="K521" s="65"/>
      <c r="L521" s="34"/>
      <c r="M521" s="34"/>
      <c r="N521" s="188"/>
      <c r="O521" s="188"/>
      <c r="P521" s="34"/>
      <c r="Q521" s="34"/>
      <c r="R521" s="304"/>
      <c r="S521" s="34"/>
      <c r="T521" s="34"/>
      <c r="U521" s="34"/>
      <c r="V521" s="34"/>
      <c r="W521" s="105"/>
      <c r="X521" s="105"/>
    </row>
    <row r="522" spans="1:24" ht="12.75">
      <c r="A522" s="309"/>
      <c r="B522" s="309"/>
      <c r="C522" s="34"/>
      <c r="D522" s="362"/>
      <c r="E522" s="34"/>
      <c r="F522" s="34"/>
      <c r="G522" s="35"/>
      <c r="H522" s="35"/>
      <c r="I522" s="34"/>
      <c r="J522" s="34"/>
      <c r="K522" s="65"/>
      <c r="L522" s="34"/>
      <c r="M522" s="34"/>
      <c r="N522" s="188"/>
      <c r="O522" s="188"/>
      <c r="P522" s="34"/>
      <c r="Q522" s="34"/>
      <c r="R522" s="304"/>
      <c r="S522" s="34"/>
      <c r="T522" s="34"/>
      <c r="U522" s="34"/>
      <c r="V522" s="34"/>
      <c r="W522" s="105"/>
      <c r="X522" s="105"/>
    </row>
    <row r="523" spans="1:24" ht="12.75">
      <c r="A523" s="309"/>
      <c r="B523" s="309"/>
      <c r="C523" s="34"/>
      <c r="D523" s="362"/>
      <c r="E523" s="34"/>
      <c r="F523" s="34"/>
      <c r="G523" s="35"/>
      <c r="H523" s="35"/>
      <c r="I523" s="34"/>
      <c r="J523" s="34"/>
      <c r="K523" s="65"/>
      <c r="L523" s="34"/>
      <c r="M523" s="34"/>
      <c r="N523" s="188"/>
      <c r="O523" s="188"/>
      <c r="P523" s="34"/>
      <c r="Q523" s="34"/>
      <c r="R523" s="304"/>
      <c r="S523" s="34"/>
      <c r="T523" s="34"/>
      <c r="U523" s="34"/>
      <c r="V523" s="34"/>
      <c r="W523" s="105"/>
      <c r="X523" s="105"/>
    </row>
    <row r="524" spans="1:24" ht="12.75">
      <c r="A524" s="309"/>
      <c r="B524" s="309"/>
      <c r="C524" s="34"/>
      <c r="D524" s="362"/>
      <c r="E524" s="34"/>
      <c r="F524" s="34"/>
      <c r="G524" s="35"/>
      <c r="H524" s="35"/>
      <c r="I524" s="34"/>
      <c r="J524" s="34"/>
      <c r="K524" s="65"/>
      <c r="L524" s="34"/>
      <c r="M524" s="34"/>
      <c r="N524" s="188"/>
      <c r="O524" s="188"/>
      <c r="P524" s="34"/>
      <c r="Q524" s="34"/>
      <c r="R524" s="304"/>
      <c r="S524" s="34"/>
      <c r="T524" s="34"/>
      <c r="U524" s="34"/>
      <c r="V524" s="34"/>
      <c r="W524" s="105"/>
      <c r="X524" s="105"/>
    </row>
    <row r="525" spans="1:24" ht="12.75">
      <c r="A525" s="309"/>
      <c r="B525" s="309"/>
      <c r="C525" s="34"/>
      <c r="D525" s="362"/>
      <c r="E525" s="34"/>
      <c r="F525" s="34"/>
      <c r="G525" s="35"/>
      <c r="H525" s="35"/>
      <c r="I525" s="34"/>
      <c r="J525" s="34"/>
      <c r="K525" s="65"/>
      <c r="L525" s="34"/>
      <c r="M525" s="34"/>
      <c r="N525" s="188"/>
      <c r="O525" s="188"/>
      <c r="P525" s="34"/>
      <c r="Q525" s="34"/>
      <c r="R525" s="304"/>
      <c r="S525" s="34"/>
      <c r="T525" s="34"/>
      <c r="U525" s="34"/>
      <c r="V525" s="34"/>
      <c r="W525" s="105"/>
      <c r="X525" s="105"/>
    </row>
    <row r="526" spans="1:24" ht="12.75">
      <c r="A526" s="309"/>
      <c r="B526" s="309"/>
      <c r="C526" s="34"/>
      <c r="D526" s="362"/>
      <c r="E526" s="34"/>
      <c r="F526" s="34"/>
      <c r="G526" s="35"/>
      <c r="H526" s="35"/>
      <c r="I526" s="34"/>
      <c r="J526" s="34"/>
      <c r="K526" s="65"/>
      <c r="L526" s="34"/>
      <c r="M526" s="34"/>
      <c r="N526" s="188"/>
      <c r="O526" s="188"/>
      <c r="P526" s="34"/>
      <c r="Q526" s="34"/>
      <c r="R526" s="304"/>
      <c r="S526" s="34"/>
      <c r="T526" s="34"/>
      <c r="U526" s="34"/>
      <c r="V526" s="34"/>
      <c r="W526" s="105"/>
      <c r="X526" s="105"/>
    </row>
    <row r="527" spans="1:24" ht="12.75">
      <c r="A527" s="309"/>
      <c r="B527" s="309"/>
      <c r="C527" s="34"/>
      <c r="D527" s="362"/>
      <c r="E527" s="34"/>
      <c r="F527" s="34"/>
      <c r="G527" s="35"/>
      <c r="H527" s="35"/>
      <c r="I527" s="34"/>
      <c r="J527" s="34"/>
      <c r="K527" s="65"/>
      <c r="L527" s="34"/>
      <c r="M527" s="34"/>
      <c r="N527" s="188"/>
      <c r="O527" s="188"/>
      <c r="P527" s="34"/>
      <c r="Q527" s="34"/>
      <c r="R527" s="304"/>
      <c r="S527" s="34"/>
      <c r="T527" s="34"/>
      <c r="U527" s="34"/>
      <c r="V527" s="34"/>
      <c r="W527" s="105"/>
      <c r="X527" s="105"/>
    </row>
    <row r="528" spans="1:24" ht="12.75">
      <c r="A528" s="309"/>
      <c r="B528" s="309"/>
      <c r="C528" s="34"/>
      <c r="D528" s="362"/>
      <c r="E528" s="34"/>
      <c r="F528" s="34"/>
      <c r="G528" s="35"/>
      <c r="H528" s="35"/>
      <c r="I528" s="34"/>
      <c r="J528" s="34"/>
      <c r="K528" s="65"/>
      <c r="L528" s="34"/>
      <c r="M528" s="34"/>
      <c r="N528" s="188"/>
      <c r="O528" s="188"/>
      <c r="P528" s="34"/>
      <c r="Q528" s="34"/>
      <c r="R528" s="304"/>
      <c r="S528" s="34"/>
      <c r="T528" s="34"/>
      <c r="U528" s="34"/>
      <c r="V528" s="34"/>
      <c r="W528" s="105"/>
      <c r="X528" s="105"/>
    </row>
    <row r="529" spans="1:24" ht="12.75">
      <c r="A529" s="309"/>
      <c r="B529" s="309"/>
      <c r="C529" s="34"/>
      <c r="D529" s="362"/>
      <c r="E529" s="34"/>
      <c r="F529" s="34"/>
      <c r="G529" s="35"/>
      <c r="H529" s="35"/>
      <c r="I529" s="34"/>
      <c r="J529" s="34"/>
      <c r="K529" s="65"/>
      <c r="L529" s="34"/>
      <c r="M529" s="34"/>
      <c r="N529" s="188"/>
      <c r="O529" s="188"/>
      <c r="P529" s="34"/>
      <c r="Q529" s="34"/>
      <c r="R529" s="304"/>
      <c r="S529" s="34"/>
      <c r="T529" s="34"/>
      <c r="U529" s="34"/>
      <c r="V529" s="34"/>
      <c r="W529" s="105"/>
      <c r="X529" s="105"/>
    </row>
    <row r="530" spans="1:24" ht="12.75">
      <c r="A530" s="309"/>
      <c r="B530" s="309"/>
      <c r="C530" s="34"/>
      <c r="D530" s="362"/>
      <c r="E530" s="34"/>
      <c r="F530" s="34"/>
      <c r="G530" s="35"/>
      <c r="H530" s="35"/>
      <c r="I530" s="34"/>
      <c r="J530" s="34"/>
      <c r="K530" s="65"/>
      <c r="L530" s="34"/>
      <c r="M530" s="34"/>
      <c r="N530" s="188"/>
      <c r="O530" s="188"/>
      <c r="P530" s="34"/>
      <c r="Q530" s="34"/>
      <c r="R530" s="304"/>
      <c r="S530" s="34"/>
      <c r="T530" s="34"/>
      <c r="U530" s="34"/>
      <c r="V530" s="34"/>
      <c r="W530" s="105"/>
      <c r="X530" s="105"/>
    </row>
    <row r="531" spans="1:24" ht="12.75">
      <c r="A531" s="309"/>
      <c r="B531" s="309"/>
      <c r="C531" s="34"/>
      <c r="D531" s="362"/>
      <c r="E531" s="34"/>
      <c r="F531" s="34"/>
      <c r="G531" s="35"/>
      <c r="H531" s="35"/>
      <c r="I531" s="34"/>
      <c r="J531" s="34"/>
      <c r="K531" s="65"/>
      <c r="L531" s="34"/>
      <c r="M531" s="34"/>
      <c r="N531" s="188"/>
      <c r="O531" s="188"/>
      <c r="P531" s="34"/>
      <c r="Q531" s="34"/>
      <c r="R531" s="304"/>
      <c r="S531" s="34"/>
      <c r="T531" s="34"/>
      <c r="U531" s="34"/>
      <c r="V531" s="34"/>
      <c r="W531" s="105"/>
      <c r="X531" s="105"/>
    </row>
    <row r="532" spans="1:24" ht="12.75">
      <c r="A532" s="309"/>
      <c r="B532" s="309"/>
      <c r="C532" s="34"/>
      <c r="D532" s="362"/>
      <c r="E532" s="34"/>
      <c r="F532" s="34"/>
      <c r="G532" s="35"/>
      <c r="H532" s="35"/>
      <c r="I532" s="34"/>
      <c r="J532" s="34"/>
      <c r="K532" s="65"/>
      <c r="L532" s="34"/>
      <c r="M532" s="34"/>
      <c r="N532" s="188"/>
      <c r="O532" s="188"/>
      <c r="P532" s="34"/>
      <c r="Q532" s="34"/>
      <c r="R532" s="304"/>
      <c r="S532" s="34"/>
      <c r="T532" s="34"/>
      <c r="U532" s="34"/>
      <c r="V532" s="34"/>
      <c r="W532" s="105"/>
      <c r="X532" s="105"/>
    </row>
    <row r="533" spans="1:24" ht="12.75">
      <c r="A533" s="309"/>
      <c r="B533" s="309"/>
      <c r="C533" s="34"/>
      <c r="D533" s="362"/>
      <c r="E533" s="34"/>
      <c r="F533" s="34"/>
      <c r="G533" s="35"/>
      <c r="H533" s="35"/>
      <c r="I533" s="34"/>
      <c r="J533" s="34"/>
      <c r="K533" s="65"/>
      <c r="L533" s="34"/>
      <c r="M533" s="34"/>
      <c r="N533" s="188"/>
      <c r="O533" s="188"/>
      <c r="P533" s="34"/>
      <c r="Q533" s="34"/>
      <c r="R533" s="304"/>
      <c r="S533" s="34"/>
      <c r="T533" s="34"/>
      <c r="U533" s="34"/>
      <c r="V533" s="34"/>
      <c r="W533" s="105"/>
      <c r="X533" s="105"/>
    </row>
    <row r="534" spans="1:24" ht="12.75">
      <c r="A534" s="309"/>
      <c r="B534" s="309"/>
      <c r="C534" s="34"/>
      <c r="D534" s="362"/>
      <c r="E534" s="34"/>
      <c r="F534" s="34"/>
      <c r="G534" s="35"/>
      <c r="H534" s="35"/>
      <c r="I534" s="34"/>
      <c r="J534" s="34"/>
      <c r="K534" s="65"/>
      <c r="L534" s="34"/>
      <c r="M534" s="34"/>
      <c r="N534" s="188"/>
      <c r="O534" s="188"/>
      <c r="P534" s="34"/>
      <c r="Q534" s="34"/>
      <c r="R534" s="304"/>
      <c r="S534" s="34"/>
      <c r="T534" s="34"/>
      <c r="U534" s="34"/>
      <c r="V534" s="34"/>
      <c r="W534" s="105"/>
      <c r="X534" s="105"/>
    </row>
    <row r="535" spans="1:24" ht="12.75">
      <c r="A535" s="309"/>
      <c r="B535" s="309"/>
      <c r="C535" s="34"/>
      <c r="D535" s="362"/>
      <c r="E535" s="34"/>
      <c r="F535" s="34"/>
      <c r="G535" s="35"/>
      <c r="H535" s="35"/>
      <c r="I535" s="34"/>
      <c r="J535" s="34"/>
      <c r="K535" s="65"/>
      <c r="L535" s="34"/>
      <c r="M535" s="34"/>
      <c r="N535" s="188"/>
      <c r="O535" s="188"/>
      <c r="P535" s="34"/>
      <c r="Q535" s="34"/>
      <c r="R535" s="304"/>
      <c r="S535" s="34"/>
      <c r="T535" s="34"/>
      <c r="U535" s="34"/>
      <c r="V535" s="34"/>
      <c r="W535" s="105"/>
      <c r="X535" s="105"/>
    </row>
    <row r="536" spans="1:24" ht="12.75">
      <c r="A536" s="309"/>
      <c r="B536" s="309"/>
      <c r="C536" s="34"/>
      <c r="D536" s="362"/>
      <c r="E536" s="34"/>
      <c r="F536" s="34"/>
      <c r="G536" s="35"/>
      <c r="H536" s="35"/>
      <c r="I536" s="34"/>
      <c r="J536" s="34"/>
      <c r="K536" s="65"/>
      <c r="L536" s="34"/>
      <c r="M536" s="34"/>
      <c r="N536" s="188"/>
      <c r="O536" s="188"/>
      <c r="P536" s="34"/>
      <c r="Q536" s="34"/>
      <c r="R536" s="304"/>
      <c r="S536" s="34"/>
      <c r="T536" s="34"/>
      <c r="U536" s="34"/>
      <c r="V536" s="34"/>
      <c r="W536" s="105"/>
      <c r="X536" s="105"/>
    </row>
    <row r="537" spans="1:24" ht="12.75">
      <c r="A537" s="309"/>
      <c r="B537" s="309"/>
      <c r="C537" s="34"/>
      <c r="D537" s="362"/>
      <c r="E537" s="34"/>
      <c r="F537" s="34"/>
      <c r="G537" s="35"/>
      <c r="H537" s="35"/>
      <c r="I537" s="34"/>
      <c r="J537" s="34"/>
      <c r="K537" s="65"/>
      <c r="L537" s="34"/>
      <c r="M537" s="34"/>
      <c r="N537" s="188"/>
      <c r="O537" s="188"/>
      <c r="P537" s="34"/>
      <c r="Q537" s="34"/>
      <c r="R537" s="304"/>
      <c r="S537" s="34"/>
      <c r="T537" s="34"/>
      <c r="U537" s="34"/>
      <c r="V537" s="34"/>
      <c r="W537" s="105"/>
      <c r="X537" s="105"/>
    </row>
    <row r="538" spans="1:24" ht="12.75">
      <c r="A538" s="309"/>
      <c r="B538" s="309"/>
      <c r="C538" s="34"/>
      <c r="D538" s="362"/>
      <c r="E538" s="34"/>
      <c r="F538" s="34"/>
      <c r="G538" s="35"/>
      <c r="H538" s="35"/>
      <c r="I538" s="34"/>
      <c r="J538" s="34"/>
      <c r="K538" s="65"/>
      <c r="L538" s="34"/>
      <c r="M538" s="34"/>
      <c r="N538" s="188"/>
      <c r="O538" s="188"/>
      <c r="P538" s="34"/>
      <c r="Q538" s="34"/>
      <c r="R538" s="304"/>
      <c r="S538" s="34"/>
      <c r="T538" s="34"/>
      <c r="U538" s="34"/>
      <c r="V538" s="34"/>
      <c r="W538" s="105"/>
      <c r="X538" s="105"/>
    </row>
    <row r="539" spans="1:24" ht="12.75">
      <c r="A539" s="309"/>
      <c r="B539" s="309"/>
      <c r="C539" s="34"/>
      <c r="D539" s="362"/>
      <c r="E539" s="34"/>
      <c r="F539" s="34"/>
      <c r="G539" s="35"/>
      <c r="H539" s="35"/>
      <c r="I539" s="34"/>
      <c r="J539" s="34"/>
      <c r="K539" s="65"/>
      <c r="L539" s="34"/>
      <c r="M539" s="34"/>
      <c r="N539" s="188"/>
      <c r="O539" s="188"/>
      <c r="P539" s="34"/>
      <c r="Q539" s="34"/>
      <c r="R539" s="304"/>
      <c r="S539" s="34"/>
      <c r="T539" s="34"/>
      <c r="U539" s="34"/>
      <c r="V539" s="34"/>
      <c r="W539" s="105"/>
      <c r="X539" s="105"/>
    </row>
    <row r="540" spans="1:24" ht="12.75">
      <c r="A540" s="309"/>
      <c r="B540" s="309"/>
      <c r="C540" s="34"/>
      <c r="D540" s="362"/>
      <c r="E540" s="34"/>
      <c r="F540" s="34"/>
      <c r="G540" s="35"/>
      <c r="H540" s="35"/>
      <c r="I540" s="34"/>
      <c r="J540" s="34"/>
      <c r="K540" s="65"/>
      <c r="L540" s="34"/>
      <c r="M540" s="34"/>
      <c r="N540" s="188"/>
      <c r="O540" s="188"/>
      <c r="P540" s="34"/>
      <c r="Q540" s="34"/>
      <c r="R540" s="304"/>
      <c r="S540" s="34"/>
      <c r="T540" s="34"/>
      <c r="U540" s="34"/>
      <c r="V540" s="34"/>
      <c r="W540" s="105"/>
      <c r="X540" s="105"/>
    </row>
    <row r="541" spans="1:24" ht="12.75">
      <c r="A541" s="309"/>
      <c r="B541" s="309"/>
      <c r="C541" s="34"/>
      <c r="D541" s="362"/>
      <c r="E541" s="34"/>
      <c r="F541" s="34"/>
      <c r="G541" s="35"/>
      <c r="H541" s="35"/>
      <c r="I541" s="34"/>
      <c r="J541" s="34"/>
      <c r="K541" s="65"/>
      <c r="L541" s="34"/>
      <c r="M541" s="34"/>
      <c r="N541" s="188"/>
      <c r="O541" s="188"/>
      <c r="P541" s="34"/>
      <c r="Q541" s="34"/>
      <c r="R541" s="304"/>
      <c r="S541" s="34"/>
      <c r="T541" s="34"/>
      <c r="U541" s="34"/>
      <c r="V541" s="34"/>
      <c r="W541" s="105"/>
      <c r="X541" s="105"/>
    </row>
    <row r="542" spans="1:24" ht="12.75">
      <c r="A542" s="309"/>
      <c r="B542" s="309"/>
      <c r="C542" s="34"/>
      <c r="D542" s="362"/>
      <c r="E542" s="34"/>
      <c r="F542" s="34"/>
      <c r="G542" s="35"/>
      <c r="H542" s="35"/>
      <c r="I542" s="34"/>
      <c r="J542" s="34"/>
      <c r="K542" s="65"/>
      <c r="L542" s="34"/>
      <c r="M542" s="34"/>
      <c r="N542" s="188"/>
      <c r="O542" s="188"/>
      <c r="P542" s="34"/>
      <c r="Q542" s="34"/>
      <c r="R542" s="304"/>
      <c r="S542" s="34"/>
      <c r="T542" s="34"/>
      <c r="U542" s="34"/>
      <c r="V542" s="34"/>
      <c r="W542" s="105"/>
      <c r="X542" s="105"/>
    </row>
    <row r="543" spans="1:24" ht="12.75">
      <c r="A543" s="309"/>
      <c r="B543" s="309"/>
      <c r="C543" s="34"/>
      <c r="D543" s="362"/>
      <c r="E543" s="34"/>
      <c r="F543" s="34"/>
      <c r="G543" s="35"/>
      <c r="H543" s="35"/>
      <c r="I543" s="34"/>
      <c r="J543" s="34"/>
      <c r="K543" s="65"/>
      <c r="L543" s="34"/>
      <c r="M543" s="34"/>
      <c r="N543" s="188"/>
      <c r="O543" s="188"/>
      <c r="P543" s="34"/>
      <c r="Q543" s="34"/>
      <c r="R543" s="304"/>
      <c r="S543" s="34"/>
      <c r="T543" s="34"/>
      <c r="U543" s="34"/>
      <c r="V543" s="34"/>
      <c r="W543" s="105"/>
      <c r="X543" s="105"/>
    </row>
    <row r="544" spans="1:24" ht="12.75">
      <c r="A544" s="309"/>
      <c r="B544" s="309"/>
      <c r="C544" s="34"/>
      <c r="D544" s="362"/>
      <c r="E544" s="34"/>
      <c r="F544" s="34"/>
      <c r="G544" s="35"/>
      <c r="H544" s="35"/>
      <c r="I544" s="34"/>
      <c r="J544" s="34"/>
      <c r="K544" s="65"/>
      <c r="L544" s="34"/>
      <c r="M544" s="34"/>
      <c r="N544" s="188"/>
      <c r="O544" s="188"/>
      <c r="P544" s="34"/>
      <c r="Q544" s="34"/>
      <c r="R544" s="304"/>
      <c r="S544" s="34"/>
      <c r="T544" s="34"/>
      <c r="U544" s="34"/>
      <c r="V544" s="34"/>
      <c r="W544" s="105"/>
      <c r="X544" s="105"/>
    </row>
    <row r="545" spans="1:24" ht="12.75">
      <c r="A545" s="309"/>
      <c r="B545" s="309"/>
      <c r="C545" s="34"/>
      <c r="D545" s="362"/>
      <c r="E545" s="34"/>
      <c r="F545" s="34"/>
      <c r="G545" s="35"/>
      <c r="H545" s="35"/>
      <c r="I545" s="34"/>
      <c r="J545" s="34"/>
      <c r="K545" s="65"/>
      <c r="L545" s="34"/>
      <c r="M545" s="34"/>
      <c r="N545" s="188"/>
      <c r="O545" s="188"/>
      <c r="P545" s="34"/>
      <c r="Q545" s="34"/>
      <c r="R545" s="304"/>
      <c r="S545" s="34"/>
      <c r="T545" s="34"/>
      <c r="U545" s="34"/>
      <c r="V545" s="34"/>
      <c r="W545" s="105"/>
      <c r="X545" s="105"/>
    </row>
    <row r="546" spans="1:24" ht="12.75">
      <c r="A546" s="309"/>
      <c r="B546" s="309"/>
      <c r="C546" s="34"/>
      <c r="D546" s="362"/>
      <c r="E546" s="34"/>
      <c r="F546" s="34"/>
      <c r="G546" s="35"/>
      <c r="H546" s="35"/>
      <c r="I546" s="34"/>
      <c r="J546" s="34"/>
      <c r="K546" s="65"/>
      <c r="L546" s="34"/>
      <c r="M546" s="34"/>
      <c r="N546" s="188"/>
      <c r="O546" s="188"/>
      <c r="P546" s="34"/>
      <c r="Q546" s="34"/>
      <c r="R546" s="304"/>
      <c r="S546" s="34"/>
      <c r="T546" s="34"/>
      <c r="U546" s="34"/>
      <c r="V546" s="34"/>
      <c r="W546" s="105"/>
      <c r="X546" s="105"/>
    </row>
    <row r="547" spans="1:24" ht="12.75">
      <c r="A547" s="309"/>
      <c r="B547" s="309"/>
      <c r="C547" s="34"/>
      <c r="D547" s="362"/>
      <c r="E547" s="34"/>
      <c r="F547" s="34"/>
      <c r="G547" s="35"/>
      <c r="H547" s="35"/>
      <c r="I547" s="34"/>
      <c r="J547" s="34"/>
      <c r="K547" s="65"/>
      <c r="L547" s="34"/>
      <c r="M547" s="34"/>
      <c r="N547" s="188"/>
      <c r="O547" s="188"/>
      <c r="P547" s="34"/>
      <c r="Q547" s="34"/>
      <c r="R547" s="304"/>
      <c r="S547" s="34"/>
      <c r="T547" s="34"/>
      <c r="U547" s="34"/>
      <c r="V547" s="34"/>
      <c r="W547" s="105"/>
      <c r="X547" s="105"/>
    </row>
    <row r="548" spans="1:24" ht="12.75">
      <c r="A548" s="309"/>
      <c r="B548" s="309"/>
      <c r="C548" s="34"/>
      <c r="D548" s="362"/>
      <c r="E548" s="34"/>
      <c r="F548" s="34"/>
      <c r="G548" s="35"/>
      <c r="H548" s="35"/>
      <c r="I548" s="34"/>
      <c r="J548" s="34"/>
      <c r="K548" s="65"/>
      <c r="L548" s="34"/>
      <c r="M548" s="34"/>
      <c r="N548" s="188"/>
      <c r="O548" s="188"/>
      <c r="P548" s="34"/>
      <c r="Q548" s="34"/>
      <c r="R548" s="304"/>
      <c r="S548" s="34"/>
      <c r="T548" s="34"/>
      <c r="U548" s="34"/>
      <c r="V548" s="34"/>
      <c r="W548" s="105"/>
      <c r="X548" s="105"/>
    </row>
    <row r="549" spans="1:24" ht="12.75">
      <c r="A549" s="309"/>
      <c r="B549" s="309"/>
      <c r="C549" s="34"/>
      <c r="D549" s="362"/>
      <c r="E549" s="34"/>
      <c r="F549" s="34"/>
      <c r="G549" s="35"/>
      <c r="H549" s="35"/>
      <c r="I549" s="34"/>
      <c r="J549" s="34"/>
      <c r="K549" s="65"/>
      <c r="L549" s="34"/>
      <c r="M549" s="34"/>
      <c r="N549" s="188"/>
      <c r="O549" s="188"/>
      <c r="P549" s="34"/>
      <c r="Q549" s="34"/>
      <c r="R549" s="304"/>
      <c r="S549" s="34"/>
      <c r="T549" s="34"/>
      <c r="U549" s="34"/>
      <c r="V549" s="34"/>
      <c r="W549" s="105"/>
      <c r="X549" s="105"/>
    </row>
    <row r="550" spans="1:24" ht="12.75">
      <c r="A550" s="309"/>
      <c r="B550" s="309"/>
      <c r="C550" s="34"/>
      <c r="D550" s="362"/>
      <c r="E550" s="34"/>
      <c r="F550" s="34"/>
      <c r="G550" s="35"/>
      <c r="H550" s="35"/>
      <c r="I550" s="34"/>
      <c r="J550" s="34"/>
      <c r="K550" s="65"/>
      <c r="L550" s="34"/>
      <c r="M550" s="34"/>
      <c r="N550" s="188"/>
      <c r="O550" s="188"/>
      <c r="P550" s="34"/>
      <c r="Q550" s="34"/>
      <c r="R550" s="304"/>
      <c r="S550" s="34"/>
      <c r="T550" s="34"/>
      <c r="U550" s="34"/>
      <c r="V550" s="34"/>
      <c r="W550" s="105"/>
      <c r="X550" s="105"/>
    </row>
    <row r="551" spans="1:24" ht="12.75">
      <c r="A551" s="309"/>
      <c r="B551" s="309"/>
      <c r="C551" s="34"/>
      <c r="D551" s="362"/>
      <c r="E551" s="34"/>
      <c r="F551" s="34"/>
      <c r="G551" s="35"/>
      <c r="H551" s="35"/>
      <c r="I551" s="34"/>
      <c r="J551" s="34"/>
      <c r="K551" s="65"/>
      <c r="L551" s="34"/>
      <c r="M551" s="34"/>
      <c r="N551" s="188"/>
      <c r="O551" s="188"/>
      <c r="P551" s="34"/>
      <c r="Q551" s="34"/>
      <c r="R551" s="304"/>
      <c r="S551" s="34"/>
      <c r="T551" s="34"/>
      <c r="U551" s="34"/>
      <c r="V551" s="34"/>
      <c r="W551" s="105"/>
      <c r="X551" s="105"/>
    </row>
    <row r="552" spans="1:24" ht="12.75">
      <c r="A552" s="309"/>
      <c r="B552" s="309"/>
      <c r="C552" s="34"/>
      <c r="D552" s="362"/>
      <c r="E552" s="34"/>
      <c r="F552" s="34"/>
      <c r="G552" s="35"/>
      <c r="H552" s="35"/>
      <c r="I552" s="34"/>
      <c r="J552" s="34"/>
      <c r="K552" s="65"/>
      <c r="L552" s="34"/>
      <c r="M552" s="34"/>
      <c r="N552" s="188"/>
      <c r="O552" s="188"/>
      <c r="P552" s="34"/>
      <c r="Q552" s="34"/>
      <c r="R552" s="304"/>
      <c r="S552" s="34"/>
      <c r="T552" s="34"/>
      <c r="U552" s="34"/>
      <c r="V552" s="34"/>
      <c r="W552" s="105"/>
      <c r="X552" s="105"/>
    </row>
    <row r="553" spans="1:24" ht="12.75">
      <c r="A553" s="309"/>
      <c r="B553" s="309"/>
      <c r="C553" s="34"/>
      <c r="D553" s="362"/>
      <c r="E553" s="34"/>
      <c r="F553" s="34"/>
      <c r="G553" s="35"/>
      <c r="H553" s="35"/>
      <c r="I553" s="34"/>
      <c r="J553" s="34"/>
      <c r="K553" s="65"/>
      <c r="L553" s="34"/>
      <c r="M553" s="34"/>
      <c r="N553" s="188"/>
      <c r="O553" s="188"/>
      <c r="P553" s="34"/>
      <c r="Q553" s="34"/>
      <c r="R553" s="304"/>
      <c r="S553" s="34"/>
      <c r="T553" s="34"/>
      <c r="U553" s="34"/>
      <c r="V553" s="34"/>
      <c r="W553" s="105"/>
      <c r="X553" s="105"/>
    </row>
    <row r="554" spans="1:24" ht="12.75">
      <c r="A554" s="309"/>
      <c r="B554" s="309"/>
      <c r="C554" s="34"/>
      <c r="D554" s="362"/>
      <c r="E554" s="34"/>
      <c r="F554" s="34"/>
      <c r="G554" s="35"/>
      <c r="H554" s="35"/>
      <c r="I554" s="34"/>
      <c r="J554" s="34"/>
      <c r="K554" s="65"/>
      <c r="L554" s="34"/>
      <c r="M554" s="34"/>
      <c r="N554" s="188"/>
      <c r="O554" s="188"/>
      <c r="P554" s="34"/>
      <c r="Q554" s="34"/>
      <c r="R554" s="304"/>
      <c r="S554" s="34"/>
      <c r="T554" s="34"/>
      <c r="U554" s="34"/>
      <c r="V554" s="34"/>
      <c r="W554" s="105"/>
      <c r="X554" s="105"/>
    </row>
    <row r="555" spans="1:24" ht="12.75">
      <c r="A555" s="309"/>
      <c r="B555" s="309"/>
      <c r="C555" s="34"/>
      <c r="D555" s="362"/>
      <c r="E555" s="34"/>
      <c r="F555" s="34"/>
      <c r="G555" s="35"/>
      <c r="H555" s="35"/>
      <c r="I555" s="34"/>
      <c r="J555" s="34"/>
      <c r="K555" s="65"/>
      <c r="L555" s="34"/>
      <c r="M555" s="34"/>
      <c r="N555" s="188"/>
      <c r="O555" s="188"/>
      <c r="P555" s="34"/>
      <c r="Q555" s="34"/>
      <c r="R555" s="304"/>
      <c r="S555" s="34"/>
      <c r="T555" s="34"/>
      <c r="U555" s="34"/>
      <c r="V555" s="34"/>
      <c r="W555" s="105"/>
      <c r="X555" s="105"/>
    </row>
    <row r="556" spans="1:24" ht="12.75">
      <c r="A556" s="309"/>
      <c r="B556" s="309"/>
      <c r="C556" s="34"/>
      <c r="D556" s="362"/>
      <c r="E556" s="34"/>
      <c r="F556" s="34"/>
      <c r="G556" s="35"/>
      <c r="H556" s="35"/>
      <c r="I556" s="34"/>
      <c r="J556" s="34"/>
      <c r="K556" s="65"/>
      <c r="L556" s="34"/>
      <c r="M556" s="34"/>
      <c r="N556" s="188"/>
      <c r="O556" s="188"/>
      <c r="P556" s="34"/>
      <c r="Q556" s="34"/>
      <c r="R556" s="304"/>
      <c r="S556" s="34"/>
      <c r="T556" s="34"/>
      <c r="U556" s="34"/>
      <c r="V556" s="34"/>
      <c r="W556" s="105"/>
      <c r="X556" s="105"/>
    </row>
    <row r="557" spans="1:24" ht="12.75">
      <c r="A557" s="309"/>
      <c r="B557" s="309"/>
      <c r="C557" s="34"/>
      <c r="D557" s="362"/>
      <c r="E557" s="34"/>
      <c r="F557" s="34"/>
      <c r="G557" s="35"/>
      <c r="H557" s="35"/>
      <c r="I557" s="34"/>
      <c r="J557" s="34"/>
      <c r="K557" s="65"/>
      <c r="L557" s="34"/>
      <c r="M557" s="34"/>
      <c r="N557" s="188"/>
      <c r="O557" s="188"/>
      <c r="P557" s="34"/>
      <c r="Q557" s="34"/>
      <c r="R557" s="304"/>
      <c r="S557" s="34"/>
      <c r="T557" s="34"/>
      <c r="U557" s="34"/>
      <c r="V557" s="34"/>
      <c r="W557" s="105"/>
      <c r="X557" s="105"/>
    </row>
    <row r="558" spans="1:24" ht="12.75">
      <c r="A558" s="309"/>
      <c r="B558" s="309"/>
      <c r="C558" s="34"/>
      <c r="D558" s="362"/>
      <c r="E558" s="34"/>
      <c r="F558" s="34"/>
      <c r="G558" s="35"/>
      <c r="H558" s="35"/>
      <c r="I558" s="34"/>
      <c r="J558" s="34"/>
      <c r="K558" s="65"/>
      <c r="L558" s="34"/>
      <c r="M558" s="34"/>
      <c r="N558" s="188"/>
      <c r="O558" s="188"/>
      <c r="P558" s="34"/>
      <c r="Q558" s="34"/>
      <c r="R558" s="304"/>
      <c r="S558" s="34"/>
      <c r="T558" s="34"/>
      <c r="U558" s="34"/>
      <c r="V558" s="34"/>
      <c r="W558" s="105"/>
      <c r="X558" s="105"/>
    </row>
    <row r="559" spans="1:24" ht="12.75">
      <c r="A559" s="309"/>
      <c r="B559" s="309"/>
      <c r="C559" s="34"/>
      <c r="D559" s="362"/>
      <c r="E559" s="34"/>
      <c r="F559" s="34"/>
      <c r="G559" s="35"/>
      <c r="H559" s="35"/>
      <c r="I559" s="34"/>
      <c r="J559" s="34"/>
      <c r="K559" s="65"/>
      <c r="L559" s="34"/>
      <c r="M559" s="34"/>
      <c r="N559" s="188"/>
      <c r="O559" s="188"/>
      <c r="P559" s="34"/>
      <c r="Q559" s="34"/>
      <c r="R559" s="304"/>
      <c r="S559" s="34"/>
      <c r="T559" s="34"/>
      <c r="U559" s="34"/>
      <c r="V559" s="34"/>
      <c r="W559" s="105"/>
      <c r="X559" s="105"/>
    </row>
    <row r="560" spans="1:24" ht="12.75">
      <c r="A560" s="309"/>
      <c r="B560" s="309"/>
      <c r="C560" s="34"/>
      <c r="D560" s="362"/>
      <c r="E560" s="34"/>
      <c r="F560" s="34"/>
      <c r="G560" s="35"/>
      <c r="H560" s="35"/>
      <c r="I560" s="34"/>
      <c r="J560" s="34"/>
      <c r="K560" s="65"/>
      <c r="L560" s="34"/>
      <c r="M560" s="34"/>
      <c r="N560" s="188"/>
      <c r="O560" s="188"/>
      <c r="P560" s="34"/>
      <c r="Q560" s="34"/>
      <c r="R560" s="304"/>
      <c r="S560" s="34"/>
      <c r="T560" s="34"/>
      <c r="U560" s="34"/>
      <c r="V560" s="34"/>
      <c r="W560" s="105"/>
      <c r="X560" s="105"/>
    </row>
    <row r="561" spans="1:24" ht="12.75">
      <c r="A561" s="309"/>
      <c r="B561" s="309"/>
      <c r="C561" s="34"/>
      <c r="D561" s="362"/>
      <c r="E561" s="34"/>
      <c r="F561" s="34"/>
      <c r="G561" s="35"/>
      <c r="H561" s="35"/>
      <c r="I561" s="34"/>
      <c r="J561" s="34"/>
      <c r="K561" s="65"/>
      <c r="L561" s="34"/>
      <c r="M561" s="34"/>
      <c r="N561" s="188"/>
      <c r="O561" s="188"/>
      <c r="P561" s="34"/>
      <c r="Q561" s="34"/>
      <c r="R561" s="304"/>
      <c r="S561" s="34"/>
      <c r="T561" s="34"/>
      <c r="U561" s="34"/>
      <c r="V561" s="34"/>
      <c r="W561" s="105"/>
      <c r="X561" s="105"/>
    </row>
    <row r="562" spans="1:24" ht="12.75">
      <c r="A562" s="309"/>
      <c r="B562" s="309"/>
      <c r="C562" s="34"/>
      <c r="D562" s="362"/>
      <c r="E562" s="34"/>
      <c r="F562" s="34"/>
      <c r="G562" s="35"/>
      <c r="H562" s="35"/>
      <c r="I562" s="34"/>
      <c r="J562" s="34"/>
      <c r="K562" s="65"/>
      <c r="L562" s="34"/>
      <c r="M562" s="34"/>
      <c r="N562" s="188"/>
      <c r="O562" s="188"/>
      <c r="P562" s="34"/>
      <c r="Q562" s="34"/>
      <c r="R562" s="304"/>
      <c r="S562" s="34"/>
      <c r="T562" s="34"/>
      <c r="U562" s="34"/>
      <c r="V562" s="34"/>
      <c r="W562" s="105"/>
      <c r="X562" s="105"/>
    </row>
    <row r="563" spans="1:24" ht="12.75">
      <c r="A563" s="309"/>
      <c r="B563" s="309"/>
      <c r="C563" s="34"/>
      <c r="D563" s="362"/>
      <c r="E563" s="34"/>
      <c r="F563" s="34"/>
      <c r="G563" s="35"/>
      <c r="H563" s="35"/>
      <c r="I563" s="34"/>
      <c r="J563" s="34"/>
      <c r="K563" s="65"/>
      <c r="L563" s="34"/>
      <c r="M563" s="34"/>
      <c r="N563" s="188"/>
      <c r="O563" s="188"/>
      <c r="P563" s="34"/>
      <c r="Q563" s="34"/>
      <c r="R563" s="304"/>
      <c r="S563" s="34"/>
      <c r="T563" s="34"/>
      <c r="U563" s="34"/>
      <c r="V563" s="34"/>
      <c r="W563" s="105"/>
      <c r="X563" s="105"/>
    </row>
    <row r="564" spans="1:24" ht="12.75">
      <c r="A564" s="309"/>
      <c r="B564" s="309"/>
      <c r="C564" s="34"/>
      <c r="D564" s="362"/>
      <c r="E564" s="34"/>
      <c r="F564" s="34"/>
      <c r="G564" s="35"/>
      <c r="H564" s="35"/>
      <c r="I564" s="34"/>
      <c r="J564" s="34"/>
      <c r="K564" s="65"/>
      <c r="L564" s="34"/>
      <c r="M564" s="34"/>
      <c r="N564" s="188"/>
      <c r="O564" s="188"/>
      <c r="P564" s="34"/>
      <c r="Q564" s="34"/>
      <c r="R564" s="304"/>
      <c r="S564" s="34"/>
      <c r="T564" s="34"/>
      <c r="U564" s="34"/>
      <c r="V564" s="34"/>
      <c r="W564" s="105"/>
      <c r="X564" s="105"/>
    </row>
    <row r="565" spans="1:24" ht="12.75">
      <c r="A565" s="309"/>
      <c r="B565" s="309"/>
      <c r="C565" s="34"/>
      <c r="D565" s="362"/>
      <c r="E565" s="34"/>
      <c r="F565" s="34"/>
      <c r="G565" s="35"/>
      <c r="H565" s="35"/>
      <c r="I565" s="34"/>
      <c r="J565" s="34"/>
      <c r="K565" s="65"/>
      <c r="L565" s="34"/>
      <c r="M565" s="34"/>
      <c r="N565" s="188"/>
      <c r="O565" s="188"/>
      <c r="P565" s="34"/>
      <c r="Q565" s="34"/>
      <c r="R565" s="304"/>
      <c r="S565" s="34"/>
      <c r="T565" s="34"/>
      <c r="U565" s="34"/>
      <c r="V565" s="34"/>
      <c r="W565" s="105"/>
      <c r="X565" s="105"/>
    </row>
    <row r="566" spans="1:24" ht="12.75">
      <c r="A566" s="309"/>
      <c r="B566" s="309"/>
      <c r="C566" s="34"/>
      <c r="D566" s="362"/>
      <c r="E566" s="34"/>
      <c r="F566" s="34"/>
      <c r="G566" s="35"/>
      <c r="H566" s="35"/>
      <c r="I566" s="34"/>
      <c r="J566" s="34"/>
      <c r="K566" s="65"/>
      <c r="L566" s="34"/>
      <c r="M566" s="34"/>
      <c r="N566" s="188"/>
      <c r="O566" s="188"/>
      <c r="P566" s="34"/>
      <c r="Q566" s="34"/>
      <c r="R566" s="304"/>
      <c r="S566" s="34"/>
      <c r="T566" s="34"/>
      <c r="U566" s="34"/>
      <c r="V566" s="34"/>
      <c r="W566" s="105"/>
      <c r="X566" s="105"/>
    </row>
    <row r="567" spans="1:24" ht="12.75">
      <c r="A567" s="309"/>
      <c r="B567" s="309"/>
      <c r="C567" s="34"/>
      <c r="D567" s="362"/>
      <c r="E567" s="34"/>
      <c r="F567" s="34"/>
      <c r="G567" s="35"/>
      <c r="H567" s="35"/>
      <c r="I567" s="34"/>
      <c r="J567" s="34"/>
      <c r="K567" s="65"/>
      <c r="L567" s="34"/>
      <c r="M567" s="34"/>
      <c r="N567" s="188"/>
      <c r="O567" s="188"/>
      <c r="P567" s="34"/>
      <c r="Q567" s="34"/>
      <c r="R567" s="304"/>
      <c r="S567" s="34"/>
      <c r="T567" s="34"/>
      <c r="U567" s="34"/>
      <c r="V567" s="34"/>
      <c r="W567" s="105"/>
      <c r="X567" s="105"/>
    </row>
    <row r="568" spans="1:24" ht="12.75">
      <c r="A568" s="309"/>
      <c r="B568" s="309"/>
      <c r="C568" s="34"/>
      <c r="D568" s="362"/>
      <c r="E568" s="34"/>
      <c r="F568" s="34"/>
      <c r="G568" s="35"/>
      <c r="H568" s="35"/>
      <c r="I568" s="34"/>
      <c r="J568" s="34"/>
      <c r="K568" s="65"/>
      <c r="L568" s="34"/>
      <c r="M568" s="34"/>
      <c r="N568" s="188"/>
      <c r="O568" s="188"/>
      <c r="P568" s="34"/>
      <c r="Q568" s="34"/>
      <c r="R568" s="304"/>
      <c r="S568" s="34"/>
      <c r="T568" s="34"/>
      <c r="U568" s="34"/>
      <c r="V568" s="34"/>
      <c r="W568" s="105"/>
      <c r="X568" s="105"/>
    </row>
    <row r="569" spans="1:24" ht="12.75">
      <c r="A569" s="309"/>
      <c r="B569" s="309"/>
      <c r="C569" s="34"/>
      <c r="D569" s="362"/>
      <c r="E569" s="34"/>
      <c r="F569" s="34"/>
      <c r="G569" s="35"/>
      <c r="H569" s="35"/>
      <c r="I569" s="34"/>
      <c r="J569" s="34"/>
      <c r="K569" s="65"/>
      <c r="L569" s="34"/>
      <c r="M569" s="34"/>
      <c r="N569" s="188"/>
      <c r="O569" s="188"/>
      <c r="P569" s="34"/>
      <c r="Q569" s="34"/>
      <c r="R569" s="304"/>
      <c r="S569" s="34"/>
      <c r="T569" s="34"/>
      <c r="U569" s="34"/>
      <c r="V569" s="34"/>
      <c r="W569" s="105"/>
      <c r="X569" s="105"/>
    </row>
    <row r="570" spans="1:24" ht="12.75">
      <c r="A570" s="309"/>
      <c r="B570" s="309"/>
      <c r="C570" s="34"/>
      <c r="D570" s="362"/>
      <c r="E570" s="34"/>
      <c r="F570" s="34"/>
      <c r="G570" s="35"/>
      <c r="H570" s="35"/>
      <c r="I570" s="34"/>
      <c r="J570" s="34"/>
      <c r="K570" s="65"/>
      <c r="L570" s="34"/>
      <c r="M570" s="34"/>
      <c r="N570" s="188"/>
      <c r="O570" s="188"/>
      <c r="P570" s="34"/>
      <c r="Q570" s="34"/>
      <c r="R570" s="304"/>
      <c r="S570" s="34"/>
      <c r="T570" s="34"/>
      <c r="U570" s="34"/>
      <c r="V570" s="34"/>
      <c r="W570" s="105"/>
      <c r="X570" s="105"/>
    </row>
    <row r="571" spans="1:24" ht="12.75">
      <c r="A571" s="309"/>
      <c r="B571" s="309"/>
      <c r="C571" s="34"/>
      <c r="D571" s="362"/>
      <c r="E571" s="34"/>
      <c r="F571" s="34"/>
      <c r="G571" s="35"/>
      <c r="H571" s="35"/>
      <c r="I571" s="34"/>
      <c r="J571" s="34"/>
      <c r="K571" s="65"/>
      <c r="L571" s="34"/>
      <c r="M571" s="34"/>
      <c r="N571" s="188"/>
      <c r="O571" s="188"/>
      <c r="P571" s="34"/>
      <c r="Q571" s="34"/>
      <c r="R571" s="304"/>
      <c r="S571" s="34"/>
      <c r="T571" s="34"/>
      <c r="U571" s="34"/>
      <c r="V571" s="34"/>
      <c r="W571" s="105"/>
      <c r="X571" s="105"/>
    </row>
    <row r="572" spans="1:24" ht="12.75">
      <c r="A572" s="309"/>
      <c r="B572" s="309"/>
      <c r="C572" s="34"/>
      <c r="D572" s="362"/>
      <c r="E572" s="34"/>
      <c r="F572" s="34"/>
      <c r="G572" s="35"/>
      <c r="H572" s="35"/>
      <c r="I572" s="34"/>
      <c r="J572" s="34"/>
      <c r="K572" s="65"/>
      <c r="L572" s="34"/>
      <c r="M572" s="34"/>
      <c r="N572" s="188"/>
      <c r="O572" s="188"/>
      <c r="P572" s="34"/>
      <c r="Q572" s="34"/>
      <c r="R572" s="304"/>
      <c r="S572" s="34"/>
      <c r="T572" s="34"/>
      <c r="U572" s="34"/>
      <c r="V572" s="34"/>
      <c r="W572" s="105"/>
      <c r="X572" s="105"/>
    </row>
    <row r="573" spans="1:24" ht="12.75">
      <c r="A573" s="309"/>
      <c r="B573" s="309"/>
      <c r="C573" s="34"/>
      <c r="D573" s="362"/>
      <c r="E573" s="34"/>
      <c r="F573" s="34"/>
      <c r="G573" s="35"/>
      <c r="H573" s="35"/>
      <c r="I573" s="34"/>
      <c r="J573" s="34"/>
      <c r="K573" s="65"/>
      <c r="L573" s="34"/>
      <c r="M573" s="34"/>
      <c r="N573" s="188"/>
      <c r="O573" s="188"/>
      <c r="P573" s="34"/>
      <c r="Q573" s="34"/>
      <c r="R573" s="304"/>
      <c r="S573" s="34"/>
      <c r="T573" s="34"/>
      <c r="U573" s="34"/>
      <c r="V573" s="34"/>
      <c r="W573" s="105"/>
      <c r="X573" s="105"/>
    </row>
    <row r="574" spans="1:24" ht="12.75">
      <c r="A574" s="309"/>
      <c r="B574" s="309"/>
      <c r="C574" s="34"/>
      <c r="D574" s="362"/>
      <c r="E574" s="34"/>
      <c r="F574" s="34"/>
      <c r="G574" s="35"/>
      <c r="H574" s="35"/>
      <c r="I574" s="34"/>
      <c r="J574" s="34"/>
      <c r="K574" s="65"/>
      <c r="L574" s="34"/>
      <c r="M574" s="34"/>
      <c r="N574" s="188"/>
      <c r="O574" s="188"/>
      <c r="P574" s="34"/>
      <c r="Q574" s="34"/>
      <c r="R574" s="304"/>
      <c r="S574" s="34"/>
      <c r="T574" s="34"/>
      <c r="U574" s="34"/>
      <c r="V574" s="34"/>
      <c r="W574" s="105"/>
      <c r="X574" s="105"/>
    </row>
    <row r="575" spans="1:24" ht="12.75">
      <c r="A575" s="309"/>
      <c r="B575" s="309"/>
      <c r="C575" s="34"/>
      <c r="D575" s="362"/>
      <c r="E575" s="34"/>
      <c r="F575" s="34"/>
      <c r="G575" s="35"/>
      <c r="H575" s="35"/>
      <c r="I575" s="34"/>
      <c r="J575" s="34"/>
      <c r="K575" s="65"/>
      <c r="L575" s="34"/>
      <c r="M575" s="34"/>
      <c r="N575" s="188"/>
      <c r="O575" s="188"/>
      <c r="P575" s="34"/>
      <c r="Q575" s="34"/>
      <c r="R575" s="304"/>
      <c r="S575" s="34"/>
      <c r="T575" s="34"/>
      <c r="U575" s="34"/>
      <c r="V575" s="34"/>
      <c r="W575" s="105"/>
      <c r="X575" s="105"/>
    </row>
    <row r="576" spans="1:24" ht="12.75">
      <c r="A576" s="309"/>
      <c r="B576" s="309"/>
      <c r="C576" s="34"/>
      <c r="D576" s="362"/>
      <c r="E576" s="34"/>
      <c r="F576" s="34"/>
      <c r="G576" s="35"/>
      <c r="H576" s="35"/>
      <c r="I576" s="34"/>
      <c r="J576" s="34"/>
      <c r="K576" s="65"/>
      <c r="L576" s="34"/>
      <c r="M576" s="34"/>
      <c r="N576" s="188"/>
      <c r="O576" s="188"/>
      <c r="P576" s="34"/>
      <c r="Q576" s="34"/>
      <c r="R576" s="304"/>
      <c r="S576" s="34"/>
      <c r="T576" s="34"/>
      <c r="U576" s="34"/>
      <c r="V576" s="34"/>
      <c r="W576" s="105"/>
      <c r="X576" s="105"/>
    </row>
    <row r="577" spans="1:24" ht="12.75">
      <c r="A577" s="309"/>
      <c r="B577" s="309"/>
      <c r="C577" s="34"/>
      <c r="D577" s="362"/>
      <c r="E577" s="34"/>
      <c r="F577" s="34"/>
      <c r="G577" s="35"/>
      <c r="H577" s="35"/>
      <c r="I577" s="34"/>
      <c r="J577" s="34"/>
      <c r="K577" s="65"/>
      <c r="L577" s="34"/>
      <c r="M577" s="34"/>
      <c r="N577" s="188"/>
      <c r="O577" s="188"/>
      <c r="P577" s="34"/>
      <c r="Q577" s="34"/>
      <c r="R577" s="304"/>
      <c r="S577" s="34"/>
      <c r="T577" s="34"/>
      <c r="U577" s="34"/>
      <c r="V577" s="34"/>
      <c r="W577" s="105"/>
      <c r="X577" s="105"/>
    </row>
    <row r="578" spans="1:24" ht="12.75">
      <c r="A578" s="309"/>
      <c r="B578" s="309"/>
      <c r="C578" s="34"/>
      <c r="D578" s="362"/>
      <c r="E578" s="34"/>
      <c r="F578" s="34"/>
      <c r="G578" s="35"/>
      <c r="H578" s="35"/>
      <c r="I578" s="34"/>
      <c r="J578" s="34"/>
      <c r="K578" s="65"/>
      <c r="L578" s="34"/>
      <c r="M578" s="34"/>
      <c r="N578" s="188"/>
      <c r="O578" s="188"/>
      <c r="P578" s="34"/>
      <c r="Q578" s="34"/>
      <c r="R578" s="304"/>
      <c r="S578" s="34"/>
      <c r="T578" s="34"/>
      <c r="U578" s="34"/>
      <c r="V578" s="34"/>
      <c r="W578" s="105"/>
      <c r="X578" s="105"/>
    </row>
    <row r="579" spans="1:24" ht="12.75">
      <c r="A579" s="309"/>
      <c r="B579" s="309"/>
      <c r="C579" s="34"/>
      <c r="D579" s="362"/>
      <c r="E579" s="34"/>
      <c r="F579" s="34"/>
      <c r="G579" s="35"/>
      <c r="H579" s="35"/>
      <c r="I579" s="34"/>
      <c r="J579" s="34"/>
      <c r="K579" s="65"/>
      <c r="L579" s="34"/>
      <c r="M579" s="34"/>
      <c r="N579" s="188"/>
      <c r="O579" s="188"/>
      <c r="P579" s="34"/>
      <c r="Q579" s="34"/>
      <c r="R579" s="304"/>
      <c r="S579" s="34"/>
      <c r="T579" s="34"/>
      <c r="U579" s="34"/>
      <c r="V579" s="34"/>
      <c r="W579" s="105"/>
      <c r="X579" s="105"/>
    </row>
    <row r="580" spans="1:24" ht="12.75">
      <c r="A580" s="309"/>
      <c r="B580" s="309"/>
      <c r="C580" s="34"/>
      <c r="D580" s="362"/>
      <c r="E580" s="34"/>
      <c r="F580" s="34"/>
      <c r="G580" s="35"/>
      <c r="H580" s="35"/>
      <c r="I580" s="34"/>
      <c r="J580" s="34"/>
      <c r="K580" s="65"/>
      <c r="L580" s="34"/>
      <c r="M580" s="34"/>
      <c r="N580" s="188"/>
      <c r="O580" s="188"/>
      <c r="P580" s="34"/>
      <c r="Q580" s="34"/>
      <c r="R580" s="304"/>
      <c r="S580" s="34"/>
      <c r="T580" s="34"/>
      <c r="U580" s="34"/>
      <c r="V580" s="34"/>
      <c r="W580" s="105"/>
      <c r="X580" s="105"/>
    </row>
    <row r="581" spans="1:24" ht="12.75">
      <c r="A581" s="309"/>
      <c r="B581" s="309"/>
      <c r="C581" s="34"/>
      <c r="D581" s="362"/>
      <c r="E581" s="34"/>
      <c r="F581" s="34"/>
      <c r="G581" s="35"/>
      <c r="H581" s="35"/>
      <c r="I581" s="34"/>
      <c r="J581" s="34"/>
      <c r="K581" s="65"/>
      <c r="L581" s="34"/>
      <c r="M581" s="34"/>
      <c r="N581" s="188"/>
      <c r="O581" s="188"/>
      <c r="P581" s="34"/>
      <c r="Q581" s="34"/>
      <c r="R581" s="304"/>
      <c r="S581" s="34"/>
      <c r="T581" s="34"/>
      <c r="U581" s="34"/>
      <c r="V581" s="34"/>
      <c r="W581" s="105"/>
      <c r="X581" s="105"/>
    </row>
    <row r="582" spans="1:24" ht="12.75">
      <c r="A582" s="309"/>
      <c r="B582" s="309"/>
      <c r="C582" s="34"/>
      <c r="D582" s="362"/>
      <c r="E582" s="34"/>
      <c r="F582" s="34"/>
      <c r="G582" s="35"/>
      <c r="H582" s="35"/>
      <c r="I582" s="34"/>
      <c r="J582" s="34"/>
      <c r="K582" s="65"/>
      <c r="L582" s="34"/>
      <c r="M582" s="34"/>
      <c r="N582" s="188"/>
      <c r="O582" s="188"/>
      <c r="P582" s="34"/>
      <c r="Q582" s="34"/>
      <c r="R582" s="304"/>
      <c r="S582" s="34"/>
      <c r="T582" s="34"/>
      <c r="U582" s="34"/>
      <c r="V582" s="34"/>
      <c r="W582" s="105"/>
      <c r="X582" s="105"/>
    </row>
    <row r="583" spans="1:24" ht="12.75">
      <c r="A583" s="309"/>
      <c r="B583" s="309"/>
      <c r="C583" s="34"/>
      <c r="D583" s="362"/>
      <c r="E583" s="34"/>
      <c r="F583" s="34"/>
      <c r="G583" s="35"/>
      <c r="H583" s="35"/>
      <c r="I583" s="34"/>
      <c r="J583" s="34"/>
      <c r="K583" s="65"/>
      <c r="L583" s="34"/>
      <c r="M583" s="34"/>
      <c r="N583" s="188"/>
      <c r="O583" s="188"/>
      <c r="P583" s="34"/>
      <c r="Q583" s="34"/>
      <c r="R583" s="304"/>
      <c r="S583" s="34"/>
      <c r="T583" s="34"/>
      <c r="U583" s="34"/>
      <c r="V583" s="34"/>
      <c r="W583" s="105"/>
      <c r="X583" s="105"/>
    </row>
    <row r="584" spans="1:24" ht="12.75">
      <c r="A584" s="309"/>
      <c r="B584" s="309"/>
      <c r="C584" s="34"/>
      <c r="D584" s="362"/>
      <c r="E584" s="34"/>
      <c r="F584" s="34"/>
      <c r="G584" s="35"/>
      <c r="H584" s="35"/>
      <c r="I584" s="34"/>
      <c r="J584" s="34"/>
      <c r="K584" s="65"/>
      <c r="L584" s="34"/>
      <c r="M584" s="34"/>
      <c r="N584" s="188"/>
      <c r="O584" s="188"/>
      <c r="P584" s="34"/>
      <c r="Q584" s="34"/>
      <c r="R584" s="304"/>
      <c r="S584" s="34"/>
      <c r="T584" s="34"/>
      <c r="U584" s="34"/>
      <c r="V584" s="34"/>
      <c r="W584" s="105"/>
      <c r="X584" s="105"/>
    </row>
    <row r="585" spans="1:24" ht="12.75">
      <c r="A585" s="309"/>
      <c r="B585" s="309"/>
      <c r="C585" s="34"/>
      <c r="D585" s="362"/>
      <c r="E585" s="34"/>
      <c r="F585" s="34"/>
      <c r="G585" s="35"/>
      <c r="H585" s="35"/>
      <c r="I585" s="34"/>
      <c r="J585" s="34"/>
      <c r="K585" s="65"/>
      <c r="L585" s="34"/>
      <c r="M585" s="34"/>
      <c r="N585" s="188"/>
      <c r="O585" s="188"/>
      <c r="P585" s="34"/>
      <c r="Q585" s="34"/>
      <c r="R585" s="304"/>
      <c r="S585" s="34"/>
      <c r="T585" s="34"/>
      <c r="U585" s="34"/>
      <c r="V585" s="34"/>
      <c r="W585" s="105"/>
      <c r="X585" s="105"/>
    </row>
    <row r="586" spans="1:24" ht="12.75">
      <c r="A586" s="309"/>
      <c r="B586" s="309"/>
      <c r="C586" s="34"/>
      <c r="D586" s="362"/>
      <c r="E586" s="34"/>
      <c r="F586" s="34"/>
      <c r="G586" s="35"/>
      <c r="H586" s="35"/>
      <c r="I586" s="34"/>
      <c r="J586" s="34"/>
      <c r="K586" s="65"/>
      <c r="L586" s="34"/>
      <c r="M586" s="34"/>
      <c r="N586" s="188"/>
      <c r="O586" s="188"/>
      <c r="P586" s="34"/>
      <c r="Q586" s="34"/>
      <c r="R586" s="304"/>
      <c r="S586" s="34"/>
      <c r="T586" s="34"/>
      <c r="U586" s="34"/>
      <c r="V586" s="34"/>
      <c r="W586" s="105"/>
      <c r="X586" s="105"/>
    </row>
    <row r="587" spans="1:24" ht="12.75">
      <c r="A587" s="309"/>
      <c r="B587" s="309"/>
      <c r="C587" s="34"/>
      <c r="D587" s="362"/>
      <c r="E587" s="34"/>
      <c r="F587" s="34"/>
      <c r="G587" s="35"/>
      <c r="H587" s="35"/>
      <c r="I587" s="34"/>
      <c r="J587" s="34"/>
      <c r="K587" s="65"/>
      <c r="L587" s="34"/>
      <c r="M587" s="34"/>
      <c r="N587" s="188"/>
      <c r="O587" s="188"/>
      <c r="P587" s="34"/>
      <c r="Q587" s="34"/>
      <c r="R587" s="304"/>
      <c r="S587" s="34"/>
      <c r="T587" s="34"/>
      <c r="U587" s="34"/>
      <c r="V587" s="34"/>
      <c r="W587" s="105"/>
      <c r="X587" s="105"/>
    </row>
    <row r="588" spans="1:24" ht="12.75">
      <c r="A588" s="309"/>
      <c r="B588" s="309"/>
      <c r="C588" s="34"/>
      <c r="D588" s="362"/>
      <c r="E588" s="34"/>
      <c r="F588" s="34"/>
      <c r="G588" s="35"/>
      <c r="H588" s="35"/>
      <c r="I588" s="34"/>
      <c r="J588" s="34"/>
      <c r="K588" s="65"/>
      <c r="L588" s="34"/>
      <c r="M588" s="34"/>
      <c r="N588" s="188"/>
      <c r="O588" s="188"/>
      <c r="P588" s="34"/>
      <c r="Q588" s="34"/>
      <c r="R588" s="304"/>
      <c r="S588" s="34"/>
      <c r="T588" s="34"/>
      <c r="U588" s="34"/>
      <c r="V588" s="34"/>
      <c r="W588" s="105"/>
      <c r="X588" s="105"/>
    </row>
    <row r="589" spans="1:24" ht="12.75">
      <c r="A589" s="309"/>
      <c r="B589" s="309"/>
      <c r="C589" s="34"/>
      <c r="D589" s="362"/>
      <c r="E589" s="34"/>
      <c r="F589" s="34"/>
      <c r="G589" s="35"/>
      <c r="H589" s="35"/>
      <c r="I589" s="34"/>
      <c r="J589" s="34"/>
      <c r="K589" s="65"/>
      <c r="L589" s="34"/>
      <c r="M589" s="34"/>
      <c r="N589" s="188"/>
      <c r="O589" s="188"/>
      <c r="P589" s="34"/>
      <c r="Q589" s="34"/>
      <c r="R589" s="304"/>
      <c r="S589" s="34"/>
      <c r="T589" s="34"/>
      <c r="U589" s="34"/>
      <c r="V589" s="34"/>
      <c r="W589" s="105"/>
      <c r="X589" s="105"/>
    </row>
    <row r="590" spans="1:24" ht="12.75">
      <c r="A590" s="309"/>
      <c r="B590" s="309"/>
      <c r="C590" s="34"/>
      <c r="D590" s="362"/>
      <c r="E590" s="34"/>
      <c r="F590" s="34"/>
      <c r="G590" s="35"/>
      <c r="H590" s="35"/>
      <c r="I590" s="34"/>
      <c r="J590" s="34"/>
      <c r="K590" s="65"/>
      <c r="L590" s="34"/>
      <c r="M590" s="34"/>
      <c r="N590" s="188"/>
      <c r="O590" s="188"/>
      <c r="P590" s="34"/>
      <c r="Q590" s="34"/>
      <c r="R590" s="304"/>
      <c r="S590" s="34"/>
      <c r="T590" s="34"/>
      <c r="U590" s="34"/>
      <c r="V590" s="34"/>
      <c r="W590" s="105"/>
      <c r="X590" s="105"/>
    </row>
    <row r="591" spans="1:24" ht="12.75">
      <c r="A591" s="309"/>
      <c r="B591" s="309"/>
      <c r="C591" s="34"/>
      <c r="D591" s="362"/>
      <c r="E591" s="34"/>
      <c r="F591" s="34"/>
      <c r="G591" s="35"/>
      <c r="H591" s="35"/>
      <c r="I591" s="34"/>
      <c r="J591" s="34"/>
      <c r="K591" s="65"/>
      <c r="L591" s="34"/>
      <c r="M591" s="34"/>
      <c r="N591" s="188"/>
      <c r="O591" s="188"/>
      <c r="P591" s="34"/>
      <c r="Q591" s="34"/>
      <c r="R591" s="304"/>
      <c r="S591" s="34"/>
      <c r="T591" s="34"/>
      <c r="U591" s="34"/>
      <c r="V591" s="34"/>
      <c r="W591" s="105"/>
      <c r="X591" s="105"/>
    </row>
    <row r="592" spans="1:24" ht="12.75">
      <c r="A592" s="309"/>
      <c r="B592" s="309"/>
      <c r="C592" s="34"/>
      <c r="D592" s="362"/>
      <c r="E592" s="34"/>
      <c r="F592" s="34"/>
      <c r="G592" s="35"/>
      <c r="H592" s="35"/>
      <c r="I592" s="34"/>
      <c r="J592" s="34"/>
      <c r="K592" s="65"/>
      <c r="L592" s="34"/>
      <c r="M592" s="34"/>
      <c r="N592" s="188"/>
      <c r="O592" s="188"/>
      <c r="P592" s="34"/>
      <c r="Q592" s="34"/>
      <c r="R592" s="304"/>
      <c r="S592" s="34"/>
      <c r="T592" s="34"/>
      <c r="U592" s="34"/>
      <c r="V592" s="34"/>
      <c r="W592" s="105"/>
      <c r="X592" s="105"/>
    </row>
    <row r="593" spans="1:24" ht="12.75">
      <c r="A593" s="309"/>
      <c r="B593" s="309"/>
      <c r="C593" s="34"/>
      <c r="D593" s="362"/>
      <c r="E593" s="34"/>
      <c r="F593" s="34"/>
      <c r="G593" s="35"/>
      <c r="H593" s="35"/>
      <c r="I593" s="34"/>
      <c r="J593" s="34"/>
      <c r="K593" s="65"/>
      <c r="L593" s="34"/>
      <c r="M593" s="34"/>
      <c r="N593" s="188"/>
      <c r="O593" s="188"/>
      <c r="P593" s="34"/>
      <c r="Q593" s="34"/>
      <c r="R593" s="304"/>
      <c r="S593" s="34"/>
      <c r="T593" s="34"/>
      <c r="U593" s="34"/>
      <c r="V593" s="34"/>
      <c r="W593" s="105"/>
      <c r="X593" s="105"/>
    </row>
    <row r="594" spans="1:24" ht="12.75">
      <c r="A594" s="309"/>
      <c r="B594" s="309"/>
      <c r="C594" s="34"/>
      <c r="D594" s="362"/>
      <c r="E594" s="34"/>
      <c r="F594" s="34"/>
      <c r="G594" s="35"/>
      <c r="H594" s="35"/>
      <c r="I594" s="34"/>
      <c r="J594" s="34"/>
      <c r="K594" s="65"/>
      <c r="L594" s="34"/>
      <c r="M594" s="34"/>
      <c r="N594" s="188"/>
      <c r="O594" s="188"/>
      <c r="P594" s="34"/>
      <c r="Q594" s="34"/>
      <c r="R594" s="304"/>
      <c r="S594" s="34"/>
      <c r="T594" s="34"/>
      <c r="U594" s="34"/>
      <c r="V594" s="34"/>
      <c r="W594" s="105"/>
      <c r="X594" s="105"/>
    </row>
    <row r="595" spans="1:24" ht="12.75">
      <c r="A595" s="309"/>
      <c r="B595" s="309"/>
      <c r="C595" s="34"/>
      <c r="D595" s="362"/>
      <c r="E595" s="34"/>
      <c r="F595" s="34"/>
      <c r="G595" s="35"/>
      <c r="H595" s="35"/>
      <c r="I595" s="34"/>
      <c r="J595" s="34"/>
      <c r="K595" s="65"/>
      <c r="L595" s="34"/>
      <c r="M595" s="34"/>
      <c r="N595" s="188"/>
      <c r="O595" s="188"/>
      <c r="P595" s="34"/>
      <c r="Q595" s="34"/>
      <c r="R595" s="304"/>
      <c r="S595" s="34"/>
      <c r="T595" s="34"/>
      <c r="U595" s="34"/>
      <c r="V595" s="34"/>
      <c r="W595" s="105"/>
      <c r="X595" s="105"/>
    </row>
    <row r="596" spans="1:24" ht="12.75">
      <c r="A596" s="309"/>
      <c r="B596" s="309"/>
      <c r="C596" s="34"/>
      <c r="D596" s="362"/>
      <c r="E596" s="34"/>
      <c r="F596" s="34"/>
      <c r="G596" s="35"/>
      <c r="H596" s="35"/>
      <c r="I596" s="34"/>
      <c r="J596" s="34"/>
      <c r="K596" s="65"/>
      <c r="L596" s="34"/>
      <c r="M596" s="34"/>
      <c r="N596" s="188"/>
      <c r="O596" s="188"/>
      <c r="P596" s="34"/>
      <c r="Q596" s="34"/>
      <c r="R596" s="304"/>
      <c r="S596" s="34"/>
      <c r="T596" s="34"/>
      <c r="U596" s="34"/>
      <c r="V596" s="34"/>
      <c r="W596" s="105"/>
      <c r="X596" s="105"/>
    </row>
    <row r="597" spans="1:24" ht="12.75">
      <c r="A597" s="309"/>
      <c r="B597" s="309"/>
      <c r="C597" s="34"/>
      <c r="D597" s="362"/>
      <c r="E597" s="34"/>
      <c r="F597" s="34"/>
      <c r="G597" s="35"/>
      <c r="H597" s="35"/>
      <c r="I597" s="34"/>
      <c r="J597" s="34"/>
      <c r="K597" s="65"/>
      <c r="L597" s="34"/>
      <c r="M597" s="34"/>
      <c r="N597" s="188"/>
      <c r="O597" s="188"/>
      <c r="P597" s="34"/>
      <c r="Q597" s="34"/>
      <c r="R597" s="304"/>
      <c r="S597" s="34"/>
      <c r="T597" s="34"/>
      <c r="U597" s="34"/>
      <c r="V597" s="34"/>
      <c r="W597" s="105"/>
      <c r="X597" s="105"/>
    </row>
    <row r="598" spans="1:24" ht="12.75">
      <c r="A598" s="309"/>
      <c r="B598" s="309"/>
      <c r="C598" s="34"/>
      <c r="D598" s="362"/>
      <c r="E598" s="34"/>
      <c r="F598" s="34"/>
      <c r="G598" s="35"/>
      <c r="H598" s="35"/>
      <c r="I598" s="34"/>
      <c r="J598" s="34"/>
      <c r="K598" s="65"/>
      <c r="L598" s="34"/>
      <c r="M598" s="34"/>
      <c r="N598" s="188"/>
      <c r="O598" s="188"/>
      <c r="P598" s="34"/>
      <c r="Q598" s="34"/>
      <c r="R598" s="304"/>
      <c r="S598" s="34"/>
      <c r="T598" s="34"/>
      <c r="U598" s="34"/>
      <c r="V598" s="34"/>
      <c r="W598" s="105"/>
      <c r="X598" s="105"/>
    </row>
    <row r="599" spans="1:24" ht="12.75">
      <c r="A599" s="309"/>
      <c r="B599" s="309"/>
      <c r="C599" s="34"/>
      <c r="D599" s="362"/>
      <c r="E599" s="34"/>
      <c r="F599" s="34"/>
      <c r="G599" s="35"/>
      <c r="H599" s="35"/>
      <c r="I599" s="34"/>
      <c r="J599" s="34"/>
      <c r="K599" s="65"/>
      <c r="L599" s="34"/>
      <c r="M599" s="34"/>
      <c r="N599" s="188"/>
      <c r="O599" s="188"/>
      <c r="P599" s="34"/>
      <c r="Q599" s="34"/>
      <c r="R599" s="304"/>
      <c r="S599" s="34"/>
      <c r="T599" s="34"/>
      <c r="U599" s="34"/>
      <c r="V599" s="34"/>
      <c r="W599" s="105"/>
      <c r="X599" s="105"/>
    </row>
    <row r="600" spans="1:24" ht="12.75">
      <c r="A600" s="309"/>
      <c r="B600" s="309"/>
      <c r="C600" s="34"/>
      <c r="D600" s="362"/>
      <c r="E600" s="34"/>
      <c r="F600" s="34"/>
      <c r="G600" s="35"/>
      <c r="H600" s="35"/>
      <c r="I600" s="34"/>
      <c r="J600" s="34"/>
      <c r="K600" s="65"/>
      <c r="L600" s="34"/>
      <c r="M600" s="34"/>
      <c r="N600" s="188"/>
      <c r="O600" s="188"/>
      <c r="P600" s="34"/>
      <c r="Q600" s="34"/>
      <c r="R600" s="304"/>
      <c r="S600" s="34"/>
      <c r="T600" s="34"/>
      <c r="U600" s="34"/>
      <c r="V600" s="34"/>
      <c r="W600" s="105"/>
      <c r="X600" s="105"/>
    </row>
    <row r="601" spans="1:24" ht="12.75">
      <c r="A601" s="309"/>
      <c r="B601" s="309"/>
      <c r="C601" s="34"/>
      <c r="D601" s="362"/>
      <c r="E601" s="34"/>
      <c r="F601" s="34"/>
      <c r="G601" s="35"/>
      <c r="H601" s="35"/>
      <c r="I601" s="34"/>
      <c r="J601" s="34"/>
      <c r="K601" s="65"/>
      <c r="L601" s="34"/>
      <c r="M601" s="34"/>
      <c r="N601" s="188"/>
      <c r="O601" s="188"/>
      <c r="P601" s="34"/>
      <c r="Q601" s="34"/>
      <c r="R601" s="304"/>
      <c r="S601" s="34"/>
      <c r="T601" s="34"/>
      <c r="U601" s="34"/>
      <c r="V601" s="34"/>
      <c r="W601" s="105"/>
      <c r="X601" s="105"/>
    </row>
    <row r="602" spans="1:24" ht="12.75">
      <c r="A602" s="309"/>
      <c r="B602" s="309"/>
      <c r="C602" s="34"/>
      <c r="D602" s="362"/>
      <c r="E602" s="34"/>
      <c r="F602" s="34"/>
      <c r="G602" s="35"/>
      <c r="H602" s="35"/>
      <c r="I602" s="34"/>
      <c r="J602" s="34"/>
      <c r="K602" s="65"/>
      <c r="L602" s="34"/>
      <c r="M602" s="34"/>
      <c r="N602" s="188"/>
      <c r="O602" s="188"/>
      <c r="P602" s="34"/>
      <c r="Q602" s="34"/>
      <c r="R602" s="304"/>
      <c r="S602" s="34"/>
      <c r="T602" s="34"/>
      <c r="U602" s="34"/>
      <c r="V602" s="34"/>
      <c r="W602" s="105"/>
      <c r="X602" s="105"/>
    </row>
    <row r="603" spans="1:24" ht="12.75">
      <c r="A603" s="309"/>
      <c r="B603" s="309"/>
      <c r="C603" s="34"/>
      <c r="D603" s="362"/>
      <c r="E603" s="34"/>
      <c r="F603" s="34"/>
      <c r="G603" s="35"/>
      <c r="H603" s="35"/>
      <c r="I603" s="34"/>
      <c r="J603" s="34"/>
      <c r="K603" s="65"/>
      <c r="L603" s="34"/>
      <c r="M603" s="34"/>
      <c r="N603" s="188"/>
      <c r="O603" s="188"/>
      <c r="P603" s="34"/>
      <c r="Q603" s="34"/>
      <c r="R603" s="304"/>
      <c r="S603" s="34"/>
      <c r="T603" s="34"/>
      <c r="U603" s="34"/>
      <c r="V603" s="34"/>
      <c r="W603" s="105"/>
      <c r="X603" s="105"/>
    </row>
    <row r="604" spans="1:24" ht="12.75">
      <c r="A604" s="309"/>
      <c r="B604" s="309"/>
      <c r="C604" s="34"/>
      <c r="D604" s="362"/>
      <c r="E604" s="34"/>
      <c r="F604" s="34"/>
      <c r="G604" s="35"/>
      <c r="H604" s="35"/>
      <c r="I604" s="34"/>
      <c r="J604" s="34"/>
      <c r="K604" s="65"/>
      <c r="L604" s="34"/>
      <c r="M604" s="34"/>
      <c r="N604" s="188"/>
      <c r="O604" s="188"/>
      <c r="P604" s="34"/>
      <c r="Q604" s="34"/>
      <c r="R604" s="304"/>
      <c r="S604" s="34"/>
      <c r="T604" s="34"/>
      <c r="U604" s="34"/>
      <c r="V604" s="34"/>
      <c r="W604" s="105"/>
      <c r="X604" s="105"/>
    </row>
    <row r="605" spans="1:24" ht="12.75">
      <c r="A605" s="309"/>
      <c r="B605" s="309"/>
      <c r="C605" s="34"/>
      <c r="D605" s="362"/>
      <c r="E605" s="34"/>
      <c r="F605" s="34"/>
      <c r="G605" s="35"/>
      <c r="H605" s="35"/>
      <c r="I605" s="34"/>
      <c r="J605" s="34"/>
      <c r="K605" s="65"/>
      <c r="L605" s="34"/>
      <c r="M605" s="34"/>
      <c r="N605" s="188"/>
      <c r="O605" s="188"/>
      <c r="P605" s="34"/>
      <c r="Q605" s="34"/>
      <c r="R605" s="304"/>
      <c r="S605" s="34"/>
      <c r="T605" s="34"/>
      <c r="U605" s="34"/>
      <c r="V605" s="34"/>
      <c r="W605" s="105"/>
      <c r="X605" s="105"/>
    </row>
    <row r="606" spans="1:24" ht="12.75">
      <c r="A606" s="309"/>
      <c r="B606" s="309"/>
      <c r="C606" s="34"/>
      <c r="D606" s="362"/>
      <c r="E606" s="34"/>
      <c r="F606" s="34"/>
      <c r="G606" s="35"/>
      <c r="H606" s="35"/>
      <c r="I606" s="34"/>
      <c r="J606" s="34"/>
      <c r="K606" s="65"/>
      <c r="L606" s="34"/>
      <c r="M606" s="34"/>
      <c r="N606" s="188"/>
      <c r="O606" s="188"/>
      <c r="P606" s="34"/>
      <c r="Q606" s="34"/>
      <c r="R606" s="304"/>
      <c r="S606" s="34"/>
      <c r="T606" s="34"/>
      <c r="U606" s="34"/>
      <c r="V606" s="34"/>
      <c r="W606" s="105"/>
      <c r="X606" s="105"/>
    </row>
    <row r="607" spans="1:24" ht="12.75">
      <c r="A607" s="309"/>
      <c r="B607" s="309"/>
      <c r="C607" s="34"/>
      <c r="D607" s="362"/>
      <c r="E607" s="34"/>
      <c r="F607" s="34"/>
      <c r="G607" s="35"/>
      <c r="H607" s="35"/>
      <c r="I607" s="34"/>
      <c r="J607" s="34"/>
      <c r="K607" s="65"/>
      <c r="L607" s="34"/>
      <c r="M607" s="34"/>
      <c r="N607" s="188"/>
      <c r="O607" s="188"/>
      <c r="P607" s="34"/>
      <c r="Q607" s="34"/>
      <c r="R607" s="304"/>
      <c r="S607" s="34"/>
      <c r="T607" s="34"/>
      <c r="U607" s="34"/>
      <c r="V607" s="34"/>
      <c r="W607" s="105"/>
      <c r="X607" s="105"/>
    </row>
    <row r="608" spans="1:24" ht="12.75">
      <c r="A608" s="309"/>
      <c r="B608" s="309"/>
      <c r="C608" s="34"/>
      <c r="D608" s="362"/>
      <c r="E608" s="34"/>
      <c r="F608" s="34"/>
      <c r="G608" s="35"/>
      <c r="H608" s="35"/>
      <c r="I608" s="34"/>
      <c r="J608" s="34"/>
      <c r="K608" s="65"/>
      <c r="L608" s="34"/>
      <c r="M608" s="34"/>
      <c r="N608" s="188"/>
      <c r="O608" s="188"/>
      <c r="P608" s="34"/>
      <c r="Q608" s="34"/>
      <c r="R608" s="304"/>
      <c r="S608" s="34"/>
      <c r="T608" s="34"/>
      <c r="U608" s="34"/>
      <c r="V608" s="34"/>
      <c r="W608" s="105"/>
      <c r="X608" s="105"/>
    </row>
    <row r="609" spans="1:24" ht="12.75">
      <c r="A609" s="309"/>
      <c r="B609" s="309"/>
      <c r="C609" s="34"/>
      <c r="D609" s="362"/>
      <c r="E609" s="34"/>
      <c r="F609" s="34"/>
      <c r="G609" s="35"/>
      <c r="H609" s="35"/>
      <c r="I609" s="34"/>
      <c r="J609" s="34"/>
      <c r="K609" s="65"/>
      <c r="L609" s="34"/>
      <c r="M609" s="34"/>
      <c r="N609" s="188"/>
      <c r="O609" s="188"/>
      <c r="P609" s="34"/>
      <c r="Q609" s="34"/>
      <c r="R609" s="304"/>
      <c r="S609" s="34"/>
      <c r="T609" s="34"/>
      <c r="U609" s="34"/>
      <c r="V609" s="34"/>
      <c r="W609" s="105"/>
      <c r="X609" s="105"/>
    </row>
    <row r="610" spans="1:24" ht="12.75">
      <c r="A610" s="309"/>
      <c r="B610" s="309"/>
      <c r="C610" s="34"/>
      <c r="D610" s="362"/>
      <c r="E610" s="34"/>
      <c r="F610" s="34"/>
      <c r="G610" s="35"/>
      <c r="H610" s="35"/>
      <c r="I610" s="34"/>
      <c r="J610" s="34"/>
      <c r="K610" s="65"/>
      <c r="L610" s="34"/>
      <c r="M610" s="34"/>
      <c r="N610" s="188"/>
      <c r="O610" s="188"/>
      <c r="P610" s="34"/>
      <c r="Q610" s="34"/>
      <c r="R610" s="304"/>
      <c r="S610" s="34"/>
      <c r="T610" s="34"/>
      <c r="U610" s="34"/>
      <c r="V610" s="34"/>
      <c r="W610" s="105"/>
      <c r="X610" s="105"/>
    </row>
    <row r="611" spans="1:24" ht="12.75">
      <c r="A611" s="309"/>
      <c r="B611" s="309"/>
      <c r="C611" s="34"/>
      <c r="D611" s="362"/>
      <c r="E611" s="34"/>
      <c r="F611" s="34"/>
      <c r="G611" s="35"/>
      <c r="H611" s="35"/>
      <c r="I611" s="34"/>
      <c r="J611" s="34"/>
      <c r="K611" s="65"/>
      <c r="L611" s="34"/>
      <c r="M611" s="34"/>
      <c r="N611" s="188"/>
      <c r="O611" s="188"/>
      <c r="P611" s="34"/>
      <c r="Q611" s="34"/>
      <c r="R611" s="304"/>
      <c r="S611" s="34"/>
      <c r="T611" s="34"/>
      <c r="U611" s="34"/>
      <c r="V611" s="34"/>
      <c r="W611" s="105"/>
      <c r="X611" s="105"/>
    </row>
    <row r="612" spans="1:24" ht="12.75">
      <c r="A612" s="309"/>
      <c r="B612" s="309"/>
      <c r="C612" s="34"/>
      <c r="D612" s="362"/>
      <c r="E612" s="34"/>
      <c r="F612" s="34"/>
      <c r="G612" s="35"/>
      <c r="H612" s="35"/>
      <c r="I612" s="34"/>
      <c r="J612" s="34"/>
      <c r="K612" s="65"/>
      <c r="L612" s="34"/>
      <c r="M612" s="34"/>
      <c r="N612" s="188"/>
      <c r="O612" s="188"/>
      <c r="P612" s="34"/>
      <c r="Q612" s="34"/>
      <c r="R612" s="304"/>
      <c r="S612" s="34"/>
      <c r="T612" s="34"/>
      <c r="U612" s="34"/>
      <c r="V612" s="34"/>
      <c r="W612" s="105"/>
      <c r="X612" s="105"/>
    </row>
    <row r="613" spans="1:24" ht="12.75">
      <c r="A613" s="309"/>
      <c r="B613" s="309"/>
      <c r="C613" s="34"/>
      <c r="D613" s="362"/>
      <c r="E613" s="34"/>
      <c r="F613" s="34"/>
      <c r="G613" s="35"/>
      <c r="H613" s="35"/>
      <c r="I613" s="34"/>
      <c r="J613" s="34"/>
      <c r="K613" s="65"/>
      <c r="L613" s="34"/>
      <c r="M613" s="34"/>
      <c r="N613" s="188"/>
      <c r="O613" s="188"/>
      <c r="P613" s="34"/>
      <c r="Q613" s="34"/>
      <c r="R613" s="304"/>
      <c r="S613" s="34"/>
      <c r="T613" s="34"/>
      <c r="U613" s="34"/>
      <c r="V613" s="34"/>
      <c r="W613" s="105"/>
      <c r="X613" s="105"/>
    </row>
    <row r="614" spans="1:24" ht="12.75">
      <c r="A614" s="309"/>
      <c r="B614" s="309"/>
      <c r="C614" s="34"/>
      <c r="D614" s="362"/>
      <c r="E614" s="34"/>
      <c r="F614" s="34"/>
      <c r="G614" s="35"/>
      <c r="H614" s="35"/>
      <c r="I614" s="34"/>
      <c r="J614" s="34"/>
      <c r="K614" s="65"/>
      <c r="L614" s="34"/>
      <c r="M614" s="34"/>
      <c r="N614" s="188"/>
      <c r="O614" s="188"/>
      <c r="P614" s="34"/>
      <c r="Q614" s="34"/>
      <c r="R614" s="304"/>
      <c r="S614" s="34"/>
      <c r="T614" s="34"/>
      <c r="U614" s="34"/>
      <c r="V614" s="34"/>
      <c r="W614" s="105"/>
      <c r="X614" s="105"/>
    </row>
    <row r="615" spans="1:24" ht="12.75">
      <c r="A615" s="309"/>
      <c r="B615" s="309"/>
      <c r="C615" s="34"/>
      <c r="D615" s="362"/>
      <c r="E615" s="34"/>
      <c r="F615" s="34"/>
      <c r="G615" s="35"/>
      <c r="H615" s="35"/>
      <c r="I615" s="34"/>
      <c r="J615" s="34"/>
      <c r="K615" s="65"/>
      <c r="L615" s="34"/>
      <c r="M615" s="34"/>
      <c r="N615" s="188"/>
      <c r="O615" s="188"/>
      <c r="P615" s="34"/>
      <c r="Q615" s="34"/>
      <c r="R615" s="304"/>
      <c r="S615" s="34"/>
      <c r="T615" s="34"/>
      <c r="U615" s="34"/>
      <c r="V615" s="34"/>
      <c r="W615" s="105"/>
      <c r="X615" s="105"/>
    </row>
    <row r="616" spans="1:24" ht="12.75">
      <c r="A616" s="309"/>
      <c r="B616" s="309"/>
      <c r="C616" s="34"/>
      <c r="D616" s="362"/>
      <c r="E616" s="34"/>
      <c r="F616" s="34"/>
      <c r="G616" s="35"/>
      <c r="H616" s="35"/>
      <c r="I616" s="34"/>
      <c r="J616" s="34"/>
      <c r="K616" s="65"/>
      <c r="L616" s="34"/>
      <c r="M616" s="34"/>
      <c r="N616" s="188"/>
      <c r="O616" s="188"/>
      <c r="P616" s="34"/>
      <c r="Q616" s="34"/>
      <c r="R616" s="304"/>
      <c r="S616" s="34"/>
      <c r="T616" s="34"/>
      <c r="U616" s="34"/>
      <c r="V616" s="34"/>
      <c r="W616" s="105"/>
      <c r="X616" s="105"/>
    </row>
    <row r="617" spans="1:24" ht="12.75">
      <c r="A617" s="309"/>
      <c r="B617" s="309"/>
      <c r="C617" s="34"/>
      <c r="D617" s="362"/>
      <c r="E617" s="34"/>
      <c r="F617" s="34"/>
      <c r="G617" s="35"/>
      <c r="H617" s="35"/>
      <c r="I617" s="34"/>
      <c r="J617" s="34"/>
      <c r="K617" s="65"/>
      <c r="L617" s="34"/>
      <c r="M617" s="34"/>
      <c r="N617" s="188"/>
      <c r="O617" s="188"/>
      <c r="P617" s="34"/>
      <c r="Q617" s="34"/>
      <c r="R617" s="304"/>
      <c r="S617" s="34"/>
      <c r="T617" s="34"/>
      <c r="U617" s="34"/>
      <c r="V617" s="34"/>
      <c r="W617" s="105"/>
      <c r="X617" s="105"/>
    </row>
    <row r="618" spans="1:24" ht="12.75">
      <c r="A618" s="309"/>
      <c r="B618" s="309"/>
      <c r="C618" s="34"/>
      <c r="D618" s="362"/>
      <c r="E618" s="34"/>
      <c r="F618" s="34"/>
      <c r="G618" s="35"/>
      <c r="H618" s="35"/>
      <c r="I618" s="34"/>
      <c r="J618" s="34"/>
      <c r="K618" s="65"/>
      <c r="L618" s="34"/>
      <c r="M618" s="34"/>
      <c r="N618" s="188"/>
      <c r="O618" s="188"/>
      <c r="P618" s="34"/>
      <c r="Q618" s="34"/>
      <c r="R618" s="304"/>
      <c r="S618" s="34"/>
      <c r="T618" s="34"/>
      <c r="U618" s="34"/>
      <c r="V618" s="34"/>
      <c r="W618" s="105"/>
      <c r="X618" s="105"/>
    </row>
    <row r="619" spans="1:24" ht="12.75">
      <c r="A619" s="309"/>
      <c r="B619" s="309"/>
      <c r="C619" s="34"/>
      <c r="D619" s="362"/>
      <c r="E619" s="34"/>
      <c r="F619" s="34"/>
      <c r="G619" s="35"/>
      <c r="H619" s="35"/>
      <c r="I619" s="34"/>
      <c r="J619" s="34"/>
      <c r="K619" s="65"/>
      <c r="L619" s="34"/>
      <c r="M619" s="34"/>
      <c r="N619" s="188"/>
      <c r="O619" s="188"/>
      <c r="P619" s="34"/>
      <c r="Q619" s="34"/>
      <c r="R619" s="304"/>
      <c r="S619" s="34"/>
      <c r="T619" s="34"/>
      <c r="U619" s="34"/>
      <c r="V619" s="34"/>
      <c r="W619" s="105"/>
      <c r="X619" s="105"/>
    </row>
    <row r="620" spans="1:24" ht="12.75">
      <c r="A620" s="309"/>
      <c r="B620" s="309"/>
      <c r="C620" s="34"/>
      <c r="D620" s="362"/>
      <c r="E620" s="34"/>
      <c r="F620" s="34"/>
      <c r="G620" s="35"/>
      <c r="H620" s="35"/>
      <c r="I620" s="34"/>
      <c r="J620" s="34"/>
      <c r="K620" s="65"/>
      <c r="L620" s="34"/>
      <c r="M620" s="34"/>
      <c r="N620" s="188"/>
      <c r="O620" s="188"/>
      <c r="P620" s="34"/>
      <c r="Q620" s="34"/>
      <c r="R620" s="304"/>
      <c r="S620" s="34"/>
      <c r="T620" s="34"/>
      <c r="U620" s="34"/>
      <c r="V620" s="34"/>
      <c r="W620" s="105"/>
      <c r="X620" s="105"/>
    </row>
    <row r="621" spans="1:24" ht="12.75">
      <c r="A621" s="309"/>
      <c r="B621" s="309"/>
      <c r="C621" s="34"/>
      <c r="D621" s="362"/>
      <c r="E621" s="34"/>
      <c r="F621" s="34"/>
      <c r="G621" s="35"/>
      <c r="H621" s="35"/>
      <c r="I621" s="34"/>
      <c r="J621" s="34"/>
      <c r="K621" s="65"/>
      <c r="L621" s="34"/>
      <c r="M621" s="34"/>
      <c r="N621" s="188"/>
      <c r="O621" s="188"/>
      <c r="P621" s="34"/>
      <c r="Q621" s="34"/>
      <c r="R621" s="304"/>
      <c r="S621" s="34"/>
      <c r="T621" s="34"/>
      <c r="U621" s="34"/>
      <c r="V621" s="34"/>
      <c r="W621" s="105"/>
      <c r="X621" s="105"/>
    </row>
    <row r="622" spans="1:24" ht="12.75">
      <c r="A622" s="309"/>
      <c r="B622" s="309"/>
      <c r="C622" s="34"/>
      <c r="D622" s="362"/>
      <c r="E622" s="34"/>
      <c r="F622" s="34"/>
      <c r="G622" s="35"/>
      <c r="H622" s="35"/>
      <c r="I622" s="34"/>
      <c r="J622" s="34"/>
      <c r="K622" s="65"/>
      <c r="L622" s="34"/>
      <c r="M622" s="34"/>
      <c r="N622" s="188"/>
      <c r="O622" s="188"/>
      <c r="P622" s="34"/>
      <c r="Q622" s="34"/>
      <c r="R622" s="304"/>
      <c r="S622" s="34"/>
      <c r="T622" s="34"/>
      <c r="U622" s="34"/>
      <c r="V622" s="34"/>
      <c r="W622" s="105"/>
      <c r="X622" s="105"/>
    </row>
    <row r="623" spans="1:24" ht="12.75">
      <c r="A623" s="309"/>
      <c r="B623" s="309"/>
      <c r="C623" s="34"/>
      <c r="D623" s="362"/>
      <c r="E623" s="34"/>
      <c r="F623" s="34"/>
      <c r="G623" s="35"/>
      <c r="H623" s="35"/>
      <c r="I623" s="34"/>
      <c r="J623" s="34"/>
      <c r="K623" s="65"/>
      <c r="L623" s="34"/>
      <c r="M623" s="34"/>
      <c r="N623" s="188"/>
      <c r="O623" s="188"/>
      <c r="P623" s="34"/>
      <c r="Q623" s="34"/>
      <c r="R623" s="304"/>
      <c r="S623" s="34"/>
      <c r="T623" s="34"/>
      <c r="U623" s="34"/>
      <c r="V623" s="34"/>
      <c r="W623" s="105"/>
      <c r="X623" s="105"/>
    </row>
    <row r="624" spans="1:24" ht="12.75">
      <c r="A624" s="309"/>
      <c r="B624" s="309"/>
      <c r="C624" s="34"/>
      <c r="D624" s="362"/>
      <c r="E624" s="34"/>
      <c r="F624" s="34"/>
      <c r="G624" s="35"/>
      <c r="H624" s="35"/>
      <c r="I624" s="34"/>
      <c r="J624" s="34"/>
      <c r="K624" s="65"/>
      <c r="L624" s="34"/>
      <c r="M624" s="34"/>
      <c r="N624" s="188"/>
      <c r="O624" s="188"/>
      <c r="P624" s="34"/>
      <c r="Q624" s="34"/>
      <c r="R624" s="304"/>
      <c r="S624" s="34"/>
      <c r="T624" s="34"/>
      <c r="U624" s="34"/>
      <c r="V624" s="34"/>
      <c r="W624" s="105"/>
      <c r="X624" s="105"/>
    </row>
    <row r="625" spans="1:24" ht="12.75">
      <c r="A625" s="309"/>
      <c r="B625" s="309"/>
      <c r="C625" s="34"/>
      <c r="D625" s="362"/>
      <c r="E625" s="34"/>
      <c r="F625" s="34"/>
      <c r="G625" s="35"/>
      <c r="H625" s="35"/>
      <c r="I625" s="34"/>
      <c r="J625" s="34"/>
      <c r="K625" s="65"/>
      <c r="L625" s="34"/>
      <c r="M625" s="34"/>
      <c r="N625" s="188"/>
      <c r="O625" s="188"/>
      <c r="P625" s="34"/>
      <c r="Q625" s="34"/>
      <c r="R625" s="304"/>
      <c r="S625" s="34"/>
      <c r="T625" s="34"/>
      <c r="U625" s="34"/>
      <c r="V625" s="34"/>
      <c r="W625" s="105"/>
      <c r="X625" s="105"/>
    </row>
    <row r="626" spans="1:24" ht="12.75">
      <c r="A626" s="309"/>
      <c r="B626" s="309"/>
      <c r="C626" s="34"/>
      <c r="D626" s="362"/>
      <c r="E626" s="34"/>
      <c r="F626" s="34"/>
      <c r="G626" s="35"/>
      <c r="H626" s="35"/>
      <c r="I626" s="34"/>
      <c r="J626" s="34"/>
      <c r="K626" s="65"/>
      <c r="L626" s="34"/>
      <c r="M626" s="34"/>
      <c r="N626" s="188"/>
      <c r="O626" s="188"/>
      <c r="P626" s="34"/>
      <c r="Q626" s="34"/>
      <c r="R626" s="304"/>
      <c r="S626" s="34"/>
      <c r="T626" s="34"/>
      <c r="U626" s="34"/>
      <c r="V626" s="34"/>
      <c r="W626" s="105"/>
      <c r="X626" s="105"/>
    </row>
    <row r="627" spans="1:24" ht="12.75">
      <c r="A627" s="309"/>
      <c r="B627" s="309"/>
      <c r="C627" s="34"/>
      <c r="D627" s="362"/>
      <c r="E627" s="34"/>
      <c r="F627" s="34"/>
      <c r="G627" s="35"/>
      <c r="H627" s="35"/>
      <c r="I627" s="34"/>
      <c r="J627" s="34"/>
      <c r="K627" s="65"/>
      <c r="L627" s="34"/>
      <c r="M627" s="34"/>
      <c r="N627" s="188"/>
      <c r="O627" s="188"/>
      <c r="P627" s="34"/>
      <c r="Q627" s="34"/>
      <c r="R627" s="304"/>
      <c r="S627" s="34"/>
      <c r="T627" s="34"/>
      <c r="U627" s="34"/>
      <c r="V627" s="34"/>
      <c r="W627" s="105"/>
      <c r="X627" s="105"/>
    </row>
    <row r="628" spans="1:24" ht="12.75">
      <c r="A628" s="309"/>
      <c r="B628" s="309"/>
      <c r="C628" s="34"/>
      <c r="D628" s="362"/>
      <c r="E628" s="34"/>
      <c r="F628" s="34"/>
      <c r="G628" s="35"/>
      <c r="H628" s="35"/>
      <c r="I628" s="34"/>
      <c r="J628" s="34"/>
      <c r="K628" s="65"/>
      <c r="L628" s="34"/>
      <c r="M628" s="34"/>
      <c r="N628" s="188"/>
      <c r="O628" s="188"/>
      <c r="P628" s="34"/>
      <c r="Q628" s="34"/>
      <c r="R628" s="304"/>
      <c r="S628" s="34"/>
      <c r="T628" s="34"/>
      <c r="U628" s="34"/>
      <c r="V628" s="34"/>
      <c r="W628" s="105"/>
      <c r="X628" s="105"/>
    </row>
    <row r="629" spans="1:24" ht="12.75">
      <c r="A629" s="309"/>
      <c r="B629" s="309"/>
      <c r="C629" s="34"/>
      <c r="D629" s="362"/>
      <c r="E629" s="34"/>
      <c r="F629" s="34"/>
      <c r="G629" s="35"/>
      <c r="H629" s="35"/>
      <c r="I629" s="34"/>
      <c r="J629" s="34"/>
      <c r="K629" s="65"/>
      <c r="L629" s="34"/>
      <c r="M629" s="34"/>
      <c r="N629" s="188"/>
      <c r="O629" s="188"/>
      <c r="P629" s="34"/>
      <c r="Q629" s="34"/>
      <c r="R629" s="304"/>
      <c r="S629" s="34"/>
      <c r="T629" s="34"/>
      <c r="U629" s="34"/>
      <c r="V629" s="34"/>
      <c r="W629" s="105"/>
      <c r="X629" s="105"/>
    </row>
    <row r="630" spans="1:24" ht="12.75">
      <c r="A630" s="309"/>
      <c r="B630" s="309"/>
      <c r="C630" s="34"/>
      <c r="D630" s="362"/>
      <c r="E630" s="34"/>
      <c r="F630" s="34"/>
      <c r="G630" s="35"/>
      <c r="H630" s="35"/>
      <c r="I630" s="34"/>
      <c r="J630" s="34"/>
      <c r="K630" s="65"/>
      <c r="L630" s="34"/>
      <c r="M630" s="34"/>
      <c r="N630" s="188"/>
      <c r="O630" s="188"/>
      <c r="P630" s="34"/>
      <c r="Q630" s="34"/>
      <c r="R630" s="304"/>
      <c r="S630" s="34"/>
      <c r="T630" s="34"/>
      <c r="U630" s="34"/>
      <c r="V630" s="34"/>
      <c r="W630" s="105"/>
      <c r="X630" s="105"/>
    </row>
    <row r="631" spans="1:24" ht="12.75">
      <c r="A631" s="309"/>
      <c r="B631" s="309"/>
      <c r="C631" s="34"/>
      <c r="D631" s="362"/>
      <c r="E631" s="34"/>
      <c r="F631" s="34"/>
      <c r="G631" s="35"/>
      <c r="H631" s="35"/>
      <c r="I631" s="34"/>
      <c r="J631" s="34"/>
      <c r="K631" s="65"/>
      <c r="L631" s="34"/>
      <c r="M631" s="34"/>
      <c r="N631" s="188"/>
      <c r="O631" s="188"/>
      <c r="P631" s="34"/>
      <c r="Q631" s="34"/>
      <c r="R631" s="304"/>
      <c r="S631" s="34"/>
      <c r="T631" s="34"/>
      <c r="U631" s="34"/>
      <c r="V631" s="34"/>
      <c r="W631" s="105"/>
      <c r="X631" s="105"/>
    </row>
    <row r="632" spans="1:24" ht="12.75">
      <c r="A632" s="309"/>
      <c r="B632" s="309"/>
      <c r="C632" s="34"/>
      <c r="D632" s="362"/>
      <c r="E632" s="34"/>
      <c r="F632" s="34"/>
      <c r="G632" s="35"/>
      <c r="H632" s="35"/>
      <c r="I632" s="34"/>
      <c r="J632" s="34"/>
      <c r="K632" s="65"/>
      <c r="L632" s="34"/>
      <c r="M632" s="34"/>
      <c r="N632" s="188"/>
      <c r="O632" s="188"/>
      <c r="P632" s="34"/>
      <c r="Q632" s="34"/>
      <c r="R632" s="304"/>
      <c r="S632" s="34"/>
      <c r="T632" s="34"/>
      <c r="U632" s="34"/>
      <c r="V632" s="34"/>
      <c r="W632" s="105"/>
      <c r="X632" s="105"/>
    </row>
    <row r="633" spans="1:24" ht="12.75">
      <c r="A633" s="309"/>
      <c r="B633" s="309"/>
      <c r="C633" s="34"/>
      <c r="D633" s="362"/>
      <c r="E633" s="34"/>
      <c r="F633" s="34"/>
      <c r="G633" s="35"/>
      <c r="H633" s="35"/>
      <c r="I633" s="34"/>
      <c r="J633" s="34"/>
      <c r="K633" s="65"/>
      <c r="L633" s="34"/>
      <c r="M633" s="34"/>
      <c r="N633" s="188"/>
      <c r="O633" s="188"/>
      <c r="P633" s="34"/>
      <c r="Q633" s="34"/>
      <c r="R633" s="304"/>
      <c r="S633" s="34"/>
      <c r="T633" s="34"/>
      <c r="U633" s="34"/>
      <c r="V633" s="34"/>
      <c r="W633" s="105"/>
      <c r="X633" s="105"/>
    </row>
    <row r="634" spans="1:24" ht="12.75">
      <c r="A634" s="309"/>
      <c r="B634" s="309"/>
      <c r="C634" s="34"/>
      <c r="D634" s="362"/>
      <c r="E634" s="34"/>
      <c r="F634" s="34"/>
      <c r="G634" s="35"/>
      <c r="H634" s="35"/>
      <c r="I634" s="34"/>
      <c r="J634" s="34"/>
      <c r="K634" s="65"/>
      <c r="L634" s="34"/>
      <c r="M634" s="34"/>
      <c r="N634" s="188"/>
      <c r="O634" s="188"/>
      <c r="P634" s="34"/>
      <c r="Q634" s="34"/>
      <c r="R634" s="304"/>
      <c r="S634" s="34"/>
      <c r="T634" s="34"/>
      <c r="U634" s="34"/>
      <c r="V634" s="34"/>
      <c r="W634" s="105"/>
      <c r="X634" s="105"/>
    </row>
    <row r="635" spans="1:24" ht="12.75">
      <c r="A635" s="309"/>
      <c r="B635" s="309"/>
      <c r="C635" s="34"/>
      <c r="D635" s="362"/>
      <c r="E635" s="34"/>
      <c r="F635" s="34"/>
      <c r="G635" s="35"/>
      <c r="H635" s="35"/>
      <c r="I635" s="34"/>
      <c r="J635" s="34"/>
      <c r="K635" s="65"/>
      <c r="L635" s="34"/>
      <c r="M635" s="34"/>
      <c r="N635" s="188"/>
      <c r="O635" s="188"/>
      <c r="P635" s="34"/>
      <c r="Q635" s="34"/>
      <c r="R635" s="304"/>
      <c r="S635" s="34"/>
      <c r="T635" s="34"/>
      <c r="U635" s="34"/>
      <c r="V635" s="34"/>
      <c r="W635" s="105"/>
      <c r="X635" s="105"/>
    </row>
    <row r="636" spans="1:24" ht="12.75">
      <c r="A636" s="309"/>
      <c r="B636" s="309"/>
      <c r="C636" s="34"/>
      <c r="D636" s="362"/>
      <c r="E636" s="34"/>
      <c r="F636" s="34"/>
      <c r="G636" s="35"/>
      <c r="H636" s="35"/>
      <c r="I636" s="34"/>
      <c r="J636" s="34"/>
      <c r="K636" s="65"/>
      <c r="L636" s="34"/>
      <c r="M636" s="34"/>
      <c r="N636" s="188"/>
      <c r="O636" s="188"/>
      <c r="P636" s="34"/>
      <c r="Q636" s="34"/>
      <c r="R636" s="304"/>
      <c r="S636" s="34"/>
      <c r="T636" s="34"/>
      <c r="U636" s="34"/>
      <c r="V636" s="34"/>
      <c r="W636" s="105"/>
      <c r="X636" s="105"/>
    </row>
    <row r="637" spans="1:24" ht="12.75">
      <c r="A637" s="309"/>
      <c r="B637" s="309"/>
      <c r="C637" s="34"/>
      <c r="D637" s="362"/>
      <c r="E637" s="34"/>
      <c r="F637" s="34"/>
      <c r="G637" s="35"/>
      <c r="H637" s="35"/>
      <c r="I637" s="34"/>
      <c r="J637" s="34"/>
      <c r="K637" s="65"/>
      <c r="L637" s="34"/>
      <c r="M637" s="34"/>
      <c r="N637" s="188"/>
      <c r="O637" s="188"/>
      <c r="P637" s="34"/>
      <c r="Q637" s="34"/>
      <c r="R637" s="304"/>
      <c r="S637" s="34"/>
      <c r="T637" s="34"/>
      <c r="U637" s="34"/>
      <c r="V637" s="34"/>
      <c r="W637" s="105"/>
      <c r="X637" s="105"/>
    </row>
    <row r="638" spans="1:24" ht="12.75">
      <c r="A638" s="309"/>
      <c r="B638" s="309"/>
      <c r="C638" s="34"/>
      <c r="D638" s="362"/>
      <c r="E638" s="34"/>
      <c r="F638" s="34"/>
      <c r="G638" s="35"/>
      <c r="H638" s="35"/>
      <c r="I638" s="34"/>
      <c r="J638" s="34"/>
      <c r="K638" s="65"/>
      <c r="L638" s="34"/>
      <c r="M638" s="34"/>
      <c r="N638" s="188"/>
      <c r="O638" s="188"/>
      <c r="P638" s="34"/>
      <c r="Q638" s="34"/>
      <c r="R638" s="304"/>
      <c r="S638" s="34"/>
      <c r="T638" s="34"/>
      <c r="U638" s="34"/>
      <c r="V638" s="34"/>
      <c r="W638" s="105"/>
      <c r="X638" s="105"/>
    </row>
    <row r="639" spans="1:24" ht="12.75">
      <c r="A639" s="309"/>
      <c r="B639" s="309"/>
      <c r="C639" s="34"/>
      <c r="D639" s="362"/>
      <c r="E639" s="34"/>
      <c r="F639" s="34"/>
      <c r="G639" s="35"/>
      <c r="H639" s="35"/>
      <c r="I639" s="34"/>
      <c r="J639" s="34"/>
      <c r="K639" s="65"/>
      <c r="L639" s="34"/>
      <c r="M639" s="34"/>
      <c r="N639" s="188"/>
      <c r="O639" s="188"/>
      <c r="P639" s="34"/>
      <c r="Q639" s="34"/>
      <c r="R639" s="304"/>
      <c r="S639" s="34"/>
      <c r="T639" s="34"/>
      <c r="U639" s="34"/>
      <c r="V639" s="34"/>
      <c r="W639" s="105"/>
      <c r="X639" s="105"/>
    </row>
    <row r="640" spans="1:24" ht="12.75">
      <c r="A640" s="309"/>
      <c r="B640" s="309"/>
      <c r="C640" s="34"/>
      <c r="D640" s="362"/>
      <c r="E640" s="34"/>
      <c r="F640" s="34"/>
      <c r="G640" s="35"/>
      <c r="H640" s="35"/>
      <c r="I640" s="34"/>
      <c r="J640" s="34"/>
      <c r="K640" s="65"/>
      <c r="L640" s="34"/>
      <c r="M640" s="34"/>
      <c r="N640" s="188"/>
      <c r="O640" s="188"/>
      <c r="P640" s="34"/>
      <c r="Q640" s="34"/>
      <c r="R640" s="304"/>
      <c r="S640" s="34"/>
      <c r="T640" s="34"/>
      <c r="U640" s="34"/>
      <c r="V640" s="34"/>
      <c r="W640" s="105"/>
      <c r="X640" s="105"/>
    </row>
    <row r="641" spans="1:24" ht="12.75">
      <c r="A641" s="309"/>
      <c r="B641" s="309"/>
      <c r="C641" s="34"/>
      <c r="D641" s="362"/>
      <c r="E641" s="34"/>
      <c r="F641" s="34"/>
      <c r="G641" s="35"/>
      <c r="H641" s="35"/>
      <c r="I641" s="34"/>
      <c r="J641" s="34"/>
      <c r="K641" s="65"/>
      <c r="L641" s="34"/>
      <c r="M641" s="34"/>
      <c r="N641" s="188"/>
      <c r="O641" s="188"/>
      <c r="P641" s="34"/>
      <c r="Q641" s="34"/>
      <c r="R641" s="304"/>
      <c r="S641" s="34"/>
      <c r="T641" s="34"/>
      <c r="U641" s="34"/>
      <c r="V641" s="34"/>
      <c r="W641" s="105"/>
      <c r="X641" s="105"/>
    </row>
    <row r="642" spans="1:24" ht="12.75">
      <c r="A642" s="309"/>
      <c r="B642" s="309"/>
      <c r="C642" s="34"/>
      <c r="D642" s="362"/>
      <c r="E642" s="34"/>
      <c r="F642" s="34"/>
      <c r="G642" s="35"/>
      <c r="H642" s="35"/>
      <c r="I642" s="34"/>
      <c r="J642" s="34"/>
      <c r="K642" s="65"/>
      <c r="L642" s="34"/>
      <c r="M642" s="34"/>
      <c r="N642" s="188"/>
      <c r="O642" s="188"/>
      <c r="P642" s="34"/>
      <c r="Q642" s="34"/>
      <c r="R642" s="304"/>
      <c r="S642" s="34"/>
      <c r="T642" s="34"/>
      <c r="U642" s="34"/>
      <c r="V642" s="34"/>
      <c r="W642" s="105"/>
      <c r="X642" s="105"/>
    </row>
    <row r="643" spans="1:24" ht="12.75">
      <c r="A643" s="309"/>
      <c r="B643" s="309"/>
      <c r="C643" s="34"/>
      <c r="D643" s="362"/>
      <c r="E643" s="34"/>
      <c r="F643" s="34"/>
      <c r="G643" s="35"/>
      <c r="H643" s="35"/>
      <c r="I643" s="34"/>
      <c r="J643" s="34"/>
      <c r="K643" s="65"/>
      <c r="L643" s="34"/>
      <c r="M643" s="34"/>
      <c r="N643" s="188"/>
      <c r="O643" s="188"/>
      <c r="P643" s="34"/>
      <c r="Q643" s="34"/>
      <c r="R643" s="304"/>
      <c r="S643" s="34"/>
      <c r="T643" s="34"/>
      <c r="U643" s="34"/>
      <c r="V643" s="34"/>
      <c r="W643" s="105"/>
      <c r="X643" s="105"/>
    </row>
    <row r="644" spans="1:24" ht="12.75">
      <c r="A644" s="309"/>
      <c r="B644" s="309"/>
      <c r="C644" s="34"/>
      <c r="D644" s="362"/>
      <c r="E644" s="34"/>
      <c r="F644" s="34"/>
      <c r="G644" s="35"/>
      <c r="H644" s="35"/>
      <c r="I644" s="34"/>
      <c r="J644" s="34"/>
      <c r="K644" s="65"/>
      <c r="L644" s="34"/>
      <c r="M644" s="34"/>
      <c r="N644" s="188"/>
      <c r="O644" s="188"/>
      <c r="P644" s="34"/>
      <c r="Q644" s="34"/>
      <c r="R644" s="304"/>
      <c r="S644" s="34"/>
      <c r="T644" s="34"/>
      <c r="U644" s="34"/>
      <c r="V644" s="34"/>
      <c r="W644" s="105"/>
      <c r="X644" s="105"/>
    </row>
    <row r="645" spans="1:24" ht="12.75">
      <c r="A645" s="309"/>
      <c r="B645" s="309"/>
      <c r="C645" s="34"/>
      <c r="D645" s="362"/>
      <c r="E645" s="34"/>
      <c r="F645" s="34"/>
      <c r="G645" s="35"/>
      <c r="H645" s="35"/>
      <c r="I645" s="34"/>
      <c r="J645" s="34"/>
      <c r="K645" s="65"/>
      <c r="L645" s="34"/>
      <c r="M645" s="34"/>
      <c r="N645" s="188"/>
      <c r="O645" s="188"/>
      <c r="P645" s="34"/>
      <c r="Q645" s="34"/>
      <c r="R645" s="304"/>
      <c r="S645" s="34"/>
      <c r="T645" s="34"/>
      <c r="U645" s="34"/>
      <c r="V645" s="34"/>
      <c r="W645" s="105"/>
      <c r="X645" s="105"/>
    </row>
    <row r="646" spans="1:24" ht="12.75">
      <c r="A646" s="309"/>
      <c r="B646" s="309"/>
      <c r="C646" s="34"/>
      <c r="D646" s="362"/>
      <c r="E646" s="34"/>
      <c r="F646" s="34"/>
      <c r="G646" s="35"/>
      <c r="H646" s="35"/>
      <c r="I646" s="34"/>
      <c r="J646" s="34"/>
      <c r="K646" s="65"/>
      <c r="L646" s="34"/>
      <c r="M646" s="34"/>
      <c r="N646" s="188"/>
      <c r="O646" s="188"/>
      <c r="P646" s="34"/>
      <c r="Q646" s="34"/>
      <c r="R646" s="304"/>
      <c r="S646" s="34"/>
      <c r="T646" s="34"/>
      <c r="U646" s="34"/>
      <c r="V646" s="34"/>
      <c r="W646" s="105"/>
      <c r="X646" s="105"/>
    </row>
    <row r="647" spans="1:24" ht="12.75">
      <c r="A647" s="309"/>
      <c r="B647" s="309"/>
      <c r="C647" s="34"/>
      <c r="D647" s="362"/>
      <c r="E647" s="34"/>
      <c r="F647" s="34"/>
      <c r="G647" s="35"/>
      <c r="H647" s="35"/>
      <c r="I647" s="34"/>
      <c r="J647" s="34"/>
      <c r="K647" s="65"/>
      <c r="L647" s="34"/>
      <c r="M647" s="34"/>
      <c r="N647" s="188"/>
      <c r="O647" s="188"/>
      <c r="P647" s="34"/>
      <c r="Q647" s="34"/>
      <c r="R647" s="304"/>
      <c r="S647" s="34"/>
      <c r="T647" s="34"/>
      <c r="U647" s="34"/>
      <c r="V647" s="34"/>
      <c r="W647" s="105"/>
      <c r="X647" s="105"/>
    </row>
    <row r="648" spans="1:24" ht="12.75">
      <c r="A648" s="309"/>
      <c r="B648" s="309"/>
      <c r="C648" s="34"/>
      <c r="D648" s="362"/>
      <c r="E648" s="34"/>
      <c r="F648" s="34"/>
      <c r="G648" s="35"/>
      <c r="H648" s="35"/>
      <c r="I648" s="34"/>
      <c r="J648" s="34"/>
      <c r="K648" s="65"/>
      <c r="L648" s="34"/>
      <c r="M648" s="34"/>
      <c r="N648" s="188"/>
      <c r="O648" s="188"/>
      <c r="P648" s="34"/>
      <c r="Q648" s="34"/>
      <c r="R648" s="304"/>
      <c r="S648" s="34"/>
      <c r="T648" s="34"/>
      <c r="U648" s="34"/>
      <c r="V648" s="34"/>
      <c r="W648" s="105"/>
      <c r="X648" s="105"/>
    </row>
    <row r="649" spans="1:24" ht="12.75">
      <c r="A649" s="309"/>
      <c r="B649" s="309"/>
      <c r="C649" s="34"/>
      <c r="D649" s="362"/>
      <c r="E649" s="34"/>
      <c r="F649" s="34"/>
      <c r="G649" s="35"/>
      <c r="H649" s="35"/>
      <c r="I649" s="34"/>
      <c r="J649" s="34"/>
      <c r="K649" s="65"/>
      <c r="L649" s="34"/>
      <c r="M649" s="34"/>
      <c r="N649" s="188"/>
      <c r="O649" s="188"/>
      <c r="P649" s="34"/>
      <c r="Q649" s="34"/>
      <c r="R649" s="304"/>
      <c r="S649" s="34"/>
      <c r="T649" s="34"/>
      <c r="U649" s="34"/>
      <c r="V649" s="34"/>
      <c r="W649" s="105"/>
      <c r="X649" s="105"/>
    </row>
    <row r="650" spans="1:24" ht="12.75">
      <c r="A650" s="309"/>
      <c r="B650" s="309"/>
      <c r="C650" s="34"/>
      <c r="D650" s="362"/>
      <c r="E650" s="34"/>
      <c r="F650" s="34"/>
      <c r="G650" s="35"/>
      <c r="H650" s="35"/>
      <c r="I650" s="34"/>
      <c r="J650" s="34"/>
      <c r="K650" s="65"/>
      <c r="L650" s="34"/>
      <c r="M650" s="34"/>
      <c r="N650" s="188"/>
      <c r="O650" s="188"/>
      <c r="P650" s="34"/>
      <c r="Q650" s="34"/>
      <c r="R650" s="304"/>
      <c r="S650" s="34"/>
      <c r="T650" s="34"/>
      <c r="U650" s="34"/>
      <c r="V650" s="34"/>
      <c r="W650" s="105"/>
      <c r="X650" s="105"/>
    </row>
    <row r="651" spans="1:24" ht="12.75">
      <c r="A651" s="309"/>
      <c r="B651" s="309"/>
      <c r="C651" s="34"/>
      <c r="D651" s="362"/>
      <c r="E651" s="34"/>
      <c r="F651" s="34"/>
      <c r="G651" s="35"/>
      <c r="H651" s="35"/>
      <c r="I651" s="34"/>
      <c r="J651" s="34"/>
      <c r="K651" s="65"/>
      <c r="L651" s="34"/>
      <c r="M651" s="34"/>
      <c r="N651" s="188"/>
      <c r="O651" s="188"/>
      <c r="P651" s="34"/>
      <c r="Q651" s="34"/>
      <c r="R651" s="304"/>
      <c r="S651" s="34"/>
      <c r="T651" s="34"/>
      <c r="U651" s="34"/>
      <c r="V651" s="34"/>
      <c r="W651" s="105"/>
      <c r="X651" s="105"/>
    </row>
    <row r="652" spans="1:24" ht="12.75">
      <c r="A652" s="309"/>
      <c r="B652" s="309"/>
      <c r="C652" s="34"/>
      <c r="D652" s="362"/>
      <c r="E652" s="34"/>
      <c r="F652" s="34"/>
      <c r="G652" s="35"/>
      <c r="H652" s="35"/>
      <c r="I652" s="34"/>
      <c r="J652" s="34"/>
      <c r="K652" s="65"/>
      <c r="L652" s="34"/>
      <c r="M652" s="34"/>
      <c r="N652" s="188"/>
      <c r="O652" s="188"/>
      <c r="P652" s="34"/>
      <c r="Q652" s="34"/>
      <c r="R652" s="304"/>
      <c r="S652" s="34"/>
      <c r="T652" s="34"/>
      <c r="U652" s="34"/>
      <c r="V652" s="34"/>
      <c r="W652" s="105"/>
      <c r="X652" s="105"/>
    </row>
    <row r="653" spans="1:24" ht="12.75">
      <c r="A653" s="309"/>
      <c r="B653" s="309"/>
      <c r="C653" s="34"/>
      <c r="D653" s="362"/>
      <c r="E653" s="34"/>
      <c r="F653" s="34"/>
      <c r="G653" s="35"/>
      <c r="H653" s="35"/>
      <c r="I653" s="34"/>
      <c r="J653" s="34"/>
      <c r="K653" s="65"/>
      <c r="L653" s="34"/>
      <c r="M653" s="34"/>
      <c r="N653" s="188"/>
      <c r="O653" s="188"/>
      <c r="P653" s="34"/>
      <c r="Q653" s="34"/>
      <c r="R653" s="304"/>
      <c r="S653" s="34"/>
      <c r="T653" s="34"/>
      <c r="U653" s="34"/>
      <c r="V653" s="34"/>
      <c r="W653" s="105"/>
      <c r="X653" s="105"/>
    </row>
    <row r="654" spans="1:24" ht="12.75">
      <c r="A654" s="309"/>
      <c r="B654" s="309"/>
      <c r="C654" s="34"/>
      <c r="D654" s="362"/>
      <c r="E654" s="34"/>
      <c r="F654" s="34"/>
      <c r="G654" s="35"/>
      <c r="H654" s="35"/>
      <c r="I654" s="34"/>
      <c r="J654" s="34"/>
      <c r="K654" s="65"/>
      <c r="L654" s="34"/>
      <c r="M654" s="34"/>
      <c r="N654" s="188"/>
      <c r="O654" s="188"/>
      <c r="P654" s="34"/>
      <c r="Q654" s="34"/>
      <c r="R654" s="304"/>
      <c r="S654" s="34"/>
      <c r="T654" s="34"/>
      <c r="U654" s="34"/>
      <c r="V654" s="34"/>
      <c r="W654" s="105"/>
      <c r="X654" s="105"/>
    </row>
    <row r="655" spans="1:24" ht="12.75">
      <c r="A655" s="309"/>
      <c r="B655" s="309"/>
      <c r="C655" s="34"/>
      <c r="D655" s="362"/>
      <c r="E655" s="34"/>
      <c r="F655" s="34"/>
      <c r="G655" s="35"/>
      <c r="H655" s="35"/>
      <c r="I655" s="34"/>
      <c r="J655" s="34"/>
      <c r="K655" s="65"/>
      <c r="L655" s="34"/>
      <c r="M655" s="34"/>
      <c r="N655" s="188"/>
      <c r="O655" s="188"/>
      <c r="P655" s="34"/>
      <c r="Q655" s="34"/>
      <c r="R655" s="304"/>
      <c r="S655" s="34"/>
      <c r="T655" s="34"/>
      <c r="U655" s="34"/>
      <c r="V655" s="34"/>
      <c r="W655" s="105"/>
      <c r="X655" s="105"/>
    </row>
    <row r="656" spans="1:24" ht="12.75">
      <c r="A656" s="309"/>
      <c r="B656" s="309"/>
      <c r="C656" s="34"/>
      <c r="D656" s="362"/>
      <c r="E656" s="34"/>
      <c r="F656" s="34"/>
      <c r="G656" s="35"/>
      <c r="H656" s="35"/>
      <c r="I656" s="34"/>
      <c r="J656" s="34"/>
      <c r="K656" s="65"/>
      <c r="L656" s="34"/>
      <c r="M656" s="34"/>
      <c r="N656" s="188"/>
      <c r="O656" s="188"/>
      <c r="P656" s="34"/>
      <c r="Q656" s="34"/>
      <c r="R656" s="304"/>
      <c r="S656" s="34"/>
      <c r="T656" s="34"/>
      <c r="U656" s="34"/>
      <c r="V656" s="34"/>
      <c r="W656" s="105"/>
      <c r="X656" s="105"/>
    </row>
    <row r="657" spans="1:24" ht="12.75">
      <c r="A657" s="309"/>
      <c r="B657" s="309"/>
      <c r="C657" s="34"/>
      <c r="D657" s="362"/>
      <c r="E657" s="34"/>
      <c r="F657" s="34"/>
      <c r="G657" s="35"/>
      <c r="H657" s="35"/>
      <c r="I657" s="34"/>
      <c r="J657" s="34"/>
      <c r="K657" s="65"/>
      <c r="L657" s="34"/>
      <c r="M657" s="34"/>
      <c r="N657" s="188"/>
      <c r="O657" s="188"/>
      <c r="P657" s="34"/>
      <c r="Q657" s="34"/>
      <c r="R657" s="304"/>
      <c r="S657" s="34"/>
      <c r="T657" s="34"/>
      <c r="U657" s="34"/>
      <c r="V657" s="34"/>
      <c r="W657" s="105"/>
      <c r="X657" s="105"/>
    </row>
    <row r="658" spans="1:24" ht="12.75">
      <c r="A658" s="309"/>
      <c r="B658" s="309"/>
      <c r="C658" s="34"/>
      <c r="D658" s="362"/>
      <c r="E658" s="34"/>
      <c r="F658" s="34"/>
      <c r="G658" s="35"/>
      <c r="H658" s="35"/>
      <c r="I658" s="34"/>
      <c r="J658" s="34"/>
      <c r="K658" s="65"/>
      <c r="L658" s="34"/>
      <c r="M658" s="34"/>
      <c r="N658" s="188"/>
      <c r="O658" s="188"/>
      <c r="P658" s="34"/>
      <c r="Q658" s="34"/>
      <c r="R658" s="304"/>
      <c r="S658" s="34"/>
      <c r="T658" s="34"/>
      <c r="U658" s="34"/>
      <c r="V658" s="34"/>
      <c r="W658" s="105"/>
      <c r="X658" s="105"/>
    </row>
    <row r="659" spans="1:24" ht="12.75">
      <c r="A659" s="309"/>
      <c r="B659" s="309"/>
      <c r="C659" s="34"/>
      <c r="D659" s="362"/>
      <c r="E659" s="34"/>
      <c r="F659" s="34"/>
      <c r="G659" s="35"/>
      <c r="H659" s="35"/>
      <c r="I659" s="34"/>
      <c r="J659" s="34"/>
      <c r="K659" s="65"/>
      <c r="L659" s="34"/>
      <c r="M659" s="34"/>
      <c r="N659" s="188"/>
      <c r="O659" s="188"/>
      <c r="P659" s="34"/>
      <c r="Q659" s="34"/>
      <c r="R659" s="304"/>
      <c r="S659" s="34"/>
      <c r="T659" s="34"/>
      <c r="U659" s="34"/>
      <c r="V659" s="34"/>
      <c r="W659" s="105"/>
      <c r="X659" s="105"/>
    </row>
    <row r="660" spans="1:24" ht="12.75">
      <c r="A660" s="309"/>
      <c r="B660" s="309"/>
      <c r="C660" s="34"/>
      <c r="D660" s="362"/>
      <c r="E660" s="34"/>
      <c r="F660" s="34"/>
      <c r="G660" s="35"/>
      <c r="H660" s="35"/>
      <c r="I660" s="34"/>
      <c r="J660" s="34"/>
      <c r="K660" s="65"/>
      <c r="L660" s="34"/>
      <c r="M660" s="34"/>
      <c r="N660" s="188"/>
      <c r="O660" s="188"/>
      <c r="P660" s="34"/>
      <c r="Q660" s="34"/>
      <c r="R660" s="304"/>
      <c r="S660" s="34"/>
      <c r="T660" s="34"/>
      <c r="U660" s="34"/>
      <c r="V660" s="34"/>
      <c r="W660" s="105"/>
      <c r="X660" s="105"/>
    </row>
    <row r="661" spans="1:24" ht="12.75">
      <c r="A661" s="309"/>
      <c r="B661" s="309"/>
      <c r="C661" s="34"/>
      <c r="D661" s="362"/>
      <c r="E661" s="34"/>
      <c r="F661" s="34"/>
      <c r="G661" s="35"/>
      <c r="H661" s="35"/>
      <c r="I661" s="34"/>
      <c r="J661" s="34"/>
      <c r="K661" s="65"/>
      <c r="L661" s="34"/>
      <c r="M661" s="34"/>
      <c r="N661" s="188"/>
      <c r="O661" s="188"/>
      <c r="P661" s="34"/>
      <c r="Q661" s="34"/>
      <c r="R661" s="304"/>
      <c r="S661" s="34"/>
      <c r="T661" s="34"/>
      <c r="U661" s="34"/>
      <c r="V661" s="34"/>
      <c r="W661" s="105"/>
      <c r="X661" s="105"/>
    </row>
    <row r="662" spans="1:24" ht="12.75">
      <c r="A662" s="309"/>
      <c r="B662" s="309"/>
      <c r="C662" s="34"/>
      <c r="D662" s="362"/>
      <c r="E662" s="34"/>
      <c r="F662" s="34"/>
      <c r="G662" s="35"/>
      <c r="H662" s="35"/>
      <c r="I662" s="34"/>
      <c r="J662" s="34"/>
      <c r="K662" s="65"/>
      <c r="L662" s="34"/>
      <c r="M662" s="34"/>
      <c r="N662" s="188"/>
      <c r="O662" s="188"/>
      <c r="P662" s="34"/>
      <c r="Q662" s="34"/>
      <c r="R662" s="304"/>
      <c r="S662" s="34"/>
      <c r="T662" s="34"/>
      <c r="U662" s="34"/>
      <c r="V662" s="34"/>
      <c r="W662" s="105"/>
      <c r="X662" s="105"/>
    </row>
    <row r="663" spans="1:24" ht="12.75">
      <c r="A663" s="309"/>
      <c r="B663" s="309"/>
      <c r="C663" s="34"/>
      <c r="D663" s="362"/>
      <c r="E663" s="34"/>
      <c r="F663" s="34"/>
      <c r="G663" s="35"/>
      <c r="H663" s="35"/>
      <c r="I663" s="34"/>
      <c r="J663" s="34"/>
      <c r="K663" s="65"/>
      <c r="L663" s="34"/>
      <c r="M663" s="34"/>
      <c r="N663" s="188"/>
      <c r="O663" s="188"/>
      <c r="P663" s="34"/>
      <c r="Q663" s="34"/>
      <c r="R663" s="304"/>
      <c r="S663" s="34"/>
      <c r="T663" s="34"/>
      <c r="U663" s="34"/>
      <c r="V663" s="34"/>
      <c r="W663" s="105"/>
      <c r="X663" s="105"/>
    </row>
    <row r="664" spans="1:24" ht="12.75">
      <c r="A664" s="309"/>
      <c r="B664" s="309"/>
      <c r="C664" s="34"/>
      <c r="D664" s="362"/>
      <c r="E664" s="34"/>
      <c r="F664" s="34"/>
      <c r="G664" s="35"/>
      <c r="H664" s="35"/>
      <c r="I664" s="34"/>
      <c r="J664" s="34"/>
      <c r="K664" s="65"/>
      <c r="L664" s="34"/>
      <c r="M664" s="34"/>
      <c r="N664" s="188"/>
      <c r="O664" s="188"/>
      <c r="P664" s="34"/>
      <c r="Q664" s="34"/>
      <c r="R664" s="304"/>
      <c r="S664" s="34"/>
      <c r="T664" s="34"/>
      <c r="U664" s="34"/>
      <c r="V664" s="34"/>
      <c r="W664" s="105"/>
      <c r="X664" s="105"/>
    </row>
    <row r="665" spans="1:24" ht="12.75">
      <c r="A665" s="309"/>
      <c r="B665" s="309"/>
      <c r="C665" s="34"/>
      <c r="D665" s="362"/>
      <c r="E665" s="34"/>
      <c r="F665" s="34"/>
      <c r="G665" s="35"/>
      <c r="H665" s="35"/>
      <c r="I665" s="34"/>
      <c r="J665" s="34"/>
      <c r="K665" s="65"/>
      <c r="L665" s="34"/>
      <c r="M665" s="34"/>
      <c r="N665" s="188"/>
      <c r="O665" s="188"/>
      <c r="P665" s="34"/>
      <c r="Q665" s="34"/>
      <c r="R665" s="304"/>
      <c r="S665" s="34"/>
      <c r="T665" s="34"/>
      <c r="U665" s="34"/>
      <c r="V665" s="34"/>
      <c r="W665" s="105"/>
      <c r="X665" s="105"/>
    </row>
    <row r="666" spans="1:24" ht="12.75">
      <c r="A666" s="309"/>
      <c r="B666" s="309"/>
      <c r="C666" s="34"/>
      <c r="D666" s="362"/>
      <c r="E666" s="34"/>
      <c r="F666" s="34"/>
      <c r="G666" s="35"/>
      <c r="H666" s="35"/>
      <c r="I666" s="34"/>
      <c r="J666" s="34"/>
      <c r="K666" s="65"/>
      <c r="L666" s="34"/>
      <c r="M666" s="34"/>
      <c r="N666" s="188"/>
      <c r="O666" s="188"/>
      <c r="P666" s="34"/>
      <c r="Q666" s="34"/>
      <c r="R666" s="304"/>
      <c r="S666" s="34"/>
      <c r="T666" s="34"/>
      <c r="U666" s="34"/>
      <c r="V666" s="34"/>
      <c r="W666" s="105"/>
      <c r="X666" s="105"/>
    </row>
    <row r="667" spans="1:24" ht="12.75">
      <c r="A667" s="309"/>
      <c r="B667" s="309"/>
      <c r="C667" s="34"/>
      <c r="D667" s="362"/>
      <c r="E667" s="34"/>
      <c r="F667" s="34"/>
      <c r="G667" s="35"/>
      <c r="H667" s="35"/>
      <c r="I667" s="34"/>
      <c r="J667" s="34"/>
      <c r="K667" s="65"/>
      <c r="L667" s="34"/>
      <c r="M667" s="34"/>
      <c r="N667" s="188"/>
      <c r="O667" s="188"/>
      <c r="P667" s="34"/>
      <c r="Q667" s="34"/>
      <c r="R667" s="304"/>
      <c r="S667" s="34"/>
      <c r="T667" s="34"/>
      <c r="U667" s="34"/>
      <c r="V667" s="34"/>
      <c r="W667" s="105"/>
      <c r="X667" s="105"/>
    </row>
    <row r="668" spans="1:24" ht="12.75">
      <c r="A668" s="309"/>
      <c r="B668" s="309"/>
      <c r="C668" s="34"/>
      <c r="D668" s="362"/>
      <c r="E668" s="34"/>
      <c r="F668" s="34"/>
      <c r="G668" s="35"/>
      <c r="H668" s="35"/>
      <c r="I668" s="34"/>
      <c r="J668" s="34"/>
      <c r="K668" s="65"/>
      <c r="L668" s="34"/>
      <c r="M668" s="34"/>
      <c r="N668" s="188"/>
      <c r="O668" s="188"/>
      <c r="P668" s="34"/>
      <c r="Q668" s="34"/>
      <c r="R668" s="304"/>
      <c r="S668" s="34"/>
      <c r="T668" s="34"/>
      <c r="U668" s="34"/>
      <c r="V668" s="34"/>
      <c r="W668" s="105"/>
      <c r="X668" s="105"/>
    </row>
    <row r="669" spans="1:24" ht="12.75">
      <c r="A669" s="309"/>
      <c r="B669" s="309"/>
      <c r="C669" s="34"/>
      <c r="D669" s="362"/>
      <c r="E669" s="34"/>
      <c r="F669" s="34"/>
      <c r="G669" s="35"/>
      <c r="H669" s="35"/>
      <c r="I669" s="34"/>
      <c r="J669" s="34"/>
      <c r="K669" s="65"/>
      <c r="L669" s="34"/>
      <c r="M669" s="34"/>
      <c r="N669" s="188"/>
      <c r="O669" s="188"/>
      <c r="P669" s="34"/>
      <c r="Q669" s="34"/>
      <c r="R669" s="304"/>
      <c r="S669" s="34"/>
      <c r="T669" s="34"/>
      <c r="U669" s="34"/>
      <c r="V669" s="34"/>
      <c r="W669" s="105"/>
      <c r="X669" s="105"/>
    </row>
    <row r="670" spans="1:24" ht="12.75">
      <c r="A670" s="309"/>
      <c r="B670" s="309"/>
      <c r="C670" s="34"/>
      <c r="D670" s="362"/>
      <c r="E670" s="34"/>
      <c r="F670" s="34"/>
      <c r="G670" s="35"/>
      <c r="H670" s="35"/>
      <c r="I670" s="34"/>
      <c r="J670" s="34"/>
      <c r="K670" s="65"/>
      <c r="L670" s="34"/>
      <c r="M670" s="34"/>
      <c r="N670" s="188"/>
      <c r="O670" s="188"/>
      <c r="P670" s="34"/>
      <c r="Q670" s="34"/>
      <c r="R670" s="304"/>
      <c r="S670" s="34"/>
      <c r="T670" s="34"/>
      <c r="U670" s="34"/>
      <c r="V670" s="34"/>
      <c r="W670" s="105"/>
      <c r="X670" s="105"/>
    </row>
    <row r="671" spans="1:24" ht="12.75">
      <c r="A671" s="309"/>
      <c r="B671" s="309"/>
      <c r="C671" s="34"/>
      <c r="D671" s="362"/>
      <c r="E671" s="34"/>
      <c r="F671" s="34"/>
      <c r="G671" s="35"/>
      <c r="H671" s="35"/>
      <c r="I671" s="34"/>
      <c r="J671" s="34"/>
      <c r="K671" s="65"/>
      <c r="L671" s="34"/>
      <c r="M671" s="34"/>
      <c r="N671" s="188"/>
      <c r="O671" s="188"/>
      <c r="P671" s="34"/>
      <c r="Q671" s="34"/>
      <c r="R671" s="304"/>
      <c r="S671" s="34"/>
      <c r="T671" s="34"/>
      <c r="U671" s="34"/>
      <c r="V671" s="34"/>
      <c r="W671" s="105"/>
      <c r="X671" s="105"/>
    </row>
    <row r="672" spans="1:24" ht="12.75">
      <c r="A672" s="309"/>
      <c r="B672" s="309"/>
      <c r="C672" s="34"/>
      <c r="D672" s="362"/>
      <c r="E672" s="34"/>
      <c r="F672" s="34"/>
      <c r="G672" s="35"/>
      <c r="H672" s="35"/>
      <c r="I672" s="34"/>
      <c r="J672" s="34"/>
      <c r="K672" s="65"/>
      <c r="L672" s="34"/>
      <c r="M672" s="34"/>
      <c r="N672" s="188"/>
      <c r="O672" s="188"/>
      <c r="P672" s="34"/>
      <c r="Q672" s="34"/>
      <c r="R672" s="304"/>
      <c r="S672" s="34"/>
      <c r="T672" s="34"/>
      <c r="U672" s="34"/>
      <c r="V672" s="34"/>
      <c r="W672" s="105"/>
      <c r="X672" s="105"/>
    </row>
    <row r="673" spans="1:24" ht="12.75">
      <c r="A673" s="309"/>
      <c r="B673" s="309"/>
      <c r="C673" s="34"/>
      <c r="D673" s="362"/>
      <c r="E673" s="34"/>
      <c r="F673" s="34"/>
      <c r="G673" s="35"/>
      <c r="H673" s="35"/>
      <c r="I673" s="34"/>
      <c r="J673" s="34"/>
      <c r="K673" s="65"/>
      <c r="L673" s="34"/>
      <c r="M673" s="34"/>
      <c r="N673" s="188"/>
      <c r="O673" s="188"/>
      <c r="P673" s="34"/>
      <c r="Q673" s="34"/>
      <c r="R673" s="304"/>
      <c r="S673" s="34"/>
      <c r="T673" s="34"/>
      <c r="U673" s="34"/>
      <c r="V673" s="34"/>
      <c r="W673" s="105"/>
      <c r="X673" s="105"/>
    </row>
    <row r="674" spans="1:24" ht="12.75">
      <c r="A674" s="309"/>
      <c r="B674" s="309"/>
      <c r="C674" s="34"/>
      <c r="D674" s="362"/>
      <c r="E674" s="34"/>
      <c r="F674" s="34"/>
      <c r="G674" s="35"/>
      <c r="H674" s="35"/>
      <c r="I674" s="34"/>
      <c r="J674" s="34"/>
      <c r="K674" s="65"/>
      <c r="L674" s="34"/>
      <c r="M674" s="34"/>
      <c r="N674" s="188"/>
      <c r="O674" s="188"/>
      <c r="P674" s="34"/>
      <c r="Q674" s="34"/>
      <c r="R674" s="304"/>
      <c r="S674" s="34"/>
      <c r="T674" s="34"/>
      <c r="U674" s="34"/>
      <c r="V674" s="34"/>
      <c r="W674" s="105"/>
      <c r="X674" s="105"/>
    </row>
    <row r="675" spans="1:24" ht="12.75">
      <c r="A675" s="309"/>
      <c r="B675" s="309"/>
      <c r="C675" s="34"/>
      <c r="D675" s="362"/>
      <c r="E675" s="34"/>
      <c r="F675" s="34"/>
      <c r="G675" s="35"/>
      <c r="H675" s="35"/>
      <c r="I675" s="34"/>
      <c r="J675" s="34"/>
      <c r="K675" s="65"/>
      <c r="L675" s="34"/>
      <c r="M675" s="34"/>
      <c r="N675" s="188"/>
      <c r="O675" s="188"/>
      <c r="P675" s="34"/>
      <c r="Q675" s="34"/>
      <c r="R675" s="304"/>
      <c r="S675" s="34"/>
      <c r="T675" s="34"/>
      <c r="U675" s="34"/>
      <c r="V675" s="34"/>
      <c r="W675" s="105"/>
      <c r="X675" s="105"/>
    </row>
    <row r="676" spans="1:24" ht="12.75">
      <c r="A676" s="309"/>
      <c r="B676" s="309"/>
      <c r="C676" s="34"/>
      <c r="D676" s="362"/>
      <c r="E676" s="34"/>
      <c r="F676" s="34"/>
      <c r="G676" s="35"/>
      <c r="H676" s="35"/>
      <c r="I676" s="34"/>
      <c r="J676" s="34"/>
      <c r="K676" s="65"/>
      <c r="L676" s="34"/>
      <c r="M676" s="34"/>
      <c r="N676" s="188"/>
      <c r="O676" s="188"/>
      <c r="P676" s="34"/>
      <c r="Q676" s="34"/>
      <c r="R676" s="304"/>
      <c r="S676" s="34"/>
      <c r="T676" s="34"/>
      <c r="U676" s="34"/>
      <c r="V676" s="34"/>
      <c r="W676" s="105"/>
      <c r="X676" s="105"/>
    </row>
    <row r="677" spans="1:24" ht="12.75">
      <c r="A677" s="309"/>
      <c r="B677" s="309"/>
      <c r="C677" s="34"/>
      <c r="D677" s="362"/>
      <c r="E677" s="34"/>
      <c r="F677" s="34"/>
      <c r="G677" s="35"/>
      <c r="H677" s="35"/>
      <c r="I677" s="34"/>
      <c r="J677" s="34"/>
      <c r="K677" s="65"/>
      <c r="L677" s="34"/>
      <c r="M677" s="34"/>
      <c r="N677" s="188"/>
      <c r="O677" s="188"/>
      <c r="P677" s="34"/>
      <c r="Q677" s="34"/>
      <c r="R677" s="304"/>
      <c r="S677" s="34"/>
      <c r="T677" s="34"/>
      <c r="U677" s="34"/>
      <c r="V677" s="34"/>
      <c r="W677" s="105"/>
      <c r="X677" s="105"/>
    </row>
    <row r="678" spans="1:24" ht="12.75">
      <c r="A678" s="309"/>
      <c r="B678" s="309"/>
      <c r="C678" s="34"/>
      <c r="D678" s="362"/>
      <c r="E678" s="34"/>
      <c r="F678" s="34"/>
      <c r="G678" s="35"/>
      <c r="H678" s="35"/>
      <c r="I678" s="34"/>
      <c r="J678" s="34"/>
      <c r="K678" s="65"/>
      <c r="L678" s="34"/>
      <c r="M678" s="34"/>
      <c r="N678" s="188"/>
      <c r="O678" s="188"/>
      <c r="P678" s="34"/>
      <c r="Q678" s="34"/>
      <c r="R678" s="304"/>
      <c r="S678" s="34"/>
      <c r="T678" s="34"/>
      <c r="U678" s="34"/>
      <c r="V678" s="34"/>
      <c r="W678" s="105"/>
      <c r="X678" s="105"/>
    </row>
    <row r="679" spans="1:24" ht="12.75">
      <c r="A679" s="309"/>
      <c r="B679" s="309"/>
      <c r="C679" s="34"/>
      <c r="D679" s="362"/>
      <c r="E679" s="34"/>
      <c r="F679" s="34"/>
      <c r="G679" s="35"/>
      <c r="H679" s="35"/>
      <c r="I679" s="34"/>
      <c r="J679" s="34"/>
      <c r="K679" s="65"/>
      <c r="L679" s="34"/>
      <c r="M679" s="34"/>
      <c r="N679" s="188"/>
      <c r="O679" s="188"/>
      <c r="P679" s="34"/>
      <c r="Q679" s="34"/>
      <c r="R679" s="304"/>
      <c r="S679" s="34"/>
      <c r="T679" s="34"/>
      <c r="U679" s="34"/>
      <c r="V679" s="34"/>
      <c r="W679" s="105"/>
      <c r="X679" s="105"/>
    </row>
    <row r="680" spans="1:24" ht="12.75">
      <c r="A680" s="309"/>
      <c r="B680" s="309"/>
      <c r="C680" s="34"/>
      <c r="D680" s="362"/>
      <c r="E680" s="34"/>
      <c r="F680" s="34"/>
      <c r="G680" s="35"/>
      <c r="H680" s="35"/>
      <c r="I680" s="34"/>
      <c r="J680" s="34"/>
      <c r="K680" s="65"/>
      <c r="L680" s="34"/>
      <c r="M680" s="34"/>
      <c r="N680" s="188"/>
      <c r="O680" s="188"/>
      <c r="P680" s="34"/>
      <c r="Q680" s="34"/>
      <c r="R680" s="304"/>
      <c r="S680" s="34"/>
      <c r="T680" s="34"/>
      <c r="U680" s="34"/>
      <c r="V680" s="34"/>
      <c r="W680" s="105"/>
      <c r="X680" s="105"/>
    </row>
    <row r="681" spans="1:24" ht="12.75">
      <c r="A681" s="309"/>
      <c r="B681" s="309"/>
      <c r="C681" s="34"/>
      <c r="D681" s="362"/>
      <c r="E681" s="34"/>
      <c r="F681" s="34"/>
      <c r="G681" s="35"/>
      <c r="H681" s="35"/>
      <c r="I681" s="34"/>
      <c r="J681" s="34"/>
      <c r="K681" s="65"/>
      <c r="L681" s="34"/>
      <c r="M681" s="34"/>
      <c r="N681" s="188"/>
      <c r="O681" s="188"/>
      <c r="P681" s="34"/>
      <c r="Q681" s="34"/>
      <c r="R681" s="304"/>
      <c r="S681" s="34"/>
      <c r="T681" s="34"/>
      <c r="U681" s="34"/>
      <c r="V681" s="34"/>
      <c r="W681" s="105"/>
      <c r="X681" s="105"/>
    </row>
    <row r="682" spans="1:24" ht="12.75">
      <c r="A682" s="309"/>
      <c r="B682" s="309"/>
      <c r="C682" s="34"/>
      <c r="D682" s="362"/>
      <c r="E682" s="34"/>
      <c r="F682" s="34"/>
      <c r="G682" s="35"/>
      <c r="H682" s="35"/>
      <c r="I682" s="34"/>
      <c r="J682" s="34"/>
      <c r="K682" s="65"/>
      <c r="L682" s="34"/>
      <c r="M682" s="34"/>
      <c r="N682" s="188"/>
      <c r="O682" s="188"/>
      <c r="P682" s="34"/>
      <c r="Q682" s="34"/>
      <c r="R682" s="304"/>
      <c r="S682" s="34"/>
      <c r="T682" s="34"/>
      <c r="U682" s="34"/>
      <c r="V682" s="34"/>
      <c r="W682" s="105"/>
      <c r="X682" s="105"/>
    </row>
    <row r="683" spans="1:24" ht="12.75">
      <c r="A683" s="309"/>
      <c r="B683" s="309"/>
      <c r="C683" s="34"/>
      <c r="D683" s="362"/>
      <c r="E683" s="34"/>
      <c r="F683" s="34"/>
      <c r="G683" s="35"/>
      <c r="H683" s="35"/>
      <c r="I683" s="34"/>
      <c r="J683" s="34"/>
      <c r="K683" s="65"/>
      <c r="L683" s="34"/>
      <c r="M683" s="34"/>
      <c r="N683" s="188"/>
      <c r="O683" s="188"/>
      <c r="P683" s="34"/>
      <c r="Q683" s="34"/>
      <c r="R683" s="304"/>
      <c r="S683" s="34"/>
      <c r="T683" s="34"/>
      <c r="U683" s="34"/>
      <c r="V683" s="34"/>
      <c r="W683" s="105"/>
      <c r="X683" s="105"/>
    </row>
    <row r="684" spans="1:24" ht="12.75">
      <c r="A684" s="309"/>
      <c r="B684" s="309"/>
      <c r="C684" s="34"/>
      <c r="D684" s="362"/>
      <c r="E684" s="34"/>
      <c r="F684" s="34"/>
      <c r="G684" s="35"/>
      <c r="H684" s="35"/>
      <c r="I684" s="34"/>
      <c r="J684" s="34"/>
      <c r="K684" s="65"/>
      <c r="L684" s="34"/>
      <c r="M684" s="34"/>
      <c r="N684" s="188"/>
      <c r="O684" s="188"/>
      <c r="P684" s="34"/>
      <c r="Q684" s="34"/>
      <c r="R684" s="304"/>
      <c r="S684" s="34"/>
      <c r="T684" s="34"/>
      <c r="U684" s="34"/>
      <c r="V684" s="34"/>
      <c r="W684" s="105"/>
      <c r="X684" s="105"/>
    </row>
    <row r="685" spans="1:24" ht="12.75">
      <c r="A685" s="309"/>
      <c r="B685" s="309"/>
      <c r="C685" s="34"/>
      <c r="D685" s="362"/>
      <c r="E685" s="34"/>
      <c r="F685" s="34"/>
      <c r="G685" s="35"/>
      <c r="H685" s="35"/>
      <c r="I685" s="34"/>
      <c r="J685" s="34"/>
      <c r="K685" s="65"/>
      <c r="L685" s="34"/>
      <c r="M685" s="34"/>
      <c r="N685" s="188"/>
      <c r="O685" s="188"/>
      <c r="P685" s="34"/>
      <c r="Q685" s="34"/>
      <c r="R685" s="304"/>
      <c r="S685" s="34"/>
      <c r="T685" s="34"/>
      <c r="U685" s="34"/>
      <c r="V685" s="34"/>
      <c r="W685" s="105"/>
      <c r="X685" s="105"/>
    </row>
    <row r="686" spans="1:24" ht="12.75">
      <c r="A686" s="309"/>
      <c r="B686" s="309"/>
      <c r="C686" s="34"/>
      <c r="D686" s="362"/>
      <c r="E686" s="34"/>
      <c r="F686" s="34"/>
      <c r="G686" s="35"/>
      <c r="H686" s="35"/>
      <c r="I686" s="34"/>
      <c r="J686" s="34"/>
      <c r="K686" s="65"/>
      <c r="L686" s="34"/>
      <c r="M686" s="34"/>
      <c r="N686" s="188"/>
      <c r="O686" s="188"/>
      <c r="P686" s="34"/>
      <c r="Q686" s="34"/>
      <c r="R686" s="304"/>
      <c r="S686" s="34"/>
      <c r="T686" s="34"/>
      <c r="U686" s="34"/>
      <c r="V686" s="34"/>
      <c r="W686" s="105"/>
      <c r="X686" s="105"/>
    </row>
    <row r="687" spans="1:24" ht="12.75">
      <c r="A687" s="309"/>
      <c r="B687" s="309"/>
      <c r="C687" s="34"/>
      <c r="D687" s="362"/>
      <c r="E687" s="34"/>
      <c r="F687" s="34"/>
      <c r="G687" s="35"/>
      <c r="H687" s="35"/>
      <c r="I687" s="34"/>
      <c r="J687" s="34"/>
      <c r="K687" s="65"/>
      <c r="L687" s="34"/>
      <c r="M687" s="34"/>
      <c r="N687" s="188"/>
      <c r="O687" s="188"/>
      <c r="P687" s="34"/>
      <c r="Q687" s="34"/>
      <c r="R687" s="304"/>
      <c r="S687" s="34"/>
      <c r="T687" s="34"/>
      <c r="U687" s="34"/>
      <c r="V687" s="34"/>
      <c r="W687" s="105"/>
      <c r="X687" s="105"/>
    </row>
    <row r="688" spans="1:24" ht="12.75">
      <c r="A688" s="309"/>
      <c r="B688" s="309"/>
      <c r="C688" s="34"/>
      <c r="D688" s="362"/>
      <c r="E688" s="34"/>
      <c r="F688" s="34"/>
      <c r="G688" s="35"/>
      <c r="H688" s="35"/>
      <c r="I688" s="34"/>
      <c r="J688" s="34"/>
      <c r="K688" s="65"/>
      <c r="L688" s="34"/>
      <c r="M688" s="34"/>
      <c r="N688" s="188"/>
      <c r="O688" s="188"/>
      <c r="P688" s="34"/>
      <c r="Q688" s="34"/>
      <c r="R688" s="304"/>
      <c r="S688" s="34"/>
      <c r="T688" s="34"/>
      <c r="U688" s="34"/>
      <c r="V688" s="34"/>
      <c r="W688" s="105"/>
      <c r="X688" s="105"/>
    </row>
    <row r="689" spans="1:24" ht="12.75">
      <c r="A689" s="309"/>
      <c r="B689" s="309"/>
      <c r="C689" s="34"/>
      <c r="D689" s="362"/>
      <c r="E689" s="34"/>
      <c r="F689" s="34"/>
      <c r="G689" s="35"/>
      <c r="H689" s="35"/>
      <c r="I689" s="34"/>
      <c r="J689" s="34"/>
      <c r="K689" s="65"/>
      <c r="L689" s="34"/>
      <c r="M689" s="34"/>
      <c r="N689" s="188"/>
      <c r="O689" s="188"/>
      <c r="P689" s="34"/>
      <c r="Q689" s="34"/>
      <c r="R689" s="304"/>
      <c r="S689" s="34"/>
      <c r="T689" s="34"/>
      <c r="U689" s="34"/>
      <c r="V689" s="34"/>
      <c r="W689" s="105"/>
      <c r="X689" s="105"/>
    </row>
    <row r="690" spans="1:24" ht="12.75">
      <c r="A690" s="309"/>
      <c r="B690" s="309"/>
      <c r="C690" s="34"/>
      <c r="D690" s="362"/>
      <c r="E690" s="34"/>
      <c r="F690" s="34"/>
      <c r="G690" s="35"/>
      <c r="H690" s="35"/>
      <c r="I690" s="34"/>
      <c r="J690" s="34"/>
      <c r="K690" s="65"/>
      <c r="L690" s="34"/>
      <c r="M690" s="34"/>
      <c r="N690" s="188"/>
      <c r="O690" s="188"/>
      <c r="P690" s="34"/>
      <c r="Q690" s="34"/>
      <c r="R690" s="304"/>
      <c r="S690" s="34"/>
      <c r="T690" s="34"/>
      <c r="U690" s="34"/>
      <c r="V690" s="34"/>
      <c r="W690" s="105"/>
      <c r="X690" s="105"/>
    </row>
    <row r="691" spans="1:24" ht="12.75">
      <c r="A691" s="309"/>
      <c r="B691" s="309"/>
      <c r="C691" s="34"/>
      <c r="D691" s="362"/>
      <c r="E691" s="34"/>
      <c r="F691" s="34"/>
      <c r="G691" s="35"/>
      <c r="H691" s="35"/>
      <c r="I691" s="34"/>
      <c r="J691" s="34"/>
      <c r="K691" s="65"/>
      <c r="L691" s="34"/>
      <c r="M691" s="34"/>
      <c r="N691" s="188"/>
      <c r="O691" s="188"/>
      <c r="P691" s="34"/>
      <c r="Q691" s="34"/>
      <c r="R691" s="304"/>
      <c r="S691" s="34"/>
      <c r="T691" s="34"/>
      <c r="U691" s="34"/>
      <c r="V691" s="34"/>
      <c r="W691" s="105"/>
      <c r="X691" s="105"/>
    </row>
    <row r="692" spans="1:24" ht="12.75">
      <c r="A692" s="309"/>
      <c r="B692" s="309"/>
      <c r="C692" s="34"/>
      <c r="D692" s="362"/>
      <c r="E692" s="34"/>
      <c r="F692" s="34"/>
      <c r="G692" s="35"/>
      <c r="H692" s="35"/>
      <c r="I692" s="34"/>
      <c r="J692" s="34"/>
      <c r="K692" s="65"/>
      <c r="L692" s="34"/>
      <c r="M692" s="34"/>
      <c r="N692" s="188"/>
      <c r="O692" s="188"/>
      <c r="P692" s="34"/>
      <c r="Q692" s="34"/>
      <c r="R692" s="304"/>
      <c r="S692" s="34"/>
      <c r="T692" s="34"/>
      <c r="U692" s="34"/>
      <c r="V692" s="34"/>
      <c r="W692" s="105"/>
      <c r="X692" s="105"/>
    </row>
    <row r="693" spans="1:24" ht="12.75">
      <c r="A693" s="309"/>
      <c r="B693" s="309"/>
      <c r="C693" s="34"/>
      <c r="D693" s="362"/>
      <c r="E693" s="34"/>
      <c r="F693" s="34"/>
      <c r="G693" s="35"/>
      <c r="H693" s="35"/>
      <c r="I693" s="34"/>
      <c r="J693" s="34"/>
      <c r="K693" s="65"/>
      <c r="L693" s="34"/>
      <c r="M693" s="34"/>
      <c r="N693" s="188"/>
      <c r="O693" s="188"/>
      <c r="P693" s="34"/>
      <c r="Q693" s="34"/>
      <c r="R693" s="304"/>
      <c r="S693" s="34"/>
      <c r="T693" s="34"/>
      <c r="U693" s="34"/>
      <c r="V693" s="34"/>
      <c r="W693" s="105"/>
      <c r="X693" s="105"/>
    </row>
    <row r="694" spans="1:24" ht="12.75">
      <c r="A694" s="309"/>
      <c r="B694" s="309"/>
      <c r="C694" s="34"/>
      <c r="D694" s="362"/>
      <c r="E694" s="34"/>
      <c r="F694" s="34"/>
      <c r="G694" s="35"/>
      <c r="H694" s="35"/>
      <c r="I694" s="34"/>
      <c r="J694" s="34"/>
      <c r="K694" s="65"/>
      <c r="L694" s="34"/>
      <c r="M694" s="34"/>
      <c r="N694" s="188"/>
      <c r="O694" s="188"/>
      <c r="P694" s="34"/>
      <c r="Q694" s="34"/>
      <c r="R694" s="304"/>
      <c r="S694" s="34"/>
      <c r="T694" s="34"/>
      <c r="U694" s="34"/>
      <c r="V694" s="34"/>
      <c r="W694" s="105"/>
      <c r="X694" s="105"/>
    </row>
    <row r="695" spans="1:24" ht="12.75">
      <c r="A695" s="309"/>
      <c r="B695" s="309"/>
      <c r="C695" s="34"/>
      <c r="D695" s="362"/>
      <c r="E695" s="34"/>
      <c r="F695" s="34"/>
      <c r="G695" s="35"/>
      <c r="H695" s="35"/>
      <c r="I695" s="34"/>
      <c r="J695" s="34"/>
      <c r="K695" s="65"/>
      <c r="L695" s="34"/>
      <c r="M695" s="34"/>
      <c r="N695" s="188"/>
      <c r="O695" s="188"/>
      <c r="P695" s="34"/>
      <c r="Q695" s="34"/>
      <c r="R695" s="304"/>
      <c r="S695" s="34"/>
      <c r="T695" s="34"/>
      <c r="U695" s="34"/>
      <c r="V695" s="34"/>
      <c r="W695" s="105"/>
      <c r="X695" s="105"/>
    </row>
    <row r="696" spans="1:24" ht="12.75">
      <c r="A696" s="309"/>
      <c r="B696" s="309"/>
      <c r="C696" s="34"/>
      <c r="D696" s="362"/>
      <c r="E696" s="34"/>
      <c r="F696" s="34"/>
      <c r="G696" s="35"/>
      <c r="H696" s="35"/>
      <c r="I696" s="34"/>
      <c r="J696" s="34"/>
      <c r="K696" s="65"/>
      <c r="L696" s="34"/>
      <c r="M696" s="34"/>
      <c r="N696" s="188"/>
      <c r="O696" s="188"/>
      <c r="P696" s="34"/>
      <c r="Q696" s="34"/>
      <c r="R696" s="304"/>
      <c r="S696" s="34"/>
      <c r="T696" s="34"/>
      <c r="U696" s="34"/>
      <c r="V696" s="34"/>
      <c r="W696" s="105"/>
      <c r="X696" s="105"/>
    </row>
    <row r="697" spans="1:24" ht="12.75">
      <c r="A697" s="309"/>
      <c r="B697" s="309"/>
      <c r="C697" s="34"/>
      <c r="D697" s="362"/>
      <c r="E697" s="34"/>
      <c r="F697" s="34"/>
      <c r="G697" s="35"/>
      <c r="H697" s="35"/>
      <c r="I697" s="34"/>
      <c r="J697" s="34"/>
      <c r="K697" s="65"/>
      <c r="L697" s="34"/>
      <c r="M697" s="34"/>
      <c r="N697" s="188"/>
      <c r="O697" s="188"/>
      <c r="P697" s="34"/>
      <c r="Q697" s="34"/>
      <c r="R697" s="304"/>
      <c r="S697" s="34"/>
      <c r="T697" s="34"/>
      <c r="U697" s="34"/>
      <c r="V697" s="34"/>
      <c r="W697" s="105"/>
      <c r="X697" s="105"/>
    </row>
    <row r="698" spans="1:24" ht="12.75">
      <c r="A698" s="309"/>
      <c r="B698" s="309"/>
      <c r="C698" s="34"/>
      <c r="D698" s="362"/>
      <c r="E698" s="34"/>
      <c r="F698" s="34"/>
      <c r="G698" s="35"/>
      <c r="H698" s="35"/>
      <c r="I698" s="34"/>
      <c r="J698" s="34"/>
      <c r="K698" s="65"/>
      <c r="L698" s="34"/>
      <c r="M698" s="34"/>
      <c r="N698" s="188"/>
      <c r="O698" s="188"/>
      <c r="P698" s="34"/>
      <c r="Q698" s="34"/>
      <c r="R698" s="304"/>
      <c r="S698" s="34"/>
      <c r="T698" s="34"/>
      <c r="U698" s="34"/>
      <c r="V698" s="34"/>
      <c r="W698" s="105"/>
      <c r="X698" s="105"/>
    </row>
    <row r="699" spans="1:24" ht="12.75">
      <c r="A699" s="309"/>
      <c r="B699" s="309"/>
      <c r="C699" s="34"/>
      <c r="D699" s="362"/>
      <c r="E699" s="34"/>
      <c r="F699" s="34"/>
      <c r="G699" s="35"/>
      <c r="H699" s="35"/>
      <c r="I699" s="34"/>
      <c r="J699" s="34"/>
      <c r="K699" s="65"/>
      <c r="L699" s="34"/>
      <c r="M699" s="34"/>
      <c r="N699" s="188"/>
      <c r="O699" s="188"/>
      <c r="P699" s="34"/>
      <c r="Q699" s="34"/>
      <c r="R699" s="304"/>
      <c r="S699" s="34"/>
      <c r="T699" s="34"/>
      <c r="U699" s="34"/>
      <c r="V699" s="34"/>
      <c r="W699" s="105"/>
      <c r="X699" s="105"/>
    </row>
    <row r="700" spans="1:24" ht="12.75">
      <c r="A700" s="309"/>
      <c r="B700" s="309"/>
      <c r="C700" s="34"/>
      <c r="D700" s="362"/>
      <c r="E700" s="34"/>
      <c r="F700" s="34"/>
      <c r="G700" s="35"/>
      <c r="H700" s="35"/>
      <c r="I700" s="34"/>
      <c r="J700" s="34"/>
      <c r="K700" s="65"/>
      <c r="L700" s="34"/>
      <c r="M700" s="34"/>
      <c r="N700" s="188"/>
      <c r="O700" s="188"/>
      <c r="P700" s="34"/>
      <c r="Q700" s="34"/>
      <c r="R700" s="304"/>
      <c r="S700" s="34"/>
      <c r="T700" s="34"/>
      <c r="U700" s="34"/>
      <c r="V700" s="34"/>
      <c r="W700" s="105"/>
      <c r="X700" s="105"/>
    </row>
    <row r="701" spans="1:24" ht="12.75">
      <c r="A701" s="309"/>
      <c r="B701" s="309"/>
      <c r="C701" s="34"/>
      <c r="D701" s="362"/>
      <c r="E701" s="34"/>
      <c r="F701" s="34"/>
      <c r="G701" s="35"/>
      <c r="H701" s="35"/>
      <c r="I701" s="34"/>
      <c r="J701" s="34"/>
      <c r="K701" s="65"/>
      <c r="L701" s="34"/>
      <c r="M701" s="34"/>
      <c r="N701" s="188"/>
      <c r="O701" s="188"/>
      <c r="P701" s="34"/>
      <c r="Q701" s="34"/>
      <c r="R701" s="304"/>
      <c r="S701" s="34"/>
      <c r="T701" s="34"/>
      <c r="U701" s="34"/>
      <c r="V701" s="34"/>
      <c r="W701" s="105"/>
      <c r="X701" s="105"/>
    </row>
    <row r="702" spans="1:24" ht="12.75">
      <c r="A702" s="309"/>
      <c r="B702" s="309"/>
      <c r="C702" s="34"/>
      <c r="D702" s="362"/>
      <c r="E702" s="34"/>
      <c r="F702" s="34"/>
      <c r="G702" s="35"/>
      <c r="H702" s="35"/>
      <c r="I702" s="34"/>
      <c r="J702" s="34"/>
      <c r="K702" s="65"/>
      <c r="L702" s="34"/>
      <c r="M702" s="34"/>
      <c r="N702" s="188"/>
      <c r="O702" s="188"/>
      <c r="P702" s="34"/>
      <c r="Q702" s="34"/>
      <c r="R702" s="304"/>
      <c r="S702" s="34"/>
      <c r="T702" s="34"/>
      <c r="U702" s="34"/>
      <c r="V702" s="34"/>
      <c r="W702" s="105"/>
      <c r="X702" s="105"/>
    </row>
    <row r="703" spans="1:24" ht="12.75">
      <c r="A703" s="309"/>
      <c r="B703" s="309"/>
      <c r="C703" s="34"/>
      <c r="D703" s="362"/>
      <c r="E703" s="34"/>
      <c r="F703" s="34"/>
      <c r="G703" s="35"/>
      <c r="H703" s="35"/>
      <c r="I703" s="34"/>
      <c r="J703" s="34"/>
      <c r="K703" s="65"/>
      <c r="L703" s="34"/>
      <c r="M703" s="34"/>
      <c r="N703" s="188"/>
      <c r="O703" s="188"/>
      <c r="P703" s="34"/>
      <c r="Q703" s="34"/>
      <c r="R703" s="304"/>
      <c r="S703" s="34"/>
      <c r="T703" s="34"/>
      <c r="U703" s="34"/>
      <c r="V703" s="34"/>
      <c r="W703" s="105"/>
      <c r="X703" s="105"/>
    </row>
    <row r="704" spans="1:24" ht="12.75">
      <c r="A704" s="309"/>
      <c r="B704" s="309"/>
      <c r="C704" s="34"/>
      <c r="D704" s="362"/>
      <c r="E704" s="34"/>
      <c r="F704" s="34"/>
      <c r="G704" s="35"/>
      <c r="H704" s="35"/>
      <c r="I704" s="34"/>
      <c r="J704" s="34"/>
      <c r="K704" s="65"/>
      <c r="L704" s="34"/>
      <c r="M704" s="34"/>
      <c r="N704" s="188"/>
      <c r="O704" s="188"/>
      <c r="P704" s="34"/>
      <c r="Q704" s="34"/>
      <c r="R704" s="304"/>
      <c r="S704" s="34"/>
      <c r="T704" s="34"/>
      <c r="U704" s="34"/>
      <c r="V704" s="34"/>
      <c r="W704" s="105"/>
      <c r="X704" s="105"/>
    </row>
    <row r="705" spans="1:24" ht="12.75">
      <c r="A705" s="309"/>
      <c r="B705" s="309"/>
      <c r="C705" s="34"/>
      <c r="D705" s="362"/>
      <c r="E705" s="34"/>
      <c r="F705" s="34"/>
      <c r="G705" s="35"/>
      <c r="H705" s="35"/>
      <c r="I705" s="34"/>
      <c r="J705" s="34"/>
      <c r="K705" s="65"/>
      <c r="L705" s="34"/>
      <c r="M705" s="34"/>
      <c r="N705" s="188"/>
      <c r="O705" s="188"/>
      <c r="P705" s="34"/>
      <c r="Q705" s="34"/>
      <c r="R705" s="304"/>
      <c r="S705" s="34"/>
      <c r="T705" s="34"/>
      <c r="U705" s="34"/>
      <c r="V705" s="34"/>
      <c r="W705" s="105"/>
      <c r="X705" s="105"/>
    </row>
    <row r="706" spans="1:24" ht="12.75">
      <c r="A706" s="309"/>
      <c r="B706" s="309"/>
      <c r="C706" s="34"/>
      <c r="D706" s="362"/>
      <c r="E706" s="34"/>
      <c r="F706" s="34"/>
      <c r="G706" s="35"/>
      <c r="H706" s="35"/>
      <c r="I706" s="34"/>
      <c r="J706" s="34"/>
      <c r="K706" s="65"/>
      <c r="L706" s="34"/>
      <c r="M706" s="34"/>
      <c r="N706" s="188"/>
      <c r="O706" s="188"/>
      <c r="P706" s="34"/>
      <c r="Q706" s="34"/>
      <c r="R706" s="304"/>
      <c r="S706" s="34"/>
      <c r="T706" s="34"/>
      <c r="U706" s="34"/>
      <c r="V706" s="34"/>
      <c r="W706" s="105"/>
      <c r="X706" s="105"/>
    </row>
    <row r="707" spans="1:24" ht="12.75">
      <c r="A707" s="309"/>
      <c r="B707" s="309"/>
      <c r="C707" s="34"/>
      <c r="D707" s="362"/>
      <c r="E707" s="34"/>
      <c r="F707" s="34"/>
      <c r="G707" s="35"/>
      <c r="H707" s="35"/>
      <c r="I707" s="34"/>
      <c r="J707" s="34"/>
      <c r="K707" s="65"/>
      <c r="L707" s="34"/>
      <c r="M707" s="34"/>
      <c r="N707" s="188"/>
      <c r="O707" s="188"/>
      <c r="P707" s="34"/>
      <c r="Q707" s="34"/>
      <c r="R707" s="304"/>
      <c r="S707" s="34"/>
      <c r="T707" s="34"/>
      <c r="U707" s="34"/>
      <c r="V707" s="34"/>
      <c r="W707" s="105"/>
      <c r="X707" s="105"/>
    </row>
    <row r="708" spans="1:24" ht="12.75">
      <c r="A708" s="309"/>
      <c r="B708" s="309"/>
      <c r="C708" s="34"/>
      <c r="D708" s="362"/>
      <c r="E708" s="34"/>
      <c r="F708" s="34"/>
      <c r="G708" s="35"/>
      <c r="H708" s="35"/>
      <c r="I708" s="34"/>
      <c r="J708" s="34"/>
      <c r="K708" s="65"/>
      <c r="L708" s="34"/>
      <c r="M708" s="34"/>
      <c r="N708" s="188"/>
      <c r="O708" s="188"/>
      <c r="P708" s="34"/>
      <c r="Q708" s="34"/>
      <c r="R708" s="304"/>
      <c r="S708" s="34"/>
      <c r="T708" s="34"/>
      <c r="U708" s="34"/>
      <c r="V708" s="34"/>
      <c r="W708" s="105"/>
      <c r="X708" s="105"/>
    </row>
    <row r="709" spans="1:24" ht="12.75">
      <c r="A709" s="309"/>
      <c r="B709" s="309"/>
      <c r="C709" s="34"/>
      <c r="D709" s="362"/>
      <c r="E709" s="34"/>
      <c r="F709" s="34"/>
      <c r="G709" s="35"/>
      <c r="H709" s="35"/>
      <c r="I709" s="34"/>
      <c r="J709" s="34"/>
      <c r="K709" s="65"/>
      <c r="L709" s="34"/>
      <c r="M709" s="34"/>
      <c r="N709" s="188"/>
      <c r="O709" s="188"/>
      <c r="P709" s="34"/>
      <c r="Q709" s="34"/>
      <c r="R709" s="304"/>
      <c r="S709" s="34"/>
      <c r="T709" s="34"/>
      <c r="U709" s="34"/>
      <c r="V709" s="34"/>
      <c r="W709" s="105"/>
      <c r="X709" s="105"/>
    </row>
    <row r="710" spans="1:24" ht="12.75">
      <c r="A710" s="309"/>
      <c r="B710" s="309"/>
      <c r="C710" s="34"/>
      <c r="D710" s="362"/>
      <c r="E710" s="34"/>
      <c r="F710" s="34"/>
      <c r="G710" s="35"/>
      <c r="H710" s="35"/>
      <c r="I710" s="34"/>
      <c r="J710" s="34"/>
      <c r="K710" s="65"/>
      <c r="L710" s="34"/>
      <c r="M710" s="34"/>
      <c r="N710" s="188"/>
      <c r="O710" s="188"/>
      <c r="P710" s="34"/>
      <c r="Q710" s="34"/>
      <c r="R710" s="304"/>
      <c r="S710" s="34"/>
      <c r="T710" s="34"/>
      <c r="U710" s="34"/>
      <c r="V710" s="34"/>
      <c r="W710" s="105"/>
      <c r="X710" s="105"/>
    </row>
    <row r="711" spans="1:24" ht="12.75">
      <c r="A711" s="309"/>
      <c r="B711" s="309"/>
      <c r="C711" s="34"/>
      <c r="D711" s="362"/>
      <c r="E711" s="34"/>
      <c r="F711" s="34"/>
      <c r="G711" s="35"/>
      <c r="H711" s="35"/>
      <c r="I711" s="34"/>
      <c r="J711" s="34"/>
      <c r="K711" s="65"/>
      <c r="L711" s="34"/>
      <c r="M711" s="34"/>
      <c r="N711" s="188"/>
      <c r="O711" s="188"/>
      <c r="P711" s="34"/>
      <c r="Q711" s="34"/>
      <c r="R711" s="304"/>
      <c r="S711" s="34"/>
      <c r="T711" s="34"/>
      <c r="U711" s="34"/>
      <c r="V711" s="34"/>
      <c r="W711" s="105"/>
      <c r="X711" s="105"/>
    </row>
    <row r="712" spans="1:24" ht="12.75">
      <c r="A712" s="309"/>
      <c r="B712" s="309"/>
      <c r="C712" s="34"/>
      <c r="D712" s="362"/>
      <c r="E712" s="34"/>
      <c r="F712" s="34"/>
      <c r="G712" s="35"/>
      <c r="H712" s="35"/>
      <c r="I712" s="34"/>
      <c r="J712" s="34"/>
      <c r="K712" s="65"/>
      <c r="L712" s="34"/>
      <c r="M712" s="34"/>
      <c r="N712" s="188"/>
      <c r="O712" s="188"/>
      <c r="P712" s="34"/>
      <c r="Q712" s="34"/>
      <c r="R712" s="304"/>
      <c r="S712" s="34"/>
      <c r="T712" s="34"/>
      <c r="U712" s="34"/>
      <c r="V712" s="34"/>
      <c r="W712" s="105"/>
      <c r="X712" s="105"/>
    </row>
    <row r="713" spans="1:24" ht="12.75">
      <c r="A713" s="309"/>
      <c r="B713" s="309"/>
      <c r="C713" s="34"/>
      <c r="D713" s="362"/>
      <c r="E713" s="34"/>
      <c r="F713" s="34"/>
      <c r="G713" s="35"/>
      <c r="H713" s="35"/>
      <c r="I713" s="34"/>
      <c r="J713" s="34"/>
      <c r="K713" s="65"/>
      <c r="L713" s="34"/>
      <c r="M713" s="34"/>
      <c r="N713" s="188"/>
      <c r="O713" s="188"/>
      <c r="P713" s="34"/>
      <c r="Q713" s="34"/>
      <c r="R713" s="304"/>
      <c r="S713" s="34"/>
      <c r="T713" s="34"/>
      <c r="U713" s="34"/>
      <c r="V713" s="34"/>
      <c r="W713" s="105"/>
      <c r="X713" s="105"/>
    </row>
    <row r="714" spans="1:24" ht="12.75">
      <c r="A714" s="309"/>
      <c r="B714" s="309"/>
      <c r="C714" s="34"/>
      <c r="D714" s="362"/>
      <c r="E714" s="34"/>
      <c r="F714" s="34"/>
      <c r="G714" s="35"/>
      <c r="H714" s="35"/>
      <c r="I714" s="34"/>
      <c r="J714" s="34"/>
      <c r="K714" s="65"/>
      <c r="L714" s="34"/>
      <c r="M714" s="34"/>
      <c r="N714" s="188"/>
      <c r="O714" s="188"/>
      <c r="P714" s="34"/>
      <c r="Q714" s="34"/>
      <c r="R714" s="304"/>
      <c r="S714" s="34"/>
      <c r="T714" s="34"/>
      <c r="U714" s="34"/>
      <c r="V714" s="34"/>
      <c r="W714" s="105"/>
      <c r="X714" s="105"/>
    </row>
    <row r="715" spans="1:24" ht="12.75">
      <c r="A715" s="309"/>
      <c r="B715" s="309"/>
      <c r="C715" s="34"/>
      <c r="D715" s="362"/>
      <c r="E715" s="34"/>
      <c r="F715" s="34"/>
      <c r="G715" s="35"/>
      <c r="H715" s="35"/>
      <c r="I715" s="34"/>
      <c r="J715" s="34"/>
      <c r="K715" s="65"/>
      <c r="L715" s="34"/>
      <c r="M715" s="34"/>
      <c r="N715" s="188"/>
      <c r="O715" s="188"/>
      <c r="P715" s="34"/>
      <c r="Q715" s="34"/>
      <c r="R715" s="304"/>
      <c r="S715" s="34"/>
      <c r="T715" s="34"/>
      <c r="U715" s="34"/>
      <c r="V715" s="34"/>
      <c r="W715" s="105"/>
      <c r="X715" s="105"/>
    </row>
    <row r="716" spans="1:24" ht="12.75">
      <c r="A716" s="309"/>
      <c r="B716" s="309"/>
      <c r="C716" s="34"/>
      <c r="D716" s="362"/>
      <c r="E716" s="34"/>
      <c r="F716" s="34"/>
      <c r="G716" s="35"/>
      <c r="H716" s="35"/>
      <c r="I716" s="34"/>
      <c r="J716" s="34"/>
      <c r="K716" s="65"/>
      <c r="L716" s="34"/>
      <c r="M716" s="34"/>
      <c r="N716" s="188"/>
      <c r="O716" s="188"/>
      <c r="P716" s="34"/>
      <c r="Q716" s="34"/>
      <c r="R716" s="304"/>
      <c r="S716" s="34"/>
      <c r="T716" s="34"/>
      <c r="U716" s="34"/>
      <c r="V716" s="34"/>
      <c r="W716" s="105"/>
      <c r="X716" s="105"/>
    </row>
    <row r="717" spans="1:24" ht="12.75">
      <c r="A717" s="309"/>
      <c r="B717" s="309"/>
      <c r="C717" s="34"/>
      <c r="D717" s="362"/>
      <c r="E717" s="34"/>
      <c r="F717" s="34"/>
      <c r="G717" s="35"/>
      <c r="H717" s="35"/>
      <c r="I717" s="34"/>
      <c r="J717" s="34"/>
      <c r="K717" s="65"/>
      <c r="L717" s="34"/>
      <c r="M717" s="34"/>
      <c r="N717" s="188"/>
      <c r="O717" s="188"/>
      <c r="P717" s="34"/>
      <c r="Q717" s="34"/>
      <c r="R717" s="304"/>
      <c r="S717" s="34"/>
      <c r="T717" s="34"/>
      <c r="U717" s="34"/>
      <c r="V717" s="34"/>
      <c r="W717" s="105"/>
      <c r="X717" s="105"/>
    </row>
    <row r="718" spans="1:24" ht="12.75">
      <c r="A718" s="309"/>
      <c r="B718" s="309"/>
      <c r="C718" s="34"/>
      <c r="D718" s="362"/>
      <c r="E718" s="34"/>
      <c r="F718" s="34"/>
      <c r="G718" s="35"/>
      <c r="H718" s="35"/>
      <c r="I718" s="34"/>
      <c r="J718" s="34"/>
      <c r="K718" s="65"/>
      <c r="L718" s="34"/>
      <c r="M718" s="34"/>
      <c r="N718" s="188"/>
      <c r="O718" s="188"/>
      <c r="P718" s="34"/>
      <c r="Q718" s="34"/>
      <c r="R718" s="304"/>
      <c r="S718" s="34"/>
      <c r="T718" s="34"/>
      <c r="U718" s="34"/>
      <c r="V718" s="34"/>
      <c r="W718" s="105"/>
      <c r="X718" s="105"/>
    </row>
    <row r="719" spans="1:24" ht="12.75">
      <c r="A719" s="309"/>
      <c r="B719" s="309"/>
      <c r="C719" s="34"/>
      <c r="D719" s="362"/>
      <c r="E719" s="34"/>
      <c r="F719" s="34"/>
      <c r="G719" s="35"/>
      <c r="H719" s="35"/>
      <c r="I719" s="34"/>
      <c r="J719" s="34"/>
      <c r="K719" s="65"/>
      <c r="L719" s="34"/>
      <c r="M719" s="34"/>
      <c r="N719" s="188"/>
      <c r="O719" s="188"/>
      <c r="P719" s="34"/>
      <c r="Q719" s="34"/>
      <c r="R719" s="304"/>
      <c r="S719" s="34"/>
      <c r="T719" s="34"/>
      <c r="U719" s="34"/>
      <c r="V719" s="34"/>
      <c r="W719" s="105"/>
      <c r="X719" s="105"/>
    </row>
    <row r="720" spans="1:24" ht="12.75">
      <c r="A720" s="309"/>
      <c r="B720" s="309"/>
      <c r="C720" s="34"/>
      <c r="D720" s="362"/>
      <c r="E720" s="34"/>
      <c r="F720" s="34"/>
      <c r="G720" s="35"/>
      <c r="H720" s="35"/>
      <c r="I720" s="34"/>
      <c r="J720" s="34"/>
      <c r="K720" s="65"/>
      <c r="L720" s="34"/>
      <c r="M720" s="34"/>
      <c r="N720" s="188"/>
      <c r="O720" s="188"/>
      <c r="P720" s="34"/>
      <c r="Q720" s="34"/>
      <c r="R720" s="304"/>
      <c r="S720" s="34"/>
      <c r="T720" s="34"/>
      <c r="U720" s="34"/>
      <c r="V720" s="34"/>
      <c r="W720" s="105"/>
      <c r="X720" s="105"/>
    </row>
    <row r="721" spans="1:24" ht="12.75">
      <c r="A721" s="309"/>
      <c r="B721" s="309"/>
      <c r="C721" s="34"/>
      <c r="D721" s="362"/>
      <c r="E721" s="34"/>
      <c r="F721" s="34"/>
      <c r="G721" s="35"/>
      <c r="H721" s="35"/>
      <c r="I721" s="34"/>
      <c r="J721" s="34"/>
      <c r="K721" s="65"/>
      <c r="L721" s="34"/>
      <c r="M721" s="34"/>
      <c r="N721" s="188"/>
      <c r="O721" s="188"/>
      <c r="P721" s="34"/>
      <c r="Q721" s="34"/>
      <c r="R721" s="304"/>
      <c r="S721" s="34"/>
      <c r="T721" s="34"/>
      <c r="U721" s="34"/>
      <c r="V721" s="34"/>
      <c r="W721" s="105"/>
      <c r="X721" s="105"/>
    </row>
    <row r="722" spans="1:24" ht="12.75">
      <c r="A722" s="309"/>
      <c r="B722" s="309"/>
      <c r="C722" s="34"/>
      <c r="D722" s="362"/>
      <c r="E722" s="34"/>
      <c r="F722" s="34"/>
      <c r="G722" s="35"/>
      <c r="H722" s="35"/>
      <c r="I722" s="34"/>
      <c r="J722" s="34"/>
      <c r="K722" s="65"/>
      <c r="L722" s="34"/>
      <c r="M722" s="34"/>
      <c r="N722" s="188"/>
      <c r="O722" s="188"/>
      <c r="P722" s="34"/>
      <c r="Q722" s="34"/>
      <c r="R722" s="304"/>
      <c r="S722" s="34"/>
      <c r="T722" s="34"/>
      <c r="U722" s="34"/>
      <c r="V722" s="34"/>
      <c r="W722" s="105"/>
      <c r="X722" s="105"/>
    </row>
    <row r="723" spans="1:24" ht="12.75">
      <c r="A723" s="309"/>
      <c r="B723" s="309"/>
      <c r="C723" s="34"/>
      <c r="D723" s="362"/>
      <c r="E723" s="34"/>
      <c r="F723" s="34"/>
      <c r="G723" s="35"/>
      <c r="H723" s="35"/>
      <c r="I723" s="34"/>
      <c r="J723" s="34"/>
      <c r="K723" s="65"/>
      <c r="L723" s="34"/>
      <c r="M723" s="34"/>
      <c r="N723" s="188"/>
      <c r="O723" s="188"/>
      <c r="P723" s="34"/>
      <c r="Q723" s="34"/>
      <c r="R723" s="304"/>
      <c r="S723" s="34"/>
      <c r="T723" s="34"/>
      <c r="U723" s="34"/>
      <c r="V723" s="34"/>
      <c r="W723" s="105"/>
      <c r="X723" s="105"/>
    </row>
    <row r="724" spans="1:24" ht="12.75">
      <c r="A724" s="309"/>
      <c r="B724" s="309"/>
      <c r="C724" s="34"/>
      <c r="D724" s="362"/>
      <c r="E724" s="34"/>
      <c r="F724" s="34"/>
      <c r="G724" s="35"/>
      <c r="H724" s="35"/>
      <c r="I724" s="34"/>
      <c r="J724" s="34"/>
      <c r="K724" s="65"/>
      <c r="L724" s="34"/>
      <c r="M724" s="34"/>
      <c r="N724" s="188"/>
      <c r="O724" s="188"/>
      <c r="P724" s="34"/>
      <c r="Q724" s="34"/>
      <c r="R724" s="304"/>
      <c r="S724" s="34"/>
      <c r="T724" s="34"/>
      <c r="U724" s="34"/>
      <c r="V724" s="34"/>
      <c r="W724" s="105"/>
      <c r="X724" s="105"/>
    </row>
    <row r="725" spans="1:24" ht="12.75">
      <c r="A725" s="309"/>
      <c r="B725" s="309"/>
      <c r="C725" s="34"/>
      <c r="D725" s="362"/>
      <c r="E725" s="34"/>
      <c r="F725" s="34"/>
      <c r="G725" s="35"/>
      <c r="H725" s="35"/>
      <c r="I725" s="34"/>
      <c r="J725" s="34"/>
      <c r="K725" s="65"/>
      <c r="L725" s="34"/>
      <c r="M725" s="34"/>
      <c r="N725" s="188"/>
      <c r="O725" s="188"/>
      <c r="P725" s="34"/>
      <c r="Q725" s="34"/>
      <c r="R725" s="304"/>
      <c r="S725" s="34"/>
      <c r="T725" s="34"/>
      <c r="U725" s="34"/>
      <c r="V725" s="34"/>
      <c r="W725" s="105"/>
      <c r="X725" s="105"/>
    </row>
    <row r="726" spans="1:24" ht="12.75">
      <c r="A726" s="309"/>
      <c r="B726" s="309"/>
      <c r="C726" s="34"/>
      <c r="D726" s="362"/>
      <c r="E726" s="34"/>
      <c r="F726" s="34"/>
      <c r="G726" s="35"/>
      <c r="H726" s="35"/>
      <c r="I726" s="34"/>
      <c r="J726" s="34"/>
      <c r="K726" s="65"/>
      <c r="L726" s="34"/>
      <c r="M726" s="34"/>
      <c r="N726" s="188"/>
      <c r="O726" s="188"/>
      <c r="P726" s="34"/>
      <c r="Q726" s="34"/>
      <c r="R726" s="304"/>
      <c r="S726" s="34"/>
      <c r="T726" s="34"/>
      <c r="U726" s="34"/>
      <c r="V726" s="34"/>
      <c r="W726" s="105"/>
      <c r="X726" s="105"/>
    </row>
    <row r="727" spans="1:24" ht="12.75">
      <c r="A727" s="309"/>
      <c r="B727" s="309"/>
      <c r="C727" s="34"/>
      <c r="D727" s="362"/>
      <c r="E727" s="34"/>
      <c r="F727" s="34"/>
      <c r="G727" s="35"/>
      <c r="H727" s="35"/>
      <c r="I727" s="34"/>
      <c r="J727" s="34"/>
      <c r="K727" s="65"/>
      <c r="L727" s="34"/>
      <c r="M727" s="34"/>
      <c r="N727" s="188"/>
      <c r="O727" s="188"/>
      <c r="P727" s="34"/>
      <c r="Q727" s="34"/>
      <c r="R727" s="304"/>
      <c r="S727" s="34"/>
      <c r="T727" s="34"/>
      <c r="U727" s="34"/>
      <c r="V727" s="34"/>
      <c r="W727" s="105"/>
      <c r="X727" s="105"/>
    </row>
    <row r="728" spans="1:24" ht="12.75">
      <c r="A728" s="309"/>
      <c r="B728" s="309"/>
      <c r="C728" s="34"/>
      <c r="D728" s="362"/>
      <c r="E728" s="34"/>
      <c r="F728" s="34"/>
      <c r="G728" s="35"/>
      <c r="H728" s="35"/>
      <c r="I728" s="34"/>
      <c r="J728" s="34"/>
      <c r="K728" s="65"/>
      <c r="L728" s="34"/>
      <c r="M728" s="34"/>
      <c r="N728" s="188"/>
      <c r="O728" s="188"/>
      <c r="P728" s="34"/>
      <c r="Q728" s="34"/>
      <c r="R728" s="304"/>
      <c r="S728" s="34"/>
      <c r="T728" s="34"/>
      <c r="U728" s="34"/>
      <c r="V728" s="34"/>
      <c r="W728" s="105"/>
      <c r="X728" s="105"/>
    </row>
    <row r="729" spans="1:24" ht="12.75">
      <c r="A729" s="309"/>
      <c r="B729" s="309"/>
      <c r="C729" s="34"/>
      <c r="D729" s="362"/>
      <c r="E729" s="34"/>
      <c r="F729" s="34"/>
      <c r="G729" s="35"/>
      <c r="H729" s="35"/>
      <c r="I729" s="34"/>
      <c r="J729" s="34"/>
      <c r="K729" s="65"/>
      <c r="L729" s="34"/>
      <c r="M729" s="34"/>
      <c r="N729" s="188"/>
      <c r="O729" s="188"/>
      <c r="P729" s="34"/>
      <c r="Q729" s="34"/>
      <c r="R729" s="304"/>
      <c r="S729" s="34"/>
      <c r="T729" s="34"/>
      <c r="U729" s="34"/>
      <c r="V729" s="34"/>
      <c r="W729" s="105"/>
      <c r="X729" s="105"/>
    </row>
    <row r="730" spans="1:24" ht="12.75">
      <c r="A730" s="309"/>
      <c r="B730" s="309"/>
      <c r="C730" s="34"/>
      <c r="D730" s="362"/>
      <c r="E730" s="34"/>
      <c r="F730" s="34"/>
      <c r="G730" s="35"/>
      <c r="H730" s="35"/>
      <c r="I730" s="34"/>
      <c r="J730" s="34"/>
      <c r="K730" s="65"/>
      <c r="L730" s="34"/>
      <c r="M730" s="34"/>
      <c r="N730" s="188"/>
      <c r="O730" s="188"/>
      <c r="P730" s="34"/>
      <c r="Q730" s="34"/>
      <c r="R730" s="304"/>
      <c r="S730" s="34"/>
      <c r="T730" s="34"/>
      <c r="U730" s="34"/>
      <c r="V730" s="34"/>
      <c r="W730" s="105"/>
      <c r="X730" s="105"/>
    </row>
    <row r="731" spans="1:24" ht="12.75">
      <c r="A731" s="309"/>
      <c r="B731" s="309"/>
      <c r="C731" s="34"/>
      <c r="D731" s="362"/>
      <c r="E731" s="34"/>
      <c r="F731" s="34"/>
      <c r="G731" s="35"/>
      <c r="H731" s="35"/>
      <c r="I731" s="34"/>
      <c r="J731" s="34"/>
      <c r="K731" s="65"/>
      <c r="L731" s="34"/>
      <c r="M731" s="34"/>
      <c r="N731" s="188"/>
      <c r="O731" s="188"/>
      <c r="P731" s="34"/>
      <c r="Q731" s="34"/>
      <c r="R731" s="304"/>
      <c r="S731" s="34"/>
      <c r="T731" s="34"/>
      <c r="U731" s="34"/>
      <c r="V731" s="34"/>
      <c r="W731" s="105"/>
      <c r="X731" s="105"/>
    </row>
    <row r="732" spans="1:24" ht="12.75">
      <c r="A732" s="309"/>
      <c r="B732" s="309"/>
      <c r="C732" s="34"/>
      <c r="D732" s="362"/>
      <c r="E732" s="34"/>
      <c r="F732" s="34"/>
      <c r="G732" s="35"/>
      <c r="H732" s="35"/>
      <c r="I732" s="34"/>
      <c r="J732" s="34"/>
      <c r="K732" s="65"/>
      <c r="L732" s="34"/>
      <c r="M732" s="34"/>
      <c r="N732" s="188"/>
      <c r="O732" s="188"/>
      <c r="P732" s="34"/>
      <c r="Q732" s="34"/>
      <c r="R732" s="304"/>
      <c r="S732" s="34"/>
      <c r="T732" s="34"/>
      <c r="U732" s="34"/>
      <c r="V732" s="34"/>
      <c r="W732" s="105"/>
      <c r="X732" s="105"/>
    </row>
    <row r="733" spans="1:24" ht="12.75">
      <c r="A733" s="309"/>
      <c r="B733" s="309"/>
      <c r="C733" s="34"/>
      <c r="D733" s="362"/>
      <c r="E733" s="34"/>
      <c r="F733" s="34"/>
      <c r="G733" s="35"/>
      <c r="H733" s="35"/>
      <c r="I733" s="34"/>
      <c r="J733" s="34"/>
      <c r="K733" s="65"/>
      <c r="L733" s="34"/>
      <c r="M733" s="34"/>
      <c r="N733" s="188"/>
      <c r="O733" s="188"/>
      <c r="P733" s="34"/>
      <c r="Q733" s="34"/>
      <c r="R733" s="304"/>
      <c r="S733" s="34"/>
      <c r="T733" s="34"/>
      <c r="U733" s="34"/>
      <c r="V733" s="34"/>
      <c r="W733" s="105"/>
      <c r="X733" s="105"/>
    </row>
    <row r="734" spans="1:24" ht="12.75">
      <c r="A734" s="309"/>
      <c r="B734" s="309"/>
      <c r="C734" s="34"/>
      <c r="D734" s="362"/>
      <c r="E734" s="34"/>
      <c r="F734" s="34"/>
      <c r="G734" s="35"/>
      <c r="H734" s="35"/>
      <c r="I734" s="34"/>
      <c r="J734" s="34"/>
      <c r="K734" s="65"/>
      <c r="L734" s="34"/>
      <c r="M734" s="34"/>
      <c r="N734" s="188"/>
      <c r="O734" s="188"/>
      <c r="P734" s="34"/>
      <c r="Q734" s="34"/>
      <c r="R734" s="304"/>
      <c r="S734" s="34"/>
      <c r="T734" s="34"/>
      <c r="U734" s="34"/>
      <c r="V734" s="34"/>
      <c r="W734" s="105"/>
      <c r="X734" s="105"/>
    </row>
    <row r="735" spans="1:24" ht="12.75">
      <c r="A735" s="309"/>
      <c r="B735" s="309"/>
      <c r="C735" s="34"/>
      <c r="D735" s="362"/>
      <c r="E735" s="34"/>
      <c r="F735" s="34"/>
      <c r="G735" s="35"/>
      <c r="H735" s="35"/>
      <c r="I735" s="34"/>
      <c r="J735" s="34"/>
      <c r="K735" s="65"/>
      <c r="L735" s="34"/>
      <c r="M735" s="34"/>
      <c r="N735" s="188"/>
      <c r="O735" s="188"/>
      <c r="P735" s="34"/>
      <c r="Q735" s="34"/>
      <c r="R735" s="304"/>
      <c r="S735" s="34"/>
      <c r="T735" s="34"/>
      <c r="U735" s="34"/>
      <c r="V735" s="34"/>
      <c r="W735" s="105"/>
      <c r="X735" s="105"/>
    </row>
    <row r="736" spans="1:24" ht="12.75">
      <c r="A736" s="309"/>
      <c r="B736" s="309"/>
      <c r="C736" s="34"/>
      <c r="D736" s="362"/>
      <c r="E736" s="34"/>
      <c r="F736" s="34"/>
      <c r="G736" s="35"/>
      <c r="H736" s="35"/>
      <c r="I736" s="34"/>
      <c r="J736" s="34"/>
      <c r="K736" s="65"/>
      <c r="L736" s="34"/>
      <c r="M736" s="34"/>
      <c r="N736" s="188"/>
      <c r="O736" s="188"/>
      <c r="P736" s="34"/>
      <c r="Q736" s="34"/>
      <c r="R736" s="304"/>
      <c r="S736" s="34"/>
      <c r="T736" s="34"/>
      <c r="U736" s="34"/>
      <c r="V736" s="34"/>
      <c r="W736" s="105"/>
      <c r="X736" s="105"/>
    </row>
    <row r="737" spans="1:24" ht="12.75">
      <c r="A737" s="309"/>
      <c r="B737" s="309"/>
      <c r="C737" s="34"/>
      <c r="D737" s="362"/>
      <c r="E737" s="34"/>
      <c r="F737" s="34"/>
      <c r="G737" s="35"/>
      <c r="H737" s="35"/>
      <c r="I737" s="34"/>
      <c r="J737" s="34"/>
      <c r="K737" s="65"/>
      <c r="L737" s="34"/>
      <c r="M737" s="34"/>
      <c r="N737" s="188"/>
      <c r="O737" s="188"/>
      <c r="P737" s="34"/>
      <c r="Q737" s="34"/>
      <c r="R737" s="304"/>
      <c r="S737" s="34"/>
      <c r="T737" s="34"/>
      <c r="U737" s="34"/>
      <c r="V737" s="34"/>
      <c r="W737" s="105"/>
      <c r="X737" s="105"/>
    </row>
    <row r="738" spans="1:24" ht="12.75">
      <c r="A738" s="309"/>
      <c r="B738" s="309"/>
      <c r="C738" s="34"/>
      <c r="D738" s="362"/>
      <c r="E738" s="34"/>
      <c r="F738" s="34"/>
      <c r="G738" s="35"/>
      <c r="H738" s="35"/>
      <c r="I738" s="34"/>
      <c r="J738" s="34"/>
      <c r="K738" s="65"/>
      <c r="L738" s="34"/>
      <c r="M738" s="34"/>
      <c r="N738" s="188"/>
      <c r="O738" s="188"/>
      <c r="P738" s="34"/>
      <c r="Q738" s="34"/>
      <c r="R738" s="304"/>
      <c r="S738" s="34"/>
      <c r="T738" s="34"/>
      <c r="U738" s="34"/>
      <c r="V738" s="34"/>
      <c r="W738" s="105"/>
      <c r="X738" s="105"/>
    </row>
    <row r="739" spans="1:24" ht="12.75">
      <c r="A739" s="309"/>
      <c r="B739" s="309"/>
      <c r="C739" s="34"/>
      <c r="D739" s="362"/>
      <c r="E739" s="34"/>
      <c r="F739" s="34"/>
      <c r="G739" s="35"/>
      <c r="H739" s="35"/>
      <c r="I739" s="34"/>
      <c r="J739" s="34"/>
      <c r="K739" s="65"/>
      <c r="L739" s="34"/>
      <c r="M739" s="34"/>
      <c r="N739" s="188"/>
      <c r="O739" s="188"/>
      <c r="P739" s="34"/>
      <c r="Q739" s="34"/>
      <c r="R739" s="304"/>
      <c r="S739" s="34"/>
      <c r="T739" s="34"/>
      <c r="U739" s="34"/>
      <c r="V739" s="34"/>
      <c r="W739" s="105"/>
      <c r="X739" s="105"/>
    </row>
    <row r="740" spans="1:24" ht="12.75">
      <c r="A740" s="309"/>
      <c r="B740" s="309"/>
      <c r="C740" s="34"/>
      <c r="D740" s="362"/>
      <c r="E740" s="34"/>
      <c r="F740" s="34"/>
      <c r="G740" s="35"/>
      <c r="H740" s="35"/>
      <c r="I740" s="34"/>
      <c r="J740" s="34"/>
      <c r="K740" s="65"/>
      <c r="L740" s="34"/>
      <c r="M740" s="34"/>
      <c r="N740" s="188"/>
      <c r="O740" s="188"/>
      <c r="P740" s="34"/>
      <c r="Q740" s="34"/>
      <c r="R740" s="304"/>
      <c r="S740" s="34"/>
      <c r="T740" s="34"/>
      <c r="U740" s="34"/>
      <c r="V740" s="34"/>
      <c r="W740" s="105"/>
      <c r="X740" s="105"/>
    </row>
    <row r="741" spans="1:24" ht="12.75">
      <c r="A741" s="309"/>
      <c r="B741" s="309"/>
      <c r="C741" s="34"/>
      <c r="D741" s="362"/>
      <c r="E741" s="34"/>
      <c r="F741" s="34"/>
      <c r="G741" s="35"/>
      <c r="H741" s="35"/>
      <c r="I741" s="34"/>
      <c r="J741" s="34"/>
      <c r="K741" s="65"/>
      <c r="L741" s="34"/>
      <c r="M741" s="34"/>
      <c r="N741" s="188"/>
      <c r="O741" s="188"/>
      <c r="P741" s="34"/>
      <c r="Q741" s="34"/>
      <c r="R741" s="304"/>
      <c r="S741" s="34"/>
      <c r="T741" s="34"/>
      <c r="U741" s="34"/>
      <c r="V741" s="34"/>
      <c r="W741" s="105"/>
      <c r="X741" s="105"/>
    </row>
    <row r="742" spans="1:24" ht="12.75">
      <c r="A742" s="309"/>
      <c r="B742" s="309"/>
      <c r="C742" s="34"/>
      <c r="D742" s="362"/>
      <c r="E742" s="34"/>
      <c r="F742" s="34"/>
      <c r="G742" s="35"/>
      <c r="H742" s="35"/>
      <c r="I742" s="34"/>
      <c r="J742" s="34"/>
      <c r="K742" s="65"/>
      <c r="L742" s="34"/>
      <c r="M742" s="34"/>
      <c r="N742" s="188"/>
      <c r="O742" s="188"/>
      <c r="P742" s="34"/>
      <c r="Q742" s="34"/>
      <c r="R742" s="304"/>
      <c r="S742" s="34"/>
      <c r="T742" s="34"/>
      <c r="U742" s="34"/>
      <c r="V742" s="34"/>
      <c r="W742" s="105"/>
      <c r="X742" s="105"/>
    </row>
    <row r="743" spans="1:24" ht="12.75">
      <c r="A743" s="309"/>
      <c r="B743" s="309"/>
      <c r="C743" s="34"/>
      <c r="D743" s="362"/>
      <c r="E743" s="34"/>
      <c r="F743" s="34"/>
      <c r="G743" s="35"/>
      <c r="H743" s="35"/>
      <c r="I743" s="34"/>
      <c r="J743" s="34"/>
      <c r="K743" s="65"/>
      <c r="L743" s="34"/>
      <c r="M743" s="34"/>
      <c r="N743" s="188"/>
      <c r="O743" s="188"/>
      <c r="P743" s="34"/>
      <c r="Q743" s="34"/>
      <c r="R743" s="304"/>
      <c r="S743" s="34"/>
      <c r="T743" s="34"/>
      <c r="U743" s="34"/>
      <c r="V743" s="34"/>
      <c r="W743" s="105"/>
      <c r="X743" s="105"/>
    </row>
    <row r="744" spans="1:24" ht="12.75">
      <c r="A744" s="309"/>
      <c r="B744" s="309"/>
      <c r="C744" s="34"/>
      <c r="D744" s="362"/>
      <c r="E744" s="34"/>
      <c r="F744" s="34"/>
      <c r="G744" s="35"/>
      <c r="H744" s="35"/>
      <c r="I744" s="34"/>
      <c r="J744" s="34"/>
      <c r="K744" s="65"/>
      <c r="L744" s="34"/>
      <c r="M744" s="34"/>
      <c r="N744" s="188"/>
      <c r="O744" s="188"/>
      <c r="P744" s="34"/>
      <c r="Q744" s="34"/>
      <c r="R744" s="304"/>
      <c r="S744" s="34"/>
      <c r="T744" s="34"/>
      <c r="U744" s="34"/>
      <c r="V744" s="34"/>
      <c r="W744" s="105"/>
      <c r="X744" s="105"/>
    </row>
    <row r="745" spans="1:24" ht="12.75">
      <c r="A745" s="309"/>
      <c r="B745" s="309"/>
      <c r="C745" s="34"/>
      <c r="D745" s="362"/>
      <c r="E745" s="34"/>
      <c r="F745" s="34"/>
      <c r="G745" s="35"/>
      <c r="H745" s="35"/>
      <c r="I745" s="34"/>
      <c r="J745" s="34"/>
      <c r="K745" s="65"/>
      <c r="L745" s="34"/>
      <c r="M745" s="34"/>
      <c r="N745" s="188"/>
      <c r="O745" s="188"/>
      <c r="P745" s="34"/>
      <c r="Q745" s="34"/>
      <c r="R745" s="304"/>
      <c r="S745" s="34"/>
      <c r="T745" s="34"/>
      <c r="U745" s="34"/>
      <c r="V745" s="34"/>
      <c r="W745" s="105"/>
      <c r="X745" s="105"/>
    </row>
    <row r="746" spans="1:24" ht="12.75">
      <c r="A746" s="309"/>
      <c r="B746" s="309"/>
      <c r="C746" s="34"/>
      <c r="D746" s="362"/>
      <c r="E746" s="34"/>
      <c r="F746" s="34"/>
      <c r="G746" s="35"/>
      <c r="H746" s="35"/>
      <c r="I746" s="34"/>
      <c r="J746" s="34"/>
      <c r="K746" s="65"/>
      <c r="L746" s="34"/>
      <c r="M746" s="34"/>
      <c r="N746" s="188"/>
      <c r="O746" s="188"/>
      <c r="P746" s="34"/>
      <c r="Q746" s="34"/>
      <c r="R746" s="304"/>
      <c r="S746" s="34"/>
      <c r="T746" s="34"/>
      <c r="U746" s="34"/>
      <c r="V746" s="34"/>
      <c r="W746" s="105"/>
      <c r="X746" s="105"/>
    </row>
    <row r="747" spans="1:24" ht="12.75">
      <c r="A747" s="309"/>
      <c r="B747" s="309"/>
      <c r="C747" s="34"/>
      <c r="D747" s="362"/>
      <c r="E747" s="34"/>
      <c r="F747" s="34"/>
      <c r="G747" s="35"/>
      <c r="H747" s="35"/>
      <c r="I747" s="34"/>
      <c r="J747" s="34"/>
      <c r="K747" s="65"/>
      <c r="L747" s="34"/>
      <c r="M747" s="34"/>
      <c r="N747" s="188"/>
      <c r="O747" s="188"/>
      <c r="P747" s="34"/>
      <c r="Q747" s="34"/>
      <c r="R747" s="304"/>
      <c r="S747" s="34"/>
      <c r="T747" s="34"/>
      <c r="U747" s="34"/>
      <c r="V747" s="34"/>
      <c r="W747" s="105"/>
      <c r="X747" s="105"/>
    </row>
    <row r="748" spans="1:24" ht="12.75">
      <c r="A748" s="309"/>
      <c r="B748" s="309"/>
      <c r="C748" s="34"/>
      <c r="D748" s="362"/>
      <c r="E748" s="34"/>
      <c r="F748" s="34"/>
      <c r="G748" s="35"/>
      <c r="H748" s="35"/>
      <c r="I748" s="34"/>
      <c r="J748" s="34"/>
      <c r="K748" s="65"/>
      <c r="L748" s="34"/>
      <c r="M748" s="34"/>
      <c r="N748" s="188"/>
      <c r="O748" s="188"/>
      <c r="P748" s="34"/>
      <c r="Q748" s="34"/>
      <c r="R748" s="304"/>
      <c r="S748" s="34"/>
      <c r="T748" s="34"/>
      <c r="U748" s="34"/>
      <c r="V748" s="34"/>
      <c r="W748" s="105"/>
      <c r="X748" s="105"/>
    </row>
    <row r="749" spans="1:24" ht="12.75">
      <c r="A749" s="309"/>
      <c r="B749" s="309"/>
      <c r="C749" s="34"/>
      <c r="D749" s="362"/>
      <c r="E749" s="34"/>
      <c r="F749" s="34"/>
      <c r="G749" s="35"/>
      <c r="H749" s="35"/>
      <c r="I749" s="34"/>
      <c r="J749" s="34"/>
      <c r="K749" s="65"/>
      <c r="L749" s="34"/>
      <c r="M749" s="34"/>
      <c r="N749" s="188"/>
      <c r="O749" s="188"/>
      <c r="P749" s="34"/>
      <c r="Q749" s="34"/>
      <c r="R749" s="304"/>
      <c r="S749" s="34"/>
      <c r="T749" s="34"/>
      <c r="U749" s="34"/>
      <c r="V749" s="34"/>
      <c r="W749" s="105"/>
      <c r="X749" s="105"/>
    </row>
    <row r="750" spans="1:24" ht="12.75">
      <c r="A750" s="309"/>
      <c r="B750" s="309"/>
      <c r="C750" s="34"/>
      <c r="D750" s="362"/>
      <c r="E750" s="34"/>
      <c r="F750" s="34"/>
      <c r="G750" s="35"/>
      <c r="H750" s="35"/>
      <c r="I750" s="34"/>
      <c r="J750" s="34"/>
      <c r="K750" s="65"/>
      <c r="L750" s="34"/>
      <c r="M750" s="34"/>
      <c r="N750" s="188"/>
      <c r="O750" s="188"/>
      <c r="P750" s="34"/>
      <c r="Q750" s="34"/>
      <c r="R750" s="304"/>
      <c r="S750" s="34"/>
      <c r="T750" s="34"/>
      <c r="U750" s="34"/>
      <c r="V750" s="34"/>
      <c r="W750" s="105"/>
      <c r="X750" s="105"/>
    </row>
    <row r="751" spans="1:24" ht="12.75">
      <c r="A751" s="309"/>
      <c r="B751" s="309"/>
      <c r="C751" s="34"/>
      <c r="D751" s="362"/>
      <c r="E751" s="34"/>
      <c r="F751" s="34"/>
      <c r="G751" s="35"/>
      <c r="H751" s="35"/>
      <c r="I751" s="34"/>
      <c r="J751" s="34"/>
      <c r="K751" s="65"/>
      <c r="L751" s="34"/>
      <c r="M751" s="34"/>
      <c r="N751" s="188"/>
      <c r="O751" s="188"/>
      <c r="P751" s="34"/>
      <c r="Q751" s="34"/>
      <c r="R751" s="304"/>
      <c r="S751" s="34"/>
      <c r="T751" s="34"/>
      <c r="U751" s="34"/>
      <c r="V751" s="34"/>
      <c r="W751" s="105"/>
      <c r="X751" s="105"/>
    </row>
    <row r="752" spans="1:24" ht="12.75">
      <c r="A752" s="309"/>
      <c r="B752" s="309"/>
      <c r="C752" s="34"/>
      <c r="D752" s="362"/>
      <c r="E752" s="34"/>
      <c r="F752" s="34"/>
      <c r="G752" s="35"/>
      <c r="H752" s="35"/>
      <c r="I752" s="34"/>
      <c r="J752" s="34"/>
      <c r="K752" s="65"/>
      <c r="L752" s="34"/>
      <c r="M752" s="34"/>
      <c r="N752" s="188"/>
      <c r="O752" s="188"/>
      <c r="P752" s="34"/>
      <c r="Q752" s="34"/>
      <c r="R752" s="304"/>
      <c r="S752" s="34"/>
      <c r="T752" s="34"/>
      <c r="U752" s="34"/>
      <c r="V752" s="34"/>
      <c r="W752" s="105"/>
      <c r="X752" s="105"/>
    </row>
    <row r="753" spans="1:24" ht="12.75">
      <c r="A753" s="309"/>
      <c r="B753" s="309"/>
      <c r="C753" s="34"/>
      <c r="D753" s="362"/>
      <c r="E753" s="34"/>
      <c r="F753" s="34"/>
      <c r="G753" s="35"/>
      <c r="H753" s="35"/>
      <c r="I753" s="34"/>
      <c r="J753" s="34"/>
      <c r="K753" s="65"/>
      <c r="L753" s="34"/>
      <c r="M753" s="34"/>
      <c r="N753" s="188"/>
      <c r="O753" s="188"/>
      <c r="P753" s="34"/>
      <c r="Q753" s="34"/>
      <c r="R753" s="304"/>
      <c r="S753" s="34"/>
      <c r="T753" s="34"/>
      <c r="U753" s="34"/>
      <c r="V753" s="34"/>
      <c r="W753" s="105"/>
      <c r="X753" s="105"/>
    </row>
    <row r="754" spans="1:24" ht="12.75">
      <c r="A754" s="309"/>
      <c r="B754" s="309"/>
      <c r="C754" s="34"/>
      <c r="D754" s="362"/>
      <c r="E754" s="34"/>
      <c r="F754" s="34"/>
      <c r="G754" s="35"/>
      <c r="H754" s="35"/>
      <c r="I754" s="34"/>
      <c r="J754" s="34"/>
      <c r="K754" s="65"/>
      <c r="L754" s="34"/>
      <c r="M754" s="34"/>
      <c r="N754" s="188"/>
      <c r="O754" s="188"/>
      <c r="P754" s="34"/>
      <c r="Q754" s="34"/>
      <c r="R754" s="304"/>
      <c r="S754" s="34"/>
      <c r="T754" s="34"/>
      <c r="U754" s="34"/>
      <c r="V754" s="34"/>
      <c r="W754" s="105"/>
      <c r="X754" s="105"/>
    </row>
    <row r="755" spans="1:24" ht="12.75">
      <c r="A755" s="309"/>
      <c r="B755" s="309"/>
      <c r="C755" s="34"/>
      <c r="D755" s="362"/>
      <c r="E755" s="34"/>
      <c r="F755" s="34"/>
      <c r="G755" s="35"/>
      <c r="H755" s="35"/>
      <c r="I755" s="34"/>
      <c r="J755" s="34"/>
      <c r="K755" s="65"/>
      <c r="L755" s="34"/>
      <c r="M755" s="34"/>
      <c r="N755" s="188"/>
      <c r="O755" s="188"/>
      <c r="P755" s="34"/>
      <c r="Q755" s="34"/>
      <c r="R755" s="304"/>
      <c r="S755" s="34"/>
      <c r="T755" s="34"/>
      <c r="U755" s="34"/>
      <c r="V755" s="34"/>
      <c r="W755" s="105"/>
      <c r="X755" s="105"/>
    </row>
    <row r="756" spans="1:24" ht="12.75">
      <c r="A756" s="309"/>
      <c r="B756" s="309"/>
      <c r="C756" s="34"/>
      <c r="D756" s="362"/>
      <c r="E756" s="34"/>
      <c r="F756" s="34"/>
      <c r="G756" s="35"/>
      <c r="H756" s="35"/>
      <c r="I756" s="34"/>
      <c r="J756" s="34"/>
      <c r="K756" s="65"/>
      <c r="L756" s="34"/>
      <c r="M756" s="34"/>
      <c r="N756" s="188"/>
      <c r="O756" s="188"/>
      <c r="P756" s="34"/>
      <c r="Q756" s="34"/>
      <c r="R756" s="304"/>
      <c r="S756" s="34"/>
      <c r="T756" s="34"/>
      <c r="U756" s="34"/>
      <c r="V756" s="34"/>
      <c r="W756" s="105"/>
      <c r="X756" s="105"/>
    </row>
    <row r="757" spans="1:24" ht="12.75">
      <c r="A757" s="309"/>
      <c r="B757" s="309"/>
      <c r="C757" s="34"/>
      <c r="D757" s="362"/>
      <c r="E757" s="34"/>
      <c r="F757" s="34"/>
      <c r="G757" s="35"/>
      <c r="H757" s="35"/>
      <c r="I757" s="34"/>
      <c r="J757" s="34"/>
      <c r="K757" s="65"/>
      <c r="L757" s="34"/>
      <c r="M757" s="34"/>
      <c r="N757" s="188"/>
      <c r="O757" s="188"/>
      <c r="P757" s="34"/>
      <c r="Q757" s="34"/>
      <c r="R757" s="304"/>
      <c r="S757" s="34"/>
      <c r="T757" s="34"/>
      <c r="U757" s="34"/>
      <c r="V757" s="34"/>
      <c r="W757" s="105"/>
      <c r="X757" s="105"/>
    </row>
    <row r="758" spans="1:24" ht="12.75">
      <c r="A758" s="309"/>
      <c r="B758" s="309"/>
      <c r="C758" s="34"/>
      <c r="D758" s="362"/>
      <c r="E758" s="34"/>
      <c r="F758" s="34"/>
      <c r="G758" s="35"/>
      <c r="H758" s="35"/>
      <c r="I758" s="34"/>
      <c r="J758" s="34"/>
      <c r="K758" s="65"/>
      <c r="L758" s="34"/>
      <c r="M758" s="34"/>
      <c r="N758" s="188"/>
      <c r="O758" s="188"/>
      <c r="P758" s="34"/>
      <c r="Q758" s="34"/>
      <c r="R758" s="304"/>
      <c r="S758" s="34"/>
      <c r="T758" s="34"/>
      <c r="U758" s="34"/>
      <c r="V758" s="34"/>
      <c r="W758" s="105"/>
      <c r="X758" s="105"/>
    </row>
    <row r="759" spans="1:24" ht="12.75">
      <c r="A759" s="309"/>
      <c r="B759" s="309"/>
      <c r="C759" s="34"/>
      <c r="D759" s="362"/>
      <c r="E759" s="34"/>
      <c r="F759" s="34"/>
      <c r="G759" s="35"/>
      <c r="H759" s="35"/>
      <c r="I759" s="34"/>
      <c r="J759" s="34"/>
      <c r="K759" s="65"/>
      <c r="L759" s="34"/>
      <c r="M759" s="34"/>
      <c r="N759" s="188"/>
      <c r="O759" s="188"/>
      <c r="P759" s="34"/>
      <c r="Q759" s="34"/>
      <c r="R759" s="304"/>
      <c r="S759" s="34"/>
      <c r="T759" s="34"/>
      <c r="U759" s="34"/>
      <c r="V759" s="34"/>
      <c r="W759" s="105"/>
      <c r="X759" s="105"/>
    </row>
    <row r="760" spans="1:24" ht="12.75">
      <c r="A760" s="309"/>
      <c r="B760" s="309"/>
      <c r="C760" s="34"/>
      <c r="D760" s="362"/>
      <c r="E760" s="34"/>
      <c r="F760" s="34"/>
      <c r="G760" s="35"/>
      <c r="H760" s="35"/>
      <c r="I760" s="34"/>
      <c r="J760" s="34"/>
      <c r="K760" s="65"/>
      <c r="L760" s="34"/>
      <c r="M760" s="34"/>
      <c r="N760" s="188"/>
      <c r="O760" s="188"/>
      <c r="P760" s="34"/>
      <c r="Q760" s="34"/>
      <c r="R760" s="304"/>
      <c r="S760" s="34"/>
      <c r="T760" s="34"/>
      <c r="U760" s="34"/>
      <c r="V760" s="34"/>
      <c r="W760" s="105"/>
      <c r="X760" s="105"/>
    </row>
    <row r="761" spans="1:24" ht="12.75">
      <c r="A761" s="309"/>
      <c r="B761" s="309"/>
      <c r="C761" s="34"/>
      <c r="D761" s="362"/>
      <c r="E761" s="34"/>
      <c r="F761" s="34"/>
      <c r="G761" s="35"/>
      <c r="H761" s="35"/>
      <c r="I761" s="34"/>
      <c r="J761" s="34"/>
      <c r="K761" s="65"/>
      <c r="L761" s="34"/>
      <c r="M761" s="34"/>
      <c r="N761" s="188"/>
      <c r="O761" s="188"/>
      <c r="P761" s="34"/>
      <c r="Q761" s="34"/>
      <c r="R761" s="304"/>
      <c r="S761" s="34"/>
      <c r="T761" s="34"/>
      <c r="U761" s="34"/>
      <c r="V761" s="34"/>
      <c r="W761" s="105"/>
      <c r="X761" s="105"/>
    </row>
    <row r="762" spans="1:24" ht="12.75">
      <c r="A762" s="309"/>
      <c r="B762" s="309"/>
      <c r="C762" s="34"/>
      <c r="D762" s="362"/>
      <c r="E762" s="34"/>
      <c r="F762" s="34"/>
      <c r="G762" s="35"/>
      <c r="H762" s="35"/>
      <c r="I762" s="34"/>
      <c r="J762" s="34"/>
      <c r="K762" s="65"/>
      <c r="L762" s="34"/>
      <c r="M762" s="34"/>
      <c r="N762" s="188"/>
      <c r="O762" s="188"/>
      <c r="P762" s="34"/>
      <c r="Q762" s="34"/>
      <c r="R762" s="304"/>
      <c r="S762" s="34"/>
      <c r="T762" s="34"/>
      <c r="U762" s="34"/>
      <c r="V762" s="34"/>
      <c r="W762" s="105"/>
      <c r="X762" s="105"/>
    </row>
    <row r="763" spans="1:24" ht="12.75">
      <c r="A763" s="309"/>
      <c r="B763" s="309"/>
      <c r="C763" s="34"/>
      <c r="D763" s="362"/>
      <c r="E763" s="34"/>
      <c r="F763" s="34"/>
      <c r="G763" s="35"/>
      <c r="H763" s="35"/>
      <c r="I763" s="34"/>
      <c r="J763" s="34"/>
      <c r="K763" s="65"/>
      <c r="L763" s="34"/>
      <c r="M763" s="34"/>
      <c r="N763" s="188"/>
      <c r="O763" s="188"/>
      <c r="P763" s="34"/>
      <c r="Q763" s="34"/>
      <c r="R763" s="304"/>
      <c r="S763" s="34"/>
      <c r="T763" s="34"/>
      <c r="U763" s="34"/>
      <c r="V763" s="34"/>
      <c r="W763" s="105"/>
      <c r="X763" s="105"/>
    </row>
    <row r="764" spans="1:24" ht="12.75">
      <c r="A764" s="309"/>
      <c r="B764" s="309"/>
      <c r="C764" s="34"/>
      <c r="D764" s="362"/>
      <c r="E764" s="34"/>
      <c r="F764" s="34"/>
      <c r="G764" s="35"/>
      <c r="H764" s="35"/>
      <c r="I764" s="34"/>
      <c r="J764" s="34"/>
      <c r="K764" s="65"/>
      <c r="L764" s="34"/>
      <c r="M764" s="34"/>
      <c r="N764" s="188"/>
      <c r="O764" s="188"/>
      <c r="P764" s="34"/>
      <c r="Q764" s="34"/>
      <c r="R764" s="304"/>
      <c r="S764" s="34"/>
      <c r="T764" s="34"/>
      <c r="U764" s="34"/>
      <c r="V764" s="34"/>
      <c r="W764" s="105"/>
      <c r="X764" s="105"/>
    </row>
    <row r="765" spans="1:24" ht="12.75">
      <c r="A765" s="309"/>
      <c r="B765" s="309"/>
      <c r="C765" s="34"/>
      <c r="D765" s="362"/>
      <c r="E765" s="34"/>
      <c r="F765" s="34"/>
      <c r="G765" s="35"/>
      <c r="H765" s="35"/>
      <c r="I765" s="34"/>
      <c r="J765" s="34"/>
      <c r="K765" s="65"/>
      <c r="L765" s="34"/>
      <c r="M765" s="34"/>
      <c r="N765" s="188"/>
      <c r="O765" s="188"/>
      <c r="P765" s="34"/>
      <c r="Q765" s="34"/>
      <c r="R765" s="304"/>
      <c r="S765" s="34"/>
      <c r="T765" s="34"/>
      <c r="U765" s="34"/>
      <c r="V765" s="34"/>
      <c r="W765" s="105"/>
      <c r="X765" s="105"/>
    </row>
    <row r="766" spans="1:24" ht="12.75">
      <c r="A766" s="309"/>
      <c r="B766" s="309"/>
      <c r="C766" s="34"/>
      <c r="D766" s="362"/>
      <c r="E766" s="34"/>
      <c r="F766" s="34"/>
      <c r="G766" s="35"/>
      <c r="H766" s="35"/>
      <c r="I766" s="34"/>
      <c r="J766" s="34"/>
      <c r="K766" s="65"/>
      <c r="L766" s="34"/>
      <c r="M766" s="34"/>
      <c r="N766" s="188"/>
      <c r="O766" s="188"/>
      <c r="P766" s="34"/>
      <c r="Q766" s="34"/>
      <c r="R766" s="304"/>
      <c r="S766" s="34"/>
      <c r="T766" s="34"/>
      <c r="U766" s="34"/>
      <c r="V766" s="34"/>
      <c r="W766" s="105"/>
      <c r="X766" s="105"/>
    </row>
    <row r="767" spans="1:24" ht="12.75">
      <c r="A767" s="309"/>
      <c r="B767" s="309"/>
      <c r="C767" s="34"/>
      <c r="D767" s="362"/>
      <c r="E767" s="34"/>
      <c r="F767" s="34"/>
      <c r="G767" s="35"/>
      <c r="H767" s="35"/>
      <c r="I767" s="34"/>
      <c r="J767" s="34"/>
      <c r="K767" s="65"/>
      <c r="L767" s="34"/>
      <c r="M767" s="34"/>
      <c r="N767" s="188"/>
      <c r="O767" s="188"/>
      <c r="P767" s="34"/>
      <c r="Q767" s="34"/>
      <c r="R767" s="304"/>
      <c r="S767" s="34"/>
      <c r="T767" s="34"/>
      <c r="U767" s="34"/>
      <c r="V767" s="34"/>
      <c r="W767" s="105"/>
      <c r="X767" s="105"/>
    </row>
    <row r="768" spans="1:24" ht="12.75">
      <c r="A768" s="309"/>
      <c r="B768" s="309"/>
      <c r="C768" s="34"/>
      <c r="D768" s="362"/>
      <c r="E768" s="34"/>
      <c r="F768" s="34"/>
      <c r="G768" s="35"/>
      <c r="H768" s="35"/>
      <c r="I768" s="34"/>
      <c r="J768" s="34"/>
      <c r="K768" s="65"/>
      <c r="L768" s="34"/>
      <c r="M768" s="34"/>
      <c r="N768" s="188"/>
      <c r="O768" s="188"/>
      <c r="P768" s="34"/>
      <c r="Q768" s="34"/>
      <c r="R768" s="304"/>
      <c r="S768" s="34"/>
      <c r="T768" s="34"/>
      <c r="U768" s="34"/>
      <c r="V768" s="34"/>
      <c r="W768" s="105"/>
      <c r="X768" s="105"/>
    </row>
    <row r="769" spans="1:24" ht="12.75">
      <c r="A769" s="309"/>
      <c r="B769" s="309"/>
      <c r="C769" s="34"/>
      <c r="D769" s="362"/>
      <c r="E769" s="34"/>
      <c r="F769" s="34"/>
      <c r="G769" s="35"/>
      <c r="H769" s="35"/>
      <c r="I769" s="34"/>
      <c r="J769" s="34"/>
      <c r="K769" s="65"/>
      <c r="L769" s="34"/>
      <c r="M769" s="34"/>
      <c r="N769" s="188"/>
      <c r="O769" s="188"/>
      <c r="P769" s="34"/>
      <c r="Q769" s="34"/>
      <c r="R769" s="304"/>
      <c r="S769" s="34"/>
      <c r="T769" s="34"/>
      <c r="U769" s="34"/>
      <c r="V769" s="34"/>
      <c r="W769" s="105"/>
      <c r="X769" s="105"/>
    </row>
    <row r="770" spans="1:24" ht="12.75">
      <c r="A770" s="309"/>
      <c r="B770" s="309"/>
      <c r="C770" s="34"/>
      <c r="D770" s="362"/>
      <c r="E770" s="34"/>
      <c r="F770" s="34"/>
      <c r="G770" s="35"/>
      <c r="H770" s="35"/>
      <c r="I770" s="34"/>
      <c r="J770" s="34"/>
      <c r="K770" s="65"/>
      <c r="L770" s="34"/>
      <c r="M770" s="34"/>
      <c r="N770" s="188"/>
      <c r="O770" s="188"/>
      <c r="P770" s="34"/>
      <c r="Q770" s="34"/>
      <c r="R770" s="304"/>
      <c r="S770" s="34"/>
      <c r="T770" s="34"/>
      <c r="U770" s="34"/>
      <c r="V770" s="34"/>
      <c r="W770" s="105"/>
      <c r="X770" s="105"/>
    </row>
    <row r="771" spans="1:24" ht="12.75">
      <c r="A771" s="309"/>
      <c r="B771" s="309"/>
      <c r="C771" s="34"/>
      <c r="D771" s="362"/>
      <c r="E771" s="34"/>
      <c r="F771" s="34"/>
      <c r="G771" s="35"/>
      <c r="H771" s="35"/>
      <c r="I771" s="34"/>
      <c r="J771" s="34"/>
      <c r="K771" s="65"/>
      <c r="L771" s="34"/>
      <c r="M771" s="34"/>
      <c r="N771" s="188"/>
      <c r="O771" s="188"/>
      <c r="P771" s="34"/>
      <c r="Q771" s="34"/>
      <c r="R771" s="304"/>
      <c r="S771" s="34"/>
      <c r="T771" s="34"/>
      <c r="U771" s="34"/>
      <c r="V771" s="34"/>
      <c r="W771" s="105"/>
      <c r="X771" s="105"/>
    </row>
    <row r="772" spans="1:24" ht="12.75">
      <c r="A772" s="309"/>
      <c r="B772" s="309"/>
      <c r="C772" s="34"/>
      <c r="D772" s="362"/>
      <c r="E772" s="34"/>
      <c r="F772" s="34"/>
      <c r="G772" s="35"/>
      <c r="H772" s="35"/>
      <c r="I772" s="34"/>
      <c r="J772" s="34"/>
      <c r="K772" s="65"/>
      <c r="L772" s="34"/>
      <c r="M772" s="34"/>
      <c r="N772" s="188"/>
      <c r="O772" s="188"/>
      <c r="P772" s="34"/>
      <c r="Q772" s="34"/>
      <c r="R772" s="304"/>
      <c r="S772" s="34"/>
      <c r="T772" s="34"/>
      <c r="U772" s="34"/>
      <c r="V772" s="34"/>
      <c r="W772" s="105"/>
      <c r="X772" s="105"/>
    </row>
    <row r="773" spans="1:24" ht="12.75">
      <c r="A773" s="309"/>
      <c r="B773" s="309"/>
      <c r="C773" s="34"/>
      <c r="D773" s="362"/>
      <c r="E773" s="34"/>
      <c r="F773" s="34"/>
      <c r="G773" s="35"/>
      <c r="H773" s="35"/>
      <c r="I773" s="34"/>
      <c r="J773" s="34"/>
      <c r="K773" s="65"/>
      <c r="L773" s="34"/>
      <c r="M773" s="34"/>
      <c r="N773" s="188"/>
      <c r="O773" s="188"/>
      <c r="P773" s="34"/>
      <c r="Q773" s="34"/>
      <c r="R773" s="304"/>
      <c r="S773" s="34"/>
      <c r="T773" s="34"/>
      <c r="U773" s="34"/>
      <c r="V773" s="34"/>
      <c r="W773" s="105"/>
      <c r="X773" s="105"/>
    </row>
    <row r="774" spans="1:24" ht="12.75">
      <c r="A774" s="309"/>
      <c r="B774" s="309"/>
      <c r="C774" s="34"/>
      <c r="D774" s="362"/>
      <c r="E774" s="34"/>
      <c r="F774" s="34"/>
      <c r="G774" s="35"/>
      <c r="H774" s="35"/>
      <c r="I774" s="34"/>
      <c r="J774" s="34"/>
      <c r="K774" s="65"/>
      <c r="L774" s="34"/>
      <c r="M774" s="34"/>
      <c r="N774" s="188"/>
      <c r="O774" s="188"/>
      <c r="P774" s="34"/>
      <c r="Q774" s="34"/>
      <c r="R774" s="304"/>
      <c r="S774" s="34"/>
      <c r="T774" s="34"/>
      <c r="U774" s="34"/>
      <c r="V774" s="34"/>
      <c r="W774" s="105"/>
      <c r="X774" s="105"/>
    </row>
    <row r="775" spans="1:24" ht="12.75">
      <c r="A775" s="309"/>
      <c r="B775" s="309"/>
      <c r="C775" s="34"/>
      <c r="D775" s="362"/>
      <c r="E775" s="34"/>
      <c r="F775" s="34"/>
      <c r="G775" s="35"/>
      <c r="H775" s="35"/>
      <c r="I775" s="34"/>
      <c r="J775" s="34"/>
      <c r="K775" s="65"/>
      <c r="L775" s="34"/>
      <c r="M775" s="34"/>
      <c r="N775" s="188"/>
      <c r="O775" s="188"/>
      <c r="P775" s="34"/>
      <c r="Q775" s="34"/>
      <c r="R775" s="304"/>
      <c r="S775" s="34"/>
      <c r="T775" s="34"/>
      <c r="U775" s="34"/>
      <c r="V775" s="34"/>
      <c r="W775" s="105"/>
      <c r="X775" s="105"/>
    </row>
    <row r="776" spans="1:24" ht="12.75">
      <c r="A776" s="309"/>
      <c r="B776" s="309"/>
      <c r="C776" s="34"/>
      <c r="D776" s="362"/>
      <c r="E776" s="34"/>
      <c r="F776" s="34"/>
      <c r="G776" s="35"/>
      <c r="H776" s="35"/>
      <c r="I776" s="34"/>
      <c r="J776" s="34"/>
      <c r="K776" s="65"/>
      <c r="L776" s="34"/>
      <c r="M776" s="34"/>
      <c r="N776" s="188"/>
      <c r="O776" s="188"/>
      <c r="P776" s="34"/>
      <c r="Q776" s="34"/>
      <c r="R776" s="304"/>
      <c r="S776" s="34"/>
      <c r="T776" s="34"/>
      <c r="U776" s="34"/>
      <c r="V776" s="34"/>
      <c r="W776" s="105"/>
      <c r="X776" s="105"/>
    </row>
    <row r="777" spans="1:24" ht="12.75">
      <c r="A777" s="309"/>
      <c r="B777" s="309"/>
      <c r="C777" s="34"/>
      <c r="D777" s="362"/>
      <c r="E777" s="34"/>
      <c r="F777" s="34"/>
      <c r="G777" s="35"/>
      <c r="H777" s="35"/>
      <c r="I777" s="34"/>
      <c r="J777" s="34"/>
      <c r="K777" s="65"/>
      <c r="L777" s="34"/>
      <c r="M777" s="34"/>
      <c r="N777" s="188"/>
      <c r="O777" s="188"/>
      <c r="P777" s="34"/>
      <c r="Q777" s="34"/>
      <c r="R777" s="304"/>
      <c r="S777" s="34"/>
      <c r="T777" s="34"/>
      <c r="U777" s="34"/>
      <c r="V777" s="34"/>
      <c r="W777" s="105"/>
      <c r="X777" s="105"/>
    </row>
    <row r="778" spans="1:24" ht="12.75">
      <c r="A778" s="309"/>
      <c r="B778" s="309"/>
      <c r="C778" s="34"/>
      <c r="D778" s="362"/>
      <c r="E778" s="34"/>
      <c r="F778" s="34"/>
      <c r="G778" s="35"/>
      <c r="H778" s="35"/>
      <c r="I778" s="34"/>
      <c r="J778" s="34"/>
      <c r="K778" s="65"/>
      <c r="L778" s="34"/>
      <c r="M778" s="34"/>
      <c r="N778" s="188"/>
      <c r="O778" s="188"/>
      <c r="P778" s="34"/>
      <c r="Q778" s="34"/>
      <c r="R778" s="304"/>
      <c r="S778" s="34"/>
      <c r="T778" s="34"/>
      <c r="U778" s="34"/>
      <c r="V778" s="34"/>
      <c r="W778" s="105"/>
      <c r="X778" s="105"/>
    </row>
    <row r="779" spans="1:24" ht="12.75">
      <c r="A779" s="309"/>
      <c r="B779" s="309"/>
      <c r="C779" s="34"/>
      <c r="D779" s="362"/>
      <c r="E779" s="34"/>
      <c r="F779" s="34"/>
      <c r="G779" s="35"/>
      <c r="H779" s="35"/>
      <c r="I779" s="34"/>
      <c r="J779" s="34"/>
      <c r="K779" s="65"/>
      <c r="L779" s="34"/>
      <c r="M779" s="34"/>
      <c r="N779" s="188"/>
      <c r="O779" s="188"/>
      <c r="P779" s="34"/>
      <c r="Q779" s="34"/>
      <c r="R779" s="304"/>
      <c r="S779" s="34"/>
      <c r="T779" s="34"/>
      <c r="U779" s="34"/>
      <c r="V779" s="34"/>
      <c r="W779" s="105"/>
      <c r="X779" s="105"/>
    </row>
    <row r="780" spans="1:24" ht="12.75">
      <c r="A780" s="309"/>
      <c r="B780" s="309"/>
      <c r="C780" s="34"/>
      <c r="D780" s="362"/>
      <c r="E780" s="34"/>
      <c r="F780" s="34"/>
      <c r="G780" s="35"/>
      <c r="H780" s="35"/>
      <c r="I780" s="34"/>
      <c r="J780" s="34"/>
      <c r="K780" s="65"/>
      <c r="L780" s="34"/>
      <c r="M780" s="34"/>
      <c r="N780" s="188"/>
      <c r="O780" s="188"/>
      <c r="P780" s="34"/>
      <c r="Q780" s="34"/>
      <c r="R780" s="304"/>
      <c r="S780" s="34"/>
      <c r="T780" s="34"/>
      <c r="U780" s="34"/>
      <c r="V780" s="34"/>
      <c r="W780" s="105"/>
      <c r="X780" s="105"/>
    </row>
    <row r="781" spans="1:24" ht="12.75">
      <c r="A781" s="309"/>
      <c r="B781" s="309"/>
      <c r="C781" s="34"/>
      <c r="D781" s="362"/>
      <c r="E781" s="34"/>
      <c r="F781" s="34"/>
      <c r="G781" s="35"/>
      <c r="H781" s="35"/>
      <c r="I781" s="34"/>
      <c r="J781" s="34"/>
      <c r="K781" s="65"/>
      <c r="L781" s="34"/>
      <c r="M781" s="34"/>
      <c r="N781" s="188"/>
      <c r="O781" s="188"/>
      <c r="P781" s="34"/>
      <c r="Q781" s="34"/>
      <c r="R781" s="304"/>
      <c r="S781" s="34"/>
      <c r="T781" s="34"/>
      <c r="U781" s="34"/>
      <c r="V781" s="34"/>
      <c r="W781" s="105"/>
      <c r="X781" s="105"/>
    </row>
    <row r="782" spans="1:24" ht="12.75">
      <c r="A782" s="309"/>
      <c r="B782" s="309"/>
      <c r="C782" s="34"/>
      <c r="D782" s="362"/>
      <c r="E782" s="34"/>
      <c r="F782" s="34"/>
      <c r="G782" s="35"/>
      <c r="H782" s="35"/>
      <c r="I782" s="34"/>
      <c r="J782" s="34"/>
      <c r="K782" s="65"/>
      <c r="L782" s="34"/>
      <c r="M782" s="34"/>
      <c r="N782" s="188"/>
      <c r="O782" s="188"/>
      <c r="P782" s="34"/>
      <c r="Q782" s="34"/>
      <c r="R782" s="304"/>
      <c r="S782" s="34"/>
      <c r="T782" s="34"/>
      <c r="U782" s="34"/>
      <c r="V782" s="34"/>
      <c r="W782" s="105"/>
      <c r="X782" s="105"/>
    </row>
    <row r="783" spans="1:24" ht="12.75">
      <c r="A783" s="309"/>
      <c r="B783" s="309"/>
      <c r="C783" s="34"/>
      <c r="D783" s="362"/>
      <c r="E783" s="34"/>
      <c r="F783" s="34"/>
      <c r="G783" s="35"/>
      <c r="H783" s="35"/>
      <c r="I783" s="34"/>
      <c r="J783" s="34"/>
      <c r="K783" s="65"/>
      <c r="L783" s="34"/>
      <c r="M783" s="34"/>
      <c r="N783" s="188"/>
      <c r="O783" s="188"/>
      <c r="P783" s="34"/>
      <c r="Q783" s="34"/>
      <c r="R783" s="304"/>
      <c r="S783" s="34"/>
      <c r="T783" s="34"/>
      <c r="U783" s="34"/>
      <c r="V783" s="34"/>
      <c r="W783" s="105"/>
      <c r="X783" s="105"/>
    </row>
    <row r="784" spans="1:24" ht="12.75">
      <c r="A784" s="309"/>
      <c r="B784" s="309"/>
      <c r="C784" s="34"/>
      <c r="D784" s="362"/>
      <c r="E784" s="34"/>
      <c r="F784" s="34"/>
      <c r="G784" s="35"/>
      <c r="H784" s="35"/>
      <c r="I784" s="34"/>
      <c r="J784" s="34"/>
      <c r="K784" s="65"/>
      <c r="L784" s="34"/>
      <c r="M784" s="34"/>
      <c r="N784" s="188"/>
      <c r="O784" s="188"/>
      <c r="P784" s="34"/>
      <c r="Q784" s="34"/>
      <c r="R784" s="304"/>
      <c r="S784" s="34"/>
      <c r="T784" s="34"/>
      <c r="U784" s="34"/>
      <c r="V784" s="34"/>
      <c r="W784" s="105"/>
      <c r="X784" s="105"/>
    </row>
    <row r="785" spans="1:24" ht="12.75">
      <c r="A785" s="309"/>
      <c r="B785" s="309"/>
      <c r="C785" s="34"/>
      <c r="D785" s="362"/>
      <c r="E785" s="34"/>
      <c r="F785" s="34"/>
      <c r="G785" s="35"/>
      <c r="H785" s="35"/>
      <c r="I785" s="34"/>
      <c r="J785" s="34"/>
      <c r="K785" s="65"/>
      <c r="L785" s="34"/>
      <c r="M785" s="34"/>
      <c r="N785" s="188"/>
      <c r="O785" s="188"/>
      <c r="P785" s="34"/>
      <c r="Q785" s="34"/>
      <c r="R785" s="304"/>
      <c r="S785" s="34"/>
      <c r="T785" s="34"/>
      <c r="U785" s="34"/>
      <c r="V785" s="34"/>
      <c r="W785" s="105"/>
      <c r="X785" s="105"/>
    </row>
    <row r="786" spans="1:24" ht="12.75">
      <c r="A786" s="309"/>
      <c r="B786" s="309"/>
      <c r="C786" s="34"/>
      <c r="D786" s="362"/>
      <c r="E786" s="34"/>
      <c r="F786" s="34"/>
      <c r="G786" s="35"/>
      <c r="H786" s="35"/>
      <c r="I786" s="34"/>
      <c r="J786" s="34"/>
      <c r="K786" s="65"/>
      <c r="L786" s="34"/>
      <c r="M786" s="34"/>
      <c r="N786" s="188"/>
      <c r="O786" s="188"/>
      <c r="P786" s="34"/>
      <c r="Q786" s="34"/>
      <c r="R786" s="304"/>
      <c r="S786" s="34"/>
      <c r="T786" s="34"/>
      <c r="U786" s="34"/>
      <c r="V786" s="34"/>
      <c r="W786" s="105"/>
      <c r="X786" s="105"/>
    </row>
    <row r="787" spans="1:24" ht="12.75">
      <c r="A787" s="309"/>
      <c r="B787" s="309"/>
      <c r="C787" s="34"/>
      <c r="D787" s="362"/>
      <c r="E787" s="34"/>
      <c r="F787" s="34"/>
      <c r="G787" s="35"/>
      <c r="H787" s="35"/>
      <c r="I787" s="34"/>
      <c r="J787" s="34"/>
      <c r="K787" s="65"/>
      <c r="L787" s="34"/>
      <c r="M787" s="34"/>
      <c r="N787" s="188"/>
      <c r="O787" s="188"/>
      <c r="P787" s="34"/>
      <c r="Q787" s="34"/>
      <c r="R787" s="304"/>
      <c r="S787" s="34"/>
      <c r="T787" s="34"/>
      <c r="U787" s="34"/>
      <c r="V787" s="34"/>
      <c r="W787" s="105"/>
      <c r="X787" s="105"/>
    </row>
    <row r="788" spans="1:24" ht="12.75">
      <c r="A788" s="309"/>
      <c r="B788" s="309"/>
      <c r="C788" s="34"/>
      <c r="D788" s="362"/>
      <c r="E788" s="34"/>
      <c r="F788" s="34"/>
      <c r="G788" s="35"/>
      <c r="H788" s="35"/>
      <c r="I788" s="34"/>
      <c r="J788" s="34"/>
      <c r="K788" s="65"/>
      <c r="L788" s="34"/>
      <c r="M788" s="34"/>
      <c r="N788" s="188"/>
      <c r="O788" s="188"/>
      <c r="P788" s="34"/>
      <c r="Q788" s="34"/>
      <c r="R788" s="304"/>
      <c r="S788" s="34"/>
      <c r="T788" s="34"/>
      <c r="U788" s="34"/>
      <c r="V788" s="34"/>
      <c r="W788" s="105"/>
      <c r="X788" s="105"/>
    </row>
    <row r="789" spans="1:24" ht="12.75">
      <c r="A789" s="309"/>
      <c r="B789" s="309"/>
      <c r="C789" s="34"/>
      <c r="D789" s="362"/>
      <c r="E789" s="34"/>
      <c r="F789" s="34"/>
      <c r="G789" s="35"/>
      <c r="H789" s="35"/>
      <c r="I789" s="34"/>
      <c r="J789" s="34"/>
      <c r="K789" s="65"/>
      <c r="L789" s="34"/>
      <c r="M789" s="34"/>
      <c r="N789" s="188"/>
      <c r="O789" s="188"/>
      <c r="P789" s="34"/>
      <c r="Q789" s="34"/>
      <c r="R789" s="304"/>
      <c r="S789" s="34"/>
      <c r="T789" s="34"/>
      <c r="U789" s="34"/>
      <c r="V789" s="34"/>
      <c r="W789" s="105"/>
      <c r="X789" s="105"/>
    </row>
    <row r="790" spans="1:24" ht="12.75">
      <c r="A790" s="309"/>
      <c r="B790" s="309"/>
      <c r="C790" s="34"/>
      <c r="D790" s="362"/>
      <c r="E790" s="34"/>
      <c r="F790" s="34"/>
      <c r="G790" s="35"/>
      <c r="H790" s="35"/>
      <c r="I790" s="34"/>
      <c r="J790" s="34"/>
      <c r="K790" s="65"/>
      <c r="L790" s="34"/>
      <c r="M790" s="34"/>
      <c r="N790" s="188"/>
      <c r="O790" s="188"/>
      <c r="P790" s="34"/>
      <c r="Q790" s="34"/>
      <c r="R790" s="304"/>
      <c r="S790" s="34"/>
      <c r="T790" s="34"/>
      <c r="U790" s="34"/>
      <c r="V790" s="34"/>
      <c r="W790" s="105"/>
      <c r="X790" s="105"/>
    </row>
    <row r="791" spans="1:24" ht="12.75">
      <c r="A791" s="309"/>
      <c r="B791" s="309"/>
      <c r="C791" s="34"/>
      <c r="D791" s="362"/>
      <c r="E791" s="34"/>
      <c r="F791" s="34"/>
      <c r="G791" s="35"/>
      <c r="H791" s="35"/>
      <c r="I791" s="34"/>
      <c r="J791" s="34"/>
      <c r="K791" s="65"/>
      <c r="L791" s="34"/>
      <c r="M791" s="34"/>
      <c r="N791" s="188"/>
      <c r="O791" s="188"/>
      <c r="P791" s="34"/>
      <c r="Q791" s="34"/>
      <c r="R791" s="304"/>
      <c r="S791" s="34"/>
      <c r="T791" s="34"/>
      <c r="U791" s="34"/>
      <c r="V791" s="34"/>
      <c r="W791" s="105"/>
      <c r="X791" s="105"/>
    </row>
    <row r="792" spans="1:24" ht="12.75">
      <c r="A792" s="309"/>
      <c r="B792" s="309"/>
      <c r="C792" s="34"/>
      <c r="D792" s="362"/>
      <c r="E792" s="34"/>
      <c r="F792" s="34"/>
      <c r="G792" s="35"/>
      <c r="H792" s="35"/>
      <c r="I792" s="34"/>
      <c r="J792" s="34"/>
      <c r="K792" s="65"/>
      <c r="L792" s="34"/>
      <c r="M792" s="34"/>
      <c r="N792" s="188"/>
      <c r="O792" s="188"/>
      <c r="P792" s="34"/>
      <c r="Q792" s="34"/>
      <c r="R792" s="304"/>
      <c r="S792" s="34"/>
      <c r="T792" s="34"/>
      <c r="U792" s="34"/>
      <c r="V792" s="34"/>
      <c r="W792" s="105"/>
      <c r="X792" s="105"/>
    </row>
    <row r="793" spans="1:24" ht="12.75">
      <c r="A793" s="309"/>
      <c r="B793" s="309"/>
      <c r="C793" s="34"/>
      <c r="D793" s="362"/>
      <c r="E793" s="34"/>
      <c r="F793" s="34"/>
      <c r="G793" s="35"/>
      <c r="H793" s="35"/>
      <c r="I793" s="34"/>
      <c r="J793" s="34"/>
      <c r="K793" s="65"/>
      <c r="L793" s="34"/>
      <c r="M793" s="34"/>
      <c r="N793" s="188"/>
      <c r="O793" s="188"/>
      <c r="P793" s="34"/>
      <c r="Q793" s="34"/>
      <c r="R793" s="304"/>
      <c r="S793" s="34"/>
      <c r="T793" s="34"/>
      <c r="U793" s="34"/>
      <c r="V793" s="34"/>
      <c r="W793" s="105"/>
      <c r="X793" s="105"/>
    </row>
    <row r="794" spans="1:24" ht="12.75">
      <c r="A794" s="309"/>
      <c r="B794" s="309"/>
      <c r="C794" s="34"/>
      <c r="D794" s="362"/>
      <c r="E794" s="34"/>
      <c r="F794" s="34"/>
      <c r="G794" s="35"/>
      <c r="H794" s="35"/>
      <c r="I794" s="34"/>
      <c r="J794" s="34"/>
      <c r="K794" s="65"/>
      <c r="L794" s="34"/>
      <c r="M794" s="34"/>
      <c r="N794" s="188"/>
      <c r="O794" s="188"/>
      <c r="P794" s="34"/>
      <c r="Q794" s="34"/>
      <c r="R794" s="304"/>
      <c r="S794" s="34"/>
      <c r="T794" s="34"/>
      <c r="U794" s="34"/>
      <c r="V794" s="34"/>
      <c r="W794" s="105"/>
      <c r="X794" s="105"/>
    </row>
    <row r="795" spans="1:24" ht="12.75">
      <c r="A795" s="309"/>
      <c r="B795" s="309"/>
      <c r="C795" s="34"/>
      <c r="D795" s="362"/>
      <c r="E795" s="34"/>
      <c r="F795" s="34"/>
      <c r="G795" s="35"/>
      <c r="H795" s="35"/>
      <c r="I795" s="34"/>
      <c r="J795" s="34"/>
      <c r="K795" s="65"/>
      <c r="L795" s="34"/>
      <c r="M795" s="34"/>
      <c r="N795" s="188"/>
      <c r="O795" s="188"/>
      <c r="P795" s="34"/>
      <c r="Q795" s="34"/>
      <c r="R795" s="304"/>
      <c r="S795" s="34"/>
      <c r="T795" s="34"/>
      <c r="U795" s="34"/>
      <c r="V795" s="34"/>
      <c r="W795" s="105"/>
      <c r="X795" s="105"/>
    </row>
    <row r="796" spans="1:24" ht="12.75">
      <c r="A796" s="309"/>
      <c r="B796" s="309"/>
      <c r="C796" s="34"/>
      <c r="D796" s="362"/>
      <c r="E796" s="34"/>
      <c r="F796" s="34"/>
      <c r="G796" s="35"/>
      <c r="H796" s="35"/>
      <c r="I796" s="34"/>
      <c r="J796" s="34"/>
      <c r="K796" s="65"/>
      <c r="L796" s="34"/>
      <c r="M796" s="34"/>
      <c r="N796" s="188"/>
      <c r="O796" s="188"/>
      <c r="P796" s="34"/>
      <c r="Q796" s="34"/>
      <c r="R796" s="304"/>
      <c r="S796" s="34"/>
      <c r="T796" s="34"/>
      <c r="U796" s="34"/>
      <c r="V796" s="34"/>
      <c r="W796" s="105"/>
      <c r="X796" s="105"/>
    </row>
    <row r="797" spans="1:24" ht="12.75">
      <c r="A797" s="309"/>
      <c r="B797" s="309"/>
      <c r="C797" s="34"/>
      <c r="D797" s="362"/>
      <c r="E797" s="34"/>
      <c r="F797" s="34"/>
      <c r="G797" s="35"/>
      <c r="H797" s="35"/>
      <c r="I797" s="34"/>
      <c r="J797" s="34"/>
      <c r="K797" s="65"/>
      <c r="L797" s="34"/>
      <c r="M797" s="34"/>
      <c r="N797" s="188"/>
      <c r="O797" s="188"/>
      <c r="P797" s="34"/>
      <c r="Q797" s="34"/>
      <c r="R797" s="304"/>
      <c r="S797" s="34"/>
      <c r="T797" s="34"/>
      <c r="U797" s="34"/>
      <c r="V797" s="34"/>
      <c r="W797" s="105"/>
      <c r="X797" s="105"/>
    </row>
    <row r="798" spans="1:24" ht="12.75">
      <c r="A798" s="309"/>
      <c r="B798" s="309"/>
      <c r="C798" s="34"/>
      <c r="D798" s="362"/>
      <c r="E798" s="34"/>
      <c r="F798" s="34"/>
      <c r="G798" s="35"/>
      <c r="H798" s="35"/>
      <c r="I798" s="34"/>
      <c r="J798" s="34"/>
      <c r="K798" s="65"/>
      <c r="L798" s="34"/>
      <c r="M798" s="34"/>
      <c r="N798" s="188"/>
      <c r="O798" s="188"/>
      <c r="P798" s="34"/>
      <c r="Q798" s="34"/>
      <c r="R798" s="304"/>
      <c r="S798" s="34"/>
      <c r="T798" s="34"/>
      <c r="U798" s="34"/>
      <c r="V798" s="34"/>
      <c r="W798" s="105"/>
      <c r="X798" s="105"/>
    </row>
    <row r="799" spans="1:24" ht="12.75">
      <c r="A799" s="309"/>
      <c r="B799" s="309"/>
      <c r="C799" s="34"/>
      <c r="D799" s="362"/>
      <c r="E799" s="34"/>
      <c r="F799" s="34"/>
      <c r="G799" s="35"/>
      <c r="H799" s="35"/>
      <c r="I799" s="34"/>
      <c r="J799" s="34"/>
      <c r="K799" s="65"/>
      <c r="L799" s="34"/>
      <c r="M799" s="34"/>
      <c r="N799" s="188"/>
      <c r="O799" s="188"/>
      <c r="P799" s="34"/>
      <c r="Q799" s="34"/>
      <c r="R799" s="304"/>
      <c r="S799" s="34"/>
      <c r="T799" s="34"/>
      <c r="U799" s="34"/>
      <c r="V799" s="34"/>
      <c r="W799" s="105"/>
      <c r="X799" s="105"/>
    </row>
    <row r="800" spans="1:24" ht="12.75">
      <c r="A800" s="309"/>
      <c r="B800" s="309"/>
      <c r="C800" s="34"/>
      <c r="D800" s="362"/>
      <c r="E800" s="34"/>
      <c r="F800" s="34"/>
      <c r="G800" s="35"/>
      <c r="H800" s="35"/>
      <c r="I800" s="34"/>
      <c r="J800" s="34"/>
      <c r="K800" s="65"/>
      <c r="L800" s="34"/>
      <c r="M800" s="34"/>
      <c r="N800" s="188"/>
      <c r="O800" s="188"/>
      <c r="P800" s="34"/>
      <c r="Q800" s="34"/>
      <c r="R800" s="304"/>
      <c r="S800" s="34"/>
      <c r="T800" s="34"/>
      <c r="U800" s="34"/>
      <c r="V800" s="34"/>
      <c r="W800" s="105"/>
      <c r="X800" s="105"/>
    </row>
    <row r="801" spans="1:24" ht="12.75">
      <c r="A801" s="309"/>
      <c r="B801" s="309"/>
      <c r="C801" s="34"/>
      <c r="D801" s="362"/>
      <c r="E801" s="34"/>
      <c r="F801" s="34"/>
      <c r="G801" s="35"/>
      <c r="H801" s="35"/>
      <c r="I801" s="34"/>
      <c r="J801" s="34"/>
      <c r="K801" s="65"/>
      <c r="L801" s="34"/>
      <c r="M801" s="34"/>
      <c r="N801" s="188"/>
      <c r="O801" s="188"/>
      <c r="P801" s="34"/>
      <c r="Q801" s="34"/>
      <c r="R801" s="304"/>
      <c r="S801" s="34"/>
      <c r="T801" s="34"/>
      <c r="U801" s="34"/>
      <c r="V801" s="34"/>
      <c r="W801" s="105"/>
      <c r="X801" s="105"/>
    </row>
    <row r="802" spans="1:24" ht="12.75">
      <c r="A802" s="309"/>
      <c r="B802" s="309"/>
      <c r="C802" s="34"/>
      <c r="D802" s="362"/>
      <c r="E802" s="34"/>
      <c r="F802" s="34"/>
      <c r="G802" s="35"/>
      <c r="H802" s="35"/>
      <c r="I802" s="34"/>
      <c r="J802" s="34"/>
      <c r="K802" s="65"/>
      <c r="L802" s="34"/>
      <c r="M802" s="34"/>
      <c r="N802" s="188"/>
      <c r="O802" s="188"/>
      <c r="P802" s="34"/>
      <c r="Q802" s="34"/>
      <c r="R802" s="304"/>
      <c r="S802" s="34"/>
      <c r="T802" s="34"/>
      <c r="U802" s="34"/>
      <c r="V802" s="34"/>
      <c r="W802" s="105"/>
      <c r="X802" s="105"/>
    </row>
    <row r="803" spans="1:24" ht="12.75">
      <c r="A803" s="309"/>
      <c r="B803" s="309"/>
      <c r="C803" s="34"/>
      <c r="D803" s="362"/>
      <c r="E803" s="34"/>
      <c r="F803" s="34"/>
      <c r="G803" s="35"/>
      <c r="H803" s="35"/>
      <c r="I803" s="34"/>
      <c r="J803" s="34"/>
      <c r="K803" s="65"/>
      <c r="L803" s="34"/>
      <c r="M803" s="34"/>
      <c r="N803" s="188"/>
      <c r="O803" s="188"/>
      <c r="P803" s="34"/>
      <c r="Q803" s="34"/>
      <c r="R803" s="304"/>
      <c r="S803" s="34"/>
      <c r="T803" s="34"/>
      <c r="U803" s="34"/>
      <c r="V803" s="34"/>
      <c r="W803" s="105"/>
      <c r="X803" s="105"/>
    </row>
    <row r="804" spans="1:24" ht="12.75">
      <c r="A804" s="309"/>
      <c r="B804" s="309"/>
      <c r="C804" s="34"/>
      <c r="D804" s="362"/>
      <c r="E804" s="34"/>
      <c r="F804" s="34"/>
      <c r="G804" s="35"/>
      <c r="H804" s="35"/>
      <c r="I804" s="34"/>
      <c r="J804" s="34"/>
      <c r="K804" s="65"/>
      <c r="L804" s="34"/>
      <c r="M804" s="34"/>
      <c r="N804" s="188"/>
      <c r="O804" s="188"/>
      <c r="P804" s="34"/>
      <c r="Q804" s="34"/>
      <c r="R804" s="304"/>
      <c r="S804" s="34"/>
      <c r="T804" s="34"/>
      <c r="U804" s="34"/>
      <c r="V804" s="34"/>
      <c r="W804" s="105"/>
      <c r="X804" s="105"/>
    </row>
    <row r="805" spans="1:24" ht="12.75">
      <c r="A805" s="309"/>
      <c r="B805" s="309"/>
      <c r="C805" s="34"/>
      <c r="D805" s="362"/>
      <c r="E805" s="34"/>
      <c r="F805" s="34"/>
      <c r="G805" s="35"/>
      <c r="H805" s="35"/>
      <c r="I805" s="34"/>
      <c r="J805" s="34"/>
      <c r="K805" s="65"/>
      <c r="L805" s="34"/>
      <c r="M805" s="34"/>
      <c r="N805" s="188"/>
      <c r="O805" s="188"/>
      <c r="P805" s="34"/>
      <c r="Q805" s="34"/>
      <c r="R805" s="304"/>
      <c r="S805" s="34"/>
      <c r="T805" s="34"/>
      <c r="U805" s="34"/>
      <c r="V805" s="34"/>
      <c r="W805" s="105"/>
      <c r="X805" s="105"/>
    </row>
    <row r="806" spans="1:24" ht="12.75">
      <c r="A806" s="309"/>
      <c r="B806" s="309"/>
      <c r="C806" s="34"/>
      <c r="D806" s="362"/>
      <c r="E806" s="34"/>
      <c r="F806" s="34"/>
      <c r="G806" s="35"/>
      <c r="H806" s="35"/>
      <c r="I806" s="34"/>
      <c r="J806" s="34"/>
      <c r="K806" s="65"/>
      <c r="L806" s="34"/>
      <c r="M806" s="34"/>
      <c r="N806" s="188"/>
      <c r="O806" s="188"/>
      <c r="P806" s="34"/>
      <c r="Q806" s="34"/>
      <c r="R806" s="304"/>
      <c r="S806" s="34"/>
      <c r="T806" s="34"/>
      <c r="U806" s="34"/>
      <c r="V806" s="34"/>
      <c r="W806" s="105"/>
      <c r="X806" s="105"/>
    </row>
    <row r="807" spans="1:24" ht="12.75">
      <c r="A807" s="309"/>
      <c r="B807" s="309"/>
      <c r="C807" s="34"/>
      <c r="D807" s="362"/>
      <c r="E807" s="34"/>
      <c r="F807" s="34"/>
      <c r="G807" s="35"/>
      <c r="H807" s="35"/>
      <c r="I807" s="34"/>
      <c r="J807" s="34"/>
      <c r="K807" s="65"/>
      <c r="L807" s="34"/>
      <c r="M807" s="34"/>
      <c r="N807" s="188"/>
      <c r="O807" s="188"/>
      <c r="P807" s="34"/>
      <c r="Q807" s="34"/>
      <c r="R807" s="304"/>
      <c r="S807" s="34"/>
      <c r="T807" s="34"/>
      <c r="U807" s="34"/>
      <c r="V807" s="34"/>
      <c r="W807" s="105"/>
      <c r="X807" s="105"/>
    </row>
    <row r="808" spans="1:24" ht="12.75">
      <c r="A808" s="309"/>
      <c r="B808" s="309"/>
      <c r="C808" s="34"/>
      <c r="D808" s="362"/>
      <c r="E808" s="34"/>
      <c r="F808" s="34"/>
      <c r="G808" s="35"/>
      <c r="H808" s="35"/>
      <c r="I808" s="34"/>
      <c r="J808" s="34"/>
      <c r="K808" s="65"/>
      <c r="L808" s="34"/>
      <c r="M808" s="34"/>
      <c r="N808" s="188"/>
      <c r="O808" s="188"/>
      <c r="P808" s="34"/>
      <c r="Q808" s="34"/>
      <c r="R808" s="304"/>
      <c r="S808" s="34"/>
      <c r="T808" s="34"/>
      <c r="U808" s="34"/>
      <c r="V808" s="34"/>
      <c r="W808" s="105"/>
      <c r="X808" s="105"/>
    </row>
    <row r="809" spans="1:24" ht="12.75">
      <c r="A809" s="309"/>
      <c r="B809" s="309"/>
      <c r="C809" s="34"/>
      <c r="D809" s="362"/>
      <c r="E809" s="34"/>
      <c r="F809" s="34"/>
      <c r="G809" s="35"/>
      <c r="H809" s="35"/>
      <c r="I809" s="34"/>
      <c r="J809" s="34"/>
      <c r="K809" s="65"/>
      <c r="L809" s="34"/>
      <c r="M809" s="34"/>
      <c r="N809" s="188"/>
      <c r="O809" s="188"/>
      <c r="P809" s="34"/>
      <c r="Q809" s="34"/>
      <c r="R809" s="304"/>
      <c r="S809" s="34"/>
      <c r="T809" s="34"/>
      <c r="U809" s="34"/>
      <c r="V809" s="34"/>
      <c r="W809" s="105"/>
      <c r="X809" s="105"/>
    </row>
    <row r="810" spans="1:24" ht="12.75">
      <c r="A810" s="309"/>
      <c r="B810" s="309"/>
      <c r="C810" s="34"/>
      <c r="D810" s="362"/>
      <c r="E810" s="34"/>
      <c r="F810" s="34"/>
      <c r="G810" s="35"/>
      <c r="H810" s="35"/>
      <c r="I810" s="34"/>
      <c r="J810" s="34"/>
      <c r="K810" s="65"/>
      <c r="L810" s="34"/>
      <c r="M810" s="34"/>
      <c r="N810" s="188"/>
      <c r="O810" s="188"/>
      <c r="P810" s="34"/>
      <c r="Q810" s="34"/>
      <c r="R810" s="304"/>
      <c r="S810" s="34"/>
      <c r="T810" s="34"/>
      <c r="U810" s="34"/>
      <c r="V810" s="34"/>
      <c r="W810" s="105"/>
      <c r="X810" s="105"/>
    </row>
    <row r="811" spans="1:24" ht="12.75">
      <c r="A811" s="309"/>
      <c r="B811" s="309"/>
      <c r="C811" s="34"/>
      <c r="D811" s="362"/>
      <c r="E811" s="34"/>
      <c r="F811" s="34"/>
      <c r="G811" s="35"/>
      <c r="H811" s="35"/>
      <c r="I811" s="34"/>
      <c r="J811" s="34"/>
      <c r="K811" s="65"/>
      <c r="L811" s="34"/>
      <c r="M811" s="34"/>
      <c r="N811" s="188"/>
      <c r="O811" s="188"/>
      <c r="P811" s="34"/>
      <c r="Q811" s="34"/>
      <c r="R811" s="304"/>
      <c r="S811" s="34"/>
      <c r="T811" s="34"/>
      <c r="U811" s="34"/>
      <c r="V811" s="34"/>
      <c r="W811" s="105"/>
      <c r="X811" s="105"/>
    </row>
    <row r="812" spans="1:24" ht="12.75">
      <c r="A812" s="309"/>
      <c r="B812" s="309"/>
      <c r="C812" s="34"/>
      <c r="D812" s="362"/>
      <c r="E812" s="34"/>
      <c r="F812" s="34"/>
      <c r="G812" s="35"/>
      <c r="H812" s="35"/>
      <c r="I812" s="34"/>
      <c r="J812" s="34"/>
      <c r="K812" s="65"/>
      <c r="L812" s="34"/>
      <c r="M812" s="34"/>
      <c r="N812" s="188"/>
      <c r="O812" s="188"/>
      <c r="P812" s="34"/>
      <c r="Q812" s="34"/>
      <c r="R812" s="304"/>
      <c r="S812" s="34"/>
      <c r="T812" s="34"/>
      <c r="U812" s="34"/>
      <c r="V812" s="34"/>
      <c r="W812" s="105"/>
      <c r="X812" s="105"/>
    </row>
    <row r="813" spans="1:24" ht="12.75">
      <c r="A813" s="309"/>
      <c r="B813" s="309"/>
      <c r="C813" s="34"/>
      <c r="D813" s="362"/>
      <c r="E813" s="34"/>
      <c r="F813" s="34"/>
      <c r="G813" s="35"/>
      <c r="H813" s="35"/>
      <c r="I813" s="34"/>
      <c r="J813" s="34"/>
      <c r="K813" s="65"/>
      <c r="L813" s="34"/>
      <c r="M813" s="34"/>
      <c r="N813" s="188"/>
      <c r="O813" s="188"/>
      <c r="P813" s="34"/>
      <c r="Q813" s="34"/>
      <c r="R813" s="304"/>
      <c r="S813" s="34"/>
      <c r="T813" s="34"/>
      <c r="U813" s="34"/>
      <c r="V813" s="34"/>
      <c r="W813" s="105"/>
      <c r="X813" s="105"/>
    </row>
    <row r="814" spans="1:24" ht="12.75">
      <c r="A814" s="309"/>
      <c r="B814" s="309"/>
      <c r="C814" s="34"/>
      <c r="D814" s="362"/>
      <c r="E814" s="34"/>
      <c r="F814" s="34"/>
      <c r="G814" s="35"/>
      <c r="H814" s="35"/>
      <c r="I814" s="34"/>
      <c r="J814" s="34"/>
      <c r="K814" s="65"/>
      <c r="L814" s="34"/>
      <c r="M814" s="34"/>
      <c r="N814" s="188"/>
      <c r="O814" s="188"/>
      <c r="P814" s="34"/>
      <c r="Q814" s="34"/>
      <c r="R814" s="304"/>
      <c r="S814" s="34"/>
      <c r="T814" s="34"/>
      <c r="U814" s="34"/>
      <c r="V814" s="34"/>
      <c r="W814" s="105"/>
      <c r="X814" s="105"/>
    </row>
    <row r="815" spans="1:24" ht="12.75">
      <c r="A815" s="309"/>
      <c r="B815" s="309"/>
      <c r="C815" s="34"/>
      <c r="D815" s="362"/>
      <c r="E815" s="34"/>
      <c r="F815" s="34"/>
      <c r="G815" s="35"/>
      <c r="H815" s="35"/>
      <c r="I815" s="34"/>
      <c r="J815" s="34"/>
      <c r="K815" s="65"/>
      <c r="L815" s="34"/>
      <c r="M815" s="34"/>
      <c r="N815" s="188"/>
      <c r="O815" s="188"/>
      <c r="P815" s="34"/>
      <c r="Q815" s="34"/>
      <c r="R815" s="304"/>
      <c r="S815" s="34"/>
      <c r="T815" s="34"/>
      <c r="U815" s="34"/>
      <c r="V815" s="34"/>
      <c r="W815" s="105"/>
      <c r="X815" s="105"/>
    </row>
    <row r="816" spans="1:24" ht="12.75">
      <c r="A816" s="309"/>
      <c r="B816" s="309"/>
      <c r="C816" s="34"/>
      <c r="D816" s="362"/>
      <c r="E816" s="34"/>
      <c r="F816" s="34"/>
      <c r="G816" s="35"/>
      <c r="H816" s="35"/>
      <c r="I816" s="34"/>
      <c r="J816" s="34"/>
      <c r="K816" s="65"/>
      <c r="L816" s="34"/>
      <c r="M816" s="34"/>
      <c r="N816" s="188"/>
      <c r="O816" s="188"/>
      <c r="P816" s="34"/>
      <c r="Q816" s="34"/>
      <c r="R816" s="304"/>
      <c r="S816" s="34"/>
      <c r="T816" s="34"/>
      <c r="U816" s="34"/>
      <c r="V816" s="34"/>
      <c r="W816" s="105"/>
      <c r="X816" s="105"/>
    </row>
    <row r="817" spans="1:24" ht="12.75">
      <c r="A817" s="309"/>
      <c r="B817" s="309"/>
      <c r="C817" s="34"/>
      <c r="D817" s="362"/>
      <c r="E817" s="34"/>
      <c r="F817" s="34"/>
      <c r="G817" s="35"/>
      <c r="H817" s="35"/>
      <c r="I817" s="34"/>
      <c r="J817" s="34"/>
      <c r="K817" s="65"/>
      <c r="L817" s="34"/>
      <c r="M817" s="34"/>
      <c r="N817" s="188"/>
      <c r="O817" s="188"/>
      <c r="P817" s="34"/>
      <c r="Q817" s="34"/>
      <c r="R817" s="304"/>
      <c r="S817" s="34"/>
      <c r="T817" s="34"/>
      <c r="U817" s="34"/>
      <c r="V817" s="34"/>
      <c r="W817" s="105"/>
      <c r="X817" s="105"/>
    </row>
    <row r="818" spans="1:24" ht="12.75">
      <c r="A818" s="309"/>
      <c r="B818" s="309"/>
      <c r="C818" s="34"/>
      <c r="D818" s="362"/>
      <c r="E818" s="34"/>
      <c r="F818" s="34"/>
      <c r="G818" s="35"/>
      <c r="H818" s="35"/>
      <c r="I818" s="34"/>
      <c r="J818" s="34"/>
      <c r="K818" s="65"/>
      <c r="L818" s="34"/>
      <c r="M818" s="34"/>
      <c r="N818" s="188"/>
      <c r="O818" s="188"/>
      <c r="P818" s="34"/>
      <c r="Q818" s="34"/>
      <c r="R818" s="304"/>
      <c r="S818" s="34"/>
      <c r="T818" s="34"/>
      <c r="U818" s="34"/>
      <c r="V818" s="34"/>
      <c r="W818" s="105"/>
      <c r="X818" s="105"/>
    </row>
    <row r="819" spans="1:24" ht="12.75">
      <c r="A819" s="309"/>
      <c r="B819" s="309"/>
      <c r="C819" s="34"/>
      <c r="D819" s="362"/>
      <c r="E819" s="34"/>
      <c r="F819" s="34"/>
      <c r="G819" s="35"/>
      <c r="H819" s="35"/>
      <c r="I819" s="34"/>
      <c r="J819" s="34"/>
      <c r="K819" s="65"/>
      <c r="L819" s="34"/>
      <c r="M819" s="34"/>
      <c r="N819" s="188"/>
      <c r="O819" s="188"/>
      <c r="P819" s="34"/>
      <c r="Q819" s="34"/>
      <c r="R819" s="304"/>
      <c r="S819" s="34"/>
      <c r="T819" s="34"/>
      <c r="U819" s="34"/>
      <c r="V819" s="34"/>
      <c r="W819" s="105"/>
      <c r="X819" s="105"/>
    </row>
    <row r="820" spans="1:24" ht="12.75">
      <c r="A820" s="309"/>
      <c r="B820" s="309"/>
      <c r="C820" s="34"/>
      <c r="D820" s="362"/>
      <c r="E820" s="34"/>
      <c r="F820" s="34"/>
      <c r="G820" s="35"/>
      <c r="H820" s="35"/>
      <c r="I820" s="34"/>
      <c r="J820" s="34"/>
      <c r="K820" s="65"/>
      <c r="L820" s="34"/>
      <c r="M820" s="34"/>
      <c r="N820" s="188"/>
      <c r="O820" s="188"/>
      <c r="P820" s="34"/>
      <c r="Q820" s="34"/>
      <c r="R820" s="304"/>
      <c r="S820" s="34"/>
      <c r="T820" s="34"/>
      <c r="U820" s="34"/>
      <c r="V820" s="34"/>
      <c r="W820" s="105"/>
      <c r="X820" s="105"/>
    </row>
    <row r="821" spans="1:24" ht="12.75">
      <c r="A821" s="309"/>
      <c r="B821" s="309"/>
      <c r="C821" s="34"/>
      <c r="D821" s="362"/>
      <c r="E821" s="34"/>
      <c r="F821" s="34"/>
      <c r="G821" s="35"/>
      <c r="H821" s="35"/>
      <c r="I821" s="34"/>
      <c r="J821" s="34"/>
      <c r="K821" s="65"/>
      <c r="L821" s="34"/>
      <c r="M821" s="34"/>
      <c r="N821" s="188"/>
      <c r="O821" s="188"/>
      <c r="P821" s="34"/>
      <c r="Q821" s="34"/>
      <c r="R821" s="304"/>
      <c r="S821" s="34"/>
      <c r="T821" s="34"/>
      <c r="U821" s="34"/>
      <c r="V821" s="34"/>
      <c r="W821" s="105"/>
      <c r="X821" s="105"/>
    </row>
    <row r="822" spans="1:24" ht="12.75">
      <c r="A822" s="309"/>
      <c r="B822" s="309"/>
      <c r="C822" s="34"/>
      <c r="D822" s="362"/>
      <c r="E822" s="34"/>
      <c r="F822" s="34"/>
      <c r="G822" s="35"/>
      <c r="H822" s="35"/>
      <c r="I822" s="34"/>
      <c r="J822" s="34"/>
      <c r="K822" s="65"/>
      <c r="L822" s="34"/>
      <c r="M822" s="34"/>
      <c r="N822" s="188"/>
      <c r="O822" s="188"/>
      <c r="P822" s="34"/>
      <c r="Q822" s="34"/>
      <c r="R822" s="304"/>
      <c r="S822" s="34"/>
      <c r="T822" s="34"/>
      <c r="U822" s="34"/>
      <c r="V822" s="34"/>
      <c r="W822" s="105"/>
      <c r="X822" s="105"/>
    </row>
    <row r="823" spans="1:24" ht="12.75">
      <c r="A823" s="309"/>
      <c r="B823" s="309"/>
      <c r="C823" s="34"/>
      <c r="D823" s="362"/>
      <c r="E823" s="34"/>
      <c r="F823" s="34"/>
      <c r="G823" s="35"/>
      <c r="H823" s="35"/>
      <c r="I823" s="34"/>
      <c r="J823" s="34"/>
      <c r="K823" s="65"/>
      <c r="L823" s="34"/>
      <c r="M823" s="34"/>
      <c r="N823" s="188"/>
      <c r="O823" s="188"/>
      <c r="P823" s="34"/>
      <c r="Q823" s="34"/>
      <c r="R823" s="304"/>
      <c r="S823" s="34"/>
      <c r="T823" s="34"/>
      <c r="U823" s="34"/>
      <c r="V823" s="34"/>
      <c r="W823" s="105"/>
      <c r="X823" s="105"/>
    </row>
    <row r="824" spans="1:24" ht="12.75">
      <c r="A824" s="309"/>
      <c r="B824" s="309"/>
      <c r="C824" s="34"/>
      <c r="D824" s="362"/>
      <c r="E824" s="34"/>
      <c r="F824" s="34"/>
      <c r="G824" s="35"/>
      <c r="H824" s="35"/>
      <c r="I824" s="34"/>
      <c r="J824" s="34"/>
      <c r="K824" s="65"/>
      <c r="L824" s="34"/>
      <c r="M824" s="34"/>
      <c r="N824" s="188"/>
      <c r="O824" s="188"/>
      <c r="P824" s="34"/>
      <c r="Q824" s="34"/>
      <c r="R824" s="304"/>
      <c r="S824" s="34"/>
      <c r="T824" s="34"/>
      <c r="U824" s="34"/>
      <c r="V824" s="34"/>
      <c r="W824" s="105"/>
      <c r="X824" s="105"/>
    </row>
    <row r="825" spans="1:24" ht="12.75">
      <c r="A825" s="309"/>
      <c r="B825" s="309"/>
      <c r="C825" s="34"/>
      <c r="D825" s="362"/>
      <c r="E825" s="34"/>
      <c r="F825" s="34"/>
      <c r="G825" s="35"/>
      <c r="H825" s="35"/>
      <c r="I825" s="34"/>
      <c r="J825" s="34"/>
      <c r="K825" s="65"/>
      <c r="L825" s="34"/>
      <c r="M825" s="34"/>
      <c r="N825" s="188"/>
      <c r="O825" s="188"/>
      <c r="P825" s="34"/>
      <c r="Q825" s="34"/>
      <c r="R825" s="304"/>
      <c r="S825" s="34"/>
      <c r="T825" s="34"/>
      <c r="U825" s="34"/>
      <c r="V825" s="34"/>
      <c r="W825" s="105"/>
      <c r="X825" s="105"/>
    </row>
    <row r="826" spans="1:24" ht="12.75">
      <c r="A826" s="309"/>
      <c r="B826" s="309"/>
      <c r="C826" s="34"/>
      <c r="D826" s="362"/>
      <c r="E826" s="34"/>
      <c r="F826" s="34"/>
      <c r="G826" s="35"/>
      <c r="H826" s="35"/>
      <c r="I826" s="34"/>
      <c r="J826" s="34"/>
      <c r="K826" s="65"/>
      <c r="L826" s="34"/>
      <c r="M826" s="34"/>
      <c r="N826" s="188"/>
      <c r="O826" s="188"/>
      <c r="P826" s="34"/>
      <c r="Q826" s="34"/>
      <c r="R826" s="304"/>
      <c r="S826" s="34"/>
      <c r="T826" s="34"/>
      <c r="U826" s="34"/>
      <c r="V826" s="34"/>
      <c r="W826" s="105"/>
      <c r="X826" s="105"/>
    </row>
    <row r="827" spans="1:24" ht="12.75">
      <c r="A827" s="309"/>
      <c r="B827" s="309"/>
      <c r="C827" s="34"/>
      <c r="D827" s="362"/>
      <c r="E827" s="34"/>
      <c r="F827" s="34"/>
      <c r="G827" s="35"/>
      <c r="H827" s="35"/>
      <c r="I827" s="34"/>
      <c r="J827" s="34"/>
      <c r="K827" s="65"/>
      <c r="L827" s="34"/>
      <c r="M827" s="34"/>
      <c r="N827" s="188"/>
      <c r="O827" s="188"/>
      <c r="P827" s="34"/>
      <c r="Q827" s="34"/>
      <c r="R827" s="304"/>
      <c r="S827" s="34"/>
      <c r="T827" s="34"/>
      <c r="U827" s="34"/>
      <c r="V827" s="34"/>
      <c r="W827" s="105"/>
      <c r="X827" s="105"/>
    </row>
    <row r="828" spans="1:24" ht="12.75">
      <c r="A828" s="309"/>
      <c r="B828" s="309"/>
      <c r="C828" s="34"/>
      <c r="D828" s="362"/>
      <c r="E828" s="34"/>
      <c r="F828" s="34"/>
      <c r="G828" s="35"/>
      <c r="H828" s="35"/>
      <c r="I828" s="34"/>
      <c r="J828" s="34"/>
      <c r="K828" s="65"/>
      <c r="L828" s="34"/>
      <c r="M828" s="34"/>
      <c r="N828" s="188"/>
      <c r="O828" s="188"/>
      <c r="P828" s="34"/>
      <c r="Q828" s="34"/>
      <c r="R828" s="304"/>
      <c r="S828" s="34"/>
      <c r="T828" s="34"/>
      <c r="U828" s="34"/>
      <c r="V828" s="34"/>
      <c r="W828" s="105"/>
      <c r="X828" s="105"/>
    </row>
    <row r="829" spans="1:24" ht="12.75">
      <c r="A829" s="309"/>
      <c r="B829" s="309"/>
      <c r="C829" s="34"/>
      <c r="D829" s="362"/>
      <c r="E829" s="34"/>
      <c r="F829" s="34"/>
      <c r="G829" s="35"/>
      <c r="H829" s="35"/>
      <c r="I829" s="34"/>
      <c r="J829" s="34"/>
      <c r="K829" s="65"/>
      <c r="L829" s="34"/>
      <c r="M829" s="34"/>
      <c r="N829" s="188"/>
      <c r="O829" s="188"/>
      <c r="P829" s="34"/>
      <c r="Q829" s="34"/>
      <c r="R829" s="304"/>
      <c r="S829" s="34"/>
      <c r="T829" s="34"/>
      <c r="U829" s="34"/>
      <c r="V829" s="34"/>
      <c r="W829" s="105"/>
      <c r="X829" s="105"/>
    </row>
    <row r="830" spans="1:24" ht="12.75">
      <c r="A830" s="309"/>
      <c r="B830" s="309"/>
      <c r="C830" s="34"/>
      <c r="D830" s="362"/>
      <c r="E830" s="34"/>
      <c r="F830" s="34"/>
      <c r="G830" s="35"/>
      <c r="H830" s="35"/>
      <c r="I830" s="34"/>
      <c r="J830" s="34"/>
      <c r="K830" s="65"/>
      <c r="L830" s="34"/>
      <c r="M830" s="34"/>
      <c r="N830" s="188"/>
      <c r="O830" s="188"/>
      <c r="P830" s="34"/>
      <c r="Q830" s="34"/>
      <c r="R830" s="304"/>
      <c r="S830" s="34"/>
      <c r="T830" s="34"/>
      <c r="U830" s="34"/>
      <c r="V830" s="34"/>
      <c r="W830" s="105"/>
      <c r="X830" s="105"/>
    </row>
    <row r="831" spans="1:24" ht="12.75">
      <c r="A831" s="309"/>
      <c r="B831" s="309"/>
      <c r="C831" s="34"/>
      <c r="D831" s="362"/>
      <c r="E831" s="34"/>
      <c r="F831" s="34"/>
      <c r="G831" s="35"/>
      <c r="H831" s="35"/>
      <c r="I831" s="34"/>
      <c r="J831" s="34"/>
      <c r="K831" s="65"/>
      <c r="L831" s="34"/>
      <c r="M831" s="34"/>
      <c r="N831" s="188"/>
      <c r="O831" s="188"/>
      <c r="P831" s="34"/>
      <c r="Q831" s="34"/>
      <c r="R831" s="304"/>
      <c r="S831" s="34"/>
      <c r="T831" s="34"/>
      <c r="U831" s="34"/>
      <c r="V831" s="34"/>
      <c r="W831" s="105"/>
      <c r="X831" s="105"/>
    </row>
    <row r="832" spans="1:24" ht="12.75">
      <c r="A832" s="309"/>
      <c r="B832" s="309"/>
      <c r="C832" s="34"/>
      <c r="D832" s="362"/>
      <c r="E832" s="34"/>
      <c r="F832" s="34"/>
      <c r="G832" s="35"/>
      <c r="H832" s="35"/>
      <c r="I832" s="34"/>
      <c r="J832" s="34"/>
      <c r="K832" s="65"/>
      <c r="L832" s="34"/>
      <c r="M832" s="34"/>
      <c r="N832" s="188"/>
      <c r="O832" s="188"/>
      <c r="P832" s="34"/>
      <c r="Q832" s="34"/>
      <c r="R832" s="304"/>
      <c r="S832" s="34"/>
      <c r="T832" s="34"/>
      <c r="U832" s="34"/>
      <c r="V832" s="34"/>
      <c r="W832" s="105"/>
      <c r="X832" s="105"/>
    </row>
    <row r="833" spans="1:24" ht="12.75">
      <c r="A833" s="309"/>
      <c r="B833" s="309"/>
      <c r="C833" s="34"/>
      <c r="D833" s="362"/>
      <c r="E833" s="34"/>
      <c r="F833" s="34"/>
      <c r="G833" s="35"/>
      <c r="H833" s="35"/>
      <c r="I833" s="34"/>
      <c r="J833" s="34"/>
      <c r="K833" s="65"/>
      <c r="L833" s="34"/>
      <c r="M833" s="34"/>
      <c r="N833" s="188"/>
      <c r="O833" s="188"/>
      <c r="P833" s="34"/>
      <c r="Q833" s="34"/>
      <c r="R833" s="304"/>
      <c r="S833" s="34"/>
      <c r="T833" s="34"/>
      <c r="U833" s="34"/>
      <c r="V833" s="34"/>
      <c r="W833" s="105"/>
      <c r="X833" s="105"/>
    </row>
    <row r="834" spans="1:24" ht="12.75">
      <c r="A834" s="309"/>
      <c r="B834" s="309"/>
      <c r="C834" s="34"/>
      <c r="D834" s="362"/>
      <c r="E834" s="34"/>
      <c r="F834" s="34"/>
      <c r="G834" s="35"/>
      <c r="H834" s="35"/>
      <c r="I834" s="34"/>
      <c r="J834" s="34"/>
      <c r="K834" s="65"/>
      <c r="L834" s="34"/>
      <c r="M834" s="34"/>
      <c r="N834" s="188"/>
      <c r="O834" s="188"/>
      <c r="P834" s="34"/>
      <c r="Q834" s="34"/>
      <c r="R834" s="304"/>
      <c r="S834" s="34"/>
      <c r="T834" s="34"/>
      <c r="U834" s="34"/>
      <c r="V834" s="34"/>
      <c r="W834" s="105"/>
      <c r="X834" s="105"/>
    </row>
    <row r="835" spans="1:24" ht="12.75">
      <c r="A835" s="309"/>
      <c r="B835" s="309"/>
      <c r="C835" s="34"/>
      <c r="D835" s="362"/>
      <c r="E835" s="34"/>
      <c r="F835" s="34"/>
      <c r="G835" s="35"/>
      <c r="H835" s="35"/>
      <c r="I835" s="34"/>
      <c r="J835" s="34"/>
      <c r="K835" s="65"/>
      <c r="L835" s="34"/>
      <c r="M835" s="34"/>
      <c r="N835" s="188"/>
      <c r="O835" s="188"/>
      <c r="P835" s="34"/>
      <c r="Q835" s="34"/>
      <c r="R835" s="304"/>
      <c r="S835" s="34"/>
      <c r="T835" s="34"/>
      <c r="U835" s="34"/>
      <c r="V835" s="34"/>
      <c r="W835" s="105"/>
      <c r="X835" s="105"/>
    </row>
    <row r="836" spans="1:24" ht="12.75">
      <c r="A836" s="309"/>
      <c r="B836" s="309"/>
      <c r="C836" s="34"/>
      <c r="D836" s="362"/>
      <c r="E836" s="34"/>
      <c r="F836" s="34"/>
      <c r="G836" s="35"/>
      <c r="H836" s="35"/>
      <c r="I836" s="34"/>
      <c r="J836" s="34"/>
      <c r="K836" s="65"/>
      <c r="L836" s="34"/>
      <c r="M836" s="34"/>
      <c r="N836" s="188"/>
      <c r="O836" s="188"/>
      <c r="P836" s="34"/>
      <c r="Q836" s="34"/>
      <c r="R836" s="304"/>
      <c r="S836" s="34"/>
      <c r="T836" s="34"/>
      <c r="U836" s="34"/>
      <c r="V836" s="34"/>
      <c r="W836" s="105"/>
      <c r="X836" s="105"/>
    </row>
    <row r="837" spans="1:24" ht="12.75">
      <c r="A837" s="309"/>
      <c r="B837" s="309"/>
      <c r="C837" s="34"/>
      <c r="D837" s="362"/>
      <c r="E837" s="34"/>
      <c r="F837" s="34"/>
      <c r="G837" s="35"/>
      <c r="H837" s="35"/>
      <c r="I837" s="34"/>
      <c r="J837" s="34"/>
      <c r="K837" s="65"/>
      <c r="L837" s="34"/>
      <c r="M837" s="34"/>
      <c r="N837" s="188"/>
      <c r="O837" s="188"/>
      <c r="P837" s="34"/>
      <c r="Q837" s="34"/>
      <c r="R837" s="304"/>
      <c r="S837" s="34"/>
      <c r="T837" s="34"/>
      <c r="U837" s="34"/>
      <c r="V837" s="34"/>
      <c r="W837" s="105"/>
      <c r="X837" s="105"/>
    </row>
    <row r="838" spans="1:24" ht="12.75">
      <c r="A838" s="309"/>
      <c r="B838" s="309"/>
      <c r="C838" s="34"/>
      <c r="D838" s="362"/>
      <c r="E838" s="34"/>
      <c r="F838" s="34"/>
      <c r="G838" s="35"/>
      <c r="H838" s="35"/>
      <c r="I838" s="34"/>
      <c r="J838" s="34"/>
      <c r="K838" s="65"/>
      <c r="L838" s="34"/>
      <c r="M838" s="34"/>
      <c r="N838" s="188"/>
      <c r="O838" s="188"/>
      <c r="P838" s="34"/>
      <c r="Q838" s="34"/>
      <c r="R838" s="304"/>
      <c r="S838" s="34"/>
      <c r="T838" s="34"/>
      <c r="U838" s="34"/>
      <c r="V838" s="34"/>
      <c r="W838" s="105"/>
      <c r="X838" s="105"/>
    </row>
    <row r="839" spans="1:24" ht="12.75">
      <c r="A839" s="309"/>
      <c r="B839" s="309"/>
      <c r="C839" s="34"/>
      <c r="D839" s="362"/>
      <c r="E839" s="34"/>
      <c r="F839" s="34"/>
      <c r="G839" s="35"/>
      <c r="H839" s="35"/>
      <c r="I839" s="34"/>
      <c r="J839" s="34"/>
      <c r="K839" s="65"/>
      <c r="L839" s="34"/>
      <c r="M839" s="34"/>
      <c r="N839" s="188"/>
      <c r="O839" s="188"/>
      <c r="P839" s="34"/>
      <c r="Q839" s="34"/>
      <c r="R839" s="304"/>
      <c r="S839" s="34"/>
      <c r="T839" s="34"/>
      <c r="U839" s="34"/>
      <c r="V839" s="34"/>
      <c r="W839" s="105"/>
      <c r="X839" s="105"/>
    </row>
    <row r="840" spans="1:24" ht="12.75">
      <c r="A840" s="309"/>
      <c r="B840" s="309"/>
      <c r="C840" s="34"/>
      <c r="D840" s="362"/>
      <c r="E840" s="34"/>
      <c r="F840" s="34"/>
      <c r="G840" s="35"/>
      <c r="H840" s="35"/>
      <c r="I840" s="34"/>
      <c r="J840" s="34"/>
      <c r="K840" s="65"/>
      <c r="L840" s="34"/>
      <c r="M840" s="34"/>
      <c r="N840" s="188"/>
      <c r="O840" s="188"/>
      <c r="P840" s="34"/>
      <c r="Q840" s="34"/>
      <c r="R840" s="304"/>
      <c r="S840" s="34"/>
      <c r="T840" s="34"/>
      <c r="U840" s="34"/>
      <c r="V840" s="34"/>
      <c r="W840" s="105"/>
      <c r="X840" s="105"/>
    </row>
    <row r="841" spans="1:24" ht="12.75">
      <c r="A841" s="309"/>
      <c r="B841" s="309"/>
      <c r="C841" s="34"/>
      <c r="D841" s="362"/>
      <c r="E841" s="34"/>
      <c r="F841" s="34"/>
      <c r="G841" s="35"/>
      <c r="H841" s="35"/>
      <c r="I841" s="34"/>
      <c r="J841" s="34"/>
      <c r="K841" s="65"/>
      <c r="L841" s="34"/>
      <c r="M841" s="34"/>
      <c r="N841" s="188"/>
      <c r="O841" s="188"/>
      <c r="P841" s="34"/>
      <c r="Q841" s="34"/>
      <c r="R841" s="304"/>
      <c r="S841" s="34"/>
      <c r="T841" s="34"/>
      <c r="U841" s="34"/>
      <c r="V841" s="34"/>
      <c r="W841" s="105"/>
      <c r="X841" s="105"/>
    </row>
    <row r="842" spans="1:24" ht="12.75">
      <c r="A842" s="309"/>
      <c r="B842" s="309"/>
      <c r="C842" s="34"/>
      <c r="D842" s="362"/>
      <c r="E842" s="34"/>
      <c r="F842" s="34"/>
      <c r="G842" s="35"/>
      <c r="H842" s="35"/>
      <c r="I842" s="34"/>
      <c r="J842" s="34"/>
      <c r="K842" s="65"/>
      <c r="L842" s="34"/>
      <c r="M842" s="34"/>
      <c r="N842" s="188"/>
      <c r="O842" s="188"/>
      <c r="P842" s="34"/>
      <c r="Q842" s="34"/>
      <c r="R842" s="304"/>
      <c r="S842" s="34"/>
      <c r="T842" s="34"/>
      <c r="U842" s="34"/>
      <c r="V842" s="34"/>
      <c r="W842" s="105"/>
      <c r="X842" s="105"/>
    </row>
    <row r="843" spans="1:24" ht="12.75">
      <c r="A843" s="309"/>
      <c r="B843" s="309"/>
      <c r="C843" s="34"/>
      <c r="D843" s="362"/>
      <c r="E843" s="34"/>
      <c r="F843" s="34"/>
      <c r="G843" s="35"/>
      <c r="H843" s="35"/>
      <c r="I843" s="34"/>
      <c r="J843" s="34"/>
      <c r="K843" s="65"/>
      <c r="L843" s="34"/>
      <c r="M843" s="34"/>
      <c r="N843" s="188"/>
      <c r="O843" s="188"/>
      <c r="P843" s="34"/>
      <c r="Q843" s="34"/>
      <c r="R843" s="304"/>
      <c r="S843" s="34"/>
      <c r="T843" s="34"/>
      <c r="U843" s="34"/>
      <c r="V843" s="34"/>
      <c r="W843" s="105"/>
      <c r="X843" s="105"/>
    </row>
    <row r="844" spans="1:24" ht="12.75">
      <c r="A844" s="309"/>
      <c r="B844" s="309"/>
      <c r="C844" s="34"/>
      <c r="D844" s="362"/>
      <c r="E844" s="34"/>
      <c r="F844" s="34"/>
      <c r="G844" s="35"/>
      <c r="H844" s="35"/>
      <c r="I844" s="34"/>
      <c r="J844" s="34"/>
      <c r="K844" s="65"/>
      <c r="L844" s="34"/>
      <c r="M844" s="34"/>
      <c r="N844" s="188"/>
      <c r="O844" s="188"/>
      <c r="P844" s="34"/>
      <c r="Q844" s="34"/>
      <c r="R844" s="304"/>
      <c r="S844" s="34"/>
      <c r="T844" s="34"/>
      <c r="U844" s="34"/>
      <c r="V844" s="34"/>
      <c r="W844" s="105"/>
      <c r="X844" s="105"/>
    </row>
    <row r="845" spans="1:24" ht="12.75">
      <c r="A845" s="309"/>
      <c r="B845" s="309"/>
      <c r="C845" s="34"/>
      <c r="D845" s="362"/>
      <c r="E845" s="34"/>
      <c r="F845" s="34"/>
      <c r="G845" s="35"/>
      <c r="H845" s="35"/>
      <c r="I845" s="34"/>
      <c r="J845" s="34"/>
      <c r="K845" s="65"/>
      <c r="L845" s="34"/>
      <c r="M845" s="34"/>
      <c r="N845" s="188"/>
      <c r="O845" s="188"/>
      <c r="P845" s="34"/>
      <c r="Q845" s="34"/>
      <c r="R845" s="304"/>
      <c r="S845" s="34"/>
      <c r="T845" s="34"/>
      <c r="U845" s="34"/>
      <c r="V845" s="34"/>
      <c r="W845" s="105"/>
      <c r="X845" s="105"/>
    </row>
    <row r="846" spans="1:24" ht="12.75">
      <c r="A846" s="309"/>
      <c r="B846" s="309"/>
      <c r="C846" s="34"/>
      <c r="D846" s="362"/>
      <c r="E846" s="34"/>
      <c r="F846" s="34"/>
      <c r="G846" s="35"/>
      <c r="H846" s="35"/>
      <c r="I846" s="34"/>
      <c r="J846" s="34"/>
      <c r="K846" s="65"/>
      <c r="L846" s="34"/>
      <c r="M846" s="34"/>
      <c r="N846" s="188"/>
      <c r="O846" s="188"/>
      <c r="P846" s="34"/>
      <c r="Q846" s="34"/>
      <c r="R846" s="304"/>
      <c r="S846" s="34"/>
      <c r="T846" s="34"/>
      <c r="U846" s="34"/>
      <c r="V846" s="34"/>
      <c r="W846" s="105"/>
      <c r="X846" s="105"/>
    </row>
    <row r="847" spans="1:24" ht="12.75">
      <c r="A847" s="309"/>
      <c r="B847" s="309"/>
      <c r="C847" s="34"/>
      <c r="D847" s="362"/>
      <c r="E847" s="34"/>
      <c r="F847" s="34"/>
      <c r="G847" s="35"/>
      <c r="H847" s="35"/>
      <c r="I847" s="34"/>
      <c r="J847" s="34"/>
      <c r="K847" s="65"/>
      <c r="L847" s="34"/>
      <c r="M847" s="34"/>
      <c r="N847" s="188"/>
      <c r="O847" s="188"/>
      <c r="P847" s="34"/>
      <c r="Q847" s="34"/>
      <c r="R847" s="304"/>
      <c r="S847" s="34"/>
      <c r="T847" s="34"/>
      <c r="U847" s="34"/>
      <c r="V847" s="34"/>
      <c r="W847" s="105"/>
      <c r="X847" s="105"/>
    </row>
    <row r="848" spans="1:24" ht="12.75">
      <c r="A848" s="309"/>
      <c r="B848" s="309"/>
      <c r="C848" s="34"/>
      <c r="D848" s="362"/>
      <c r="E848" s="34"/>
      <c r="F848" s="34"/>
      <c r="G848" s="35"/>
      <c r="H848" s="35"/>
      <c r="I848" s="34"/>
      <c r="J848" s="34"/>
      <c r="K848" s="65"/>
      <c r="L848" s="34"/>
      <c r="M848" s="34"/>
      <c r="N848" s="188"/>
      <c r="O848" s="188"/>
      <c r="P848" s="34"/>
      <c r="Q848" s="34"/>
      <c r="R848" s="304"/>
      <c r="S848" s="34"/>
      <c r="T848" s="34"/>
      <c r="U848" s="34"/>
      <c r="V848" s="34"/>
      <c r="W848" s="105"/>
      <c r="X848" s="105"/>
    </row>
    <row r="849" spans="1:24" ht="12.75">
      <c r="A849" s="309"/>
      <c r="B849" s="309"/>
      <c r="C849" s="34"/>
      <c r="D849" s="362"/>
      <c r="E849" s="34"/>
      <c r="F849" s="34"/>
      <c r="G849" s="35"/>
      <c r="H849" s="35"/>
      <c r="I849" s="34"/>
      <c r="J849" s="34"/>
      <c r="K849" s="65"/>
      <c r="L849" s="34"/>
      <c r="M849" s="34"/>
      <c r="N849" s="188"/>
      <c r="O849" s="188"/>
      <c r="P849" s="34"/>
      <c r="Q849" s="34"/>
      <c r="R849" s="304"/>
      <c r="S849" s="34"/>
      <c r="T849" s="34"/>
      <c r="U849" s="34"/>
      <c r="V849" s="34"/>
      <c r="W849" s="105"/>
      <c r="X849" s="105"/>
    </row>
    <row r="850" spans="1:24" ht="12.75">
      <c r="A850" s="309"/>
      <c r="B850" s="309"/>
      <c r="C850" s="34"/>
      <c r="D850" s="362"/>
      <c r="E850" s="34"/>
      <c r="F850" s="34"/>
      <c r="G850" s="35"/>
      <c r="H850" s="35"/>
      <c r="I850" s="34"/>
      <c r="J850" s="34"/>
      <c r="K850" s="65"/>
      <c r="L850" s="34"/>
      <c r="M850" s="34"/>
      <c r="N850" s="188"/>
      <c r="O850" s="188"/>
      <c r="P850" s="34"/>
      <c r="Q850" s="34"/>
      <c r="R850" s="304"/>
      <c r="S850" s="34"/>
      <c r="T850" s="34"/>
      <c r="U850" s="34"/>
      <c r="V850" s="34"/>
      <c r="W850" s="105"/>
      <c r="X850" s="105"/>
    </row>
    <row r="851" spans="1:24" ht="12.75">
      <c r="A851" s="309"/>
      <c r="B851" s="309"/>
      <c r="C851" s="34"/>
      <c r="D851" s="362"/>
      <c r="E851" s="34"/>
      <c r="F851" s="34"/>
      <c r="G851" s="35"/>
      <c r="H851" s="35"/>
      <c r="I851" s="34"/>
      <c r="J851" s="34"/>
      <c r="K851" s="65"/>
      <c r="L851" s="34"/>
      <c r="M851" s="34"/>
      <c r="N851" s="188"/>
      <c r="O851" s="188"/>
      <c r="P851" s="34"/>
      <c r="Q851" s="34"/>
      <c r="R851" s="304"/>
      <c r="S851" s="34"/>
      <c r="T851" s="34"/>
      <c r="U851" s="34"/>
      <c r="V851" s="34"/>
      <c r="W851" s="105"/>
      <c r="X851" s="105"/>
    </row>
    <row r="852" spans="1:24" ht="12.75">
      <c r="A852" s="309"/>
      <c r="B852" s="309"/>
      <c r="C852" s="34"/>
      <c r="D852" s="362"/>
      <c r="E852" s="34"/>
      <c r="F852" s="34"/>
      <c r="G852" s="35"/>
      <c r="H852" s="35"/>
      <c r="I852" s="34"/>
      <c r="M852" s="34"/>
      <c r="N852" s="188"/>
      <c r="O852" s="188"/>
      <c r="P852" s="34"/>
      <c r="Q852" s="34"/>
      <c r="R852" s="304"/>
      <c r="S852" s="34"/>
      <c r="T852" s="34"/>
      <c r="U852" s="34"/>
      <c r="V852" s="34"/>
      <c r="W852" s="105"/>
      <c r="X852" s="105"/>
    </row>
    <row r="853" spans="1:24" ht="12.75">
      <c r="A853" s="309"/>
      <c r="B853" s="309"/>
      <c r="C853" s="34"/>
      <c r="D853" s="362"/>
      <c r="E853" s="34"/>
      <c r="F853" s="34"/>
      <c r="G853" s="35"/>
      <c r="H853" s="35"/>
      <c r="I853" s="34"/>
      <c r="M853" s="34"/>
      <c r="N853" s="188"/>
      <c r="O853" s="188"/>
      <c r="P853" s="34"/>
      <c r="Q853" s="34"/>
      <c r="R853" s="304"/>
      <c r="S853" s="34"/>
      <c r="T853" s="34"/>
      <c r="U853" s="34"/>
      <c r="V853" s="34"/>
      <c r="W853" s="105"/>
      <c r="X853" s="105"/>
    </row>
    <row r="854" spans="1:24" ht="12.75">
      <c r="A854" s="309"/>
      <c r="B854" s="309"/>
      <c r="C854" s="34"/>
      <c r="D854" s="362"/>
      <c r="E854" s="34"/>
      <c r="F854" s="34"/>
      <c r="G854" s="35"/>
      <c r="H854" s="35"/>
      <c r="I854" s="34"/>
      <c r="M854" s="34"/>
      <c r="N854" s="188"/>
      <c r="O854" s="188"/>
      <c r="P854" s="34"/>
      <c r="Q854" s="34"/>
      <c r="R854" s="304"/>
      <c r="S854" s="34"/>
      <c r="T854" s="34"/>
      <c r="U854" s="34"/>
      <c r="V854" s="34"/>
      <c r="W854" s="105"/>
      <c r="X854" s="105"/>
    </row>
    <row r="855" spans="1:24" ht="12.75">
      <c r="A855" s="309"/>
      <c r="B855" s="309"/>
      <c r="C855" s="34"/>
      <c r="D855" s="362"/>
      <c r="E855" s="34"/>
      <c r="F855" s="34"/>
      <c r="G855" s="35"/>
      <c r="H855" s="35"/>
      <c r="I855" s="34"/>
      <c r="M855" s="34"/>
      <c r="N855" s="188"/>
      <c r="O855" s="188"/>
      <c r="P855" s="34"/>
      <c r="Q855" s="34"/>
      <c r="R855" s="304"/>
      <c r="S855" s="34"/>
      <c r="T855" s="34"/>
      <c r="U855" s="34"/>
      <c r="V855" s="34"/>
      <c r="W855" s="105"/>
      <c r="X855" s="105"/>
    </row>
    <row r="856" spans="1:24" ht="12.75">
      <c r="A856" s="309"/>
      <c r="B856" s="309"/>
      <c r="C856" s="34"/>
      <c r="D856" s="362"/>
      <c r="E856" s="34"/>
      <c r="F856" s="34"/>
      <c r="G856" s="35"/>
      <c r="H856" s="35"/>
      <c r="I856" s="34"/>
      <c r="M856" s="34"/>
      <c r="N856" s="188"/>
      <c r="O856" s="188"/>
      <c r="P856" s="34"/>
      <c r="Q856" s="34"/>
      <c r="R856" s="304"/>
      <c r="S856" s="34"/>
      <c r="T856" s="34"/>
      <c r="U856" s="34"/>
      <c r="V856" s="34"/>
      <c r="W856" s="105"/>
      <c r="X856" s="105"/>
    </row>
    <row r="857" spans="1:24" ht="12.75">
      <c r="A857" s="309"/>
      <c r="B857" s="309"/>
      <c r="C857" s="34"/>
      <c r="D857" s="362"/>
      <c r="E857" s="34"/>
      <c r="F857" s="34"/>
      <c r="G857" s="35"/>
      <c r="H857" s="35"/>
      <c r="I857" s="34"/>
      <c r="M857" s="34"/>
      <c r="N857" s="188"/>
      <c r="O857" s="188"/>
      <c r="P857" s="34"/>
      <c r="Q857" s="34"/>
      <c r="R857" s="304"/>
      <c r="S857" s="34"/>
      <c r="T857" s="34"/>
      <c r="U857" s="34"/>
      <c r="V857" s="34"/>
      <c r="W857" s="105"/>
      <c r="X857" s="105"/>
    </row>
    <row r="858" spans="1:24" ht="12.75">
      <c r="A858" s="309"/>
      <c r="B858" s="309"/>
      <c r="C858" s="34"/>
      <c r="D858" s="362"/>
      <c r="E858" s="34"/>
      <c r="F858" s="34"/>
      <c r="G858" s="35"/>
      <c r="H858" s="35"/>
      <c r="I858" s="34"/>
      <c r="M858" s="34"/>
      <c r="N858" s="188"/>
      <c r="O858" s="188"/>
      <c r="P858" s="34"/>
      <c r="Q858" s="34"/>
      <c r="R858" s="304"/>
      <c r="S858" s="34"/>
      <c r="T858" s="34"/>
      <c r="U858" s="34"/>
      <c r="V858" s="34"/>
      <c r="W858" s="105"/>
      <c r="X858" s="105"/>
    </row>
    <row r="859" spans="1:24" ht="12.75">
      <c r="A859" s="309"/>
      <c r="B859" s="309"/>
      <c r="C859" s="34"/>
      <c r="D859" s="362"/>
      <c r="E859" s="34"/>
      <c r="F859" s="34"/>
      <c r="G859" s="35"/>
      <c r="H859" s="35"/>
      <c r="I859" s="34"/>
      <c r="M859" s="34"/>
      <c r="N859" s="188"/>
      <c r="O859" s="188"/>
      <c r="P859" s="34"/>
      <c r="Q859" s="34"/>
      <c r="R859" s="304"/>
      <c r="S859" s="34"/>
      <c r="T859" s="34"/>
      <c r="U859" s="34"/>
      <c r="V859" s="34"/>
      <c r="W859" s="105"/>
      <c r="X859" s="105"/>
    </row>
    <row r="860" spans="1:24" ht="12.75">
      <c r="A860" s="309"/>
      <c r="B860" s="309"/>
      <c r="C860" s="34"/>
      <c r="D860" s="362"/>
      <c r="E860" s="34"/>
      <c r="F860" s="34"/>
      <c r="G860" s="35"/>
      <c r="H860" s="35"/>
      <c r="I860" s="34"/>
      <c r="M860" s="34"/>
      <c r="N860" s="188"/>
      <c r="O860" s="188"/>
      <c r="P860" s="34"/>
      <c r="Q860" s="34"/>
      <c r="R860" s="304"/>
      <c r="S860" s="34"/>
      <c r="T860" s="34"/>
      <c r="U860" s="34"/>
      <c r="V860" s="34"/>
      <c r="W860" s="105"/>
      <c r="X860" s="105"/>
    </row>
    <row r="861" spans="1:24" ht="12.75">
      <c r="A861" s="309"/>
      <c r="B861" s="309"/>
      <c r="C861" s="34"/>
      <c r="D861" s="362"/>
      <c r="E861" s="34"/>
      <c r="F861" s="34"/>
      <c r="G861" s="35"/>
      <c r="H861" s="35"/>
      <c r="I861" s="34"/>
      <c r="M861" s="34"/>
      <c r="N861" s="188"/>
      <c r="O861" s="188"/>
      <c r="P861" s="34"/>
      <c r="Q861" s="34"/>
      <c r="R861" s="304"/>
      <c r="S861" s="34"/>
      <c r="T861" s="34"/>
      <c r="U861" s="34"/>
      <c r="V861" s="34"/>
      <c r="W861" s="105"/>
      <c r="X861" s="105"/>
    </row>
    <row r="862" spans="1:24" ht="12.75">
      <c r="A862" s="309"/>
      <c r="B862" s="309"/>
      <c r="C862" s="34"/>
      <c r="D862" s="362"/>
      <c r="E862" s="34"/>
      <c r="F862" s="34"/>
      <c r="G862" s="35"/>
      <c r="H862" s="35"/>
      <c r="I862" s="34"/>
      <c r="M862" s="34"/>
      <c r="N862" s="188"/>
      <c r="O862" s="188"/>
      <c r="P862" s="34"/>
      <c r="Q862" s="34"/>
      <c r="R862" s="304"/>
      <c r="S862" s="34"/>
      <c r="T862" s="34"/>
      <c r="U862" s="34"/>
      <c r="V862" s="34"/>
      <c r="W862" s="105"/>
      <c r="X862" s="105"/>
    </row>
    <row r="863" spans="1:24" ht="12.75">
      <c r="A863" s="309"/>
      <c r="B863" s="309"/>
      <c r="C863" s="34"/>
      <c r="D863" s="362"/>
      <c r="E863" s="34"/>
      <c r="F863" s="34"/>
      <c r="G863" s="35"/>
      <c r="H863" s="35"/>
      <c r="I863" s="34"/>
      <c r="M863" s="34"/>
      <c r="N863" s="188"/>
      <c r="O863" s="188"/>
      <c r="P863" s="34"/>
      <c r="Q863" s="34"/>
      <c r="R863" s="304"/>
      <c r="S863" s="34"/>
      <c r="T863" s="34"/>
      <c r="U863" s="34"/>
      <c r="V863" s="34"/>
      <c r="W863" s="105"/>
      <c r="X863" s="105"/>
    </row>
    <row r="864" spans="1:24" ht="12.75">
      <c r="A864" s="309"/>
      <c r="B864" s="309"/>
      <c r="C864" s="34"/>
      <c r="D864" s="362"/>
      <c r="E864" s="34"/>
      <c r="F864" s="34"/>
      <c r="G864" s="35"/>
      <c r="H864" s="35"/>
      <c r="I864" s="34"/>
      <c r="M864" s="34"/>
      <c r="N864" s="188"/>
      <c r="O864" s="188"/>
      <c r="P864" s="34"/>
      <c r="Q864" s="34"/>
      <c r="R864" s="304"/>
      <c r="S864" s="34"/>
      <c r="T864" s="34"/>
      <c r="U864" s="34"/>
      <c r="V864" s="34"/>
      <c r="W864" s="105"/>
      <c r="X864" s="105"/>
    </row>
    <row r="865" spans="1:24" ht="12.75">
      <c r="A865" s="309"/>
      <c r="B865" s="309"/>
      <c r="C865" s="34"/>
      <c r="D865" s="362"/>
      <c r="E865" s="34"/>
      <c r="F865" s="34"/>
      <c r="G865" s="35"/>
      <c r="H865" s="35"/>
      <c r="I865" s="34"/>
      <c r="M865" s="34"/>
      <c r="N865" s="188"/>
      <c r="O865" s="188"/>
      <c r="P865" s="34"/>
      <c r="Q865" s="34"/>
      <c r="R865" s="304"/>
      <c r="S865" s="34"/>
      <c r="T865" s="34"/>
      <c r="U865" s="34"/>
      <c r="V865" s="34"/>
      <c r="W865" s="105"/>
      <c r="X865" s="105"/>
    </row>
    <row r="866" spans="1:24" ht="12.75">
      <c r="A866" s="309"/>
      <c r="B866" s="309"/>
      <c r="C866" s="34"/>
      <c r="D866" s="362"/>
      <c r="E866" s="34"/>
      <c r="F866" s="34"/>
      <c r="G866" s="35"/>
      <c r="H866" s="35"/>
      <c r="I866" s="34"/>
      <c r="M866" s="34"/>
      <c r="N866" s="188"/>
      <c r="O866" s="188"/>
      <c r="P866" s="34"/>
      <c r="Q866" s="34"/>
      <c r="R866" s="304"/>
      <c r="S866" s="34"/>
      <c r="T866" s="34"/>
      <c r="U866" s="34"/>
      <c r="V866" s="34"/>
      <c r="W866" s="105"/>
      <c r="X866" s="105"/>
    </row>
    <row r="867" spans="1:24" ht="12.75">
      <c r="A867" s="309"/>
      <c r="B867" s="309"/>
      <c r="C867" s="34"/>
      <c r="D867" s="362"/>
      <c r="E867" s="34"/>
      <c r="F867" s="34"/>
      <c r="G867" s="35"/>
      <c r="H867" s="35"/>
      <c r="I867" s="34"/>
      <c r="M867" s="34"/>
      <c r="N867" s="188"/>
      <c r="O867" s="188"/>
      <c r="P867" s="34"/>
      <c r="Q867" s="34"/>
      <c r="R867" s="304"/>
      <c r="S867" s="34"/>
      <c r="T867" s="34"/>
      <c r="U867" s="34"/>
      <c r="V867" s="34"/>
      <c r="W867" s="105"/>
      <c r="X867" s="105"/>
    </row>
    <row r="868" spans="1:24" ht="12.75">
      <c r="A868" s="309"/>
      <c r="B868" s="309"/>
      <c r="C868" s="34"/>
      <c r="D868" s="362"/>
      <c r="E868" s="34"/>
      <c r="F868" s="34"/>
      <c r="G868" s="35"/>
      <c r="H868" s="35"/>
      <c r="I868" s="34"/>
      <c r="M868" s="34"/>
      <c r="N868" s="188"/>
      <c r="O868" s="188"/>
      <c r="P868" s="34"/>
      <c r="Q868" s="34"/>
      <c r="R868" s="304"/>
      <c r="S868" s="34"/>
      <c r="T868" s="34"/>
      <c r="U868" s="34"/>
      <c r="V868" s="34"/>
      <c r="W868" s="105"/>
      <c r="X868" s="105"/>
    </row>
    <row r="869" spans="1:24" ht="12.75">
      <c r="A869" s="309"/>
      <c r="B869" s="309"/>
      <c r="C869" s="34"/>
      <c r="D869" s="362"/>
      <c r="E869" s="34"/>
      <c r="F869" s="34"/>
      <c r="G869" s="35"/>
      <c r="H869" s="35"/>
      <c r="I869" s="34"/>
      <c r="M869" s="34"/>
      <c r="N869" s="188"/>
      <c r="O869" s="188"/>
      <c r="P869" s="34"/>
      <c r="Q869" s="34"/>
      <c r="R869" s="304"/>
      <c r="S869" s="34"/>
      <c r="T869" s="34"/>
      <c r="U869" s="34"/>
      <c r="V869" s="34"/>
      <c r="W869" s="105"/>
      <c r="X869" s="105"/>
    </row>
    <row r="870" spans="1:24" ht="12.75">
      <c r="A870" s="309"/>
      <c r="B870" s="309"/>
      <c r="C870" s="34"/>
      <c r="D870" s="362"/>
      <c r="E870" s="34"/>
      <c r="F870" s="34"/>
      <c r="G870" s="35"/>
      <c r="H870" s="35"/>
      <c r="I870" s="34"/>
      <c r="M870" s="34"/>
      <c r="N870" s="188"/>
      <c r="O870" s="188"/>
      <c r="P870" s="34"/>
      <c r="Q870" s="34"/>
      <c r="R870" s="304"/>
      <c r="S870" s="34"/>
      <c r="T870" s="34"/>
      <c r="U870" s="34"/>
      <c r="V870" s="34"/>
      <c r="W870" s="105"/>
      <c r="X870" s="105"/>
    </row>
    <row r="871" spans="1:24" ht="12.75">
      <c r="A871" s="309"/>
      <c r="B871" s="309"/>
      <c r="C871" s="34"/>
      <c r="D871" s="362"/>
      <c r="E871" s="34"/>
      <c r="F871" s="34"/>
      <c r="G871" s="35"/>
      <c r="H871" s="35"/>
      <c r="I871" s="34"/>
      <c r="M871" s="34"/>
      <c r="N871" s="188"/>
      <c r="O871" s="188"/>
      <c r="P871" s="34"/>
      <c r="Q871" s="34"/>
      <c r="R871" s="304"/>
      <c r="S871" s="34"/>
      <c r="T871" s="34"/>
      <c r="U871" s="34"/>
      <c r="V871" s="34"/>
      <c r="W871" s="105"/>
      <c r="X871" s="105"/>
    </row>
    <row r="872" spans="1:24" ht="12.75">
      <c r="A872" s="309"/>
      <c r="B872" s="309"/>
      <c r="C872" s="34"/>
      <c r="D872" s="362"/>
      <c r="E872" s="34"/>
      <c r="F872" s="34"/>
      <c r="G872" s="35"/>
      <c r="H872" s="35"/>
      <c r="I872" s="34"/>
      <c r="M872" s="34"/>
      <c r="N872" s="188"/>
      <c r="O872" s="188"/>
      <c r="P872" s="34"/>
      <c r="Q872" s="34"/>
      <c r="R872" s="304"/>
      <c r="S872" s="34"/>
      <c r="T872" s="34"/>
      <c r="U872" s="34"/>
      <c r="V872" s="34"/>
      <c r="W872" s="105"/>
      <c r="X872" s="105"/>
    </row>
    <row r="873" spans="1:24" ht="12.75">
      <c r="A873" s="309"/>
      <c r="B873" s="309"/>
      <c r="C873" s="34"/>
      <c r="D873" s="362"/>
      <c r="E873" s="34"/>
      <c r="F873" s="34"/>
      <c r="G873" s="35"/>
      <c r="H873" s="35"/>
      <c r="I873" s="34"/>
      <c r="M873" s="34"/>
      <c r="N873" s="188"/>
      <c r="O873" s="188"/>
      <c r="P873" s="34"/>
      <c r="Q873" s="34"/>
      <c r="R873" s="304"/>
      <c r="S873" s="34"/>
      <c r="T873" s="34"/>
      <c r="U873" s="34"/>
      <c r="V873" s="34"/>
      <c r="W873" s="105"/>
      <c r="X873" s="105"/>
    </row>
    <row r="874" spans="1:24" ht="12.75">
      <c r="A874" s="309"/>
      <c r="B874" s="309"/>
      <c r="C874" s="34"/>
      <c r="D874" s="362"/>
      <c r="E874" s="34"/>
      <c r="F874" s="34"/>
      <c r="G874" s="35"/>
      <c r="H874" s="35"/>
      <c r="I874" s="34"/>
      <c r="M874" s="34"/>
      <c r="N874" s="188"/>
      <c r="O874" s="188"/>
      <c r="P874" s="34"/>
      <c r="Q874" s="34"/>
      <c r="R874" s="304"/>
      <c r="S874" s="34"/>
      <c r="T874" s="34"/>
      <c r="U874" s="34"/>
      <c r="V874" s="34"/>
      <c r="W874" s="105"/>
      <c r="X874" s="105"/>
    </row>
    <row r="875" spans="1:24" ht="12.75">
      <c r="A875" s="309"/>
      <c r="B875" s="309"/>
      <c r="C875" s="34"/>
      <c r="D875" s="362"/>
      <c r="E875" s="34"/>
      <c r="F875" s="34"/>
      <c r="G875" s="35"/>
      <c r="H875" s="35"/>
      <c r="I875" s="34"/>
      <c r="M875" s="34"/>
      <c r="N875" s="188"/>
      <c r="O875" s="188"/>
      <c r="P875" s="34"/>
      <c r="Q875" s="34"/>
      <c r="R875" s="304"/>
      <c r="S875" s="34"/>
      <c r="T875" s="34"/>
      <c r="U875" s="34"/>
      <c r="V875" s="34"/>
      <c r="W875" s="105"/>
      <c r="X875" s="105"/>
    </row>
    <row r="876" spans="1:24" ht="12.75">
      <c r="A876" s="309"/>
      <c r="B876" s="309"/>
      <c r="C876" s="34"/>
      <c r="D876" s="362"/>
      <c r="E876" s="34"/>
      <c r="F876" s="34"/>
      <c r="G876" s="35"/>
      <c r="H876" s="35"/>
      <c r="I876" s="34"/>
      <c r="M876" s="34"/>
      <c r="N876" s="188"/>
      <c r="O876" s="188"/>
      <c r="P876" s="34"/>
      <c r="Q876" s="34"/>
      <c r="R876" s="304"/>
      <c r="S876" s="34"/>
      <c r="T876" s="34"/>
      <c r="U876" s="34"/>
      <c r="V876" s="34"/>
      <c r="W876" s="105"/>
      <c r="X876" s="105"/>
    </row>
    <row r="877" spans="1:24" ht="12.75">
      <c r="A877" s="309"/>
      <c r="B877" s="309"/>
      <c r="C877" s="34"/>
      <c r="D877" s="362"/>
      <c r="E877" s="34"/>
      <c r="F877" s="34"/>
      <c r="G877" s="35"/>
      <c r="H877" s="35"/>
      <c r="I877" s="34"/>
      <c r="M877" s="34"/>
      <c r="N877" s="188"/>
      <c r="O877" s="188"/>
      <c r="P877" s="34"/>
      <c r="Q877" s="34"/>
      <c r="R877" s="304"/>
      <c r="S877" s="34"/>
      <c r="T877" s="34"/>
      <c r="U877" s="34"/>
      <c r="V877" s="34"/>
      <c r="W877" s="105"/>
      <c r="X877" s="105"/>
    </row>
    <row r="878" spans="1:24" ht="12.75">
      <c r="A878" s="309"/>
      <c r="B878" s="309"/>
      <c r="C878" s="34"/>
      <c r="D878" s="362"/>
      <c r="E878" s="34"/>
      <c r="F878" s="34"/>
      <c r="G878" s="35"/>
      <c r="H878" s="35"/>
      <c r="I878" s="34"/>
      <c r="M878" s="34"/>
      <c r="N878" s="188"/>
      <c r="O878" s="188"/>
      <c r="P878" s="34"/>
      <c r="Q878" s="34"/>
      <c r="R878" s="304"/>
      <c r="S878" s="34"/>
      <c r="T878" s="34"/>
      <c r="U878" s="34"/>
      <c r="V878" s="34"/>
      <c r="W878" s="105"/>
      <c r="X878" s="105"/>
    </row>
    <row r="879" spans="1:24" ht="12.75">
      <c r="A879" s="309"/>
      <c r="B879" s="309"/>
      <c r="C879" s="34"/>
      <c r="D879" s="362"/>
      <c r="E879" s="34"/>
      <c r="F879" s="34"/>
      <c r="G879" s="35"/>
      <c r="H879" s="35"/>
      <c r="I879" s="34"/>
      <c r="M879" s="34"/>
      <c r="N879" s="188"/>
      <c r="O879" s="188"/>
      <c r="P879" s="34"/>
      <c r="Q879" s="34"/>
      <c r="R879" s="304"/>
      <c r="S879" s="34"/>
      <c r="T879" s="34"/>
      <c r="U879" s="34"/>
      <c r="V879" s="34"/>
      <c r="W879" s="105"/>
      <c r="X879" s="105"/>
    </row>
    <row r="880" spans="1:24" ht="12.75">
      <c r="A880" s="309"/>
      <c r="B880" s="309"/>
      <c r="C880" s="34"/>
      <c r="D880" s="362"/>
      <c r="E880" s="34"/>
      <c r="F880" s="34"/>
      <c r="G880" s="35"/>
      <c r="H880" s="35"/>
      <c r="I880" s="34"/>
      <c r="M880" s="34"/>
      <c r="N880" s="188"/>
      <c r="O880" s="188"/>
      <c r="P880" s="34"/>
      <c r="Q880" s="34"/>
      <c r="R880" s="304"/>
      <c r="S880" s="34"/>
      <c r="T880" s="34"/>
      <c r="U880" s="34"/>
      <c r="V880" s="34"/>
      <c r="W880" s="105"/>
      <c r="X880" s="105"/>
    </row>
    <row r="881" spans="1:24" ht="12.75">
      <c r="A881" s="309"/>
      <c r="B881" s="309"/>
      <c r="C881" s="34"/>
      <c r="D881" s="362"/>
      <c r="E881" s="34"/>
      <c r="F881" s="34"/>
      <c r="G881" s="35"/>
      <c r="H881" s="35"/>
      <c r="I881" s="34"/>
      <c r="M881" s="34"/>
      <c r="N881" s="188"/>
      <c r="O881" s="188"/>
      <c r="P881" s="34"/>
      <c r="Q881" s="34"/>
      <c r="R881" s="304"/>
      <c r="S881" s="34"/>
      <c r="T881" s="34"/>
      <c r="U881" s="34"/>
      <c r="V881" s="34"/>
      <c r="W881" s="105"/>
      <c r="X881" s="105"/>
    </row>
    <row r="882" spans="1:24" ht="12.75">
      <c r="A882" s="309"/>
      <c r="B882" s="309"/>
      <c r="C882" s="34"/>
      <c r="D882" s="362"/>
      <c r="E882" s="34"/>
      <c r="F882" s="34"/>
      <c r="G882" s="35"/>
      <c r="H882" s="35"/>
      <c r="I882" s="34"/>
      <c r="M882" s="34"/>
      <c r="N882" s="188"/>
      <c r="O882" s="188"/>
      <c r="P882" s="34"/>
      <c r="Q882" s="34"/>
      <c r="R882" s="304"/>
      <c r="S882" s="34"/>
      <c r="T882" s="34"/>
      <c r="U882" s="34"/>
      <c r="V882" s="34"/>
      <c r="W882" s="105"/>
      <c r="X882" s="105"/>
    </row>
    <row r="883" spans="1:24" ht="12.75">
      <c r="A883" s="309"/>
      <c r="B883" s="309"/>
      <c r="C883" s="34"/>
      <c r="D883" s="362"/>
      <c r="E883" s="34"/>
      <c r="F883" s="34"/>
      <c r="G883" s="35"/>
      <c r="H883" s="35"/>
      <c r="I883" s="34"/>
      <c r="M883" s="34"/>
      <c r="N883" s="188"/>
      <c r="O883" s="188"/>
      <c r="P883" s="34"/>
      <c r="Q883" s="34"/>
      <c r="R883" s="304"/>
      <c r="S883" s="34"/>
      <c r="T883" s="34"/>
      <c r="U883" s="34"/>
      <c r="V883" s="34"/>
      <c r="W883" s="105"/>
      <c r="X883" s="105"/>
    </row>
    <row r="884" spans="1:24" ht="12.75">
      <c r="A884" s="309"/>
      <c r="B884" s="309"/>
      <c r="C884" s="34"/>
      <c r="D884" s="362"/>
      <c r="E884" s="34"/>
      <c r="F884" s="34"/>
      <c r="G884" s="35"/>
      <c r="H884" s="35"/>
      <c r="I884" s="34"/>
      <c r="M884" s="34"/>
      <c r="N884" s="188"/>
      <c r="O884" s="188"/>
      <c r="P884" s="34"/>
      <c r="Q884" s="34"/>
      <c r="R884" s="304"/>
      <c r="S884" s="34"/>
      <c r="T884" s="34"/>
      <c r="U884" s="34"/>
      <c r="V884" s="34"/>
      <c r="W884" s="105"/>
      <c r="X884" s="105"/>
    </row>
    <row r="885" spans="1:24" ht="12.75">
      <c r="A885" s="309"/>
      <c r="B885" s="309"/>
      <c r="C885" s="34"/>
      <c r="D885" s="362"/>
      <c r="E885" s="34"/>
      <c r="F885" s="34"/>
      <c r="G885" s="35"/>
      <c r="H885" s="35"/>
      <c r="I885" s="34"/>
      <c r="M885" s="34"/>
      <c r="N885" s="188"/>
      <c r="O885" s="188"/>
      <c r="P885" s="34"/>
      <c r="Q885" s="34"/>
      <c r="R885" s="304"/>
      <c r="S885" s="34"/>
      <c r="T885" s="34"/>
      <c r="U885" s="34"/>
      <c r="V885" s="34"/>
      <c r="W885" s="105"/>
      <c r="X885" s="105"/>
    </row>
    <row r="886" spans="1:24" ht="12.75">
      <c r="A886" s="309"/>
      <c r="B886" s="309"/>
      <c r="C886" s="34"/>
      <c r="D886" s="362"/>
      <c r="E886" s="34"/>
      <c r="F886" s="34"/>
      <c r="G886" s="35"/>
      <c r="H886" s="35"/>
      <c r="I886" s="34"/>
      <c r="M886" s="34"/>
      <c r="N886" s="188"/>
      <c r="O886" s="188"/>
      <c r="P886" s="34"/>
      <c r="Q886" s="34"/>
      <c r="R886" s="304"/>
      <c r="S886" s="34"/>
      <c r="T886" s="34"/>
      <c r="U886" s="34"/>
      <c r="V886" s="34"/>
      <c r="W886" s="105"/>
      <c r="X886" s="105"/>
    </row>
    <row r="887" spans="1:24" ht="12.75">
      <c r="A887" s="309"/>
      <c r="B887" s="309"/>
      <c r="C887" s="34"/>
      <c r="D887" s="362"/>
      <c r="E887" s="34"/>
      <c r="F887" s="34"/>
      <c r="G887" s="35"/>
      <c r="H887" s="35"/>
      <c r="I887" s="34"/>
      <c r="M887" s="34"/>
      <c r="N887" s="188"/>
      <c r="O887" s="188"/>
      <c r="P887" s="34"/>
      <c r="Q887" s="34"/>
      <c r="R887" s="304"/>
      <c r="S887" s="34"/>
      <c r="T887" s="34"/>
      <c r="U887" s="34"/>
      <c r="V887" s="34"/>
      <c r="W887" s="105"/>
      <c r="X887" s="105"/>
    </row>
    <row r="888" spans="1:24" ht="12.75">
      <c r="A888" s="309"/>
      <c r="B888" s="309"/>
      <c r="C888" s="34"/>
      <c r="D888" s="362"/>
      <c r="E888" s="34"/>
      <c r="F888" s="34"/>
      <c r="G888" s="35"/>
      <c r="H888" s="35"/>
      <c r="I888" s="34"/>
      <c r="M888" s="34"/>
      <c r="N888" s="188"/>
      <c r="O888" s="188"/>
      <c r="P888" s="34"/>
      <c r="Q888" s="34"/>
      <c r="R888" s="304"/>
      <c r="S888" s="34"/>
      <c r="T888" s="34"/>
      <c r="U888" s="34"/>
      <c r="V888" s="34"/>
      <c r="W888" s="105"/>
      <c r="X888" s="105"/>
    </row>
    <row r="889" spans="1:24" ht="12.75">
      <c r="A889" s="309"/>
      <c r="B889" s="309"/>
      <c r="C889" s="34"/>
      <c r="D889" s="362"/>
      <c r="E889" s="34"/>
      <c r="F889" s="34"/>
      <c r="G889" s="35"/>
      <c r="H889" s="35"/>
      <c r="I889" s="34"/>
      <c r="M889" s="34"/>
      <c r="N889" s="188"/>
      <c r="O889" s="188"/>
      <c r="P889" s="34"/>
      <c r="Q889" s="34"/>
      <c r="R889" s="304"/>
      <c r="S889" s="34"/>
      <c r="T889" s="34"/>
      <c r="U889" s="34"/>
      <c r="V889" s="34"/>
      <c r="W889" s="105"/>
      <c r="X889" s="105"/>
    </row>
    <row r="890" spans="1:24" ht="12.75">
      <c r="A890" s="309"/>
      <c r="B890" s="309"/>
      <c r="C890" s="34"/>
      <c r="D890" s="362"/>
      <c r="E890" s="34"/>
      <c r="F890" s="34"/>
      <c r="G890" s="35"/>
      <c r="H890" s="35"/>
      <c r="I890" s="34"/>
      <c r="M890" s="34"/>
      <c r="N890" s="188"/>
      <c r="O890" s="188"/>
      <c r="P890" s="34"/>
      <c r="Q890" s="34"/>
      <c r="R890" s="304"/>
      <c r="S890" s="34"/>
      <c r="T890" s="34"/>
      <c r="U890" s="34"/>
      <c r="V890" s="34"/>
      <c r="W890" s="105"/>
      <c r="X890" s="105"/>
    </row>
    <row r="891" spans="1:24" ht="12.75">
      <c r="A891" s="309"/>
      <c r="B891" s="309"/>
      <c r="C891" s="34"/>
      <c r="D891" s="362"/>
      <c r="E891" s="34"/>
      <c r="F891" s="34"/>
      <c r="G891" s="35"/>
      <c r="H891" s="35"/>
      <c r="I891" s="34"/>
      <c r="M891" s="34"/>
      <c r="N891" s="188"/>
      <c r="O891" s="188"/>
      <c r="P891" s="34"/>
      <c r="Q891" s="34"/>
      <c r="R891" s="304"/>
      <c r="S891" s="34"/>
      <c r="T891" s="34"/>
      <c r="U891" s="34"/>
      <c r="V891" s="34"/>
      <c r="W891" s="105"/>
      <c r="X891" s="105"/>
    </row>
  </sheetData>
  <customSheetViews>
    <customSheetView guid="{54124929-EE60-443F-B392-D879CA063A10}" filter="1" showAutoFilter="1">
      <pageMargins left="0.7" right="0.7" top="0.75" bottom="0.75" header="0.3" footer="0.3"/>
      <autoFilter ref="A1:O66" xr:uid="{C4241398-1FF1-424B-B121-A0AE6A6E8725}"/>
    </customSheetView>
  </customSheetViews>
  <mergeCells count="4">
    <mergeCell ref="A68:A69"/>
    <mergeCell ref="D68:F68"/>
    <mergeCell ref="H82:I82"/>
    <mergeCell ref="H83:I83"/>
  </mergeCells>
  <dataValidations count="2">
    <dataValidation type="list" allowBlank="1" showErrorMessage="1" sqref="C2:C3" xr:uid="{00000000-0002-0000-0E00-000000000000}">
      <formula1>"YES,NO,N/A"</formula1>
    </dataValidation>
    <dataValidation type="list" allowBlank="1" showErrorMessage="1" sqref="S2:S290" xr:uid="{00000000-0002-0000-0E00-000001000000}">
      <formula1>"N/A,FEMALE,MALE"</formula1>
    </dataValidation>
  </dataValidations>
  <hyperlinks>
    <hyperlink ref="D2" r:id="rId1" xr:uid="{00000000-0004-0000-0E00-000000000000}"/>
    <hyperlink ref="D3" r:id="rId2" xr:uid="{00000000-0004-0000-0E00-000001000000}"/>
    <hyperlink ref="D4" r:id="rId3" xr:uid="{00000000-0004-0000-0E00-000002000000}"/>
    <hyperlink ref="D5" r:id="rId4" xr:uid="{00000000-0004-0000-0E00-000003000000}"/>
    <hyperlink ref="D7" r:id="rId5" xr:uid="{00000000-0004-0000-0E00-000004000000}"/>
    <hyperlink ref="D8" r:id="rId6" xr:uid="{00000000-0004-0000-0E00-000005000000}"/>
    <hyperlink ref="D9" r:id="rId7" xr:uid="{00000000-0004-0000-0E00-000006000000}"/>
    <hyperlink ref="D10" r:id="rId8" xr:uid="{00000000-0004-0000-0E00-000007000000}"/>
    <hyperlink ref="D11" r:id="rId9" xr:uid="{00000000-0004-0000-0E00-000008000000}"/>
    <hyperlink ref="D12" r:id="rId10" xr:uid="{00000000-0004-0000-0E00-000009000000}"/>
    <hyperlink ref="D13" r:id="rId11" xr:uid="{00000000-0004-0000-0E00-00000A000000}"/>
    <hyperlink ref="D14" r:id="rId12" xr:uid="{00000000-0004-0000-0E00-00000B000000}"/>
    <hyperlink ref="D15" r:id="rId13" xr:uid="{00000000-0004-0000-0E00-00000C000000}"/>
    <hyperlink ref="D16" r:id="rId14" xr:uid="{00000000-0004-0000-0E00-00000D000000}"/>
    <hyperlink ref="D17" r:id="rId15" xr:uid="{00000000-0004-0000-0E00-00000E000000}"/>
    <hyperlink ref="D18" r:id="rId16" xr:uid="{00000000-0004-0000-0E00-00000F000000}"/>
    <hyperlink ref="D19" r:id="rId17" xr:uid="{00000000-0004-0000-0E00-000010000000}"/>
    <hyperlink ref="D20" r:id="rId18" xr:uid="{00000000-0004-0000-0E00-000011000000}"/>
    <hyperlink ref="D21" r:id="rId19" xr:uid="{00000000-0004-0000-0E00-000012000000}"/>
    <hyperlink ref="D22" r:id="rId20" xr:uid="{00000000-0004-0000-0E00-000013000000}"/>
    <hyperlink ref="D23" r:id="rId21" xr:uid="{00000000-0004-0000-0E00-000014000000}"/>
    <hyperlink ref="D24" r:id="rId22" xr:uid="{00000000-0004-0000-0E00-000015000000}"/>
    <hyperlink ref="D25" r:id="rId23" xr:uid="{00000000-0004-0000-0E00-000016000000}"/>
    <hyperlink ref="D26" r:id="rId24" xr:uid="{00000000-0004-0000-0E00-000017000000}"/>
    <hyperlink ref="D27" r:id="rId25" xr:uid="{00000000-0004-0000-0E00-000018000000}"/>
    <hyperlink ref="D28" r:id="rId26" xr:uid="{00000000-0004-0000-0E00-000019000000}"/>
    <hyperlink ref="D29" r:id="rId27" xr:uid="{00000000-0004-0000-0E00-00001A000000}"/>
    <hyperlink ref="D30" r:id="rId28" xr:uid="{00000000-0004-0000-0E00-00001B000000}"/>
    <hyperlink ref="D31" r:id="rId29" xr:uid="{00000000-0004-0000-0E00-00001C000000}"/>
    <hyperlink ref="D32" r:id="rId30" xr:uid="{00000000-0004-0000-0E00-00001D000000}"/>
    <hyperlink ref="D33" r:id="rId31" xr:uid="{00000000-0004-0000-0E00-00001E000000}"/>
    <hyperlink ref="D34" r:id="rId32" xr:uid="{00000000-0004-0000-0E00-00001F000000}"/>
    <hyperlink ref="D35" r:id="rId33" xr:uid="{00000000-0004-0000-0E00-000020000000}"/>
    <hyperlink ref="D36" r:id="rId34" xr:uid="{00000000-0004-0000-0E00-000021000000}"/>
    <hyperlink ref="D37" r:id="rId35" xr:uid="{00000000-0004-0000-0E00-000022000000}"/>
    <hyperlink ref="D38" r:id="rId36" xr:uid="{00000000-0004-0000-0E00-000023000000}"/>
    <hyperlink ref="D39" r:id="rId37" xr:uid="{00000000-0004-0000-0E00-000024000000}"/>
    <hyperlink ref="D40" r:id="rId38" xr:uid="{00000000-0004-0000-0E00-000025000000}"/>
    <hyperlink ref="D41" r:id="rId39" xr:uid="{00000000-0004-0000-0E00-000026000000}"/>
    <hyperlink ref="D42" r:id="rId40" xr:uid="{00000000-0004-0000-0E00-000027000000}"/>
    <hyperlink ref="D43" r:id="rId41" xr:uid="{00000000-0004-0000-0E00-000028000000}"/>
    <hyperlink ref="D45" r:id="rId42" xr:uid="{00000000-0004-0000-0E00-000029000000}"/>
  </hyperlinks>
  <printOptions horizontalCentered="1" gridLines="1"/>
  <pageMargins left="0.7" right="0.7" top="0.75" bottom="0.75" header="0" footer="0"/>
  <pageSetup paperSize="5" fitToHeight="0" pageOrder="overThenDown" orientation="portrait"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outlinePr summaryBelow="0" summaryRight="0"/>
    <pageSetUpPr fitToPage="1"/>
  </sheetPr>
  <dimension ref="A1:Z86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outlineLevelCol="1"/>
  <cols>
    <col min="1" max="1" width="13.28515625" customWidth="1"/>
    <col min="2" max="2" width="20.7109375" customWidth="1"/>
    <col min="3" max="3" width="23.5703125" hidden="1" customWidth="1"/>
    <col min="4" max="4" width="30.7109375" hidden="1" customWidth="1"/>
    <col min="5" max="5" width="17.42578125" customWidth="1"/>
    <col min="6" max="6" width="14.28515625" customWidth="1"/>
    <col min="7" max="7" width="15.85546875" hidden="1" customWidth="1"/>
    <col min="8" max="8" width="17.42578125" customWidth="1"/>
    <col min="9" max="9" width="44.42578125" customWidth="1"/>
    <col min="10" max="10" width="37.28515625" customWidth="1"/>
    <col min="11" max="11" width="20" customWidth="1"/>
    <col min="12" max="13" width="50.28515625" customWidth="1" outlineLevel="1"/>
    <col min="14" max="14" width="17.28515625" customWidth="1"/>
    <col min="16" max="17" width="51.140625" customWidth="1"/>
    <col min="18" max="18" width="25.85546875" customWidth="1"/>
    <col min="19" max="19" width="27.5703125" customWidth="1"/>
    <col min="20" max="21" width="17.42578125" customWidth="1"/>
    <col min="22" max="22" width="25.42578125" customWidth="1"/>
    <col min="24" max="24" width="14.85546875" customWidth="1"/>
    <col min="25" max="25" width="34.42578125" customWidth="1"/>
    <col min="26" max="26" width="14.5703125" customWidth="1"/>
  </cols>
  <sheetData>
    <row r="1" spans="1:26" ht="25.5">
      <c r="A1" s="317" t="s">
        <v>5638</v>
      </c>
      <c r="B1" s="270" t="s">
        <v>2</v>
      </c>
      <c r="C1" s="271" t="s">
        <v>5892</v>
      </c>
      <c r="D1" s="318" t="s">
        <v>5630</v>
      </c>
      <c r="E1" s="271" t="s">
        <v>389</v>
      </c>
      <c r="F1" s="271" t="s">
        <v>4</v>
      </c>
      <c r="G1" s="271" t="s">
        <v>5893</v>
      </c>
      <c r="H1" s="272" t="s">
        <v>5</v>
      </c>
      <c r="I1" s="271" t="s">
        <v>6</v>
      </c>
      <c r="J1" s="271" t="s">
        <v>7</v>
      </c>
      <c r="K1" s="273" t="s">
        <v>5627</v>
      </c>
      <c r="L1" s="271"/>
      <c r="M1" s="271" t="s">
        <v>8</v>
      </c>
      <c r="N1" s="271" t="s">
        <v>5629</v>
      </c>
      <c r="O1" s="271" t="s">
        <v>1821</v>
      </c>
      <c r="P1" s="271" t="s">
        <v>5305</v>
      </c>
      <c r="Q1" s="271" t="s">
        <v>1822</v>
      </c>
      <c r="R1" s="271" t="s">
        <v>5894</v>
      </c>
      <c r="S1" s="271" t="s">
        <v>5630</v>
      </c>
      <c r="T1" s="271" t="s">
        <v>5631</v>
      </c>
      <c r="U1" s="271" t="s">
        <v>5632</v>
      </c>
      <c r="V1" s="271" t="s">
        <v>1820</v>
      </c>
      <c r="W1" s="319" t="s">
        <v>5633</v>
      </c>
      <c r="X1" s="271" t="s">
        <v>1818</v>
      </c>
      <c r="Y1" s="274" t="s">
        <v>5634</v>
      </c>
      <c r="Z1" s="274" t="s">
        <v>5628</v>
      </c>
    </row>
    <row r="2" spans="1:26" ht="76.5" hidden="1">
      <c r="A2" s="276" t="s">
        <v>129</v>
      </c>
      <c r="B2" s="243" t="s">
        <v>5514</v>
      </c>
      <c r="C2" s="22"/>
      <c r="D2" s="320" t="s">
        <v>5895</v>
      </c>
      <c r="E2" s="6" t="s">
        <v>5509</v>
      </c>
      <c r="F2" s="6" t="s">
        <v>1862</v>
      </c>
      <c r="G2" s="7"/>
      <c r="H2" s="7">
        <v>44937</v>
      </c>
      <c r="I2" s="6" t="s">
        <v>5515</v>
      </c>
      <c r="J2" s="6" t="s">
        <v>1419</v>
      </c>
      <c r="K2" s="8">
        <v>995600</v>
      </c>
      <c r="L2" s="220"/>
      <c r="M2" s="220"/>
      <c r="N2" s="220"/>
      <c r="O2" s="220" t="s">
        <v>1828</v>
      </c>
      <c r="P2" s="22"/>
      <c r="Q2" s="22" t="s">
        <v>5896</v>
      </c>
      <c r="R2" s="52"/>
      <c r="S2" s="52"/>
      <c r="T2" s="6" t="s">
        <v>1808</v>
      </c>
      <c r="U2" s="6" t="s">
        <v>1808</v>
      </c>
      <c r="V2" s="6"/>
      <c r="W2" s="6" t="s">
        <v>82</v>
      </c>
      <c r="X2" s="6"/>
      <c r="Y2" s="54"/>
      <c r="Z2" s="54"/>
    </row>
    <row r="3" spans="1:26" ht="140.25">
      <c r="A3" s="276" t="s">
        <v>129</v>
      </c>
      <c r="B3" s="243" t="s">
        <v>5516</v>
      </c>
      <c r="C3" s="22"/>
      <c r="D3" s="321" t="s">
        <v>5897</v>
      </c>
      <c r="E3" s="6" t="s">
        <v>61</v>
      </c>
      <c r="F3" s="6" t="s">
        <v>1417</v>
      </c>
      <c r="G3" s="7"/>
      <c r="H3" s="7">
        <v>44951</v>
      </c>
      <c r="I3" s="6" t="s">
        <v>1418</v>
      </c>
      <c r="J3" s="6" t="s">
        <v>1419</v>
      </c>
      <c r="K3" s="8">
        <v>1835300</v>
      </c>
      <c r="L3" s="220"/>
      <c r="M3" s="220"/>
      <c r="N3" s="220"/>
      <c r="O3" s="220" t="s">
        <v>1828</v>
      </c>
      <c r="P3" s="22"/>
      <c r="Q3" s="22" t="s">
        <v>5898</v>
      </c>
      <c r="R3" s="52"/>
      <c r="S3" s="52"/>
      <c r="T3" s="6" t="s">
        <v>1808</v>
      </c>
      <c r="U3" s="6" t="s">
        <v>1808</v>
      </c>
      <c r="V3" s="6"/>
      <c r="W3" s="6" t="s">
        <v>82</v>
      </c>
      <c r="X3" s="6"/>
      <c r="Y3" s="54"/>
      <c r="Z3" s="54"/>
    </row>
    <row r="4" spans="1:26" ht="25.5" hidden="1">
      <c r="A4" s="276" t="s">
        <v>129</v>
      </c>
      <c r="B4" s="243" t="s">
        <v>5517</v>
      </c>
      <c r="C4" s="52"/>
      <c r="D4" s="321" t="s">
        <v>5899</v>
      </c>
      <c r="E4" s="6" t="s">
        <v>2406</v>
      </c>
      <c r="F4" s="6" t="s">
        <v>62</v>
      </c>
      <c r="G4" s="7"/>
      <c r="H4" s="7">
        <v>44951</v>
      </c>
      <c r="I4" s="6" t="s">
        <v>5518</v>
      </c>
      <c r="J4" s="6" t="s">
        <v>5519</v>
      </c>
      <c r="K4" s="225" t="s">
        <v>1808</v>
      </c>
      <c r="L4" s="6"/>
      <c r="M4" s="6" t="s">
        <v>5900</v>
      </c>
      <c r="N4" s="6"/>
      <c r="O4" s="6"/>
      <c r="P4" s="52"/>
      <c r="Q4" s="52"/>
      <c r="R4" s="52"/>
      <c r="S4" s="52"/>
      <c r="T4" s="179"/>
      <c r="U4" s="6"/>
      <c r="V4" s="6"/>
      <c r="W4" s="6" t="s">
        <v>1904</v>
      </c>
      <c r="X4" s="6"/>
      <c r="Y4" s="54"/>
      <c r="Z4" s="54"/>
    </row>
    <row r="5" spans="1:26" ht="229.5" hidden="1">
      <c r="A5" s="243" t="s">
        <v>129</v>
      </c>
      <c r="B5" s="322" t="s">
        <v>5325</v>
      </c>
      <c r="C5" s="6" t="s">
        <v>5901</v>
      </c>
      <c r="D5" s="323" t="s">
        <v>5902</v>
      </c>
      <c r="E5" s="6" t="s">
        <v>61</v>
      </c>
      <c r="F5" s="6" t="s">
        <v>62</v>
      </c>
      <c r="G5" s="7"/>
      <c r="H5" s="7">
        <v>44965</v>
      </c>
      <c r="I5" s="6" t="s">
        <v>1031</v>
      </c>
      <c r="J5" s="210" t="s">
        <v>1032</v>
      </c>
      <c r="K5" s="211">
        <v>380000</v>
      </c>
      <c r="L5" s="6"/>
      <c r="M5" s="6" t="s">
        <v>5903</v>
      </c>
      <c r="N5" s="6"/>
      <c r="O5" s="6"/>
      <c r="P5" s="22"/>
      <c r="Q5" s="22" t="s">
        <v>5904</v>
      </c>
      <c r="R5" s="52"/>
      <c r="S5" s="52"/>
      <c r="T5" s="179"/>
      <c r="U5" s="6"/>
      <c r="V5" s="6"/>
      <c r="W5" s="6" t="s">
        <v>1904</v>
      </c>
      <c r="X5" s="6"/>
      <c r="Y5" s="54"/>
      <c r="Z5" s="54"/>
    </row>
    <row r="6" spans="1:26" ht="12.75" hidden="1">
      <c r="A6" s="243" t="s">
        <v>129</v>
      </c>
      <c r="B6" s="324" t="s">
        <v>5520</v>
      </c>
      <c r="C6" s="325" t="s">
        <v>5905</v>
      </c>
      <c r="D6" s="326"/>
      <c r="E6" s="325"/>
      <c r="F6" s="325"/>
      <c r="G6" s="327"/>
      <c r="H6" s="327"/>
      <c r="I6" s="325" t="s">
        <v>2232</v>
      </c>
      <c r="J6" s="325" t="s">
        <v>5521</v>
      </c>
      <c r="K6" s="328"/>
      <c r="L6" s="325"/>
      <c r="M6" s="325"/>
      <c r="N6" s="325"/>
      <c r="O6" s="325"/>
      <c r="P6" s="329"/>
      <c r="Q6" s="329"/>
      <c r="R6" s="330"/>
      <c r="S6" s="330"/>
      <c r="T6" s="331"/>
      <c r="U6" s="325"/>
      <c r="V6" s="325"/>
      <c r="W6" s="325"/>
      <c r="X6" s="325"/>
      <c r="Y6" s="332"/>
      <c r="Z6" s="332"/>
    </row>
    <row r="7" spans="1:26" ht="89.25" hidden="1">
      <c r="A7" s="243" t="s">
        <v>129</v>
      </c>
      <c r="B7" s="322" t="s">
        <v>5522</v>
      </c>
      <c r="C7" s="6" t="s">
        <v>5901</v>
      </c>
      <c r="D7" s="333" t="s">
        <v>5906</v>
      </c>
      <c r="E7" s="220" t="s">
        <v>61</v>
      </c>
      <c r="F7" s="6" t="s">
        <v>1420</v>
      </c>
      <c r="G7" s="334"/>
      <c r="H7" s="334">
        <v>44965</v>
      </c>
      <c r="I7" s="29" t="s">
        <v>1421</v>
      </c>
      <c r="J7" s="29" t="s">
        <v>1419</v>
      </c>
      <c r="K7" s="225">
        <v>1500000</v>
      </c>
      <c r="L7" s="220"/>
      <c r="M7" s="220"/>
      <c r="N7" s="220"/>
      <c r="O7" s="220" t="s">
        <v>1828</v>
      </c>
      <c r="P7" s="22"/>
      <c r="Q7" s="22" t="s">
        <v>5907</v>
      </c>
      <c r="R7" s="52"/>
      <c r="S7" s="52"/>
      <c r="T7" s="6" t="s">
        <v>1808</v>
      </c>
      <c r="U7" s="6" t="s">
        <v>1808</v>
      </c>
      <c r="V7" s="220"/>
      <c r="W7" s="220" t="s">
        <v>82</v>
      </c>
      <c r="X7" s="6"/>
      <c r="Y7" s="284"/>
      <c r="Z7" s="54"/>
    </row>
    <row r="8" spans="1:26" ht="51" hidden="1">
      <c r="A8" s="243" t="s">
        <v>129</v>
      </c>
      <c r="B8" s="322" t="s">
        <v>5524</v>
      </c>
      <c r="C8" s="282"/>
      <c r="D8" s="323" t="s">
        <v>5908</v>
      </c>
      <c r="E8" s="220" t="s">
        <v>1867</v>
      </c>
      <c r="F8" s="220" t="s">
        <v>62</v>
      </c>
      <c r="G8" s="221"/>
      <c r="H8" s="221"/>
      <c r="I8" s="29" t="s">
        <v>5525</v>
      </c>
      <c r="J8" s="29" t="s">
        <v>5526</v>
      </c>
      <c r="K8" s="225" t="s">
        <v>1808</v>
      </c>
      <c r="L8" s="220"/>
      <c r="M8" s="220" t="s">
        <v>5909</v>
      </c>
      <c r="N8" s="220"/>
      <c r="O8" s="220"/>
      <c r="P8" s="282"/>
      <c r="Q8" s="282"/>
      <c r="R8" s="29"/>
      <c r="S8" s="29"/>
      <c r="T8" s="285"/>
      <c r="U8" s="220"/>
      <c r="V8" s="220"/>
      <c r="W8" s="220" t="s">
        <v>1904</v>
      </c>
      <c r="X8" s="220"/>
      <c r="Y8" s="284"/>
      <c r="Z8" s="54"/>
    </row>
    <row r="9" spans="1:26" ht="25.5" hidden="1">
      <c r="A9" s="243" t="s">
        <v>129</v>
      </c>
      <c r="B9" s="322" t="s">
        <v>5511</v>
      </c>
      <c r="C9" s="29" t="s">
        <v>5901</v>
      </c>
      <c r="D9" s="323" t="s">
        <v>5910</v>
      </c>
      <c r="E9" s="220" t="s">
        <v>61</v>
      </c>
      <c r="F9" s="220" t="s">
        <v>1383</v>
      </c>
      <c r="G9" s="221"/>
      <c r="H9" s="221">
        <v>44972</v>
      </c>
      <c r="I9" s="29" t="s">
        <v>1422</v>
      </c>
      <c r="J9" s="29" t="s">
        <v>1423</v>
      </c>
      <c r="K9" s="225">
        <v>85000</v>
      </c>
      <c r="L9" s="220" t="s">
        <v>6014</v>
      </c>
      <c r="M9" s="220" t="s">
        <v>5911</v>
      </c>
      <c r="N9" s="220"/>
      <c r="O9" s="220" t="s">
        <v>1828</v>
      </c>
      <c r="P9" s="282"/>
      <c r="Q9" s="282"/>
      <c r="R9" s="29"/>
      <c r="S9" s="29"/>
      <c r="T9" s="285"/>
      <c r="U9" s="220"/>
      <c r="V9" s="220"/>
      <c r="W9" s="220" t="s">
        <v>82</v>
      </c>
      <c r="X9" s="220"/>
      <c r="Y9" s="284"/>
      <c r="Z9" s="54"/>
    </row>
    <row r="10" spans="1:26" ht="51" hidden="1">
      <c r="A10" s="243" t="s">
        <v>129</v>
      </c>
      <c r="B10" s="322" t="s">
        <v>5527</v>
      </c>
      <c r="C10" s="282"/>
      <c r="D10" s="323" t="s">
        <v>5912</v>
      </c>
      <c r="E10" s="220" t="s">
        <v>1867</v>
      </c>
      <c r="F10" s="220" t="s">
        <v>62</v>
      </c>
      <c r="G10" s="221"/>
      <c r="H10" s="221">
        <v>44972</v>
      </c>
      <c r="I10" s="29" t="s">
        <v>5528</v>
      </c>
      <c r="J10" s="29" t="s">
        <v>5529</v>
      </c>
      <c r="K10" s="225" t="s">
        <v>1808</v>
      </c>
      <c r="L10" s="220"/>
      <c r="M10" s="220" t="s">
        <v>5911</v>
      </c>
      <c r="N10" s="220"/>
      <c r="O10" s="220"/>
      <c r="P10" s="282"/>
      <c r="Q10" s="282"/>
      <c r="R10" s="29"/>
      <c r="S10" s="29"/>
      <c r="T10" s="285"/>
      <c r="U10" s="220"/>
      <c r="V10" s="220"/>
      <c r="W10" s="220" t="s">
        <v>1904</v>
      </c>
      <c r="X10" s="220"/>
      <c r="Y10" s="284"/>
      <c r="Z10" s="54"/>
    </row>
    <row r="11" spans="1:26" ht="153" hidden="1">
      <c r="A11" s="243" t="s">
        <v>129</v>
      </c>
      <c r="B11" s="322" t="s">
        <v>5530</v>
      </c>
      <c r="C11" s="282"/>
      <c r="D11" s="333" t="s">
        <v>5913</v>
      </c>
      <c r="E11" s="220" t="s">
        <v>1867</v>
      </c>
      <c r="F11" s="220" t="s">
        <v>62</v>
      </c>
      <c r="G11" s="221"/>
      <c r="H11" s="221">
        <v>45141</v>
      </c>
      <c r="I11" s="29" t="s">
        <v>5531</v>
      </c>
      <c r="J11" s="29" t="s">
        <v>5532</v>
      </c>
      <c r="K11" s="225" t="s">
        <v>1808</v>
      </c>
      <c r="L11" s="220"/>
      <c r="M11" s="220" t="s">
        <v>5914</v>
      </c>
      <c r="N11" s="220"/>
      <c r="O11" s="220"/>
      <c r="P11" s="282"/>
      <c r="Q11" s="282" t="s">
        <v>5915</v>
      </c>
      <c r="R11" s="29"/>
      <c r="S11" s="29"/>
      <c r="T11" s="285"/>
      <c r="U11" s="220"/>
      <c r="V11" s="220"/>
      <c r="W11" s="220" t="s">
        <v>1904</v>
      </c>
      <c r="X11" s="220"/>
      <c r="Y11" s="284"/>
      <c r="Z11" s="54"/>
    </row>
    <row r="12" spans="1:26" ht="63.75">
      <c r="A12" s="243" t="s">
        <v>129</v>
      </c>
      <c r="B12" s="322" t="s">
        <v>5533</v>
      </c>
      <c r="C12" s="22"/>
      <c r="D12" s="323" t="s">
        <v>5916</v>
      </c>
      <c r="E12" s="6" t="s">
        <v>61</v>
      </c>
      <c r="F12" s="6" t="s">
        <v>1417</v>
      </c>
      <c r="G12" s="7"/>
      <c r="H12" s="7">
        <v>45007</v>
      </c>
      <c r="I12" s="6" t="s">
        <v>1424</v>
      </c>
      <c r="J12" s="6" t="s">
        <v>5534</v>
      </c>
      <c r="K12" s="8">
        <v>2087500</v>
      </c>
      <c r="L12" s="6"/>
      <c r="M12" s="6"/>
      <c r="N12" s="6"/>
      <c r="O12" s="6" t="s">
        <v>1828</v>
      </c>
      <c r="P12" s="22"/>
      <c r="Q12" s="22" t="s">
        <v>5917</v>
      </c>
      <c r="R12" s="6"/>
      <c r="S12" s="6"/>
      <c r="T12" s="179"/>
      <c r="U12" s="6"/>
      <c r="V12" s="6"/>
      <c r="W12" s="6" t="s">
        <v>82</v>
      </c>
      <c r="X12" s="6"/>
      <c r="Y12" s="54"/>
      <c r="Z12" s="54"/>
    </row>
    <row r="13" spans="1:26" ht="114.75" hidden="1">
      <c r="A13" s="243" t="s">
        <v>129</v>
      </c>
      <c r="B13" s="322" t="s">
        <v>5508</v>
      </c>
      <c r="C13" s="22"/>
      <c r="D13" s="323" t="s">
        <v>5918</v>
      </c>
      <c r="E13" s="6" t="s">
        <v>5509</v>
      </c>
      <c r="F13" s="6" t="s">
        <v>1383</v>
      </c>
      <c r="G13" s="7"/>
      <c r="H13" s="7">
        <v>45007</v>
      </c>
      <c r="I13" s="6" t="s">
        <v>5510</v>
      </c>
      <c r="J13" s="6" t="s">
        <v>1425</v>
      </c>
      <c r="K13" s="8">
        <v>6276000</v>
      </c>
      <c r="L13" s="6"/>
      <c r="M13" s="6"/>
      <c r="N13" s="6"/>
      <c r="O13" s="6" t="s">
        <v>1828</v>
      </c>
      <c r="P13" s="22"/>
      <c r="Q13" s="22" t="s">
        <v>5919</v>
      </c>
      <c r="R13" s="6"/>
      <c r="S13" s="6"/>
      <c r="T13" s="179" t="s">
        <v>1808</v>
      </c>
      <c r="U13" s="6" t="s">
        <v>1808</v>
      </c>
      <c r="V13" s="6"/>
      <c r="W13" s="6" t="s">
        <v>82</v>
      </c>
      <c r="X13" s="6"/>
      <c r="Y13" s="54"/>
      <c r="Z13" s="6" t="s">
        <v>1520</v>
      </c>
    </row>
    <row r="14" spans="1:26" ht="12.75" hidden="1">
      <c r="A14" s="243" t="s">
        <v>129</v>
      </c>
      <c r="B14" s="322" t="s">
        <v>5535</v>
      </c>
      <c r="C14" s="22"/>
      <c r="D14" s="323" t="s">
        <v>5920</v>
      </c>
      <c r="E14" s="6" t="s">
        <v>1867</v>
      </c>
      <c r="F14" s="6" t="s">
        <v>3371</v>
      </c>
      <c r="G14" s="7"/>
      <c r="H14" s="7">
        <v>45021</v>
      </c>
      <c r="I14" s="6" t="s">
        <v>5536</v>
      </c>
      <c r="J14" s="6"/>
      <c r="K14" s="8"/>
      <c r="L14" s="6"/>
      <c r="M14" s="6"/>
      <c r="N14" s="6"/>
      <c r="O14" s="6"/>
      <c r="P14" s="22"/>
      <c r="Q14" s="22"/>
      <c r="R14" s="6"/>
      <c r="S14" s="6"/>
      <c r="T14" s="179"/>
      <c r="U14" s="6"/>
      <c r="V14" s="6"/>
      <c r="W14" s="6" t="s">
        <v>1904</v>
      </c>
      <c r="X14" s="6"/>
      <c r="Y14" s="54"/>
      <c r="Z14" s="54"/>
    </row>
    <row r="15" spans="1:26" ht="38.25">
      <c r="A15" s="243" t="s">
        <v>129</v>
      </c>
      <c r="B15" s="322" t="s">
        <v>1794</v>
      </c>
      <c r="C15" s="6" t="s">
        <v>5901</v>
      </c>
      <c r="D15" s="323" t="s">
        <v>5921</v>
      </c>
      <c r="E15" s="6" t="s">
        <v>61</v>
      </c>
      <c r="F15" s="6" t="s">
        <v>1782</v>
      </c>
      <c r="G15" s="7"/>
      <c r="H15" s="7">
        <v>45022</v>
      </c>
      <c r="I15" s="6" t="s">
        <v>1795</v>
      </c>
      <c r="J15" s="6" t="s">
        <v>2104</v>
      </c>
      <c r="K15" s="8">
        <v>100000</v>
      </c>
      <c r="L15" s="6"/>
      <c r="M15" s="6" t="s">
        <v>5922</v>
      </c>
      <c r="N15" s="6"/>
      <c r="O15" s="6"/>
      <c r="P15" s="22"/>
      <c r="Q15" s="22"/>
      <c r="R15" s="6"/>
      <c r="S15" s="6"/>
      <c r="T15" s="179"/>
      <c r="U15" s="6"/>
      <c r="V15" s="6"/>
      <c r="W15" s="6" t="s">
        <v>1853</v>
      </c>
      <c r="X15" s="6"/>
      <c r="Y15" s="54"/>
      <c r="Z15" s="54"/>
    </row>
    <row r="16" spans="1:26" ht="51" hidden="1">
      <c r="A16" s="243" t="s">
        <v>129</v>
      </c>
      <c r="B16" s="322" t="s">
        <v>1426</v>
      </c>
      <c r="C16" s="6" t="s">
        <v>5901</v>
      </c>
      <c r="D16" s="323" t="s">
        <v>5923</v>
      </c>
      <c r="E16" s="6" t="s">
        <v>61</v>
      </c>
      <c r="F16" s="6" t="s">
        <v>1383</v>
      </c>
      <c r="G16" s="7"/>
      <c r="H16" s="7">
        <v>45035</v>
      </c>
      <c r="I16" s="6" t="s">
        <v>1427</v>
      </c>
      <c r="J16" s="6" t="s">
        <v>494</v>
      </c>
      <c r="K16" s="8">
        <v>200000</v>
      </c>
      <c r="L16" s="6" t="s">
        <v>6015</v>
      </c>
      <c r="M16" s="6"/>
      <c r="N16" s="6"/>
      <c r="O16" s="6" t="s">
        <v>5924</v>
      </c>
      <c r="P16" s="22"/>
      <c r="Q16" s="22" t="s">
        <v>5925</v>
      </c>
      <c r="R16" s="6"/>
      <c r="S16" s="6"/>
      <c r="T16" s="179"/>
      <c r="U16" s="6"/>
      <c r="V16" s="6"/>
      <c r="W16" s="6" t="s">
        <v>82</v>
      </c>
      <c r="X16" s="6"/>
      <c r="Y16" s="54"/>
      <c r="Z16" s="6" t="s">
        <v>1468</v>
      </c>
    </row>
    <row r="17" spans="1:26" ht="140.25">
      <c r="A17" s="243" t="s">
        <v>129</v>
      </c>
      <c r="B17" s="322" t="s">
        <v>1796</v>
      </c>
      <c r="C17" s="6" t="s">
        <v>5901</v>
      </c>
      <c r="D17" s="323" t="s">
        <v>5926</v>
      </c>
      <c r="E17" s="6" t="s">
        <v>61</v>
      </c>
      <c r="F17" s="6" t="s">
        <v>1782</v>
      </c>
      <c r="G17" s="7"/>
      <c r="H17" s="7">
        <v>45035</v>
      </c>
      <c r="I17" s="6" t="s">
        <v>1797</v>
      </c>
      <c r="J17" s="6" t="s">
        <v>1798</v>
      </c>
      <c r="K17" s="8">
        <v>100000</v>
      </c>
      <c r="L17" s="6"/>
      <c r="M17" s="6"/>
      <c r="N17" s="6"/>
      <c r="O17" s="6"/>
      <c r="P17" s="22"/>
      <c r="Q17" s="22" t="s">
        <v>5927</v>
      </c>
      <c r="R17" s="6"/>
      <c r="S17" s="6"/>
      <c r="T17" s="179"/>
      <c r="U17" s="6"/>
      <c r="V17" s="6"/>
      <c r="W17" s="6" t="s">
        <v>1853</v>
      </c>
      <c r="X17" s="6"/>
      <c r="Y17" s="54"/>
      <c r="Z17" s="54"/>
    </row>
    <row r="18" spans="1:26" ht="25.5">
      <c r="A18" s="243" t="s">
        <v>129</v>
      </c>
      <c r="B18" s="322" t="s">
        <v>492</v>
      </c>
      <c r="C18" s="6" t="s">
        <v>5901</v>
      </c>
      <c r="D18" s="323" t="s">
        <v>5928</v>
      </c>
      <c r="E18" s="6" t="s">
        <v>61</v>
      </c>
      <c r="F18" s="6" t="s">
        <v>394</v>
      </c>
      <c r="G18" s="7"/>
      <c r="H18" s="7">
        <v>45035</v>
      </c>
      <c r="I18" s="6" t="s">
        <v>493</v>
      </c>
      <c r="J18" s="6" t="s">
        <v>494</v>
      </c>
      <c r="K18" s="8">
        <v>101820</v>
      </c>
      <c r="L18" s="6"/>
      <c r="M18" s="6" t="s">
        <v>5929</v>
      </c>
      <c r="N18" s="6" t="s">
        <v>6016</v>
      </c>
      <c r="O18" s="6" t="s">
        <v>5924</v>
      </c>
      <c r="P18" s="22"/>
      <c r="Q18" s="22"/>
      <c r="R18" s="6"/>
      <c r="S18" s="6"/>
      <c r="T18" s="179"/>
      <c r="U18" s="6"/>
      <c r="V18" s="6"/>
      <c r="W18" s="6" t="s">
        <v>1853</v>
      </c>
      <c r="X18" s="6"/>
      <c r="Y18" s="54"/>
      <c r="Z18" s="54"/>
    </row>
    <row r="19" spans="1:26" ht="51">
      <c r="A19" s="243" t="s">
        <v>129</v>
      </c>
      <c r="B19" s="322" t="s">
        <v>495</v>
      </c>
      <c r="C19" s="6" t="s">
        <v>5901</v>
      </c>
      <c r="D19" s="323" t="s">
        <v>5930</v>
      </c>
      <c r="E19" s="6" t="s">
        <v>61</v>
      </c>
      <c r="F19" s="6" t="s">
        <v>394</v>
      </c>
      <c r="G19" s="7"/>
      <c r="H19" s="7">
        <v>45042</v>
      </c>
      <c r="I19" s="6" t="s">
        <v>496</v>
      </c>
      <c r="J19" s="6" t="s">
        <v>497</v>
      </c>
      <c r="K19" s="8">
        <v>134575</v>
      </c>
      <c r="L19" s="6"/>
      <c r="M19" s="6" t="s">
        <v>5931</v>
      </c>
      <c r="N19" s="6" t="s">
        <v>6017</v>
      </c>
      <c r="O19" s="6" t="s">
        <v>1896</v>
      </c>
      <c r="P19" s="22"/>
      <c r="Q19" s="22" t="s">
        <v>5932</v>
      </c>
      <c r="R19" s="6"/>
      <c r="S19" s="6"/>
      <c r="T19" s="179"/>
      <c r="U19" s="6"/>
      <c r="V19" s="6"/>
      <c r="W19" s="6" t="s">
        <v>1853</v>
      </c>
      <c r="X19" s="6"/>
      <c r="Y19" s="54"/>
      <c r="Z19" s="54"/>
    </row>
    <row r="20" spans="1:26" ht="76.5">
      <c r="A20" s="243" t="s">
        <v>129</v>
      </c>
      <c r="B20" s="322" t="s">
        <v>498</v>
      </c>
      <c r="C20" s="6" t="s">
        <v>5901</v>
      </c>
      <c r="D20" s="323" t="s">
        <v>5933</v>
      </c>
      <c r="E20" s="6" t="s">
        <v>61</v>
      </c>
      <c r="F20" s="6" t="s">
        <v>394</v>
      </c>
      <c r="G20" s="7"/>
      <c r="H20" s="7">
        <v>45049</v>
      </c>
      <c r="I20" s="6" t="s">
        <v>499</v>
      </c>
      <c r="J20" s="6" t="s">
        <v>500</v>
      </c>
      <c r="K20" s="8" t="s">
        <v>5537</v>
      </c>
      <c r="L20" s="398"/>
      <c r="M20" s="398" t="s">
        <v>6018</v>
      </c>
      <c r="N20" s="399" t="s">
        <v>6019</v>
      </c>
      <c r="O20" s="6" t="s">
        <v>2085</v>
      </c>
      <c r="P20" s="22"/>
      <c r="Q20" s="22" t="s">
        <v>5935</v>
      </c>
      <c r="R20" s="6"/>
      <c r="S20" s="6"/>
      <c r="T20" s="179"/>
      <c r="U20" s="6"/>
      <c r="V20" s="6"/>
      <c r="W20" s="6" t="s">
        <v>1853</v>
      </c>
      <c r="X20" s="6"/>
      <c r="Y20" s="54"/>
      <c r="Z20" s="54"/>
    </row>
    <row r="21" spans="1:26" ht="63.75" hidden="1">
      <c r="A21" s="243" t="s">
        <v>129</v>
      </c>
      <c r="B21" s="322" t="s">
        <v>1033</v>
      </c>
      <c r="C21" s="6" t="s">
        <v>5901</v>
      </c>
      <c r="D21" s="323" t="s">
        <v>5933</v>
      </c>
      <c r="E21" s="6" t="s">
        <v>61</v>
      </c>
      <c r="F21" s="6" t="s">
        <v>62</v>
      </c>
      <c r="G21" s="7"/>
      <c r="H21" s="7">
        <v>45056</v>
      </c>
      <c r="I21" s="6" t="s">
        <v>1034</v>
      </c>
      <c r="J21" s="210" t="s">
        <v>5326</v>
      </c>
      <c r="K21" s="211">
        <v>918215.51</v>
      </c>
      <c r="L21" s="6"/>
      <c r="M21" s="6" t="s">
        <v>5936</v>
      </c>
      <c r="N21" s="6"/>
      <c r="O21" s="6" t="s">
        <v>1828</v>
      </c>
      <c r="P21" s="22"/>
      <c r="Q21" s="22" t="s">
        <v>5937</v>
      </c>
      <c r="R21" s="6"/>
      <c r="S21" s="6"/>
      <c r="T21" s="179"/>
      <c r="U21" s="6" t="s">
        <v>5650</v>
      </c>
      <c r="V21" s="6"/>
      <c r="W21" s="6" t="s">
        <v>1904</v>
      </c>
      <c r="X21" s="6"/>
      <c r="Y21" s="54"/>
      <c r="Z21" s="54"/>
    </row>
    <row r="22" spans="1:26" ht="51">
      <c r="A22" s="243" t="s">
        <v>129</v>
      </c>
      <c r="B22" s="336" t="s">
        <v>501</v>
      </c>
      <c r="C22" s="6" t="s">
        <v>5901</v>
      </c>
      <c r="D22" s="337" t="s">
        <v>5938</v>
      </c>
      <c r="E22" s="6" t="s">
        <v>61</v>
      </c>
      <c r="F22" s="6" t="s">
        <v>394</v>
      </c>
      <c r="G22" s="7"/>
      <c r="H22" s="7">
        <v>45056</v>
      </c>
      <c r="I22" s="6" t="s">
        <v>502</v>
      </c>
      <c r="J22" s="6" t="s">
        <v>497</v>
      </c>
      <c r="K22" s="8">
        <v>26000</v>
      </c>
      <c r="L22" s="6"/>
      <c r="M22" s="6" t="s">
        <v>6020</v>
      </c>
      <c r="N22" s="6" t="s">
        <v>6021</v>
      </c>
      <c r="O22" s="6" t="s">
        <v>1896</v>
      </c>
      <c r="P22" s="22"/>
      <c r="Q22" s="22" t="s">
        <v>5940</v>
      </c>
      <c r="R22" s="6"/>
      <c r="S22" s="6"/>
      <c r="T22" s="179"/>
      <c r="U22" s="6"/>
      <c r="V22" s="6"/>
      <c r="W22" s="6" t="s">
        <v>1853</v>
      </c>
      <c r="X22" s="6"/>
      <c r="Y22" s="54"/>
      <c r="Z22" s="54"/>
    </row>
    <row r="23" spans="1:26" ht="191.25">
      <c r="A23" s="243" t="s">
        <v>129</v>
      </c>
      <c r="B23" s="336" t="s">
        <v>1799</v>
      </c>
      <c r="C23" s="6" t="s">
        <v>5901</v>
      </c>
      <c r="D23" s="337" t="s">
        <v>5941</v>
      </c>
      <c r="E23" s="6" t="s">
        <v>61</v>
      </c>
      <c r="F23" s="6" t="s">
        <v>1782</v>
      </c>
      <c r="G23" s="7"/>
      <c r="H23" s="7">
        <v>45063</v>
      </c>
      <c r="I23" s="6" t="s">
        <v>1800</v>
      </c>
      <c r="J23" s="6" t="s">
        <v>1482</v>
      </c>
      <c r="K23" s="8">
        <v>100000</v>
      </c>
      <c r="L23" s="6"/>
      <c r="M23" s="6"/>
      <c r="N23" s="6"/>
      <c r="O23" s="6" t="s">
        <v>2472</v>
      </c>
      <c r="P23" s="22"/>
      <c r="Q23" s="22" t="s">
        <v>5942</v>
      </c>
      <c r="R23" s="6"/>
      <c r="S23" s="6"/>
      <c r="T23" s="179"/>
      <c r="U23" s="6"/>
      <c r="V23" s="6"/>
      <c r="W23" s="6"/>
      <c r="X23" s="6"/>
      <c r="Y23" s="54"/>
      <c r="Z23" s="54"/>
    </row>
    <row r="24" spans="1:26" ht="51" hidden="1">
      <c r="A24" s="243" t="s">
        <v>129</v>
      </c>
      <c r="B24" s="336" t="s">
        <v>5538</v>
      </c>
      <c r="C24" s="22"/>
      <c r="D24" s="337" t="s">
        <v>5943</v>
      </c>
      <c r="E24" s="6" t="s">
        <v>1867</v>
      </c>
      <c r="F24" s="6" t="s">
        <v>1262</v>
      </c>
      <c r="G24" s="7"/>
      <c r="H24" s="7">
        <v>45063</v>
      </c>
      <c r="I24" s="6" t="s">
        <v>5539</v>
      </c>
      <c r="J24" s="6" t="s">
        <v>5540</v>
      </c>
      <c r="K24" s="8">
        <v>1094940</v>
      </c>
      <c r="L24" s="6"/>
      <c r="M24" s="6"/>
      <c r="N24" s="6"/>
      <c r="O24" s="6"/>
      <c r="P24" s="22"/>
      <c r="Q24" s="22" t="s">
        <v>5944</v>
      </c>
      <c r="R24" s="6"/>
      <c r="S24" s="6"/>
      <c r="T24" s="179"/>
      <c r="U24" s="6"/>
      <c r="V24" s="6"/>
      <c r="W24" s="6"/>
      <c r="X24" s="6"/>
      <c r="Y24" s="54"/>
      <c r="Z24" s="54"/>
    </row>
    <row r="25" spans="1:26" ht="12.75" hidden="1">
      <c r="A25" s="243" t="s">
        <v>129</v>
      </c>
      <c r="B25" s="336" t="s">
        <v>1428</v>
      </c>
      <c r="C25" s="6" t="s">
        <v>5901</v>
      </c>
      <c r="D25" s="337" t="s">
        <v>5945</v>
      </c>
      <c r="E25" s="6" t="s">
        <v>61</v>
      </c>
      <c r="F25" s="6" t="s">
        <v>1383</v>
      </c>
      <c r="G25" s="7"/>
      <c r="H25" s="7">
        <v>45070</v>
      </c>
      <c r="I25" s="6" t="s">
        <v>1429</v>
      </c>
      <c r="J25" s="6" t="s">
        <v>1430</v>
      </c>
      <c r="K25" s="8">
        <v>50050</v>
      </c>
      <c r="L25" s="6" t="s">
        <v>6014</v>
      </c>
      <c r="M25" s="6"/>
      <c r="N25" s="6"/>
      <c r="O25" s="6" t="s">
        <v>1828</v>
      </c>
      <c r="P25" s="22"/>
      <c r="Q25" s="22"/>
      <c r="R25" s="6"/>
      <c r="S25" s="6"/>
      <c r="T25" s="179"/>
      <c r="U25" s="6"/>
      <c r="V25" s="6"/>
      <c r="W25" s="6"/>
      <c r="X25" s="6"/>
      <c r="Y25" s="54"/>
      <c r="Z25" s="6" t="s">
        <v>1383</v>
      </c>
    </row>
    <row r="26" spans="1:26" ht="63.75" hidden="1">
      <c r="A26" s="243" t="s">
        <v>129</v>
      </c>
      <c r="B26" s="338" t="s">
        <v>1036</v>
      </c>
      <c r="C26" s="339" t="s">
        <v>5901</v>
      </c>
      <c r="D26" s="340" t="s">
        <v>5946</v>
      </c>
      <c r="E26" s="339" t="s">
        <v>61</v>
      </c>
      <c r="F26" s="339" t="s">
        <v>62</v>
      </c>
      <c r="G26" s="341"/>
      <c r="H26" s="341">
        <v>45077</v>
      </c>
      <c r="I26" s="339" t="s">
        <v>1037</v>
      </c>
      <c r="J26" s="342" t="s">
        <v>5327</v>
      </c>
      <c r="K26" s="400">
        <v>496800</v>
      </c>
      <c r="L26" s="339"/>
      <c r="M26" s="339"/>
      <c r="N26" s="339"/>
      <c r="O26" s="339" t="s">
        <v>2472</v>
      </c>
      <c r="P26" s="344"/>
      <c r="Q26" s="344"/>
      <c r="R26" s="339"/>
      <c r="S26" s="339"/>
      <c r="T26" s="345"/>
      <c r="U26" s="339"/>
      <c r="V26" s="339"/>
      <c r="W26" s="339"/>
      <c r="X26" s="339"/>
      <c r="Y26" s="346"/>
      <c r="Z26" s="346"/>
    </row>
    <row r="27" spans="1:26" ht="89.25" hidden="1">
      <c r="A27" s="347" t="s">
        <v>129</v>
      </c>
      <c r="B27" s="348" t="s">
        <v>5541</v>
      </c>
      <c r="C27" s="349" t="s">
        <v>5901</v>
      </c>
      <c r="D27" s="350" t="s">
        <v>5947</v>
      </c>
      <c r="E27" s="349" t="s">
        <v>5542</v>
      </c>
      <c r="F27" s="349" t="s">
        <v>62</v>
      </c>
      <c r="G27" s="351"/>
      <c r="H27" s="352">
        <v>45084</v>
      </c>
      <c r="I27" s="349" t="s">
        <v>5543</v>
      </c>
      <c r="J27" s="353" t="s">
        <v>5544</v>
      </c>
      <c r="K27" s="354">
        <v>302825.5</v>
      </c>
      <c r="L27" s="349"/>
      <c r="M27" s="349" t="s">
        <v>5948</v>
      </c>
      <c r="N27" s="349"/>
      <c r="O27" s="349" t="s">
        <v>1828</v>
      </c>
      <c r="P27" s="355"/>
      <c r="Q27" s="355" t="s">
        <v>5949</v>
      </c>
      <c r="R27" s="349"/>
      <c r="S27" s="349"/>
      <c r="T27" s="356"/>
      <c r="U27" s="349"/>
      <c r="V27" s="349"/>
      <c r="W27" s="349"/>
      <c r="X27" s="349"/>
      <c r="Y27" s="357"/>
      <c r="Z27" s="357"/>
    </row>
    <row r="28" spans="1:26" ht="25.5" hidden="1">
      <c r="A28" s="243" t="s">
        <v>129</v>
      </c>
      <c r="B28" s="338" t="s">
        <v>1039</v>
      </c>
      <c r="C28" s="339" t="s">
        <v>5901</v>
      </c>
      <c r="D28" s="340" t="s">
        <v>5950</v>
      </c>
      <c r="E28" s="339" t="s">
        <v>61</v>
      </c>
      <c r="F28" s="339" t="s">
        <v>62</v>
      </c>
      <c r="G28" s="341"/>
      <c r="H28" s="7">
        <v>45084</v>
      </c>
      <c r="I28" s="339" t="s">
        <v>1040</v>
      </c>
      <c r="J28" s="342" t="s">
        <v>1041</v>
      </c>
      <c r="K28" s="400">
        <v>556803.44999999995</v>
      </c>
      <c r="L28" s="339"/>
      <c r="M28" s="339" t="s">
        <v>5951</v>
      </c>
      <c r="N28" s="339"/>
      <c r="O28" s="339" t="s">
        <v>1828</v>
      </c>
      <c r="P28" s="344"/>
      <c r="Q28" s="344"/>
      <c r="R28" s="339"/>
      <c r="S28" s="339"/>
      <c r="T28" s="345"/>
      <c r="U28" s="339"/>
      <c r="V28" s="339"/>
      <c r="W28" s="339"/>
      <c r="X28" s="339"/>
      <c r="Y28" s="346"/>
      <c r="Z28" s="346"/>
    </row>
    <row r="29" spans="1:26" ht="25.5">
      <c r="A29" s="243" t="s">
        <v>129</v>
      </c>
      <c r="B29" s="338" t="s">
        <v>503</v>
      </c>
      <c r="C29" s="6" t="s">
        <v>5901</v>
      </c>
      <c r="D29" s="340" t="s">
        <v>5952</v>
      </c>
      <c r="E29" s="6" t="s">
        <v>61</v>
      </c>
      <c r="F29" s="6" t="s">
        <v>85</v>
      </c>
      <c r="G29" s="7"/>
      <c r="H29" s="7">
        <v>45084</v>
      </c>
      <c r="I29" s="6" t="s">
        <v>504</v>
      </c>
      <c r="J29" s="6" t="s">
        <v>505</v>
      </c>
      <c r="K29" s="8">
        <v>185078</v>
      </c>
      <c r="L29" s="6"/>
      <c r="M29" s="6" t="s">
        <v>5953</v>
      </c>
      <c r="N29" s="6" t="s">
        <v>6022</v>
      </c>
      <c r="O29" s="6" t="s">
        <v>1828</v>
      </c>
      <c r="P29" s="22"/>
      <c r="Q29" s="22"/>
      <c r="R29" s="6"/>
      <c r="S29" s="6"/>
      <c r="T29" s="179"/>
      <c r="U29" s="6"/>
      <c r="V29" s="6"/>
      <c r="W29" s="6"/>
      <c r="X29" s="6"/>
      <c r="Y29" s="54"/>
      <c r="Z29" s="54"/>
    </row>
    <row r="30" spans="1:26" ht="38.25">
      <c r="A30" s="243" t="s">
        <v>129</v>
      </c>
      <c r="B30" s="338" t="s">
        <v>506</v>
      </c>
      <c r="C30" s="6" t="s">
        <v>5901</v>
      </c>
      <c r="D30" s="340" t="s">
        <v>5954</v>
      </c>
      <c r="E30" s="6" t="s">
        <v>61</v>
      </c>
      <c r="F30" s="6" t="s">
        <v>85</v>
      </c>
      <c r="G30" s="7"/>
      <c r="H30" s="7">
        <v>45084</v>
      </c>
      <c r="I30" s="6" t="s">
        <v>507</v>
      </c>
      <c r="J30" s="6" t="s">
        <v>508</v>
      </c>
      <c r="K30" s="8">
        <v>51292</v>
      </c>
      <c r="L30" s="6"/>
      <c r="M30" s="6" t="s">
        <v>5955</v>
      </c>
      <c r="N30" s="6" t="s">
        <v>6023</v>
      </c>
      <c r="O30" s="6" t="s">
        <v>2472</v>
      </c>
      <c r="P30" s="22"/>
      <c r="Q30" s="22"/>
      <c r="R30" s="6"/>
      <c r="S30" s="6"/>
      <c r="T30" s="179"/>
      <c r="U30" s="6"/>
      <c r="V30" s="6"/>
      <c r="W30" s="6"/>
      <c r="X30" s="6"/>
      <c r="Y30" s="54"/>
      <c r="Z30" s="54"/>
    </row>
    <row r="31" spans="1:26" ht="38.25">
      <c r="A31" s="243" t="s">
        <v>129</v>
      </c>
      <c r="B31" s="338" t="s">
        <v>138</v>
      </c>
      <c r="C31" s="6" t="s">
        <v>5901</v>
      </c>
      <c r="D31" s="340" t="s">
        <v>5956</v>
      </c>
      <c r="E31" s="6" t="s">
        <v>61</v>
      </c>
      <c r="F31" s="6" t="s">
        <v>85</v>
      </c>
      <c r="G31" s="6"/>
      <c r="H31" s="7">
        <v>45086</v>
      </c>
      <c r="I31" s="6" t="s">
        <v>86</v>
      </c>
      <c r="J31" s="6" t="s">
        <v>87</v>
      </c>
      <c r="K31" s="8">
        <v>349799.56</v>
      </c>
      <c r="L31" s="6"/>
      <c r="M31" s="6" t="s">
        <v>5957</v>
      </c>
      <c r="N31" s="6" t="s">
        <v>6024</v>
      </c>
      <c r="O31" s="6" t="s">
        <v>2472</v>
      </c>
      <c r="P31" s="22"/>
      <c r="Q31" s="22"/>
      <c r="R31" s="6"/>
      <c r="S31" s="6"/>
      <c r="T31" s="179"/>
      <c r="U31" s="6"/>
      <c r="V31" s="6"/>
      <c r="W31" s="6"/>
      <c r="X31" s="6"/>
      <c r="Y31" s="54"/>
      <c r="Z31" s="54"/>
    </row>
    <row r="32" spans="1:26" ht="25.5" hidden="1">
      <c r="A32" s="27" t="s">
        <v>129</v>
      </c>
      <c r="B32" s="27" t="s">
        <v>1042</v>
      </c>
      <c r="C32" s="6" t="s">
        <v>5901</v>
      </c>
      <c r="D32" s="358" t="s">
        <v>5958</v>
      </c>
      <c r="E32" s="339" t="s">
        <v>61</v>
      </c>
      <c r="F32" s="6" t="s">
        <v>62</v>
      </c>
      <c r="G32" s="7"/>
      <c r="H32" s="7">
        <v>45091</v>
      </c>
      <c r="I32" s="6" t="s">
        <v>1043</v>
      </c>
      <c r="J32" s="210" t="s">
        <v>1044</v>
      </c>
      <c r="K32" s="211">
        <v>1996038</v>
      </c>
      <c r="L32" s="6"/>
      <c r="M32" s="6" t="s">
        <v>5959</v>
      </c>
      <c r="N32" s="6"/>
      <c r="O32" s="6" t="s">
        <v>1828</v>
      </c>
      <c r="P32" s="22"/>
      <c r="Q32" s="22"/>
      <c r="R32" s="34"/>
      <c r="S32" s="34"/>
      <c r="T32" s="304"/>
      <c r="U32" s="34"/>
      <c r="V32" s="34"/>
      <c r="W32" s="34"/>
      <c r="X32" s="34"/>
      <c r="Y32" s="105"/>
      <c r="Z32" s="105"/>
    </row>
    <row r="33" spans="1:26" ht="25.5">
      <c r="A33" s="27" t="s">
        <v>129</v>
      </c>
      <c r="B33" s="27" t="s">
        <v>509</v>
      </c>
      <c r="C33" s="6" t="s">
        <v>5901</v>
      </c>
      <c r="D33" s="358" t="s">
        <v>5960</v>
      </c>
      <c r="E33" s="6" t="s">
        <v>61</v>
      </c>
      <c r="F33" s="6" t="s">
        <v>85</v>
      </c>
      <c r="G33" s="7"/>
      <c r="H33" s="7">
        <v>45091</v>
      </c>
      <c r="I33" s="6" t="s">
        <v>510</v>
      </c>
      <c r="J33" s="6" t="s">
        <v>511</v>
      </c>
      <c r="K33" s="8">
        <v>218000</v>
      </c>
      <c r="L33" s="6"/>
      <c r="M33" s="6" t="s">
        <v>5961</v>
      </c>
      <c r="N33" s="6" t="s">
        <v>6025</v>
      </c>
      <c r="O33" s="6" t="s">
        <v>2472</v>
      </c>
      <c r="P33" s="22"/>
      <c r="Q33" s="22"/>
      <c r="R33" s="34"/>
      <c r="S33" s="34"/>
      <c r="T33" s="304"/>
      <c r="U33" s="34"/>
      <c r="V33" s="34"/>
      <c r="W33" s="34"/>
      <c r="X33" s="34"/>
      <c r="Y33" s="105"/>
      <c r="Z33" s="105"/>
    </row>
    <row r="34" spans="1:26" ht="25.5">
      <c r="A34" s="27" t="s">
        <v>129</v>
      </c>
      <c r="B34" s="27" t="s">
        <v>512</v>
      </c>
      <c r="C34" s="6" t="s">
        <v>5901</v>
      </c>
      <c r="D34" s="358" t="s">
        <v>5962</v>
      </c>
      <c r="E34" s="6" t="s">
        <v>61</v>
      </c>
      <c r="F34" s="6" t="s">
        <v>85</v>
      </c>
      <c r="G34" s="7"/>
      <c r="H34" s="7">
        <v>45091</v>
      </c>
      <c r="I34" s="6" t="s">
        <v>5545</v>
      </c>
      <c r="J34" s="6" t="s">
        <v>514</v>
      </c>
      <c r="K34" s="8">
        <v>35620</v>
      </c>
      <c r="L34" s="6"/>
      <c r="M34" s="6" t="s">
        <v>5651</v>
      </c>
      <c r="N34" s="6" t="s">
        <v>6026</v>
      </c>
      <c r="O34" s="6" t="s">
        <v>1896</v>
      </c>
      <c r="P34" s="22"/>
      <c r="Q34" s="22"/>
      <c r="R34" s="34"/>
      <c r="S34" s="34"/>
      <c r="T34" s="304"/>
      <c r="U34" s="34"/>
      <c r="V34" s="34"/>
      <c r="W34" s="34"/>
      <c r="X34" s="34"/>
      <c r="Y34" s="105"/>
      <c r="Z34" s="105"/>
    </row>
    <row r="35" spans="1:26" ht="25.5">
      <c r="A35" s="27" t="s">
        <v>129</v>
      </c>
      <c r="B35" s="27" t="s">
        <v>515</v>
      </c>
      <c r="C35" s="6" t="s">
        <v>5901</v>
      </c>
      <c r="D35" s="358" t="s">
        <v>5963</v>
      </c>
      <c r="E35" s="6" t="s">
        <v>61</v>
      </c>
      <c r="F35" s="6" t="s">
        <v>85</v>
      </c>
      <c r="G35" s="7"/>
      <c r="H35" s="7">
        <v>45091</v>
      </c>
      <c r="I35" s="6" t="s">
        <v>516</v>
      </c>
      <c r="J35" s="6" t="s">
        <v>517</v>
      </c>
      <c r="K35" s="8">
        <v>55730</v>
      </c>
      <c r="L35" s="6"/>
      <c r="M35" s="6" t="s">
        <v>5964</v>
      </c>
      <c r="N35" s="6" t="s">
        <v>6027</v>
      </c>
      <c r="O35" s="6" t="s">
        <v>2130</v>
      </c>
      <c r="P35" s="22"/>
      <c r="Q35" s="22"/>
      <c r="R35" s="34"/>
      <c r="S35" s="34"/>
      <c r="T35" s="304"/>
      <c r="U35" s="34"/>
      <c r="V35" s="34"/>
      <c r="W35" s="34"/>
      <c r="X35" s="34"/>
      <c r="Y35" s="105"/>
      <c r="Z35" s="105"/>
    </row>
    <row r="36" spans="1:26" ht="51">
      <c r="A36" s="27" t="s">
        <v>129</v>
      </c>
      <c r="B36" s="27" t="s">
        <v>518</v>
      </c>
      <c r="C36" s="6" t="s">
        <v>5901</v>
      </c>
      <c r="D36" s="358" t="s">
        <v>5965</v>
      </c>
      <c r="E36" s="6" t="s">
        <v>61</v>
      </c>
      <c r="F36" s="6" t="s">
        <v>85</v>
      </c>
      <c r="G36" s="7"/>
      <c r="H36" s="7">
        <v>45091</v>
      </c>
      <c r="I36" s="6" t="s">
        <v>519</v>
      </c>
      <c r="J36" s="6" t="s">
        <v>520</v>
      </c>
      <c r="K36" s="8">
        <v>99750</v>
      </c>
      <c r="L36" s="6"/>
      <c r="M36" s="6" t="s">
        <v>5966</v>
      </c>
      <c r="N36" s="6" t="s">
        <v>6028</v>
      </c>
      <c r="O36" s="156" t="s">
        <v>1879</v>
      </c>
      <c r="P36" s="22"/>
      <c r="Q36" s="22"/>
      <c r="R36" s="34"/>
      <c r="S36" s="34"/>
      <c r="T36" s="304"/>
      <c r="U36" s="34"/>
      <c r="V36" s="34"/>
      <c r="W36" s="34"/>
      <c r="X36" s="34"/>
      <c r="Y36" s="105"/>
      <c r="Z36" s="105"/>
    </row>
    <row r="37" spans="1:26" ht="51">
      <c r="A37" s="27" t="s">
        <v>129</v>
      </c>
      <c r="B37" s="27" t="s">
        <v>521</v>
      </c>
      <c r="C37" s="6" t="s">
        <v>5901</v>
      </c>
      <c r="D37" s="358" t="s">
        <v>5967</v>
      </c>
      <c r="E37" s="6" t="s">
        <v>61</v>
      </c>
      <c r="F37" s="6" t="s">
        <v>85</v>
      </c>
      <c r="G37" s="7"/>
      <c r="H37" s="7">
        <v>45091</v>
      </c>
      <c r="I37" s="6" t="s">
        <v>522</v>
      </c>
      <c r="J37" s="6" t="s">
        <v>523</v>
      </c>
      <c r="K37" s="8">
        <v>94750</v>
      </c>
      <c r="L37" s="6"/>
      <c r="M37" s="6" t="s">
        <v>5966</v>
      </c>
      <c r="N37" s="6" t="s">
        <v>6028</v>
      </c>
      <c r="O37" s="156" t="s">
        <v>1879</v>
      </c>
      <c r="P37" s="22"/>
      <c r="Q37" s="22"/>
      <c r="R37" s="34"/>
      <c r="S37" s="34"/>
      <c r="T37" s="304"/>
      <c r="U37" s="34"/>
      <c r="V37" s="34"/>
      <c r="W37" s="34"/>
      <c r="X37" s="34"/>
      <c r="Y37" s="105"/>
      <c r="Z37" s="105"/>
    </row>
    <row r="38" spans="1:26" ht="38.25" hidden="1">
      <c r="A38" s="27" t="s">
        <v>129</v>
      </c>
      <c r="B38" s="27" t="s">
        <v>524</v>
      </c>
      <c r="C38" s="6" t="s">
        <v>5901</v>
      </c>
      <c r="D38" s="358" t="s">
        <v>5968</v>
      </c>
      <c r="E38" s="6" t="s">
        <v>61</v>
      </c>
      <c r="F38" s="6" t="s">
        <v>125</v>
      </c>
      <c r="G38" s="7"/>
      <c r="H38" s="7">
        <v>45091</v>
      </c>
      <c r="I38" s="6" t="s">
        <v>525</v>
      </c>
      <c r="J38" s="6" t="s">
        <v>526</v>
      </c>
      <c r="K38" s="8">
        <v>2518284</v>
      </c>
      <c r="L38" s="6"/>
      <c r="M38" s="6" t="s">
        <v>6029</v>
      </c>
      <c r="N38" s="6" t="s">
        <v>6030</v>
      </c>
      <c r="O38" s="6" t="s">
        <v>2472</v>
      </c>
      <c r="P38" s="22"/>
      <c r="Q38" s="22"/>
      <c r="R38" s="34"/>
      <c r="S38" s="34"/>
      <c r="T38" s="304"/>
      <c r="U38" s="34"/>
      <c r="V38" s="34"/>
      <c r="W38" s="34"/>
      <c r="X38" s="34"/>
      <c r="Y38" s="105"/>
      <c r="Z38" s="105"/>
    </row>
    <row r="39" spans="1:26" ht="63.75" hidden="1">
      <c r="A39" s="401" t="s">
        <v>129</v>
      </c>
      <c r="B39" s="401" t="s">
        <v>5546</v>
      </c>
      <c r="C39" s="402" t="s">
        <v>5901</v>
      </c>
      <c r="D39" s="403" t="s">
        <v>5969</v>
      </c>
      <c r="E39" s="402" t="s">
        <v>5542</v>
      </c>
      <c r="F39" s="402" t="s">
        <v>125</v>
      </c>
      <c r="G39" s="404"/>
      <c r="H39" s="404">
        <v>45091</v>
      </c>
      <c r="I39" s="402" t="s">
        <v>5547</v>
      </c>
      <c r="J39" s="402" t="s">
        <v>5548</v>
      </c>
      <c r="K39" s="405">
        <v>2663400</v>
      </c>
      <c r="L39" s="402"/>
      <c r="M39" s="402" t="s">
        <v>6031</v>
      </c>
      <c r="N39" s="402" t="s">
        <v>6032</v>
      </c>
      <c r="O39" s="402" t="s">
        <v>1828</v>
      </c>
      <c r="P39" s="406"/>
      <c r="Q39" s="406"/>
      <c r="R39" s="407"/>
      <c r="S39" s="407"/>
      <c r="T39" s="408"/>
      <c r="U39" s="407"/>
      <c r="V39" s="407"/>
      <c r="W39" s="407"/>
      <c r="X39" s="407"/>
      <c r="Y39" s="409"/>
      <c r="Z39" s="409"/>
    </row>
    <row r="40" spans="1:26" ht="25.5" hidden="1">
      <c r="A40" s="27" t="s">
        <v>129</v>
      </c>
      <c r="B40" s="27" t="s">
        <v>1431</v>
      </c>
      <c r="C40" s="6" t="s">
        <v>5901</v>
      </c>
      <c r="D40" s="358" t="s">
        <v>5970</v>
      </c>
      <c r="E40" s="6" t="s">
        <v>61</v>
      </c>
      <c r="F40" s="6" t="s">
        <v>1383</v>
      </c>
      <c r="G40" s="7"/>
      <c r="H40" s="7">
        <v>45098</v>
      </c>
      <c r="I40" s="6" t="s">
        <v>1432</v>
      </c>
      <c r="J40" s="6" t="s">
        <v>1433</v>
      </c>
      <c r="K40" s="8">
        <v>200000</v>
      </c>
      <c r="L40" s="6" t="s">
        <v>6015</v>
      </c>
      <c r="M40" s="6"/>
      <c r="N40" s="6"/>
      <c r="O40" s="6"/>
      <c r="P40" s="22"/>
      <c r="Q40" s="22"/>
      <c r="R40" s="34"/>
      <c r="S40" s="34"/>
      <c r="T40" s="304"/>
      <c r="U40" s="34"/>
      <c r="V40" s="34"/>
      <c r="W40" s="34"/>
      <c r="X40" s="34"/>
      <c r="Y40" s="105"/>
      <c r="Z40" s="105"/>
    </row>
    <row r="41" spans="1:26" ht="25.5">
      <c r="A41" s="27" t="s">
        <v>129</v>
      </c>
      <c r="B41" s="27" t="s">
        <v>527</v>
      </c>
      <c r="C41" s="6" t="s">
        <v>5901</v>
      </c>
      <c r="D41" s="358" t="s">
        <v>5971</v>
      </c>
      <c r="E41" s="6" t="s">
        <v>61</v>
      </c>
      <c r="F41" s="6" t="s">
        <v>456</v>
      </c>
      <c r="G41" s="7"/>
      <c r="H41" s="7">
        <v>45098</v>
      </c>
      <c r="I41" s="6" t="s">
        <v>528</v>
      </c>
      <c r="J41" s="6" t="s">
        <v>5549</v>
      </c>
      <c r="K41" s="8">
        <v>66200</v>
      </c>
      <c r="L41" s="6"/>
      <c r="M41" s="6" t="s">
        <v>5972</v>
      </c>
      <c r="N41" s="6" t="s">
        <v>6033</v>
      </c>
      <c r="O41" s="6" t="s">
        <v>2472</v>
      </c>
      <c r="P41" s="22"/>
      <c r="Q41" s="22"/>
      <c r="R41" s="34"/>
      <c r="S41" s="34"/>
      <c r="T41" s="304"/>
      <c r="U41" s="34"/>
      <c r="V41" s="34"/>
      <c r="W41" s="34"/>
      <c r="X41" s="34"/>
      <c r="Y41" s="105"/>
      <c r="Z41" s="105"/>
    </row>
    <row r="42" spans="1:26" ht="51">
      <c r="A42" s="27" t="s">
        <v>129</v>
      </c>
      <c r="B42" s="27" t="s">
        <v>530</v>
      </c>
      <c r="C42" s="6" t="s">
        <v>5901</v>
      </c>
      <c r="D42" s="358" t="s">
        <v>5973</v>
      </c>
      <c r="E42" s="6" t="s">
        <v>61</v>
      </c>
      <c r="F42" s="6" t="s">
        <v>85</v>
      </c>
      <c r="G42" s="7"/>
      <c r="H42" s="7">
        <v>45098</v>
      </c>
      <c r="I42" s="6" t="s">
        <v>531</v>
      </c>
      <c r="J42" s="6" t="s">
        <v>5975</v>
      </c>
      <c r="K42" s="8">
        <v>142051</v>
      </c>
      <c r="L42" s="6"/>
      <c r="M42" s="6" t="s">
        <v>5976</v>
      </c>
      <c r="N42" s="6" t="s">
        <v>6027</v>
      </c>
      <c r="O42" s="6" t="s">
        <v>2130</v>
      </c>
      <c r="P42" s="22"/>
      <c r="Q42" s="22"/>
      <c r="R42" s="34"/>
      <c r="S42" s="34"/>
      <c r="T42" s="304"/>
      <c r="U42" s="34"/>
      <c r="V42" s="34"/>
      <c r="W42" s="34"/>
      <c r="X42" s="34"/>
      <c r="Y42" s="105"/>
      <c r="Z42" s="105"/>
    </row>
    <row r="43" spans="1:26" ht="25.5">
      <c r="A43" s="27" t="s">
        <v>129</v>
      </c>
      <c r="B43" s="27" t="s">
        <v>533</v>
      </c>
      <c r="C43" s="6" t="s">
        <v>5901</v>
      </c>
      <c r="D43" s="358" t="s">
        <v>5977</v>
      </c>
      <c r="E43" s="6" t="s">
        <v>61</v>
      </c>
      <c r="F43" s="6" t="s">
        <v>85</v>
      </c>
      <c r="G43" s="7"/>
      <c r="H43" s="7">
        <v>45098</v>
      </c>
      <c r="I43" s="6" t="s">
        <v>534</v>
      </c>
      <c r="J43" s="6" t="s">
        <v>535</v>
      </c>
      <c r="K43" s="8">
        <v>79200</v>
      </c>
      <c r="L43" s="6"/>
      <c r="M43" s="6" t="s">
        <v>5978</v>
      </c>
      <c r="N43" s="6" t="s">
        <v>6034</v>
      </c>
      <c r="O43" s="6" t="s">
        <v>1899</v>
      </c>
      <c r="P43" s="22"/>
      <c r="Q43" s="22"/>
      <c r="R43" s="34"/>
      <c r="S43" s="34"/>
      <c r="T43" s="304"/>
      <c r="U43" s="34"/>
      <c r="V43" s="34"/>
      <c r="W43" s="34"/>
      <c r="X43" s="34"/>
      <c r="Y43" s="105"/>
      <c r="Z43" s="105"/>
    </row>
    <row r="44" spans="1:26" ht="51">
      <c r="A44" s="27" t="s">
        <v>129</v>
      </c>
      <c r="B44" s="27" t="s">
        <v>536</v>
      </c>
      <c r="C44" s="6" t="s">
        <v>5901</v>
      </c>
      <c r="D44" s="359"/>
      <c r="E44" s="6" t="s">
        <v>61</v>
      </c>
      <c r="F44" s="6" t="s">
        <v>85</v>
      </c>
      <c r="G44" s="7"/>
      <c r="H44" s="7">
        <v>45104</v>
      </c>
      <c r="I44" s="6" t="s">
        <v>537</v>
      </c>
      <c r="J44" s="210" t="s">
        <v>5551</v>
      </c>
      <c r="K44" s="30">
        <v>170921.5</v>
      </c>
      <c r="L44" s="6"/>
      <c r="M44" s="6" t="s">
        <v>5979</v>
      </c>
      <c r="N44" s="6" t="s">
        <v>6035</v>
      </c>
      <c r="O44" s="6" t="s">
        <v>2571</v>
      </c>
      <c r="P44" s="22"/>
      <c r="Q44" s="22"/>
      <c r="R44" s="34"/>
      <c r="S44" s="34"/>
      <c r="T44" s="304"/>
      <c r="U44" s="34"/>
      <c r="V44" s="34"/>
      <c r="W44" s="34"/>
      <c r="X44" s="34"/>
      <c r="Y44" s="105"/>
      <c r="Z44" s="105"/>
    </row>
    <row r="45" spans="1:26" ht="51">
      <c r="A45" s="27" t="s">
        <v>129</v>
      </c>
      <c r="B45" s="27" t="s">
        <v>539</v>
      </c>
      <c r="C45" s="6" t="s">
        <v>5901</v>
      </c>
      <c r="D45" s="358" t="s">
        <v>5980</v>
      </c>
      <c r="E45" s="6" t="s">
        <v>61</v>
      </c>
      <c r="F45" s="6" t="s">
        <v>85</v>
      </c>
      <c r="G45" s="7"/>
      <c r="H45" s="7">
        <v>45104</v>
      </c>
      <c r="I45" s="6" t="s">
        <v>540</v>
      </c>
      <c r="J45" s="210" t="s">
        <v>541</v>
      </c>
      <c r="K45" s="30">
        <v>96088.5</v>
      </c>
      <c r="L45" s="6"/>
      <c r="M45" s="6" t="s">
        <v>5981</v>
      </c>
      <c r="N45" s="6" t="s">
        <v>6036</v>
      </c>
      <c r="O45" s="6" t="s">
        <v>1828</v>
      </c>
      <c r="P45" s="22"/>
      <c r="Q45" s="22"/>
      <c r="R45" s="34"/>
      <c r="S45" s="34"/>
      <c r="T45" s="304"/>
      <c r="U45" s="34"/>
      <c r="V45" s="34"/>
      <c r="W45" s="34"/>
      <c r="X45" s="34"/>
      <c r="Y45" s="105"/>
      <c r="Z45" s="105"/>
    </row>
    <row r="46" spans="1:26" ht="12.75" hidden="1">
      <c r="A46" s="27" t="s">
        <v>129</v>
      </c>
      <c r="B46" s="27" t="s">
        <v>5552</v>
      </c>
      <c r="C46" s="22"/>
      <c r="D46" s="359"/>
      <c r="E46" s="6" t="s">
        <v>1867</v>
      </c>
      <c r="F46" s="6" t="s">
        <v>62</v>
      </c>
      <c r="G46" s="7"/>
      <c r="H46" s="7">
        <v>45104</v>
      </c>
      <c r="I46" s="6" t="s">
        <v>5553</v>
      </c>
      <c r="J46" s="210" t="s">
        <v>5554</v>
      </c>
      <c r="K46" s="30"/>
      <c r="L46" s="6"/>
      <c r="M46" s="6"/>
      <c r="N46" s="6"/>
      <c r="O46" s="6"/>
      <c r="P46" s="22"/>
      <c r="Q46" s="22"/>
      <c r="R46" s="34"/>
      <c r="S46" s="34"/>
      <c r="T46" s="304"/>
      <c r="U46" s="34"/>
      <c r="V46" s="34"/>
      <c r="W46" s="34"/>
      <c r="X46" s="34"/>
      <c r="Y46" s="105"/>
      <c r="Z46" s="105"/>
    </row>
    <row r="47" spans="1:26" ht="25.5" hidden="1">
      <c r="A47" s="27" t="s">
        <v>129</v>
      </c>
      <c r="B47" s="27" t="s">
        <v>542</v>
      </c>
      <c r="C47" s="6" t="s">
        <v>5901</v>
      </c>
      <c r="D47" s="359"/>
      <c r="E47" s="6" t="s">
        <v>61</v>
      </c>
      <c r="F47" s="6" t="s">
        <v>125</v>
      </c>
      <c r="G47" s="7"/>
      <c r="H47" s="7">
        <v>45106</v>
      </c>
      <c r="I47" s="6" t="s">
        <v>543</v>
      </c>
      <c r="J47" s="6" t="s">
        <v>544</v>
      </c>
      <c r="K47" s="30">
        <v>2743807.5</v>
      </c>
      <c r="L47" s="6"/>
      <c r="M47" s="6" t="s">
        <v>6037</v>
      </c>
      <c r="N47" s="6" t="s">
        <v>6030</v>
      </c>
      <c r="O47" s="6" t="s">
        <v>2082</v>
      </c>
      <c r="P47" s="22"/>
      <c r="Q47" s="22"/>
      <c r="R47" s="34"/>
      <c r="S47" s="34"/>
      <c r="T47" s="304"/>
      <c r="U47" s="34"/>
      <c r="V47" s="34"/>
      <c r="W47" s="34"/>
      <c r="X47" s="34"/>
      <c r="Y47" s="105"/>
      <c r="Z47" s="105"/>
    </row>
    <row r="48" spans="1:26" ht="63.75" hidden="1">
      <c r="A48" s="27" t="s">
        <v>129</v>
      </c>
      <c r="B48" s="27" t="s">
        <v>1045</v>
      </c>
      <c r="C48" s="6" t="s">
        <v>5901</v>
      </c>
      <c r="D48" s="359"/>
      <c r="E48" s="6" t="s">
        <v>61</v>
      </c>
      <c r="F48" s="6" t="s">
        <v>62</v>
      </c>
      <c r="G48" s="7"/>
      <c r="H48" s="7">
        <v>45119</v>
      </c>
      <c r="I48" s="6" t="s">
        <v>1046</v>
      </c>
      <c r="J48" s="210" t="s">
        <v>1047</v>
      </c>
      <c r="K48" s="211">
        <v>163174.5</v>
      </c>
      <c r="L48" s="6"/>
      <c r="M48" s="6" t="s">
        <v>5983</v>
      </c>
      <c r="N48" s="6"/>
      <c r="O48" s="6" t="s">
        <v>1896</v>
      </c>
      <c r="P48" s="22"/>
      <c r="Q48" s="22"/>
      <c r="R48" s="34"/>
      <c r="S48" s="34"/>
      <c r="T48" s="304"/>
      <c r="U48" s="34"/>
      <c r="V48" s="34"/>
      <c r="W48" s="34"/>
      <c r="X48" s="34"/>
      <c r="Y48" s="105"/>
      <c r="Z48" s="105"/>
    </row>
    <row r="49" spans="1:26" ht="114.75">
      <c r="A49" s="27" t="s">
        <v>129</v>
      </c>
      <c r="B49" s="27" t="s">
        <v>545</v>
      </c>
      <c r="C49" s="6" t="s">
        <v>5901</v>
      </c>
      <c r="D49" s="359"/>
      <c r="E49" s="6" t="s">
        <v>61</v>
      </c>
      <c r="F49" s="6" t="s">
        <v>85</v>
      </c>
      <c r="G49" s="7"/>
      <c r="H49" s="7">
        <v>45119</v>
      </c>
      <c r="I49" s="6" t="s">
        <v>546</v>
      </c>
      <c r="J49" s="210" t="s">
        <v>547</v>
      </c>
      <c r="K49" s="30">
        <v>66103</v>
      </c>
      <c r="L49" s="6"/>
      <c r="M49" s="6" t="s">
        <v>5984</v>
      </c>
      <c r="N49" s="6" t="s">
        <v>6038</v>
      </c>
      <c r="O49" s="6" t="s">
        <v>1896</v>
      </c>
      <c r="P49" s="22"/>
      <c r="Q49" s="22" t="s">
        <v>5985</v>
      </c>
      <c r="R49" s="34"/>
      <c r="S49" s="34"/>
      <c r="T49" s="304"/>
      <c r="U49" s="34"/>
      <c r="V49" s="34"/>
      <c r="W49" s="34"/>
      <c r="X49" s="34"/>
      <c r="Y49" s="105"/>
      <c r="Z49" s="105"/>
    </row>
    <row r="50" spans="1:26" ht="25.5" hidden="1">
      <c r="A50" s="27" t="s">
        <v>129</v>
      </c>
      <c r="B50" s="27" t="s">
        <v>1048</v>
      </c>
      <c r="C50" s="6" t="s">
        <v>5901</v>
      </c>
      <c r="D50" s="359"/>
      <c r="E50" s="6" t="s">
        <v>61</v>
      </c>
      <c r="F50" s="6" t="s">
        <v>62</v>
      </c>
      <c r="G50" s="7"/>
      <c r="H50" s="7">
        <v>45126</v>
      </c>
      <c r="I50" s="6" t="s">
        <v>1049</v>
      </c>
      <c r="J50" s="210" t="s">
        <v>1050</v>
      </c>
      <c r="K50" s="211">
        <v>500000</v>
      </c>
      <c r="L50" s="6"/>
      <c r="M50" s="6" t="s">
        <v>5986</v>
      </c>
      <c r="N50" s="6"/>
      <c r="O50" s="6" t="s">
        <v>2041</v>
      </c>
      <c r="P50" s="22"/>
      <c r="Q50" s="22"/>
      <c r="R50" s="34"/>
      <c r="S50" s="34"/>
      <c r="T50" s="304"/>
      <c r="U50" s="34"/>
      <c r="V50" s="34"/>
      <c r="W50" s="34"/>
      <c r="X50" s="34"/>
      <c r="Y50" s="105"/>
      <c r="Z50" s="105"/>
    </row>
    <row r="51" spans="1:26" ht="12.75" hidden="1">
      <c r="A51" s="27" t="s">
        <v>129</v>
      </c>
      <c r="B51" s="27" t="s">
        <v>1051</v>
      </c>
      <c r="C51" s="6"/>
      <c r="D51" s="359"/>
      <c r="E51" s="6" t="s">
        <v>61</v>
      </c>
      <c r="F51" s="6" t="s">
        <v>62</v>
      </c>
      <c r="G51" s="7"/>
      <c r="H51" s="7">
        <v>45126</v>
      </c>
      <c r="I51" s="6" t="s">
        <v>1052</v>
      </c>
      <c r="J51" s="210" t="s">
        <v>1053</v>
      </c>
      <c r="K51" s="211">
        <v>1493838</v>
      </c>
      <c r="L51" s="6"/>
      <c r="M51" s="6" t="s">
        <v>5674</v>
      </c>
      <c r="N51" s="6"/>
      <c r="O51" s="6" t="s">
        <v>1828</v>
      </c>
      <c r="P51" s="22"/>
      <c r="Q51" s="22"/>
      <c r="R51" s="34"/>
      <c r="S51" s="34"/>
      <c r="T51" s="304"/>
      <c r="U51" s="34"/>
      <c r="V51" s="34"/>
      <c r="W51" s="34"/>
      <c r="X51" s="34"/>
      <c r="Y51" s="105"/>
      <c r="Z51" s="105"/>
    </row>
    <row r="52" spans="1:26" ht="38.25" hidden="1">
      <c r="A52" s="27" t="s">
        <v>129</v>
      </c>
      <c r="B52" s="27" t="s">
        <v>5328</v>
      </c>
      <c r="C52" s="6" t="s">
        <v>5901</v>
      </c>
      <c r="D52" s="359"/>
      <c r="E52" s="6" t="s">
        <v>61</v>
      </c>
      <c r="F52" s="70" t="s">
        <v>6039</v>
      </c>
      <c r="G52" s="7"/>
      <c r="H52" s="7">
        <v>45126</v>
      </c>
      <c r="I52" s="6" t="s">
        <v>5329</v>
      </c>
      <c r="J52" s="210" t="s">
        <v>5330</v>
      </c>
      <c r="K52" s="211">
        <v>417360</v>
      </c>
      <c r="L52" s="6"/>
      <c r="M52" s="6" t="s">
        <v>5987</v>
      </c>
      <c r="N52" s="6"/>
      <c r="O52" s="6" t="s">
        <v>1916</v>
      </c>
      <c r="P52" s="22"/>
      <c r="Q52" s="22"/>
      <c r="R52" s="34"/>
      <c r="S52" s="34"/>
      <c r="T52" s="304"/>
      <c r="U52" s="34"/>
      <c r="V52" s="34"/>
      <c r="W52" s="34"/>
      <c r="X52" s="34"/>
      <c r="Y52" s="105"/>
      <c r="Z52" s="105"/>
    </row>
    <row r="53" spans="1:26" ht="25.5" hidden="1">
      <c r="A53" s="27" t="s">
        <v>129</v>
      </c>
      <c r="B53" s="27" t="s">
        <v>1054</v>
      </c>
      <c r="C53" s="6" t="s">
        <v>5901</v>
      </c>
      <c r="D53" s="359"/>
      <c r="E53" s="6" t="s">
        <v>61</v>
      </c>
      <c r="F53" s="6" t="s">
        <v>62</v>
      </c>
      <c r="G53" s="7"/>
      <c r="H53" s="7">
        <v>45126</v>
      </c>
      <c r="I53" s="6" t="s">
        <v>1055</v>
      </c>
      <c r="J53" s="210" t="s">
        <v>1056</v>
      </c>
      <c r="K53" s="211">
        <v>1240000</v>
      </c>
      <c r="L53" s="6"/>
      <c r="M53" s="6" t="s">
        <v>5988</v>
      </c>
      <c r="N53" s="6"/>
      <c r="O53" s="6" t="s">
        <v>1828</v>
      </c>
      <c r="P53" s="22"/>
      <c r="Q53" s="22"/>
      <c r="R53" s="34"/>
      <c r="S53" s="34"/>
      <c r="T53" s="304"/>
      <c r="U53" s="34"/>
      <c r="V53" s="34"/>
      <c r="W53" s="34"/>
      <c r="X53" s="34"/>
      <c r="Y53" s="105"/>
      <c r="Z53" s="105"/>
    </row>
    <row r="54" spans="1:26" ht="25.5" hidden="1">
      <c r="A54" s="27" t="s">
        <v>129</v>
      </c>
      <c r="B54" s="27" t="s">
        <v>1057</v>
      </c>
      <c r="C54" s="6" t="s">
        <v>5901</v>
      </c>
      <c r="D54" s="359"/>
      <c r="E54" s="6" t="s">
        <v>61</v>
      </c>
      <c r="F54" s="6" t="s">
        <v>62</v>
      </c>
      <c r="G54" s="7"/>
      <c r="H54" s="7">
        <v>45126</v>
      </c>
      <c r="I54" s="6" t="s">
        <v>1058</v>
      </c>
      <c r="J54" s="210" t="s">
        <v>1059</v>
      </c>
      <c r="K54" s="211">
        <v>249255</v>
      </c>
      <c r="L54" s="6"/>
      <c r="M54" s="6" t="s">
        <v>5989</v>
      </c>
      <c r="N54" s="6"/>
      <c r="O54" s="6" t="s">
        <v>1886</v>
      </c>
      <c r="P54" s="22"/>
      <c r="Q54" s="22"/>
      <c r="R54" s="34"/>
      <c r="S54" s="34"/>
      <c r="T54" s="304"/>
      <c r="U54" s="34"/>
      <c r="V54" s="34"/>
      <c r="W54" s="34"/>
      <c r="X54" s="34"/>
      <c r="Y54" s="105"/>
      <c r="Z54" s="105"/>
    </row>
    <row r="55" spans="1:26" ht="25.5" hidden="1">
      <c r="A55" s="27" t="s">
        <v>129</v>
      </c>
      <c r="B55" s="27" t="s">
        <v>5555</v>
      </c>
      <c r="C55" s="6"/>
      <c r="D55" s="359"/>
      <c r="E55" s="6" t="s">
        <v>1867</v>
      </c>
      <c r="F55" s="6" t="s">
        <v>1877</v>
      </c>
      <c r="G55" s="7"/>
      <c r="H55" s="7">
        <v>45126</v>
      </c>
      <c r="I55" s="6" t="s">
        <v>5556</v>
      </c>
      <c r="J55" s="6" t="s">
        <v>657</v>
      </c>
      <c r="K55" s="30"/>
      <c r="L55" s="6"/>
      <c r="M55" s="6" t="s">
        <v>2096</v>
      </c>
      <c r="N55" s="6"/>
      <c r="O55" s="6"/>
      <c r="P55" s="22"/>
      <c r="Q55" s="22"/>
      <c r="R55" s="34"/>
      <c r="S55" s="34"/>
      <c r="T55" s="304"/>
      <c r="U55" s="34"/>
      <c r="V55" s="34"/>
      <c r="W55" s="34"/>
      <c r="X55" s="34"/>
      <c r="Y55" s="105"/>
      <c r="Z55" s="105"/>
    </row>
    <row r="56" spans="1:26" ht="51" hidden="1">
      <c r="A56" s="27" t="s">
        <v>129</v>
      </c>
      <c r="B56" s="27" t="s">
        <v>1060</v>
      </c>
      <c r="C56" s="6"/>
      <c r="D56" s="359"/>
      <c r="E56" s="6" t="s">
        <v>61</v>
      </c>
      <c r="F56" s="6" t="s">
        <v>62</v>
      </c>
      <c r="G56" s="7"/>
      <c r="H56" s="7">
        <v>45133</v>
      </c>
      <c r="I56" s="6" t="s">
        <v>1061</v>
      </c>
      <c r="J56" s="210" t="s">
        <v>1062</v>
      </c>
      <c r="K56" s="211">
        <v>1652388.53</v>
      </c>
      <c r="L56" s="6"/>
      <c r="M56" s="6" t="s">
        <v>5990</v>
      </c>
      <c r="N56" s="6"/>
      <c r="O56" s="6" t="s">
        <v>1828</v>
      </c>
      <c r="P56" s="22"/>
      <c r="Q56" s="22"/>
      <c r="R56" s="34"/>
      <c r="S56" s="34"/>
      <c r="T56" s="304"/>
      <c r="U56" s="34"/>
      <c r="V56" s="34"/>
      <c r="W56" s="34"/>
      <c r="X56" s="34"/>
      <c r="Y56" s="105"/>
      <c r="Z56" s="105"/>
    </row>
    <row r="57" spans="1:26" ht="63.75" hidden="1">
      <c r="A57" s="410" t="s">
        <v>129</v>
      </c>
      <c r="B57" s="410" t="s">
        <v>5557</v>
      </c>
      <c r="C57" s="411"/>
      <c r="D57" s="412"/>
      <c r="E57" s="413" t="s">
        <v>5542</v>
      </c>
      <c r="F57" s="413" t="s">
        <v>62</v>
      </c>
      <c r="G57" s="352"/>
      <c r="H57" s="352">
        <v>45133</v>
      </c>
      <c r="I57" s="413" t="s">
        <v>5558</v>
      </c>
      <c r="J57" s="414" t="s">
        <v>5559</v>
      </c>
      <c r="K57" s="415">
        <v>1107106.72</v>
      </c>
      <c r="L57" s="413"/>
      <c r="M57" s="413" t="s">
        <v>5991</v>
      </c>
      <c r="N57" s="413"/>
      <c r="O57" s="413" t="s">
        <v>1896</v>
      </c>
      <c r="P57" s="411"/>
      <c r="Q57" s="411"/>
      <c r="R57" s="416"/>
      <c r="S57" s="416"/>
      <c r="T57" s="417"/>
      <c r="U57" s="416"/>
      <c r="V57" s="416"/>
      <c r="W57" s="416"/>
      <c r="X57" s="416"/>
      <c r="Y57" s="418"/>
      <c r="Z57" s="418"/>
    </row>
    <row r="58" spans="1:26" ht="51" hidden="1">
      <c r="A58" s="410" t="s">
        <v>129</v>
      </c>
      <c r="B58" s="410" t="s">
        <v>5560</v>
      </c>
      <c r="C58" s="413" t="s">
        <v>5901</v>
      </c>
      <c r="D58" s="412"/>
      <c r="E58" s="413" t="s">
        <v>5542</v>
      </c>
      <c r="F58" s="413" t="s">
        <v>62</v>
      </c>
      <c r="G58" s="352"/>
      <c r="H58" s="352">
        <v>45140</v>
      </c>
      <c r="I58" s="413" t="s">
        <v>5561</v>
      </c>
      <c r="J58" s="413" t="s">
        <v>5562</v>
      </c>
      <c r="K58" s="419">
        <v>870750</v>
      </c>
      <c r="L58" s="413"/>
      <c r="M58" s="413" t="s">
        <v>5992</v>
      </c>
      <c r="N58" s="413"/>
      <c r="O58" s="413" t="s">
        <v>1899</v>
      </c>
      <c r="P58" s="411"/>
      <c r="Q58" s="411"/>
      <c r="R58" s="416"/>
      <c r="S58" s="416"/>
      <c r="T58" s="417"/>
      <c r="U58" s="416"/>
      <c r="V58" s="416"/>
      <c r="W58" s="416"/>
      <c r="X58" s="416"/>
      <c r="Y58" s="418"/>
      <c r="Z58" s="418"/>
    </row>
    <row r="59" spans="1:26" ht="38.25">
      <c r="A59" s="27" t="s">
        <v>129</v>
      </c>
      <c r="B59" s="27" t="s">
        <v>548</v>
      </c>
      <c r="C59" s="6" t="s">
        <v>5901</v>
      </c>
      <c r="D59" s="359"/>
      <c r="E59" s="6" t="s">
        <v>61</v>
      </c>
      <c r="F59" s="6" t="s">
        <v>85</v>
      </c>
      <c r="G59" s="7"/>
      <c r="H59" s="7">
        <v>45140</v>
      </c>
      <c r="I59" s="6" t="s">
        <v>549</v>
      </c>
      <c r="J59" s="6" t="s">
        <v>5993</v>
      </c>
      <c r="K59" s="8">
        <v>185800</v>
      </c>
      <c r="L59" s="6"/>
      <c r="M59" s="6" t="s">
        <v>5994</v>
      </c>
      <c r="N59" s="6" t="s">
        <v>6027</v>
      </c>
      <c r="O59" s="6" t="s">
        <v>2130</v>
      </c>
      <c r="P59" s="22"/>
      <c r="Q59" s="22"/>
      <c r="R59" s="34"/>
      <c r="S59" s="34"/>
      <c r="T59" s="304"/>
      <c r="U59" s="34"/>
      <c r="V59" s="34"/>
      <c r="W59" s="34"/>
      <c r="X59" s="34"/>
      <c r="Y59" s="105"/>
      <c r="Z59" s="105"/>
    </row>
    <row r="60" spans="1:26" ht="12.75" hidden="1">
      <c r="A60" s="27" t="s">
        <v>129</v>
      </c>
      <c r="B60" s="27" t="s">
        <v>5563</v>
      </c>
      <c r="C60" s="6" t="s">
        <v>5901</v>
      </c>
      <c r="D60" s="359"/>
      <c r="E60" s="6" t="s">
        <v>61</v>
      </c>
      <c r="F60" s="6" t="s">
        <v>5470</v>
      </c>
      <c r="G60" s="7"/>
      <c r="H60" s="7">
        <v>45140</v>
      </c>
      <c r="I60" s="6"/>
      <c r="J60" s="6"/>
      <c r="K60" s="8"/>
      <c r="L60" s="6"/>
      <c r="M60" s="6"/>
      <c r="N60" s="6"/>
      <c r="O60" s="6"/>
      <c r="P60" s="22"/>
      <c r="Q60" s="22"/>
      <c r="R60" s="34"/>
      <c r="S60" s="34"/>
      <c r="T60" s="304"/>
      <c r="U60" s="34"/>
      <c r="V60" s="34"/>
      <c r="W60" s="34"/>
      <c r="X60" s="34"/>
      <c r="Y60" s="105"/>
      <c r="Z60" s="105"/>
    </row>
    <row r="61" spans="1:26" ht="63.75" hidden="1">
      <c r="A61" s="27" t="s">
        <v>129</v>
      </c>
      <c r="B61" s="27" t="s">
        <v>1063</v>
      </c>
      <c r="C61" s="6" t="s">
        <v>5901</v>
      </c>
      <c r="D61" s="359"/>
      <c r="E61" s="6" t="s">
        <v>61</v>
      </c>
      <c r="F61" s="6" t="s">
        <v>62</v>
      </c>
      <c r="G61" s="7"/>
      <c r="H61" s="7">
        <v>45140</v>
      </c>
      <c r="I61" s="6" t="s">
        <v>1064</v>
      </c>
      <c r="J61" s="6" t="s">
        <v>1065</v>
      </c>
      <c r="K61" s="214">
        <v>369166.12</v>
      </c>
      <c r="L61" s="6"/>
      <c r="M61" s="6" t="s">
        <v>5995</v>
      </c>
      <c r="N61" s="6"/>
      <c r="O61" s="6" t="s">
        <v>2051</v>
      </c>
      <c r="P61" s="22"/>
      <c r="Q61" s="22"/>
      <c r="R61" s="34"/>
      <c r="S61" s="34"/>
      <c r="T61" s="304"/>
      <c r="U61" s="34"/>
      <c r="V61" s="34"/>
      <c r="W61" s="34"/>
      <c r="X61" s="34"/>
      <c r="Y61" s="105"/>
      <c r="Z61" s="105"/>
    </row>
    <row r="62" spans="1:26" ht="25.5" hidden="1">
      <c r="A62" s="27" t="s">
        <v>129</v>
      </c>
      <c r="B62" s="27" t="s">
        <v>1066</v>
      </c>
      <c r="C62" s="6" t="s">
        <v>5901</v>
      </c>
      <c r="D62" s="359"/>
      <c r="E62" s="6" t="s">
        <v>61</v>
      </c>
      <c r="F62" s="6" t="s">
        <v>62</v>
      </c>
      <c r="G62" s="7"/>
      <c r="H62" s="7">
        <v>45147</v>
      </c>
      <c r="I62" s="6" t="s">
        <v>1067</v>
      </c>
      <c r="J62" s="210" t="s">
        <v>1068</v>
      </c>
      <c r="K62" s="211">
        <v>309847.12</v>
      </c>
      <c r="L62" s="6"/>
      <c r="M62" s="6" t="s">
        <v>6040</v>
      </c>
      <c r="N62" s="6"/>
      <c r="O62" s="6" t="s">
        <v>1828</v>
      </c>
      <c r="P62" s="22"/>
      <c r="Q62" s="22"/>
      <c r="R62" s="34"/>
      <c r="S62" s="34"/>
      <c r="T62" s="304"/>
      <c r="U62" s="34"/>
      <c r="V62" s="34"/>
      <c r="W62" s="34"/>
      <c r="X62" s="34"/>
      <c r="Y62" s="105"/>
      <c r="Z62" s="105"/>
    </row>
    <row r="63" spans="1:26" ht="38.25" hidden="1">
      <c r="A63" s="27" t="s">
        <v>129</v>
      </c>
      <c r="B63" s="27" t="s">
        <v>1069</v>
      </c>
      <c r="C63" s="6" t="s">
        <v>5901</v>
      </c>
      <c r="D63" s="359"/>
      <c r="E63" s="6" t="s">
        <v>61</v>
      </c>
      <c r="F63" s="6" t="s">
        <v>62</v>
      </c>
      <c r="G63" s="7"/>
      <c r="H63" s="7">
        <v>45147</v>
      </c>
      <c r="I63" s="34" t="s">
        <v>1070</v>
      </c>
      <c r="J63" s="210" t="s">
        <v>1071</v>
      </c>
      <c r="K63" s="211">
        <v>1350000</v>
      </c>
      <c r="L63" s="6"/>
      <c r="M63" s="6" t="s">
        <v>6041</v>
      </c>
      <c r="N63" s="6"/>
      <c r="O63" s="6" t="s">
        <v>2472</v>
      </c>
      <c r="P63" s="22"/>
      <c r="Q63" s="22"/>
      <c r="R63" s="34"/>
      <c r="S63" s="34"/>
      <c r="T63" s="304"/>
      <c r="U63" s="34"/>
      <c r="V63" s="34"/>
      <c r="W63" s="34"/>
      <c r="X63" s="34"/>
      <c r="Y63" s="105"/>
      <c r="Z63" s="105"/>
    </row>
    <row r="64" spans="1:26" ht="38.25" hidden="1">
      <c r="A64" s="27" t="s">
        <v>129</v>
      </c>
      <c r="B64" s="27" t="s">
        <v>1072</v>
      </c>
      <c r="C64" s="6" t="s">
        <v>5901</v>
      </c>
      <c r="D64" s="359"/>
      <c r="E64" s="6" t="s">
        <v>61</v>
      </c>
      <c r="F64" s="6" t="s">
        <v>62</v>
      </c>
      <c r="G64" s="7"/>
      <c r="H64" s="7">
        <v>45147</v>
      </c>
      <c r="I64" s="6" t="s">
        <v>1073</v>
      </c>
      <c r="J64" s="210" t="s">
        <v>5331</v>
      </c>
      <c r="K64" s="211">
        <v>570040.98</v>
      </c>
      <c r="L64" s="6"/>
      <c r="M64" s="6" t="s">
        <v>6042</v>
      </c>
      <c r="N64" s="6"/>
      <c r="O64" s="6" t="s">
        <v>1855</v>
      </c>
      <c r="P64" s="22"/>
      <c r="Q64" s="22"/>
      <c r="R64" s="34"/>
      <c r="S64" s="34"/>
      <c r="T64" s="304"/>
      <c r="U64" s="34"/>
      <c r="V64" s="34"/>
      <c r="W64" s="34"/>
      <c r="X64" s="34"/>
      <c r="Y64" s="105"/>
      <c r="Z64" s="105"/>
    </row>
    <row r="65" spans="1:26" ht="51">
      <c r="A65" s="27" t="s">
        <v>129</v>
      </c>
      <c r="B65" s="27" t="s">
        <v>551</v>
      </c>
      <c r="C65" s="6" t="s">
        <v>5901</v>
      </c>
      <c r="D65" s="359"/>
      <c r="E65" s="6" t="s">
        <v>61</v>
      </c>
      <c r="F65" s="6" t="s">
        <v>85</v>
      </c>
      <c r="G65" s="7"/>
      <c r="H65" s="7">
        <v>45147</v>
      </c>
      <c r="I65" s="6" t="s">
        <v>552</v>
      </c>
      <c r="J65" s="210" t="s">
        <v>553</v>
      </c>
      <c r="K65" s="30">
        <v>93350</v>
      </c>
      <c r="L65" s="6"/>
      <c r="M65" s="6" t="s">
        <v>6043</v>
      </c>
      <c r="N65" s="156" t="s">
        <v>6044</v>
      </c>
      <c r="O65" s="6" t="s">
        <v>2676</v>
      </c>
      <c r="P65" s="22"/>
      <c r="Q65" s="22"/>
      <c r="R65" s="34"/>
      <c r="S65" s="34"/>
      <c r="T65" s="304"/>
      <c r="U65" s="34"/>
      <c r="V65" s="34"/>
      <c r="W65" s="34"/>
      <c r="X65" s="34"/>
      <c r="Y65" s="105"/>
      <c r="Z65" s="105"/>
    </row>
    <row r="66" spans="1:26" ht="25.5" hidden="1">
      <c r="A66" s="27" t="s">
        <v>129</v>
      </c>
      <c r="B66" s="27" t="s">
        <v>5565</v>
      </c>
      <c r="C66" s="6" t="s">
        <v>5901</v>
      </c>
      <c r="D66" s="359"/>
      <c r="E66" s="6" t="s">
        <v>5566</v>
      </c>
      <c r="F66" s="6" t="s">
        <v>1462</v>
      </c>
      <c r="G66" s="7"/>
      <c r="H66" s="7">
        <v>45147</v>
      </c>
      <c r="I66" s="6" t="s">
        <v>5567</v>
      </c>
      <c r="J66" s="210" t="s">
        <v>5568</v>
      </c>
      <c r="K66" s="30"/>
      <c r="L66" s="6"/>
      <c r="M66" s="6"/>
      <c r="N66" s="6"/>
      <c r="O66" s="6"/>
      <c r="P66" s="22"/>
      <c r="Q66" s="22"/>
      <c r="R66" s="34"/>
      <c r="S66" s="34"/>
      <c r="T66" s="304"/>
      <c r="U66" s="34"/>
      <c r="V66" s="34"/>
      <c r="W66" s="34"/>
      <c r="X66" s="34"/>
      <c r="Y66" s="105"/>
      <c r="Z66" s="105"/>
    </row>
    <row r="67" spans="1:26" ht="63.75">
      <c r="A67" s="27" t="s">
        <v>129</v>
      </c>
      <c r="B67" s="27" t="s">
        <v>134</v>
      </c>
      <c r="C67" s="6" t="s">
        <v>5901</v>
      </c>
      <c r="D67" s="359"/>
      <c r="E67" s="6" t="s">
        <v>61</v>
      </c>
      <c r="F67" s="6" t="s">
        <v>85</v>
      </c>
      <c r="G67" s="7"/>
      <c r="H67" s="7">
        <v>45154</v>
      </c>
      <c r="I67" s="6" t="s">
        <v>95</v>
      </c>
      <c r="J67" s="210" t="s">
        <v>96</v>
      </c>
      <c r="K67" s="30">
        <v>191500</v>
      </c>
      <c r="L67" s="6"/>
      <c r="M67" s="6" t="s">
        <v>6045</v>
      </c>
      <c r="N67" s="6" t="s">
        <v>6046</v>
      </c>
      <c r="O67" s="6" t="s">
        <v>1828</v>
      </c>
      <c r="P67" s="22"/>
      <c r="Q67" s="22"/>
      <c r="R67" s="34"/>
      <c r="S67" s="34"/>
      <c r="T67" s="304"/>
      <c r="U67" s="34"/>
      <c r="V67" s="34"/>
      <c r="W67" s="34"/>
      <c r="X67" s="34"/>
      <c r="Y67" s="105"/>
      <c r="Z67" s="105"/>
    </row>
    <row r="68" spans="1:26" ht="51">
      <c r="A68" s="27" t="s">
        <v>129</v>
      </c>
      <c r="B68" s="27" t="s">
        <v>554</v>
      </c>
      <c r="C68" s="6" t="s">
        <v>5901</v>
      </c>
      <c r="D68" s="362"/>
      <c r="E68" s="6" t="s">
        <v>61</v>
      </c>
      <c r="F68" s="6" t="s">
        <v>85</v>
      </c>
      <c r="G68" s="35"/>
      <c r="H68" s="7">
        <v>45154</v>
      </c>
      <c r="I68" s="34" t="s">
        <v>555</v>
      </c>
      <c r="J68" s="34" t="s">
        <v>556</v>
      </c>
      <c r="K68" s="65">
        <v>24450</v>
      </c>
      <c r="L68" s="34"/>
      <c r="M68" s="399" t="s">
        <v>6047</v>
      </c>
      <c r="N68" s="6" t="s">
        <v>6048</v>
      </c>
      <c r="O68" s="6" t="s">
        <v>2130</v>
      </c>
      <c r="P68" s="188"/>
      <c r="Q68" s="188"/>
      <c r="R68" s="34"/>
      <c r="S68" s="34"/>
      <c r="T68" s="304"/>
      <c r="U68" s="34"/>
      <c r="V68" s="34"/>
      <c r="W68" s="34"/>
      <c r="X68" s="34"/>
      <c r="Y68" s="105"/>
      <c r="Z68" s="105"/>
    </row>
    <row r="69" spans="1:26" ht="51" hidden="1">
      <c r="A69" s="27" t="s">
        <v>129</v>
      </c>
      <c r="B69" s="27" t="s">
        <v>1434</v>
      </c>
      <c r="C69" s="6"/>
      <c r="D69" s="359"/>
      <c r="E69" s="6" t="s">
        <v>61</v>
      </c>
      <c r="F69" s="6" t="s">
        <v>1383</v>
      </c>
      <c r="G69" s="7"/>
      <c r="H69" s="7">
        <v>45161</v>
      </c>
      <c r="I69" s="6" t="s">
        <v>5512</v>
      </c>
      <c r="J69" s="6" t="s">
        <v>1436</v>
      </c>
      <c r="K69" s="8">
        <v>200000</v>
      </c>
      <c r="L69" s="6" t="s">
        <v>6015</v>
      </c>
      <c r="M69" s="6"/>
      <c r="N69" s="6"/>
      <c r="O69" s="6"/>
      <c r="P69" s="22"/>
      <c r="Q69" s="22"/>
      <c r="R69" s="34"/>
      <c r="S69" s="34"/>
      <c r="T69" s="304"/>
      <c r="U69" s="34"/>
      <c r="V69" s="34"/>
      <c r="W69" s="34"/>
      <c r="X69" s="34"/>
      <c r="Y69" s="105"/>
      <c r="Z69" s="105"/>
    </row>
    <row r="70" spans="1:26" ht="38.25" hidden="1">
      <c r="A70" s="27" t="s">
        <v>129</v>
      </c>
      <c r="B70" s="27" t="s">
        <v>1437</v>
      </c>
      <c r="C70" s="6"/>
      <c r="D70" s="359"/>
      <c r="E70" s="6" t="s">
        <v>61</v>
      </c>
      <c r="F70" s="6" t="s">
        <v>1383</v>
      </c>
      <c r="G70" s="7"/>
      <c r="H70" s="7">
        <v>45161</v>
      </c>
      <c r="I70" s="6" t="s">
        <v>5513</v>
      </c>
      <c r="J70" s="6" t="s">
        <v>1439</v>
      </c>
      <c r="K70" s="8">
        <v>355200</v>
      </c>
      <c r="L70" s="6" t="s">
        <v>6049</v>
      </c>
      <c r="M70" s="6"/>
      <c r="N70" s="6"/>
      <c r="O70" s="6"/>
      <c r="P70" s="22"/>
      <c r="Q70" s="22"/>
      <c r="R70" s="34"/>
      <c r="S70" s="34"/>
      <c r="T70" s="304"/>
      <c r="U70" s="34"/>
      <c r="V70" s="34"/>
      <c r="W70" s="34"/>
      <c r="X70" s="34"/>
      <c r="Y70" s="105"/>
      <c r="Z70" s="105"/>
    </row>
    <row r="71" spans="1:26" ht="25.5">
      <c r="A71" s="27" t="s">
        <v>129</v>
      </c>
      <c r="B71" s="27" t="s">
        <v>557</v>
      </c>
      <c r="C71" s="6"/>
      <c r="D71" s="359"/>
      <c r="E71" s="6" t="s">
        <v>61</v>
      </c>
      <c r="F71" s="6" t="s">
        <v>85</v>
      </c>
      <c r="G71" s="7"/>
      <c r="H71" s="7">
        <v>45161</v>
      </c>
      <c r="I71" s="6" t="s">
        <v>558</v>
      </c>
      <c r="J71" s="6" t="s">
        <v>559</v>
      </c>
      <c r="K71" s="8">
        <v>104239</v>
      </c>
      <c r="L71" s="6"/>
      <c r="M71" s="6" t="s">
        <v>6050</v>
      </c>
      <c r="N71" s="6" t="s">
        <v>6051</v>
      </c>
      <c r="O71" s="6" t="s">
        <v>1896</v>
      </c>
      <c r="P71" s="22"/>
      <c r="Q71" s="22"/>
      <c r="R71" s="34"/>
      <c r="S71" s="34"/>
      <c r="T71" s="304"/>
      <c r="U71" s="34"/>
      <c r="V71" s="34"/>
      <c r="W71" s="34"/>
      <c r="X71" s="34"/>
      <c r="Y71" s="105"/>
      <c r="Z71" s="105"/>
    </row>
    <row r="72" spans="1:26" ht="38.25">
      <c r="A72" s="27" t="s">
        <v>129</v>
      </c>
      <c r="B72" s="27" t="s">
        <v>560</v>
      </c>
      <c r="C72" s="6"/>
      <c r="D72" s="359"/>
      <c r="E72" s="6" t="s">
        <v>61</v>
      </c>
      <c r="F72" s="6" t="s">
        <v>456</v>
      </c>
      <c r="G72" s="7"/>
      <c r="H72" s="7">
        <v>45161</v>
      </c>
      <c r="I72" s="6" t="s">
        <v>561</v>
      </c>
      <c r="J72" s="6" t="s">
        <v>562</v>
      </c>
      <c r="K72" s="8">
        <v>162240</v>
      </c>
      <c r="L72" s="6"/>
      <c r="M72" s="6" t="s">
        <v>6052</v>
      </c>
      <c r="N72" s="6" t="s">
        <v>6053</v>
      </c>
      <c r="O72" s="6" t="s">
        <v>2085</v>
      </c>
      <c r="P72" s="22"/>
      <c r="Q72" s="22"/>
      <c r="R72" s="34"/>
      <c r="S72" s="34"/>
      <c r="T72" s="304"/>
      <c r="U72" s="34"/>
      <c r="V72" s="34"/>
      <c r="W72" s="34"/>
      <c r="X72" s="34"/>
      <c r="Y72" s="105"/>
      <c r="Z72" s="105"/>
    </row>
    <row r="73" spans="1:26" ht="12.75" hidden="1">
      <c r="A73" s="27" t="s">
        <v>129</v>
      </c>
      <c r="B73" s="27" t="s">
        <v>560</v>
      </c>
      <c r="C73" s="6"/>
      <c r="D73" s="359"/>
      <c r="E73" s="6"/>
      <c r="F73" s="6"/>
      <c r="G73" s="7"/>
      <c r="H73" s="7"/>
      <c r="I73" s="6"/>
      <c r="J73" s="6"/>
      <c r="K73" s="8"/>
      <c r="L73" s="6"/>
      <c r="M73" s="6"/>
      <c r="N73" s="6"/>
      <c r="O73" s="6"/>
      <c r="P73" s="22"/>
      <c r="Q73" s="22"/>
      <c r="R73" s="34"/>
      <c r="S73" s="34"/>
      <c r="T73" s="304"/>
      <c r="U73" s="34"/>
      <c r="V73" s="34"/>
      <c r="W73" s="34"/>
      <c r="X73" s="34"/>
      <c r="Y73" s="105"/>
      <c r="Z73" s="105"/>
    </row>
    <row r="74" spans="1:26" ht="38.25">
      <c r="A74" s="27" t="s">
        <v>129</v>
      </c>
      <c r="B74" s="27" t="s">
        <v>563</v>
      </c>
      <c r="C74" s="6" t="s">
        <v>5901</v>
      </c>
      <c r="D74" s="359"/>
      <c r="E74" s="6" t="s">
        <v>61</v>
      </c>
      <c r="F74" s="6" t="s">
        <v>394</v>
      </c>
      <c r="G74" s="7"/>
      <c r="H74" s="7">
        <v>45175</v>
      </c>
      <c r="I74" s="6" t="s">
        <v>564</v>
      </c>
      <c r="J74" s="6" t="s">
        <v>565</v>
      </c>
      <c r="K74" s="8">
        <v>68450</v>
      </c>
      <c r="L74" s="6"/>
      <c r="M74" s="6"/>
      <c r="N74" s="6"/>
      <c r="O74" s="6"/>
      <c r="P74" s="22"/>
      <c r="Q74" s="22"/>
      <c r="R74" s="34"/>
      <c r="S74" s="34"/>
      <c r="T74" s="304"/>
      <c r="U74" s="34"/>
      <c r="V74" s="34"/>
      <c r="W74" s="34"/>
      <c r="X74" s="34"/>
      <c r="Y74" s="105"/>
      <c r="Z74" s="105"/>
    </row>
    <row r="75" spans="1:26" ht="25.5" hidden="1">
      <c r="A75" s="27" t="s">
        <v>129</v>
      </c>
      <c r="B75" s="27" t="s">
        <v>1440</v>
      </c>
      <c r="C75" s="6"/>
      <c r="D75" s="5"/>
      <c r="E75" s="6" t="s">
        <v>61</v>
      </c>
      <c r="F75" s="6" t="s">
        <v>1383</v>
      </c>
      <c r="G75" s="7"/>
      <c r="H75" s="7">
        <v>45191</v>
      </c>
      <c r="I75" s="6" t="s">
        <v>1441</v>
      </c>
      <c r="J75" s="210" t="s">
        <v>1442</v>
      </c>
      <c r="K75" s="30">
        <v>225200</v>
      </c>
      <c r="L75" s="6"/>
      <c r="M75" s="6"/>
      <c r="N75" s="34"/>
      <c r="O75" s="34"/>
      <c r="P75" s="188"/>
      <c r="Q75" s="188"/>
      <c r="R75" s="34"/>
      <c r="S75" s="34"/>
      <c r="T75" s="304"/>
      <c r="U75" s="34"/>
      <c r="V75" s="34"/>
      <c r="W75" s="34"/>
      <c r="X75" s="34"/>
      <c r="Y75" s="105"/>
      <c r="Z75" s="105"/>
    </row>
    <row r="76" spans="1:26" ht="25.5" hidden="1">
      <c r="A76" s="27" t="s">
        <v>129</v>
      </c>
      <c r="B76" s="27" t="s">
        <v>1443</v>
      </c>
      <c r="C76" s="6" t="s">
        <v>5901</v>
      </c>
      <c r="D76" s="5"/>
      <c r="E76" s="6" t="s">
        <v>61</v>
      </c>
      <c r="F76" s="6" t="s">
        <v>1383</v>
      </c>
      <c r="G76" s="7"/>
      <c r="H76" s="7">
        <v>45191</v>
      </c>
      <c r="I76" s="6" t="s">
        <v>1444</v>
      </c>
      <c r="J76" s="210" t="s">
        <v>500</v>
      </c>
      <c r="K76" s="30">
        <v>200000</v>
      </c>
      <c r="L76" s="6"/>
      <c r="M76" s="6"/>
      <c r="N76" s="34"/>
      <c r="O76" s="34"/>
      <c r="P76" s="188"/>
      <c r="Q76" s="188"/>
      <c r="R76" s="34"/>
      <c r="S76" s="34"/>
      <c r="T76" s="304"/>
      <c r="U76" s="34"/>
      <c r="V76" s="34"/>
      <c r="W76" s="34"/>
      <c r="X76" s="34"/>
      <c r="Y76" s="105"/>
      <c r="Z76" s="105"/>
    </row>
    <row r="77" spans="1:26" ht="25.5" hidden="1">
      <c r="A77" s="27" t="s">
        <v>129</v>
      </c>
      <c r="B77" s="27" t="s">
        <v>1445</v>
      </c>
      <c r="C77" s="6" t="s">
        <v>5901</v>
      </c>
      <c r="D77" s="5"/>
      <c r="E77" s="6" t="s">
        <v>61</v>
      </c>
      <c r="F77" s="6" t="s">
        <v>1383</v>
      </c>
      <c r="G77" s="7"/>
      <c r="H77" s="7">
        <v>45191</v>
      </c>
      <c r="I77" s="6" t="s">
        <v>1446</v>
      </c>
      <c r="J77" s="210" t="s">
        <v>1442</v>
      </c>
      <c r="K77" s="30">
        <v>200000</v>
      </c>
      <c r="L77" s="6"/>
      <c r="M77" s="6"/>
      <c r="N77" s="34"/>
      <c r="O77" s="34"/>
      <c r="P77" s="188"/>
      <c r="Q77" s="188"/>
      <c r="R77" s="34"/>
      <c r="S77" s="34"/>
      <c r="T77" s="304"/>
      <c r="U77" s="34"/>
      <c r="V77" s="34"/>
      <c r="W77" s="34"/>
      <c r="X77" s="34"/>
      <c r="Y77" s="105"/>
      <c r="Z77" s="105"/>
    </row>
    <row r="78" spans="1:26" ht="12.75" hidden="1">
      <c r="A78" s="27" t="s">
        <v>129</v>
      </c>
      <c r="B78" s="27" t="s">
        <v>1447</v>
      </c>
      <c r="C78" s="6" t="s">
        <v>5901</v>
      </c>
      <c r="D78" s="5"/>
      <c r="E78" s="6" t="s">
        <v>61</v>
      </c>
      <c r="F78" s="6" t="s">
        <v>1383</v>
      </c>
      <c r="G78" s="7"/>
      <c r="H78" s="7">
        <v>45191</v>
      </c>
      <c r="I78" s="6" t="s">
        <v>1448</v>
      </c>
      <c r="J78" s="210" t="s">
        <v>575</v>
      </c>
      <c r="K78" s="30">
        <v>699920.26</v>
      </c>
      <c r="L78" s="6"/>
      <c r="M78" s="6"/>
      <c r="N78" s="34"/>
      <c r="O78" s="34"/>
      <c r="P78" s="188"/>
      <c r="Q78" s="188"/>
      <c r="R78" s="34"/>
      <c r="S78" s="34"/>
      <c r="T78" s="304"/>
      <c r="U78" s="34"/>
      <c r="V78" s="34"/>
      <c r="W78" s="34"/>
      <c r="X78" s="34"/>
      <c r="Y78" s="105"/>
      <c r="Z78" s="105"/>
    </row>
    <row r="79" spans="1:26" ht="12.75" hidden="1">
      <c r="A79" s="27" t="s">
        <v>129</v>
      </c>
      <c r="B79" s="27" t="s">
        <v>1449</v>
      </c>
      <c r="C79" s="6" t="s">
        <v>5901</v>
      </c>
      <c r="D79" s="5"/>
      <c r="E79" s="6" t="s">
        <v>61</v>
      </c>
      <c r="F79" s="6" t="s">
        <v>1383</v>
      </c>
      <c r="G79" s="7"/>
      <c r="H79" s="7">
        <v>45206</v>
      </c>
      <c r="I79" s="6" t="s">
        <v>1450</v>
      </c>
      <c r="J79" s="210" t="s">
        <v>1451</v>
      </c>
      <c r="K79" s="30">
        <v>200000</v>
      </c>
      <c r="L79" s="6"/>
      <c r="M79" s="6"/>
      <c r="N79" s="34"/>
      <c r="O79" s="34"/>
      <c r="P79" s="188"/>
      <c r="Q79" s="188"/>
      <c r="R79" s="34"/>
      <c r="S79" s="34"/>
      <c r="T79" s="304"/>
      <c r="U79" s="34"/>
      <c r="V79" s="34"/>
      <c r="W79" s="34"/>
      <c r="X79" s="34"/>
      <c r="Y79" s="105"/>
      <c r="Z79" s="105"/>
    </row>
    <row r="80" spans="1:26" ht="12.75" hidden="1">
      <c r="A80" s="27" t="s">
        <v>129</v>
      </c>
      <c r="B80" s="27" t="s">
        <v>1452</v>
      </c>
      <c r="C80" s="6" t="s">
        <v>5901</v>
      </c>
      <c r="D80" s="5"/>
      <c r="E80" s="6" t="s">
        <v>61</v>
      </c>
      <c r="F80" s="6" t="s">
        <v>1453</v>
      </c>
      <c r="G80" s="7"/>
      <c r="H80" s="7">
        <v>45206</v>
      </c>
      <c r="I80" s="6" t="s">
        <v>1454</v>
      </c>
      <c r="J80" s="210" t="s">
        <v>575</v>
      </c>
      <c r="K80" s="30"/>
      <c r="L80" s="6"/>
      <c r="M80" s="6"/>
      <c r="N80" s="34"/>
      <c r="O80" s="34"/>
      <c r="P80" s="188"/>
      <c r="Q80" s="188"/>
      <c r="R80" s="34"/>
      <c r="S80" s="34"/>
      <c r="T80" s="304"/>
      <c r="U80" s="34"/>
      <c r="V80" s="34"/>
      <c r="W80" s="34"/>
      <c r="X80" s="34"/>
      <c r="Y80" s="105"/>
      <c r="Z80" s="105"/>
    </row>
    <row r="81" spans="1:26" ht="38.25">
      <c r="A81" s="27" t="s">
        <v>129</v>
      </c>
      <c r="B81" s="27" t="s">
        <v>130</v>
      </c>
      <c r="C81" s="6" t="s">
        <v>5901</v>
      </c>
      <c r="D81" s="5"/>
      <c r="E81" s="6" t="s">
        <v>61</v>
      </c>
      <c r="F81" s="6" t="s">
        <v>85</v>
      </c>
      <c r="G81" s="7"/>
      <c r="H81" s="7">
        <v>45225</v>
      </c>
      <c r="I81" s="6" t="s">
        <v>91</v>
      </c>
      <c r="J81" s="210" t="s">
        <v>566</v>
      </c>
      <c r="K81" s="30">
        <v>96107</v>
      </c>
      <c r="L81" s="6"/>
      <c r="M81" s="6" t="s">
        <v>6054</v>
      </c>
      <c r="N81" s="34"/>
      <c r="O81" s="34"/>
      <c r="P81" s="188"/>
      <c r="Q81" s="188"/>
      <c r="R81" s="34"/>
      <c r="S81" s="34"/>
      <c r="T81" s="304"/>
      <c r="U81" s="34"/>
      <c r="V81" s="34"/>
      <c r="W81" s="34"/>
      <c r="X81" s="34"/>
      <c r="Y81" s="105"/>
      <c r="Z81" s="105"/>
    </row>
    <row r="82" spans="1:26" ht="12.75" hidden="1">
      <c r="A82" s="27" t="s">
        <v>129</v>
      </c>
      <c r="B82" s="27" t="s">
        <v>1455</v>
      </c>
      <c r="C82" s="6" t="s">
        <v>5901</v>
      </c>
      <c r="D82" s="5"/>
      <c r="E82" s="6" t="s">
        <v>61</v>
      </c>
      <c r="F82" s="6" t="s">
        <v>1383</v>
      </c>
      <c r="G82" s="7"/>
      <c r="H82" s="7">
        <v>45225</v>
      </c>
      <c r="I82" s="6" t="s">
        <v>1456</v>
      </c>
      <c r="J82" s="210" t="s">
        <v>1457</v>
      </c>
      <c r="K82" s="30">
        <v>772080</v>
      </c>
      <c r="L82" s="6"/>
      <c r="M82" s="6"/>
      <c r="N82" s="34"/>
      <c r="O82" s="34"/>
      <c r="P82" s="188"/>
      <c r="Q82" s="188"/>
      <c r="R82" s="34"/>
      <c r="S82" s="34"/>
      <c r="T82" s="304"/>
      <c r="U82" s="34"/>
      <c r="V82" s="34"/>
      <c r="W82" s="34"/>
      <c r="X82" s="34"/>
      <c r="Y82" s="105"/>
      <c r="Z82" s="105"/>
    </row>
    <row r="83" spans="1:26" ht="51" hidden="1">
      <c r="A83" s="309" t="s">
        <v>129</v>
      </c>
      <c r="B83" s="309" t="s">
        <v>141</v>
      </c>
      <c r="C83" s="34" t="s">
        <v>5901</v>
      </c>
      <c r="D83" s="420"/>
      <c r="E83" s="6" t="s">
        <v>61</v>
      </c>
      <c r="F83" s="34" t="s">
        <v>125</v>
      </c>
      <c r="G83" s="35"/>
      <c r="H83" s="7">
        <v>45225</v>
      </c>
      <c r="I83" s="34" t="s">
        <v>142</v>
      </c>
      <c r="J83" s="210"/>
      <c r="K83" s="30">
        <v>2715682.84</v>
      </c>
      <c r="L83" s="6"/>
      <c r="M83" s="6"/>
      <c r="N83" s="34"/>
      <c r="O83" s="34"/>
      <c r="P83" s="188"/>
      <c r="Q83" s="188"/>
      <c r="R83" s="34"/>
      <c r="S83" s="34"/>
      <c r="T83" s="304"/>
      <c r="U83" s="34"/>
      <c r="V83" s="34"/>
      <c r="W83" s="34"/>
      <c r="X83" s="34"/>
      <c r="Y83" s="105"/>
      <c r="Z83" s="105"/>
    </row>
    <row r="84" spans="1:26" ht="12.75" hidden="1">
      <c r="A84" s="309" t="s">
        <v>129</v>
      </c>
      <c r="B84" s="309" t="s">
        <v>5571</v>
      </c>
      <c r="C84" s="34" t="s">
        <v>5901</v>
      </c>
      <c r="D84" s="420"/>
      <c r="E84" s="6" t="s">
        <v>61</v>
      </c>
      <c r="F84" s="34" t="s">
        <v>1006</v>
      </c>
      <c r="G84" s="35"/>
      <c r="H84" s="7">
        <v>45225</v>
      </c>
      <c r="I84" s="34"/>
      <c r="J84" s="210"/>
      <c r="K84" s="30"/>
      <c r="L84" s="6"/>
      <c r="M84" s="6"/>
      <c r="N84" s="34"/>
      <c r="O84" s="34"/>
      <c r="P84" s="188"/>
      <c r="Q84" s="188"/>
      <c r="R84" s="34"/>
      <c r="S84" s="34"/>
      <c r="T84" s="304"/>
      <c r="U84" s="34"/>
      <c r="V84" s="34"/>
      <c r="W84" s="34"/>
      <c r="X84" s="34"/>
      <c r="Y84" s="105"/>
      <c r="Z84" s="105"/>
    </row>
    <row r="85" spans="1:26" ht="38.25" hidden="1">
      <c r="A85" s="309" t="s">
        <v>129</v>
      </c>
      <c r="B85" s="309" t="s">
        <v>147</v>
      </c>
      <c r="C85" s="34" t="s">
        <v>5901</v>
      </c>
      <c r="D85" s="362"/>
      <c r="E85" s="6" t="s">
        <v>61</v>
      </c>
      <c r="F85" s="34" t="s">
        <v>125</v>
      </c>
      <c r="G85" s="35"/>
      <c r="H85" s="7">
        <v>45236</v>
      </c>
      <c r="I85" s="8" t="s">
        <v>148</v>
      </c>
      <c r="J85" s="44" t="s">
        <v>569</v>
      </c>
      <c r="K85" s="312">
        <v>2398683</v>
      </c>
      <c r="L85" s="6"/>
      <c r="M85" s="6"/>
      <c r="N85" s="34"/>
      <c r="O85" s="34"/>
      <c r="P85" s="188"/>
      <c r="Q85" s="188"/>
      <c r="R85" s="34"/>
      <c r="S85" s="34"/>
      <c r="T85" s="304"/>
      <c r="U85" s="34"/>
      <c r="V85" s="34"/>
      <c r="W85" s="34"/>
      <c r="X85" s="34"/>
      <c r="Y85" s="105"/>
      <c r="Z85" s="105"/>
    </row>
    <row r="86" spans="1:26" ht="38.25" hidden="1">
      <c r="A86" s="309" t="s">
        <v>129</v>
      </c>
      <c r="B86" s="309" t="s">
        <v>1801</v>
      </c>
      <c r="C86" s="34"/>
      <c r="D86" s="362"/>
      <c r="E86" s="34" t="s">
        <v>61</v>
      </c>
      <c r="F86" s="34"/>
      <c r="G86" s="35"/>
      <c r="H86" s="35">
        <v>45252</v>
      </c>
      <c r="I86" s="65" t="s">
        <v>1802</v>
      </c>
      <c r="J86" s="34" t="s">
        <v>1803</v>
      </c>
      <c r="K86" s="312">
        <v>970480</v>
      </c>
      <c r="L86" s="6"/>
      <c r="M86" s="6"/>
      <c r="N86" s="34"/>
      <c r="O86" s="34"/>
      <c r="P86" s="188"/>
      <c r="Q86" s="188"/>
      <c r="R86" s="34"/>
      <c r="S86" s="34"/>
      <c r="T86" s="304"/>
      <c r="U86" s="34"/>
      <c r="V86" s="34"/>
      <c r="W86" s="34"/>
      <c r="X86" s="34"/>
      <c r="Y86" s="105"/>
      <c r="Z86" s="105"/>
    </row>
    <row r="87" spans="1:26" ht="63.75" hidden="1">
      <c r="A87" s="309" t="s">
        <v>129</v>
      </c>
      <c r="B87" s="309" t="s">
        <v>5574</v>
      </c>
      <c r="C87" s="34"/>
      <c r="D87" s="362"/>
      <c r="E87" s="34" t="s">
        <v>2328</v>
      </c>
      <c r="F87" s="34" t="s">
        <v>62</v>
      </c>
      <c r="G87" s="35"/>
      <c r="H87" s="35">
        <v>45252</v>
      </c>
      <c r="I87" s="65" t="s">
        <v>1043</v>
      </c>
      <c r="J87" s="34" t="s">
        <v>5575</v>
      </c>
      <c r="K87" s="311" t="s">
        <v>5576</v>
      </c>
      <c r="L87" s="6"/>
      <c r="M87" s="6"/>
      <c r="N87" s="34"/>
      <c r="O87" s="34"/>
      <c r="P87" s="188"/>
      <c r="Q87" s="188"/>
      <c r="R87" s="34"/>
      <c r="S87" s="34"/>
      <c r="T87" s="304"/>
      <c r="U87" s="34"/>
      <c r="V87" s="34"/>
      <c r="W87" s="34"/>
      <c r="X87" s="34"/>
      <c r="Y87" s="105"/>
      <c r="Z87" s="105"/>
    </row>
    <row r="88" spans="1:26" ht="63.75" hidden="1">
      <c r="A88" s="309" t="s">
        <v>129</v>
      </c>
      <c r="B88" s="309" t="s">
        <v>5577</v>
      </c>
      <c r="C88" s="34"/>
      <c r="D88" s="362"/>
      <c r="E88" s="34" t="s">
        <v>5578</v>
      </c>
      <c r="F88" s="34" t="s">
        <v>62</v>
      </c>
      <c r="G88" s="35"/>
      <c r="H88" s="35">
        <v>45252</v>
      </c>
      <c r="I88" s="65" t="s">
        <v>5579</v>
      </c>
      <c r="J88" s="44" t="s">
        <v>1056</v>
      </c>
      <c r="K88" s="311" t="s">
        <v>5580</v>
      </c>
      <c r="L88" s="6"/>
      <c r="M88" s="6"/>
      <c r="N88" s="34"/>
      <c r="O88" s="34"/>
      <c r="P88" s="188"/>
      <c r="Q88" s="188"/>
      <c r="R88" s="34"/>
      <c r="S88" s="34"/>
      <c r="T88" s="304"/>
      <c r="U88" s="34"/>
      <c r="V88" s="34"/>
      <c r="W88" s="34"/>
      <c r="X88" s="34"/>
      <c r="Y88" s="105"/>
      <c r="Z88" s="105"/>
    </row>
    <row r="89" spans="1:26" ht="25.5" hidden="1">
      <c r="A89" s="309"/>
      <c r="B89" s="309" t="s">
        <v>5623</v>
      </c>
      <c r="E89" s="70" t="s">
        <v>61</v>
      </c>
      <c r="F89" s="70" t="s">
        <v>1862</v>
      </c>
      <c r="H89" s="313">
        <v>45275</v>
      </c>
      <c r="I89" s="34" t="s">
        <v>5624</v>
      </c>
      <c r="J89" s="310" t="s">
        <v>575</v>
      </c>
      <c r="K89" s="311"/>
      <c r="L89" s="6"/>
      <c r="M89" s="6"/>
      <c r="N89" s="34"/>
      <c r="O89" s="34"/>
      <c r="P89" s="188"/>
      <c r="Q89" s="188"/>
      <c r="R89" s="34"/>
      <c r="S89" s="34"/>
      <c r="T89" s="304"/>
      <c r="U89" s="34"/>
      <c r="V89" s="34"/>
      <c r="W89" s="34"/>
      <c r="X89" s="34"/>
      <c r="Y89" s="105"/>
      <c r="Z89" s="105"/>
    </row>
    <row r="90" spans="1:26" ht="28.5" hidden="1">
      <c r="A90" s="309"/>
      <c r="B90" s="309" t="s">
        <v>5625</v>
      </c>
      <c r="E90" s="70" t="s">
        <v>2406</v>
      </c>
      <c r="F90" s="70" t="s">
        <v>62</v>
      </c>
      <c r="H90" s="313">
        <v>45275</v>
      </c>
      <c r="I90" s="314" t="s">
        <v>5626</v>
      </c>
      <c r="J90" s="310" t="s">
        <v>1071</v>
      </c>
      <c r="K90" s="311"/>
      <c r="L90" s="6"/>
      <c r="M90" s="6"/>
      <c r="N90" s="34"/>
      <c r="O90" s="34"/>
      <c r="P90" s="188"/>
      <c r="Q90" s="188"/>
      <c r="R90" s="34"/>
      <c r="S90" s="34"/>
      <c r="T90" s="304"/>
      <c r="U90" s="34"/>
      <c r="V90" s="34"/>
      <c r="W90" s="34"/>
      <c r="X90" s="34"/>
      <c r="Y90" s="105"/>
      <c r="Z90" s="105"/>
    </row>
    <row r="91" spans="1:26" ht="25.5" hidden="1">
      <c r="A91" s="309" t="s">
        <v>129</v>
      </c>
      <c r="E91" s="43" t="s">
        <v>61</v>
      </c>
      <c r="F91" s="43" t="s">
        <v>125</v>
      </c>
      <c r="G91" s="43"/>
      <c r="H91" s="315">
        <v>45275</v>
      </c>
      <c r="I91" s="34" t="s">
        <v>152</v>
      </c>
      <c r="J91" s="310"/>
      <c r="K91" s="311">
        <v>7936800</v>
      </c>
      <c r="L91" s="6"/>
      <c r="M91" s="6"/>
      <c r="N91" s="34"/>
      <c r="O91" s="34"/>
      <c r="P91" s="188"/>
      <c r="Q91" s="188"/>
      <c r="R91" s="34"/>
      <c r="S91" s="34"/>
      <c r="T91" s="304"/>
      <c r="U91" s="34"/>
      <c r="V91" s="34"/>
      <c r="W91" s="34"/>
      <c r="X91" s="34"/>
      <c r="Y91" s="105"/>
      <c r="Z91" s="105"/>
    </row>
    <row r="92" spans="1:26" ht="64.5" hidden="1" customHeight="1">
      <c r="A92" s="309" t="s">
        <v>129</v>
      </c>
      <c r="E92" s="43" t="s">
        <v>61</v>
      </c>
      <c r="F92" s="43" t="s">
        <v>125</v>
      </c>
      <c r="G92" s="43"/>
      <c r="H92" s="316">
        <v>45279</v>
      </c>
      <c r="I92" s="34" t="s">
        <v>570</v>
      </c>
      <c r="J92" s="310"/>
      <c r="K92" s="311">
        <v>2999996.32</v>
      </c>
      <c r="L92" s="6"/>
      <c r="M92" s="6"/>
      <c r="N92" s="34"/>
      <c r="O92" s="34"/>
      <c r="P92" s="188"/>
      <c r="Q92" s="188"/>
      <c r="R92" s="34"/>
      <c r="S92" s="34"/>
      <c r="T92" s="304"/>
      <c r="U92" s="34"/>
      <c r="V92" s="34"/>
      <c r="W92" s="34"/>
      <c r="X92" s="34"/>
      <c r="Y92" s="105"/>
      <c r="Z92" s="105"/>
    </row>
    <row r="93" spans="1:26" ht="38.25" hidden="1">
      <c r="A93" s="309"/>
      <c r="I93" s="34"/>
      <c r="J93" s="360" t="s">
        <v>6055</v>
      </c>
      <c r="K93" s="361">
        <f>SUMIFS('2023'!K:K, '2023'!E:E, "APPROVAL", '2023'!A:A, "2023")</f>
        <v>46956025.690000005</v>
      </c>
      <c r="L93" s="6"/>
      <c r="M93" s="6"/>
      <c r="N93" s="34"/>
      <c r="O93" s="34"/>
      <c r="P93" s="188"/>
      <c r="Q93" s="188"/>
      <c r="R93" s="34"/>
      <c r="S93" s="34"/>
      <c r="T93" s="304"/>
      <c r="U93" s="34"/>
      <c r="V93" s="34"/>
      <c r="W93" s="34"/>
      <c r="X93" s="34"/>
      <c r="Y93" s="105"/>
      <c r="Z93" s="105"/>
    </row>
    <row r="94" spans="1:26" ht="12.75">
      <c r="A94" s="309"/>
      <c r="B94" s="309"/>
      <c r="C94" s="34"/>
      <c r="D94" s="362"/>
      <c r="E94" s="34"/>
      <c r="F94" s="34"/>
      <c r="G94" s="35"/>
      <c r="H94" s="35"/>
      <c r="I94" s="34"/>
      <c r="J94" s="363"/>
      <c r="K94" s="364"/>
      <c r="L94" s="34"/>
      <c r="M94" s="34"/>
      <c r="N94" s="34"/>
      <c r="O94" s="34"/>
      <c r="P94" s="188"/>
      <c r="Q94" s="188"/>
      <c r="R94" s="34"/>
      <c r="S94" s="34"/>
      <c r="T94" s="304"/>
      <c r="U94" s="34"/>
      <c r="V94" s="34"/>
      <c r="W94" s="34"/>
      <c r="X94" s="34"/>
      <c r="Y94" s="105"/>
      <c r="Z94" s="105"/>
    </row>
    <row r="95" spans="1:26" ht="12.75">
      <c r="A95" s="309"/>
      <c r="B95" s="309"/>
      <c r="C95" s="34"/>
      <c r="D95" s="362"/>
      <c r="E95" s="34"/>
      <c r="F95" s="34"/>
      <c r="G95" s="35"/>
      <c r="H95" s="35"/>
      <c r="I95" s="34"/>
      <c r="J95" s="363" t="s">
        <v>5997</v>
      </c>
      <c r="K95" s="364">
        <f>K57+K56+K54+K53+K52+K51+K50+K48+K32+K28+K27+K26+K21+K5</f>
        <v>11473805.209999999</v>
      </c>
      <c r="L95" s="34"/>
      <c r="M95" s="65">
        <f>K95-K27</f>
        <v>11170979.709999999</v>
      </c>
      <c r="N95" s="34"/>
      <c r="O95" s="34"/>
      <c r="P95" s="188"/>
      <c r="Q95" s="188"/>
      <c r="R95" s="34"/>
      <c r="S95" s="34"/>
      <c r="T95" s="304"/>
      <c r="U95" s="34"/>
      <c r="V95" s="34"/>
      <c r="W95" s="34"/>
      <c r="X95" s="34"/>
      <c r="Y95" s="105"/>
      <c r="Z95" s="105"/>
    </row>
    <row r="96" spans="1:26" ht="12.75">
      <c r="A96" s="309"/>
      <c r="B96" s="309"/>
      <c r="C96" s="34"/>
      <c r="D96" s="362"/>
      <c r="E96" s="34"/>
      <c r="F96" s="34"/>
      <c r="G96" s="35"/>
      <c r="H96" s="35"/>
      <c r="I96" s="34"/>
      <c r="J96" s="310" t="s">
        <v>5998</v>
      </c>
      <c r="K96" s="311">
        <v>15673751</v>
      </c>
      <c r="L96" s="34"/>
      <c r="M96" s="34"/>
      <c r="N96" s="34"/>
      <c r="O96" s="34"/>
      <c r="P96" s="188"/>
      <c r="Q96" s="188"/>
      <c r="R96" s="34"/>
      <c r="S96" s="34"/>
      <c r="T96" s="304"/>
      <c r="U96" s="34"/>
      <c r="V96" s="34"/>
      <c r="W96" s="34"/>
      <c r="X96" s="34"/>
      <c r="Y96" s="105"/>
      <c r="Z96" s="105"/>
    </row>
    <row r="97" spans="1:26" ht="12.75">
      <c r="A97" s="309"/>
      <c r="B97" s="309"/>
      <c r="C97" s="34"/>
      <c r="D97" s="362"/>
      <c r="E97" s="34"/>
      <c r="F97" s="34"/>
      <c r="G97" s="35"/>
      <c r="H97" s="35"/>
      <c r="I97" s="34"/>
      <c r="J97" s="34"/>
      <c r="K97" s="311">
        <f>K96-K95</f>
        <v>4199945.790000001</v>
      </c>
      <c r="L97" s="363"/>
      <c r="M97" s="364">
        <f>K96-M95</f>
        <v>4502771.290000001</v>
      </c>
      <c r="N97" s="34"/>
      <c r="O97" s="34"/>
      <c r="P97" s="188"/>
      <c r="Q97" s="188"/>
      <c r="R97" s="34"/>
      <c r="S97" s="34"/>
      <c r="T97" s="304"/>
      <c r="U97" s="34"/>
      <c r="V97" s="34"/>
      <c r="W97" s="34"/>
      <c r="X97" s="34"/>
      <c r="Y97" s="105"/>
      <c r="Z97" s="105"/>
    </row>
    <row r="98" spans="1:26" ht="12.75">
      <c r="A98" s="309"/>
      <c r="B98" s="309"/>
      <c r="C98" s="34"/>
      <c r="D98" s="362"/>
      <c r="E98" s="34"/>
      <c r="F98" s="34"/>
      <c r="G98" s="35"/>
      <c r="H98" s="35"/>
      <c r="I98" s="34"/>
      <c r="J98" s="34"/>
      <c r="K98" s="65">
        <f>K47+K39+K38</f>
        <v>7925491.5</v>
      </c>
      <c r="L98" s="34"/>
      <c r="M98" s="34"/>
      <c r="N98" s="34"/>
      <c r="O98" s="34"/>
      <c r="P98" s="188"/>
      <c r="Q98" s="188"/>
      <c r="R98" s="34"/>
      <c r="S98" s="34"/>
      <c r="T98" s="304"/>
      <c r="U98" s="34"/>
      <c r="V98" s="34"/>
      <c r="W98" s="34"/>
      <c r="X98" s="34"/>
      <c r="Y98" s="105"/>
      <c r="Z98" s="105"/>
    </row>
    <row r="99" spans="1:26" ht="12.75">
      <c r="A99" s="309"/>
      <c r="B99" s="309"/>
      <c r="C99" s="34"/>
      <c r="D99" s="362"/>
      <c r="E99" s="34"/>
      <c r="F99" s="34"/>
      <c r="G99" s="35"/>
      <c r="H99" s="35"/>
      <c r="I99" s="34"/>
      <c r="J99" s="34"/>
      <c r="K99" s="65"/>
      <c r="L99" s="34"/>
      <c r="M99" s="34"/>
      <c r="N99" s="34"/>
      <c r="O99" s="34"/>
      <c r="P99" s="188"/>
      <c r="Q99" s="188"/>
      <c r="R99" s="34"/>
      <c r="S99" s="34"/>
      <c r="T99" s="304"/>
      <c r="U99" s="34"/>
      <c r="V99" s="34"/>
      <c r="W99" s="34"/>
      <c r="X99" s="34"/>
      <c r="Y99" s="105"/>
      <c r="Z99" s="105"/>
    </row>
    <row r="100" spans="1:26" ht="12.75">
      <c r="A100" s="309"/>
      <c r="B100" s="309"/>
      <c r="C100" s="34"/>
      <c r="D100" s="362"/>
      <c r="E100" s="34"/>
      <c r="F100" s="34"/>
      <c r="G100" s="35"/>
      <c r="H100" s="35"/>
      <c r="I100" s="34" t="s">
        <v>1828</v>
      </c>
      <c r="J100" s="34"/>
      <c r="K100" s="65"/>
      <c r="L100" s="34"/>
      <c r="M100" s="34"/>
      <c r="N100" s="34"/>
      <c r="O100" s="34">
        <v>4</v>
      </c>
      <c r="P100" s="188"/>
      <c r="Q100" s="188"/>
      <c r="R100" s="34"/>
      <c r="S100" s="34"/>
      <c r="T100" s="304"/>
      <c r="U100" s="34"/>
      <c r="V100" s="34"/>
      <c r="W100" s="34"/>
      <c r="X100" s="34"/>
      <c r="Y100" s="105"/>
      <c r="Z100" s="105"/>
    </row>
    <row r="101" spans="1:26" ht="12.75">
      <c r="A101" s="309"/>
      <c r="B101" s="309"/>
      <c r="C101" s="34"/>
      <c r="D101" s="362"/>
      <c r="E101" s="34"/>
      <c r="F101" s="34"/>
      <c r="G101" s="35"/>
      <c r="H101" s="35"/>
      <c r="I101" s="34"/>
      <c r="J101" s="310" t="s">
        <v>6056</v>
      </c>
      <c r="K101" s="311">
        <v>2339829.56</v>
      </c>
      <c r="L101" s="34"/>
      <c r="M101" s="34"/>
      <c r="N101" s="34"/>
      <c r="O101" s="34"/>
      <c r="P101" s="188"/>
      <c r="Q101" s="188"/>
      <c r="R101" s="34"/>
      <c r="S101" s="34"/>
      <c r="T101" s="304"/>
      <c r="U101" s="34"/>
      <c r="V101" s="34"/>
      <c r="W101" s="34"/>
      <c r="X101" s="34"/>
      <c r="Y101" s="105"/>
      <c r="Z101" s="105"/>
    </row>
    <row r="102" spans="1:26" ht="12.75">
      <c r="A102" s="309"/>
      <c r="B102" s="309"/>
      <c r="C102" s="34"/>
      <c r="D102" s="362"/>
      <c r="E102" s="34"/>
      <c r="F102" s="34"/>
      <c r="G102" s="35"/>
      <c r="H102" s="35"/>
      <c r="I102" s="34"/>
      <c r="J102" s="34" t="s">
        <v>6057</v>
      </c>
      <c r="K102" s="65">
        <f>K64+K63+K62+K61+K56+K54+K53+K52+K51+K50+K48+K32+K28+K26+K21+K5</f>
        <v>12662927.209999999</v>
      </c>
      <c r="L102" s="34"/>
      <c r="M102" s="34"/>
      <c r="N102" s="34"/>
      <c r="O102" s="34"/>
      <c r="P102" s="188"/>
      <c r="Q102" s="188"/>
      <c r="R102" s="34"/>
      <c r="S102" s="34"/>
      <c r="T102" s="304"/>
      <c r="U102" s="34"/>
      <c r="V102" s="34"/>
      <c r="W102" s="34"/>
      <c r="X102" s="34"/>
      <c r="Y102" s="105"/>
      <c r="Z102" s="105"/>
    </row>
    <row r="103" spans="1:26" ht="12.75">
      <c r="A103" s="309"/>
      <c r="B103" s="309"/>
      <c r="C103" s="34"/>
      <c r="D103" s="362"/>
      <c r="E103" s="34"/>
      <c r="F103" s="34"/>
      <c r="G103" s="35"/>
      <c r="H103" s="35"/>
      <c r="I103" s="34"/>
      <c r="J103" s="34" t="s">
        <v>6058</v>
      </c>
      <c r="K103" s="65">
        <v>2500000</v>
      </c>
      <c r="L103" s="34"/>
      <c r="M103" s="34"/>
      <c r="N103" s="34"/>
      <c r="O103" s="34"/>
      <c r="P103" s="188"/>
      <c r="Q103" s="188"/>
      <c r="R103" s="34"/>
      <c r="S103" s="34"/>
      <c r="T103" s="304"/>
      <c r="U103" s="34"/>
      <c r="V103" s="34"/>
      <c r="W103" s="34"/>
      <c r="X103" s="34"/>
      <c r="Y103" s="105"/>
      <c r="Z103" s="105"/>
    </row>
    <row r="104" spans="1:26" ht="12.75">
      <c r="A104" s="309"/>
      <c r="B104" s="309"/>
      <c r="C104" s="34"/>
      <c r="D104" s="362"/>
      <c r="E104" s="34"/>
      <c r="F104" s="34"/>
      <c r="G104" s="35"/>
      <c r="H104" s="35"/>
      <c r="I104" s="34"/>
      <c r="J104" s="34"/>
      <c r="K104" s="65"/>
      <c r="L104" s="34"/>
      <c r="M104" s="34"/>
      <c r="N104" s="34"/>
      <c r="O104" s="34"/>
      <c r="P104" s="188"/>
      <c r="Q104" s="188"/>
      <c r="R104" s="34"/>
      <c r="S104" s="34"/>
      <c r="T104" s="304"/>
      <c r="U104" s="34"/>
      <c r="V104" s="34"/>
      <c r="W104" s="34"/>
      <c r="X104" s="34"/>
      <c r="Y104" s="105"/>
      <c r="Z104" s="105"/>
    </row>
    <row r="105" spans="1:26" ht="12.75">
      <c r="A105" s="309"/>
      <c r="B105" s="309"/>
      <c r="C105" s="34"/>
      <c r="D105" s="362"/>
      <c r="E105" s="34"/>
      <c r="F105" s="34"/>
      <c r="G105" s="35"/>
      <c r="H105" s="35"/>
      <c r="I105" s="34"/>
      <c r="J105" s="34"/>
      <c r="K105" s="65">
        <f>K92+K91+K85+K83</f>
        <v>16051162.16</v>
      </c>
      <c r="L105" s="34"/>
      <c r="M105" s="34"/>
      <c r="N105" s="34"/>
      <c r="O105" s="34"/>
      <c r="P105" s="188"/>
      <c r="Q105" s="188"/>
      <c r="R105" s="34"/>
      <c r="S105" s="34"/>
      <c r="T105" s="304"/>
      <c r="U105" s="34"/>
      <c r="V105" s="34"/>
      <c r="W105" s="34"/>
      <c r="X105" s="34"/>
      <c r="Y105" s="105"/>
      <c r="Z105" s="105"/>
    </row>
    <row r="106" spans="1:26" ht="12.75">
      <c r="A106" s="309"/>
      <c r="B106" s="309"/>
      <c r="C106" s="34"/>
      <c r="D106" s="362"/>
      <c r="E106" s="34"/>
      <c r="F106" s="34"/>
      <c r="G106" s="35"/>
      <c r="H106" s="35"/>
      <c r="I106" s="34"/>
      <c r="J106" s="34"/>
      <c r="K106" s="65">
        <f>K92+K91+K85+K83</f>
        <v>16051162.16</v>
      </c>
      <c r="L106" s="34"/>
      <c r="M106" s="34"/>
      <c r="N106" s="34"/>
      <c r="O106" s="34"/>
      <c r="P106" s="188"/>
      <c r="Q106" s="188"/>
      <c r="R106" s="34"/>
      <c r="S106" s="34"/>
      <c r="T106" s="304"/>
      <c r="U106" s="34"/>
      <c r="V106" s="34"/>
      <c r="W106" s="34"/>
      <c r="X106" s="34"/>
      <c r="Y106" s="105"/>
      <c r="Z106" s="105"/>
    </row>
    <row r="107" spans="1:26" ht="12.75">
      <c r="A107" s="309"/>
      <c r="B107" s="309"/>
      <c r="C107" s="34"/>
      <c r="D107" s="362"/>
      <c r="E107" s="34"/>
      <c r="F107" s="34"/>
      <c r="G107" s="35"/>
      <c r="H107" s="35"/>
      <c r="I107" s="34"/>
      <c r="J107" s="34"/>
      <c r="K107" s="65"/>
      <c r="L107" s="34"/>
      <c r="M107" s="34"/>
      <c r="N107" s="34"/>
      <c r="O107" s="34"/>
      <c r="P107" s="188"/>
      <c r="Q107" s="188"/>
      <c r="R107" s="34"/>
      <c r="S107" s="34"/>
      <c r="T107" s="304"/>
      <c r="U107" s="34"/>
      <c r="V107" s="34"/>
      <c r="W107" s="34"/>
      <c r="X107" s="34"/>
      <c r="Y107" s="105"/>
      <c r="Z107" s="105"/>
    </row>
    <row r="108" spans="1:26" ht="12.75">
      <c r="A108" s="309"/>
      <c r="B108" s="309"/>
      <c r="C108" s="34"/>
      <c r="D108" s="362"/>
      <c r="E108" s="34"/>
      <c r="F108" s="34"/>
      <c r="G108" s="35"/>
      <c r="H108" s="35"/>
      <c r="I108" s="34"/>
      <c r="J108" s="34"/>
      <c r="K108" s="65"/>
      <c r="L108" s="34"/>
      <c r="M108" s="34"/>
      <c r="N108" s="34"/>
      <c r="O108" s="34"/>
      <c r="P108" s="188"/>
      <c r="Q108" s="188"/>
      <c r="R108" s="34"/>
      <c r="S108" s="34"/>
      <c r="T108" s="304"/>
      <c r="U108" s="34"/>
      <c r="V108" s="34"/>
      <c r="W108" s="34"/>
      <c r="X108" s="34"/>
      <c r="Y108" s="105"/>
      <c r="Z108" s="105"/>
    </row>
    <row r="109" spans="1:26" ht="12.75">
      <c r="A109" s="309"/>
      <c r="B109" s="309"/>
      <c r="C109" s="34"/>
      <c r="D109" s="362"/>
      <c r="E109" s="34"/>
      <c r="F109" s="34"/>
      <c r="G109" s="35"/>
      <c r="H109" s="35"/>
      <c r="I109" s="34"/>
      <c r="J109" s="34"/>
      <c r="K109" s="65"/>
      <c r="L109" s="34"/>
      <c r="M109" s="34"/>
      <c r="N109" s="34"/>
      <c r="O109" s="34"/>
      <c r="P109" s="188"/>
      <c r="Q109" s="188"/>
      <c r="R109" s="34"/>
      <c r="S109" s="34"/>
      <c r="T109" s="304"/>
      <c r="U109" s="34"/>
      <c r="V109" s="34"/>
      <c r="W109" s="34"/>
      <c r="X109" s="34"/>
      <c r="Y109" s="105"/>
      <c r="Z109" s="105"/>
    </row>
    <row r="110" spans="1:26" ht="12.75">
      <c r="A110" s="309"/>
      <c r="B110" s="309"/>
      <c r="C110" s="34"/>
      <c r="D110" s="362"/>
      <c r="E110" s="34"/>
      <c r="F110" s="34"/>
      <c r="G110" s="35"/>
      <c r="H110" s="35"/>
      <c r="I110" s="34"/>
      <c r="J110" s="34"/>
      <c r="K110" s="65"/>
      <c r="L110" s="34"/>
      <c r="M110" s="34"/>
      <c r="N110" s="34"/>
      <c r="O110" s="34"/>
      <c r="P110" s="188"/>
      <c r="Q110" s="188"/>
      <c r="R110" s="34"/>
      <c r="S110" s="34"/>
      <c r="T110" s="304"/>
      <c r="U110" s="34"/>
      <c r="V110" s="34"/>
      <c r="W110" s="34"/>
      <c r="X110" s="34"/>
      <c r="Y110" s="105"/>
      <c r="Z110" s="105"/>
    </row>
    <row r="111" spans="1:26" ht="12.75">
      <c r="A111" s="309"/>
      <c r="B111" s="309"/>
      <c r="C111" s="34"/>
      <c r="D111" s="362"/>
      <c r="E111" s="34"/>
      <c r="F111" s="34"/>
      <c r="G111" s="35"/>
      <c r="H111" s="35"/>
      <c r="I111" s="34"/>
      <c r="J111" s="34"/>
      <c r="K111" s="65"/>
      <c r="L111" s="34"/>
      <c r="M111" s="34"/>
      <c r="N111" s="34"/>
      <c r="O111" s="34"/>
      <c r="P111" s="188"/>
      <c r="Q111" s="188"/>
      <c r="R111" s="34"/>
      <c r="S111" s="34"/>
      <c r="T111" s="304"/>
      <c r="U111" s="34"/>
      <c r="V111" s="34"/>
      <c r="W111" s="34"/>
      <c r="X111" s="34"/>
      <c r="Y111" s="105"/>
      <c r="Z111" s="105"/>
    </row>
    <row r="112" spans="1:26" ht="12.75">
      <c r="A112" s="309"/>
      <c r="B112" s="309"/>
      <c r="C112" s="34"/>
      <c r="D112" s="362"/>
      <c r="E112" s="34"/>
      <c r="F112" s="34"/>
      <c r="G112" s="35"/>
      <c r="H112" s="35"/>
      <c r="I112" s="34"/>
      <c r="J112" s="34"/>
      <c r="K112" s="65"/>
      <c r="L112" s="34"/>
      <c r="M112" s="34"/>
      <c r="N112" s="34"/>
      <c r="O112" s="34"/>
      <c r="P112" s="188"/>
      <c r="Q112" s="188"/>
      <c r="R112" s="34"/>
      <c r="S112" s="34"/>
      <c r="T112" s="304"/>
      <c r="U112" s="34"/>
      <c r="V112" s="34"/>
      <c r="W112" s="34"/>
      <c r="X112" s="34"/>
      <c r="Y112" s="105"/>
      <c r="Z112" s="105"/>
    </row>
    <row r="113" spans="1:26" ht="12.75">
      <c r="A113" s="309"/>
      <c r="B113" s="309"/>
      <c r="C113" s="34"/>
      <c r="D113" s="362"/>
      <c r="E113" s="34"/>
      <c r="F113" s="34"/>
      <c r="G113" s="35"/>
      <c r="H113" s="35"/>
      <c r="I113" s="34"/>
      <c r="J113" s="34"/>
      <c r="K113" s="65"/>
      <c r="L113" s="34"/>
      <c r="M113" s="34"/>
      <c r="N113" s="34"/>
      <c r="O113" s="34"/>
      <c r="P113" s="188"/>
      <c r="Q113" s="188"/>
      <c r="R113" s="34"/>
      <c r="S113" s="34"/>
      <c r="T113" s="304"/>
      <c r="U113" s="34"/>
      <c r="V113" s="34"/>
      <c r="W113" s="34"/>
      <c r="X113" s="34"/>
      <c r="Y113" s="105"/>
      <c r="Z113" s="105"/>
    </row>
    <row r="114" spans="1:26" ht="12.75">
      <c r="A114" s="309"/>
      <c r="B114" s="309"/>
      <c r="C114" s="34"/>
      <c r="D114" s="362"/>
      <c r="E114" s="34"/>
      <c r="F114" s="34"/>
      <c r="G114" s="35"/>
      <c r="H114" s="35"/>
      <c r="I114" s="34"/>
      <c r="J114" s="34"/>
      <c r="K114" s="65"/>
      <c r="L114" s="34"/>
      <c r="M114" s="34"/>
      <c r="N114" s="34"/>
      <c r="O114" s="34"/>
      <c r="P114" s="188"/>
      <c r="Q114" s="188"/>
      <c r="R114" s="34"/>
      <c r="S114" s="34"/>
      <c r="T114" s="304"/>
      <c r="U114" s="34"/>
      <c r="V114" s="34"/>
      <c r="W114" s="34"/>
      <c r="X114" s="34"/>
      <c r="Y114" s="105"/>
      <c r="Z114" s="105"/>
    </row>
    <row r="115" spans="1:26" ht="12.75">
      <c r="A115" s="309"/>
      <c r="B115" s="309"/>
      <c r="C115" s="34"/>
      <c r="D115" s="362"/>
      <c r="E115" s="34"/>
      <c r="F115" s="34"/>
      <c r="G115" s="35"/>
      <c r="H115" s="35"/>
      <c r="I115" s="34"/>
      <c r="J115" s="34"/>
      <c r="K115" s="65"/>
      <c r="L115" s="34"/>
      <c r="M115" s="34"/>
      <c r="N115" s="34"/>
      <c r="O115" s="34"/>
      <c r="P115" s="188"/>
      <c r="Q115" s="188"/>
      <c r="R115" s="34"/>
      <c r="S115" s="34"/>
      <c r="T115" s="304"/>
      <c r="U115" s="34"/>
      <c r="V115" s="34"/>
      <c r="W115" s="34"/>
      <c r="X115" s="34"/>
      <c r="Y115" s="105"/>
      <c r="Z115" s="105"/>
    </row>
    <row r="116" spans="1:26" ht="12.75">
      <c r="A116" s="309"/>
      <c r="B116" s="309"/>
      <c r="C116" s="34"/>
      <c r="D116" s="362"/>
      <c r="E116" s="34"/>
      <c r="F116" s="34"/>
      <c r="G116" s="35"/>
      <c r="H116" s="35"/>
      <c r="I116" s="34"/>
      <c r="J116" s="34"/>
      <c r="K116" s="65"/>
      <c r="L116" s="34"/>
      <c r="M116" s="34"/>
      <c r="N116" s="34"/>
      <c r="O116" s="34"/>
      <c r="P116" s="188"/>
      <c r="Q116" s="188"/>
      <c r="R116" s="34"/>
      <c r="S116" s="34"/>
      <c r="T116" s="304"/>
      <c r="U116" s="34"/>
      <c r="V116" s="34"/>
      <c r="W116" s="34"/>
      <c r="X116" s="34"/>
      <c r="Y116" s="105"/>
      <c r="Z116" s="105"/>
    </row>
    <row r="117" spans="1:26" ht="12.75">
      <c r="A117" s="309"/>
      <c r="B117" s="309"/>
      <c r="C117" s="34"/>
      <c r="D117" s="362"/>
      <c r="E117" s="34"/>
      <c r="F117" s="34"/>
      <c r="G117" s="35"/>
      <c r="H117" s="35"/>
      <c r="I117" s="34"/>
      <c r="J117" s="34"/>
      <c r="K117" s="65"/>
      <c r="L117" s="34"/>
      <c r="M117" s="34"/>
      <c r="N117" s="34"/>
      <c r="O117" s="34"/>
      <c r="P117" s="188"/>
      <c r="Q117" s="188"/>
      <c r="R117" s="34"/>
      <c r="S117" s="34"/>
      <c r="T117" s="304"/>
      <c r="U117" s="34"/>
      <c r="V117" s="34"/>
      <c r="W117" s="34"/>
      <c r="X117" s="34"/>
      <c r="Y117" s="105"/>
      <c r="Z117" s="105"/>
    </row>
    <row r="118" spans="1:26" ht="12.75">
      <c r="A118" s="309"/>
      <c r="B118" s="309"/>
      <c r="C118" s="34"/>
      <c r="D118" s="362"/>
      <c r="E118" s="34"/>
      <c r="F118" s="34"/>
      <c r="G118" s="35"/>
      <c r="H118" s="35"/>
      <c r="I118" s="34"/>
      <c r="J118" s="34"/>
      <c r="K118" s="65"/>
      <c r="L118" s="34"/>
      <c r="M118" s="34"/>
      <c r="N118" s="34"/>
      <c r="O118" s="34"/>
      <c r="P118" s="188"/>
      <c r="Q118" s="188"/>
      <c r="R118" s="34"/>
      <c r="S118" s="34"/>
      <c r="T118" s="304"/>
      <c r="U118" s="34"/>
      <c r="V118" s="34"/>
      <c r="W118" s="34"/>
      <c r="X118" s="34"/>
      <c r="Y118" s="105"/>
      <c r="Z118" s="105"/>
    </row>
    <row r="119" spans="1:26" ht="12.75">
      <c r="A119" s="309"/>
      <c r="B119" s="309"/>
      <c r="C119" s="34"/>
      <c r="D119" s="362"/>
      <c r="E119" s="34"/>
      <c r="F119" s="34"/>
      <c r="G119" s="35"/>
      <c r="H119" s="35"/>
      <c r="I119" s="34"/>
      <c r="J119" s="34"/>
      <c r="K119" s="65"/>
      <c r="L119" s="34"/>
      <c r="M119" s="34"/>
      <c r="N119" s="34"/>
      <c r="O119" s="34"/>
      <c r="P119" s="188"/>
      <c r="Q119" s="188"/>
      <c r="R119" s="34"/>
      <c r="S119" s="34"/>
      <c r="T119" s="304"/>
      <c r="U119" s="34"/>
      <c r="V119" s="34"/>
      <c r="W119" s="34"/>
      <c r="X119" s="34"/>
      <c r="Y119" s="105"/>
      <c r="Z119" s="105"/>
    </row>
    <row r="120" spans="1:26" ht="12.75">
      <c r="A120" s="309"/>
      <c r="B120" s="309"/>
      <c r="C120" s="34"/>
      <c r="D120" s="362"/>
      <c r="E120" s="34"/>
      <c r="F120" s="34"/>
      <c r="G120" s="35"/>
      <c r="H120" s="35"/>
      <c r="I120" s="34"/>
      <c r="J120" s="34"/>
      <c r="K120" s="65"/>
      <c r="L120" s="34"/>
      <c r="M120" s="34"/>
      <c r="N120" s="34"/>
      <c r="O120" s="34"/>
      <c r="P120" s="188"/>
      <c r="Q120" s="188"/>
      <c r="R120" s="34"/>
      <c r="S120" s="34"/>
      <c r="T120" s="304"/>
      <c r="U120" s="34"/>
      <c r="V120" s="34"/>
      <c r="W120" s="34"/>
      <c r="X120" s="34"/>
      <c r="Y120" s="105"/>
      <c r="Z120" s="105"/>
    </row>
    <row r="121" spans="1:26" ht="12.75">
      <c r="A121" s="309"/>
      <c r="B121" s="309"/>
      <c r="C121" s="34"/>
      <c r="D121" s="362"/>
      <c r="E121" s="34"/>
      <c r="F121" s="34"/>
      <c r="G121" s="35"/>
      <c r="H121" s="35"/>
      <c r="I121" s="34"/>
      <c r="J121" s="34"/>
      <c r="K121" s="65"/>
      <c r="L121" s="34"/>
      <c r="M121" s="34"/>
      <c r="N121" s="34"/>
      <c r="O121" s="34"/>
      <c r="P121" s="188"/>
      <c r="Q121" s="188"/>
      <c r="R121" s="34"/>
      <c r="S121" s="34"/>
      <c r="T121" s="304"/>
      <c r="U121" s="34"/>
      <c r="V121" s="34"/>
      <c r="W121" s="34"/>
      <c r="X121" s="34"/>
      <c r="Y121" s="105"/>
      <c r="Z121" s="105"/>
    </row>
    <row r="122" spans="1:26" ht="12.75">
      <c r="A122" s="309"/>
      <c r="B122" s="309"/>
      <c r="C122" s="34"/>
      <c r="D122" s="362"/>
      <c r="E122" s="34"/>
      <c r="F122" s="34"/>
      <c r="G122" s="35"/>
      <c r="H122" s="35"/>
      <c r="I122" s="34"/>
      <c r="J122" s="34"/>
      <c r="K122" s="65"/>
      <c r="L122" s="34"/>
      <c r="M122" s="34"/>
      <c r="N122" s="34"/>
      <c r="O122" s="34"/>
      <c r="P122" s="188"/>
      <c r="Q122" s="188"/>
      <c r="R122" s="34"/>
      <c r="S122" s="34"/>
      <c r="T122" s="304"/>
      <c r="U122" s="34"/>
      <c r="V122" s="34"/>
      <c r="W122" s="34"/>
      <c r="X122" s="34"/>
      <c r="Y122" s="105"/>
      <c r="Z122" s="105"/>
    </row>
    <row r="123" spans="1:26" ht="12.75">
      <c r="A123" s="309"/>
      <c r="B123" s="309"/>
      <c r="C123" s="34"/>
      <c r="D123" s="362"/>
      <c r="E123" s="34"/>
      <c r="F123" s="34"/>
      <c r="G123" s="35"/>
      <c r="H123" s="35"/>
      <c r="I123" s="34"/>
      <c r="J123" s="34"/>
      <c r="K123" s="65"/>
      <c r="L123" s="34"/>
      <c r="M123" s="34"/>
      <c r="N123" s="34"/>
      <c r="O123" s="34"/>
      <c r="P123" s="188"/>
      <c r="Q123" s="188"/>
      <c r="R123" s="34"/>
      <c r="S123" s="34"/>
      <c r="T123" s="304"/>
      <c r="U123" s="34"/>
      <c r="V123" s="34"/>
      <c r="W123" s="34"/>
      <c r="X123" s="34"/>
      <c r="Y123" s="105"/>
      <c r="Z123" s="105"/>
    </row>
    <row r="124" spans="1:26" ht="12.75">
      <c r="A124" s="309"/>
      <c r="B124" s="309"/>
      <c r="C124" s="34"/>
      <c r="D124" s="362"/>
      <c r="E124" s="34"/>
      <c r="F124" s="34"/>
      <c r="G124" s="35"/>
      <c r="H124" s="35"/>
      <c r="I124" s="34"/>
      <c r="J124" s="34"/>
      <c r="K124" s="65"/>
      <c r="L124" s="34"/>
      <c r="M124" s="34"/>
      <c r="N124" s="34"/>
      <c r="O124" s="34"/>
      <c r="P124" s="188"/>
      <c r="Q124" s="188"/>
      <c r="R124" s="34"/>
      <c r="S124" s="34"/>
      <c r="T124" s="304"/>
      <c r="U124" s="34"/>
      <c r="V124" s="34"/>
      <c r="W124" s="34"/>
      <c r="X124" s="34"/>
      <c r="Y124" s="105"/>
      <c r="Z124" s="105"/>
    </row>
    <row r="125" spans="1:26" ht="12.75">
      <c r="A125" s="309"/>
      <c r="B125" s="309"/>
      <c r="C125" s="34"/>
      <c r="D125" s="362"/>
      <c r="E125" s="34"/>
      <c r="F125" s="34"/>
      <c r="G125" s="35"/>
      <c r="H125" s="35"/>
      <c r="I125" s="34"/>
      <c r="J125" s="34"/>
      <c r="K125" s="65"/>
      <c r="L125" s="34"/>
      <c r="M125" s="34"/>
      <c r="N125" s="34"/>
      <c r="O125" s="34"/>
      <c r="P125" s="188"/>
      <c r="Q125" s="188"/>
      <c r="R125" s="34"/>
      <c r="S125" s="34"/>
      <c r="T125" s="304"/>
      <c r="U125" s="34"/>
      <c r="V125" s="34"/>
      <c r="W125" s="34"/>
      <c r="X125" s="34"/>
      <c r="Y125" s="105"/>
      <c r="Z125" s="105"/>
    </row>
    <row r="126" spans="1:26" ht="12.75">
      <c r="A126" s="309"/>
      <c r="B126" s="309"/>
      <c r="C126" s="34"/>
      <c r="D126" s="362"/>
      <c r="E126" s="34"/>
      <c r="F126" s="34"/>
      <c r="G126" s="35"/>
      <c r="H126" s="35"/>
      <c r="I126" s="34"/>
      <c r="J126" s="34"/>
      <c r="K126" s="65"/>
      <c r="L126" s="34"/>
      <c r="M126" s="34"/>
      <c r="N126" s="34"/>
      <c r="O126" s="34"/>
      <c r="P126" s="188"/>
      <c r="Q126" s="188"/>
      <c r="R126" s="34"/>
      <c r="S126" s="34"/>
      <c r="T126" s="304"/>
      <c r="U126" s="34"/>
      <c r="V126" s="34"/>
      <c r="W126" s="34"/>
      <c r="X126" s="34"/>
      <c r="Y126" s="105"/>
      <c r="Z126" s="105"/>
    </row>
    <row r="127" spans="1:26" ht="12.75">
      <c r="A127" s="309"/>
      <c r="B127" s="309"/>
      <c r="C127" s="34"/>
      <c r="D127" s="362"/>
      <c r="E127" s="34"/>
      <c r="F127" s="34"/>
      <c r="G127" s="35"/>
      <c r="H127" s="35"/>
      <c r="I127" s="34"/>
      <c r="J127" s="34"/>
      <c r="K127" s="65"/>
      <c r="L127" s="34"/>
      <c r="M127" s="34"/>
      <c r="N127" s="34"/>
      <c r="O127" s="34"/>
      <c r="P127" s="188"/>
      <c r="Q127" s="188"/>
      <c r="R127" s="34"/>
      <c r="S127" s="34"/>
      <c r="T127" s="304"/>
      <c r="U127" s="34"/>
      <c r="V127" s="34"/>
      <c r="W127" s="34"/>
      <c r="X127" s="34"/>
      <c r="Y127" s="105"/>
      <c r="Z127" s="105"/>
    </row>
    <row r="128" spans="1:26" ht="12.75">
      <c r="A128" s="309"/>
      <c r="B128" s="309"/>
      <c r="C128" s="34"/>
      <c r="D128" s="362"/>
      <c r="E128" s="34"/>
      <c r="F128" s="34"/>
      <c r="G128" s="35"/>
      <c r="H128" s="35"/>
      <c r="I128" s="34"/>
      <c r="J128" s="34"/>
      <c r="K128" s="65"/>
      <c r="L128" s="34"/>
      <c r="M128" s="34"/>
      <c r="N128" s="34"/>
      <c r="O128" s="34"/>
      <c r="P128" s="188"/>
      <c r="Q128" s="188"/>
      <c r="R128" s="34"/>
      <c r="S128" s="34"/>
      <c r="T128" s="304"/>
      <c r="U128" s="34"/>
      <c r="V128" s="34"/>
      <c r="W128" s="34"/>
      <c r="X128" s="34"/>
      <c r="Y128" s="105"/>
      <c r="Z128" s="105"/>
    </row>
    <row r="129" spans="1:26" ht="12.75">
      <c r="A129" s="309"/>
      <c r="B129" s="309"/>
      <c r="C129" s="34"/>
      <c r="D129" s="362"/>
      <c r="E129" s="34"/>
      <c r="F129" s="34"/>
      <c r="G129" s="35"/>
      <c r="H129" s="35"/>
      <c r="I129" s="34"/>
      <c r="J129" s="34"/>
      <c r="K129" s="65"/>
      <c r="L129" s="34"/>
      <c r="M129" s="34"/>
      <c r="N129" s="34"/>
      <c r="O129" s="34"/>
      <c r="P129" s="188"/>
      <c r="Q129" s="188"/>
      <c r="R129" s="34"/>
      <c r="S129" s="34"/>
      <c r="T129" s="304"/>
      <c r="U129" s="34"/>
      <c r="V129" s="34"/>
      <c r="W129" s="34"/>
      <c r="X129" s="34"/>
      <c r="Y129" s="105"/>
      <c r="Z129" s="105"/>
    </row>
    <row r="130" spans="1:26" ht="12.75">
      <c r="A130" s="309"/>
      <c r="B130" s="309"/>
      <c r="C130" s="34"/>
      <c r="D130" s="362"/>
      <c r="E130" s="34"/>
      <c r="F130" s="34"/>
      <c r="G130" s="35"/>
      <c r="H130" s="35"/>
      <c r="I130" s="34"/>
      <c r="J130" s="34"/>
      <c r="K130" s="65"/>
      <c r="L130" s="34"/>
      <c r="M130" s="34"/>
      <c r="N130" s="34"/>
      <c r="O130" s="34"/>
      <c r="P130" s="188"/>
      <c r="Q130" s="188"/>
      <c r="R130" s="34"/>
      <c r="S130" s="34"/>
      <c r="T130" s="304"/>
      <c r="U130" s="34"/>
      <c r="V130" s="34"/>
      <c r="W130" s="34"/>
      <c r="X130" s="34"/>
      <c r="Y130" s="105"/>
      <c r="Z130" s="105"/>
    </row>
    <row r="131" spans="1:26" ht="12.75">
      <c r="A131" s="309"/>
      <c r="B131" s="309"/>
      <c r="C131" s="34"/>
      <c r="D131" s="362"/>
      <c r="E131" s="34"/>
      <c r="F131" s="34"/>
      <c r="G131" s="35"/>
      <c r="H131" s="35"/>
      <c r="I131" s="34"/>
      <c r="J131" s="34"/>
      <c r="K131" s="65"/>
      <c r="L131" s="34"/>
      <c r="M131" s="34"/>
      <c r="N131" s="34"/>
      <c r="O131" s="34"/>
      <c r="P131" s="188"/>
      <c r="Q131" s="188"/>
      <c r="R131" s="34"/>
      <c r="S131" s="34"/>
      <c r="T131" s="304"/>
      <c r="U131" s="34"/>
      <c r="V131" s="34"/>
      <c r="W131" s="34"/>
      <c r="X131" s="34"/>
      <c r="Y131" s="105"/>
      <c r="Z131" s="105"/>
    </row>
    <row r="132" spans="1:26" ht="12.75">
      <c r="A132" s="309"/>
      <c r="B132" s="309"/>
      <c r="C132" s="34"/>
      <c r="D132" s="362"/>
      <c r="E132" s="34"/>
      <c r="F132" s="34"/>
      <c r="G132" s="35"/>
      <c r="H132" s="35"/>
      <c r="I132" s="34"/>
      <c r="J132" s="34"/>
      <c r="K132" s="65"/>
      <c r="L132" s="34"/>
      <c r="M132" s="34"/>
      <c r="N132" s="34"/>
      <c r="O132" s="34"/>
      <c r="P132" s="188"/>
      <c r="Q132" s="188"/>
      <c r="R132" s="34"/>
      <c r="S132" s="34"/>
      <c r="T132" s="304"/>
      <c r="U132" s="34"/>
      <c r="V132" s="34"/>
      <c r="W132" s="34"/>
      <c r="X132" s="34"/>
      <c r="Y132" s="105"/>
      <c r="Z132" s="105"/>
    </row>
    <row r="133" spans="1:26" ht="12.75">
      <c r="A133" s="309"/>
      <c r="B133" s="309"/>
      <c r="C133" s="34"/>
      <c r="D133" s="362"/>
      <c r="E133" s="34"/>
      <c r="F133" s="34"/>
      <c r="G133" s="35"/>
      <c r="H133" s="35"/>
      <c r="I133" s="34"/>
      <c r="J133" s="34"/>
      <c r="K133" s="65"/>
      <c r="L133" s="34"/>
      <c r="M133" s="34"/>
      <c r="N133" s="34"/>
      <c r="O133" s="34"/>
      <c r="P133" s="188"/>
      <c r="Q133" s="188"/>
      <c r="R133" s="34"/>
      <c r="S133" s="34"/>
      <c r="T133" s="304"/>
      <c r="U133" s="34"/>
      <c r="V133" s="34"/>
      <c r="W133" s="34"/>
      <c r="X133" s="34"/>
      <c r="Y133" s="105"/>
      <c r="Z133" s="105"/>
    </row>
    <row r="134" spans="1:26" ht="12.75">
      <c r="A134" s="309"/>
      <c r="B134" s="309"/>
      <c r="C134" s="34"/>
      <c r="D134" s="362"/>
      <c r="E134" s="34"/>
      <c r="F134" s="34"/>
      <c r="G134" s="35"/>
      <c r="H134" s="35"/>
      <c r="I134" s="34"/>
      <c r="J134" s="34"/>
      <c r="K134" s="65"/>
      <c r="L134" s="34"/>
      <c r="M134" s="34"/>
      <c r="N134" s="34"/>
      <c r="O134" s="34"/>
      <c r="P134" s="188"/>
      <c r="Q134" s="188"/>
      <c r="R134" s="34"/>
      <c r="S134" s="34"/>
      <c r="T134" s="304"/>
      <c r="U134" s="34"/>
      <c r="V134" s="34"/>
      <c r="W134" s="34"/>
      <c r="X134" s="34"/>
      <c r="Y134" s="105"/>
      <c r="Z134" s="105"/>
    </row>
    <row r="135" spans="1:26" ht="12.75">
      <c r="A135" s="309"/>
      <c r="B135" s="309"/>
      <c r="C135" s="34"/>
      <c r="D135" s="362"/>
      <c r="E135" s="34"/>
      <c r="F135" s="34"/>
      <c r="G135" s="35"/>
      <c r="H135" s="35"/>
      <c r="I135" s="34"/>
      <c r="J135" s="34"/>
      <c r="K135" s="65"/>
      <c r="L135" s="34"/>
      <c r="M135" s="34"/>
      <c r="N135" s="34"/>
      <c r="O135" s="34"/>
      <c r="P135" s="188"/>
      <c r="Q135" s="188"/>
      <c r="R135" s="34"/>
      <c r="S135" s="34"/>
      <c r="T135" s="304"/>
      <c r="U135" s="34"/>
      <c r="V135" s="34"/>
      <c r="W135" s="34"/>
      <c r="X135" s="34"/>
      <c r="Y135" s="105"/>
      <c r="Z135" s="105"/>
    </row>
    <row r="136" spans="1:26" ht="12.75">
      <c r="A136" s="309"/>
      <c r="B136" s="309"/>
      <c r="C136" s="34"/>
      <c r="D136" s="362"/>
      <c r="E136" s="34"/>
      <c r="F136" s="34"/>
      <c r="G136" s="35"/>
      <c r="H136" s="35"/>
      <c r="I136" s="34"/>
      <c r="J136" s="34"/>
      <c r="K136" s="65"/>
      <c r="L136" s="34"/>
      <c r="M136" s="34"/>
      <c r="N136" s="34"/>
      <c r="O136" s="34"/>
      <c r="P136" s="188"/>
      <c r="Q136" s="188"/>
      <c r="R136" s="34"/>
      <c r="S136" s="34"/>
      <c r="T136" s="304"/>
      <c r="U136" s="34"/>
      <c r="V136" s="34"/>
      <c r="W136" s="34"/>
      <c r="X136" s="34"/>
      <c r="Y136" s="105"/>
      <c r="Z136" s="105"/>
    </row>
    <row r="137" spans="1:26" ht="12.75">
      <c r="A137" s="309"/>
      <c r="B137" s="309"/>
      <c r="C137" s="34"/>
      <c r="D137" s="362"/>
      <c r="E137" s="34"/>
      <c r="F137" s="34"/>
      <c r="G137" s="35"/>
      <c r="H137" s="35"/>
      <c r="I137" s="34"/>
      <c r="J137" s="34"/>
      <c r="K137" s="65"/>
      <c r="L137" s="34"/>
      <c r="M137" s="34"/>
      <c r="N137" s="34"/>
      <c r="O137" s="34"/>
      <c r="P137" s="188"/>
      <c r="Q137" s="188"/>
      <c r="R137" s="34"/>
      <c r="S137" s="34"/>
      <c r="T137" s="304"/>
      <c r="U137" s="34"/>
      <c r="V137" s="34"/>
      <c r="W137" s="34"/>
      <c r="X137" s="34"/>
      <c r="Y137" s="105"/>
      <c r="Z137" s="105"/>
    </row>
    <row r="138" spans="1:26" ht="12.75">
      <c r="A138" s="309"/>
      <c r="B138" s="309"/>
      <c r="C138" s="34"/>
      <c r="D138" s="362"/>
      <c r="E138" s="34"/>
      <c r="F138" s="34"/>
      <c r="G138" s="35"/>
      <c r="H138" s="35"/>
      <c r="I138" s="34"/>
      <c r="J138" s="34"/>
      <c r="K138" s="65"/>
      <c r="L138" s="34"/>
      <c r="M138" s="34"/>
      <c r="N138" s="34"/>
      <c r="O138" s="34"/>
      <c r="P138" s="188"/>
      <c r="Q138" s="188"/>
      <c r="R138" s="34"/>
      <c r="S138" s="34"/>
      <c r="T138" s="304"/>
      <c r="U138" s="34"/>
      <c r="V138" s="34"/>
      <c r="W138" s="34"/>
      <c r="X138" s="34"/>
      <c r="Y138" s="105"/>
      <c r="Z138" s="105"/>
    </row>
    <row r="139" spans="1:26" ht="12.75">
      <c r="A139" s="309"/>
      <c r="B139" s="309"/>
      <c r="C139" s="34"/>
      <c r="D139" s="362"/>
      <c r="E139" s="34"/>
      <c r="F139" s="34"/>
      <c r="G139" s="35"/>
      <c r="H139" s="35"/>
      <c r="I139" s="34"/>
      <c r="J139" s="34"/>
      <c r="K139" s="65"/>
      <c r="L139" s="34"/>
      <c r="M139" s="34"/>
      <c r="N139" s="34"/>
      <c r="O139" s="34"/>
      <c r="P139" s="188"/>
      <c r="Q139" s="188"/>
      <c r="R139" s="34"/>
      <c r="S139" s="34"/>
      <c r="T139" s="304"/>
      <c r="U139" s="34"/>
      <c r="V139" s="34"/>
      <c r="W139" s="34"/>
      <c r="X139" s="34"/>
      <c r="Y139" s="105"/>
      <c r="Z139" s="105"/>
    </row>
    <row r="140" spans="1:26" ht="12.75">
      <c r="A140" s="309"/>
      <c r="B140" s="309"/>
      <c r="C140" s="34"/>
      <c r="D140" s="362"/>
      <c r="E140" s="34"/>
      <c r="F140" s="34"/>
      <c r="G140" s="35"/>
      <c r="H140" s="35"/>
      <c r="I140" s="34"/>
      <c r="J140" s="34"/>
      <c r="K140" s="65"/>
      <c r="L140" s="34"/>
      <c r="M140" s="34"/>
      <c r="N140" s="34"/>
      <c r="O140" s="34"/>
      <c r="P140" s="188"/>
      <c r="Q140" s="188"/>
      <c r="R140" s="34"/>
      <c r="S140" s="34"/>
      <c r="T140" s="304"/>
      <c r="U140" s="34"/>
      <c r="V140" s="34"/>
      <c r="W140" s="34"/>
      <c r="X140" s="34"/>
      <c r="Y140" s="105"/>
      <c r="Z140" s="105"/>
    </row>
    <row r="141" spans="1:26" ht="12.75">
      <c r="A141" s="309"/>
      <c r="B141" s="309"/>
      <c r="C141" s="34"/>
      <c r="D141" s="362"/>
      <c r="E141" s="34"/>
      <c r="F141" s="34"/>
      <c r="G141" s="35"/>
      <c r="H141" s="35"/>
      <c r="I141" s="34"/>
      <c r="J141" s="34"/>
      <c r="K141" s="65"/>
      <c r="L141" s="34"/>
      <c r="M141" s="34"/>
      <c r="N141" s="34"/>
      <c r="O141" s="34"/>
      <c r="P141" s="188"/>
      <c r="Q141" s="188"/>
      <c r="R141" s="34"/>
      <c r="S141" s="34"/>
      <c r="T141" s="304"/>
      <c r="U141" s="34"/>
      <c r="V141" s="34"/>
      <c r="W141" s="34"/>
      <c r="X141" s="34"/>
      <c r="Y141" s="105"/>
      <c r="Z141" s="105"/>
    </row>
    <row r="142" spans="1:26" ht="12.75">
      <c r="A142" s="309"/>
      <c r="B142" s="309"/>
      <c r="C142" s="34"/>
      <c r="D142" s="362"/>
      <c r="E142" s="34"/>
      <c r="F142" s="34"/>
      <c r="G142" s="35"/>
      <c r="H142" s="35"/>
      <c r="I142" s="34"/>
      <c r="J142" s="34"/>
      <c r="K142" s="65"/>
      <c r="L142" s="34"/>
      <c r="M142" s="34"/>
      <c r="N142" s="34"/>
      <c r="O142" s="34"/>
      <c r="P142" s="188"/>
      <c r="Q142" s="188"/>
      <c r="R142" s="34"/>
      <c r="S142" s="34"/>
      <c r="T142" s="304"/>
      <c r="U142" s="34"/>
      <c r="V142" s="34"/>
      <c r="W142" s="34"/>
      <c r="X142" s="34"/>
      <c r="Y142" s="105"/>
      <c r="Z142" s="105"/>
    </row>
    <row r="143" spans="1:26" ht="12.75">
      <c r="A143" s="309"/>
      <c r="B143" s="309"/>
      <c r="C143" s="34"/>
      <c r="D143" s="362"/>
      <c r="E143" s="34"/>
      <c r="F143" s="34"/>
      <c r="G143" s="35"/>
      <c r="H143" s="35"/>
      <c r="I143" s="34"/>
      <c r="J143" s="34"/>
      <c r="K143" s="65"/>
      <c r="L143" s="34"/>
      <c r="M143" s="34"/>
      <c r="N143" s="34"/>
      <c r="O143" s="34"/>
      <c r="P143" s="188"/>
      <c r="Q143" s="188"/>
      <c r="R143" s="34"/>
      <c r="S143" s="34"/>
      <c r="T143" s="304"/>
      <c r="U143" s="34"/>
      <c r="V143" s="34"/>
      <c r="W143" s="34"/>
      <c r="X143" s="34"/>
      <c r="Y143" s="105"/>
      <c r="Z143" s="105"/>
    </row>
    <row r="144" spans="1:26" ht="12.75">
      <c r="A144" s="309"/>
      <c r="B144" s="309"/>
      <c r="C144" s="34"/>
      <c r="D144" s="362"/>
      <c r="E144" s="34"/>
      <c r="F144" s="34"/>
      <c r="G144" s="35"/>
      <c r="H144" s="35"/>
      <c r="I144" s="34"/>
      <c r="J144" s="34"/>
      <c r="K144" s="65"/>
      <c r="L144" s="34"/>
      <c r="M144" s="34"/>
      <c r="N144" s="34"/>
      <c r="O144" s="34"/>
      <c r="P144" s="188"/>
      <c r="Q144" s="188"/>
      <c r="R144" s="34"/>
      <c r="S144" s="34"/>
      <c r="T144" s="304"/>
      <c r="U144" s="34"/>
      <c r="V144" s="34"/>
      <c r="W144" s="34"/>
      <c r="X144" s="34"/>
      <c r="Y144" s="105"/>
      <c r="Z144" s="105"/>
    </row>
    <row r="145" spans="1:26" ht="12.75">
      <c r="A145" s="309"/>
      <c r="B145" s="309"/>
      <c r="C145" s="34"/>
      <c r="D145" s="362"/>
      <c r="E145" s="34"/>
      <c r="F145" s="34"/>
      <c r="G145" s="35"/>
      <c r="H145" s="35"/>
      <c r="I145" s="34"/>
      <c r="J145" s="34"/>
      <c r="K145" s="65"/>
      <c r="L145" s="34"/>
      <c r="M145" s="34"/>
      <c r="N145" s="34"/>
      <c r="O145" s="34"/>
      <c r="P145" s="188"/>
      <c r="Q145" s="188"/>
      <c r="R145" s="34"/>
      <c r="S145" s="34"/>
      <c r="T145" s="304"/>
      <c r="U145" s="34"/>
      <c r="V145" s="34"/>
      <c r="W145" s="34"/>
      <c r="X145" s="34"/>
      <c r="Y145" s="105"/>
      <c r="Z145" s="105"/>
    </row>
    <row r="146" spans="1:26" ht="12.75">
      <c r="A146" s="309"/>
      <c r="B146" s="309"/>
      <c r="C146" s="34"/>
      <c r="D146" s="362"/>
      <c r="E146" s="34"/>
      <c r="F146" s="34"/>
      <c r="G146" s="35"/>
      <c r="H146" s="35"/>
      <c r="I146" s="34"/>
      <c r="J146" s="34"/>
      <c r="K146" s="65"/>
      <c r="L146" s="34"/>
      <c r="M146" s="34"/>
      <c r="N146" s="34"/>
      <c r="O146" s="34"/>
      <c r="P146" s="188"/>
      <c r="Q146" s="188"/>
      <c r="R146" s="34"/>
      <c r="S146" s="34"/>
      <c r="T146" s="304"/>
      <c r="U146" s="34"/>
      <c r="V146" s="34"/>
      <c r="W146" s="34"/>
      <c r="X146" s="34"/>
      <c r="Y146" s="105"/>
      <c r="Z146" s="105"/>
    </row>
    <row r="147" spans="1:26" ht="12.75">
      <c r="A147" s="309"/>
      <c r="B147" s="309"/>
      <c r="C147" s="34"/>
      <c r="D147" s="362"/>
      <c r="E147" s="34"/>
      <c r="F147" s="34"/>
      <c r="G147" s="35"/>
      <c r="H147" s="35"/>
      <c r="I147" s="34"/>
      <c r="J147" s="34"/>
      <c r="K147" s="65"/>
      <c r="L147" s="34"/>
      <c r="M147" s="34"/>
      <c r="N147" s="34"/>
      <c r="O147" s="34"/>
      <c r="P147" s="188"/>
      <c r="Q147" s="188"/>
      <c r="R147" s="34"/>
      <c r="S147" s="34"/>
      <c r="T147" s="304"/>
      <c r="U147" s="34"/>
      <c r="V147" s="34"/>
      <c r="W147" s="34"/>
      <c r="X147" s="34"/>
      <c r="Y147" s="105"/>
      <c r="Z147" s="105"/>
    </row>
    <row r="148" spans="1:26" ht="12.75">
      <c r="A148" s="309"/>
      <c r="B148" s="309"/>
      <c r="C148" s="34"/>
      <c r="D148" s="362"/>
      <c r="E148" s="34"/>
      <c r="F148" s="34"/>
      <c r="G148" s="35"/>
      <c r="H148" s="35"/>
      <c r="I148" s="34"/>
      <c r="J148" s="34"/>
      <c r="K148" s="65"/>
      <c r="L148" s="34"/>
      <c r="M148" s="34"/>
      <c r="N148" s="34"/>
      <c r="O148" s="34"/>
      <c r="P148" s="188"/>
      <c r="Q148" s="188"/>
      <c r="R148" s="34"/>
      <c r="S148" s="34"/>
      <c r="T148" s="304"/>
      <c r="U148" s="34"/>
      <c r="V148" s="34"/>
      <c r="W148" s="34"/>
      <c r="X148" s="34"/>
      <c r="Y148" s="105"/>
      <c r="Z148" s="105"/>
    </row>
    <row r="149" spans="1:26" ht="12.75">
      <c r="A149" s="309"/>
      <c r="B149" s="309"/>
      <c r="C149" s="34"/>
      <c r="D149" s="362"/>
      <c r="E149" s="34"/>
      <c r="F149" s="34"/>
      <c r="G149" s="35"/>
      <c r="H149" s="35"/>
      <c r="I149" s="34"/>
      <c r="J149" s="34"/>
      <c r="K149" s="65"/>
      <c r="L149" s="34"/>
      <c r="M149" s="34"/>
      <c r="N149" s="34"/>
      <c r="O149" s="34"/>
      <c r="P149" s="188"/>
      <c r="Q149" s="188"/>
      <c r="R149" s="34"/>
      <c r="S149" s="34"/>
      <c r="T149" s="304"/>
      <c r="U149" s="34"/>
      <c r="V149" s="34"/>
      <c r="W149" s="34"/>
      <c r="X149" s="34"/>
      <c r="Y149" s="105"/>
      <c r="Z149" s="105"/>
    </row>
    <row r="150" spans="1:26" ht="12.75">
      <c r="A150" s="309"/>
      <c r="B150" s="309"/>
      <c r="C150" s="34"/>
      <c r="D150" s="362"/>
      <c r="E150" s="34"/>
      <c r="F150" s="34"/>
      <c r="G150" s="35"/>
      <c r="H150" s="35"/>
      <c r="I150" s="34"/>
      <c r="J150" s="34"/>
      <c r="K150" s="65"/>
      <c r="L150" s="34"/>
      <c r="M150" s="34"/>
      <c r="N150" s="34"/>
      <c r="O150" s="34"/>
      <c r="P150" s="188"/>
      <c r="Q150" s="188"/>
      <c r="R150" s="34"/>
      <c r="S150" s="34"/>
      <c r="T150" s="304"/>
      <c r="U150" s="34"/>
      <c r="V150" s="34"/>
      <c r="W150" s="34"/>
      <c r="X150" s="34"/>
      <c r="Y150" s="105"/>
      <c r="Z150" s="105"/>
    </row>
    <row r="151" spans="1:26" ht="12.75">
      <c r="A151" s="309"/>
      <c r="B151" s="309"/>
      <c r="C151" s="34"/>
      <c r="D151" s="362"/>
      <c r="E151" s="34"/>
      <c r="F151" s="34"/>
      <c r="G151" s="35"/>
      <c r="H151" s="35"/>
      <c r="I151" s="34"/>
      <c r="J151" s="34"/>
      <c r="K151" s="65"/>
      <c r="L151" s="34"/>
      <c r="M151" s="34"/>
      <c r="N151" s="34"/>
      <c r="O151" s="34"/>
      <c r="P151" s="188"/>
      <c r="Q151" s="188"/>
      <c r="R151" s="34"/>
      <c r="S151" s="34"/>
      <c r="T151" s="304"/>
      <c r="U151" s="34"/>
      <c r="V151" s="34"/>
      <c r="W151" s="34"/>
      <c r="X151" s="34"/>
      <c r="Y151" s="105"/>
      <c r="Z151" s="105"/>
    </row>
    <row r="152" spans="1:26" ht="12.75">
      <c r="A152" s="309"/>
      <c r="B152" s="309"/>
      <c r="C152" s="34"/>
      <c r="D152" s="362"/>
      <c r="E152" s="34"/>
      <c r="F152" s="34"/>
      <c r="G152" s="35"/>
      <c r="H152" s="35"/>
      <c r="I152" s="34"/>
      <c r="J152" s="34"/>
      <c r="K152" s="65"/>
      <c r="L152" s="34"/>
      <c r="M152" s="34"/>
      <c r="N152" s="34"/>
      <c r="O152" s="34"/>
      <c r="P152" s="188"/>
      <c r="Q152" s="188"/>
      <c r="R152" s="34"/>
      <c r="S152" s="34"/>
      <c r="T152" s="304"/>
      <c r="U152" s="34"/>
      <c r="V152" s="34"/>
      <c r="W152" s="34"/>
      <c r="X152" s="34"/>
      <c r="Y152" s="105"/>
      <c r="Z152" s="105"/>
    </row>
    <row r="153" spans="1:26" ht="12.75">
      <c r="A153" s="309"/>
      <c r="B153" s="309"/>
      <c r="C153" s="34"/>
      <c r="D153" s="362"/>
      <c r="E153" s="34"/>
      <c r="F153" s="34"/>
      <c r="G153" s="35"/>
      <c r="H153" s="35"/>
      <c r="I153" s="34"/>
      <c r="J153" s="34"/>
      <c r="K153" s="65"/>
      <c r="L153" s="34"/>
      <c r="M153" s="34"/>
      <c r="N153" s="34"/>
      <c r="O153" s="34"/>
      <c r="P153" s="188"/>
      <c r="Q153" s="188"/>
      <c r="R153" s="34"/>
      <c r="S153" s="34"/>
      <c r="T153" s="304"/>
      <c r="U153" s="34"/>
      <c r="V153" s="34"/>
      <c r="W153" s="34"/>
      <c r="X153" s="34"/>
      <c r="Y153" s="105"/>
      <c r="Z153" s="105"/>
    </row>
    <row r="154" spans="1:26" ht="12.75">
      <c r="A154" s="309"/>
      <c r="B154" s="309"/>
      <c r="C154" s="34"/>
      <c r="D154" s="362"/>
      <c r="E154" s="34"/>
      <c r="F154" s="34"/>
      <c r="G154" s="35"/>
      <c r="H154" s="35"/>
      <c r="I154" s="34"/>
      <c r="J154" s="34"/>
      <c r="K154" s="65"/>
      <c r="L154" s="34"/>
      <c r="M154" s="34"/>
      <c r="N154" s="34"/>
      <c r="O154" s="34"/>
      <c r="P154" s="188"/>
      <c r="Q154" s="188"/>
      <c r="R154" s="34"/>
      <c r="S154" s="34"/>
      <c r="T154" s="304"/>
      <c r="U154" s="34"/>
      <c r="V154" s="34"/>
      <c r="W154" s="34"/>
      <c r="X154" s="34"/>
      <c r="Y154" s="105"/>
      <c r="Z154" s="105"/>
    </row>
    <row r="155" spans="1:26" ht="12.75">
      <c r="A155" s="309"/>
      <c r="B155" s="309"/>
      <c r="C155" s="34"/>
      <c r="D155" s="362"/>
      <c r="E155" s="34"/>
      <c r="F155" s="34"/>
      <c r="G155" s="35"/>
      <c r="H155" s="35"/>
      <c r="I155" s="34"/>
      <c r="J155" s="34"/>
      <c r="K155" s="65"/>
      <c r="L155" s="34"/>
      <c r="M155" s="34"/>
      <c r="N155" s="34"/>
      <c r="O155" s="34"/>
      <c r="P155" s="188"/>
      <c r="Q155" s="188"/>
      <c r="R155" s="34"/>
      <c r="S155" s="34"/>
      <c r="T155" s="304"/>
      <c r="U155" s="34"/>
      <c r="V155" s="34"/>
      <c r="W155" s="34"/>
      <c r="X155" s="34"/>
      <c r="Y155" s="105"/>
      <c r="Z155" s="105"/>
    </row>
    <row r="156" spans="1:26" ht="12.75">
      <c r="A156" s="309"/>
      <c r="B156" s="309"/>
      <c r="C156" s="34"/>
      <c r="D156" s="362"/>
      <c r="E156" s="34"/>
      <c r="F156" s="34"/>
      <c r="G156" s="35"/>
      <c r="H156" s="35"/>
      <c r="I156" s="34"/>
      <c r="J156" s="34"/>
      <c r="K156" s="65"/>
      <c r="L156" s="34"/>
      <c r="M156" s="34"/>
      <c r="N156" s="34"/>
      <c r="O156" s="34"/>
      <c r="P156" s="188"/>
      <c r="Q156" s="188"/>
      <c r="R156" s="34"/>
      <c r="S156" s="34"/>
      <c r="T156" s="304"/>
      <c r="U156" s="34"/>
      <c r="V156" s="34"/>
      <c r="W156" s="34"/>
      <c r="X156" s="34"/>
      <c r="Y156" s="105"/>
      <c r="Z156" s="105"/>
    </row>
    <row r="157" spans="1:26" ht="12.75">
      <c r="A157" s="309"/>
      <c r="B157" s="309"/>
      <c r="C157" s="34"/>
      <c r="D157" s="362"/>
      <c r="E157" s="34"/>
      <c r="F157" s="34"/>
      <c r="G157" s="35"/>
      <c r="H157" s="35"/>
      <c r="I157" s="34"/>
      <c r="J157" s="34"/>
      <c r="K157" s="65"/>
      <c r="L157" s="34"/>
      <c r="M157" s="34"/>
      <c r="N157" s="34"/>
      <c r="O157" s="34"/>
      <c r="P157" s="188"/>
      <c r="Q157" s="188"/>
      <c r="R157" s="34"/>
      <c r="S157" s="34"/>
      <c r="T157" s="304"/>
      <c r="U157" s="34"/>
      <c r="V157" s="34"/>
      <c r="W157" s="34"/>
      <c r="X157" s="34"/>
      <c r="Y157" s="105"/>
      <c r="Z157" s="105"/>
    </row>
    <row r="158" spans="1:26" ht="12.75">
      <c r="A158" s="309"/>
      <c r="B158" s="309"/>
      <c r="C158" s="34"/>
      <c r="D158" s="362"/>
      <c r="E158" s="34"/>
      <c r="F158" s="34"/>
      <c r="G158" s="35"/>
      <c r="H158" s="35"/>
      <c r="I158" s="34"/>
      <c r="J158" s="34"/>
      <c r="K158" s="65"/>
      <c r="L158" s="34"/>
      <c r="M158" s="34"/>
      <c r="N158" s="34"/>
      <c r="O158" s="34"/>
      <c r="P158" s="188"/>
      <c r="Q158" s="188"/>
      <c r="R158" s="34"/>
      <c r="S158" s="34"/>
      <c r="T158" s="304"/>
      <c r="U158" s="34"/>
      <c r="V158" s="34"/>
      <c r="W158" s="34"/>
      <c r="X158" s="34"/>
      <c r="Y158" s="105"/>
      <c r="Z158" s="105"/>
    </row>
    <row r="159" spans="1:26" ht="12.75">
      <c r="A159" s="309"/>
      <c r="B159" s="309"/>
      <c r="C159" s="34"/>
      <c r="D159" s="362"/>
      <c r="E159" s="34"/>
      <c r="F159" s="34"/>
      <c r="G159" s="35"/>
      <c r="H159" s="35"/>
      <c r="I159" s="34"/>
      <c r="J159" s="34"/>
      <c r="K159" s="65"/>
      <c r="L159" s="34"/>
      <c r="M159" s="34"/>
      <c r="N159" s="34"/>
      <c r="O159" s="34"/>
      <c r="P159" s="188"/>
      <c r="Q159" s="188"/>
      <c r="R159" s="34"/>
      <c r="S159" s="34"/>
      <c r="T159" s="304"/>
      <c r="U159" s="34"/>
      <c r="V159" s="34"/>
      <c r="W159" s="34"/>
      <c r="X159" s="34"/>
      <c r="Y159" s="105"/>
      <c r="Z159" s="105"/>
    </row>
    <row r="160" spans="1:26" ht="12.75">
      <c r="A160" s="309"/>
      <c r="B160" s="309"/>
      <c r="C160" s="34"/>
      <c r="D160" s="362"/>
      <c r="E160" s="34"/>
      <c r="F160" s="34"/>
      <c r="G160" s="35"/>
      <c r="H160" s="35"/>
      <c r="I160" s="34"/>
      <c r="J160" s="34"/>
      <c r="K160" s="65"/>
      <c r="L160" s="34"/>
      <c r="M160" s="34"/>
      <c r="N160" s="34"/>
      <c r="O160" s="34"/>
      <c r="P160" s="188"/>
      <c r="Q160" s="188"/>
      <c r="R160" s="34"/>
      <c r="S160" s="34"/>
      <c r="T160" s="304"/>
      <c r="U160" s="34"/>
      <c r="V160" s="34"/>
      <c r="W160" s="34"/>
      <c r="X160" s="34"/>
      <c r="Y160" s="105"/>
      <c r="Z160" s="105"/>
    </row>
    <row r="161" spans="1:26" ht="12.75">
      <c r="A161" s="309"/>
      <c r="B161" s="309"/>
      <c r="C161" s="34"/>
      <c r="D161" s="362"/>
      <c r="E161" s="34"/>
      <c r="F161" s="34"/>
      <c r="G161" s="35"/>
      <c r="H161" s="35"/>
      <c r="I161" s="34"/>
      <c r="J161" s="34"/>
      <c r="K161" s="65"/>
      <c r="L161" s="34"/>
      <c r="M161" s="34"/>
      <c r="N161" s="34"/>
      <c r="O161" s="34"/>
      <c r="P161" s="188"/>
      <c r="Q161" s="188"/>
      <c r="R161" s="34"/>
      <c r="S161" s="34"/>
      <c r="T161" s="304"/>
      <c r="U161" s="34"/>
      <c r="V161" s="34"/>
      <c r="W161" s="34"/>
      <c r="X161" s="34"/>
      <c r="Y161" s="105"/>
      <c r="Z161" s="105"/>
    </row>
    <row r="162" spans="1:26" ht="12.75">
      <c r="A162" s="309"/>
      <c r="B162" s="309"/>
      <c r="C162" s="34"/>
      <c r="D162" s="362"/>
      <c r="E162" s="34"/>
      <c r="F162" s="34"/>
      <c r="G162" s="35"/>
      <c r="H162" s="35"/>
      <c r="I162" s="34"/>
      <c r="J162" s="34"/>
      <c r="K162" s="65"/>
      <c r="L162" s="34"/>
      <c r="M162" s="34"/>
      <c r="N162" s="34"/>
      <c r="O162" s="34"/>
      <c r="P162" s="188"/>
      <c r="Q162" s="188"/>
      <c r="R162" s="34"/>
      <c r="S162" s="34"/>
      <c r="T162" s="304"/>
      <c r="U162" s="34"/>
      <c r="V162" s="34"/>
      <c r="W162" s="34"/>
      <c r="X162" s="34"/>
      <c r="Y162" s="105"/>
      <c r="Z162" s="105"/>
    </row>
    <row r="163" spans="1:26" ht="12.75">
      <c r="A163" s="309"/>
      <c r="B163" s="309"/>
      <c r="C163" s="34"/>
      <c r="D163" s="362"/>
      <c r="E163" s="34"/>
      <c r="F163" s="34"/>
      <c r="G163" s="35"/>
      <c r="H163" s="35"/>
      <c r="I163" s="34"/>
      <c r="J163" s="34"/>
      <c r="K163" s="65"/>
      <c r="L163" s="34"/>
      <c r="M163" s="34"/>
      <c r="N163" s="34"/>
      <c r="O163" s="34"/>
      <c r="P163" s="188"/>
      <c r="Q163" s="188"/>
      <c r="R163" s="34"/>
      <c r="S163" s="34"/>
      <c r="T163" s="304"/>
      <c r="U163" s="34"/>
      <c r="V163" s="34"/>
      <c r="W163" s="34"/>
      <c r="X163" s="34"/>
      <c r="Y163" s="105"/>
      <c r="Z163" s="105"/>
    </row>
    <row r="164" spans="1:26" ht="12.75">
      <c r="A164" s="309"/>
      <c r="B164" s="309"/>
      <c r="C164" s="34"/>
      <c r="D164" s="362"/>
      <c r="E164" s="34"/>
      <c r="F164" s="34"/>
      <c r="G164" s="35"/>
      <c r="H164" s="35"/>
      <c r="I164" s="34"/>
      <c r="J164" s="34"/>
      <c r="K164" s="65"/>
      <c r="L164" s="34"/>
      <c r="M164" s="34"/>
      <c r="N164" s="34"/>
      <c r="O164" s="34"/>
      <c r="P164" s="188"/>
      <c r="Q164" s="188"/>
      <c r="R164" s="34"/>
      <c r="S164" s="34"/>
      <c r="T164" s="304"/>
      <c r="U164" s="34"/>
      <c r="V164" s="34"/>
      <c r="W164" s="34"/>
      <c r="X164" s="34"/>
      <c r="Y164" s="105"/>
      <c r="Z164" s="105"/>
    </row>
    <row r="165" spans="1:26" ht="12.75">
      <c r="A165" s="309"/>
      <c r="B165" s="309"/>
      <c r="C165" s="34"/>
      <c r="D165" s="362"/>
      <c r="E165" s="34"/>
      <c r="F165" s="34"/>
      <c r="G165" s="35"/>
      <c r="H165" s="35"/>
      <c r="I165" s="34"/>
      <c r="J165" s="34"/>
      <c r="K165" s="65"/>
      <c r="L165" s="34"/>
      <c r="M165" s="34"/>
      <c r="N165" s="34"/>
      <c r="O165" s="34"/>
      <c r="P165" s="188"/>
      <c r="Q165" s="188"/>
      <c r="R165" s="34"/>
      <c r="S165" s="34"/>
      <c r="T165" s="304"/>
      <c r="U165" s="34"/>
      <c r="V165" s="34"/>
      <c r="W165" s="34"/>
      <c r="X165" s="34"/>
      <c r="Y165" s="105"/>
      <c r="Z165" s="105"/>
    </row>
    <row r="166" spans="1:26" ht="12.75">
      <c r="A166" s="309"/>
      <c r="B166" s="309"/>
      <c r="C166" s="34"/>
      <c r="D166" s="362"/>
      <c r="E166" s="34"/>
      <c r="F166" s="34"/>
      <c r="G166" s="35"/>
      <c r="H166" s="35"/>
      <c r="I166" s="34"/>
      <c r="J166" s="34"/>
      <c r="K166" s="65"/>
      <c r="L166" s="34"/>
      <c r="M166" s="34"/>
      <c r="N166" s="34"/>
      <c r="O166" s="34"/>
      <c r="P166" s="188"/>
      <c r="Q166" s="188"/>
      <c r="R166" s="34"/>
      <c r="S166" s="34"/>
      <c r="T166" s="304"/>
      <c r="U166" s="34"/>
      <c r="V166" s="34"/>
      <c r="W166" s="34"/>
      <c r="X166" s="34"/>
      <c r="Y166" s="105"/>
      <c r="Z166" s="105"/>
    </row>
    <row r="167" spans="1:26" ht="12.75">
      <c r="A167" s="309"/>
      <c r="B167" s="309"/>
      <c r="C167" s="34"/>
      <c r="D167" s="362"/>
      <c r="E167" s="34"/>
      <c r="F167" s="34"/>
      <c r="G167" s="35"/>
      <c r="H167" s="35"/>
      <c r="I167" s="34"/>
      <c r="J167" s="34"/>
      <c r="K167" s="65"/>
      <c r="L167" s="34"/>
      <c r="M167" s="34"/>
      <c r="N167" s="34"/>
      <c r="O167" s="34"/>
      <c r="P167" s="188"/>
      <c r="Q167" s="188"/>
      <c r="R167" s="34"/>
      <c r="S167" s="34"/>
      <c r="T167" s="304"/>
      <c r="U167" s="34"/>
      <c r="V167" s="34"/>
      <c r="W167" s="34"/>
      <c r="X167" s="34"/>
      <c r="Y167" s="105"/>
      <c r="Z167" s="105"/>
    </row>
    <row r="168" spans="1:26" ht="12.75">
      <c r="A168" s="309"/>
      <c r="B168" s="309"/>
      <c r="C168" s="34"/>
      <c r="D168" s="362"/>
      <c r="E168" s="34"/>
      <c r="F168" s="34"/>
      <c r="G168" s="35"/>
      <c r="H168" s="35"/>
      <c r="I168" s="34"/>
      <c r="J168" s="34"/>
      <c r="K168" s="65"/>
      <c r="L168" s="34"/>
      <c r="M168" s="34"/>
      <c r="N168" s="34"/>
      <c r="O168" s="34"/>
      <c r="P168" s="188"/>
      <c r="Q168" s="188"/>
      <c r="R168" s="34"/>
      <c r="S168" s="34"/>
      <c r="T168" s="304"/>
      <c r="U168" s="34"/>
      <c r="V168" s="34"/>
      <c r="W168" s="34"/>
      <c r="X168" s="34"/>
      <c r="Y168" s="105"/>
      <c r="Z168" s="105"/>
    </row>
    <row r="169" spans="1:26" ht="12.75">
      <c r="A169" s="309"/>
      <c r="B169" s="309"/>
      <c r="C169" s="34"/>
      <c r="D169" s="362"/>
      <c r="E169" s="34"/>
      <c r="F169" s="34"/>
      <c r="G169" s="35"/>
      <c r="H169" s="35"/>
      <c r="I169" s="34"/>
      <c r="J169" s="34"/>
      <c r="K169" s="65"/>
      <c r="L169" s="34"/>
      <c r="M169" s="34"/>
      <c r="N169" s="34"/>
      <c r="O169" s="34"/>
      <c r="P169" s="188"/>
      <c r="Q169" s="188"/>
      <c r="R169" s="34"/>
      <c r="S169" s="34"/>
      <c r="T169" s="304"/>
      <c r="U169" s="34"/>
      <c r="V169" s="34"/>
      <c r="W169" s="34"/>
      <c r="X169" s="34"/>
      <c r="Y169" s="105"/>
      <c r="Z169" s="105"/>
    </row>
    <row r="170" spans="1:26" ht="12.75">
      <c r="A170" s="309"/>
      <c r="B170" s="309"/>
      <c r="C170" s="34"/>
      <c r="D170" s="362"/>
      <c r="E170" s="34"/>
      <c r="F170" s="34"/>
      <c r="G170" s="35"/>
      <c r="H170" s="35"/>
      <c r="I170" s="34"/>
      <c r="J170" s="34"/>
      <c r="K170" s="65"/>
      <c r="L170" s="34"/>
      <c r="M170" s="34"/>
      <c r="N170" s="34"/>
      <c r="O170" s="34"/>
      <c r="P170" s="188"/>
      <c r="Q170" s="188"/>
      <c r="R170" s="34"/>
      <c r="S170" s="34"/>
      <c r="T170" s="304"/>
      <c r="U170" s="34"/>
      <c r="V170" s="34"/>
      <c r="W170" s="34"/>
      <c r="X170" s="34"/>
      <c r="Y170" s="105"/>
      <c r="Z170" s="105"/>
    </row>
    <row r="171" spans="1:26" ht="12.75">
      <c r="A171" s="309"/>
      <c r="B171" s="309"/>
      <c r="C171" s="34"/>
      <c r="D171" s="362"/>
      <c r="E171" s="34"/>
      <c r="F171" s="34"/>
      <c r="G171" s="35"/>
      <c r="H171" s="35"/>
      <c r="I171" s="34"/>
      <c r="J171" s="34"/>
      <c r="K171" s="65"/>
      <c r="L171" s="34"/>
      <c r="M171" s="34"/>
      <c r="N171" s="34"/>
      <c r="O171" s="34"/>
      <c r="P171" s="188"/>
      <c r="Q171" s="188"/>
      <c r="R171" s="34"/>
      <c r="S171" s="34"/>
      <c r="T171" s="304"/>
      <c r="U171" s="34"/>
      <c r="V171" s="34"/>
      <c r="W171" s="34"/>
      <c r="X171" s="34"/>
      <c r="Y171" s="105"/>
      <c r="Z171" s="105"/>
    </row>
    <row r="172" spans="1:26" ht="12.75">
      <c r="A172" s="309"/>
      <c r="B172" s="309"/>
      <c r="C172" s="34"/>
      <c r="D172" s="362"/>
      <c r="E172" s="34"/>
      <c r="F172" s="34"/>
      <c r="G172" s="35"/>
      <c r="H172" s="35"/>
      <c r="I172" s="34"/>
      <c r="J172" s="34"/>
      <c r="K172" s="65"/>
      <c r="L172" s="34"/>
      <c r="M172" s="34"/>
      <c r="N172" s="34"/>
      <c r="O172" s="34"/>
      <c r="P172" s="188"/>
      <c r="Q172" s="188"/>
      <c r="R172" s="34"/>
      <c r="S172" s="34"/>
      <c r="T172" s="304"/>
      <c r="U172" s="34"/>
      <c r="V172" s="34"/>
      <c r="W172" s="34"/>
      <c r="X172" s="34"/>
      <c r="Y172" s="105"/>
      <c r="Z172" s="105"/>
    </row>
    <row r="173" spans="1:26" ht="12.75">
      <c r="A173" s="309"/>
      <c r="B173" s="309"/>
      <c r="C173" s="34"/>
      <c r="D173" s="362"/>
      <c r="E173" s="34"/>
      <c r="F173" s="34"/>
      <c r="G173" s="35"/>
      <c r="H173" s="35"/>
      <c r="I173" s="34"/>
      <c r="J173" s="34"/>
      <c r="K173" s="65"/>
      <c r="L173" s="34"/>
      <c r="M173" s="34"/>
      <c r="N173" s="34"/>
      <c r="O173" s="34"/>
      <c r="P173" s="188"/>
      <c r="Q173" s="188"/>
      <c r="R173" s="34"/>
      <c r="S173" s="34"/>
      <c r="T173" s="304"/>
      <c r="U173" s="34"/>
      <c r="V173" s="34"/>
      <c r="W173" s="34"/>
      <c r="X173" s="34"/>
      <c r="Y173" s="105"/>
      <c r="Z173" s="105"/>
    </row>
    <row r="174" spans="1:26" ht="12.75">
      <c r="A174" s="309"/>
      <c r="B174" s="309"/>
      <c r="C174" s="34"/>
      <c r="D174" s="362"/>
      <c r="E174" s="34"/>
      <c r="F174" s="34"/>
      <c r="G174" s="35"/>
      <c r="H174" s="35"/>
      <c r="I174" s="34"/>
      <c r="J174" s="34"/>
      <c r="K174" s="65"/>
      <c r="L174" s="34"/>
      <c r="M174" s="34"/>
      <c r="N174" s="34"/>
      <c r="O174" s="34"/>
      <c r="P174" s="188"/>
      <c r="Q174" s="188"/>
      <c r="R174" s="34"/>
      <c r="S174" s="34"/>
      <c r="T174" s="304"/>
      <c r="U174" s="34"/>
      <c r="V174" s="34"/>
      <c r="W174" s="34"/>
      <c r="X174" s="34"/>
      <c r="Y174" s="105"/>
      <c r="Z174" s="105"/>
    </row>
    <row r="175" spans="1:26" ht="12.75">
      <c r="A175" s="309"/>
      <c r="B175" s="309"/>
      <c r="C175" s="34"/>
      <c r="D175" s="362"/>
      <c r="E175" s="34"/>
      <c r="F175" s="34"/>
      <c r="G175" s="35"/>
      <c r="H175" s="35"/>
      <c r="I175" s="34"/>
      <c r="J175" s="34"/>
      <c r="K175" s="65"/>
      <c r="L175" s="34"/>
      <c r="M175" s="34"/>
      <c r="N175" s="34"/>
      <c r="O175" s="34"/>
      <c r="P175" s="188"/>
      <c r="Q175" s="188"/>
      <c r="R175" s="34"/>
      <c r="S175" s="34"/>
      <c r="T175" s="304"/>
      <c r="U175" s="34"/>
      <c r="V175" s="34"/>
      <c r="W175" s="34"/>
      <c r="X175" s="34"/>
      <c r="Y175" s="105"/>
      <c r="Z175" s="105"/>
    </row>
    <row r="176" spans="1:26" ht="12.75">
      <c r="A176" s="309"/>
      <c r="B176" s="309"/>
      <c r="C176" s="34"/>
      <c r="D176" s="362"/>
      <c r="E176" s="34"/>
      <c r="F176" s="34"/>
      <c r="G176" s="35"/>
      <c r="H176" s="35"/>
      <c r="I176" s="34"/>
      <c r="J176" s="34"/>
      <c r="K176" s="65"/>
      <c r="L176" s="34"/>
      <c r="M176" s="34"/>
      <c r="N176" s="34"/>
      <c r="O176" s="34"/>
      <c r="P176" s="188"/>
      <c r="Q176" s="188"/>
      <c r="R176" s="34"/>
      <c r="S176" s="34"/>
      <c r="T176" s="304"/>
      <c r="U176" s="34"/>
      <c r="V176" s="34"/>
      <c r="W176" s="34"/>
      <c r="X176" s="34"/>
      <c r="Y176" s="105"/>
      <c r="Z176" s="105"/>
    </row>
    <row r="177" spans="1:26" ht="12.75">
      <c r="A177" s="309"/>
      <c r="B177" s="309"/>
      <c r="C177" s="34"/>
      <c r="D177" s="362"/>
      <c r="E177" s="34"/>
      <c r="F177" s="34"/>
      <c r="G177" s="35"/>
      <c r="H177" s="35"/>
      <c r="I177" s="34"/>
      <c r="J177" s="34"/>
      <c r="K177" s="65"/>
      <c r="L177" s="34"/>
      <c r="M177" s="34"/>
      <c r="N177" s="34"/>
      <c r="O177" s="34"/>
      <c r="P177" s="188"/>
      <c r="Q177" s="188"/>
      <c r="R177" s="34"/>
      <c r="S177" s="34"/>
      <c r="T177" s="304"/>
      <c r="U177" s="34"/>
      <c r="V177" s="34"/>
      <c r="W177" s="34"/>
      <c r="X177" s="34"/>
      <c r="Y177" s="105"/>
      <c r="Z177" s="105"/>
    </row>
    <row r="178" spans="1:26" ht="12.75">
      <c r="A178" s="309"/>
      <c r="B178" s="309"/>
      <c r="C178" s="34"/>
      <c r="D178" s="362"/>
      <c r="E178" s="34"/>
      <c r="F178" s="34"/>
      <c r="G178" s="35"/>
      <c r="H178" s="35"/>
      <c r="I178" s="34"/>
      <c r="J178" s="34"/>
      <c r="K178" s="65"/>
      <c r="L178" s="34"/>
      <c r="M178" s="34"/>
      <c r="N178" s="34"/>
      <c r="O178" s="34"/>
      <c r="P178" s="188"/>
      <c r="Q178" s="188"/>
      <c r="R178" s="34"/>
      <c r="S178" s="34"/>
      <c r="T178" s="304"/>
      <c r="U178" s="34"/>
      <c r="V178" s="34"/>
      <c r="W178" s="34"/>
      <c r="X178" s="34"/>
      <c r="Y178" s="105"/>
      <c r="Z178" s="105"/>
    </row>
    <row r="179" spans="1:26" ht="12.75">
      <c r="A179" s="309"/>
      <c r="B179" s="309"/>
      <c r="C179" s="34"/>
      <c r="D179" s="362"/>
      <c r="E179" s="34"/>
      <c r="F179" s="34"/>
      <c r="G179" s="35"/>
      <c r="H179" s="35"/>
      <c r="I179" s="34"/>
      <c r="J179" s="34"/>
      <c r="K179" s="65"/>
      <c r="L179" s="34"/>
      <c r="M179" s="34"/>
      <c r="N179" s="34"/>
      <c r="O179" s="34"/>
      <c r="P179" s="188"/>
      <c r="Q179" s="188"/>
      <c r="R179" s="34"/>
      <c r="S179" s="34"/>
      <c r="T179" s="304"/>
      <c r="U179" s="34"/>
      <c r="V179" s="34"/>
      <c r="W179" s="34"/>
      <c r="X179" s="34"/>
      <c r="Y179" s="105"/>
      <c r="Z179" s="105"/>
    </row>
    <row r="180" spans="1:26" ht="12.75">
      <c r="A180" s="309"/>
      <c r="B180" s="309"/>
      <c r="C180" s="34"/>
      <c r="D180" s="362"/>
      <c r="E180" s="34"/>
      <c r="F180" s="34"/>
      <c r="G180" s="35"/>
      <c r="H180" s="35"/>
      <c r="I180" s="34"/>
      <c r="J180" s="34"/>
      <c r="K180" s="65"/>
      <c r="L180" s="34"/>
      <c r="M180" s="34"/>
      <c r="N180" s="34"/>
      <c r="O180" s="34"/>
      <c r="P180" s="188"/>
      <c r="Q180" s="188"/>
      <c r="R180" s="34"/>
      <c r="S180" s="34"/>
      <c r="T180" s="304"/>
      <c r="U180" s="34"/>
      <c r="V180" s="34"/>
      <c r="W180" s="34"/>
      <c r="X180" s="34"/>
      <c r="Y180" s="105"/>
      <c r="Z180" s="105"/>
    </row>
    <row r="181" spans="1:26" ht="12.75">
      <c r="A181" s="309"/>
      <c r="B181" s="309"/>
      <c r="C181" s="34"/>
      <c r="D181" s="362"/>
      <c r="E181" s="34"/>
      <c r="F181" s="34"/>
      <c r="G181" s="35"/>
      <c r="H181" s="35"/>
      <c r="I181" s="34"/>
      <c r="J181" s="34"/>
      <c r="K181" s="65"/>
      <c r="L181" s="34"/>
      <c r="M181" s="34"/>
      <c r="N181" s="34"/>
      <c r="O181" s="34"/>
      <c r="P181" s="188"/>
      <c r="Q181" s="188"/>
      <c r="R181" s="34"/>
      <c r="S181" s="34"/>
      <c r="T181" s="304"/>
      <c r="U181" s="34"/>
      <c r="V181" s="34"/>
      <c r="W181" s="34"/>
      <c r="X181" s="34"/>
      <c r="Y181" s="105"/>
      <c r="Z181" s="105"/>
    </row>
    <row r="182" spans="1:26" ht="12.75">
      <c r="A182" s="309"/>
      <c r="B182" s="309"/>
      <c r="C182" s="34"/>
      <c r="D182" s="362"/>
      <c r="E182" s="34"/>
      <c r="F182" s="34"/>
      <c r="G182" s="35"/>
      <c r="H182" s="35"/>
      <c r="I182" s="34"/>
      <c r="J182" s="34"/>
      <c r="K182" s="65"/>
      <c r="L182" s="34"/>
      <c r="M182" s="34"/>
      <c r="N182" s="34"/>
      <c r="O182" s="34"/>
      <c r="P182" s="188"/>
      <c r="Q182" s="188"/>
      <c r="R182" s="34"/>
      <c r="S182" s="34"/>
      <c r="T182" s="304"/>
      <c r="U182" s="34"/>
      <c r="V182" s="34"/>
      <c r="W182" s="34"/>
      <c r="X182" s="34"/>
      <c r="Y182" s="105"/>
      <c r="Z182" s="105"/>
    </row>
    <row r="183" spans="1:26" ht="12.75">
      <c r="A183" s="309"/>
      <c r="B183" s="309"/>
      <c r="C183" s="34"/>
      <c r="D183" s="362"/>
      <c r="E183" s="34"/>
      <c r="F183" s="34"/>
      <c r="G183" s="35"/>
      <c r="H183" s="35"/>
      <c r="I183" s="34"/>
      <c r="J183" s="34"/>
      <c r="K183" s="65"/>
      <c r="L183" s="34"/>
      <c r="M183" s="34"/>
      <c r="N183" s="34"/>
      <c r="O183" s="34"/>
      <c r="P183" s="188"/>
      <c r="Q183" s="188"/>
      <c r="R183" s="34"/>
      <c r="S183" s="34"/>
      <c r="T183" s="304"/>
      <c r="U183" s="34"/>
      <c r="V183" s="34"/>
      <c r="W183" s="34"/>
      <c r="X183" s="34"/>
      <c r="Y183" s="105"/>
      <c r="Z183" s="105"/>
    </row>
    <row r="184" spans="1:26" ht="12.75">
      <c r="A184" s="309"/>
      <c r="B184" s="309"/>
      <c r="C184" s="34"/>
      <c r="D184" s="362"/>
      <c r="E184" s="34"/>
      <c r="F184" s="34"/>
      <c r="G184" s="35"/>
      <c r="H184" s="35"/>
      <c r="I184" s="34"/>
      <c r="J184" s="34"/>
      <c r="K184" s="65"/>
      <c r="L184" s="34"/>
      <c r="M184" s="34"/>
      <c r="N184" s="34"/>
      <c r="O184" s="34"/>
      <c r="P184" s="188"/>
      <c r="Q184" s="188"/>
      <c r="R184" s="34"/>
      <c r="S184" s="34"/>
      <c r="T184" s="304"/>
      <c r="U184" s="34"/>
      <c r="V184" s="34"/>
      <c r="W184" s="34"/>
      <c r="X184" s="34"/>
      <c r="Y184" s="105"/>
      <c r="Z184" s="105"/>
    </row>
    <row r="185" spans="1:26" ht="12.75">
      <c r="A185" s="309"/>
      <c r="B185" s="309"/>
      <c r="C185" s="34"/>
      <c r="D185" s="362"/>
      <c r="E185" s="34"/>
      <c r="F185" s="34"/>
      <c r="G185" s="35"/>
      <c r="H185" s="35"/>
      <c r="I185" s="34"/>
      <c r="J185" s="34"/>
      <c r="K185" s="65"/>
      <c r="L185" s="34"/>
      <c r="M185" s="34"/>
      <c r="N185" s="34"/>
      <c r="O185" s="34"/>
      <c r="P185" s="188"/>
      <c r="Q185" s="188"/>
      <c r="R185" s="34"/>
      <c r="S185" s="34"/>
      <c r="T185" s="304"/>
      <c r="U185" s="34"/>
      <c r="V185" s="34"/>
      <c r="W185" s="34"/>
      <c r="X185" s="34"/>
      <c r="Y185" s="105"/>
      <c r="Z185" s="105"/>
    </row>
    <row r="186" spans="1:26" ht="12.75">
      <c r="A186" s="309"/>
      <c r="B186" s="309"/>
      <c r="C186" s="34"/>
      <c r="D186" s="362"/>
      <c r="E186" s="34"/>
      <c r="F186" s="34"/>
      <c r="G186" s="35"/>
      <c r="H186" s="35"/>
      <c r="I186" s="34"/>
      <c r="J186" s="34"/>
      <c r="K186" s="65"/>
      <c r="L186" s="34"/>
      <c r="M186" s="34"/>
      <c r="N186" s="34"/>
      <c r="O186" s="34"/>
      <c r="P186" s="188"/>
      <c r="Q186" s="188"/>
      <c r="R186" s="34"/>
      <c r="S186" s="34"/>
      <c r="T186" s="304"/>
      <c r="U186" s="34"/>
      <c r="V186" s="34"/>
      <c r="W186" s="34"/>
      <c r="X186" s="34"/>
      <c r="Y186" s="105"/>
      <c r="Z186" s="105"/>
    </row>
    <row r="187" spans="1:26" ht="12.75">
      <c r="A187" s="309"/>
      <c r="B187" s="309"/>
      <c r="C187" s="34"/>
      <c r="D187" s="362"/>
      <c r="E187" s="34"/>
      <c r="F187" s="34"/>
      <c r="G187" s="35"/>
      <c r="H187" s="35"/>
      <c r="I187" s="34"/>
      <c r="J187" s="34"/>
      <c r="K187" s="65"/>
      <c r="L187" s="34"/>
      <c r="M187" s="34"/>
      <c r="N187" s="34"/>
      <c r="O187" s="34"/>
      <c r="P187" s="188"/>
      <c r="Q187" s="188"/>
      <c r="R187" s="34"/>
      <c r="S187" s="34"/>
      <c r="T187" s="304"/>
      <c r="U187" s="34"/>
      <c r="V187" s="34"/>
      <c r="W187" s="34"/>
      <c r="X187" s="34"/>
      <c r="Y187" s="105"/>
      <c r="Z187" s="105"/>
    </row>
    <row r="188" spans="1:26" ht="12.75">
      <c r="A188" s="309"/>
      <c r="B188" s="309"/>
      <c r="C188" s="34"/>
      <c r="D188" s="362"/>
      <c r="E188" s="34"/>
      <c r="F188" s="34"/>
      <c r="G188" s="35"/>
      <c r="H188" s="35"/>
      <c r="I188" s="34"/>
      <c r="J188" s="34"/>
      <c r="K188" s="65"/>
      <c r="L188" s="34"/>
      <c r="M188" s="34"/>
      <c r="N188" s="34"/>
      <c r="O188" s="34"/>
      <c r="P188" s="188"/>
      <c r="Q188" s="188"/>
      <c r="R188" s="34"/>
      <c r="S188" s="34"/>
      <c r="T188" s="304"/>
      <c r="U188" s="34"/>
      <c r="V188" s="34"/>
      <c r="W188" s="34"/>
      <c r="X188" s="34"/>
      <c r="Y188" s="105"/>
      <c r="Z188" s="105"/>
    </row>
    <row r="189" spans="1:26" ht="12.75">
      <c r="A189" s="309"/>
      <c r="B189" s="309"/>
      <c r="C189" s="34"/>
      <c r="D189" s="362"/>
      <c r="E189" s="34"/>
      <c r="F189" s="34"/>
      <c r="G189" s="35"/>
      <c r="H189" s="35"/>
      <c r="I189" s="34"/>
      <c r="J189" s="34"/>
      <c r="K189" s="65"/>
      <c r="L189" s="34"/>
      <c r="M189" s="34"/>
      <c r="N189" s="34"/>
      <c r="O189" s="34"/>
      <c r="P189" s="188"/>
      <c r="Q189" s="188"/>
      <c r="R189" s="34"/>
      <c r="S189" s="34"/>
      <c r="T189" s="304"/>
      <c r="U189" s="34"/>
      <c r="V189" s="34"/>
      <c r="W189" s="34"/>
      <c r="X189" s="34"/>
      <c r="Y189" s="105"/>
      <c r="Z189" s="105"/>
    </row>
    <row r="190" spans="1:26" ht="12.75">
      <c r="A190" s="309"/>
      <c r="B190" s="309"/>
      <c r="C190" s="34"/>
      <c r="D190" s="362"/>
      <c r="E190" s="34"/>
      <c r="F190" s="34"/>
      <c r="G190" s="35"/>
      <c r="H190" s="35"/>
      <c r="I190" s="34"/>
      <c r="J190" s="34"/>
      <c r="K190" s="65"/>
      <c r="L190" s="34"/>
      <c r="M190" s="34"/>
      <c r="N190" s="34"/>
      <c r="O190" s="34"/>
      <c r="P190" s="188"/>
      <c r="Q190" s="188"/>
      <c r="R190" s="34"/>
      <c r="S190" s="34"/>
      <c r="T190" s="304"/>
      <c r="U190" s="34"/>
      <c r="V190" s="34"/>
      <c r="W190" s="34"/>
      <c r="X190" s="34"/>
      <c r="Y190" s="105"/>
      <c r="Z190" s="105"/>
    </row>
    <row r="191" spans="1:26" ht="12.75">
      <c r="A191" s="309"/>
      <c r="B191" s="309"/>
      <c r="C191" s="34"/>
      <c r="D191" s="362"/>
      <c r="E191" s="34"/>
      <c r="F191" s="34"/>
      <c r="G191" s="35"/>
      <c r="H191" s="35"/>
      <c r="I191" s="34"/>
      <c r="J191" s="34"/>
      <c r="K191" s="65"/>
      <c r="L191" s="34"/>
      <c r="M191" s="34"/>
      <c r="N191" s="34"/>
      <c r="O191" s="34"/>
      <c r="P191" s="188"/>
      <c r="Q191" s="188"/>
      <c r="R191" s="34"/>
      <c r="S191" s="34"/>
      <c r="T191" s="304"/>
      <c r="U191" s="34"/>
      <c r="V191" s="34"/>
      <c r="W191" s="34"/>
      <c r="X191" s="34"/>
      <c r="Y191" s="105"/>
      <c r="Z191" s="105"/>
    </row>
    <row r="192" spans="1:26" ht="12.75">
      <c r="A192" s="309"/>
      <c r="B192" s="309"/>
      <c r="C192" s="34"/>
      <c r="D192" s="362"/>
      <c r="E192" s="34"/>
      <c r="F192" s="34"/>
      <c r="G192" s="35"/>
      <c r="H192" s="35"/>
      <c r="I192" s="34"/>
      <c r="J192" s="34"/>
      <c r="K192" s="65"/>
      <c r="L192" s="34"/>
      <c r="M192" s="34"/>
      <c r="N192" s="34"/>
      <c r="O192" s="34"/>
      <c r="P192" s="188"/>
      <c r="Q192" s="188"/>
      <c r="R192" s="34"/>
      <c r="S192" s="34"/>
      <c r="T192" s="304"/>
      <c r="U192" s="34"/>
      <c r="V192" s="34"/>
      <c r="W192" s="34"/>
      <c r="X192" s="34"/>
      <c r="Y192" s="105"/>
      <c r="Z192" s="105"/>
    </row>
    <row r="193" spans="1:26" ht="12.75">
      <c r="A193" s="309"/>
      <c r="B193" s="309"/>
      <c r="C193" s="34"/>
      <c r="D193" s="362"/>
      <c r="E193" s="34"/>
      <c r="F193" s="34"/>
      <c r="G193" s="35"/>
      <c r="H193" s="35"/>
      <c r="I193" s="34"/>
      <c r="J193" s="34"/>
      <c r="K193" s="65"/>
      <c r="L193" s="34"/>
      <c r="M193" s="34"/>
      <c r="N193" s="34"/>
      <c r="O193" s="34"/>
      <c r="P193" s="188"/>
      <c r="Q193" s="188"/>
      <c r="R193" s="34"/>
      <c r="S193" s="34"/>
      <c r="T193" s="304"/>
      <c r="U193" s="34"/>
      <c r="V193" s="34"/>
      <c r="W193" s="34"/>
      <c r="X193" s="34"/>
      <c r="Y193" s="105"/>
      <c r="Z193" s="105"/>
    </row>
    <row r="194" spans="1:26" ht="12.75">
      <c r="A194" s="309"/>
      <c r="B194" s="309"/>
      <c r="C194" s="34"/>
      <c r="D194" s="362"/>
      <c r="E194" s="34"/>
      <c r="F194" s="34"/>
      <c r="G194" s="35"/>
      <c r="H194" s="35"/>
      <c r="I194" s="34"/>
      <c r="J194" s="34"/>
      <c r="K194" s="65"/>
      <c r="L194" s="34"/>
      <c r="M194" s="34"/>
      <c r="N194" s="34"/>
      <c r="O194" s="34"/>
      <c r="P194" s="188"/>
      <c r="Q194" s="188"/>
      <c r="R194" s="34"/>
      <c r="S194" s="34"/>
      <c r="T194" s="304"/>
      <c r="U194" s="34"/>
      <c r="V194" s="34"/>
      <c r="W194" s="34"/>
      <c r="X194" s="34"/>
      <c r="Y194" s="105"/>
      <c r="Z194" s="105"/>
    </row>
    <row r="195" spans="1:26" ht="12.75">
      <c r="A195" s="309"/>
      <c r="B195" s="309"/>
      <c r="C195" s="34"/>
      <c r="D195" s="362"/>
      <c r="E195" s="34"/>
      <c r="F195" s="34"/>
      <c r="G195" s="35"/>
      <c r="H195" s="35"/>
      <c r="I195" s="34"/>
      <c r="J195" s="34"/>
      <c r="K195" s="65"/>
      <c r="L195" s="34"/>
      <c r="M195" s="34"/>
      <c r="N195" s="34"/>
      <c r="O195" s="34"/>
      <c r="P195" s="188"/>
      <c r="Q195" s="188"/>
      <c r="R195" s="34"/>
      <c r="S195" s="34"/>
      <c r="T195" s="304"/>
      <c r="U195" s="34"/>
      <c r="V195" s="34"/>
      <c r="W195" s="34"/>
      <c r="X195" s="34"/>
      <c r="Y195" s="105"/>
      <c r="Z195" s="105"/>
    </row>
    <row r="196" spans="1:26" ht="12.75">
      <c r="A196" s="309"/>
      <c r="B196" s="309"/>
      <c r="C196" s="34"/>
      <c r="D196" s="362"/>
      <c r="E196" s="34"/>
      <c r="F196" s="34"/>
      <c r="G196" s="35"/>
      <c r="H196" s="35"/>
      <c r="I196" s="34"/>
      <c r="J196" s="34"/>
      <c r="K196" s="65"/>
      <c r="L196" s="34"/>
      <c r="M196" s="34"/>
      <c r="N196" s="34"/>
      <c r="O196" s="34"/>
      <c r="P196" s="188"/>
      <c r="Q196" s="188"/>
      <c r="R196" s="34"/>
      <c r="S196" s="34"/>
      <c r="T196" s="304"/>
      <c r="U196" s="34"/>
      <c r="V196" s="34"/>
      <c r="W196" s="34"/>
      <c r="X196" s="34"/>
      <c r="Y196" s="105"/>
      <c r="Z196" s="105"/>
    </row>
    <row r="197" spans="1:26" ht="12.75">
      <c r="A197" s="309"/>
      <c r="B197" s="309"/>
      <c r="C197" s="34"/>
      <c r="D197" s="362"/>
      <c r="E197" s="34"/>
      <c r="F197" s="34"/>
      <c r="G197" s="35"/>
      <c r="H197" s="35"/>
      <c r="I197" s="34"/>
      <c r="J197" s="34"/>
      <c r="K197" s="65"/>
      <c r="L197" s="34"/>
      <c r="M197" s="34"/>
      <c r="N197" s="34"/>
      <c r="O197" s="34"/>
      <c r="P197" s="188"/>
      <c r="Q197" s="188"/>
      <c r="R197" s="34"/>
      <c r="S197" s="34"/>
      <c r="T197" s="304"/>
      <c r="U197" s="34"/>
      <c r="V197" s="34"/>
      <c r="W197" s="34"/>
      <c r="X197" s="34"/>
      <c r="Y197" s="105"/>
      <c r="Z197" s="105"/>
    </row>
    <row r="198" spans="1:26" ht="12.75">
      <c r="A198" s="309"/>
      <c r="B198" s="309"/>
      <c r="C198" s="34"/>
      <c r="D198" s="362"/>
      <c r="E198" s="34"/>
      <c r="F198" s="34"/>
      <c r="G198" s="35"/>
      <c r="H198" s="35"/>
      <c r="I198" s="34"/>
      <c r="J198" s="34"/>
      <c r="K198" s="65"/>
      <c r="L198" s="34"/>
      <c r="M198" s="34"/>
      <c r="N198" s="34"/>
      <c r="O198" s="34"/>
      <c r="P198" s="188"/>
      <c r="Q198" s="188"/>
      <c r="R198" s="34"/>
      <c r="S198" s="34"/>
      <c r="T198" s="304"/>
      <c r="U198" s="34"/>
      <c r="V198" s="34"/>
      <c r="W198" s="34"/>
      <c r="X198" s="34"/>
      <c r="Y198" s="105"/>
      <c r="Z198" s="105"/>
    </row>
    <row r="199" spans="1:26" ht="12.75">
      <c r="A199" s="309"/>
      <c r="B199" s="309"/>
      <c r="C199" s="34"/>
      <c r="D199" s="362"/>
      <c r="E199" s="34"/>
      <c r="F199" s="34"/>
      <c r="G199" s="35"/>
      <c r="H199" s="35"/>
      <c r="I199" s="34"/>
      <c r="J199" s="34"/>
      <c r="K199" s="65"/>
      <c r="L199" s="34"/>
      <c r="M199" s="34"/>
      <c r="N199" s="34"/>
      <c r="O199" s="34"/>
      <c r="P199" s="188"/>
      <c r="Q199" s="188"/>
      <c r="R199" s="34"/>
      <c r="S199" s="34"/>
      <c r="T199" s="304"/>
      <c r="U199" s="34"/>
      <c r="V199" s="34"/>
      <c r="W199" s="34"/>
      <c r="X199" s="34"/>
      <c r="Y199" s="105"/>
      <c r="Z199" s="105"/>
    </row>
    <row r="200" spans="1:26" ht="12.75">
      <c r="A200" s="309"/>
      <c r="B200" s="309"/>
      <c r="C200" s="34"/>
      <c r="D200" s="362"/>
      <c r="E200" s="34"/>
      <c r="F200" s="34"/>
      <c r="G200" s="35"/>
      <c r="H200" s="35"/>
      <c r="I200" s="34"/>
      <c r="J200" s="34"/>
      <c r="K200" s="65"/>
      <c r="L200" s="34"/>
      <c r="M200" s="34"/>
      <c r="N200" s="34"/>
      <c r="O200" s="34"/>
      <c r="P200" s="188"/>
      <c r="Q200" s="188"/>
      <c r="R200" s="34"/>
      <c r="S200" s="34"/>
      <c r="T200" s="304"/>
      <c r="U200" s="34"/>
      <c r="V200" s="34"/>
      <c r="W200" s="34"/>
      <c r="X200" s="34"/>
      <c r="Y200" s="105"/>
      <c r="Z200" s="105"/>
    </row>
    <row r="201" spans="1:26" ht="12.75">
      <c r="A201" s="309"/>
      <c r="B201" s="309"/>
      <c r="C201" s="34"/>
      <c r="D201" s="362"/>
      <c r="E201" s="34"/>
      <c r="F201" s="34"/>
      <c r="G201" s="35"/>
      <c r="H201" s="35"/>
      <c r="I201" s="34"/>
      <c r="J201" s="34"/>
      <c r="K201" s="65"/>
      <c r="L201" s="34"/>
      <c r="M201" s="34"/>
      <c r="N201" s="34"/>
      <c r="O201" s="34"/>
      <c r="P201" s="188"/>
      <c r="Q201" s="188"/>
      <c r="R201" s="34"/>
      <c r="S201" s="34"/>
      <c r="T201" s="304"/>
      <c r="U201" s="34"/>
      <c r="V201" s="34"/>
      <c r="W201" s="34"/>
      <c r="X201" s="34"/>
      <c r="Y201" s="105"/>
      <c r="Z201" s="105"/>
    </row>
    <row r="202" spans="1:26" ht="12.75">
      <c r="A202" s="309"/>
      <c r="B202" s="309"/>
      <c r="C202" s="34"/>
      <c r="D202" s="362"/>
      <c r="E202" s="34"/>
      <c r="F202" s="34"/>
      <c r="G202" s="35"/>
      <c r="H202" s="35"/>
      <c r="I202" s="34"/>
      <c r="J202" s="34"/>
      <c r="K202" s="65"/>
      <c r="L202" s="34"/>
      <c r="M202" s="34"/>
      <c r="N202" s="34"/>
      <c r="O202" s="34"/>
      <c r="P202" s="188"/>
      <c r="Q202" s="188"/>
      <c r="R202" s="34"/>
      <c r="S202" s="34"/>
      <c r="T202" s="304"/>
      <c r="U202" s="34"/>
      <c r="V202" s="34"/>
      <c r="W202" s="34"/>
      <c r="X202" s="34"/>
      <c r="Y202" s="105"/>
      <c r="Z202" s="105"/>
    </row>
    <row r="203" spans="1:26" ht="12.75">
      <c r="A203" s="309"/>
      <c r="B203" s="309"/>
      <c r="C203" s="34"/>
      <c r="D203" s="362"/>
      <c r="E203" s="34"/>
      <c r="F203" s="34"/>
      <c r="G203" s="35"/>
      <c r="H203" s="35"/>
      <c r="I203" s="34"/>
      <c r="J203" s="34"/>
      <c r="K203" s="65"/>
      <c r="L203" s="34"/>
      <c r="M203" s="34"/>
      <c r="N203" s="34"/>
      <c r="O203" s="34"/>
      <c r="P203" s="188"/>
      <c r="Q203" s="188"/>
      <c r="R203" s="34"/>
      <c r="S203" s="34"/>
      <c r="T203" s="304"/>
      <c r="U203" s="34"/>
      <c r="V203" s="34"/>
      <c r="W203" s="34"/>
      <c r="X203" s="34"/>
      <c r="Y203" s="105"/>
      <c r="Z203" s="105"/>
    </row>
    <row r="204" spans="1:26" ht="12.75">
      <c r="A204" s="309"/>
      <c r="B204" s="309"/>
      <c r="C204" s="34"/>
      <c r="D204" s="362"/>
      <c r="E204" s="34"/>
      <c r="F204" s="34"/>
      <c r="G204" s="35"/>
      <c r="H204" s="35"/>
      <c r="I204" s="34"/>
      <c r="J204" s="34"/>
      <c r="K204" s="65"/>
      <c r="L204" s="34"/>
      <c r="M204" s="34"/>
      <c r="N204" s="34"/>
      <c r="O204" s="34"/>
      <c r="P204" s="188"/>
      <c r="Q204" s="188"/>
      <c r="R204" s="34"/>
      <c r="S204" s="34"/>
      <c r="T204" s="304"/>
      <c r="U204" s="34"/>
      <c r="V204" s="34"/>
      <c r="W204" s="34"/>
      <c r="X204" s="34"/>
      <c r="Y204" s="105"/>
      <c r="Z204" s="105"/>
    </row>
    <row r="205" spans="1:26" ht="12.75">
      <c r="A205" s="309"/>
      <c r="B205" s="309"/>
      <c r="C205" s="34"/>
      <c r="D205" s="362"/>
      <c r="E205" s="34"/>
      <c r="F205" s="34"/>
      <c r="G205" s="35"/>
      <c r="H205" s="35"/>
      <c r="I205" s="34"/>
      <c r="J205" s="34"/>
      <c r="K205" s="65"/>
      <c r="L205" s="34"/>
      <c r="M205" s="34"/>
      <c r="N205" s="34"/>
      <c r="O205" s="34"/>
      <c r="P205" s="188"/>
      <c r="Q205" s="188"/>
      <c r="R205" s="34"/>
      <c r="S205" s="34"/>
      <c r="T205" s="304"/>
      <c r="U205" s="34"/>
      <c r="V205" s="34"/>
      <c r="W205" s="34"/>
      <c r="X205" s="34"/>
      <c r="Y205" s="105"/>
      <c r="Z205" s="105"/>
    </row>
    <row r="206" spans="1:26" ht="12.75">
      <c r="A206" s="309"/>
      <c r="B206" s="309"/>
      <c r="C206" s="34"/>
      <c r="D206" s="362"/>
      <c r="E206" s="34"/>
      <c r="F206" s="34"/>
      <c r="G206" s="35"/>
      <c r="H206" s="35"/>
      <c r="I206" s="34"/>
      <c r="J206" s="34"/>
      <c r="K206" s="65"/>
      <c r="L206" s="34"/>
      <c r="M206" s="34"/>
      <c r="N206" s="34"/>
      <c r="O206" s="34"/>
      <c r="P206" s="188"/>
      <c r="Q206" s="188"/>
      <c r="R206" s="34"/>
      <c r="S206" s="34"/>
      <c r="T206" s="304"/>
      <c r="U206" s="34"/>
      <c r="V206" s="34"/>
      <c r="W206" s="34"/>
      <c r="X206" s="34"/>
      <c r="Y206" s="105"/>
      <c r="Z206" s="105"/>
    </row>
    <row r="207" spans="1:26" ht="12.75">
      <c r="A207" s="309"/>
      <c r="B207" s="309"/>
      <c r="C207" s="34"/>
      <c r="D207" s="362"/>
      <c r="E207" s="34"/>
      <c r="F207" s="34"/>
      <c r="G207" s="35"/>
      <c r="H207" s="35"/>
      <c r="I207" s="34"/>
      <c r="J207" s="34"/>
      <c r="K207" s="65"/>
      <c r="L207" s="34"/>
      <c r="M207" s="34"/>
      <c r="N207" s="34"/>
      <c r="O207" s="34"/>
      <c r="P207" s="188"/>
      <c r="Q207" s="188"/>
      <c r="R207" s="34"/>
      <c r="S207" s="34"/>
      <c r="T207" s="304"/>
      <c r="U207" s="34"/>
      <c r="V207" s="34"/>
      <c r="W207" s="34"/>
      <c r="X207" s="34"/>
      <c r="Y207" s="105"/>
      <c r="Z207" s="105"/>
    </row>
    <row r="208" spans="1:26" ht="12.75">
      <c r="A208" s="309"/>
      <c r="B208" s="309"/>
      <c r="C208" s="34"/>
      <c r="D208" s="362"/>
      <c r="E208" s="34"/>
      <c r="F208" s="34"/>
      <c r="G208" s="35"/>
      <c r="H208" s="35"/>
      <c r="I208" s="34"/>
      <c r="J208" s="34"/>
      <c r="K208" s="65"/>
      <c r="L208" s="34"/>
      <c r="M208" s="34"/>
      <c r="N208" s="34"/>
      <c r="O208" s="34"/>
      <c r="P208" s="188"/>
      <c r="Q208" s="188"/>
      <c r="R208" s="34"/>
      <c r="S208" s="34"/>
      <c r="T208" s="304"/>
      <c r="U208" s="34"/>
      <c r="V208" s="34"/>
      <c r="W208" s="34"/>
      <c r="X208" s="34"/>
      <c r="Y208" s="105"/>
      <c r="Z208" s="105"/>
    </row>
    <row r="209" spans="1:26" ht="12.75">
      <c r="A209" s="309"/>
      <c r="B209" s="309"/>
      <c r="C209" s="34"/>
      <c r="D209" s="362"/>
      <c r="E209" s="34"/>
      <c r="F209" s="34"/>
      <c r="G209" s="35"/>
      <c r="H209" s="35"/>
      <c r="I209" s="34"/>
      <c r="J209" s="34"/>
      <c r="K209" s="65"/>
      <c r="L209" s="34"/>
      <c r="M209" s="34"/>
      <c r="N209" s="34"/>
      <c r="O209" s="34"/>
      <c r="P209" s="188"/>
      <c r="Q209" s="188"/>
      <c r="R209" s="34"/>
      <c r="S209" s="34"/>
      <c r="T209" s="304"/>
      <c r="U209" s="34"/>
      <c r="V209" s="34"/>
      <c r="W209" s="34"/>
      <c r="X209" s="34"/>
      <c r="Y209" s="105"/>
      <c r="Z209" s="105"/>
    </row>
    <row r="210" spans="1:26" ht="12.75">
      <c r="A210" s="309"/>
      <c r="B210" s="309"/>
      <c r="C210" s="34"/>
      <c r="D210" s="362"/>
      <c r="E210" s="34"/>
      <c r="F210" s="34"/>
      <c r="G210" s="35"/>
      <c r="H210" s="35"/>
      <c r="I210" s="34"/>
      <c r="J210" s="34"/>
      <c r="K210" s="65"/>
      <c r="L210" s="34"/>
      <c r="M210" s="34"/>
      <c r="N210" s="34"/>
      <c r="O210" s="34"/>
      <c r="P210" s="188"/>
      <c r="Q210" s="188"/>
      <c r="R210" s="34"/>
      <c r="S210" s="34"/>
      <c r="T210" s="304"/>
      <c r="U210" s="34"/>
      <c r="V210" s="34"/>
      <c r="W210" s="34"/>
      <c r="X210" s="34"/>
      <c r="Y210" s="105"/>
      <c r="Z210" s="105"/>
    </row>
    <row r="211" spans="1:26" ht="12.75">
      <c r="A211" s="309"/>
      <c r="B211" s="309"/>
      <c r="C211" s="34"/>
      <c r="D211" s="362"/>
      <c r="E211" s="34"/>
      <c r="F211" s="34"/>
      <c r="G211" s="35"/>
      <c r="H211" s="35"/>
      <c r="I211" s="34"/>
      <c r="J211" s="34"/>
      <c r="K211" s="65"/>
      <c r="L211" s="34"/>
      <c r="M211" s="34"/>
      <c r="N211" s="34"/>
      <c r="O211" s="34"/>
      <c r="P211" s="188"/>
      <c r="Q211" s="188"/>
      <c r="R211" s="34"/>
      <c r="S211" s="34"/>
      <c r="T211" s="304"/>
      <c r="U211" s="34"/>
      <c r="V211" s="34"/>
      <c r="W211" s="34"/>
      <c r="X211" s="34"/>
      <c r="Y211" s="105"/>
      <c r="Z211" s="105"/>
    </row>
    <row r="212" spans="1:26" ht="12.75">
      <c r="A212" s="309"/>
      <c r="B212" s="309"/>
      <c r="C212" s="34"/>
      <c r="D212" s="362"/>
      <c r="E212" s="34"/>
      <c r="F212" s="34"/>
      <c r="G212" s="35"/>
      <c r="H212" s="35"/>
      <c r="I212" s="34"/>
      <c r="J212" s="34"/>
      <c r="K212" s="65"/>
      <c r="L212" s="34"/>
      <c r="M212" s="34"/>
      <c r="N212" s="34"/>
      <c r="O212" s="34"/>
      <c r="P212" s="188"/>
      <c r="Q212" s="188"/>
      <c r="R212" s="34"/>
      <c r="S212" s="34"/>
      <c r="T212" s="304"/>
      <c r="U212" s="34"/>
      <c r="V212" s="34"/>
      <c r="W212" s="34"/>
      <c r="X212" s="34"/>
      <c r="Y212" s="105"/>
      <c r="Z212" s="105"/>
    </row>
    <row r="213" spans="1:26" ht="12.75">
      <c r="A213" s="309"/>
      <c r="B213" s="309"/>
      <c r="C213" s="34"/>
      <c r="D213" s="362"/>
      <c r="E213" s="34"/>
      <c r="F213" s="34"/>
      <c r="G213" s="35"/>
      <c r="H213" s="35"/>
      <c r="I213" s="34"/>
      <c r="J213" s="34"/>
      <c r="K213" s="65"/>
      <c r="L213" s="34"/>
      <c r="M213" s="34"/>
      <c r="N213" s="34"/>
      <c r="O213" s="34"/>
      <c r="P213" s="188"/>
      <c r="Q213" s="188"/>
      <c r="R213" s="34"/>
      <c r="S213" s="34"/>
      <c r="T213" s="304"/>
      <c r="U213" s="34"/>
      <c r="V213" s="34"/>
      <c r="W213" s="34"/>
      <c r="X213" s="34"/>
      <c r="Y213" s="105"/>
      <c r="Z213" s="105"/>
    </row>
    <row r="214" spans="1:26" ht="12.75">
      <c r="A214" s="309"/>
      <c r="B214" s="309"/>
      <c r="C214" s="34"/>
      <c r="D214" s="362"/>
      <c r="E214" s="34"/>
      <c r="F214" s="34"/>
      <c r="G214" s="35"/>
      <c r="H214" s="35"/>
      <c r="I214" s="34"/>
      <c r="J214" s="34"/>
      <c r="K214" s="65"/>
      <c r="L214" s="34"/>
      <c r="M214" s="34"/>
      <c r="N214" s="34"/>
      <c r="O214" s="34"/>
      <c r="P214" s="188"/>
      <c r="Q214" s="188"/>
      <c r="R214" s="34"/>
      <c r="S214" s="34"/>
      <c r="T214" s="304"/>
      <c r="U214" s="34"/>
      <c r="V214" s="34"/>
      <c r="W214" s="34"/>
      <c r="X214" s="34"/>
      <c r="Y214" s="105"/>
      <c r="Z214" s="105"/>
    </row>
    <row r="215" spans="1:26" ht="12.75">
      <c r="A215" s="309"/>
      <c r="B215" s="309"/>
      <c r="C215" s="34"/>
      <c r="D215" s="362"/>
      <c r="E215" s="34"/>
      <c r="F215" s="34"/>
      <c r="G215" s="35"/>
      <c r="H215" s="35"/>
      <c r="I215" s="34"/>
      <c r="J215" s="34"/>
      <c r="K215" s="65"/>
      <c r="L215" s="34"/>
      <c r="M215" s="34"/>
      <c r="N215" s="34"/>
      <c r="O215" s="34"/>
      <c r="P215" s="188"/>
      <c r="Q215" s="188"/>
      <c r="R215" s="34"/>
      <c r="S215" s="34"/>
      <c r="T215" s="304"/>
      <c r="U215" s="34"/>
      <c r="V215" s="34"/>
      <c r="W215" s="34"/>
      <c r="X215" s="34"/>
      <c r="Y215" s="105"/>
      <c r="Z215" s="105"/>
    </row>
    <row r="216" spans="1:26" ht="12.75">
      <c r="A216" s="309"/>
      <c r="B216" s="309"/>
      <c r="C216" s="34"/>
      <c r="D216" s="362"/>
      <c r="E216" s="34"/>
      <c r="F216" s="34"/>
      <c r="G216" s="35"/>
      <c r="H216" s="35"/>
      <c r="I216" s="34"/>
      <c r="J216" s="34"/>
      <c r="K216" s="65"/>
      <c r="L216" s="34"/>
      <c r="M216" s="34"/>
      <c r="N216" s="34"/>
      <c r="O216" s="34"/>
      <c r="P216" s="188"/>
      <c r="Q216" s="188"/>
      <c r="R216" s="34"/>
      <c r="S216" s="34"/>
      <c r="T216" s="304"/>
      <c r="U216" s="34"/>
      <c r="V216" s="34"/>
      <c r="W216" s="34"/>
      <c r="X216" s="34"/>
      <c r="Y216" s="105"/>
      <c r="Z216" s="105"/>
    </row>
    <row r="217" spans="1:26" ht="12.75">
      <c r="A217" s="309"/>
      <c r="B217" s="309"/>
      <c r="C217" s="34"/>
      <c r="D217" s="362"/>
      <c r="E217" s="34"/>
      <c r="F217" s="34"/>
      <c r="G217" s="35"/>
      <c r="H217" s="35"/>
      <c r="I217" s="34"/>
      <c r="J217" s="34"/>
      <c r="K217" s="65"/>
      <c r="L217" s="34"/>
      <c r="M217" s="34"/>
      <c r="N217" s="34"/>
      <c r="O217" s="34"/>
      <c r="P217" s="188"/>
      <c r="Q217" s="188"/>
      <c r="R217" s="34"/>
      <c r="S217" s="34"/>
      <c r="T217" s="304"/>
      <c r="U217" s="34"/>
      <c r="V217" s="34"/>
      <c r="W217" s="34"/>
      <c r="X217" s="34"/>
      <c r="Y217" s="105"/>
      <c r="Z217" s="105"/>
    </row>
    <row r="218" spans="1:26" ht="12.75">
      <c r="A218" s="309"/>
      <c r="B218" s="309"/>
      <c r="C218" s="34"/>
      <c r="D218" s="362"/>
      <c r="E218" s="34"/>
      <c r="F218" s="34"/>
      <c r="G218" s="35"/>
      <c r="H218" s="35"/>
      <c r="I218" s="34"/>
      <c r="J218" s="34"/>
      <c r="K218" s="65"/>
      <c r="L218" s="34"/>
      <c r="M218" s="34"/>
      <c r="N218" s="34"/>
      <c r="O218" s="34"/>
      <c r="P218" s="188"/>
      <c r="Q218" s="188"/>
      <c r="R218" s="34"/>
      <c r="S218" s="34"/>
      <c r="T218" s="304"/>
      <c r="U218" s="34"/>
      <c r="V218" s="34"/>
      <c r="W218" s="34"/>
      <c r="X218" s="34"/>
      <c r="Y218" s="105"/>
      <c r="Z218" s="105"/>
    </row>
    <row r="219" spans="1:26" ht="12.75">
      <c r="A219" s="309"/>
      <c r="B219" s="309"/>
      <c r="C219" s="34"/>
      <c r="D219" s="362"/>
      <c r="E219" s="34"/>
      <c r="F219" s="34"/>
      <c r="G219" s="35"/>
      <c r="H219" s="35"/>
      <c r="I219" s="34"/>
      <c r="J219" s="34"/>
      <c r="K219" s="65"/>
      <c r="L219" s="34"/>
      <c r="M219" s="34"/>
      <c r="N219" s="34"/>
      <c r="O219" s="34"/>
      <c r="P219" s="188"/>
      <c r="Q219" s="188"/>
      <c r="R219" s="34"/>
      <c r="S219" s="34"/>
      <c r="T219" s="304"/>
      <c r="U219" s="34"/>
      <c r="V219" s="34"/>
      <c r="W219" s="34"/>
      <c r="X219" s="34"/>
      <c r="Y219" s="105"/>
      <c r="Z219" s="105"/>
    </row>
    <row r="220" spans="1:26" ht="12.75">
      <c r="A220" s="309"/>
      <c r="B220" s="309"/>
      <c r="C220" s="34"/>
      <c r="D220" s="362"/>
      <c r="E220" s="34"/>
      <c r="F220" s="34"/>
      <c r="G220" s="35"/>
      <c r="H220" s="35"/>
      <c r="I220" s="34"/>
      <c r="J220" s="34"/>
      <c r="K220" s="65"/>
      <c r="L220" s="34"/>
      <c r="M220" s="34"/>
      <c r="N220" s="34"/>
      <c r="O220" s="34"/>
      <c r="P220" s="188"/>
      <c r="Q220" s="188"/>
      <c r="R220" s="34"/>
      <c r="S220" s="34"/>
      <c r="T220" s="304"/>
      <c r="U220" s="34"/>
      <c r="V220" s="34"/>
      <c r="W220" s="34"/>
      <c r="X220" s="34"/>
      <c r="Y220" s="105"/>
      <c r="Z220" s="105"/>
    </row>
    <row r="221" spans="1:26" ht="12.75">
      <c r="A221" s="309"/>
      <c r="B221" s="309"/>
      <c r="C221" s="34"/>
      <c r="D221" s="362"/>
      <c r="E221" s="34"/>
      <c r="F221" s="34"/>
      <c r="G221" s="35"/>
      <c r="H221" s="35"/>
      <c r="I221" s="34"/>
      <c r="J221" s="34"/>
      <c r="K221" s="65"/>
      <c r="L221" s="34"/>
      <c r="M221" s="34"/>
      <c r="N221" s="34"/>
      <c r="O221" s="34"/>
      <c r="P221" s="188"/>
      <c r="Q221" s="188"/>
      <c r="R221" s="34"/>
      <c r="S221" s="34"/>
      <c r="T221" s="304"/>
      <c r="U221" s="34"/>
      <c r="V221" s="34"/>
      <c r="W221" s="34"/>
      <c r="X221" s="34"/>
      <c r="Y221" s="105"/>
      <c r="Z221" s="105"/>
    </row>
    <row r="222" spans="1:26" ht="12.75">
      <c r="A222" s="309"/>
      <c r="B222" s="309"/>
      <c r="C222" s="34"/>
      <c r="D222" s="362"/>
      <c r="E222" s="34"/>
      <c r="F222" s="34"/>
      <c r="G222" s="35"/>
      <c r="H222" s="35"/>
      <c r="I222" s="34"/>
      <c r="J222" s="34"/>
      <c r="K222" s="65"/>
      <c r="L222" s="34"/>
      <c r="M222" s="34"/>
      <c r="N222" s="34"/>
      <c r="O222" s="34"/>
      <c r="P222" s="188"/>
      <c r="Q222" s="188"/>
      <c r="R222" s="34"/>
      <c r="S222" s="34"/>
      <c r="T222" s="304"/>
      <c r="U222" s="34"/>
      <c r="V222" s="34"/>
      <c r="W222" s="34"/>
      <c r="X222" s="34"/>
      <c r="Y222" s="105"/>
      <c r="Z222" s="105"/>
    </row>
    <row r="223" spans="1:26" ht="12.75">
      <c r="A223" s="309"/>
      <c r="B223" s="309"/>
      <c r="C223" s="34"/>
      <c r="D223" s="362"/>
      <c r="E223" s="34"/>
      <c r="F223" s="34"/>
      <c r="G223" s="35"/>
      <c r="H223" s="35"/>
      <c r="I223" s="34"/>
      <c r="J223" s="34"/>
      <c r="K223" s="65"/>
      <c r="L223" s="34"/>
      <c r="M223" s="34"/>
      <c r="N223" s="34"/>
      <c r="O223" s="34"/>
      <c r="P223" s="188"/>
      <c r="Q223" s="188"/>
      <c r="R223" s="34"/>
      <c r="S223" s="34"/>
      <c r="T223" s="304"/>
      <c r="U223" s="34"/>
      <c r="V223" s="34"/>
      <c r="W223" s="34"/>
      <c r="X223" s="34"/>
      <c r="Y223" s="105"/>
      <c r="Z223" s="105"/>
    </row>
    <row r="224" spans="1:26" ht="12.75">
      <c r="A224" s="309"/>
      <c r="B224" s="309"/>
      <c r="C224" s="34"/>
      <c r="D224" s="362"/>
      <c r="E224" s="34"/>
      <c r="F224" s="34"/>
      <c r="G224" s="35"/>
      <c r="H224" s="35"/>
      <c r="I224" s="34"/>
      <c r="J224" s="34"/>
      <c r="K224" s="65"/>
      <c r="L224" s="34"/>
      <c r="M224" s="34"/>
      <c r="N224" s="34"/>
      <c r="O224" s="34"/>
      <c r="P224" s="188"/>
      <c r="Q224" s="188"/>
      <c r="R224" s="34"/>
      <c r="S224" s="34"/>
      <c r="T224" s="304"/>
      <c r="U224" s="34"/>
      <c r="V224" s="34"/>
      <c r="W224" s="34"/>
      <c r="X224" s="34"/>
      <c r="Y224" s="105"/>
      <c r="Z224" s="105"/>
    </row>
    <row r="225" spans="1:26" ht="12.75">
      <c r="A225" s="309"/>
      <c r="B225" s="309"/>
      <c r="C225" s="34"/>
      <c r="D225" s="362"/>
      <c r="E225" s="34"/>
      <c r="F225" s="34"/>
      <c r="G225" s="35"/>
      <c r="H225" s="35"/>
      <c r="I225" s="34"/>
      <c r="J225" s="34"/>
      <c r="K225" s="65"/>
      <c r="L225" s="34"/>
      <c r="M225" s="34"/>
      <c r="N225" s="34"/>
      <c r="O225" s="34"/>
      <c r="P225" s="188"/>
      <c r="Q225" s="188"/>
      <c r="R225" s="34"/>
      <c r="S225" s="34"/>
      <c r="T225" s="304"/>
      <c r="U225" s="34"/>
      <c r="V225" s="34"/>
      <c r="W225" s="34"/>
      <c r="X225" s="34"/>
      <c r="Y225" s="105"/>
      <c r="Z225" s="105"/>
    </row>
    <row r="226" spans="1:26" ht="12.75">
      <c r="A226" s="309"/>
      <c r="B226" s="309"/>
      <c r="C226" s="34"/>
      <c r="D226" s="362"/>
      <c r="E226" s="34"/>
      <c r="F226" s="34"/>
      <c r="G226" s="35"/>
      <c r="H226" s="35"/>
      <c r="I226" s="34"/>
      <c r="J226" s="34"/>
      <c r="K226" s="65"/>
      <c r="L226" s="34"/>
      <c r="M226" s="34"/>
      <c r="N226" s="34"/>
      <c r="O226" s="34"/>
      <c r="P226" s="188"/>
      <c r="Q226" s="188"/>
      <c r="R226" s="34"/>
      <c r="S226" s="34"/>
      <c r="T226" s="304"/>
      <c r="U226" s="34"/>
      <c r="V226" s="34"/>
      <c r="W226" s="34"/>
      <c r="X226" s="34"/>
      <c r="Y226" s="105"/>
      <c r="Z226" s="105"/>
    </row>
    <row r="227" spans="1:26" ht="12.75">
      <c r="A227" s="309"/>
      <c r="B227" s="309"/>
      <c r="C227" s="34"/>
      <c r="D227" s="362"/>
      <c r="E227" s="34"/>
      <c r="F227" s="34"/>
      <c r="G227" s="35"/>
      <c r="H227" s="35"/>
      <c r="I227" s="34"/>
      <c r="J227" s="34"/>
      <c r="K227" s="65"/>
      <c r="L227" s="34"/>
      <c r="M227" s="34"/>
      <c r="N227" s="34"/>
      <c r="O227" s="34"/>
      <c r="P227" s="188"/>
      <c r="Q227" s="188"/>
      <c r="R227" s="34"/>
      <c r="S227" s="34"/>
      <c r="T227" s="304"/>
      <c r="U227" s="34"/>
      <c r="V227" s="34"/>
      <c r="W227" s="34"/>
      <c r="X227" s="34"/>
      <c r="Y227" s="105"/>
      <c r="Z227" s="105"/>
    </row>
    <row r="228" spans="1:26" ht="12.75">
      <c r="A228" s="309"/>
      <c r="B228" s="309"/>
      <c r="C228" s="34"/>
      <c r="D228" s="362"/>
      <c r="E228" s="34"/>
      <c r="F228" s="34"/>
      <c r="G228" s="35"/>
      <c r="H228" s="35"/>
      <c r="I228" s="34"/>
      <c r="J228" s="34"/>
      <c r="K228" s="65"/>
      <c r="L228" s="34"/>
      <c r="M228" s="34"/>
      <c r="N228" s="34"/>
      <c r="O228" s="34"/>
      <c r="P228" s="188"/>
      <c r="Q228" s="188"/>
      <c r="R228" s="34"/>
      <c r="S228" s="34"/>
      <c r="T228" s="304"/>
      <c r="U228" s="34"/>
      <c r="V228" s="34"/>
      <c r="W228" s="34"/>
      <c r="X228" s="34"/>
      <c r="Y228" s="105"/>
      <c r="Z228" s="105"/>
    </row>
    <row r="229" spans="1:26" ht="12.75">
      <c r="A229" s="309"/>
      <c r="B229" s="309"/>
      <c r="C229" s="34"/>
      <c r="D229" s="362"/>
      <c r="E229" s="34"/>
      <c r="F229" s="34"/>
      <c r="G229" s="35"/>
      <c r="H229" s="35"/>
      <c r="I229" s="34"/>
      <c r="J229" s="34"/>
      <c r="K229" s="65"/>
      <c r="L229" s="34"/>
      <c r="M229" s="34"/>
      <c r="N229" s="34"/>
      <c r="O229" s="34"/>
      <c r="P229" s="188"/>
      <c r="Q229" s="188"/>
      <c r="R229" s="34"/>
      <c r="S229" s="34"/>
      <c r="T229" s="304"/>
      <c r="U229" s="34"/>
      <c r="V229" s="34"/>
      <c r="W229" s="34"/>
      <c r="X229" s="34"/>
      <c r="Y229" s="105"/>
      <c r="Z229" s="105"/>
    </row>
    <row r="230" spans="1:26" ht="12.75">
      <c r="A230" s="309"/>
      <c r="B230" s="309"/>
      <c r="C230" s="34"/>
      <c r="D230" s="362"/>
      <c r="E230" s="34"/>
      <c r="F230" s="34"/>
      <c r="G230" s="35"/>
      <c r="H230" s="35"/>
      <c r="I230" s="34"/>
      <c r="J230" s="34"/>
      <c r="K230" s="65"/>
      <c r="L230" s="34"/>
      <c r="M230" s="34"/>
      <c r="N230" s="34"/>
      <c r="O230" s="34"/>
      <c r="P230" s="188"/>
      <c r="Q230" s="188"/>
      <c r="R230" s="34"/>
      <c r="S230" s="34"/>
      <c r="T230" s="304"/>
      <c r="U230" s="34"/>
      <c r="V230" s="34"/>
      <c r="W230" s="34"/>
      <c r="X230" s="34"/>
      <c r="Y230" s="105"/>
      <c r="Z230" s="105"/>
    </row>
    <row r="231" spans="1:26" ht="12.75">
      <c r="A231" s="309"/>
      <c r="B231" s="309"/>
      <c r="C231" s="34"/>
      <c r="D231" s="362"/>
      <c r="E231" s="34"/>
      <c r="F231" s="34"/>
      <c r="G231" s="35"/>
      <c r="H231" s="35"/>
      <c r="I231" s="34"/>
      <c r="J231" s="34"/>
      <c r="K231" s="65"/>
      <c r="L231" s="34"/>
      <c r="M231" s="34"/>
      <c r="N231" s="34"/>
      <c r="O231" s="34"/>
      <c r="P231" s="188"/>
      <c r="Q231" s="188"/>
      <c r="R231" s="34"/>
      <c r="S231" s="34"/>
      <c r="T231" s="304"/>
      <c r="U231" s="34"/>
      <c r="V231" s="34"/>
      <c r="W231" s="34"/>
      <c r="X231" s="34"/>
      <c r="Y231" s="105"/>
      <c r="Z231" s="105"/>
    </row>
    <row r="232" spans="1:26" ht="12.75">
      <c r="A232" s="309"/>
      <c r="B232" s="309"/>
      <c r="C232" s="34"/>
      <c r="D232" s="362"/>
      <c r="E232" s="34"/>
      <c r="F232" s="34"/>
      <c r="G232" s="35"/>
      <c r="H232" s="35"/>
      <c r="I232" s="34"/>
      <c r="J232" s="34"/>
      <c r="K232" s="65"/>
      <c r="L232" s="34"/>
      <c r="M232" s="34"/>
      <c r="N232" s="34"/>
      <c r="O232" s="34"/>
      <c r="P232" s="188"/>
      <c r="Q232" s="188"/>
      <c r="R232" s="34"/>
      <c r="S232" s="34"/>
      <c r="T232" s="304"/>
      <c r="U232" s="34"/>
      <c r="V232" s="34"/>
      <c r="W232" s="34"/>
      <c r="X232" s="34"/>
      <c r="Y232" s="105"/>
      <c r="Z232" s="105"/>
    </row>
    <row r="233" spans="1:26" ht="12.75">
      <c r="A233" s="309"/>
      <c r="B233" s="309"/>
      <c r="C233" s="34"/>
      <c r="D233" s="362"/>
      <c r="E233" s="34"/>
      <c r="F233" s="34"/>
      <c r="G233" s="35"/>
      <c r="H233" s="35"/>
      <c r="I233" s="34"/>
      <c r="J233" s="34"/>
      <c r="K233" s="65"/>
      <c r="L233" s="34"/>
      <c r="M233" s="34"/>
      <c r="N233" s="34"/>
      <c r="O233" s="34"/>
      <c r="P233" s="188"/>
      <c r="Q233" s="188"/>
      <c r="R233" s="34"/>
      <c r="S233" s="34"/>
      <c r="T233" s="304"/>
      <c r="U233" s="34"/>
      <c r="V233" s="34"/>
      <c r="W233" s="34"/>
      <c r="X233" s="34"/>
      <c r="Y233" s="105"/>
      <c r="Z233" s="105"/>
    </row>
    <row r="234" spans="1:26" ht="12.75">
      <c r="A234" s="309"/>
      <c r="B234" s="309"/>
      <c r="C234" s="34"/>
      <c r="D234" s="362"/>
      <c r="E234" s="34"/>
      <c r="F234" s="34"/>
      <c r="G234" s="35"/>
      <c r="H234" s="35"/>
      <c r="I234" s="34"/>
      <c r="J234" s="34"/>
      <c r="K234" s="65"/>
      <c r="L234" s="34"/>
      <c r="M234" s="34"/>
      <c r="N234" s="34"/>
      <c r="O234" s="34"/>
      <c r="P234" s="188"/>
      <c r="Q234" s="188"/>
      <c r="R234" s="34"/>
      <c r="S234" s="34"/>
      <c r="T234" s="304"/>
      <c r="U234" s="34"/>
      <c r="V234" s="34"/>
      <c r="W234" s="34"/>
      <c r="X234" s="34"/>
      <c r="Y234" s="105"/>
      <c r="Z234" s="105"/>
    </row>
    <row r="235" spans="1:26" ht="12.75">
      <c r="A235" s="309"/>
      <c r="B235" s="309"/>
      <c r="C235" s="34"/>
      <c r="D235" s="362"/>
      <c r="E235" s="34"/>
      <c r="F235" s="34"/>
      <c r="G235" s="35"/>
      <c r="H235" s="35"/>
      <c r="I235" s="34"/>
      <c r="J235" s="34"/>
      <c r="K235" s="65"/>
      <c r="L235" s="34"/>
      <c r="M235" s="34"/>
      <c r="N235" s="34"/>
      <c r="O235" s="34"/>
      <c r="P235" s="188"/>
      <c r="Q235" s="188"/>
      <c r="R235" s="34"/>
      <c r="S235" s="34"/>
      <c r="T235" s="304"/>
      <c r="U235" s="34"/>
      <c r="V235" s="34"/>
      <c r="W235" s="34"/>
      <c r="X235" s="34"/>
      <c r="Y235" s="105"/>
      <c r="Z235" s="105"/>
    </row>
    <row r="236" spans="1:26" ht="12.75">
      <c r="A236" s="309"/>
      <c r="B236" s="309"/>
      <c r="C236" s="34"/>
      <c r="D236" s="362"/>
      <c r="E236" s="34"/>
      <c r="F236" s="34"/>
      <c r="G236" s="35"/>
      <c r="H236" s="35"/>
      <c r="I236" s="34"/>
      <c r="J236" s="34"/>
      <c r="K236" s="65"/>
      <c r="L236" s="34"/>
      <c r="M236" s="34"/>
      <c r="N236" s="34"/>
      <c r="O236" s="34"/>
      <c r="P236" s="188"/>
      <c r="Q236" s="188"/>
      <c r="R236" s="34"/>
      <c r="S236" s="34"/>
      <c r="T236" s="304"/>
      <c r="U236" s="34"/>
      <c r="V236" s="34"/>
      <c r="W236" s="34"/>
      <c r="X236" s="34"/>
      <c r="Y236" s="105"/>
      <c r="Z236" s="105"/>
    </row>
    <row r="237" spans="1:26" ht="12.75">
      <c r="A237" s="309"/>
      <c r="B237" s="309"/>
      <c r="C237" s="34"/>
      <c r="D237" s="362"/>
      <c r="E237" s="34"/>
      <c r="F237" s="34"/>
      <c r="G237" s="35"/>
      <c r="H237" s="35"/>
      <c r="I237" s="34"/>
      <c r="J237" s="34"/>
      <c r="K237" s="65"/>
      <c r="L237" s="34"/>
      <c r="M237" s="34"/>
      <c r="N237" s="34"/>
      <c r="O237" s="34"/>
      <c r="P237" s="188"/>
      <c r="Q237" s="188"/>
      <c r="R237" s="34"/>
      <c r="S237" s="34"/>
      <c r="T237" s="304"/>
      <c r="U237" s="34"/>
      <c r="V237" s="34"/>
      <c r="W237" s="34"/>
      <c r="X237" s="34"/>
      <c r="Y237" s="105"/>
      <c r="Z237" s="105"/>
    </row>
    <row r="238" spans="1:26" ht="12.75">
      <c r="A238" s="309"/>
      <c r="B238" s="309"/>
      <c r="C238" s="34"/>
      <c r="D238" s="362"/>
      <c r="E238" s="34"/>
      <c r="F238" s="34"/>
      <c r="G238" s="35"/>
      <c r="H238" s="35"/>
      <c r="I238" s="34"/>
      <c r="J238" s="34"/>
      <c r="K238" s="65"/>
      <c r="L238" s="34"/>
      <c r="M238" s="34"/>
      <c r="N238" s="34"/>
      <c r="O238" s="34"/>
      <c r="P238" s="188"/>
      <c r="Q238" s="188"/>
      <c r="R238" s="34"/>
      <c r="S238" s="34"/>
      <c r="T238" s="304"/>
      <c r="U238" s="34"/>
      <c r="V238" s="34"/>
      <c r="W238" s="34"/>
      <c r="X238" s="34"/>
      <c r="Y238" s="105"/>
      <c r="Z238" s="105"/>
    </row>
    <row r="239" spans="1:26" ht="12.75">
      <c r="A239" s="309"/>
      <c r="B239" s="309"/>
      <c r="C239" s="34"/>
      <c r="D239" s="362"/>
      <c r="E239" s="34"/>
      <c r="F239" s="34"/>
      <c r="G239" s="35"/>
      <c r="H239" s="35"/>
      <c r="I239" s="34"/>
      <c r="J239" s="34"/>
      <c r="K239" s="65"/>
      <c r="L239" s="34"/>
      <c r="M239" s="34"/>
      <c r="N239" s="34"/>
      <c r="O239" s="34"/>
      <c r="P239" s="188"/>
      <c r="Q239" s="188"/>
      <c r="R239" s="34"/>
      <c r="S239" s="34"/>
      <c r="T239" s="304"/>
      <c r="U239" s="34"/>
      <c r="V239" s="34"/>
      <c r="W239" s="34"/>
      <c r="X239" s="34"/>
      <c r="Y239" s="105"/>
      <c r="Z239" s="105"/>
    </row>
    <row r="240" spans="1:26" ht="12.75">
      <c r="A240" s="309"/>
      <c r="B240" s="309"/>
      <c r="C240" s="34"/>
      <c r="D240" s="362"/>
      <c r="E240" s="34"/>
      <c r="F240" s="34"/>
      <c r="G240" s="35"/>
      <c r="H240" s="35"/>
      <c r="I240" s="34"/>
      <c r="J240" s="34"/>
      <c r="K240" s="65"/>
      <c r="L240" s="34"/>
      <c r="M240" s="34"/>
      <c r="N240" s="34"/>
      <c r="O240" s="34"/>
      <c r="P240" s="188"/>
      <c r="Q240" s="188"/>
      <c r="R240" s="34"/>
      <c r="S240" s="34"/>
      <c r="T240" s="304"/>
      <c r="U240" s="34"/>
      <c r="V240" s="34"/>
      <c r="W240" s="34"/>
      <c r="X240" s="34"/>
      <c r="Y240" s="105"/>
      <c r="Z240" s="105"/>
    </row>
    <row r="241" spans="1:26" ht="12.75">
      <c r="A241" s="309"/>
      <c r="B241" s="309"/>
      <c r="C241" s="34"/>
      <c r="D241" s="362"/>
      <c r="E241" s="34"/>
      <c r="F241" s="34"/>
      <c r="G241" s="35"/>
      <c r="H241" s="35"/>
      <c r="I241" s="34"/>
      <c r="J241" s="34"/>
      <c r="K241" s="65"/>
      <c r="L241" s="34"/>
      <c r="M241" s="34"/>
      <c r="N241" s="34"/>
      <c r="O241" s="34"/>
      <c r="P241" s="188"/>
      <c r="Q241" s="188"/>
      <c r="R241" s="34"/>
      <c r="S241" s="34"/>
      <c r="T241" s="304"/>
      <c r="U241" s="34"/>
      <c r="V241" s="34"/>
      <c r="W241" s="34"/>
      <c r="X241" s="34"/>
      <c r="Y241" s="105"/>
      <c r="Z241" s="105"/>
    </row>
    <row r="242" spans="1:26" ht="12.75">
      <c r="A242" s="309"/>
      <c r="B242" s="309"/>
      <c r="C242" s="34"/>
      <c r="D242" s="362"/>
      <c r="E242" s="34"/>
      <c r="F242" s="34"/>
      <c r="G242" s="35"/>
      <c r="H242" s="35"/>
      <c r="I242" s="34"/>
      <c r="J242" s="34"/>
      <c r="K242" s="65"/>
      <c r="L242" s="34"/>
      <c r="M242" s="34"/>
      <c r="N242" s="34"/>
      <c r="O242" s="34"/>
      <c r="P242" s="188"/>
      <c r="Q242" s="188"/>
      <c r="R242" s="34"/>
      <c r="S242" s="34"/>
      <c r="T242" s="304"/>
      <c r="U242" s="34"/>
      <c r="V242" s="34"/>
      <c r="W242" s="34"/>
      <c r="X242" s="34"/>
      <c r="Y242" s="105"/>
      <c r="Z242" s="105"/>
    </row>
    <row r="243" spans="1:26" ht="12.75">
      <c r="A243" s="309"/>
      <c r="B243" s="309"/>
      <c r="C243" s="34"/>
      <c r="D243" s="362"/>
      <c r="E243" s="34"/>
      <c r="F243" s="34"/>
      <c r="G243" s="35"/>
      <c r="H243" s="35"/>
      <c r="I243" s="34"/>
      <c r="J243" s="34"/>
      <c r="K243" s="65"/>
      <c r="L243" s="34"/>
      <c r="M243" s="34"/>
      <c r="N243" s="34"/>
      <c r="O243" s="34"/>
      <c r="P243" s="188"/>
      <c r="Q243" s="188"/>
      <c r="R243" s="34"/>
      <c r="S243" s="34"/>
      <c r="T243" s="304"/>
      <c r="U243" s="34"/>
      <c r="V243" s="34"/>
      <c r="W243" s="34"/>
      <c r="X243" s="34"/>
      <c r="Y243" s="105"/>
      <c r="Z243" s="105"/>
    </row>
    <row r="244" spans="1:26" ht="12.75">
      <c r="A244" s="309"/>
      <c r="B244" s="309"/>
      <c r="C244" s="34"/>
      <c r="D244" s="362"/>
      <c r="E244" s="34"/>
      <c r="F244" s="34"/>
      <c r="G244" s="35"/>
      <c r="H244" s="35"/>
      <c r="I244" s="34"/>
      <c r="J244" s="34"/>
      <c r="K244" s="65"/>
      <c r="L244" s="34"/>
      <c r="M244" s="34"/>
      <c r="N244" s="34"/>
      <c r="O244" s="34"/>
      <c r="P244" s="188"/>
      <c r="Q244" s="188"/>
      <c r="R244" s="34"/>
      <c r="S244" s="34"/>
      <c r="T244" s="304"/>
      <c r="U244" s="34"/>
      <c r="V244" s="34"/>
      <c r="W244" s="34"/>
      <c r="X244" s="34"/>
      <c r="Y244" s="105"/>
      <c r="Z244" s="105"/>
    </row>
    <row r="245" spans="1:26" ht="12.75">
      <c r="A245" s="309"/>
      <c r="B245" s="309"/>
      <c r="C245" s="34"/>
      <c r="D245" s="362"/>
      <c r="E245" s="34"/>
      <c r="F245" s="34"/>
      <c r="G245" s="35"/>
      <c r="H245" s="35"/>
      <c r="I245" s="34"/>
      <c r="J245" s="34"/>
      <c r="K245" s="65"/>
      <c r="L245" s="34"/>
      <c r="M245" s="34"/>
      <c r="N245" s="34"/>
      <c r="O245" s="34"/>
      <c r="P245" s="188"/>
      <c r="Q245" s="188"/>
      <c r="R245" s="34"/>
      <c r="S245" s="34"/>
      <c r="T245" s="304"/>
      <c r="U245" s="34"/>
      <c r="V245" s="34"/>
      <c r="W245" s="34"/>
      <c r="X245" s="34"/>
      <c r="Y245" s="105"/>
      <c r="Z245" s="105"/>
    </row>
    <row r="246" spans="1:26" ht="12.75">
      <c r="A246" s="309"/>
      <c r="B246" s="309"/>
      <c r="C246" s="34"/>
      <c r="D246" s="362"/>
      <c r="E246" s="34"/>
      <c r="F246" s="34"/>
      <c r="G246" s="35"/>
      <c r="H246" s="35"/>
      <c r="I246" s="34"/>
      <c r="J246" s="34"/>
      <c r="K246" s="65"/>
      <c r="L246" s="34"/>
      <c r="M246" s="34"/>
      <c r="N246" s="34"/>
      <c r="O246" s="34"/>
      <c r="P246" s="188"/>
      <c r="Q246" s="188"/>
      <c r="R246" s="34"/>
      <c r="S246" s="34"/>
      <c r="T246" s="304"/>
      <c r="U246" s="34"/>
      <c r="V246" s="34"/>
      <c r="W246" s="34"/>
      <c r="X246" s="34"/>
      <c r="Y246" s="105"/>
      <c r="Z246" s="105"/>
    </row>
    <row r="247" spans="1:26" ht="12.75">
      <c r="A247" s="309"/>
      <c r="B247" s="309"/>
      <c r="C247" s="34"/>
      <c r="D247" s="362"/>
      <c r="E247" s="34"/>
      <c r="F247" s="34"/>
      <c r="G247" s="35"/>
      <c r="H247" s="35"/>
      <c r="I247" s="34"/>
      <c r="J247" s="34"/>
      <c r="K247" s="65"/>
      <c r="L247" s="34"/>
      <c r="M247" s="34"/>
      <c r="N247" s="34"/>
      <c r="O247" s="34"/>
      <c r="P247" s="188"/>
      <c r="Q247" s="188"/>
      <c r="R247" s="34"/>
      <c r="S247" s="34"/>
      <c r="T247" s="304"/>
      <c r="U247" s="34"/>
      <c r="V247" s="34"/>
      <c r="W247" s="34"/>
      <c r="X247" s="34"/>
      <c r="Y247" s="105"/>
      <c r="Z247" s="105"/>
    </row>
    <row r="248" spans="1:26" ht="12.75">
      <c r="A248" s="309"/>
      <c r="B248" s="309"/>
      <c r="C248" s="34"/>
      <c r="D248" s="362"/>
      <c r="E248" s="34"/>
      <c r="F248" s="34"/>
      <c r="G248" s="35"/>
      <c r="H248" s="35"/>
      <c r="I248" s="34"/>
      <c r="J248" s="34"/>
      <c r="K248" s="65"/>
      <c r="L248" s="34"/>
      <c r="M248" s="34"/>
      <c r="N248" s="34"/>
      <c r="O248" s="34"/>
      <c r="P248" s="188"/>
      <c r="Q248" s="188"/>
      <c r="R248" s="34"/>
      <c r="S248" s="34"/>
      <c r="T248" s="304"/>
      <c r="U248" s="34"/>
      <c r="V248" s="34"/>
      <c r="W248" s="34"/>
      <c r="X248" s="34"/>
      <c r="Y248" s="105"/>
      <c r="Z248" s="105"/>
    </row>
    <row r="249" spans="1:26" ht="12.75">
      <c r="A249" s="309"/>
      <c r="B249" s="309"/>
      <c r="C249" s="34"/>
      <c r="D249" s="362"/>
      <c r="E249" s="34"/>
      <c r="F249" s="34"/>
      <c r="G249" s="35"/>
      <c r="H249" s="35"/>
      <c r="I249" s="34"/>
      <c r="J249" s="34"/>
      <c r="K249" s="65"/>
      <c r="L249" s="34"/>
      <c r="M249" s="34"/>
      <c r="N249" s="34"/>
      <c r="O249" s="34"/>
      <c r="P249" s="188"/>
      <c r="Q249" s="188"/>
      <c r="R249" s="34"/>
      <c r="S249" s="34"/>
      <c r="T249" s="304"/>
      <c r="U249" s="34"/>
      <c r="V249" s="34"/>
      <c r="W249" s="34"/>
      <c r="X249" s="34"/>
      <c r="Y249" s="105"/>
      <c r="Z249" s="105"/>
    </row>
    <row r="250" spans="1:26" ht="12.75">
      <c r="A250" s="309"/>
      <c r="B250" s="309"/>
      <c r="C250" s="34"/>
      <c r="D250" s="362"/>
      <c r="E250" s="34"/>
      <c r="F250" s="34"/>
      <c r="G250" s="35"/>
      <c r="H250" s="35"/>
      <c r="I250" s="34"/>
      <c r="J250" s="34"/>
      <c r="K250" s="65"/>
      <c r="L250" s="34"/>
      <c r="M250" s="34"/>
      <c r="N250" s="34"/>
      <c r="O250" s="34"/>
      <c r="P250" s="188"/>
      <c r="Q250" s="188"/>
      <c r="R250" s="34"/>
      <c r="S250" s="34"/>
      <c r="T250" s="304"/>
      <c r="U250" s="34"/>
      <c r="V250" s="34"/>
      <c r="W250" s="34"/>
      <c r="X250" s="34"/>
      <c r="Y250" s="105"/>
      <c r="Z250" s="105"/>
    </row>
    <row r="251" spans="1:26" ht="12.75">
      <c r="A251" s="309"/>
      <c r="B251" s="309"/>
      <c r="C251" s="34"/>
      <c r="D251" s="362"/>
      <c r="E251" s="34"/>
      <c r="F251" s="34"/>
      <c r="G251" s="35"/>
      <c r="H251" s="35"/>
      <c r="I251" s="34"/>
      <c r="J251" s="34"/>
      <c r="K251" s="65"/>
      <c r="L251" s="34"/>
      <c r="M251" s="34"/>
      <c r="N251" s="34"/>
      <c r="O251" s="34"/>
      <c r="P251" s="188"/>
      <c r="Q251" s="188"/>
      <c r="R251" s="34"/>
      <c r="S251" s="34"/>
      <c r="T251" s="304"/>
      <c r="U251" s="34"/>
      <c r="V251" s="34"/>
      <c r="W251" s="34"/>
      <c r="X251" s="34"/>
      <c r="Y251" s="105"/>
      <c r="Z251" s="105"/>
    </row>
    <row r="252" spans="1:26" ht="12.75">
      <c r="A252" s="309"/>
      <c r="B252" s="309"/>
      <c r="C252" s="34"/>
      <c r="D252" s="362"/>
      <c r="E252" s="34"/>
      <c r="F252" s="34"/>
      <c r="G252" s="35"/>
      <c r="H252" s="35"/>
      <c r="I252" s="34"/>
      <c r="J252" s="34"/>
      <c r="K252" s="65"/>
      <c r="L252" s="34"/>
      <c r="M252" s="34"/>
      <c r="N252" s="34"/>
      <c r="O252" s="34"/>
      <c r="P252" s="188"/>
      <c r="Q252" s="188"/>
      <c r="R252" s="34"/>
      <c r="S252" s="34"/>
      <c r="T252" s="304"/>
      <c r="U252" s="34"/>
      <c r="V252" s="34"/>
      <c r="W252" s="34"/>
      <c r="X252" s="34"/>
      <c r="Y252" s="105"/>
      <c r="Z252" s="105"/>
    </row>
    <row r="253" spans="1:26" ht="12.75">
      <c r="A253" s="309"/>
      <c r="B253" s="309"/>
      <c r="C253" s="34"/>
      <c r="D253" s="362"/>
      <c r="E253" s="34"/>
      <c r="F253" s="34"/>
      <c r="G253" s="35"/>
      <c r="H253" s="35"/>
      <c r="I253" s="34"/>
      <c r="J253" s="34"/>
      <c r="K253" s="65"/>
      <c r="L253" s="34"/>
      <c r="M253" s="34"/>
      <c r="N253" s="34"/>
      <c r="O253" s="34"/>
      <c r="P253" s="188"/>
      <c r="Q253" s="188"/>
      <c r="R253" s="34"/>
      <c r="S253" s="34"/>
      <c r="T253" s="304"/>
      <c r="U253" s="34"/>
      <c r="V253" s="34"/>
      <c r="W253" s="34"/>
      <c r="X253" s="34"/>
      <c r="Y253" s="105"/>
      <c r="Z253" s="105"/>
    </row>
    <row r="254" spans="1:26" ht="12.75">
      <c r="A254" s="309"/>
      <c r="B254" s="309"/>
      <c r="C254" s="34"/>
      <c r="D254" s="362"/>
      <c r="E254" s="34"/>
      <c r="F254" s="34"/>
      <c r="G254" s="35"/>
      <c r="H254" s="35"/>
      <c r="I254" s="34"/>
      <c r="J254" s="34"/>
      <c r="K254" s="65"/>
      <c r="L254" s="34"/>
      <c r="M254" s="34"/>
      <c r="N254" s="34"/>
      <c r="O254" s="34"/>
      <c r="P254" s="188"/>
      <c r="Q254" s="188"/>
      <c r="R254" s="34"/>
      <c r="S254" s="34"/>
      <c r="T254" s="304"/>
      <c r="U254" s="34"/>
      <c r="V254" s="34"/>
      <c r="W254" s="34"/>
      <c r="X254" s="34"/>
      <c r="Y254" s="105"/>
      <c r="Z254" s="105"/>
    </row>
    <row r="255" spans="1:26" ht="12.75">
      <c r="A255" s="309"/>
      <c r="B255" s="309"/>
      <c r="C255" s="34"/>
      <c r="D255" s="362"/>
      <c r="E255" s="34"/>
      <c r="F255" s="34"/>
      <c r="G255" s="35"/>
      <c r="H255" s="35"/>
      <c r="I255" s="34"/>
      <c r="J255" s="34"/>
      <c r="K255" s="65"/>
      <c r="L255" s="34"/>
      <c r="M255" s="34"/>
      <c r="N255" s="34"/>
      <c r="O255" s="34"/>
      <c r="P255" s="188"/>
      <c r="Q255" s="188"/>
      <c r="R255" s="34"/>
      <c r="S255" s="34"/>
      <c r="T255" s="304"/>
      <c r="U255" s="34"/>
      <c r="V255" s="34"/>
      <c r="W255" s="34"/>
      <c r="X255" s="34"/>
      <c r="Y255" s="105"/>
      <c r="Z255" s="105"/>
    </row>
    <row r="256" spans="1:26" ht="12.75">
      <c r="A256" s="309"/>
      <c r="B256" s="309"/>
      <c r="C256" s="34"/>
      <c r="D256" s="362"/>
      <c r="E256" s="34"/>
      <c r="F256" s="34"/>
      <c r="G256" s="35"/>
      <c r="H256" s="35"/>
      <c r="I256" s="34"/>
      <c r="J256" s="34"/>
      <c r="K256" s="65"/>
      <c r="L256" s="34"/>
      <c r="M256" s="34"/>
      <c r="N256" s="34"/>
      <c r="O256" s="34"/>
      <c r="P256" s="188"/>
      <c r="Q256" s="188"/>
      <c r="R256" s="34"/>
      <c r="S256" s="34"/>
      <c r="T256" s="304"/>
      <c r="U256" s="34"/>
      <c r="V256" s="34"/>
      <c r="W256" s="34"/>
      <c r="X256" s="34"/>
      <c r="Y256" s="105"/>
      <c r="Z256" s="105"/>
    </row>
    <row r="257" spans="1:26" ht="12.75">
      <c r="A257" s="309"/>
      <c r="B257" s="309"/>
      <c r="C257" s="34"/>
      <c r="D257" s="362"/>
      <c r="E257" s="34"/>
      <c r="F257" s="34"/>
      <c r="G257" s="35"/>
      <c r="H257" s="35"/>
      <c r="I257" s="34"/>
      <c r="J257" s="34"/>
      <c r="K257" s="65"/>
      <c r="L257" s="34"/>
      <c r="M257" s="34"/>
      <c r="N257" s="34"/>
      <c r="O257" s="34"/>
      <c r="P257" s="188"/>
      <c r="Q257" s="188"/>
      <c r="R257" s="34"/>
      <c r="S257" s="34"/>
      <c r="T257" s="304"/>
      <c r="U257" s="34"/>
      <c r="V257" s="34"/>
      <c r="W257" s="34"/>
      <c r="X257" s="34"/>
      <c r="Y257" s="105"/>
      <c r="Z257" s="105"/>
    </row>
    <row r="258" spans="1:26" ht="12.75">
      <c r="A258" s="309"/>
      <c r="B258" s="309"/>
      <c r="C258" s="34"/>
      <c r="D258" s="362"/>
      <c r="E258" s="34"/>
      <c r="F258" s="34"/>
      <c r="G258" s="35"/>
      <c r="H258" s="35"/>
      <c r="I258" s="34"/>
      <c r="J258" s="34"/>
      <c r="K258" s="65"/>
      <c r="L258" s="34"/>
      <c r="M258" s="34"/>
      <c r="N258" s="34"/>
      <c r="O258" s="34"/>
      <c r="P258" s="188"/>
      <c r="Q258" s="188"/>
      <c r="R258" s="34"/>
      <c r="S258" s="34"/>
      <c r="T258" s="304"/>
      <c r="U258" s="34"/>
      <c r="V258" s="34"/>
      <c r="W258" s="34"/>
      <c r="X258" s="34"/>
      <c r="Y258" s="105"/>
      <c r="Z258" s="105"/>
    </row>
    <row r="259" spans="1:26" ht="12.75">
      <c r="A259" s="309"/>
      <c r="B259" s="309"/>
      <c r="C259" s="34"/>
      <c r="D259" s="362"/>
      <c r="E259" s="34"/>
      <c r="F259" s="34"/>
      <c r="G259" s="35"/>
      <c r="H259" s="35"/>
      <c r="I259" s="34"/>
      <c r="J259" s="34"/>
      <c r="K259" s="65"/>
      <c r="L259" s="34"/>
      <c r="M259" s="34"/>
      <c r="N259" s="34"/>
      <c r="O259" s="34"/>
      <c r="P259" s="188"/>
      <c r="Q259" s="188"/>
      <c r="R259" s="34"/>
      <c r="S259" s="34"/>
      <c r="T259" s="304"/>
      <c r="U259" s="34"/>
      <c r="V259" s="34"/>
      <c r="W259" s="34"/>
      <c r="X259" s="34"/>
      <c r="Y259" s="105"/>
      <c r="Z259" s="105"/>
    </row>
    <row r="260" spans="1:26" ht="12.75">
      <c r="A260" s="309"/>
      <c r="B260" s="309"/>
      <c r="C260" s="34"/>
      <c r="D260" s="362"/>
      <c r="E260" s="34"/>
      <c r="F260" s="34"/>
      <c r="G260" s="35"/>
      <c r="H260" s="35"/>
      <c r="I260" s="34"/>
      <c r="J260" s="34"/>
      <c r="K260" s="65"/>
      <c r="L260" s="34"/>
      <c r="M260" s="34"/>
      <c r="N260" s="34"/>
      <c r="O260" s="34"/>
      <c r="P260" s="188"/>
      <c r="Q260" s="188"/>
      <c r="R260" s="34"/>
      <c r="S260" s="34"/>
      <c r="T260" s="304"/>
      <c r="U260" s="34"/>
      <c r="V260" s="34"/>
      <c r="W260" s="34"/>
      <c r="X260" s="34"/>
      <c r="Y260" s="105"/>
      <c r="Z260" s="105"/>
    </row>
    <row r="261" spans="1:26" ht="12.75">
      <c r="A261" s="309"/>
      <c r="B261" s="309"/>
      <c r="C261" s="34"/>
      <c r="D261" s="362"/>
      <c r="E261" s="34"/>
      <c r="F261" s="34"/>
      <c r="G261" s="35"/>
      <c r="H261" s="35"/>
      <c r="I261" s="34"/>
      <c r="J261" s="34"/>
      <c r="K261" s="65"/>
      <c r="L261" s="34"/>
      <c r="M261" s="34"/>
      <c r="N261" s="34"/>
      <c r="O261" s="34"/>
      <c r="P261" s="188"/>
      <c r="Q261" s="188"/>
      <c r="R261" s="34"/>
      <c r="S261" s="34"/>
      <c r="T261" s="304"/>
      <c r="U261" s="34"/>
      <c r="V261" s="34"/>
      <c r="W261" s="34"/>
      <c r="X261" s="34"/>
      <c r="Y261" s="105"/>
      <c r="Z261" s="105"/>
    </row>
    <row r="262" spans="1:26" ht="12.75">
      <c r="A262" s="309"/>
      <c r="B262" s="309"/>
      <c r="C262" s="34"/>
      <c r="D262" s="362"/>
      <c r="E262" s="34"/>
      <c r="F262" s="34"/>
      <c r="G262" s="35"/>
      <c r="H262" s="35"/>
      <c r="I262" s="34"/>
      <c r="J262" s="34"/>
      <c r="K262" s="65"/>
      <c r="L262" s="34"/>
      <c r="M262" s="34"/>
      <c r="N262" s="34"/>
      <c r="O262" s="34"/>
      <c r="P262" s="188"/>
      <c r="Q262" s="188"/>
      <c r="R262" s="34"/>
      <c r="S262" s="34"/>
      <c r="T262" s="304"/>
      <c r="U262" s="34"/>
      <c r="V262" s="34"/>
      <c r="W262" s="34"/>
      <c r="X262" s="34"/>
      <c r="Y262" s="105"/>
      <c r="Z262" s="105"/>
    </row>
    <row r="263" spans="1:26" ht="12.75">
      <c r="A263" s="309"/>
      <c r="B263" s="309"/>
      <c r="C263" s="34"/>
      <c r="D263" s="362"/>
      <c r="E263" s="34"/>
      <c r="F263" s="34"/>
      <c r="G263" s="35"/>
      <c r="H263" s="35"/>
      <c r="I263" s="34"/>
      <c r="J263" s="34"/>
      <c r="K263" s="65"/>
      <c r="L263" s="34"/>
      <c r="M263" s="34"/>
      <c r="N263" s="34"/>
      <c r="O263" s="34"/>
      <c r="P263" s="188"/>
      <c r="Q263" s="188"/>
      <c r="R263" s="34"/>
      <c r="S263" s="34"/>
      <c r="T263" s="304"/>
      <c r="U263" s="34"/>
      <c r="V263" s="34"/>
      <c r="W263" s="34"/>
      <c r="X263" s="34"/>
      <c r="Y263" s="105"/>
      <c r="Z263" s="105"/>
    </row>
    <row r="264" spans="1:26" ht="12.75">
      <c r="A264" s="309"/>
      <c r="B264" s="309"/>
      <c r="C264" s="34"/>
      <c r="D264" s="362"/>
      <c r="E264" s="34"/>
      <c r="F264" s="34"/>
      <c r="G264" s="35"/>
      <c r="H264" s="35"/>
      <c r="I264" s="34"/>
      <c r="J264" s="34"/>
      <c r="K264" s="65"/>
      <c r="L264" s="34"/>
      <c r="M264" s="34"/>
      <c r="N264" s="34"/>
      <c r="O264" s="34"/>
      <c r="P264" s="188"/>
      <c r="Q264" s="188"/>
      <c r="R264" s="34"/>
      <c r="S264" s="34"/>
      <c r="T264" s="304"/>
      <c r="U264" s="34"/>
      <c r="V264" s="34"/>
      <c r="W264" s="34"/>
      <c r="X264" s="34"/>
      <c r="Y264" s="105"/>
      <c r="Z264" s="105"/>
    </row>
    <row r="265" spans="1:26" ht="12.75">
      <c r="A265" s="309"/>
      <c r="B265" s="309"/>
      <c r="C265" s="34"/>
      <c r="D265" s="362"/>
      <c r="E265" s="34"/>
      <c r="F265" s="34"/>
      <c r="G265" s="35"/>
      <c r="H265" s="35"/>
      <c r="I265" s="34"/>
      <c r="J265" s="34"/>
      <c r="K265" s="65"/>
      <c r="L265" s="34"/>
      <c r="M265" s="34"/>
      <c r="N265" s="34"/>
      <c r="O265" s="34"/>
      <c r="P265" s="188"/>
      <c r="Q265" s="188"/>
      <c r="R265" s="34"/>
      <c r="S265" s="34"/>
      <c r="T265" s="304"/>
      <c r="U265" s="34"/>
      <c r="V265" s="34"/>
      <c r="W265" s="34"/>
      <c r="X265" s="34"/>
      <c r="Y265" s="105"/>
      <c r="Z265" s="105"/>
    </row>
    <row r="266" spans="1:26" ht="12.75">
      <c r="A266" s="309"/>
      <c r="B266" s="309"/>
      <c r="C266" s="34"/>
      <c r="D266" s="362"/>
      <c r="E266" s="34"/>
      <c r="F266" s="34"/>
      <c r="G266" s="35"/>
      <c r="H266" s="35"/>
      <c r="I266" s="34"/>
      <c r="J266" s="34"/>
      <c r="K266" s="65"/>
      <c r="L266" s="34"/>
      <c r="M266" s="34"/>
      <c r="N266" s="34"/>
      <c r="O266" s="34"/>
      <c r="P266" s="188"/>
      <c r="Q266" s="188"/>
      <c r="R266" s="34"/>
      <c r="S266" s="34"/>
      <c r="T266" s="304"/>
      <c r="U266" s="34"/>
      <c r="V266" s="34"/>
      <c r="W266" s="34"/>
      <c r="X266" s="34"/>
      <c r="Y266" s="105"/>
      <c r="Z266" s="105"/>
    </row>
    <row r="267" spans="1:26" ht="12.75">
      <c r="A267" s="309"/>
      <c r="B267" s="309"/>
      <c r="C267" s="34"/>
      <c r="D267" s="362"/>
      <c r="E267" s="34"/>
      <c r="F267" s="34"/>
      <c r="G267" s="35"/>
      <c r="H267" s="35"/>
      <c r="I267" s="34"/>
      <c r="J267" s="34"/>
      <c r="K267" s="65"/>
      <c r="L267" s="34"/>
      <c r="M267" s="34"/>
      <c r="N267" s="34"/>
      <c r="O267" s="34"/>
      <c r="P267" s="188"/>
      <c r="Q267" s="188"/>
      <c r="R267" s="34"/>
      <c r="S267" s="34"/>
      <c r="T267" s="304"/>
      <c r="U267" s="34"/>
      <c r="V267" s="34"/>
      <c r="W267" s="34"/>
      <c r="X267" s="34"/>
      <c r="Y267" s="105"/>
      <c r="Z267" s="105"/>
    </row>
    <row r="268" spans="1:26" ht="12.75">
      <c r="A268" s="309"/>
      <c r="B268" s="309"/>
      <c r="C268" s="34"/>
      <c r="D268" s="362"/>
      <c r="E268" s="34"/>
      <c r="F268" s="34"/>
      <c r="G268" s="35"/>
      <c r="H268" s="35"/>
      <c r="I268" s="34"/>
      <c r="J268" s="34"/>
      <c r="K268" s="65"/>
      <c r="L268" s="34"/>
      <c r="M268" s="34"/>
      <c r="N268" s="34"/>
      <c r="O268" s="34"/>
      <c r="P268" s="188"/>
      <c r="Q268" s="188"/>
      <c r="R268" s="34"/>
      <c r="S268" s="34"/>
      <c r="T268" s="304"/>
      <c r="U268" s="34"/>
      <c r="V268" s="34"/>
      <c r="W268" s="34"/>
      <c r="X268" s="34"/>
      <c r="Y268" s="105"/>
      <c r="Z268" s="105"/>
    </row>
    <row r="269" spans="1:26" ht="12.75">
      <c r="A269" s="309"/>
      <c r="B269" s="309"/>
      <c r="C269" s="34"/>
      <c r="D269" s="362"/>
      <c r="E269" s="34"/>
      <c r="F269" s="34"/>
      <c r="G269" s="35"/>
      <c r="H269" s="35"/>
      <c r="I269" s="34"/>
      <c r="J269" s="34"/>
      <c r="K269" s="65"/>
      <c r="L269" s="34"/>
      <c r="M269" s="34"/>
      <c r="N269" s="34"/>
      <c r="O269" s="34"/>
      <c r="P269" s="188"/>
      <c r="Q269" s="188"/>
      <c r="R269" s="34"/>
      <c r="S269" s="34"/>
      <c r="T269" s="304"/>
      <c r="U269" s="34"/>
      <c r="V269" s="34"/>
      <c r="W269" s="34"/>
      <c r="X269" s="34"/>
      <c r="Y269" s="105"/>
      <c r="Z269" s="105"/>
    </row>
    <row r="270" spans="1:26" ht="12.75">
      <c r="A270" s="309"/>
      <c r="B270" s="309"/>
      <c r="C270" s="34"/>
      <c r="D270" s="362"/>
      <c r="E270" s="34"/>
      <c r="F270" s="34"/>
      <c r="G270" s="35"/>
      <c r="H270" s="35"/>
      <c r="I270" s="34"/>
      <c r="J270" s="34"/>
      <c r="K270" s="65"/>
      <c r="L270" s="34"/>
      <c r="M270" s="34"/>
      <c r="N270" s="34"/>
      <c r="O270" s="34"/>
      <c r="P270" s="188"/>
      <c r="Q270" s="188"/>
      <c r="R270" s="34"/>
      <c r="S270" s="34"/>
      <c r="T270" s="304"/>
      <c r="U270" s="34"/>
      <c r="V270" s="34"/>
      <c r="W270" s="34"/>
      <c r="X270" s="34"/>
      <c r="Y270" s="105"/>
      <c r="Z270" s="105"/>
    </row>
    <row r="271" spans="1:26" ht="12.75">
      <c r="A271" s="309"/>
      <c r="B271" s="309"/>
      <c r="C271" s="34"/>
      <c r="D271" s="362"/>
      <c r="E271" s="34"/>
      <c r="F271" s="34"/>
      <c r="G271" s="35"/>
      <c r="H271" s="35"/>
      <c r="I271" s="34"/>
      <c r="J271" s="34"/>
      <c r="K271" s="65"/>
      <c r="L271" s="34"/>
      <c r="M271" s="34"/>
      <c r="N271" s="34"/>
      <c r="O271" s="34"/>
      <c r="P271" s="188"/>
      <c r="Q271" s="188"/>
      <c r="R271" s="34"/>
      <c r="S271" s="34"/>
      <c r="T271" s="304"/>
      <c r="U271" s="34"/>
      <c r="V271" s="34"/>
      <c r="W271" s="34"/>
      <c r="X271" s="34"/>
      <c r="Y271" s="105"/>
      <c r="Z271" s="105"/>
    </row>
    <row r="272" spans="1:26" ht="12.75">
      <c r="A272" s="309"/>
      <c r="B272" s="309"/>
      <c r="C272" s="34"/>
      <c r="D272" s="362"/>
      <c r="E272" s="34"/>
      <c r="F272" s="34"/>
      <c r="G272" s="35"/>
      <c r="H272" s="35"/>
      <c r="I272" s="34"/>
      <c r="J272" s="34"/>
      <c r="K272" s="65"/>
      <c r="L272" s="34"/>
      <c r="M272" s="34"/>
      <c r="N272" s="34"/>
      <c r="O272" s="34"/>
      <c r="P272" s="188"/>
      <c r="Q272" s="188"/>
      <c r="R272" s="34"/>
      <c r="S272" s="34"/>
      <c r="T272" s="304"/>
      <c r="U272" s="34"/>
      <c r="V272" s="34"/>
      <c r="W272" s="34"/>
      <c r="X272" s="34"/>
      <c r="Y272" s="105"/>
      <c r="Z272" s="105"/>
    </row>
    <row r="273" spans="1:26" ht="12.75">
      <c r="A273" s="309"/>
      <c r="B273" s="309"/>
      <c r="C273" s="34"/>
      <c r="D273" s="362"/>
      <c r="E273" s="34"/>
      <c r="F273" s="34"/>
      <c r="G273" s="35"/>
      <c r="H273" s="35"/>
      <c r="I273" s="34"/>
      <c r="J273" s="34"/>
      <c r="K273" s="65"/>
      <c r="L273" s="34"/>
      <c r="M273" s="34"/>
      <c r="N273" s="34"/>
      <c r="O273" s="34"/>
      <c r="P273" s="188"/>
      <c r="Q273" s="188"/>
      <c r="R273" s="34"/>
      <c r="S273" s="34"/>
      <c r="T273" s="304"/>
      <c r="U273" s="34"/>
      <c r="V273" s="34"/>
      <c r="W273" s="34"/>
      <c r="X273" s="34"/>
      <c r="Y273" s="105"/>
      <c r="Z273" s="105"/>
    </row>
    <row r="274" spans="1:26" ht="12.75">
      <c r="A274" s="309"/>
      <c r="B274" s="309"/>
      <c r="C274" s="34"/>
      <c r="D274" s="362"/>
      <c r="E274" s="34"/>
      <c r="F274" s="34"/>
      <c r="G274" s="35"/>
      <c r="H274" s="35"/>
      <c r="I274" s="34"/>
      <c r="J274" s="34"/>
      <c r="K274" s="65"/>
      <c r="L274" s="34"/>
      <c r="M274" s="34"/>
      <c r="N274" s="34"/>
      <c r="O274" s="34"/>
      <c r="P274" s="188"/>
      <c r="Q274" s="188"/>
      <c r="R274" s="34"/>
      <c r="S274" s="34"/>
      <c r="T274" s="304"/>
      <c r="U274" s="34"/>
      <c r="V274" s="34"/>
      <c r="W274" s="34"/>
      <c r="X274" s="34"/>
      <c r="Y274" s="105"/>
      <c r="Z274" s="105"/>
    </row>
    <row r="275" spans="1:26" ht="12.75">
      <c r="A275" s="309"/>
      <c r="B275" s="309"/>
      <c r="C275" s="34"/>
      <c r="D275" s="362"/>
      <c r="E275" s="34"/>
      <c r="F275" s="34"/>
      <c r="G275" s="35"/>
      <c r="H275" s="35"/>
      <c r="I275" s="34"/>
      <c r="J275" s="34"/>
      <c r="K275" s="65"/>
      <c r="L275" s="34"/>
      <c r="M275" s="34"/>
      <c r="N275" s="34"/>
      <c r="O275" s="34"/>
      <c r="P275" s="188"/>
      <c r="Q275" s="188"/>
      <c r="R275" s="34"/>
      <c r="S275" s="34"/>
      <c r="T275" s="304"/>
      <c r="U275" s="34"/>
      <c r="V275" s="34"/>
      <c r="W275" s="34"/>
      <c r="X275" s="34"/>
      <c r="Y275" s="105"/>
      <c r="Z275" s="105"/>
    </row>
    <row r="276" spans="1:26" ht="12.75">
      <c r="A276" s="309"/>
      <c r="B276" s="309"/>
      <c r="C276" s="34"/>
      <c r="D276" s="362"/>
      <c r="E276" s="34"/>
      <c r="F276" s="34"/>
      <c r="G276" s="35"/>
      <c r="H276" s="35"/>
      <c r="I276" s="34"/>
      <c r="J276" s="34"/>
      <c r="K276" s="65"/>
      <c r="L276" s="34"/>
      <c r="M276" s="34"/>
      <c r="N276" s="34"/>
      <c r="O276" s="34"/>
      <c r="P276" s="188"/>
      <c r="Q276" s="188"/>
      <c r="R276" s="34"/>
      <c r="S276" s="34"/>
      <c r="T276" s="304"/>
      <c r="U276" s="34"/>
      <c r="V276" s="34"/>
      <c r="W276" s="34"/>
      <c r="X276" s="34"/>
      <c r="Y276" s="105"/>
      <c r="Z276" s="105"/>
    </row>
    <row r="277" spans="1:26" ht="12.75">
      <c r="A277" s="309"/>
      <c r="B277" s="309"/>
      <c r="C277" s="34"/>
      <c r="D277" s="362"/>
      <c r="E277" s="34"/>
      <c r="F277" s="34"/>
      <c r="G277" s="35"/>
      <c r="H277" s="35"/>
      <c r="I277" s="34"/>
      <c r="J277" s="34"/>
      <c r="K277" s="65"/>
      <c r="L277" s="34"/>
      <c r="M277" s="34"/>
      <c r="N277" s="34"/>
      <c r="O277" s="34"/>
      <c r="P277" s="188"/>
      <c r="Q277" s="188"/>
      <c r="R277" s="34"/>
      <c r="S277" s="34"/>
      <c r="T277" s="304"/>
      <c r="U277" s="34"/>
      <c r="V277" s="34"/>
      <c r="W277" s="34"/>
      <c r="X277" s="34"/>
      <c r="Y277" s="105"/>
      <c r="Z277" s="105"/>
    </row>
    <row r="278" spans="1:26" ht="12.75">
      <c r="A278" s="309"/>
      <c r="B278" s="309"/>
      <c r="C278" s="34"/>
      <c r="D278" s="362"/>
      <c r="E278" s="34"/>
      <c r="F278" s="34"/>
      <c r="G278" s="35"/>
      <c r="H278" s="35"/>
      <c r="I278" s="34"/>
      <c r="J278" s="34"/>
      <c r="K278" s="65"/>
      <c r="L278" s="34"/>
      <c r="M278" s="34"/>
      <c r="N278" s="34"/>
      <c r="O278" s="34"/>
      <c r="P278" s="188"/>
      <c r="Q278" s="188"/>
      <c r="R278" s="34"/>
      <c r="S278" s="34"/>
      <c r="T278" s="304"/>
      <c r="U278" s="34"/>
      <c r="V278" s="34"/>
      <c r="W278" s="34"/>
      <c r="X278" s="34"/>
      <c r="Y278" s="105"/>
      <c r="Z278" s="105"/>
    </row>
    <row r="279" spans="1:26" ht="12.75">
      <c r="A279" s="309"/>
      <c r="B279" s="309"/>
      <c r="C279" s="34"/>
      <c r="D279" s="362"/>
      <c r="E279" s="34"/>
      <c r="F279" s="34"/>
      <c r="G279" s="35"/>
      <c r="H279" s="35"/>
      <c r="I279" s="34"/>
      <c r="J279" s="34"/>
      <c r="K279" s="65"/>
      <c r="L279" s="34"/>
      <c r="M279" s="34"/>
      <c r="N279" s="34"/>
      <c r="O279" s="34"/>
      <c r="P279" s="188"/>
      <c r="Q279" s="188"/>
      <c r="R279" s="34"/>
      <c r="S279" s="34"/>
      <c r="T279" s="304"/>
      <c r="U279" s="34"/>
      <c r="V279" s="34"/>
      <c r="W279" s="34"/>
      <c r="X279" s="34"/>
      <c r="Y279" s="105"/>
      <c r="Z279" s="105"/>
    </row>
    <row r="280" spans="1:26" ht="12.75">
      <c r="A280" s="309"/>
      <c r="B280" s="309"/>
      <c r="C280" s="34"/>
      <c r="D280" s="362"/>
      <c r="E280" s="34"/>
      <c r="F280" s="34"/>
      <c r="G280" s="35"/>
      <c r="H280" s="35"/>
      <c r="I280" s="34"/>
      <c r="J280" s="34"/>
      <c r="K280" s="65"/>
      <c r="L280" s="34"/>
      <c r="M280" s="34"/>
      <c r="N280" s="34"/>
      <c r="O280" s="34"/>
      <c r="P280" s="188"/>
      <c r="Q280" s="188"/>
      <c r="R280" s="34"/>
      <c r="S280" s="34"/>
      <c r="T280" s="304"/>
      <c r="U280" s="34"/>
      <c r="V280" s="34"/>
      <c r="W280" s="34"/>
      <c r="X280" s="34"/>
      <c r="Y280" s="105"/>
      <c r="Z280" s="105"/>
    </row>
    <row r="281" spans="1:26" ht="12.75">
      <c r="A281" s="309"/>
      <c r="B281" s="309"/>
      <c r="C281" s="34"/>
      <c r="D281" s="362"/>
      <c r="E281" s="34"/>
      <c r="F281" s="34"/>
      <c r="G281" s="35"/>
      <c r="H281" s="35"/>
      <c r="I281" s="34"/>
      <c r="J281" s="34"/>
      <c r="K281" s="65"/>
      <c r="L281" s="34"/>
      <c r="M281" s="34"/>
      <c r="N281" s="34"/>
      <c r="O281" s="34"/>
      <c r="P281" s="188"/>
      <c r="Q281" s="188"/>
      <c r="R281" s="34"/>
      <c r="S281" s="34"/>
      <c r="T281" s="304"/>
      <c r="U281" s="34"/>
      <c r="V281" s="34"/>
      <c r="W281" s="34"/>
      <c r="X281" s="34"/>
      <c r="Y281" s="105"/>
      <c r="Z281" s="105"/>
    </row>
    <row r="282" spans="1:26" ht="12.75">
      <c r="A282" s="309"/>
      <c r="B282" s="309"/>
      <c r="C282" s="34"/>
      <c r="D282" s="362"/>
      <c r="E282" s="34"/>
      <c r="F282" s="34"/>
      <c r="G282" s="35"/>
      <c r="H282" s="35"/>
      <c r="I282" s="34"/>
      <c r="J282" s="34"/>
      <c r="K282" s="65"/>
      <c r="L282" s="34"/>
      <c r="M282" s="34"/>
      <c r="N282" s="34"/>
      <c r="O282" s="34"/>
      <c r="P282" s="188"/>
      <c r="Q282" s="188"/>
      <c r="R282" s="34"/>
      <c r="S282" s="34"/>
      <c r="T282" s="304"/>
      <c r="U282" s="34"/>
      <c r="V282" s="34"/>
      <c r="W282" s="34"/>
      <c r="X282" s="34"/>
      <c r="Y282" s="105"/>
      <c r="Z282" s="105"/>
    </row>
    <row r="283" spans="1:26" ht="12.75">
      <c r="A283" s="309"/>
      <c r="B283" s="309"/>
      <c r="C283" s="34"/>
      <c r="D283" s="362"/>
      <c r="E283" s="34"/>
      <c r="F283" s="34"/>
      <c r="G283" s="35"/>
      <c r="H283" s="35"/>
      <c r="I283" s="34"/>
      <c r="J283" s="34"/>
      <c r="K283" s="65"/>
      <c r="L283" s="34"/>
      <c r="M283" s="34"/>
      <c r="N283" s="34"/>
      <c r="O283" s="34"/>
      <c r="P283" s="188"/>
      <c r="Q283" s="188"/>
      <c r="R283" s="34"/>
      <c r="S283" s="34"/>
      <c r="T283" s="304"/>
      <c r="U283" s="34"/>
      <c r="V283" s="34"/>
      <c r="W283" s="34"/>
      <c r="X283" s="34"/>
      <c r="Y283" s="105"/>
      <c r="Z283" s="105"/>
    </row>
    <row r="284" spans="1:26" ht="12.75">
      <c r="A284" s="309"/>
      <c r="B284" s="309"/>
      <c r="C284" s="34"/>
      <c r="D284" s="362"/>
      <c r="E284" s="34"/>
      <c r="F284" s="34"/>
      <c r="G284" s="35"/>
      <c r="H284" s="35"/>
      <c r="I284" s="34"/>
      <c r="J284" s="34"/>
      <c r="K284" s="65"/>
      <c r="L284" s="34"/>
      <c r="M284" s="34"/>
      <c r="N284" s="34"/>
      <c r="O284" s="34"/>
      <c r="P284" s="188"/>
      <c r="Q284" s="188"/>
      <c r="R284" s="34"/>
      <c r="S284" s="34"/>
      <c r="T284" s="304"/>
      <c r="U284" s="34"/>
      <c r="V284" s="34"/>
      <c r="W284" s="34"/>
      <c r="X284" s="34"/>
      <c r="Y284" s="105"/>
      <c r="Z284" s="105"/>
    </row>
    <row r="285" spans="1:26" ht="12.75">
      <c r="A285" s="309"/>
      <c r="B285" s="309"/>
      <c r="C285" s="34"/>
      <c r="D285" s="362"/>
      <c r="E285" s="34"/>
      <c r="F285" s="34"/>
      <c r="G285" s="35"/>
      <c r="H285" s="35"/>
      <c r="I285" s="34"/>
      <c r="J285" s="34"/>
      <c r="K285" s="65"/>
      <c r="L285" s="34"/>
      <c r="M285" s="34"/>
      <c r="N285" s="34"/>
      <c r="O285" s="34"/>
      <c r="P285" s="188"/>
      <c r="Q285" s="188"/>
      <c r="R285" s="34"/>
      <c r="S285" s="34"/>
      <c r="T285" s="304"/>
      <c r="U285" s="34"/>
      <c r="V285" s="34"/>
      <c r="W285" s="34"/>
      <c r="X285" s="34"/>
      <c r="Y285" s="105"/>
      <c r="Z285" s="105"/>
    </row>
    <row r="286" spans="1:26" ht="12.75">
      <c r="A286" s="309"/>
      <c r="B286" s="309"/>
      <c r="C286" s="34"/>
      <c r="D286" s="362"/>
      <c r="E286" s="34"/>
      <c r="F286" s="34"/>
      <c r="G286" s="35"/>
      <c r="H286" s="35"/>
      <c r="I286" s="34"/>
      <c r="J286" s="34"/>
      <c r="K286" s="65"/>
      <c r="L286" s="34"/>
      <c r="M286" s="34"/>
      <c r="N286" s="34"/>
      <c r="O286" s="34"/>
      <c r="P286" s="188"/>
      <c r="Q286" s="188"/>
      <c r="R286" s="34"/>
      <c r="S286" s="34"/>
      <c r="T286" s="304"/>
      <c r="U286" s="34"/>
      <c r="V286" s="34"/>
      <c r="W286" s="34"/>
      <c r="X286" s="34"/>
      <c r="Y286" s="105"/>
      <c r="Z286" s="105"/>
    </row>
    <row r="287" spans="1:26" ht="12.75">
      <c r="A287" s="309"/>
      <c r="B287" s="309"/>
      <c r="C287" s="34"/>
      <c r="D287" s="362"/>
      <c r="E287" s="34"/>
      <c r="F287" s="34"/>
      <c r="G287" s="35"/>
      <c r="H287" s="35"/>
      <c r="I287" s="34"/>
      <c r="J287" s="34"/>
      <c r="K287" s="65"/>
      <c r="L287" s="34"/>
      <c r="M287" s="34"/>
      <c r="N287" s="34"/>
      <c r="O287" s="34"/>
      <c r="P287" s="188"/>
      <c r="Q287" s="188"/>
      <c r="R287" s="34"/>
      <c r="S287" s="34"/>
      <c r="T287" s="304"/>
      <c r="U287" s="34"/>
      <c r="V287" s="34"/>
      <c r="W287" s="34"/>
      <c r="X287" s="34"/>
      <c r="Y287" s="105"/>
      <c r="Z287" s="105"/>
    </row>
    <row r="288" spans="1:26" ht="12.75">
      <c r="A288" s="309"/>
      <c r="B288" s="309"/>
      <c r="C288" s="34"/>
      <c r="D288" s="362"/>
      <c r="E288" s="34"/>
      <c r="F288" s="34"/>
      <c r="G288" s="35"/>
      <c r="H288" s="35"/>
      <c r="I288" s="34"/>
      <c r="J288" s="34"/>
      <c r="K288" s="65"/>
      <c r="L288" s="34"/>
      <c r="M288" s="34"/>
      <c r="N288" s="34"/>
      <c r="O288" s="34"/>
      <c r="P288" s="188"/>
      <c r="Q288" s="188"/>
      <c r="R288" s="34"/>
      <c r="S288" s="34"/>
      <c r="T288" s="304"/>
      <c r="U288" s="34"/>
      <c r="V288" s="34"/>
      <c r="W288" s="34"/>
      <c r="X288" s="34"/>
      <c r="Y288" s="105"/>
      <c r="Z288" s="105"/>
    </row>
    <row r="289" spans="1:26" ht="12.75">
      <c r="A289" s="309"/>
      <c r="B289" s="309"/>
      <c r="C289" s="34"/>
      <c r="D289" s="362"/>
      <c r="E289" s="34"/>
      <c r="F289" s="34"/>
      <c r="G289" s="35"/>
      <c r="H289" s="35"/>
      <c r="I289" s="34"/>
      <c r="J289" s="34"/>
      <c r="K289" s="65"/>
      <c r="L289" s="34"/>
      <c r="M289" s="34"/>
      <c r="N289" s="34"/>
      <c r="O289" s="34"/>
      <c r="P289" s="188"/>
      <c r="Q289" s="188"/>
      <c r="R289" s="34"/>
      <c r="S289" s="34"/>
      <c r="T289" s="304"/>
      <c r="U289" s="34"/>
      <c r="V289" s="34"/>
      <c r="W289" s="34"/>
      <c r="X289" s="34"/>
      <c r="Y289" s="105"/>
      <c r="Z289" s="105"/>
    </row>
    <row r="290" spans="1:26" ht="12.75">
      <c r="A290" s="309"/>
      <c r="B290" s="309"/>
      <c r="C290" s="34"/>
      <c r="D290" s="362"/>
      <c r="E290" s="34"/>
      <c r="F290" s="34"/>
      <c r="G290" s="35"/>
      <c r="H290" s="35"/>
      <c r="I290" s="34"/>
      <c r="J290" s="34"/>
      <c r="K290" s="65"/>
      <c r="L290" s="34"/>
      <c r="M290" s="34"/>
      <c r="N290" s="34"/>
      <c r="O290" s="34"/>
      <c r="P290" s="188"/>
      <c r="Q290" s="188"/>
      <c r="R290" s="34"/>
      <c r="S290" s="34"/>
      <c r="T290" s="304"/>
      <c r="U290" s="34"/>
      <c r="V290" s="34"/>
      <c r="W290" s="34"/>
      <c r="X290" s="34"/>
      <c r="Y290" s="105"/>
      <c r="Z290" s="105"/>
    </row>
    <row r="291" spans="1:26" ht="12.75">
      <c r="A291" s="309"/>
      <c r="B291" s="309"/>
      <c r="C291" s="34"/>
      <c r="D291" s="362"/>
      <c r="E291" s="34"/>
      <c r="F291" s="34"/>
      <c r="G291" s="35"/>
      <c r="H291" s="35"/>
      <c r="I291" s="34"/>
      <c r="J291" s="34"/>
      <c r="K291" s="65"/>
      <c r="L291" s="34"/>
      <c r="M291" s="34"/>
      <c r="N291" s="34"/>
      <c r="O291" s="34"/>
      <c r="P291" s="188"/>
      <c r="Q291" s="188"/>
      <c r="R291" s="34"/>
      <c r="S291" s="34"/>
      <c r="T291" s="304"/>
      <c r="U291" s="34"/>
      <c r="V291" s="34"/>
      <c r="W291" s="34"/>
      <c r="X291" s="34"/>
      <c r="Y291" s="105"/>
      <c r="Z291" s="105"/>
    </row>
    <row r="292" spans="1:26" ht="12.75">
      <c r="A292" s="309"/>
      <c r="B292" s="309"/>
      <c r="C292" s="34"/>
      <c r="D292" s="362"/>
      <c r="E292" s="34"/>
      <c r="F292" s="34"/>
      <c r="G292" s="35"/>
      <c r="H292" s="35"/>
      <c r="I292" s="34"/>
      <c r="J292" s="34"/>
      <c r="K292" s="65"/>
      <c r="L292" s="34"/>
      <c r="M292" s="34"/>
      <c r="N292" s="34"/>
      <c r="O292" s="34"/>
      <c r="P292" s="188"/>
      <c r="Q292" s="188"/>
      <c r="R292" s="34"/>
      <c r="S292" s="34"/>
      <c r="T292" s="304"/>
      <c r="U292" s="34"/>
      <c r="V292" s="34"/>
      <c r="W292" s="34"/>
      <c r="X292" s="34"/>
      <c r="Y292" s="105"/>
      <c r="Z292" s="105"/>
    </row>
    <row r="293" spans="1:26" ht="12.75">
      <c r="A293" s="309"/>
      <c r="B293" s="309"/>
      <c r="C293" s="34"/>
      <c r="D293" s="362"/>
      <c r="E293" s="34"/>
      <c r="F293" s="34"/>
      <c r="G293" s="35"/>
      <c r="H293" s="35"/>
      <c r="I293" s="34"/>
      <c r="J293" s="34"/>
      <c r="K293" s="65"/>
      <c r="L293" s="34"/>
      <c r="M293" s="34"/>
      <c r="N293" s="34"/>
      <c r="O293" s="34"/>
      <c r="P293" s="188"/>
      <c r="Q293" s="188"/>
      <c r="R293" s="34"/>
      <c r="S293" s="34"/>
      <c r="T293" s="304"/>
      <c r="U293" s="34"/>
      <c r="V293" s="34"/>
      <c r="W293" s="34"/>
      <c r="X293" s="34"/>
      <c r="Y293" s="105"/>
      <c r="Z293" s="105"/>
    </row>
    <row r="294" spans="1:26" ht="12.75">
      <c r="A294" s="309"/>
      <c r="B294" s="309"/>
      <c r="C294" s="34"/>
      <c r="D294" s="362"/>
      <c r="E294" s="34"/>
      <c r="F294" s="34"/>
      <c r="G294" s="35"/>
      <c r="H294" s="35"/>
      <c r="I294" s="34"/>
      <c r="J294" s="34"/>
      <c r="K294" s="65"/>
      <c r="L294" s="34"/>
      <c r="M294" s="34"/>
      <c r="N294" s="34"/>
      <c r="O294" s="34"/>
      <c r="P294" s="188"/>
      <c r="Q294" s="188"/>
      <c r="R294" s="34"/>
      <c r="S294" s="34"/>
      <c r="T294" s="304"/>
      <c r="U294" s="34"/>
      <c r="V294" s="34"/>
      <c r="W294" s="34"/>
      <c r="X294" s="34"/>
      <c r="Y294" s="105"/>
      <c r="Z294" s="105"/>
    </row>
    <row r="295" spans="1:26" ht="12.75">
      <c r="A295" s="309"/>
      <c r="B295" s="309"/>
      <c r="C295" s="34"/>
      <c r="D295" s="362"/>
      <c r="E295" s="34"/>
      <c r="F295" s="34"/>
      <c r="G295" s="35"/>
      <c r="H295" s="35"/>
      <c r="I295" s="34"/>
      <c r="J295" s="34"/>
      <c r="K295" s="65"/>
      <c r="L295" s="34"/>
      <c r="M295" s="34"/>
      <c r="N295" s="34"/>
      <c r="O295" s="34"/>
      <c r="P295" s="188"/>
      <c r="Q295" s="188"/>
      <c r="R295" s="34"/>
      <c r="S295" s="34"/>
      <c r="T295" s="304"/>
      <c r="U295" s="34"/>
      <c r="V295" s="34"/>
      <c r="W295" s="34"/>
      <c r="X295" s="34"/>
      <c r="Y295" s="105"/>
      <c r="Z295" s="105"/>
    </row>
    <row r="296" spans="1:26" ht="12.75">
      <c r="A296" s="309"/>
      <c r="B296" s="309"/>
      <c r="C296" s="34"/>
      <c r="D296" s="362"/>
      <c r="E296" s="34"/>
      <c r="F296" s="34"/>
      <c r="G296" s="35"/>
      <c r="H296" s="35"/>
      <c r="I296" s="34"/>
      <c r="J296" s="34"/>
      <c r="K296" s="65"/>
      <c r="L296" s="34"/>
      <c r="M296" s="34"/>
      <c r="N296" s="34"/>
      <c r="O296" s="34"/>
      <c r="P296" s="188"/>
      <c r="Q296" s="188"/>
      <c r="R296" s="34"/>
      <c r="S296" s="34"/>
      <c r="T296" s="304"/>
      <c r="U296" s="34"/>
      <c r="V296" s="34"/>
      <c r="W296" s="34"/>
      <c r="X296" s="34"/>
      <c r="Y296" s="105"/>
      <c r="Z296" s="105"/>
    </row>
    <row r="297" spans="1:26" ht="12.75">
      <c r="A297" s="309"/>
      <c r="B297" s="309"/>
      <c r="C297" s="34"/>
      <c r="D297" s="362"/>
      <c r="E297" s="34"/>
      <c r="F297" s="34"/>
      <c r="G297" s="35"/>
      <c r="H297" s="35"/>
      <c r="I297" s="34"/>
      <c r="J297" s="34"/>
      <c r="K297" s="65"/>
      <c r="L297" s="34"/>
      <c r="M297" s="34"/>
      <c r="N297" s="34"/>
      <c r="O297" s="34"/>
      <c r="P297" s="188"/>
      <c r="Q297" s="188"/>
      <c r="R297" s="34"/>
      <c r="S297" s="34"/>
      <c r="T297" s="304"/>
      <c r="U297" s="34"/>
      <c r="V297" s="34"/>
      <c r="W297" s="34"/>
      <c r="X297" s="34"/>
      <c r="Y297" s="105"/>
      <c r="Z297" s="105"/>
    </row>
    <row r="298" spans="1:26" ht="12.75">
      <c r="A298" s="309"/>
      <c r="B298" s="309"/>
      <c r="C298" s="34"/>
      <c r="D298" s="362"/>
      <c r="E298" s="34"/>
      <c r="F298" s="34"/>
      <c r="G298" s="35"/>
      <c r="H298" s="35"/>
      <c r="I298" s="34"/>
      <c r="J298" s="34"/>
      <c r="K298" s="65"/>
      <c r="L298" s="34"/>
      <c r="M298" s="34"/>
      <c r="N298" s="34"/>
      <c r="O298" s="34"/>
      <c r="P298" s="188"/>
      <c r="Q298" s="188"/>
      <c r="R298" s="34"/>
      <c r="S298" s="34"/>
      <c r="T298" s="304"/>
      <c r="U298" s="34"/>
      <c r="V298" s="34"/>
      <c r="W298" s="34"/>
      <c r="X298" s="34"/>
      <c r="Y298" s="105"/>
      <c r="Z298" s="105"/>
    </row>
    <row r="299" spans="1:26" ht="12.75">
      <c r="A299" s="309"/>
      <c r="B299" s="309"/>
      <c r="C299" s="34"/>
      <c r="D299" s="362"/>
      <c r="E299" s="34"/>
      <c r="F299" s="34"/>
      <c r="G299" s="35"/>
      <c r="H299" s="35"/>
      <c r="I299" s="34"/>
      <c r="J299" s="34"/>
      <c r="K299" s="65"/>
      <c r="L299" s="34"/>
      <c r="M299" s="34"/>
      <c r="N299" s="34"/>
      <c r="O299" s="34"/>
      <c r="P299" s="188"/>
      <c r="Q299" s="188"/>
      <c r="R299" s="34"/>
      <c r="S299" s="34"/>
      <c r="T299" s="304"/>
      <c r="U299" s="34"/>
      <c r="V299" s="34"/>
      <c r="W299" s="34"/>
      <c r="X299" s="34"/>
      <c r="Y299" s="105"/>
      <c r="Z299" s="105"/>
    </row>
    <row r="300" spans="1:26" ht="12.75">
      <c r="A300" s="309"/>
      <c r="B300" s="309"/>
      <c r="C300" s="34"/>
      <c r="D300" s="362"/>
      <c r="E300" s="34"/>
      <c r="F300" s="34"/>
      <c r="G300" s="35"/>
      <c r="H300" s="35"/>
      <c r="I300" s="34"/>
      <c r="J300" s="34"/>
      <c r="K300" s="65"/>
      <c r="L300" s="34"/>
      <c r="M300" s="34"/>
      <c r="N300" s="34"/>
      <c r="O300" s="34"/>
      <c r="P300" s="188"/>
      <c r="Q300" s="188"/>
      <c r="R300" s="34"/>
      <c r="S300" s="34"/>
      <c r="T300" s="304"/>
      <c r="U300" s="34"/>
      <c r="V300" s="34"/>
      <c r="W300" s="34"/>
      <c r="X300" s="34"/>
      <c r="Y300" s="105"/>
      <c r="Z300" s="105"/>
    </row>
    <row r="301" spans="1:26" ht="12.75">
      <c r="A301" s="309"/>
      <c r="B301" s="309"/>
      <c r="C301" s="34"/>
      <c r="D301" s="362"/>
      <c r="E301" s="34"/>
      <c r="F301" s="34"/>
      <c r="G301" s="35"/>
      <c r="H301" s="35"/>
      <c r="I301" s="34"/>
      <c r="J301" s="34"/>
      <c r="K301" s="65"/>
      <c r="L301" s="34"/>
      <c r="M301" s="34"/>
      <c r="N301" s="34"/>
      <c r="O301" s="34"/>
      <c r="P301" s="188"/>
      <c r="Q301" s="188"/>
      <c r="R301" s="34"/>
      <c r="S301" s="34"/>
      <c r="T301" s="304"/>
      <c r="U301" s="34"/>
      <c r="V301" s="34"/>
      <c r="W301" s="34"/>
      <c r="X301" s="34"/>
      <c r="Y301" s="105"/>
      <c r="Z301" s="105"/>
    </row>
    <row r="302" spans="1:26" ht="12.75">
      <c r="A302" s="309"/>
      <c r="B302" s="309"/>
      <c r="C302" s="34"/>
      <c r="D302" s="362"/>
      <c r="E302" s="34"/>
      <c r="F302" s="34"/>
      <c r="G302" s="35"/>
      <c r="H302" s="35"/>
      <c r="I302" s="34"/>
      <c r="J302" s="34"/>
      <c r="K302" s="65"/>
      <c r="L302" s="34"/>
      <c r="M302" s="34"/>
      <c r="N302" s="34"/>
      <c r="O302" s="34"/>
      <c r="P302" s="188"/>
      <c r="Q302" s="188"/>
      <c r="R302" s="34"/>
      <c r="S302" s="34"/>
      <c r="T302" s="304"/>
      <c r="U302" s="34"/>
      <c r="V302" s="34"/>
      <c r="W302" s="34"/>
      <c r="X302" s="34"/>
      <c r="Y302" s="105"/>
      <c r="Z302" s="105"/>
    </row>
    <row r="303" spans="1:26" ht="12.75">
      <c r="A303" s="309"/>
      <c r="B303" s="309"/>
      <c r="C303" s="34"/>
      <c r="D303" s="362"/>
      <c r="E303" s="34"/>
      <c r="F303" s="34"/>
      <c r="G303" s="35"/>
      <c r="H303" s="35"/>
      <c r="I303" s="34"/>
      <c r="J303" s="34"/>
      <c r="K303" s="65"/>
      <c r="L303" s="34"/>
      <c r="M303" s="34"/>
      <c r="N303" s="34"/>
      <c r="O303" s="34"/>
      <c r="P303" s="188"/>
      <c r="Q303" s="188"/>
      <c r="R303" s="34"/>
      <c r="S303" s="34"/>
      <c r="T303" s="304"/>
      <c r="U303" s="34"/>
      <c r="V303" s="34"/>
      <c r="W303" s="34"/>
      <c r="X303" s="34"/>
      <c r="Y303" s="105"/>
      <c r="Z303" s="105"/>
    </row>
    <row r="304" spans="1:26" ht="12.75">
      <c r="A304" s="309"/>
      <c r="B304" s="309"/>
      <c r="C304" s="34"/>
      <c r="D304" s="362"/>
      <c r="E304" s="34"/>
      <c r="F304" s="34"/>
      <c r="G304" s="35"/>
      <c r="H304" s="35"/>
      <c r="I304" s="34"/>
      <c r="J304" s="34"/>
      <c r="K304" s="65"/>
      <c r="L304" s="34"/>
      <c r="M304" s="34"/>
      <c r="N304" s="34"/>
      <c r="O304" s="34"/>
      <c r="P304" s="188"/>
      <c r="Q304" s="188"/>
      <c r="R304" s="34"/>
      <c r="S304" s="34"/>
      <c r="T304" s="304"/>
      <c r="U304" s="34"/>
      <c r="V304" s="34"/>
      <c r="W304" s="34"/>
      <c r="X304" s="34"/>
      <c r="Y304" s="105"/>
      <c r="Z304" s="105"/>
    </row>
    <row r="305" spans="1:26" ht="12.75">
      <c r="A305" s="309"/>
      <c r="B305" s="309"/>
      <c r="C305" s="34"/>
      <c r="D305" s="362"/>
      <c r="E305" s="34"/>
      <c r="F305" s="34"/>
      <c r="G305" s="35"/>
      <c r="H305" s="35"/>
      <c r="I305" s="34"/>
      <c r="J305" s="34"/>
      <c r="K305" s="65"/>
      <c r="L305" s="34"/>
      <c r="M305" s="34"/>
      <c r="N305" s="34"/>
      <c r="O305" s="34"/>
      <c r="P305" s="188"/>
      <c r="Q305" s="188"/>
      <c r="R305" s="34"/>
      <c r="S305" s="34"/>
      <c r="T305" s="304"/>
      <c r="U305" s="34"/>
      <c r="V305" s="34"/>
      <c r="W305" s="34"/>
      <c r="X305" s="34"/>
      <c r="Y305" s="105"/>
      <c r="Z305" s="105"/>
    </row>
    <row r="306" spans="1:26" ht="12.75">
      <c r="A306" s="309"/>
      <c r="B306" s="309"/>
      <c r="C306" s="34"/>
      <c r="D306" s="362"/>
      <c r="E306" s="34"/>
      <c r="F306" s="34"/>
      <c r="G306" s="35"/>
      <c r="H306" s="35"/>
      <c r="I306" s="34"/>
      <c r="J306" s="34"/>
      <c r="K306" s="65"/>
      <c r="L306" s="34"/>
      <c r="M306" s="34"/>
      <c r="N306" s="34"/>
      <c r="O306" s="34"/>
      <c r="P306" s="188"/>
      <c r="Q306" s="188"/>
      <c r="R306" s="34"/>
      <c r="S306" s="34"/>
      <c r="T306" s="304"/>
      <c r="U306" s="34"/>
      <c r="V306" s="34"/>
      <c r="W306" s="34"/>
      <c r="X306" s="34"/>
      <c r="Y306" s="105"/>
      <c r="Z306" s="105"/>
    </row>
    <row r="307" spans="1:26" ht="12.75">
      <c r="A307" s="309"/>
      <c r="B307" s="309"/>
      <c r="C307" s="34"/>
      <c r="D307" s="362"/>
      <c r="E307" s="34"/>
      <c r="F307" s="34"/>
      <c r="G307" s="35"/>
      <c r="H307" s="35"/>
      <c r="I307" s="34"/>
      <c r="J307" s="34"/>
      <c r="K307" s="65"/>
      <c r="L307" s="34"/>
      <c r="M307" s="34"/>
      <c r="N307" s="34"/>
      <c r="O307" s="34"/>
      <c r="P307" s="188"/>
      <c r="Q307" s="188"/>
      <c r="R307" s="34"/>
      <c r="S307" s="34"/>
      <c r="T307" s="304"/>
      <c r="U307" s="34"/>
      <c r="V307" s="34"/>
      <c r="W307" s="34"/>
      <c r="X307" s="34"/>
      <c r="Y307" s="105"/>
      <c r="Z307" s="105"/>
    </row>
    <row r="308" spans="1:26" ht="12.75">
      <c r="A308" s="309"/>
      <c r="B308" s="309"/>
      <c r="C308" s="34"/>
      <c r="D308" s="362"/>
      <c r="E308" s="34"/>
      <c r="F308" s="34"/>
      <c r="G308" s="35"/>
      <c r="H308" s="35"/>
      <c r="I308" s="34"/>
      <c r="J308" s="34"/>
      <c r="K308" s="65"/>
      <c r="L308" s="34"/>
      <c r="M308" s="34"/>
      <c r="N308" s="34"/>
      <c r="O308" s="34"/>
      <c r="P308" s="188"/>
      <c r="Q308" s="188"/>
      <c r="R308" s="34"/>
      <c r="S308" s="34"/>
      <c r="T308" s="304"/>
      <c r="U308" s="34"/>
      <c r="V308" s="34"/>
      <c r="W308" s="34"/>
      <c r="X308" s="34"/>
      <c r="Y308" s="105"/>
      <c r="Z308" s="105"/>
    </row>
    <row r="309" spans="1:26" ht="12.75">
      <c r="A309" s="309"/>
      <c r="B309" s="309"/>
      <c r="C309" s="34"/>
      <c r="D309" s="362"/>
      <c r="E309" s="34"/>
      <c r="F309" s="34"/>
      <c r="G309" s="35"/>
      <c r="H309" s="35"/>
      <c r="I309" s="34"/>
      <c r="J309" s="34"/>
      <c r="K309" s="65"/>
      <c r="L309" s="34"/>
      <c r="M309" s="34"/>
      <c r="N309" s="34"/>
      <c r="O309" s="34"/>
      <c r="P309" s="188"/>
      <c r="Q309" s="188"/>
      <c r="R309" s="34"/>
      <c r="S309" s="34"/>
      <c r="T309" s="304"/>
      <c r="U309" s="34"/>
      <c r="V309" s="34"/>
      <c r="W309" s="34"/>
      <c r="X309" s="34"/>
      <c r="Y309" s="105"/>
      <c r="Z309" s="105"/>
    </row>
    <row r="310" spans="1:26" ht="12.75">
      <c r="A310" s="309"/>
      <c r="B310" s="309"/>
      <c r="C310" s="34"/>
      <c r="D310" s="362"/>
      <c r="E310" s="34"/>
      <c r="F310" s="34"/>
      <c r="G310" s="35"/>
      <c r="H310" s="35"/>
      <c r="I310" s="34"/>
      <c r="J310" s="34"/>
      <c r="K310" s="65"/>
      <c r="L310" s="34"/>
      <c r="M310" s="34"/>
      <c r="N310" s="34"/>
      <c r="O310" s="34"/>
      <c r="P310" s="188"/>
      <c r="Q310" s="188"/>
      <c r="R310" s="34"/>
      <c r="S310" s="34"/>
      <c r="T310" s="304"/>
      <c r="U310" s="34"/>
      <c r="V310" s="34"/>
      <c r="W310" s="34"/>
      <c r="X310" s="34"/>
      <c r="Y310" s="105"/>
      <c r="Z310" s="105"/>
    </row>
    <row r="311" spans="1:26" ht="12.75">
      <c r="A311" s="309"/>
      <c r="B311" s="309"/>
      <c r="C311" s="34"/>
      <c r="D311" s="362"/>
      <c r="E311" s="34"/>
      <c r="F311" s="34"/>
      <c r="G311" s="35"/>
      <c r="H311" s="35"/>
      <c r="I311" s="34"/>
      <c r="J311" s="34"/>
      <c r="K311" s="65"/>
      <c r="L311" s="34"/>
      <c r="M311" s="34"/>
      <c r="N311" s="34"/>
      <c r="O311" s="34"/>
      <c r="P311" s="188"/>
      <c r="Q311" s="188"/>
      <c r="R311" s="34"/>
      <c r="S311" s="34"/>
      <c r="T311" s="304"/>
      <c r="U311" s="34"/>
      <c r="V311" s="34"/>
      <c r="W311" s="34"/>
      <c r="X311" s="34"/>
      <c r="Y311" s="105"/>
      <c r="Z311" s="105"/>
    </row>
    <row r="312" spans="1:26" ht="12.75">
      <c r="A312" s="309"/>
      <c r="B312" s="309"/>
      <c r="C312" s="34"/>
      <c r="D312" s="362"/>
      <c r="E312" s="34"/>
      <c r="F312" s="34"/>
      <c r="G312" s="35"/>
      <c r="H312" s="35"/>
      <c r="I312" s="34"/>
      <c r="J312" s="34"/>
      <c r="K312" s="65"/>
      <c r="L312" s="34"/>
      <c r="M312" s="34"/>
      <c r="N312" s="34"/>
      <c r="O312" s="34"/>
      <c r="P312" s="188"/>
      <c r="Q312" s="188"/>
      <c r="R312" s="34"/>
      <c r="S312" s="34"/>
      <c r="T312" s="304"/>
      <c r="U312" s="34"/>
      <c r="V312" s="34"/>
      <c r="W312" s="34"/>
      <c r="X312" s="34"/>
      <c r="Y312" s="105"/>
      <c r="Z312" s="105"/>
    </row>
    <row r="313" spans="1:26" ht="12.75">
      <c r="A313" s="309"/>
      <c r="B313" s="309"/>
      <c r="C313" s="34"/>
      <c r="D313" s="362"/>
      <c r="E313" s="34"/>
      <c r="F313" s="34"/>
      <c r="G313" s="35"/>
      <c r="H313" s="35"/>
      <c r="I313" s="34"/>
      <c r="J313" s="34"/>
      <c r="K313" s="65"/>
      <c r="L313" s="34"/>
      <c r="M313" s="34"/>
      <c r="N313" s="34"/>
      <c r="O313" s="34"/>
      <c r="P313" s="188"/>
      <c r="Q313" s="188"/>
      <c r="R313" s="34"/>
      <c r="S313" s="34"/>
      <c r="T313" s="304"/>
      <c r="U313" s="34"/>
      <c r="V313" s="34"/>
      <c r="W313" s="34"/>
      <c r="X313" s="34"/>
      <c r="Y313" s="105"/>
      <c r="Z313" s="105"/>
    </row>
    <row r="314" spans="1:26" ht="12.75">
      <c r="A314" s="309"/>
      <c r="B314" s="309"/>
      <c r="C314" s="34"/>
      <c r="D314" s="362"/>
      <c r="E314" s="34"/>
      <c r="F314" s="34"/>
      <c r="G314" s="35"/>
      <c r="H314" s="35"/>
      <c r="I314" s="34"/>
      <c r="J314" s="34"/>
      <c r="K314" s="65"/>
      <c r="L314" s="34"/>
      <c r="M314" s="34"/>
      <c r="N314" s="34"/>
      <c r="O314" s="34"/>
      <c r="P314" s="188"/>
      <c r="Q314" s="188"/>
      <c r="R314" s="34"/>
      <c r="S314" s="34"/>
      <c r="T314" s="304"/>
      <c r="U314" s="34"/>
      <c r="V314" s="34"/>
      <c r="W314" s="34"/>
      <c r="X314" s="34"/>
      <c r="Y314" s="105"/>
      <c r="Z314" s="105"/>
    </row>
    <row r="315" spans="1:26" ht="12.75">
      <c r="A315" s="309"/>
      <c r="B315" s="309"/>
      <c r="C315" s="34"/>
      <c r="D315" s="362"/>
      <c r="E315" s="34"/>
      <c r="F315" s="34"/>
      <c r="G315" s="35"/>
      <c r="H315" s="35"/>
      <c r="I315" s="34"/>
      <c r="J315" s="34"/>
      <c r="K315" s="65"/>
      <c r="L315" s="34"/>
      <c r="M315" s="34"/>
      <c r="N315" s="34"/>
      <c r="O315" s="34"/>
      <c r="P315" s="188"/>
      <c r="Q315" s="188"/>
      <c r="R315" s="34"/>
      <c r="S315" s="34"/>
      <c r="T315" s="304"/>
      <c r="U315" s="34"/>
      <c r="V315" s="34"/>
      <c r="W315" s="34"/>
      <c r="X315" s="34"/>
      <c r="Y315" s="105"/>
      <c r="Z315" s="105"/>
    </row>
    <row r="316" spans="1:26" ht="12.75">
      <c r="A316" s="309"/>
      <c r="B316" s="309"/>
      <c r="C316" s="34"/>
      <c r="D316" s="362"/>
      <c r="E316" s="34"/>
      <c r="F316" s="34"/>
      <c r="G316" s="35"/>
      <c r="H316" s="35"/>
      <c r="I316" s="34"/>
      <c r="J316" s="34"/>
      <c r="K316" s="65"/>
      <c r="L316" s="34"/>
      <c r="M316" s="34"/>
      <c r="N316" s="34"/>
      <c r="O316" s="34"/>
      <c r="P316" s="188"/>
      <c r="Q316" s="188"/>
      <c r="R316" s="34"/>
      <c r="S316" s="34"/>
      <c r="T316" s="304"/>
      <c r="U316" s="34"/>
      <c r="V316" s="34"/>
      <c r="W316" s="34"/>
      <c r="X316" s="34"/>
      <c r="Y316" s="105"/>
      <c r="Z316" s="105"/>
    </row>
    <row r="317" spans="1:26" ht="12.75">
      <c r="A317" s="309"/>
      <c r="B317" s="309"/>
      <c r="C317" s="34"/>
      <c r="D317" s="362"/>
      <c r="E317" s="34"/>
      <c r="F317" s="34"/>
      <c r="G317" s="35"/>
      <c r="H317" s="35"/>
      <c r="I317" s="34"/>
      <c r="J317" s="34"/>
      <c r="K317" s="65"/>
      <c r="L317" s="34"/>
      <c r="M317" s="34"/>
      <c r="N317" s="34"/>
      <c r="O317" s="34"/>
      <c r="P317" s="188"/>
      <c r="Q317" s="188"/>
      <c r="R317" s="34"/>
      <c r="S317" s="34"/>
      <c r="T317" s="304"/>
      <c r="U317" s="34"/>
      <c r="V317" s="34"/>
      <c r="W317" s="34"/>
      <c r="X317" s="34"/>
      <c r="Y317" s="105"/>
      <c r="Z317" s="105"/>
    </row>
    <row r="318" spans="1:26" ht="12.75">
      <c r="A318" s="309"/>
      <c r="B318" s="309"/>
      <c r="C318" s="34"/>
      <c r="D318" s="362"/>
      <c r="E318" s="34"/>
      <c r="F318" s="34"/>
      <c r="G318" s="35"/>
      <c r="H318" s="35"/>
      <c r="I318" s="34"/>
      <c r="J318" s="34"/>
      <c r="K318" s="65"/>
      <c r="L318" s="34"/>
      <c r="M318" s="34"/>
      <c r="N318" s="34"/>
      <c r="O318" s="34"/>
      <c r="P318" s="188"/>
      <c r="Q318" s="188"/>
      <c r="R318" s="34"/>
      <c r="S318" s="34"/>
      <c r="T318" s="304"/>
      <c r="U318" s="34"/>
      <c r="V318" s="34"/>
      <c r="W318" s="34"/>
      <c r="X318" s="34"/>
      <c r="Y318" s="105"/>
      <c r="Z318" s="105"/>
    </row>
    <row r="319" spans="1:26" ht="12.75">
      <c r="A319" s="309"/>
      <c r="B319" s="309"/>
      <c r="C319" s="34"/>
      <c r="D319" s="362"/>
      <c r="E319" s="34"/>
      <c r="F319" s="34"/>
      <c r="G319" s="35"/>
      <c r="H319" s="35"/>
      <c r="I319" s="34"/>
      <c r="J319" s="34"/>
      <c r="K319" s="65"/>
      <c r="L319" s="34"/>
      <c r="M319" s="34"/>
      <c r="N319" s="34"/>
      <c r="O319" s="34"/>
      <c r="P319" s="188"/>
      <c r="Q319" s="188"/>
      <c r="R319" s="34"/>
      <c r="S319" s="34"/>
      <c r="T319" s="304"/>
      <c r="U319" s="34"/>
      <c r="V319" s="34"/>
      <c r="W319" s="34"/>
      <c r="X319" s="34"/>
      <c r="Y319" s="105"/>
      <c r="Z319" s="105"/>
    </row>
    <row r="320" spans="1:26" ht="12.75">
      <c r="A320" s="309"/>
      <c r="B320" s="309"/>
      <c r="C320" s="34"/>
      <c r="D320" s="362"/>
      <c r="E320" s="34"/>
      <c r="F320" s="34"/>
      <c r="G320" s="35"/>
      <c r="H320" s="35"/>
      <c r="I320" s="34"/>
      <c r="J320" s="34"/>
      <c r="K320" s="65"/>
      <c r="L320" s="34"/>
      <c r="M320" s="34"/>
      <c r="N320" s="34"/>
      <c r="O320" s="34"/>
      <c r="P320" s="188"/>
      <c r="Q320" s="188"/>
      <c r="R320" s="34"/>
      <c r="S320" s="34"/>
      <c r="T320" s="304"/>
      <c r="U320" s="34"/>
      <c r="V320" s="34"/>
      <c r="W320" s="34"/>
      <c r="X320" s="34"/>
      <c r="Y320" s="105"/>
      <c r="Z320" s="105"/>
    </row>
    <row r="321" spans="1:26" ht="12.75">
      <c r="A321" s="309"/>
      <c r="B321" s="309"/>
      <c r="C321" s="34"/>
      <c r="D321" s="362"/>
      <c r="E321" s="34"/>
      <c r="F321" s="34"/>
      <c r="G321" s="35"/>
      <c r="H321" s="35"/>
      <c r="I321" s="34"/>
      <c r="J321" s="34"/>
      <c r="K321" s="65"/>
      <c r="L321" s="34"/>
      <c r="M321" s="34"/>
      <c r="N321" s="34"/>
      <c r="O321" s="34"/>
      <c r="P321" s="188"/>
      <c r="Q321" s="188"/>
      <c r="R321" s="34"/>
      <c r="S321" s="34"/>
      <c r="T321" s="304"/>
      <c r="U321" s="34"/>
      <c r="V321" s="34"/>
      <c r="W321" s="34"/>
      <c r="X321" s="34"/>
      <c r="Y321" s="105"/>
      <c r="Z321" s="105"/>
    </row>
    <row r="322" spans="1:26" ht="12.75">
      <c r="A322" s="309"/>
      <c r="B322" s="309"/>
      <c r="C322" s="34"/>
      <c r="D322" s="362"/>
      <c r="E322" s="34"/>
      <c r="F322" s="34"/>
      <c r="G322" s="35"/>
      <c r="H322" s="35"/>
      <c r="I322" s="34"/>
      <c r="J322" s="34"/>
      <c r="K322" s="65"/>
      <c r="L322" s="34"/>
      <c r="M322" s="34"/>
      <c r="N322" s="34"/>
      <c r="O322" s="34"/>
      <c r="P322" s="188"/>
      <c r="Q322" s="188"/>
      <c r="R322" s="34"/>
      <c r="S322" s="34"/>
      <c r="T322" s="304"/>
      <c r="U322" s="34"/>
      <c r="V322" s="34"/>
      <c r="W322" s="34"/>
      <c r="X322" s="34"/>
      <c r="Y322" s="105"/>
      <c r="Z322" s="105"/>
    </row>
    <row r="323" spans="1:26" ht="12.75">
      <c r="A323" s="309"/>
      <c r="B323" s="309"/>
      <c r="C323" s="34"/>
      <c r="D323" s="362"/>
      <c r="E323" s="34"/>
      <c r="F323" s="34"/>
      <c r="G323" s="35"/>
      <c r="H323" s="35"/>
      <c r="I323" s="34"/>
      <c r="J323" s="34"/>
      <c r="K323" s="65"/>
      <c r="L323" s="34"/>
      <c r="M323" s="34"/>
      <c r="N323" s="34"/>
      <c r="O323" s="34"/>
      <c r="P323" s="188"/>
      <c r="Q323" s="188"/>
      <c r="R323" s="34"/>
      <c r="S323" s="34"/>
      <c r="T323" s="304"/>
      <c r="U323" s="34"/>
      <c r="V323" s="34"/>
      <c r="W323" s="34"/>
      <c r="X323" s="34"/>
      <c r="Y323" s="105"/>
      <c r="Z323" s="105"/>
    </row>
    <row r="324" spans="1:26" ht="12.75">
      <c r="A324" s="309"/>
      <c r="B324" s="309"/>
      <c r="C324" s="34"/>
      <c r="D324" s="362"/>
      <c r="E324" s="34"/>
      <c r="F324" s="34"/>
      <c r="G324" s="35"/>
      <c r="H324" s="35"/>
      <c r="I324" s="34"/>
      <c r="J324" s="34"/>
      <c r="K324" s="65"/>
      <c r="L324" s="34"/>
      <c r="M324" s="34"/>
      <c r="N324" s="34"/>
      <c r="O324" s="34"/>
      <c r="P324" s="188"/>
      <c r="Q324" s="188"/>
      <c r="R324" s="34"/>
      <c r="S324" s="34"/>
      <c r="T324" s="304"/>
      <c r="U324" s="34"/>
      <c r="V324" s="34"/>
      <c r="W324" s="34"/>
      <c r="X324" s="34"/>
      <c r="Y324" s="105"/>
      <c r="Z324" s="105"/>
    </row>
    <row r="325" spans="1:26" ht="12.75">
      <c r="A325" s="309"/>
      <c r="B325" s="309"/>
      <c r="C325" s="34"/>
      <c r="D325" s="362"/>
      <c r="E325" s="34"/>
      <c r="F325" s="34"/>
      <c r="G325" s="35"/>
      <c r="H325" s="35"/>
      <c r="I325" s="34"/>
      <c r="J325" s="34"/>
      <c r="K325" s="65"/>
      <c r="L325" s="34"/>
      <c r="M325" s="34"/>
      <c r="N325" s="34"/>
      <c r="O325" s="34"/>
      <c r="P325" s="188"/>
      <c r="Q325" s="188"/>
      <c r="R325" s="34"/>
      <c r="S325" s="34"/>
      <c r="T325" s="304"/>
      <c r="U325" s="34"/>
      <c r="V325" s="34"/>
      <c r="W325" s="34"/>
      <c r="X325" s="34"/>
      <c r="Y325" s="105"/>
      <c r="Z325" s="105"/>
    </row>
    <row r="326" spans="1:26" ht="12.75">
      <c r="A326" s="309"/>
      <c r="B326" s="309"/>
      <c r="C326" s="34"/>
      <c r="D326" s="362"/>
      <c r="E326" s="34"/>
      <c r="F326" s="34"/>
      <c r="G326" s="35"/>
      <c r="H326" s="35"/>
      <c r="I326" s="34"/>
      <c r="J326" s="34"/>
      <c r="K326" s="65"/>
      <c r="L326" s="34"/>
      <c r="M326" s="34"/>
      <c r="N326" s="34"/>
      <c r="O326" s="34"/>
      <c r="P326" s="188"/>
      <c r="Q326" s="188"/>
      <c r="R326" s="34"/>
      <c r="S326" s="34"/>
      <c r="T326" s="304"/>
      <c r="U326" s="34"/>
      <c r="V326" s="34"/>
      <c r="W326" s="34"/>
      <c r="X326" s="34"/>
      <c r="Y326" s="105"/>
      <c r="Z326" s="105"/>
    </row>
    <row r="327" spans="1:26" ht="12.75">
      <c r="A327" s="309"/>
      <c r="B327" s="309"/>
      <c r="C327" s="34"/>
      <c r="D327" s="362"/>
      <c r="E327" s="34"/>
      <c r="F327" s="34"/>
      <c r="G327" s="35"/>
      <c r="H327" s="35"/>
      <c r="I327" s="34"/>
      <c r="J327" s="34"/>
      <c r="K327" s="65"/>
      <c r="L327" s="34"/>
      <c r="M327" s="34"/>
      <c r="N327" s="34"/>
      <c r="O327" s="34"/>
      <c r="P327" s="188"/>
      <c r="Q327" s="188"/>
      <c r="R327" s="34"/>
      <c r="S327" s="34"/>
      <c r="T327" s="304"/>
      <c r="U327" s="34"/>
      <c r="V327" s="34"/>
      <c r="W327" s="34"/>
      <c r="X327" s="34"/>
      <c r="Y327" s="105"/>
      <c r="Z327" s="105"/>
    </row>
    <row r="328" spans="1:26" ht="12.75">
      <c r="A328" s="309"/>
      <c r="B328" s="309"/>
      <c r="C328" s="34"/>
      <c r="D328" s="362"/>
      <c r="E328" s="34"/>
      <c r="F328" s="34"/>
      <c r="G328" s="35"/>
      <c r="H328" s="35"/>
      <c r="I328" s="34"/>
      <c r="J328" s="34"/>
      <c r="K328" s="65"/>
      <c r="L328" s="34"/>
      <c r="M328" s="34"/>
      <c r="N328" s="34"/>
      <c r="O328" s="34"/>
      <c r="P328" s="188"/>
      <c r="Q328" s="188"/>
      <c r="R328" s="34"/>
      <c r="S328" s="34"/>
      <c r="T328" s="304"/>
      <c r="U328" s="34"/>
      <c r="V328" s="34"/>
      <c r="W328" s="34"/>
      <c r="X328" s="34"/>
      <c r="Y328" s="105"/>
      <c r="Z328" s="105"/>
    </row>
    <row r="329" spans="1:26" ht="12.75">
      <c r="A329" s="309"/>
      <c r="B329" s="309"/>
      <c r="C329" s="34"/>
      <c r="D329" s="362"/>
      <c r="E329" s="34"/>
      <c r="F329" s="34"/>
      <c r="G329" s="35"/>
      <c r="H329" s="35"/>
      <c r="I329" s="34"/>
      <c r="J329" s="34"/>
      <c r="K329" s="65"/>
      <c r="L329" s="34"/>
      <c r="M329" s="34"/>
      <c r="N329" s="34"/>
      <c r="O329" s="34"/>
      <c r="P329" s="188"/>
      <c r="Q329" s="188"/>
      <c r="R329" s="34"/>
      <c r="S329" s="34"/>
      <c r="T329" s="304"/>
      <c r="U329" s="34"/>
      <c r="V329" s="34"/>
      <c r="W329" s="34"/>
      <c r="X329" s="34"/>
      <c r="Y329" s="105"/>
      <c r="Z329" s="105"/>
    </row>
    <row r="330" spans="1:26" ht="12.75">
      <c r="A330" s="309"/>
      <c r="B330" s="309"/>
      <c r="C330" s="34"/>
      <c r="D330" s="362"/>
      <c r="E330" s="34"/>
      <c r="F330" s="34"/>
      <c r="G330" s="35"/>
      <c r="H330" s="35"/>
      <c r="I330" s="34"/>
      <c r="J330" s="34"/>
      <c r="K330" s="65"/>
      <c r="L330" s="34"/>
      <c r="M330" s="34"/>
      <c r="N330" s="34"/>
      <c r="O330" s="34"/>
      <c r="P330" s="188"/>
      <c r="Q330" s="188"/>
      <c r="R330" s="34"/>
      <c r="S330" s="34"/>
      <c r="T330" s="304"/>
      <c r="U330" s="34"/>
      <c r="V330" s="34"/>
      <c r="W330" s="34"/>
      <c r="X330" s="34"/>
      <c r="Y330" s="105"/>
      <c r="Z330" s="105"/>
    </row>
    <row r="331" spans="1:26" ht="12.75">
      <c r="A331" s="309"/>
      <c r="B331" s="309"/>
      <c r="C331" s="34"/>
      <c r="D331" s="362"/>
      <c r="E331" s="34"/>
      <c r="F331" s="34"/>
      <c r="G331" s="35"/>
      <c r="H331" s="35"/>
      <c r="I331" s="34"/>
      <c r="J331" s="34"/>
      <c r="K331" s="65"/>
      <c r="L331" s="34"/>
      <c r="M331" s="34"/>
      <c r="N331" s="34"/>
      <c r="O331" s="34"/>
      <c r="P331" s="188"/>
      <c r="Q331" s="188"/>
      <c r="R331" s="34"/>
      <c r="S331" s="34"/>
      <c r="T331" s="304"/>
      <c r="U331" s="34"/>
      <c r="V331" s="34"/>
      <c r="W331" s="34"/>
      <c r="X331" s="34"/>
      <c r="Y331" s="105"/>
      <c r="Z331" s="105"/>
    </row>
    <row r="332" spans="1:26" ht="12.75">
      <c r="A332" s="309"/>
      <c r="B332" s="309"/>
      <c r="C332" s="34"/>
      <c r="D332" s="362"/>
      <c r="E332" s="34"/>
      <c r="F332" s="34"/>
      <c r="G332" s="35"/>
      <c r="H332" s="35"/>
      <c r="I332" s="34"/>
      <c r="J332" s="34"/>
      <c r="K332" s="65"/>
      <c r="L332" s="34"/>
      <c r="M332" s="34"/>
      <c r="N332" s="34"/>
      <c r="O332" s="34"/>
      <c r="P332" s="188"/>
      <c r="Q332" s="188"/>
      <c r="R332" s="34"/>
      <c r="S332" s="34"/>
      <c r="T332" s="304"/>
      <c r="U332" s="34"/>
      <c r="V332" s="34"/>
      <c r="W332" s="34"/>
      <c r="X332" s="34"/>
      <c r="Y332" s="105"/>
      <c r="Z332" s="105"/>
    </row>
    <row r="333" spans="1:26" ht="12.75">
      <c r="A333" s="309"/>
      <c r="B333" s="309"/>
      <c r="C333" s="34"/>
      <c r="D333" s="362"/>
      <c r="E333" s="34"/>
      <c r="F333" s="34"/>
      <c r="G333" s="35"/>
      <c r="H333" s="35"/>
      <c r="I333" s="34"/>
      <c r="J333" s="34"/>
      <c r="K333" s="65"/>
      <c r="L333" s="34"/>
      <c r="M333" s="34"/>
      <c r="N333" s="34"/>
      <c r="O333" s="34"/>
      <c r="P333" s="188"/>
      <c r="Q333" s="188"/>
      <c r="R333" s="34"/>
      <c r="S333" s="34"/>
      <c r="T333" s="304"/>
      <c r="U333" s="34"/>
      <c r="V333" s="34"/>
      <c r="W333" s="34"/>
      <c r="X333" s="34"/>
      <c r="Y333" s="105"/>
      <c r="Z333" s="105"/>
    </row>
    <row r="334" spans="1:26" ht="12.75">
      <c r="A334" s="309"/>
      <c r="B334" s="309"/>
      <c r="C334" s="34"/>
      <c r="D334" s="362"/>
      <c r="E334" s="34"/>
      <c r="F334" s="34"/>
      <c r="G334" s="35"/>
      <c r="H334" s="35"/>
      <c r="I334" s="34"/>
      <c r="J334" s="34"/>
      <c r="K334" s="65"/>
      <c r="L334" s="34"/>
      <c r="M334" s="34"/>
      <c r="N334" s="34"/>
      <c r="O334" s="34"/>
      <c r="P334" s="188"/>
      <c r="Q334" s="188"/>
      <c r="R334" s="34"/>
      <c r="S334" s="34"/>
      <c r="T334" s="304"/>
      <c r="U334" s="34"/>
      <c r="V334" s="34"/>
      <c r="W334" s="34"/>
      <c r="X334" s="34"/>
      <c r="Y334" s="105"/>
      <c r="Z334" s="105"/>
    </row>
    <row r="335" spans="1:26" ht="12.75">
      <c r="A335" s="309"/>
      <c r="B335" s="309"/>
      <c r="C335" s="34"/>
      <c r="D335" s="362"/>
      <c r="E335" s="34"/>
      <c r="F335" s="34"/>
      <c r="G335" s="35"/>
      <c r="H335" s="35"/>
      <c r="I335" s="34"/>
      <c r="J335" s="34"/>
      <c r="K335" s="65"/>
      <c r="L335" s="34"/>
      <c r="M335" s="34"/>
      <c r="N335" s="34"/>
      <c r="O335" s="34"/>
      <c r="P335" s="188"/>
      <c r="Q335" s="188"/>
      <c r="R335" s="34"/>
      <c r="S335" s="34"/>
      <c r="T335" s="304"/>
      <c r="U335" s="34"/>
      <c r="V335" s="34"/>
      <c r="W335" s="34"/>
      <c r="X335" s="34"/>
      <c r="Y335" s="105"/>
      <c r="Z335" s="105"/>
    </row>
    <row r="336" spans="1:26" ht="12.75">
      <c r="A336" s="309"/>
      <c r="B336" s="309"/>
      <c r="C336" s="34"/>
      <c r="D336" s="362"/>
      <c r="E336" s="34"/>
      <c r="F336" s="34"/>
      <c r="G336" s="35"/>
      <c r="H336" s="35"/>
      <c r="I336" s="34"/>
      <c r="J336" s="34"/>
      <c r="K336" s="65"/>
      <c r="L336" s="34"/>
      <c r="M336" s="34"/>
      <c r="N336" s="34"/>
      <c r="O336" s="34"/>
      <c r="P336" s="188"/>
      <c r="Q336" s="188"/>
      <c r="R336" s="34"/>
      <c r="S336" s="34"/>
      <c r="T336" s="304"/>
      <c r="U336" s="34"/>
      <c r="V336" s="34"/>
      <c r="W336" s="34"/>
      <c r="X336" s="34"/>
      <c r="Y336" s="105"/>
      <c r="Z336" s="105"/>
    </row>
    <row r="337" spans="1:26" ht="12.75">
      <c r="A337" s="309"/>
      <c r="B337" s="309"/>
      <c r="C337" s="34"/>
      <c r="D337" s="362"/>
      <c r="E337" s="34"/>
      <c r="F337" s="34"/>
      <c r="G337" s="35"/>
      <c r="H337" s="35"/>
      <c r="I337" s="34"/>
      <c r="J337" s="34"/>
      <c r="K337" s="65"/>
      <c r="L337" s="34"/>
      <c r="M337" s="34"/>
      <c r="N337" s="34"/>
      <c r="O337" s="34"/>
      <c r="P337" s="188"/>
      <c r="Q337" s="188"/>
      <c r="R337" s="34"/>
      <c r="S337" s="34"/>
      <c r="T337" s="304"/>
      <c r="U337" s="34"/>
      <c r="V337" s="34"/>
      <c r="W337" s="34"/>
      <c r="X337" s="34"/>
      <c r="Y337" s="105"/>
      <c r="Z337" s="105"/>
    </row>
    <row r="338" spans="1:26" ht="12.75">
      <c r="A338" s="309"/>
      <c r="B338" s="309"/>
      <c r="C338" s="34"/>
      <c r="D338" s="362"/>
      <c r="E338" s="34"/>
      <c r="F338" s="34"/>
      <c r="G338" s="35"/>
      <c r="H338" s="35"/>
      <c r="I338" s="34"/>
      <c r="J338" s="34"/>
      <c r="K338" s="65"/>
      <c r="L338" s="34"/>
      <c r="M338" s="34"/>
      <c r="N338" s="34"/>
      <c r="O338" s="34"/>
      <c r="P338" s="188"/>
      <c r="Q338" s="188"/>
      <c r="R338" s="34"/>
      <c r="S338" s="34"/>
      <c r="T338" s="304"/>
      <c r="U338" s="34"/>
      <c r="V338" s="34"/>
      <c r="W338" s="34"/>
      <c r="X338" s="34"/>
      <c r="Y338" s="105"/>
      <c r="Z338" s="105"/>
    </row>
    <row r="339" spans="1:26" ht="12.75">
      <c r="A339" s="309"/>
      <c r="B339" s="309"/>
      <c r="C339" s="34"/>
      <c r="D339" s="362"/>
      <c r="E339" s="34"/>
      <c r="F339" s="34"/>
      <c r="G339" s="35"/>
      <c r="H339" s="35"/>
      <c r="I339" s="34"/>
      <c r="J339" s="34"/>
      <c r="K339" s="65"/>
      <c r="L339" s="34"/>
      <c r="M339" s="34"/>
      <c r="N339" s="34"/>
      <c r="O339" s="34"/>
      <c r="P339" s="188"/>
      <c r="Q339" s="188"/>
      <c r="R339" s="34"/>
      <c r="S339" s="34"/>
      <c r="T339" s="304"/>
      <c r="U339" s="34"/>
      <c r="V339" s="34"/>
      <c r="W339" s="34"/>
      <c r="X339" s="34"/>
      <c r="Y339" s="105"/>
      <c r="Z339" s="105"/>
    </row>
    <row r="340" spans="1:26" ht="12.75">
      <c r="A340" s="309"/>
      <c r="B340" s="309"/>
      <c r="C340" s="34"/>
      <c r="D340" s="362"/>
      <c r="E340" s="34"/>
      <c r="F340" s="34"/>
      <c r="G340" s="35"/>
      <c r="H340" s="35"/>
      <c r="I340" s="34"/>
      <c r="J340" s="34"/>
      <c r="K340" s="65"/>
      <c r="L340" s="34"/>
      <c r="M340" s="34"/>
      <c r="N340" s="34"/>
      <c r="O340" s="34"/>
      <c r="P340" s="188"/>
      <c r="Q340" s="188"/>
      <c r="R340" s="34"/>
      <c r="S340" s="34"/>
      <c r="T340" s="304"/>
      <c r="U340" s="34"/>
      <c r="V340" s="34"/>
      <c r="W340" s="34"/>
      <c r="X340" s="34"/>
      <c r="Y340" s="105"/>
      <c r="Z340" s="105"/>
    </row>
    <row r="341" spans="1:26" ht="12.75">
      <c r="A341" s="309"/>
      <c r="B341" s="309"/>
      <c r="C341" s="34"/>
      <c r="D341" s="362"/>
      <c r="E341" s="34"/>
      <c r="F341" s="34"/>
      <c r="G341" s="35"/>
      <c r="H341" s="35"/>
      <c r="I341" s="34"/>
      <c r="J341" s="34"/>
      <c r="K341" s="65"/>
      <c r="L341" s="34"/>
      <c r="M341" s="34"/>
      <c r="N341" s="34"/>
      <c r="O341" s="34"/>
      <c r="P341" s="188"/>
      <c r="Q341" s="188"/>
      <c r="R341" s="34"/>
      <c r="S341" s="34"/>
      <c r="T341" s="304"/>
      <c r="U341" s="34"/>
      <c r="V341" s="34"/>
      <c r="W341" s="34"/>
      <c r="X341" s="34"/>
      <c r="Y341" s="105"/>
      <c r="Z341" s="105"/>
    </row>
    <row r="342" spans="1:26" ht="12.75">
      <c r="A342" s="309"/>
      <c r="B342" s="309"/>
      <c r="C342" s="34"/>
      <c r="D342" s="362"/>
      <c r="E342" s="34"/>
      <c r="F342" s="34"/>
      <c r="G342" s="35"/>
      <c r="H342" s="35"/>
      <c r="I342" s="34"/>
      <c r="J342" s="34"/>
      <c r="K342" s="65"/>
      <c r="L342" s="34"/>
      <c r="M342" s="34"/>
      <c r="N342" s="34"/>
      <c r="O342" s="34"/>
      <c r="P342" s="188"/>
      <c r="Q342" s="188"/>
      <c r="R342" s="34"/>
      <c r="S342" s="34"/>
      <c r="T342" s="304"/>
      <c r="U342" s="34"/>
      <c r="V342" s="34"/>
      <c r="W342" s="34"/>
      <c r="X342" s="34"/>
      <c r="Y342" s="105"/>
      <c r="Z342" s="105"/>
    </row>
    <row r="343" spans="1:26" ht="12.75">
      <c r="A343" s="309"/>
      <c r="B343" s="309"/>
      <c r="C343" s="34"/>
      <c r="D343" s="362"/>
      <c r="E343" s="34"/>
      <c r="F343" s="34"/>
      <c r="G343" s="35"/>
      <c r="H343" s="35"/>
      <c r="I343" s="34"/>
      <c r="J343" s="34"/>
      <c r="K343" s="65"/>
      <c r="L343" s="34"/>
      <c r="M343" s="34"/>
      <c r="N343" s="34"/>
      <c r="O343" s="34"/>
      <c r="P343" s="188"/>
      <c r="Q343" s="188"/>
      <c r="R343" s="34"/>
      <c r="S343" s="34"/>
      <c r="T343" s="304"/>
      <c r="U343" s="34"/>
      <c r="V343" s="34"/>
      <c r="W343" s="34"/>
      <c r="X343" s="34"/>
      <c r="Y343" s="105"/>
      <c r="Z343" s="105"/>
    </row>
    <row r="344" spans="1:26" ht="12.75">
      <c r="A344" s="309"/>
      <c r="B344" s="309"/>
      <c r="C344" s="34"/>
      <c r="D344" s="362"/>
      <c r="E344" s="34"/>
      <c r="F344" s="34"/>
      <c r="G344" s="35"/>
      <c r="H344" s="35"/>
      <c r="I344" s="34"/>
      <c r="J344" s="34"/>
      <c r="K344" s="65"/>
      <c r="L344" s="34"/>
      <c r="M344" s="34"/>
      <c r="N344" s="34"/>
      <c r="O344" s="34"/>
      <c r="P344" s="188"/>
      <c r="Q344" s="188"/>
      <c r="R344" s="34"/>
      <c r="S344" s="34"/>
      <c r="T344" s="304"/>
      <c r="U344" s="34"/>
      <c r="V344" s="34"/>
      <c r="W344" s="34"/>
      <c r="X344" s="34"/>
      <c r="Y344" s="105"/>
      <c r="Z344" s="105"/>
    </row>
    <row r="345" spans="1:26" ht="12.75">
      <c r="A345" s="309"/>
      <c r="B345" s="309"/>
      <c r="C345" s="34"/>
      <c r="D345" s="362"/>
      <c r="E345" s="34"/>
      <c r="F345" s="34"/>
      <c r="G345" s="35"/>
      <c r="H345" s="35"/>
      <c r="I345" s="34"/>
      <c r="J345" s="34"/>
      <c r="K345" s="65"/>
      <c r="L345" s="34"/>
      <c r="M345" s="34"/>
      <c r="N345" s="34"/>
      <c r="O345" s="34"/>
      <c r="P345" s="188"/>
      <c r="Q345" s="188"/>
      <c r="R345" s="34"/>
      <c r="S345" s="34"/>
      <c r="T345" s="304"/>
      <c r="U345" s="34"/>
      <c r="V345" s="34"/>
      <c r="W345" s="34"/>
      <c r="X345" s="34"/>
      <c r="Y345" s="105"/>
      <c r="Z345" s="105"/>
    </row>
    <row r="346" spans="1:26" ht="12.75">
      <c r="A346" s="309"/>
      <c r="B346" s="309"/>
      <c r="C346" s="34"/>
      <c r="D346" s="362"/>
      <c r="E346" s="34"/>
      <c r="F346" s="34"/>
      <c r="G346" s="35"/>
      <c r="H346" s="35"/>
      <c r="I346" s="34"/>
      <c r="J346" s="34"/>
      <c r="K346" s="65"/>
      <c r="L346" s="34"/>
      <c r="M346" s="34"/>
      <c r="N346" s="34"/>
      <c r="O346" s="34"/>
      <c r="P346" s="188"/>
      <c r="Q346" s="188"/>
      <c r="R346" s="34"/>
      <c r="S346" s="34"/>
      <c r="T346" s="304"/>
      <c r="U346" s="34"/>
      <c r="V346" s="34"/>
      <c r="W346" s="34"/>
      <c r="X346" s="34"/>
      <c r="Y346" s="105"/>
      <c r="Z346" s="105"/>
    </row>
    <row r="347" spans="1:26" ht="12.75">
      <c r="A347" s="309"/>
      <c r="B347" s="309"/>
      <c r="C347" s="34"/>
      <c r="D347" s="362"/>
      <c r="E347" s="34"/>
      <c r="F347" s="34"/>
      <c r="G347" s="35"/>
      <c r="H347" s="35"/>
      <c r="I347" s="34"/>
      <c r="J347" s="34"/>
      <c r="K347" s="65"/>
      <c r="L347" s="34"/>
      <c r="M347" s="34"/>
      <c r="N347" s="34"/>
      <c r="O347" s="34"/>
      <c r="P347" s="188"/>
      <c r="Q347" s="188"/>
      <c r="R347" s="34"/>
      <c r="S347" s="34"/>
      <c r="T347" s="304"/>
      <c r="U347" s="34"/>
      <c r="V347" s="34"/>
      <c r="W347" s="34"/>
      <c r="X347" s="34"/>
      <c r="Y347" s="105"/>
      <c r="Z347" s="105"/>
    </row>
    <row r="348" spans="1:26" ht="12.75">
      <c r="A348" s="309"/>
      <c r="B348" s="309"/>
      <c r="C348" s="34"/>
      <c r="D348" s="362"/>
      <c r="E348" s="34"/>
      <c r="F348" s="34"/>
      <c r="G348" s="35"/>
      <c r="H348" s="35"/>
      <c r="I348" s="34"/>
      <c r="J348" s="34"/>
      <c r="K348" s="65"/>
      <c r="L348" s="34"/>
      <c r="M348" s="34"/>
      <c r="N348" s="34"/>
      <c r="O348" s="34"/>
      <c r="P348" s="188"/>
      <c r="Q348" s="188"/>
      <c r="R348" s="34"/>
      <c r="S348" s="34"/>
      <c r="T348" s="304"/>
      <c r="U348" s="34"/>
      <c r="V348" s="34"/>
      <c r="W348" s="34"/>
      <c r="X348" s="34"/>
      <c r="Y348" s="105"/>
      <c r="Z348" s="105"/>
    </row>
    <row r="349" spans="1:26" ht="12.75">
      <c r="A349" s="309"/>
      <c r="B349" s="309"/>
      <c r="C349" s="34"/>
      <c r="D349" s="362"/>
      <c r="E349" s="34"/>
      <c r="F349" s="34"/>
      <c r="G349" s="35"/>
      <c r="H349" s="35"/>
      <c r="I349" s="34"/>
      <c r="J349" s="34"/>
      <c r="K349" s="65"/>
      <c r="L349" s="34"/>
      <c r="M349" s="34"/>
      <c r="N349" s="34"/>
      <c r="O349" s="34"/>
      <c r="P349" s="188"/>
      <c r="Q349" s="188"/>
      <c r="R349" s="34"/>
      <c r="S349" s="34"/>
      <c r="T349" s="304"/>
      <c r="U349" s="34"/>
      <c r="V349" s="34"/>
      <c r="W349" s="34"/>
      <c r="X349" s="34"/>
      <c r="Y349" s="105"/>
      <c r="Z349" s="105"/>
    </row>
    <row r="350" spans="1:26" ht="12.75">
      <c r="A350" s="309"/>
      <c r="B350" s="309"/>
      <c r="C350" s="34"/>
      <c r="D350" s="362"/>
      <c r="E350" s="34"/>
      <c r="F350" s="34"/>
      <c r="G350" s="35"/>
      <c r="H350" s="35"/>
      <c r="I350" s="34"/>
      <c r="J350" s="34"/>
      <c r="K350" s="65"/>
      <c r="L350" s="34"/>
      <c r="M350" s="34"/>
      <c r="N350" s="34"/>
      <c r="O350" s="34"/>
      <c r="P350" s="188"/>
      <c r="Q350" s="188"/>
      <c r="R350" s="34"/>
      <c r="S350" s="34"/>
      <c r="T350" s="304"/>
      <c r="U350" s="34"/>
      <c r="V350" s="34"/>
      <c r="W350" s="34"/>
      <c r="X350" s="34"/>
      <c r="Y350" s="105"/>
      <c r="Z350" s="105"/>
    </row>
    <row r="351" spans="1:26" ht="12.75">
      <c r="A351" s="309"/>
      <c r="B351" s="309"/>
      <c r="C351" s="34"/>
      <c r="D351" s="362"/>
      <c r="E351" s="34"/>
      <c r="F351" s="34"/>
      <c r="G351" s="35"/>
      <c r="H351" s="35"/>
      <c r="I351" s="34"/>
      <c r="J351" s="34"/>
      <c r="K351" s="65"/>
      <c r="L351" s="34"/>
      <c r="M351" s="34"/>
      <c r="N351" s="34"/>
      <c r="O351" s="34"/>
      <c r="P351" s="188"/>
      <c r="Q351" s="188"/>
      <c r="R351" s="34"/>
      <c r="S351" s="34"/>
      <c r="T351" s="304"/>
      <c r="U351" s="34"/>
      <c r="V351" s="34"/>
      <c r="W351" s="34"/>
      <c r="X351" s="34"/>
      <c r="Y351" s="105"/>
      <c r="Z351" s="105"/>
    </row>
    <row r="352" spans="1:26" ht="12.75">
      <c r="A352" s="309"/>
      <c r="B352" s="309"/>
      <c r="C352" s="34"/>
      <c r="D352" s="362"/>
      <c r="E352" s="34"/>
      <c r="F352" s="34"/>
      <c r="G352" s="35"/>
      <c r="H352" s="35"/>
      <c r="I352" s="34"/>
      <c r="J352" s="34"/>
      <c r="K352" s="65"/>
      <c r="L352" s="34"/>
      <c r="M352" s="34"/>
      <c r="N352" s="34"/>
      <c r="O352" s="34"/>
      <c r="P352" s="188"/>
      <c r="Q352" s="188"/>
      <c r="R352" s="34"/>
      <c r="S352" s="34"/>
      <c r="T352" s="304"/>
      <c r="U352" s="34"/>
      <c r="V352" s="34"/>
      <c r="W352" s="34"/>
      <c r="X352" s="34"/>
      <c r="Y352" s="105"/>
      <c r="Z352" s="105"/>
    </row>
    <row r="353" spans="1:26" ht="12.75">
      <c r="A353" s="309"/>
      <c r="B353" s="309"/>
      <c r="C353" s="34"/>
      <c r="D353" s="362"/>
      <c r="E353" s="34"/>
      <c r="F353" s="34"/>
      <c r="G353" s="35"/>
      <c r="H353" s="35"/>
      <c r="I353" s="34"/>
      <c r="J353" s="34"/>
      <c r="K353" s="65"/>
      <c r="L353" s="34"/>
      <c r="M353" s="34"/>
      <c r="N353" s="34"/>
      <c r="O353" s="34"/>
      <c r="P353" s="188"/>
      <c r="Q353" s="188"/>
      <c r="R353" s="34"/>
      <c r="S353" s="34"/>
      <c r="T353" s="304"/>
      <c r="U353" s="34"/>
      <c r="V353" s="34"/>
      <c r="W353" s="34"/>
      <c r="X353" s="34"/>
      <c r="Y353" s="105"/>
      <c r="Z353" s="105"/>
    </row>
    <row r="354" spans="1:26" ht="12.75">
      <c r="A354" s="309"/>
      <c r="B354" s="309"/>
      <c r="C354" s="34"/>
      <c r="D354" s="362"/>
      <c r="E354" s="34"/>
      <c r="F354" s="34"/>
      <c r="G354" s="35"/>
      <c r="H354" s="35"/>
      <c r="I354" s="34"/>
      <c r="J354" s="34"/>
      <c r="K354" s="65"/>
      <c r="L354" s="34"/>
      <c r="M354" s="34"/>
      <c r="N354" s="34"/>
      <c r="O354" s="34"/>
      <c r="P354" s="188"/>
      <c r="Q354" s="188"/>
      <c r="R354" s="34"/>
      <c r="S354" s="34"/>
      <c r="T354" s="304"/>
      <c r="U354" s="34"/>
      <c r="V354" s="34"/>
      <c r="W354" s="34"/>
      <c r="X354" s="34"/>
      <c r="Y354" s="105"/>
      <c r="Z354" s="105"/>
    </row>
    <row r="355" spans="1:26" ht="12.75">
      <c r="A355" s="309"/>
      <c r="B355" s="309"/>
      <c r="C355" s="34"/>
      <c r="D355" s="362"/>
      <c r="E355" s="34"/>
      <c r="F355" s="34"/>
      <c r="G355" s="35"/>
      <c r="H355" s="35"/>
      <c r="I355" s="34"/>
      <c r="J355" s="34"/>
      <c r="K355" s="65"/>
      <c r="L355" s="34"/>
      <c r="M355" s="34"/>
      <c r="N355" s="34"/>
      <c r="O355" s="34"/>
      <c r="P355" s="188"/>
      <c r="Q355" s="188"/>
      <c r="R355" s="34"/>
      <c r="S355" s="34"/>
      <c r="T355" s="304"/>
      <c r="U355" s="34"/>
      <c r="V355" s="34"/>
      <c r="W355" s="34"/>
      <c r="X355" s="34"/>
      <c r="Y355" s="105"/>
      <c r="Z355" s="105"/>
    </row>
    <row r="356" spans="1:26" ht="12.75">
      <c r="A356" s="309"/>
      <c r="B356" s="309"/>
      <c r="C356" s="34"/>
      <c r="D356" s="362"/>
      <c r="E356" s="34"/>
      <c r="F356" s="34"/>
      <c r="G356" s="35"/>
      <c r="H356" s="35"/>
      <c r="I356" s="34"/>
      <c r="J356" s="34"/>
      <c r="K356" s="65"/>
      <c r="L356" s="34"/>
      <c r="M356" s="34"/>
      <c r="N356" s="34"/>
      <c r="O356" s="34"/>
      <c r="P356" s="188"/>
      <c r="Q356" s="188"/>
      <c r="R356" s="34"/>
      <c r="S356" s="34"/>
      <c r="T356" s="304"/>
      <c r="U356" s="34"/>
      <c r="V356" s="34"/>
      <c r="W356" s="34"/>
      <c r="X356" s="34"/>
      <c r="Y356" s="105"/>
      <c r="Z356" s="105"/>
    </row>
    <row r="357" spans="1:26" ht="12.75">
      <c r="A357" s="309"/>
      <c r="B357" s="309"/>
      <c r="C357" s="34"/>
      <c r="D357" s="362"/>
      <c r="E357" s="34"/>
      <c r="F357" s="34"/>
      <c r="G357" s="35"/>
      <c r="H357" s="35"/>
      <c r="I357" s="34"/>
      <c r="J357" s="34"/>
      <c r="K357" s="65"/>
      <c r="L357" s="34"/>
      <c r="M357" s="34"/>
      <c r="N357" s="34"/>
      <c r="O357" s="34"/>
      <c r="P357" s="188"/>
      <c r="Q357" s="188"/>
      <c r="R357" s="34"/>
      <c r="S357" s="34"/>
      <c r="T357" s="304"/>
      <c r="U357" s="34"/>
      <c r="V357" s="34"/>
      <c r="W357" s="34"/>
      <c r="X357" s="34"/>
      <c r="Y357" s="105"/>
      <c r="Z357" s="105"/>
    </row>
    <row r="358" spans="1:26" ht="12.75">
      <c r="A358" s="309"/>
      <c r="B358" s="309"/>
      <c r="C358" s="34"/>
      <c r="D358" s="362"/>
      <c r="E358" s="34"/>
      <c r="F358" s="34"/>
      <c r="G358" s="35"/>
      <c r="H358" s="35"/>
      <c r="I358" s="34"/>
      <c r="J358" s="34"/>
      <c r="K358" s="65"/>
      <c r="L358" s="34"/>
      <c r="M358" s="34"/>
      <c r="N358" s="34"/>
      <c r="O358" s="34"/>
      <c r="P358" s="188"/>
      <c r="Q358" s="188"/>
      <c r="R358" s="34"/>
      <c r="S358" s="34"/>
      <c r="T358" s="304"/>
      <c r="U358" s="34"/>
      <c r="V358" s="34"/>
      <c r="W358" s="34"/>
      <c r="X358" s="34"/>
      <c r="Y358" s="105"/>
      <c r="Z358" s="105"/>
    </row>
    <row r="359" spans="1:26" ht="12.75">
      <c r="A359" s="309"/>
      <c r="B359" s="309"/>
      <c r="C359" s="34"/>
      <c r="D359" s="362"/>
      <c r="E359" s="34"/>
      <c r="F359" s="34"/>
      <c r="G359" s="35"/>
      <c r="H359" s="35"/>
      <c r="I359" s="34"/>
      <c r="J359" s="34"/>
      <c r="K359" s="65"/>
      <c r="L359" s="34"/>
      <c r="M359" s="34"/>
      <c r="N359" s="34"/>
      <c r="O359" s="34"/>
      <c r="P359" s="188"/>
      <c r="Q359" s="188"/>
      <c r="R359" s="34"/>
      <c r="S359" s="34"/>
      <c r="T359" s="304"/>
      <c r="U359" s="34"/>
      <c r="V359" s="34"/>
      <c r="W359" s="34"/>
      <c r="X359" s="34"/>
      <c r="Y359" s="105"/>
      <c r="Z359" s="105"/>
    </row>
    <row r="360" spans="1:26" ht="12.75">
      <c r="A360" s="309"/>
      <c r="B360" s="309"/>
      <c r="C360" s="34"/>
      <c r="D360" s="362"/>
      <c r="E360" s="34"/>
      <c r="F360" s="34"/>
      <c r="G360" s="35"/>
      <c r="H360" s="35"/>
      <c r="I360" s="34"/>
      <c r="J360" s="34"/>
      <c r="K360" s="65"/>
      <c r="L360" s="34"/>
      <c r="M360" s="34"/>
      <c r="N360" s="34"/>
      <c r="O360" s="34"/>
      <c r="P360" s="188"/>
      <c r="Q360" s="188"/>
      <c r="R360" s="34"/>
      <c r="S360" s="34"/>
      <c r="T360" s="304"/>
      <c r="U360" s="34"/>
      <c r="V360" s="34"/>
      <c r="W360" s="34"/>
      <c r="X360" s="34"/>
      <c r="Y360" s="105"/>
      <c r="Z360" s="105"/>
    </row>
    <row r="361" spans="1:26" ht="12.75">
      <c r="A361" s="309"/>
      <c r="B361" s="309"/>
      <c r="C361" s="34"/>
      <c r="D361" s="362"/>
      <c r="E361" s="34"/>
      <c r="F361" s="34"/>
      <c r="G361" s="35"/>
      <c r="H361" s="35"/>
      <c r="I361" s="34"/>
      <c r="J361" s="34"/>
      <c r="K361" s="65"/>
      <c r="L361" s="34"/>
      <c r="M361" s="34"/>
      <c r="N361" s="34"/>
      <c r="O361" s="34"/>
      <c r="P361" s="188"/>
      <c r="Q361" s="188"/>
      <c r="R361" s="34"/>
      <c r="S361" s="34"/>
      <c r="T361" s="304"/>
      <c r="U361" s="34"/>
      <c r="V361" s="34"/>
      <c r="W361" s="34"/>
      <c r="X361" s="34"/>
      <c r="Y361" s="105"/>
      <c r="Z361" s="105"/>
    </row>
    <row r="362" spans="1:26" ht="12.75">
      <c r="A362" s="309"/>
      <c r="B362" s="309"/>
      <c r="C362" s="34"/>
      <c r="D362" s="362"/>
      <c r="E362" s="34"/>
      <c r="F362" s="34"/>
      <c r="G362" s="35"/>
      <c r="H362" s="35"/>
      <c r="I362" s="34"/>
      <c r="J362" s="34"/>
      <c r="K362" s="65"/>
      <c r="L362" s="34"/>
      <c r="M362" s="34"/>
      <c r="N362" s="34"/>
      <c r="O362" s="34"/>
      <c r="P362" s="188"/>
      <c r="Q362" s="188"/>
      <c r="R362" s="34"/>
      <c r="S362" s="34"/>
      <c r="T362" s="304"/>
      <c r="U362" s="34"/>
      <c r="V362" s="34"/>
      <c r="W362" s="34"/>
      <c r="X362" s="34"/>
      <c r="Y362" s="105"/>
      <c r="Z362" s="105"/>
    </row>
    <row r="363" spans="1:26" ht="12.75">
      <c r="A363" s="309"/>
      <c r="B363" s="309"/>
      <c r="C363" s="34"/>
      <c r="D363" s="362"/>
      <c r="E363" s="34"/>
      <c r="F363" s="34"/>
      <c r="G363" s="35"/>
      <c r="H363" s="35"/>
      <c r="I363" s="34"/>
      <c r="J363" s="34"/>
      <c r="K363" s="65"/>
      <c r="L363" s="34"/>
      <c r="M363" s="34"/>
      <c r="N363" s="34"/>
      <c r="O363" s="34"/>
      <c r="P363" s="188"/>
      <c r="Q363" s="188"/>
      <c r="R363" s="34"/>
      <c r="S363" s="34"/>
      <c r="T363" s="304"/>
      <c r="U363" s="34"/>
      <c r="V363" s="34"/>
      <c r="W363" s="34"/>
      <c r="X363" s="34"/>
      <c r="Y363" s="105"/>
      <c r="Z363" s="105"/>
    </row>
    <row r="364" spans="1:26" ht="12.75">
      <c r="A364" s="309"/>
      <c r="B364" s="309"/>
      <c r="C364" s="34"/>
      <c r="D364" s="362"/>
      <c r="E364" s="34"/>
      <c r="F364" s="34"/>
      <c r="G364" s="35"/>
      <c r="H364" s="35"/>
      <c r="I364" s="34"/>
      <c r="J364" s="34"/>
      <c r="K364" s="65"/>
      <c r="L364" s="34"/>
      <c r="M364" s="34"/>
      <c r="N364" s="34"/>
      <c r="O364" s="34"/>
      <c r="P364" s="188"/>
      <c r="Q364" s="188"/>
      <c r="R364" s="34"/>
      <c r="S364" s="34"/>
      <c r="T364" s="304"/>
      <c r="U364" s="34"/>
      <c r="V364" s="34"/>
      <c r="W364" s="34"/>
      <c r="X364" s="34"/>
      <c r="Y364" s="105"/>
      <c r="Z364" s="105"/>
    </row>
    <row r="365" spans="1:26" ht="12.75">
      <c r="A365" s="309"/>
      <c r="B365" s="309"/>
      <c r="C365" s="34"/>
      <c r="D365" s="362"/>
      <c r="E365" s="34"/>
      <c r="F365" s="34"/>
      <c r="G365" s="35"/>
      <c r="H365" s="35"/>
      <c r="I365" s="34"/>
      <c r="J365" s="34"/>
      <c r="K365" s="65"/>
      <c r="L365" s="34"/>
      <c r="M365" s="34"/>
      <c r="N365" s="34"/>
      <c r="O365" s="34"/>
      <c r="P365" s="188"/>
      <c r="Q365" s="188"/>
      <c r="R365" s="34"/>
      <c r="S365" s="34"/>
      <c r="T365" s="304"/>
      <c r="U365" s="34"/>
      <c r="V365" s="34"/>
      <c r="W365" s="34"/>
      <c r="X365" s="34"/>
      <c r="Y365" s="105"/>
      <c r="Z365" s="105"/>
    </row>
    <row r="366" spans="1:26" ht="12.75">
      <c r="A366" s="309"/>
      <c r="B366" s="309"/>
      <c r="C366" s="34"/>
      <c r="D366" s="362"/>
      <c r="E366" s="34"/>
      <c r="F366" s="34"/>
      <c r="G366" s="35"/>
      <c r="H366" s="35"/>
      <c r="I366" s="34"/>
      <c r="J366" s="34"/>
      <c r="K366" s="65"/>
      <c r="L366" s="34"/>
      <c r="M366" s="34"/>
      <c r="N366" s="34"/>
      <c r="O366" s="34"/>
      <c r="P366" s="188"/>
      <c r="Q366" s="188"/>
      <c r="R366" s="34"/>
      <c r="S366" s="34"/>
      <c r="T366" s="304"/>
      <c r="U366" s="34"/>
      <c r="V366" s="34"/>
      <c r="W366" s="34"/>
      <c r="X366" s="34"/>
      <c r="Y366" s="105"/>
      <c r="Z366" s="105"/>
    </row>
    <row r="367" spans="1:26" ht="12.75">
      <c r="A367" s="309"/>
      <c r="B367" s="309"/>
      <c r="C367" s="34"/>
      <c r="D367" s="362"/>
      <c r="E367" s="34"/>
      <c r="F367" s="34"/>
      <c r="G367" s="35"/>
      <c r="H367" s="35"/>
      <c r="I367" s="34"/>
      <c r="J367" s="34"/>
      <c r="K367" s="65"/>
      <c r="L367" s="34"/>
      <c r="M367" s="34"/>
      <c r="N367" s="34"/>
      <c r="O367" s="34"/>
      <c r="P367" s="188"/>
      <c r="Q367" s="188"/>
      <c r="R367" s="34"/>
      <c r="S367" s="34"/>
      <c r="T367" s="304"/>
      <c r="U367" s="34"/>
      <c r="V367" s="34"/>
      <c r="W367" s="34"/>
      <c r="X367" s="34"/>
      <c r="Y367" s="105"/>
      <c r="Z367" s="105"/>
    </row>
    <row r="368" spans="1:26" ht="12.75">
      <c r="A368" s="309"/>
      <c r="B368" s="309"/>
      <c r="C368" s="34"/>
      <c r="D368" s="362"/>
      <c r="E368" s="34"/>
      <c r="F368" s="34"/>
      <c r="G368" s="35"/>
      <c r="H368" s="35"/>
      <c r="I368" s="34"/>
      <c r="J368" s="34"/>
      <c r="K368" s="65"/>
      <c r="L368" s="34"/>
      <c r="M368" s="34"/>
      <c r="N368" s="34"/>
      <c r="O368" s="34"/>
      <c r="P368" s="188"/>
      <c r="Q368" s="188"/>
      <c r="R368" s="34"/>
      <c r="S368" s="34"/>
      <c r="T368" s="304"/>
      <c r="U368" s="34"/>
      <c r="V368" s="34"/>
      <c r="W368" s="34"/>
      <c r="X368" s="34"/>
      <c r="Y368" s="105"/>
      <c r="Z368" s="105"/>
    </row>
    <row r="369" spans="1:26" ht="12.75">
      <c r="A369" s="309"/>
      <c r="B369" s="309"/>
      <c r="C369" s="34"/>
      <c r="D369" s="362"/>
      <c r="E369" s="34"/>
      <c r="F369" s="34"/>
      <c r="G369" s="35"/>
      <c r="H369" s="35"/>
      <c r="I369" s="34"/>
      <c r="J369" s="34"/>
      <c r="K369" s="65"/>
      <c r="L369" s="34"/>
      <c r="M369" s="34"/>
      <c r="N369" s="34"/>
      <c r="O369" s="34"/>
      <c r="P369" s="188"/>
      <c r="Q369" s="188"/>
      <c r="R369" s="34"/>
      <c r="S369" s="34"/>
      <c r="T369" s="304"/>
      <c r="U369" s="34"/>
      <c r="V369" s="34"/>
      <c r="W369" s="34"/>
      <c r="X369" s="34"/>
      <c r="Y369" s="105"/>
      <c r="Z369" s="105"/>
    </row>
    <row r="370" spans="1:26" ht="12.75">
      <c r="A370" s="309"/>
      <c r="B370" s="309"/>
      <c r="C370" s="34"/>
      <c r="D370" s="362"/>
      <c r="E370" s="34"/>
      <c r="F370" s="34"/>
      <c r="G370" s="35"/>
      <c r="H370" s="35"/>
      <c r="I370" s="34"/>
      <c r="J370" s="34"/>
      <c r="K370" s="65"/>
      <c r="L370" s="34"/>
      <c r="M370" s="34"/>
      <c r="N370" s="34"/>
      <c r="O370" s="34"/>
      <c r="P370" s="188"/>
      <c r="Q370" s="188"/>
      <c r="R370" s="34"/>
      <c r="S370" s="34"/>
      <c r="T370" s="304"/>
      <c r="U370" s="34"/>
      <c r="V370" s="34"/>
      <c r="W370" s="34"/>
      <c r="X370" s="34"/>
      <c r="Y370" s="105"/>
      <c r="Z370" s="105"/>
    </row>
    <row r="371" spans="1:26" ht="12.75">
      <c r="A371" s="309"/>
      <c r="B371" s="309"/>
      <c r="C371" s="34"/>
      <c r="D371" s="362"/>
      <c r="E371" s="34"/>
      <c r="F371" s="34"/>
      <c r="G371" s="35"/>
      <c r="H371" s="35"/>
      <c r="I371" s="34"/>
      <c r="J371" s="34"/>
      <c r="K371" s="65"/>
      <c r="L371" s="34"/>
      <c r="M371" s="34"/>
      <c r="N371" s="34"/>
      <c r="O371" s="34"/>
      <c r="P371" s="188"/>
      <c r="Q371" s="188"/>
      <c r="R371" s="34"/>
      <c r="S371" s="34"/>
      <c r="T371" s="304"/>
      <c r="U371" s="34"/>
      <c r="V371" s="34"/>
      <c r="W371" s="34"/>
      <c r="X371" s="34"/>
      <c r="Y371" s="105"/>
      <c r="Z371" s="105"/>
    </row>
    <row r="372" spans="1:26" ht="12.75">
      <c r="A372" s="309"/>
      <c r="B372" s="309"/>
      <c r="C372" s="34"/>
      <c r="D372" s="362"/>
      <c r="E372" s="34"/>
      <c r="F372" s="34"/>
      <c r="G372" s="35"/>
      <c r="H372" s="35"/>
      <c r="I372" s="34"/>
      <c r="J372" s="34"/>
      <c r="K372" s="65"/>
      <c r="L372" s="34"/>
      <c r="M372" s="34"/>
      <c r="N372" s="34"/>
      <c r="O372" s="34"/>
      <c r="P372" s="188"/>
      <c r="Q372" s="188"/>
      <c r="R372" s="34"/>
      <c r="S372" s="34"/>
      <c r="T372" s="304"/>
      <c r="U372" s="34"/>
      <c r="V372" s="34"/>
      <c r="W372" s="34"/>
      <c r="X372" s="34"/>
      <c r="Y372" s="105"/>
      <c r="Z372" s="105"/>
    </row>
    <row r="373" spans="1:26" ht="12.75">
      <c r="A373" s="309"/>
      <c r="B373" s="309"/>
      <c r="C373" s="34"/>
      <c r="D373" s="362"/>
      <c r="E373" s="34"/>
      <c r="F373" s="34"/>
      <c r="G373" s="35"/>
      <c r="H373" s="35"/>
      <c r="I373" s="34"/>
      <c r="J373" s="34"/>
      <c r="K373" s="65"/>
      <c r="L373" s="34"/>
      <c r="M373" s="34"/>
      <c r="N373" s="34"/>
      <c r="O373" s="34"/>
      <c r="P373" s="188"/>
      <c r="Q373" s="188"/>
      <c r="R373" s="34"/>
      <c r="S373" s="34"/>
      <c r="T373" s="304"/>
      <c r="U373" s="34"/>
      <c r="V373" s="34"/>
      <c r="W373" s="34"/>
      <c r="X373" s="34"/>
      <c r="Y373" s="105"/>
      <c r="Z373" s="105"/>
    </row>
    <row r="374" spans="1:26" ht="12.75">
      <c r="A374" s="309"/>
      <c r="B374" s="309"/>
      <c r="C374" s="34"/>
      <c r="D374" s="362"/>
      <c r="E374" s="34"/>
      <c r="F374" s="34"/>
      <c r="G374" s="35"/>
      <c r="H374" s="35"/>
      <c r="I374" s="34"/>
      <c r="J374" s="34"/>
      <c r="K374" s="65"/>
      <c r="L374" s="34"/>
      <c r="M374" s="34"/>
      <c r="N374" s="34"/>
      <c r="O374" s="34"/>
      <c r="P374" s="188"/>
      <c r="Q374" s="188"/>
      <c r="R374" s="34"/>
      <c r="S374" s="34"/>
      <c r="T374" s="304"/>
      <c r="U374" s="34"/>
      <c r="V374" s="34"/>
      <c r="W374" s="34"/>
      <c r="X374" s="34"/>
      <c r="Y374" s="105"/>
      <c r="Z374" s="105"/>
    </row>
    <row r="375" spans="1:26" ht="12.75">
      <c r="A375" s="309"/>
      <c r="B375" s="309"/>
      <c r="C375" s="34"/>
      <c r="D375" s="362"/>
      <c r="E375" s="34"/>
      <c r="F375" s="34"/>
      <c r="G375" s="35"/>
      <c r="H375" s="35"/>
      <c r="I375" s="34"/>
      <c r="J375" s="34"/>
      <c r="K375" s="65"/>
      <c r="L375" s="34"/>
      <c r="M375" s="34"/>
      <c r="N375" s="34"/>
      <c r="O375" s="34"/>
      <c r="P375" s="188"/>
      <c r="Q375" s="188"/>
      <c r="R375" s="34"/>
      <c r="S375" s="34"/>
      <c r="T375" s="304"/>
      <c r="U375" s="34"/>
      <c r="V375" s="34"/>
      <c r="W375" s="34"/>
      <c r="X375" s="34"/>
      <c r="Y375" s="105"/>
      <c r="Z375" s="105"/>
    </row>
    <row r="376" spans="1:26" ht="12.75">
      <c r="A376" s="309"/>
      <c r="B376" s="309"/>
      <c r="C376" s="34"/>
      <c r="D376" s="362"/>
      <c r="E376" s="34"/>
      <c r="F376" s="34"/>
      <c r="G376" s="35"/>
      <c r="H376" s="35"/>
      <c r="I376" s="34"/>
      <c r="J376" s="34"/>
      <c r="K376" s="65"/>
      <c r="L376" s="34"/>
      <c r="M376" s="34"/>
      <c r="N376" s="34"/>
      <c r="O376" s="34"/>
      <c r="P376" s="188"/>
      <c r="Q376" s="188"/>
      <c r="R376" s="34"/>
      <c r="S376" s="34"/>
      <c r="T376" s="304"/>
      <c r="U376" s="34"/>
      <c r="V376" s="34"/>
      <c r="W376" s="34"/>
      <c r="X376" s="34"/>
      <c r="Y376" s="105"/>
      <c r="Z376" s="105"/>
    </row>
    <row r="377" spans="1:26" ht="12.75">
      <c r="A377" s="309"/>
      <c r="B377" s="309"/>
      <c r="C377" s="34"/>
      <c r="D377" s="362"/>
      <c r="E377" s="34"/>
      <c r="F377" s="34"/>
      <c r="G377" s="35"/>
      <c r="H377" s="35"/>
      <c r="I377" s="34"/>
      <c r="J377" s="34"/>
      <c r="K377" s="65"/>
      <c r="L377" s="34"/>
      <c r="M377" s="34"/>
      <c r="N377" s="34"/>
      <c r="O377" s="34"/>
      <c r="P377" s="188"/>
      <c r="Q377" s="188"/>
      <c r="R377" s="34"/>
      <c r="S377" s="34"/>
      <c r="T377" s="304"/>
      <c r="U377" s="34"/>
      <c r="V377" s="34"/>
      <c r="W377" s="34"/>
      <c r="X377" s="34"/>
      <c r="Y377" s="105"/>
      <c r="Z377" s="105"/>
    </row>
    <row r="378" spans="1:26" ht="12.75">
      <c r="A378" s="309"/>
      <c r="B378" s="309"/>
      <c r="C378" s="34"/>
      <c r="D378" s="362"/>
      <c r="E378" s="34"/>
      <c r="F378" s="34"/>
      <c r="G378" s="35"/>
      <c r="H378" s="35"/>
      <c r="I378" s="34"/>
      <c r="J378" s="34"/>
      <c r="K378" s="65"/>
      <c r="L378" s="34"/>
      <c r="M378" s="34"/>
      <c r="N378" s="34"/>
      <c r="O378" s="34"/>
      <c r="P378" s="188"/>
      <c r="Q378" s="188"/>
      <c r="R378" s="34"/>
      <c r="S378" s="34"/>
      <c r="T378" s="304"/>
      <c r="U378" s="34"/>
      <c r="V378" s="34"/>
      <c r="W378" s="34"/>
      <c r="X378" s="34"/>
      <c r="Y378" s="105"/>
      <c r="Z378" s="105"/>
    </row>
    <row r="379" spans="1:26" ht="12.75">
      <c r="A379" s="309"/>
      <c r="B379" s="309"/>
      <c r="C379" s="34"/>
      <c r="D379" s="362"/>
      <c r="E379" s="34"/>
      <c r="F379" s="34"/>
      <c r="G379" s="35"/>
      <c r="H379" s="35"/>
      <c r="I379" s="34"/>
      <c r="J379" s="34"/>
      <c r="K379" s="65"/>
      <c r="L379" s="34"/>
      <c r="M379" s="34"/>
      <c r="N379" s="34"/>
      <c r="O379" s="34"/>
      <c r="P379" s="188"/>
      <c r="Q379" s="188"/>
      <c r="R379" s="34"/>
      <c r="S379" s="34"/>
      <c r="T379" s="304"/>
      <c r="U379" s="34"/>
      <c r="V379" s="34"/>
      <c r="W379" s="34"/>
      <c r="X379" s="34"/>
      <c r="Y379" s="105"/>
      <c r="Z379" s="105"/>
    </row>
    <row r="380" spans="1:26" ht="12.75">
      <c r="A380" s="309"/>
      <c r="B380" s="309"/>
      <c r="C380" s="34"/>
      <c r="D380" s="362"/>
      <c r="E380" s="34"/>
      <c r="F380" s="34"/>
      <c r="G380" s="35"/>
      <c r="H380" s="35"/>
      <c r="I380" s="34"/>
      <c r="J380" s="34"/>
      <c r="K380" s="65"/>
      <c r="L380" s="34"/>
      <c r="M380" s="34"/>
      <c r="N380" s="34"/>
      <c r="O380" s="34"/>
      <c r="P380" s="188"/>
      <c r="Q380" s="188"/>
      <c r="R380" s="34"/>
      <c r="S380" s="34"/>
      <c r="T380" s="304"/>
      <c r="U380" s="34"/>
      <c r="V380" s="34"/>
      <c r="W380" s="34"/>
      <c r="X380" s="34"/>
      <c r="Y380" s="105"/>
      <c r="Z380" s="105"/>
    </row>
    <row r="381" spans="1:26" ht="12.75">
      <c r="A381" s="309"/>
      <c r="B381" s="309"/>
      <c r="C381" s="34"/>
      <c r="D381" s="362"/>
      <c r="E381" s="34"/>
      <c r="F381" s="34"/>
      <c r="G381" s="35"/>
      <c r="H381" s="35"/>
      <c r="I381" s="34"/>
      <c r="J381" s="34"/>
      <c r="K381" s="65"/>
      <c r="L381" s="34"/>
      <c r="M381" s="34"/>
      <c r="N381" s="34"/>
      <c r="O381" s="34"/>
      <c r="P381" s="188"/>
      <c r="Q381" s="188"/>
      <c r="R381" s="34"/>
      <c r="S381" s="34"/>
      <c r="T381" s="304"/>
      <c r="U381" s="34"/>
      <c r="V381" s="34"/>
      <c r="W381" s="34"/>
      <c r="X381" s="34"/>
      <c r="Y381" s="105"/>
      <c r="Z381" s="105"/>
    </row>
    <row r="382" spans="1:26" ht="12.75">
      <c r="A382" s="309"/>
      <c r="B382" s="309"/>
      <c r="C382" s="34"/>
      <c r="D382" s="362"/>
      <c r="E382" s="34"/>
      <c r="F382" s="34"/>
      <c r="G382" s="35"/>
      <c r="H382" s="35"/>
      <c r="I382" s="34"/>
      <c r="J382" s="34"/>
      <c r="K382" s="65"/>
      <c r="L382" s="34"/>
      <c r="M382" s="34"/>
      <c r="N382" s="34"/>
      <c r="O382" s="34"/>
      <c r="P382" s="188"/>
      <c r="Q382" s="188"/>
      <c r="R382" s="34"/>
      <c r="S382" s="34"/>
      <c r="T382" s="304"/>
      <c r="U382" s="34"/>
      <c r="V382" s="34"/>
      <c r="W382" s="34"/>
      <c r="X382" s="34"/>
      <c r="Y382" s="105"/>
      <c r="Z382" s="105"/>
    </row>
    <row r="383" spans="1:26" ht="12.75">
      <c r="A383" s="309"/>
      <c r="B383" s="309"/>
      <c r="C383" s="34"/>
      <c r="D383" s="362"/>
      <c r="E383" s="34"/>
      <c r="F383" s="34"/>
      <c r="G383" s="35"/>
      <c r="H383" s="35"/>
      <c r="I383" s="34"/>
      <c r="J383" s="34"/>
      <c r="K383" s="65"/>
      <c r="L383" s="34"/>
      <c r="M383" s="34"/>
      <c r="N383" s="34"/>
      <c r="O383" s="34"/>
      <c r="P383" s="188"/>
      <c r="Q383" s="188"/>
      <c r="R383" s="34"/>
      <c r="S383" s="34"/>
      <c r="T383" s="304"/>
      <c r="U383" s="34"/>
      <c r="V383" s="34"/>
      <c r="W383" s="34"/>
      <c r="X383" s="34"/>
      <c r="Y383" s="105"/>
      <c r="Z383" s="105"/>
    </row>
    <row r="384" spans="1:26" ht="12.75">
      <c r="A384" s="309"/>
      <c r="B384" s="309"/>
      <c r="C384" s="34"/>
      <c r="D384" s="362"/>
      <c r="E384" s="34"/>
      <c r="F384" s="34"/>
      <c r="G384" s="35"/>
      <c r="H384" s="35"/>
      <c r="I384" s="34"/>
      <c r="J384" s="34"/>
      <c r="K384" s="65"/>
      <c r="L384" s="34"/>
      <c r="M384" s="34"/>
      <c r="N384" s="34"/>
      <c r="O384" s="34"/>
      <c r="P384" s="188"/>
      <c r="Q384" s="188"/>
      <c r="R384" s="34"/>
      <c r="S384" s="34"/>
      <c r="T384" s="304"/>
      <c r="U384" s="34"/>
      <c r="V384" s="34"/>
      <c r="W384" s="34"/>
      <c r="X384" s="34"/>
      <c r="Y384" s="105"/>
      <c r="Z384" s="105"/>
    </row>
    <row r="385" spans="1:26" ht="12.75">
      <c r="A385" s="309"/>
      <c r="B385" s="309"/>
      <c r="C385" s="34"/>
      <c r="D385" s="362"/>
      <c r="E385" s="34"/>
      <c r="F385" s="34"/>
      <c r="G385" s="35"/>
      <c r="H385" s="35"/>
      <c r="I385" s="34"/>
      <c r="J385" s="34"/>
      <c r="K385" s="65"/>
      <c r="L385" s="34"/>
      <c r="M385" s="34"/>
      <c r="N385" s="34"/>
      <c r="O385" s="34"/>
      <c r="P385" s="188"/>
      <c r="Q385" s="188"/>
      <c r="R385" s="34"/>
      <c r="S385" s="34"/>
      <c r="T385" s="304"/>
      <c r="U385" s="34"/>
      <c r="V385" s="34"/>
      <c r="W385" s="34"/>
      <c r="X385" s="34"/>
      <c r="Y385" s="105"/>
      <c r="Z385" s="105"/>
    </row>
    <row r="386" spans="1:26" ht="12.75">
      <c r="A386" s="309"/>
      <c r="B386" s="309"/>
      <c r="C386" s="34"/>
      <c r="D386" s="362"/>
      <c r="E386" s="34"/>
      <c r="F386" s="34"/>
      <c r="G386" s="35"/>
      <c r="H386" s="35"/>
      <c r="I386" s="34"/>
      <c r="J386" s="34"/>
      <c r="K386" s="65"/>
      <c r="L386" s="34"/>
      <c r="M386" s="34"/>
      <c r="N386" s="34"/>
      <c r="O386" s="34"/>
      <c r="P386" s="188"/>
      <c r="Q386" s="188"/>
      <c r="R386" s="34"/>
      <c r="S386" s="34"/>
      <c r="T386" s="304"/>
      <c r="U386" s="34"/>
      <c r="V386" s="34"/>
      <c r="W386" s="34"/>
      <c r="X386" s="34"/>
      <c r="Y386" s="105"/>
      <c r="Z386" s="105"/>
    </row>
    <row r="387" spans="1:26" ht="12.75">
      <c r="A387" s="309"/>
      <c r="B387" s="309"/>
      <c r="C387" s="34"/>
      <c r="D387" s="362"/>
      <c r="E387" s="34"/>
      <c r="F387" s="34"/>
      <c r="G387" s="35"/>
      <c r="H387" s="35"/>
      <c r="I387" s="34"/>
      <c r="J387" s="34"/>
      <c r="K387" s="65"/>
      <c r="L387" s="34"/>
      <c r="M387" s="34"/>
      <c r="N387" s="34"/>
      <c r="O387" s="34"/>
      <c r="P387" s="188"/>
      <c r="Q387" s="188"/>
      <c r="R387" s="34"/>
      <c r="S387" s="34"/>
      <c r="T387" s="304"/>
      <c r="U387" s="34"/>
      <c r="V387" s="34"/>
      <c r="W387" s="34"/>
      <c r="X387" s="34"/>
      <c r="Y387" s="105"/>
      <c r="Z387" s="105"/>
    </row>
    <row r="388" spans="1:26" ht="12.75">
      <c r="A388" s="309"/>
      <c r="B388" s="309"/>
      <c r="C388" s="34"/>
      <c r="D388" s="362"/>
      <c r="E388" s="34"/>
      <c r="F388" s="34"/>
      <c r="G388" s="35"/>
      <c r="H388" s="35"/>
      <c r="I388" s="34"/>
      <c r="J388" s="34"/>
      <c r="K388" s="65"/>
      <c r="L388" s="34"/>
      <c r="M388" s="34"/>
      <c r="N388" s="34"/>
      <c r="O388" s="34"/>
      <c r="P388" s="188"/>
      <c r="Q388" s="188"/>
      <c r="R388" s="34"/>
      <c r="S388" s="34"/>
      <c r="T388" s="304"/>
      <c r="U388" s="34"/>
      <c r="V388" s="34"/>
      <c r="W388" s="34"/>
      <c r="X388" s="34"/>
      <c r="Y388" s="105"/>
      <c r="Z388" s="105"/>
    </row>
    <row r="389" spans="1:26" ht="12.75">
      <c r="A389" s="309"/>
      <c r="B389" s="309"/>
      <c r="C389" s="34"/>
      <c r="D389" s="362"/>
      <c r="E389" s="34"/>
      <c r="F389" s="34"/>
      <c r="G389" s="35"/>
      <c r="H389" s="35"/>
      <c r="I389" s="34"/>
      <c r="J389" s="34"/>
      <c r="K389" s="65"/>
      <c r="L389" s="34"/>
      <c r="M389" s="34"/>
      <c r="N389" s="34"/>
      <c r="O389" s="34"/>
      <c r="P389" s="188"/>
      <c r="Q389" s="188"/>
      <c r="R389" s="34"/>
      <c r="S389" s="34"/>
      <c r="T389" s="304"/>
      <c r="U389" s="34"/>
      <c r="V389" s="34"/>
      <c r="W389" s="34"/>
      <c r="X389" s="34"/>
      <c r="Y389" s="105"/>
      <c r="Z389" s="105"/>
    </row>
    <row r="390" spans="1:26" ht="12.75">
      <c r="A390" s="309"/>
      <c r="B390" s="309"/>
      <c r="C390" s="34"/>
      <c r="D390" s="362"/>
      <c r="E390" s="34"/>
      <c r="F390" s="34"/>
      <c r="G390" s="35"/>
      <c r="H390" s="35"/>
      <c r="I390" s="34"/>
      <c r="J390" s="34"/>
      <c r="K390" s="65"/>
      <c r="L390" s="34"/>
      <c r="M390" s="34"/>
      <c r="N390" s="34"/>
      <c r="O390" s="34"/>
      <c r="P390" s="188"/>
      <c r="Q390" s="188"/>
      <c r="R390" s="34"/>
      <c r="S390" s="34"/>
      <c r="T390" s="304"/>
      <c r="U390" s="34"/>
      <c r="V390" s="34"/>
      <c r="W390" s="34"/>
      <c r="X390" s="34"/>
      <c r="Y390" s="105"/>
      <c r="Z390" s="105"/>
    </row>
    <row r="391" spans="1:26" ht="12.75">
      <c r="A391" s="309"/>
      <c r="B391" s="309"/>
      <c r="C391" s="34"/>
      <c r="D391" s="362"/>
      <c r="E391" s="34"/>
      <c r="F391" s="34"/>
      <c r="G391" s="35"/>
      <c r="H391" s="35"/>
      <c r="I391" s="34"/>
      <c r="J391" s="34"/>
      <c r="K391" s="65"/>
      <c r="L391" s="34"/>
      <c r="M391" s="34"/>
      <c r="N391" s="34"/>
      <c r="O391" s="34"/>
      <c r="P391" s="188"/>
      <c r="Q391" s="188"/>
      <c r="R391" s="34"/>
      <c r="S391" s="34"/>
      <c r="T391" s="304"/>
      <c r="U391" s="34"/>
      <c r="V391" s="34"/>
      <c r="W391" s="34"/>
      <c r="X391" s="34"/>
      <c r="Y391" s="105"/>
      <c r="Z391" s="105"/>
    </row>
    <row r="392" spans="1:26" ht="12.75">
      <c r="A392" s="309"/>
      <c r="B392" s="309"/>
      <c r="C392" s="34"/>
      <c r="D392" s="362"/>
      <c r="E392" s="34"/>
      <c r="F392" s="34"/>
      <c r="G392" s="35"/>
      <c r="H392" s="35"/>
      <c r="I392" s="34"/>
      <c r="J392" s="34"/>
      <c r="K392" s="65"/>
      <c r="L392" s="34"/>
      <c r="M392" s="34"/>
      <c r="N392" s="34"/>
      <c r="O392" s="34"/>
      <c r="P392" s="188"/>
      <c r="Q392" s="188"/>
      <c r="R392" s="34"/>
      <c r="S392" s="34"/>
      <c r="T392" s="304"/>
      <c r="U392" s="34"/>
      <c r="V392" s="34"/>
      <c r="W392" s="34"/>
      <c r="X392" s="34"/>
      <c r="Y392" s="105"/>
      <c r="Z392" s="105"/>
    </row>
    <row r="393" spans="1:26" ht="12.75">
      <c r="A393" s="309"/>
      <c r="B393" s="309"/>
      <c r="C393" s="34"/>
      <c r="D393" s="362"/>
      <c r="E393" s="34"/>
      <c r="F393" s="34"/>
      <c r="G393" s="35"/>
      <c r="H393" s="35"/>
      <c r="I393" s="34"/>
      <c r="J393" s="34"/>
      <c r="K393" s="65"/>
      <c r="L393" s="34"/>
      <c r="M393" s="34"/>
      <c r="N393" s="34"/>
      <c r="O393" s="34"/>
      <c r="P393" s="188"/>
      <c r="Q393" s="188"/>
      <c r="R393" s="34"/>
      <c r="S393" s="34"/>
      <c r="T393" s="304"/>
      <c r="U393" s="34"/>
      <c r="V393" s="34"/>
      <c r="W393" s="34"/>
      <c r="X393" s="34"/>
      <c r="Y393" s="105"/>
      <c r="Z393" s="105"/>
    </row>
    <row r="394" spans="1:26" ht="12.75">
      <c r="A394" s="309"/>
      <c r="B394" s="309"/>
      <c r="C394" s="34"/>
      <c r="D394" s="362"/>
      <c r="E394" s="34"/>
      <c r="F394" s="34"/>
      <c r="G394" s="35"/>
      <c r="H394" s="35"/>
      <c r="I394" s="34"/>
      <c r="J394" s="34"/>
      <c r="K394" s="65"/>
      <c r="L394" s="34"/>
      <c r="M394" s="34"/>
      <c r="N394" s="34"/>
      <c r="O394" s="34"/>
      <c r="P394" s="188"/>
      <c r="Q394" s="188"/>
      <c r="R394" s="34"/>
      <c r="S394" s="34"/>
      <c r="T394" s="304"/>
      <c r="U394" s="34"/>
      <c r="V394" s="34"/>
      <c r="W394" s="34"/>
      <c r="X394" s="34"/>
      <c r="Y394" s="105"/>
      <c r="Z394" s="105"/>
    </row>
    <row r="395" spans="1:26" ht="12.75">
      <c r="A395" s="309"/>
      <c r="B395" s="309"/>
      <c r="C395" s="34"/>
      <c r="D395" s="362"/>
      <c r="E395" s="34"/>
      <c r="F395" s="34"/>
      <c r="G395" s="35"/>
      <c r="H395" s="35"/>
      <c r="I395" s="34"/>
      <c r="J395" s="34"/>
      <c r="K395" s="65"/>
      <c r="L395" s="34"/>
      <c r="M395" s="34"/>
      <c r="N395" s="34"/>
      <c r="O395" s="34"/>
      <c r="P395" s="188"/>
      <c r="Q395" s="188"/>
      <c r="R395" s="34"/>
      <c r="S395" s="34"/>
      <c r="T395" s="304"/>
      <c r="U395" s="34"/>
      <c r="V395" s="34"/>
      <c r="W395" s="34"/>
      <c r="X395" s="34"/>
      <c r="Y395" s="105"/>
      <c r="Z395" s="105"/>
    </row>
    <row r="396" spans="1:26" ht="12.75">
      <c r="A396" s="309"/>
      <c r="B396" s="309"/>
      <c r="C396" s="34"/>
      <c r="D396" s="362"/>
      <c r="E396" s="34"/>
      <c r="F396" s="34"/>
      <c r="G396" s="35"/>
      <c r="H396" s="35"/>
      <c r="I396" s="34"/>
      <c r="J396" s="34"/>
      <c r="K396" s="65"/>
      <c r="L396" s="34"/>
      <c r="M396" s="34"/>
      <c r="N396" s="34"/>
      <c r="O396" s="34"/>
      <c r="P396" s="188"/>
      <c r="Q396" s="188"/>
      <c r="R396" s="34"/>
      <c r="S396" s="34"/>
      <c r="T396" s="304"/>
      <c r="U396" s="34"/>
      <c r="V396" s="34"/>
      <c r="W396" s="34"/>
      <c r="X396" s="34"/>
      <c r="Y396" s="105"/>
      <c r="Z396" s="105"/>
    </row>
    <row r="397" spans="1:26" ht="12.75">
      <c r="A397" s="309"/>
      <c r="B397" s="309"/>
      <c r="C397" s="34"/>
      <c r="D397" s="362"/>
      <c r="E397" s="34"/>
      <c r="F397" s="34"/>
      <c r="G397" s="35"/>
      <c r="H397" s="35"/>
      <c r="I397" s="34"/>
      <c r="J397" s="34"/>
      <c r="K397" s="65"/>
      <c r="L397" s="34"/>
      <c r="M397" s="34"/>
      <c r="N397" s="34"/>
      <c r="O397" s="34"/>
      <c r="P397" s="188"/>
      <c r="Q397" s="188"/>
      <c r="R397" s="34"/>
      <c r="S397" s="34"/>
      <c r="T397" s="304"/>
      <c r="U397" s="34"/>
      <c r="V397" s="34"/>
      <c r="W397" s="34"/>
      <c r="X397" s="34"/>
      <c r="Y397" s="105"/>
      <c r="Z397" s="105"/>
    </row>
    <row r="398" spans="1:26" ht="12.75">
      <c r="A398" s="309"/>
      <c r="B398" s="309"/>
      <c r="C398" s="34"/>
      <c r="D398" s="362"/>
      <c r="E398" s="34"/>
      <c r="F398" s="34"/>
      <c r="G398" s="35"/>
      <c r="H398" s="35"/>
      <c r="I398" s="34"/>
      <c r="J398" s="34"/>
      <c r="K398" s="65"/>
      <c r="L398" s="34"/>
      <c r="M398" s="34"/>
      <c r="N398" s="34"/>
      <c r="O398" s="34"/>
      <c r="P398" s="188"/>
      <c r="Q398" s="188"/>
      <c r="R398" s="34"/>
      <c r="S398" s="34"/>
      <c r="T398" s="304"/>
      <c r="U398" s="34"/>
      <c r="V398" s="34"/>
      <c r="W398" s="34"/>
      <c r="X398" s="34"/>
      <c r="Y398" s="105"/>
      <c r="Z398" s="105"/>
    </row>
    <row r="399" spans="1:26" ht="12.75">
      <c r="A399" s="309"/>
      <c r="B399" s="309"/>
      <c r="C399" s="34"/>
      <c r="D399" s="362"/>
      <c r="E399" s="34"/>
      <c r="F399" s="34"/>
      <c r="G399" s="35"/>
      <c r="H399" s="35"/>
      <c r="I399" s="34"/>
      <c r="J399" s="34"/>
      <c r="K399" s="65"/>
      <c r="L399" s="34"/>
      <c r="M399" s="34"/>
      <c r="N399" s="34"/>
      <c r="O399" s="34"/>
      <c r="P399" s="188"/>
      <c r="Q399" s="188"/>
      <c r="R399" s="34"/>
      <c r="S399" s="34"/>
      <c r="T399" s="304"/>
      <c r="U399" s="34"/>
      <c r="V399" s="34"/>
      <c r="W399" s="34"/>
      <c r="X399" s="34"/>
      <c r="Y399" s="105"/>
      <c r="Z399" s="105"/>
    </row>
    <row r="400" spans="1:26" ht="12.75">
      <c r="A400" s="309"/>
      <c r="B400" s="309"/>
      <c r="C400" s="34"/>
      <c r="D400" s="362"/>
      <c r="E400" s="34"/>
      <c r="F400" s="34"/>
      <c r="G400" s="35"/>
      <c r="H400" s="35"/>
      <c r="I400" s="34"/>
      <c r="J400" s="34"/>
      <c r="K400" s="65"/>
      <c r="L400" s="34"/>
      <c r="M400" s="34"/>
      <c r="N400" s="34"/>
      <c r="O400" s="34"/>
      <c r="P400" s="188"/>
      <c r="Q400" s="188"/>
      <c r="R400" s="34"/>
      <c r="S400" s="34"/>
      <c r="T400" s="304"/>
      <c r="U400" s="34"/>
      <c r="V400" s="34"/>
      <c r="W400" s="34"/>
      <c r="X400" s="34"/>
      <c r="Y400" s="105"/>
      <c r="Z400" s="105"/>
    </row>
    <row r="401" spans="1:26" ht="12.75">
      <c r="A401" s="309"/>
      <c r="B401" s="309"/>
      <c r="C401" s="34"/>
      <c r="D401" s="362"/>
      <c r="E401" s="34"/>
      <c r="F401" s="34"/>
      <c r="G401" s="35"/>
      <c r="H401" s="35"/>
      <c r="I401" s="34"/>
      <c r="J401" s="34"/>
      <c r="K401" s="65"/>
      <c r="L401" s="34"/>
      <c r="M401" s="34"/>
      <c r="N401" s="34"/>
      <c r="O401" s="34"/>
      <c r="P401" s="188"/>
      <c r="Q401" s="188"/>
      <c r="R401" s="34"/>
      <c r="S401" s="34"/>
      <c r="T401" s="304"/>
      <c r="U401" s="34"/>
      <c r="V401" s="34"/>
      <c r="W401" s="34"/>
      <c r="X401" s="34"/>
      <c r="Y401" s="105"/>
      <c r="Z401" s="105"/>
    </row>
    <row r="402" spans="1:26" ht="12.75">
      <c r="A402" s="309"/>
      <c r="B402" s="309"/>
      <c r="C402" s="34"/>
      <c r="D402" s="362"/>
      <c r="E402" s="34"/>
      <c r="F402" s="34"/>
      <c r="G402" s="35"/>
      <c r="H402" s="35"/>
      <c r="I402" s="34"/>
      <c r="J402" s="34"/>
      <c r="K402" s="65"/>
      <c r="L402" s="34"/>
      <c r="M402" s="34"/>
      <c r="N402" s="34"/>
      <c r="O402" s="34"/>
      <c r="P402" s="188"/>
      <c r="Q402" s="188"/>
      <c r="R402" s="34"/>
      <c r="S402" s="34"/>
      <c r="T402" s="304"/>
      <c r="U402" s="34"/>
      <c r="V402" s="34"/>
      <c r="W402" s="34"/>
      <c r="X402" s="34"/>
      <c r="Y402" s="105"/>
      <c r="Z402" s="105"/>
    </row>
    <row r="403" spans="1:26" ht="12.75">
      <c r="A403" s="309"/>
      <c r="B403" s="309"/>
      <c r="C403" s="34"/>
      <c r="D403" s="362"/>
      <c r="E403" s="34"/>
      <c r="F403" s="34"/>
      <c r="G403" s="35"/>
      <c r="H403" s="35"/>
      <c r="I403" s="34"/>
      <c r="J403" s="34"/>
      <c r="K403" s="65"/>
      <c r="L403" s="34"/>
      <c r="M403" s="34"/>
      <c r="N403" s="34"/>
      <c r="O403" s="34"/>
      <c r="P403" s="188"/>
      <c r="Q403" s="188"/>
      <c r="R403" s="34"/>
      <c r="S403" s="34"/>
      <c r="T403" s="304"/>
      <c r="U403" s="34"/>
      <c r="V403" s="34"/>
      <c r="W403" s="34"/>
      <c r="X403" s="34"/>
      <c r="Y403" s="105"/>
      <c r="Z403" s="105"/>
    </row>
    <row r="404" spans="1:26" ht="12.75">
      <c r="A404" s="309"/>
      <c r="B404" s="309"/>
      <c r="C404" s="34"/>
      <c r="D404" s="362"/>
      <c r="E404" s="34"/>
      <c r="F404" s="34"/>
      <c r="G404" s="35"/>
      <c r="H404" s="35"/>
      <c r="I404" s="34"/>
      <c r="J404" s="34"/>
      <c r="K404" s="65"/>
      <c r="L404" s="34"/>
      <c r="M404" s="34"/>
      <c r="N404" s="34"/>
      <c r="O404" s="34"/>
      <c r="P404" s="188"/>
      <c r="Q404" s="188"/>
      <c r="R404" s="34"/>
      <c r="S404" s="34"/>
      <c r="T404" s="304"/>
      <c r="U404" s="34"/>
      <c r="V404" s="34"/>
      <c r="W404" s="34"/>
      <c r="X404" s="34"/>
      <c r="Y404" s="105"/>
      <c r="Z404" s="105"/>
    </row>
    <row r="405" spans="1:26" ht="12.75">
      <c r="A405" s="309"/>
      <c r="B405" s="309"/>
      <c r="C405" s="34"/>
      <c r="D405" s="362"/>
      <c r="E405" s="34"/>
      <c r="F405" s="34"/>
      <c r="G405" s="35"/>
      <c r="H405" s="35"/>
      <c r="I405" s="34"/>
      <c r="J405" s="34"/>
      <c r="K405" s="65"/>
      <c r="L405" s="34"/>
      <c r="M405" s="34"/>
      <c r="N405" s="34"/>
      <c r="O405" s="34"/>
      <c r="P405" s="188"/>
      <c r="Q405" s="188"/>
      <c r="R405" s="34"/>
      <c r="S405" s="34"/>
      <c r="T405" s="304"/>
      <c r="U405" s="34"/>
      <c r="V405" s="34"/>
      <c r="W405" s="34"/>
      <c r="X405" s="34"/>
      <c r="Y405" s="105"/>
      <c r="Z405" s="105"/>
    </row>
    <row r="406" spans="1:26" ht="12.75">
      <c r="A406" s="309"/>
      <c r="B406" s="309"/>
      <c r="C406" s="34"/>
      <c r="D406" s="362"/>
      <c r="E406" s="34"/>
      <c r="F406" s="34"/>
      <c r="G406" s="35"/>
      <c r="H406" s="35"/>
      <c r="I406" s="34"/>
      <c r="J406" s="34"/>
      <c r="K406" s="65"/>
      <c r="L406" s="34"/>
      <c r="M406" s="34"/>
      <c r="N406" s="34"/>
      <c r="O406" s="34"/>
      <c r="P406" s="188"/>
      <c r="Q406" s="188"/>
      <c r="R406" s="34"/>
      <c r="S406" s="34"/>
      <c r="T406" s="304"/>
      <c r="U406" s="34"/>
      <c r="V406" s="34"/>
      <c r="W406" s="34"/>
      <c r="X406" s="34"/>
      <c r="Y406" s="105"/>
      <c r="Z406" s="105"/>
    </row>
    <row r="407" spans="1:26" ht="12.75">
      <c r="A407" s="309"/>
      <c r="B407" s="309"/>
      <c r="C407" s="34"/>
      <c r="D407" s="362"/>
      <c r="E407" s="34"/>
      <c r="F407" s="34"/>
      <c r="G407" s="35"/>
      <c r="H407" s="35"/>
      <c r="I407" s="34"/>
      <c r="J407" s="34"/>
      <c r="K407" s="65"/>
      <c r="L407" s="34"/>
      <c r="M407" s="34"/>
      <c r="N407" s="34"/>
      <c r="O407" s="34"/>
      <c r="P407" s="188"/>
      <c r="Q407" s="188"/>
      <c r="R407" s="34"/>
      <c r="S407" s="34"/>
      <c r="T407" s="304"/>
      <c r="U407" s="34"/>
      <c r="V407" s="34"/>
      <c r="W407" s="34"/>
      <c r="X407" s="34"/>
      <c r="Y407" s="105"/>
      <c r="Z407" s="105"/>
    </row>
    <row r="408" spans="1:26" ht="12.75">
      <c r="A408" s="309"/>
      <c r="B408" s="309"/>
      <c r="C408" s="34"/>
      <c r="D408" s="362"/>
      <c r="E408" s="34"/>
      <c r="F408" s="34"/>
      <c r="G408" s="35"/>
      <c r="H408" s="35"/>
      <c r="I408" s="34"/>
      <c r="J408" s="34"/>
      <c r="K408" s="65"/>
      <c r="L408" s="34"/>
      <c r="M408" s="34"/>
      <c r="N408" s="34"/>
      <c r="O408" s="34"/>
      <c r="P408" s="188"/>
      <c r="Q408" s="188"/>
      <c r="R408" s="34"/>
      <c r="S408" s="34"/>
      <c r="T408" s="304"/>
      <c r="U408" s="34"/>
      <c r="V408" s="34"/>
      <c r="W408" s="34"/>
      <c r="X408" s="34"/>
      <c r="Y408" s="105"/>
      <c r="Z408" s="105"/>
    </row>
    <row r="409" spans="1:26" ht="12.75">
      <c r="A409" s="309"/>
      <c r="B409" s="309"/>
      <c r="C409" s="34"/>
      <c r="D409" s="362"/>
      <c r="E409" s="34"/>
      <c r="F409" s="34"/>
      <c r="G409" s="35"/>
      <c r="H409" s="35"/>
      <c r="I409" s="34"/>
      <c r="J409" s="34"/>
      <c r="K409" s="65"/>
      <c r="L409" s="34"/>
      <c r="M409" s="34"/>
      <c r="N409" s="34"/>
      <c r="O409" s="34"/>
      <c r="P409" s="188"/>
      <c r="Q409" s="188"/>
      <c r="R409" s="34"/>
      <c r="S409" s="34"/>
      <c r="T409" s="304"/>
      <c r="U409" s="34"/>
      <c r="V409" s="34"/>
      <c r="W409" s="34"/>
      <c r="X409" s="34"/>
      <c r="Y409" s="105"/>
      <c r="Z409" s="105"/>
    </row>
    <row r="410" spans="1:26" ht="12.75">
      <c r="A410" s="309"/>
      <c r="B410" s="309"/>
      <c r="C410" s="34"/>
      <c r="D410" s="362"/>
      <c r="E410" s="34"/>
      <c r="F410" s="34"/>
      <c r="G410" s="35"/>
      <c r="H410" s="35"/>
      <c r="I410" s="34"/>
      <c r="J410" s="34"/>
      <c r="K410" s="65"/>
      <c r="L410" s="34"/>
      <c r="M410" s="34"/>
      <c r="N410" s="34"/>
      <c r="O410" s="34"/>
      <c r="P410" s="188"/>
      <c r="Q410" s="188"/>
      <c r="R410" s="34"/>
      <c r="S410" s="34"/>
      <c r="T410" s="304"/>
      <c r="U410" s="34"/>
      <c r="V410" s="34"/>
      <c r="W410" s="34"/>
      <c r="X410" s="34"/>
      <c r="Y410" s="105"/>
      <c r="Z410" s="105"/>
    </row>
    <row r="411" spans="1:26" ht="12.75">
      <c r="A411" s="309"/>
      <c r="B411" s="309"/>
      <c r="C411" s="34"/>
      <c r="D411" s="362"/>
      <c r="E411" s="34"/>
      <c r="F411" s="34"/>
      <c r="G411" s="35"/>
      <c r="H411" s="35"/>
      <c r="I411" s="34"/>
      <c r="J411" s="34"/>
      <c r="K411" s="65"/>
      <c r="L411" s="34"/>
      <c r="M411" s="34"/>
      <c r="N411" s="34"/>
      <c r="O411" s="34"/>
      <c r="P411" s="188"/>
      <c r="Q411" s="188"/>
      <c r="R411" s="34"/>
      <c r="S411" s="34"/>
      <c r="T411" s="304"/>
      <c r="U411" s="34"/>
      <c r="V411" s="34"/>
      <c r="W411" s="34"/>
      <c r="X411" s="34"/>
      <c r="Y411" s="105"/>
      <c r="Z411" s="105"/>
    </row>
    <row r="412" spans="1:26" ht="12.75">
      <c r="A412" s="309"/>
      <c r="B412" s="309"/>
      <c r="C412" s="34"/>
      <c r="D412" s="362"/>
      <c r="E412" s="34"/>
      <c r="F412" s="34"/>
      <c r="G412" s="35"/>
      <c r="H412" s="35"/>
      <c r="I412" s="34"/>
      <c r="J412" s="34"/>
      <c r="K412" s="65"/>
      <c r="L412" s="34"/>
      <c r="M412" s="34"/>
      <c r="N412" s="34"/>
      <c r="O412" s="34"/>
      <c r="P412" s="188"/>
      <c r="Q412" s="188"/>
      <c r="R412" s="34"/>
      <c r="S412" s="34"/>
      <c r="T412" s="304"/>
      <c r="U412" s="34"/>
      <c r="V412" s="34"/>
      <c r="W412" s="34"/>
      <c r="X412" s="34"/>
      <c r="Y412" s="105"/>
      <c r="Z412" s="105"/>
    </row>
    <row r="413" spans="1:26" ht="12.75">
      <c r="A413" s="309"/>
      <c r="B413" s="309"/>
      <c r="C413" s="34"/>
      <c r="D413" s="362"/>
      <c r="E413" s="34"/>
      <c r="F413" s="34"/>
      <c r="G413" s="35"/>
      <c r="H413" s="35"/>
      <c r="I413" s="34"/>
      <c r="J413" s="34"/>
      <c r="K413" s="65"/>
      <c r="L413" s="34"/>
      <c r="M413" s="34"/>
      <c r="N413" s="34"/>
      <c r="O413" s="34"/>
      <c r="P413" s="188"/>
      <c r="Q413" s="188"/>
      <c r="R413" s="34"/>
      <c r="S413" s="34"/>
      <c r="T413" s="304"/>
      <c r="U413" s="34"/>
      <c r="V413" s="34"/>
      <c r="W413" s="34"/>
      <c r="X413" s="34"/>
      <c r="Y413" s="105"/>
      <c r="Z413" s="105"/>
    </row>
    <row r="414" spans="1:26" ht="12.75">
      <c r="A414" s="309"/>
      <c r="B414" s="309"/>
      <c r="C414" s="34"/>
      <c r="D414" s="362"/>
      <c r="E414" s="34"/>
      <c r="F414" s="34"/>
      <c r="G414" s="35"/>
      <c r="H414" s="35"/>
      <c r="I414" s="34"/>
      <c r="J414" s="34"/>
      <c r="K414" s="65"/>
      <c r="L414" s="34"/>
      <c r="M414" s="34"/>
      <c r="N414" s="34"/>
      <c r="O414" s="34"/>
      <c r="P414" s="188"/>
      <c r="Q414" s="188"/>
      <c r="R414" s="34"/>
      <c r="S414" s="34"/>
      <c r="T414" s="304"/>
      <c r="U414" s="34"/>
      <c r="V414" s="34"/>
      <c r="W414" s="34"/>
      <c r="X414" s="34"/>
      <c r="Y414" s="105"/>
      <c r="Z414" s="105"/>
    </row>
    <row r="415" spans="1:26" ht="12.75">
      <c r="A415" s="309"/>
      <c r="B415" s="309"/>
      <c r="C415" s="34"/>
      <c r="D415" s="362"/>
      <c r="E415" s="34"/>
      <c r="F415" s="34"/>
      <c r="G415" s="35"/>
      <c r="H415" s="35"/>
      <c r="I415" s="34"/>
      <c r="J415" s="34"/>
      <c r="K415" s="65"/>
      <c r="L415" s="34"/>
      <c r="M415" s="34"/>
      <c r="N415" s="34"/>
      <c r="O415" s="34"/>
      <c r="P415" s="188"/>
      <c r="Q415" s="188"/>
      <c r="R415" s="34"/>
      <c r="S415" s="34"/>
      <c r="T415" s="304"/>
      <c r="U415" s="34"/>
      <c r="V415" s="34"/>
      <c r="W415" s="34"/>
      <c r="X415" s="34"/>
      <c r="Y415" s="105"/>
      <c r="Z415" s="105"/>
    </row>
    <row r="416" spans="1:26" ht="12.75">
      <c r="A416" s="309"/>
      <c r="B416" s="309"/>
      <c r="C416" s="34"/>
      <c r="D416" s="362"/>
      <c r="E416" s="34"/>
      <c r="F416" s="34"/>
      <c r="G416" s="35"/>
      <c r="H416" s="35"/>
      <c r="I416" s="34"/>
      <c r="J416" s="34"/>
      <c r="K416" s="65"/>
      <c r="L416" s="34"/>
      <c r="M416" s="34"/>
      <c r="N416" s="34"/>
      <c r="O416" s="34"/>
      <c r="P416" s="188"/>
      <c r="Q416" s="188"/>
      <c r="R416" s="34"/>
      <c r="S416" s="34"/>
      <c r="T416" s="304"/>
      <c r="U416" s="34"/>
      <c r="V416" s="34"/>
      <c r="W416" s="34"/>
      <c r="X416" s="34"/>
      <c r="Y416" s="105"/>
      <c r="Z416" s="105"/>
    </row>
    <row r="417" spans="1:26" ht="12.75">
      <c r="A417" s="309"/>
      <c r="B417" s="309"/>
      <c r="C417" s="34"/>
      <c r="D417" s="362"/>
      <c r="E417" s="34"/>
      <c r="F417" s="34"/>
      <c r="G417" s="35"/>
      <c r="H417" s="35"/>
      <c r="I417" s="34"/>
      <c r="J417" s="34"/>
      <c r="K417" s="65"/>
      <c r="L417" s="34"/>
      <c r="M417" s="34"/>
      <c r="N417" s="34"/>
      <c r="O417" s="34"/>
      <c r="P417" s="188"/>
      <c r="Q417" s="188"/>
      <c r="R417" s="34"/>
      <c r="S417" s="34"/>
      <c r="T417" s="304"/>
      <c r="U417" s="34"/>
      <c r="V417" s="34"/>
      <c r="W417" s="34"/>
      <c r="X417" s="34"/>
      <c r="Y417" s="105"/>
      <c r="Z417" s="105"/>
    </row>
    <row r="418" spans="1:26" ht="12.75">
      <c r="A418" s="309"/>
      <c r="B418" s="309"/>
      <c r="C418" s="34"/>
      <c r="D418" s="362"/>
      <c r="E418" s="34"/>
      <c r="F418" s="34"/>
      <c r="G418" s="35"/>
      <c r="H418" s="35"/>
      <c r="I418" s="34"/>
      <c r="J418" s="34"/>
      <c r="K418" s="65"/>
      <c r="L418" s="34"/>
      <c r="M418" s="34"/>
      <c r="N418" s="34"/>
      <c r="O418" s="34"/>
      <c r="P418" s="188"/>
      <c r="Q418" s="188"/>
      <c r="R418" s="34"/>
      <c r="S418" s="34"/>
      <c r="T418" s="304"/>
      <c r="U418" s="34"/>
      <c r="V418" s="34"/>
      <c r="W418" s="34"/>
      <c r="X418" s="34"/>
      <c r="Y418" s="105"/>
      <c r="Z418" s="105"/>
    </row>
    <row r="419" spans="1:26" ht="12.75">
      <c r="A419" s="309"/>
      <c r="B419" s="309"/>
      <c r="C419" s="34"/>
      <c r="D419" s="362"/>
      <c r="E419" s="34"/>
      <c r="F419" s="34"/>
      <c r="G419" s="35"/>
      <c r="H419" s="35"/>
      <c r="I419" s="34"/>
      <c r="J419" s="34"/>
      <c r="K419" s="65"/>
      <c r="L419" s="34"/>
      <c r="M419" s="34"/>
      <c r="N419" s="34"/>
      <c r="O419" s="34"/>
      <c r="P419" s="188"/>
      <c r="Q419" s="188"/>
      <c r="R419" s="34"/>
      <c r="S419" s="34"/>
      <c r="T419" s="304"/>
      <c r="U419" s="34"/>
      <c r="V419" s="34"/>
      <c r="W419" s="34"/>
      <c r="X419" s="34"/>
      <c r="Y419" s="105"/>
      <c r="Z419" s="105"/>
    </row>
    <row r="420" spans="1:26" ht="12.75">
      <c r="A420" s="309"/>
      <c r="B420" s="309"/>
      <c r="C420" s="34"/>
      <c r="D420" s="362"/>
      <c r="E420" s="34"/>
      <c r="F420" s="34"/>
      <c r="G420" s="35"/>
      <c r="H420" s="35"/>
      <c r="I420" s="34"/>
      <c r="J420" s="34"/>
      <c r="K420" s="65"/>
      <c r="L420" s="34"/>
      <c r="M420" s="34"/>
      <c r="N420" s="34"/>
      <c r="O420" s="34"/>
      <c r="P420" s="188"/>
      <c r="Q420" s="188"/>
      <c r="R420" s="34"/>
      <c r="S420" s="34"/>
      <c r="T420" s="304"/>
      <c r="U420" s="34"/>
      <c r="V420" s="34"/>
      <c r="W420" s="34"/>
      <c r="X420" s="34"/>
      <c r="Y420" s="105"/>
      <c r="Z420" s="105"/>
    </row>
    <row r="421" spans="1:26" ht="12.75">
      <c r="A421" s="309"/>
      <c r="B421" s="309"/>
      <c r="C421" s="34"/>
      <c r="D421" s="362"/>
      <c r="E421" s="34"/>
      <c r="F421" s="34"/>
      <c r="G421" s="35"/>
      <c r="H421" s="35"/>
      <c r="I421" s="34"/>
      <c r="J421" s="34"/>
      <c r="K421" s="65"/>
      <c r="L421" s="34"/>
      <c r="M421" s="34"/>
      <c r="N421" s="34"/>
      <c r="O421" s="34"/>
      <c r="P421" s="188"/>
      <c r="Q421" s="188"/>
      <c r="R421" s="34"/>
      <c r="S421" s="34"/>
      <c r="T421" s="304"/>
      <c r="U421" s="34"/>
      <c r="V421" s="34"/>
      <c r="W421" s="34"/>
      <c r="X421" s="34"/>
      <c r="Y421" s="105"/>
      <c r="Z421" s="105"/>
    </row>
    <row r="422" spans="1:26" ht="12.75">
      <c r="A422" s="309"/>
      <c r="B422" s="309"/>
      <c r="C422" s="34"/>
      <c r="D422" s="362"/>
      <c r="E422" s="34"/>
      <c r="F422" s="34"/>
      <c r="G422" s="35"/>
      <c r="H422" s="35"/>
      <c r="I422" s="34"/>
      <c r="J422" s="34"/>
      <c r="K422" s="65"/>
      <c r="L422" s="34"/>
      <c r="M422" s="34"/>
      <c r="N422" s="34"/>
      <c r="O422" s="34"/>
      <c r="P422" s="188"/>
      <c r="Q422" s="188"/>
      <c r="R422" s="34"/>
      <c r="S422" s="34"/>
      <c r="T422" s="304"/>
      <c r="U422" s="34"/>
      <c r="V422" s="34"/>
      <c r="W422" s="34"/>
      <c r="X422" s="34"/>
      <c r="Y422" s="105"/>
      <c r="Z422" s="105"/>
    </row>
    <row r="423" spans="1:26" ht="12.75">
      <c r="A423" s="309"/>
      <c r="B423" s="309"/>
      <c r="C423" s="34"/>
      <c r="D423" s="362"/>
      <c r="E423" s="34"/>
      <c r="F423" s="34"/>
      <c r="G423" s="35"/>
      <c r="H423" s="35"/>
      <c r="I423" s="34"/>
      <c r="J423" s="34"/>
      <c r="K423" s="65"/>
      <c r="L423" s="34"/>
      <c r="M423" s="34"/>
      <c r="N423" s="34"/>
      <c r="O423" s="34"/>
      <c r="P423" s="188"/>
      <c r="Q423" s="188"/>
      <c r="R423" s="34"/>
      <c r="S423" s="34"/>
      <c r="T423" s="304"/>
      <c r="U423" s="34"/>
      <c r="V423" s="34"/>
      <c r="W423" s="34"/>
      <c r="X423" s="34"/>
      <c r="Y423" s="105"/>
      <c r="Z423" s="105"/>
    </row>
    <row r="424" spans="1:26" ht="12.75">
      <c r="A424" s="309"/>
      <c r="B424" s="309"/>
      <c r="C424" s="34"/>
      <c r="D424" s="362"/>
      <c r="E424" s="34"/>
      <c r="F424" s="34"/>
      <c r="G424" s="35"/>
      <c r="H424" s="35"/>
      <c r="I424" s="34"/>
      <c r="J424" s="34"/>
      <c r="K424" s="65"/>
      <c r="L424" s="34"/>
      <c r="M424" s="34"/>
      <c r="N424" s="34"/>
      <c r="O424" s="34"/>
      <c r="P424" s="188"/>
      <c r="Q424" s="188"/>
      <c r="R424" s="34"/>
      <c r="S424" s="34"/>
      <c r="T424" s="304"/>
      <c r="U424" s="34"/>
      <c r="V424" s="34"/>
      <c r="W424" s="34"/>
      <c r="X424" s="34"/>
      <c r="Y424" s="105"/>
      <c r="Z424" s="105"/>
    </row>
    <row r="425" spans="1:26" ht="12.75">
      <c r="A425" s="309"/>
      <c r="B425" s="309"/>
      <c r="C425" s="34"/>
      <c r="D425" s="362"/>
      <c r="E425" s="34"/>
      <c r="F425" s="34"/>
      <c r="G425" s="35"/>
      <c r="H425" s="35"/>
      <c r="I425" s="34"/>
      <c r="J425" s="34"/>
      <c r="K425" s="65"/>
      <c r="L425" s="34"/>
      <c r="M425" s="34"/>
      <c r="N425" s="34"/>
      <c r="O425" s="34"/>
      <c r="P425" s="188"/>
      <c r="Q425" s="188"/>
      <c r="R425" s="34"/>
      <c r="S425" s="34"/>
      <c r="T425" s="304"/>
      <c r="U425" s="34"/>
      <c r="V425" s="34"/>
      <c r="W425" s="34"/>
      <c r="X425" s="34"/>
      <c r="Y425" s="105"/>
      <c r="Z425" s="105"/>
    </row>
    <row r="426" spans="1:26" ht="12.75">
      <c r="A426" s="309"/>
      <c r="B426" s="309"/>
      <c r="C426" s="34"/>
      <c r="D426" s="362"/>
      <c r="E426" s="34"/>
      <c r="F426" s="34"/>
      <c r="G426" s="35"/>
      <c r="H426" s="35"/>
      <c r="I426" s="34"/>
      <c r="J426" s="34"/>
      <c r="K426" s="65"/>
      <c r="L426" s="34"/>
      <c r="M426" s="34"/>
      <c r="N426" s="34"/>
      <c r="O426" s="34"/>
      <c r="P426" s="188"/>
      <c r="Q426" s="188"/>
      <c r="R426" s="34"/>
      <c r="S426" s="34"/>
      <c r="T426" s="304"/>
      <c r="U426" s="34"/>
      <c r="V426" s="34"/>
      <c r="W426" s="34"/>
      <c r="X426" s="34"/>
      <c r="Y426" s="105"/>
      <c r="Z426" s="105"/>
    </row>
    <row r="427" spans="1:26" ht="12.75">
      <c r="A427" s="309"/>
      <c r="B427" s="309"/>
      <c r="C427" s="34"/>
      <c r="D427" s="362"/>
      <c r="E427" s="34"/>
      <c r="F427" s="34"/>
      <c r="G427" s="35"/>
      <c r="H427" s="35"/>
      <c r="I427" s="34"/>
      <c r="J427" s="34"/>
      <c r="K427" s="65"/>
      <c r="L427" s="34"/>
      <c r="M427" s="34"/>
      <c r="N427" s="34"/>
      <c r="O427" s="34"/>
      <c r="P427" s="188"/>
      <c r="Q427" s="188"/>
      <c r="R427" s="34"/>
      <c r="S427" s="34"/>
      <c r="T427" s="304"/>
      <c r="U427" s="34"/>
      <c r="V427" s="34"/>
      <c r="W427" s="34"/>
      <c r="X427" s="34"/>
      <c r="Y427" s="105"/>
      <c r="Z427" s="105"/>
    </row>
    <row r="428" spans="1:26" ht="12.75">
      <c r="A428" s="309"/>
      <c r="B428" s="309"/>
      <c r="C428" s="34"/>
      <c r="D428" s="362"/>
      <c r="E428" s="34"/>
      <c r="F428" s="34"/>
      <c r="G428" s="35"/>
      <c r="H428" s="35"/>
      <c r="I428" s="34"/>
      <c r="J428" s="34"/>
      <c r="K428" s="65"/>
      <c r="L428" s="34"/>
      <c r="M428" s="34"/>
      <c r="N428" s="34"/>
      <c r="O428" s="34"/>
      <c r="P428" s="188"/>
      <c r="Q428" s="188"/>
      <c r="R428" s="34"/>
      <c r="S428" s="34"/>
      <c r="T428" s="304"/>
      <c r="U428" s="34"/>
      <c r="V428" s="34"/>
      <c r="W428" s="34"/>
      <c r="X428" s="34"/>
      <c r="Y428" s="105"/>
      <c r="Z428" s="105"/>
    </row>
    <row r="429" spans="1:26" ht="12.75">
      <c r="A429" s="309"/>
      <c r="B429" s="309"/>
      <c r="C429" s="34"/>
      <c r="D429" s="362"/>
      <c r="E429" s="34"/>
      <c r="F429" s="34"/>
      <c r="G429" s="35"/>
      <c r="H429" s="35"/>
      <c r="I429" s="34"/>
      <c r="J429" s="34"/>
      <c r="K429" s="65"/>
      <c r="L429" s="34"/>
      <c r="M429" s="34"/>
      <c r="N429" s="34"/>
      <c r="O429" s="34"/>
      <c r="P429" s="188"/>
      <c r="Q429" s="188"/>
      <c r="R429" s="34"/>
      <c r="S429" s="34"/>
      <c r="T429" s="304"/>
      <c r="U429" s="34"/>
      <c r="V429" s="34"/>
      <c r="W429" s="34"/>
      <c r="X429" s="34"/>
      <c r="Y429" s="105"/>
      <c r="Z429" s="105"/>
    </row>
    <row r="430" spans="1:26" ht="12.75">
      <c r="A430" s="309"/>
      <c r="B430" s="309"/>
      <c r="C430" s="34"/>
      <c r="D430" s="362"/>
      <c r="E430" s="34"/>
      <c r="F430" s="34"/>
      <c r="G430" s="35"/>
      <c r="H430" s="35"/>
      <c r="I430" s="34"/>
      <c r="J430" s="34"/>
      <c r="K430" s="65"/>
      <c r="L430" s="34"/>
      <c r="M430" s="34"/>
      <c r="N430" s="34"/>
      <c r="O430" s="34"/>
      <c r="P430" s="188"/>
      <c r="Q430" s="188"/>
      <c r="R430" s="34"/>
      <c r="S430" s="34"/>
      <c r="T430" s="304"/>
      <c r="U430" s="34"/>
      <c r="V430" s="34"/>
      <c r="W430" s="34"/>
      <c r="X430" s="34"/>
      <c r="Y430" s="105"/>
      <c r="Z430" s="105"/>
    </row>
    <row r="431" spans="1:26" ht="12.75">
      <c r="A431" s="309"/>
      <c r="B431" s="309"/>
      <c r="C431" s="34"/>
      <c r="D431" s="362"/>
      <c r="E431" s="34"/>
      <c r="F431" s="34"/>
      <c r="G431" s="35"/>
      <c r="H431" s="35"/>
      <c r="I431" s="34"/>
      <c r="J431" s="34"/>
      <c r="K431" s="65"/>
      <c r="L431" s="34"/>
      <c r="M431" s="34"/>
      <c r="N431" s="34"/>
      <c r="O431" s="34"/>
      <c r="P431" s="188"/>
      <c r="Q431" s="188"/>
      <c r="R431" s="34"/>
      <c r="S431" s="34"/>
      <c r="T431" s="304"/>
      <c r="U431" s="34"/>
      <c r="V431" s="34"/>
      <c r="W431" s="34"/>
      <c r="X431" s="34"/>
      <c r="Y431" s="105"/>
      <c r="Z431" s="105"/>
    </row>
    <row r="432" spans="1:26" ht="12.75">
      <c r="A432" s="309"/>
      <c r="B432" s="309"/>
      <c r="C432" s="34"/>
      <c r="D432" s="362"/>
      <c r="E432" s="34"/>
      <c r="F432" s="34"/>
      <c r="G432" s="35"/>
      <c r="H432" s="35"/>
      <c r="I432" s="34"/>
      <c r="J432" s="34"/>
      <c r="K432" s="65"/>
      <c r="L432" s="34"/>
      <c r="M432" s="34"/>
      <c r="N432" s="34"/>
      <c r="O432" s="34"/>
      <c r="P432" s="188"/>
      <c r="Q432" s="188"/>
      <c r="R432" s="34"/>
      <c r="S432" s="34"/>
      <c r="T432" s="304"/>
      <c r="U432" s="34"/>
      <c r="V432" s="34"/>
      <c r="W432" s="34"/>
      <c r="X432" s="34"/>
      <c r="Y432" s="105"/>
      <c r="Z432" s="105"/>
    </row>
    <row r="433" spans="1:26" ht="12.75">
      <c r="A433" s="309"/>
      <c r="B433" s="309"/>
      <c r="C433" s="34"/>
      <c r="D433" s="362"/>
      <c r="E433" s="34"/>
      <c r="F433" s="34"/>
      <c r="G433" s="35"/>
      <c r="H433" s="35"/>
      <c r="I433" s="34"/>
      <c r="J433" s="34"/>
      <c r="K433" s="65"/>
      <c r="L433" s="34"/>
      <c r="M433" s="34"/>
      <c r="N433" s="34"/>
      <c r="O433" s="34"/>
      <c r="P433" s="188"/>
      <c r="Q433" s="188"/>
      <c r="R433" s="34"/>
      <c r="S433" s="34"/>
      <c r="T433" s="304"/>
      <c r="U433" s="34"/>
      <c r="V433" s="34"/>
      <c r="W433" s="34"/>
      <c r="X433" s="34"/>
      <c r="Y433" s="105"/>
      <c r="Z433" s="105"/>
    </row>
    <row r="434" spans="1:26" ht="12.75">
      <c r="A434" s="309"/>
      <c r="B434" s="309"/>
      <c r="C434" s="34"/>
      <c r="D434" s="362"/>
      <c r="E434" s="34"/>
      <c r="F434" s="34"/>
      <c r="G434" s="35"/>
      <c r="H434" s="35"/>
      <c r="I434" s="34"/>
      <c r="J434" s="34"/>
      <c r="K434" s="65"/>
      <c r="L434" s="34"/>
      <c r="M434" s="34"/>
      <c r="N434" s="34"/>
      <c r="O434" s="34"/>
      <c r="P434" s="188"/>
      <c r="Q434" s="188"/>
      <c r="R434" s="34"/>
      <c r="S434" s="34"/>
      <c r="T434" s="304"/>
      <c r="U434" s="34"/>
      <c r="V434" s="34"/>
      <c r="W434" s="34"/>
      <c r="X434" s="34"/>
      <c r="Y434" s="105"/>
      <c r="Z434" s="105"/>
    </row>
    <row r="435" spans="1:26" ht="12.75">
      <c r="A435" s="309"/>
      <c r="B435" s="309"/>
      <c r="C435" s="34"/>
      <c r="D435" s="362"/>
      <c r="E435" s="34"/>
      <c r="F435" s="34"/>
      <c r="G435" s="35"/>
      <c r="H435" s="35"/>
      <c r="I435" s="34"/>
      <c r="J435" s="34"/>
      <c r="K435" s="65"/>
      <c r="L435" s="34"/>
      <c r="M435" s="34"/>
      <c r="N435" s="34"/>
      <c r="O435" s="34"/>
      <c r="P435" s="188"/>
      <c r="Q435" s="188"/>
      <c r="R435" s="34"/>
      <c r="S435" s="34"/>
      <c r="T435" s="304"/>
      <c r="U435" s="34"/>
      <c r="V435" s="34"/>
      <c r="W435" s="34"/>
      <c r="X435" s="34"/>
      <c r="Y435" s="105"/>
      <c r="Z435" s="105"/>
    </row>
    <row r="436" spans="1:26" ht="12.75">
      <c r="A436" s="309"/>
      <c r="B436" s="309"/>
      <c r="C436" s="34"/>
      <c r="D436" s="362"/>
      <c r="E436" s="34"/>
      <c r="F436" s="34"/>
      <c r="G436" s="35"/>
      <c r="H436" s="35"/>
      <c r="I436" s="34"/>
      <c r="J436" s="34"/>
      <c r="K436" s="65"/>
      <c r="L436" s="34"/>
      <c r="M436" s="34"/>
      <c r="N436" s="34"/>
      <c r="O436" s="34"/>
      <c r="P436" s="188"/>
      <c r="Q436" s="188"/>
      <c r="R436" s="34"/>
      <c r="S436" s="34"/>
      <c r="T436" s="304"/>
      <c r="U436" s="34"/>
      <c r="V436" s="34"/>
      <c r="W436" s="34"/>
      <c r="X436" s="34"/>
      <c r="Y436" s="105"/>
      <c r="Z436" s="105"/>
    </row>
    <row r="437" spans="1:26" ht="12.75">
      <c r="A437" s="309"/>
      <c r="B437" s="309"/>
      <c r="C437" s="34"/>
      <c r="D437" s="362"/>
      <c r="E437" s="34"/>
      <c r="F437" s="34"/>
      <c r="G437" s="35"/>
      <c r="H437" s="35"/>
      <c r="I437" s="34"/>
      <c r="J437" s="34"/>
      <c r="K437" s="65"/>
      <c r="L437" s="34"/>
      <c r="M437" s="34"/>
      <c r="N437" s="34"/>
      <c r="O437" s="34"/>
      <c r="P437" s="188"/>
      <c r="Q437" s="188"/>
      <c r="R437" s="34"/>
      <c r="S437" s="34"/>
      <c r="T437" s="304"/>
      <c r="U437" s="34"/>
      <c r="V437" s="34"/>
      <c r="W437" s="34"/>
      <c r="X437" s="34"/>
      <c r="Y437" s="105"/>
      <c r="Z437" s="105"/>
    </row>
    <row r="438" spans="1:26" ht="12.75">
      <c r="A438" s="309"/>
      <c r="B438" s="309"/>
      <c r="C438" s="34"/>
      <c r="D438" s="362"/>
      <c r="E438" s="34"/>
      <c r="F438" s="34"/>
      <c r="G438" s="35"/>
      <c r="H438" s="35"/>
      <c r="I438" s="34"/>
      <c r="J438" s="34"/>
      <c r="K438" s="65"/>
      <c r="L438" s="34"/>
      <c r="M438" s="34"/>
      <c r="N438" s="34"/>
      <c r="O438" s="34"/>
      <c r="P438" s="188"/>
      <c r="Q438" s="188"/>
      <c r="R438" s="34"/>
      <c r="S438" s="34"/>
      <c r="T438" s="304"/>
      <c r="U438" s="34"/>
      <c r="V438" s="34"/>
      <c r="W438" s="34"/>
      <c r="X438" s="34"/>
      <c r="Y438" s="105"/>
      <c r="Z438" s="105"/>
    </row>
    <row r="439" spans="1:26" ht="12.75">
      <c r="A439" s="309"/>
      <c r="B439" s="309"/>
      <c r="C439" s="34"/>
      <c r="D439" s="362"/>
      <c r="E439" s="34"/>
      <c r="F439" s="34"/>
      <c r="G439" s="35"/>
      <c r="H439" s="35"/>
      <c r="I439" s="34"/>
      <c r="J439" s="34"/>
      <c r="K439" s="65"/>
      <c r="L439" s="34"/>
      <c r="M439" s="34"/>
      <c r="N439" s="34"/>
      <c r="O439" s="34"/>
      <c r="P439" s="188"/>
      <c r="Q439" s="188"/>
      <c r="R439" s="34"/>
      <c r="S439" s="34"/>
      <c r="T439" s="304"/>
      <c r="U439" s="34"/>
      <c r="V439" s="34"/>
      <c r="W439" s="34"/>
      <c r="X439" s="34"/>
      <c r="Y439" s="105"/>
      <c r="Z439" s="105"/>
    </row>
    <row r="440" spans="1:26" ht="12.75">
      <c r="A440" s="309"/>
      <c r="B440" s="309"/>
      <c r="C440" s="34"/>
      <c r="D440" s="362"/>
      <c r="E440" s="34"/>
      <c r="F440" s="34"/>
      <c r="G440" s="35"/>
      <c r="H440" s="35"/>
      <c r="I440" s="34"/>
      <c r="J440" s="34"/>
      <c r="K440" s="65"/>
      <c r="L440" s="34"/>
      <c r="M440" s="34"/>
      <c r="N440" s="34"/>
      <c r="O440" s="34"/>
      <c r="P440" s="188"/>
      <c r="Q440" s="188"/>
      <c r="R440" s="34"/>
      <c r="S440" s="34"/>
      <c r="T440" s="304"/>
      <c r="U440" s="34"/>
      <c r="V440" s="34"/>
      <c r="W440" s="34"/>
      <c r="X440" s="34"/>
      <c r="Y440" s="105"/>
      <c r="Z440" s="105"/>
    </row>
    <row r="441" spans="1:26" ht="12.75">
      <c r="A441" s="309"/>
      <c r="B441" s="309"/>
      <c r="C441" s="34"/>
      <c r="D441" s="362"/>
      <c r="E441" s="34"/>
      <c r="F441" s="34"/>
      <c r="G441" s="35"/>
      <c r="H441" s="35"/>
      <c r="I441" s="34"/>
      <c r="J441" s="34"/>
      <c r="K441" s="65"/>
      <c r="L441" s="34"/>
      <c r="M441" s="34"/>
      <c r="N441" s="34"/>
      <c r="O441" s="34"/>
      <c r="P441" s="188"/>
      <c r="Q441" s="188"/>
      <c r="R441" s="34"/>
      <c r="S441" s="34"/>
      <c r="T441" s="304"/>
      <c r="U441" s="34"/>
      <c r="V441" s="34"/>
      <c r="W441" s="34"/>
      <c r="X441" s="34"/>
      <c r="Y441" s="105"/>
      <c r="Z441" s="105"/>
    </row>
    <row r="442" spans="1:26" ht="12.75">
      <c r="A442" s="309"/>
      <c r="B442" s="309"/>
      <c r="C442" s="34"/>
      <c r="D442" s="362"/>
      <c r="E442" s="34"/>
      <c r="F442" s="34"/>
      <c r="G442" s="35"/>
      <c r="H442" s="35"/>
      <c r="I442" s="34"/>
      <c r="J442" s="34"/>
      <c r="K442" s="65"/>
      <c r="L442" s="34"/>
      <c r="M442" s="34"/>
      <c r="N442" s="34"/>
      <c r="O442" s="34"/>
      <c r="P442" s="188"/>
      <c r="Q442" s="188"/>
      <c r="R442" s="34"/>
      <c r="S442" s="34"/>
      <c r="T442" s="304"/>
      <c r="U442" s="34"/>
      <c r="V442" s="34"/>
      <c r="W442" s="34"/>
      <c r="X442" s="34"/>
      <c r="Y442" s="105"/>
      <c r="Z442" s="105"/>
    </row>
    <row r="443" spans="1:26" ht="12.75">
      <c r="A443" s="309"/>
      <c r="B443" s="309"/>
      <c r="C443" s="34"/>
      <c r="D443" s="362"/>
      <c r="E443" s="34"/>
      <c r="F443" s="34"/>
      <c r="G443" s="35"/>
      <c r="H443" s="35"/>
      <c r="I443" s="34"/>
      <c r="J443" s="34"/>
      <c r="K443" s="65"/>
      <c r="L443" s="34"/>
      <c r="M443" s="34"/>
      <c r="N443" s="34"/>
      <c r="O443" s="34"/>
      <c r="P443" s="188"/>
      <c r="Q443" s="188"/>
      <c r="R443" s="34"/>
      <c r="S443" s="34"/>
      <c r="T443" s="304"/>
      <c r="U443" s="34"/>
      <c r="V443" s="34"/>
      <c r="W443" s="34"/>
      <c r="X443" s="34"/>
      <c r="Y443" s="105"/>
      <c r="Z443" s="105"/>
    </row>
    <row r="444" spans="1:26" ht="12.75">
      <c r="A444" s="309"/>
      <c r="B444" s="309"/>
      <c r="C444" s="34"/>
      <c r="D444" s="362"/>
      <c r="E444" s="34"/>
      <c r="F444" s="34"/>
      <c r="G444" s="35"/>
      <c r="H444" s="35"/>
      <c r="I444" s="34"/>
      <c r="J444" s="34"/>
      <c r="K444" s="65"/>
      <c r="L444" s="34"/>
      <c r="M444" s="34"/>
      <c r="N444" s="34"/>
      <c r="O444" s="34"/>
      <c r="P444" s="188"/>
      <c r="Q444" s="188"/>
      <c r="R444" s="34"/>
      <c r="S444" s="34"/>
      <c r="T444" s="304"/>
      <c r="U444" s="34"/>
      <c r="V444" s="34"/>
      <c r="W444" s="34"/>
      <c r="X444" s="34"/>
      <c r="Y444" s="105"/>
      <c r="Z444" s="105"/>
    </row>
    <row r="445" spans="1:26" ht="12.75">
      <c r="A445" s="309"/>
      <c r="B445" s="309"/>
      <c r="C445" s="34"/>
      <c r="D445" s="362"/>
      <c r="E445" s="34"/>
      <c r="F445" s="34"/>
      <c r="G445" s="35"/>
      <c r="H445" s="35"/>
      <c r="I445" s="34"/>
      <c r="J445" s="34"/>
      <c r="K445" s="65"/>
      <c r="L445" s="34"/>
      <c r="M445" s="34"/>
      <c r="N445" s="34"/>
      <c r="O445" s="34"/>
      <c r="P445" s="188"/>
      <c r="Q445" s="188"/>
      <c r="R445" s="34"/>
      <c r="S445" s="34"/>
      <c r="T445" s="304"/>
      <c r="U445" s="34"/>
      <c r="V445" s="34"/>
      <c r="W445" s="34"/>
      <c r="X445" s="34"/>
      <c r="Y445" s="105"/>
      <c r="Z445" s="105"/>
    </row>
    <row r="446" spans="1:26" ht="12.75">
      <c r="A446" s="309"/>
      <c r="B446" s="309"/>
      <c r="C446" s="34"/>
      <c r="D446" s="362"/>
      <c r="E446" s="34"/>
      <c r="F446" s="34"/>
      <c r="G446" s="35"/>
      <c r="H446" s="35"/>
      <c r="I446" s="34"/>
      <c r="J446" s="34"/>
      <c r="K446" s="65"/>
      <c r="L446" s="34"/>
      <c r="M446" s="34"/>
      <c r="N446" s="34"/>
      <c r="O446" s="34"/>
      <c r="P446" s="188"/>
      <c r="Q446" s="188"/>
      <c r="R446" s="34"/>
      <c r="S446" s="34"/>
      <c r="T446" s="304"/>
      <c r="U446" s="34"/>
      <c r="V446" s="34"/>
      <c r="W446" s="34"/>
      <c r="X446" s="34"/>
      <c r="Y446" s="105"/>
      <c r="Z446" s="105"/>
    </row>
    <row r="447" spans="1:26" ht="12.75">
      <c r="A447" s="309"/>
      <c r="B447" s="309"/>
      <c r="C447" s="34"/>
      <c r="D447" s="362"/>
      <c r="E447" s="34"/>
      <c r="F447" s="34"/>
      <c r="G447" s="35"/>
      <c r="H447" s="35"/>
      <c r="I447" s="34"/>
      <c r="J447" s="34"/>
      <c r="K447" s="65"/>
      <c r="L447" s="34"/>
      <c r="M447" s="34"/>
      <c r="N447" s="34"/>
      <c r="O447" s="34"/>
      <c r="P447" s="188"/>
      <c r="Q447" s="188"/>
      <c r="R447" s="34"/>
      <c r="S447" s="34"/>
      <c r="T447" s="304"/>
      <c r="U447" s="34"/>
      <c r="V447" s="34"/>
      <c r="W447" s="34"/>
      <c r="X447" s="34"/>
      <c r="Y447" s="105"/>
      <c r="Z447" s="105"/>
    </row>
    <row r="448" spans="1:26" ht="12.75">
      <c r="A448" s="309"/>
      <c r="B448" s="309"/>
      <c r="C448" s="34"/>
      <c r="D448" s="362"/>
      <c r="E448" s="34"/>
      <c r="F448" s="34"/>
      <c r="G448" s="35"/>
      <c r="H448" s="35"/>
      <c r="I448" s="34"/>
      <c r="J448" s="34"/>
      <c r="K448" s="65"/>
      <c r="L448" s="34"/>
      <c r="M448" s="34"/>
      <c r="N448" s="34"/>
      <c r="O448" s="34"/>
      <c r="P448" s="188"/>
      <c r="Q448" s="188"/>
      <c r="R448" s="34"/>
      <c r="S448" s="34"/>
      <c r="T448" s="304"/>
      <c r="U448" s="34"/>
      <c r="V448" s="34"/>
      <c r="W448" s="34"/>
      <c r="X448" s="34"/>
      <c r="Y448" s="105"/>
      <c r="Z448" s="105"/>
    </row>
    <row r="449" spans="1:26" ht="12.75">
      <c r="A449" s="309"/>
      <c r="B449" s="309"/>
      <c r="C449" s="34"/>
      <c r="D449" s="362"/>
      <c r="E449" s="34"/>
      <c r="F449" s="34"/>
      <c r="G449" s="35"/>
      <c r="H449" s="35"/>
      <c r="I449" s="34"/>
      <c r="J449" s="34"/>
      <c r="K449" s="65"/>
      <c r="L449" s="34"/>
      <c r="M449" s="34"/>
      <c r="N449" s="34"/>
      <c r="O449" s="34"/>
      <c r="P449" s="188"/>
      <c r="Q449" s="188"/>
      <c r="R449" s="34"/>
      <c r="S449" s="34"/>
      <c r="T449" s="304"/>
      <c r="U449" s="34"/>
      <c r="V449" s="34"/>
      <c r="W449" s="34"/>
      <c r="X449" s="34"/>
      <c r="Y449" s="105"/>
      <c r="Z449" s="105"/>
    </row>
    <row r="450" spans="1:26" ht="12.75">
      <c r="A450" s="309"/>
      <c r="B450" s="309"/>
      <c r="C450" s="34"/>
      <c r="D450" s="362"/>
      <c r="E450" s="34"/>
      <c r="F450" s="34"/>
      <c r="G450" s="35"/>
      <c r="H450" s="35"/>
      <c r="I450" s="34"/>
      <c r="J450" s="34"/>
      <c r="K450" s="65"/>
      <c r="L450" s="34"/>
      <c r="M450" s="34"/>
      <c r="N450" s="34"/>
      <c r="O450" s="34"/>
      <c r="P450" s="188"/>
      <c r="Q450" s="188"/>
      <c r="R450" s="34"/>
      <c r="S450" s="34"/>
      <c r="T450" s="304"/>
      <c r="U450" s="34"/>
      <c r="V450" s="34"/>
      <c r="W450" s="34"/>
      <c r="X450" s="34"/>
      <c r="Y450" s="105"/>
      <c r="Z450" s="105"/>
    </row>
    <row r="451" spans="1:26" ht="12.75">
      <c r="A451" s="309"/>
      <c r="B451" s="309"/>
      <c r="C451" s="34"/>
      <c r="D451" s="362"/>
      <c r="E451" s="34"/>
      <c r="F451" s="34"/>
      <c r="G451" s="35"/>
      <c r="H451" s="35"/>
      <c r="I451" s="34"/>
      <c r="J451" s="34"/>
      <c r="K451" s="65"/>
      <c r="L451" s="34"/>
      <c r="M451" s="34"/>
      <c r="N451" s="34"/>
      <c r="O451" s="34"/>
      <c r="P451" s="188"/>
      <c r="Q451" s="188"/>
      <c r="R451" s="34"/>
      <c r="S451" s="34"/>
      <c r="T451" s="304"/>
      <c r="U451" s="34"/>
      <c r="V451" s="34"/>
      <c r="W451" s="34"/>
      <c r="X451" s="34"/>
      <c r="Y451" s="105"/>
      <c r="Z451" s="105"/>
    </row>
    <row r="452" spans="1:26" ht="12.75">
      <c r="A452" s="309"/>
      <c r="B452" s="309"/>
      <c r="C452" s="34"/>
      <c r="D452" s="362"/>
      <c r="E452" s="34"/>
      <c r="F452" s="34"/>
      <c r="G452" s="35"/>
      <c r="H452" s="35"/>
      <c r="I452" s="34"/>
      <c r="J452" s="34"/>
      <c r="K452" s="65"/>
      <c r="L452" s="34"/>
      <c r="M452" s="34"/>
      <c r="N452" s="34"/>
      <c r="O452" s="34"/>
      <c r="P452" s="188"/>
      <c r="Q452" s="188"/>
      <c r="R452" s="34"/>
      <c r="S452" s="34"/>
      <c r="T452" s="304"/>
      <c r="U452" s="34"/>
      <c r="V452" s="34"/>
      <c r="W452" s="34"/>
      <c r="X452" s="34"/>
      <c r="Y452" s="105"/>
      <c r="Z452" s="105"/>
    </row>
    <row r="453" spans="1:26" ht="12.75">
      <c r="A453" s="309"/>
      <c r="B453" s="309"/>
      <c r="C453" s="34"/>
      <c r="D453" s="362"/>
      <c r="E453" s="34"/>
      <c r="F453" s="34"/>
      <c r="G453" s="35"/>
      <c r="H453" s="35"/>
      <c r="I453" s="34"/>
      <c r="J453" s="34"/>
      <c r="K453" s="65"/>
      <c r="L453" s="34"/>
      <c r="M453" s="34"/>
      <c r="N453" s="34"/>
      <c r="O453" s="34"/>
      <c r="P453" s="188"/>
      <c r="Q453" s="188"/>
      <c r="R453" s="34"/>
      <c r="S453" s="34"/>
      <c r="T453" s="304"/>
      <c r="U453" s="34"/>
      <c r="V453" s="34"/>
      <c r="W453" s="34"/>
      <c r="X453" s="34"/>
      <c r="Y453" s="105"/>
      <c r="Z453" s="105"/>
    </row>
    <row r="454" spans="1:26" ht="12.75">
      <c r="A454" s="309"/>
      <c r="B454" s="309"/>
      <c r="C454" s="34"/>
      <c r="D454" s="362"/>
      <c r="E454" s="34"/>
      <c r="F454" s="34"/>
      <c r="G454" s="35"/>
      <c r="H454" s="35"/>
      <c r="I454" s="34"/>
      <c r="J454" s="34"/>
      <c r="K454" s="65"/>
      <c r="L454" s="34"/>
      <c r="M454" s="34"/>
      <c r="N454" s="34"/>
      <c r="O454" s="34"/>
      <c r="P454" s="188"/>
      <c r="Q454" s="188"/>
      <c r="R454" s="34"/>
      <c r="S454" s="34"/>
      <c r="T454" s="304"/>
      <c r="U454" s="34"/>
      <c r="V454" s="34"/>
      <c r="W454" s="34"/>
      <c r="X454" s="34"/>
      <c r="Y454" s="105"/>
      <c r="Z454" s="105"/>
    </row>
    <row r="455" spans="1:26" ht="12.75">
      <c r="A455" s="309"/>
      <c r="B455" s="309"/>
      <c r="C455" s="34"/>
      <c r="D455" s="362"/>
      <c r="E455" s="34"/>
      <c r="F455" s="34"/>
      <c r="G455" s="35"/>
      <c r="H455" s="35"/>
      <c r="I455" s="34"/>
      <c r="J455" s="34"/>
      <c r="K455" s="65"/>
      <c r="L455" s="34"/>
      <c r="M455" s="34"/>
      <c r="N455" s="34"/>
      <c r="O455" s="34"/>
      <c r="P455" s="188"/>
      <c r="Q455" s="188"/>
      <c r="R455" s="34"/>
      <c r="S455" s="34"/>
      <c r="T455" s="304"/>
      <c r="U455" s="34"/>
      <c r="V455" s="34"/>
      <c r="W455" s="34"/>
      <c r="X455" s="34"/>
      <c r="Y455" s="105"/>
      <c r="Z455" s="105"/>
    </row>
    <row r="456" spans="1:26" ht="12.75">
      <c r="A456" s="309"/>
      <c r="B456" s="309"/>
      <c r="C456" s="34"/>
      <c r="D456" s="362"/>
      <c r="E456" s="34"/>
      <c r="F456" s="34"/>
      <c r="G456" s="35"/>
      <c r="H456" s="35"/>
      <c r="I456" s="34"/>
      <c r="J456" s="34"/>
      <c r="K456" s="65"/>
      <c r="L456" s="34"/>
      <c r="M456" s="34"/>
      <c r="N456" s="34"/>
      <c r="O456" s="34"/>
      <c r="P456" s="188"/>
      <c r="Q456" s="188"/>
      <c r="R456" s="34"/>
      <c r="S456" s="34"/>
      <c r="T456" s="304"/>
      <c r="U456" s="34"/>
      <c r="V456" s="34"/>
      <c r="W456" s="34"/>
      <c r="X456" s="34"/>
      <c r="Y456" s="105"/>
      <c r="Z456" s="105"/>
    </row>
    <row r="457" spans="1:26" ht="12.75">
      <c r="A457" s="309"/>
      <c r="B457" s="309"/>
      <c r="C457" s="34"/>
      <c r="D457" s="362"/>
      <c r="E457" s="34"/>
      <c r="F457" s="34"/>
      <c r="G457" s="35"/>
      <c r="H457" s="35"/>
      <c r="I457" s="34"/>
      <c r="J457" s="34"/>
      <c r="K457" s="65"/>
      <c r="L457" s="34"/>
      <c r="M457" s="34"/>
      <c r="N457" s="34"/>
      <c r="O457" s="34"/>
      <c r="P457" s="188"/>
      <c r="Q457" s="188"/>
      <c r="R457" s="34"/>
      <c r="S457" s="34"/>
      <c r="T457" s="304"/>
      <c r="U457" s="34"/>
      <c r="V457" s="34"/>
      <c r="W457" s="34"/>
      <c r="X457" s="34"/>
      <c r="Y457" s="105"/>
      <c r="Z457" s="105"/>
    </row>
    <row r="458" spans="1:26" ht="12.75">
      <c r="A458" s="309"/>
      <c r="B458" s="309"/>
      <c r="C458" s="34"/>
      <c r="D458" s="362"/>
      <c r="E458" s="34"/>
      <c r="F458" s="34"/>
      <c r="G458" s="35"/>
      <c r="H458" s="35"/>
      <c r="I458" s="34"/>
      <c r="J458" s="34"/>
      <c r="K458" s="65"/>
      <c r="L458" s="34"/>
      <c r="M458" s="34"/>
      <c r="N458" s="34"/>
      <c r="O458" s="34"/>
      <c r="P458" s="188"/>
      <c r="Q458" s="188"/>
      <c r="R458" s="34"/>
      <c r="S458" s="34"/>
      <c r="T458" s="304"/>
      <c r="U458" s="34"/>
      <c r="V458" s="34"/>
      <c r="W458" s="34"/>
      <c r="X458" s="34"/>
      <c r="Y458" s="105"/>
      <c r="Z458" s="105"/>
    </row>
    <row r="459" spans="1:26" ht="12.75">
      <c r="A459" s="309"/>
      <c r="B459" s="309"/>
      <c r="C459" s="34"/>
      <c r="D459" s="362"/>
      <c r="E459" s="34"/>
      <c r="F459" s="34"/>
      <c r="G459" s="35"/>
      <c r="H459" s="35"/>
      <c r="I459" s="34"/>
      <c r="J459" s="34"/>
      <c r="K459" s="65"/>
      <c r="L459" s="34"/>
      <c r="M459" s="34"/>
      <c r="N459" s="34"/>
      <c r="O459" s="34"/>
      <c r="P459" s="188"/>
      <c r="Q459" s="188"/>
      <c r="R459" s="34"/>
      <c r="S459" s="34"/>
      <c r="T459" s="304"/>
      <c r="U459" s="34"/>
      <c r="V459" s="34"/>
      <c r="W459" s="34"/>
      <c r="X459" s="34"/>
      <c r="Y459" s="105"/>
      <c r="Z459" s="105"/>
    </row>
    <row r="460" spans="1:26" ht="12.75">
      <c r="A460" s="309"/>
      <c r="B460" s="309"/>
      <c r="C460" s="34"/>
      <c r="D460" s="362"/>
      <c r="E460" s="34"/>
      <c r="F460" s="34"/>
      <c r="G460" s="35"/>
      <c r="H460" s="35"/>
      <c r="I460" s="34"/>
      <c r="J460" s="34"/>
      <c r="K460" s="65"/>
      <c r="L460" s="34"/>
      <c r="M460" s="34"/>
      <c r="N460" s="34"/>
      <c r="O460" s="34"/>
      <c r="P460" s="188"/>
      <c r="Q460" s="188"/>
      <c r="R460" s="34"/>
      <c r="S460" s="34"/>
      <c r="T460" s="304"/>
      <c r="U460" s="34"/>
      <c r="V460" s="34"/>
      <c r="W460" s="34"/>
      <c r="X460" s="34"/>
      <c r="Y460" s="105"/>
      <c r="Z460" s="105"/>
    </row>
    <row r="461" spans="1:26" ht="12.75">
      <c r="A461" s="309"/>
      <c r="B461" s="309"/>
      <c r="C461" s="34"/>
      <c r="D461" s="362"/>
      <c r="E461" s="34"/>
      <c r="F461" s="34"/>
      <c r="G461" s="35"/>
      <c r="H461" s="35"/>
      <c r="I461" s="34"/>
      <c r="J461" s="34"/>
      <c r="K461" s="65"/>
      <c r="L461" s="34"/>
      <c r="M461" s="34"/>
      <c r="N461" s="34"/>
      <c r="O461" s="34"/>
      <c r="P461" s="188"/>
      <c r="Q461" s="188"/>
      <c r="R461" s="34"/>
      <c r="S461" s="34"/>
      <c r="T461" s="304"/>
      <c r="U461" s="34"/>
      <c r="V461" s="34"/>
      <c r="W461" s="34"/>
      <c r="X461" s="34"/>
      <c r="Y461" s="105"/>
      <c r="Z461" s="105"/>
    </row>
    <row r="462" spans="1:26" ht="12.75">
      <c r="A462" s="309"/>
      <c r="B462" s="309"/>
      <c r="C462" s="34"/>
      <c r="D462" s="362"/>
      <c r="E462" s="34"/>
      <c r="F462" s="34"/>
      <c r="G462" s="35"/>
      <c r="H462" s="35"/>
      <c r="I462" s="34"/>
      <c r="J462" s="34"/>
      <c r="K462" s="65"/>
      <c r="L462" s="34"/>
      <c r="M462" s="34"/>
      <c r="N462" s="34"/>
      <c r="O462" s="34"/>
      <c r="P462" s="188"/>
      <c r="Q462" s="188"/>
      <c r="R462" s="34"/>
      <c r="S462" s="34"/>
      <c r="T462" s="304"/>
      <c r="U462" s="34"/>
      <c r="V462" s="34"/>
      <c r="W462" s="34"/>
      <c r="X462" s="34"/>
      <c r="Y462" s="105"/>
      <c r="Z462" s="105"/>
    </row>
    <row r="463" spans="1:26" ht="12.75">
      <c r="A463" s="309"/>
      <c r="B463" s="309"/>
      <c r="C463" s="34"/>
      <c r="D463" s="362"/>
      <c r="E463" s="34"/>
      <c r="F463" s="34"/>
      <c r="G463" s="35"/>
      <c r="H463" s="35"/>
      <c r="I463" s="34"/>
      <c r="J463" s="34"/>
      <c r="K463" s="65"/>
      <c r="L463" s="34"/>
      <c r="M463" s="34"/>
      <c r="N463" s="34"/>
      <c r="O463" s="34"/>
      <c r="P463" s="188"/>
      <c r="Q463" s="188"/>
      <c r="R463" s="34"/>
      <c r="S463" s="34"/>
      <c r="T463" s="304"/>
      <c r="U463" s="34"/>
      <c r="V463" s="34"/>
      <c r="W463" s="34"/>
      <c r="X463" s="34"/>
      <c r="Y463" s="105"/>
      <c r="Z463" s="105"/>
    </row>
    <row r="464" spans="1:26" ht="12.75">
      <c r="A464" s="309"/>
      <c r="B464" s="309"/>
      <c r="C464" s="34"/>
      <c r="D464" s="362"/>
      <c r="E464" s="34"/>
      <c r="F464" s="34"/>
      <c r="G464" s="35"/>
      <c r="H464" s="35"/>
      <c r="I464" s="34"/>
      <c r="J464" s="34"/>
      <c r="K464" s="65"/>
      <c r="L464" s="34"/>
      <c r="M464" s="34"/>
      <c r="N464" s="34"/>
      <c r="O464" s="34"/>
      <c r="P464" s="188"/>
      <c r="Q464" s="188"/>
      <c r="R464" s="34"/>
      <c r="S464" s="34"/>
      <c r="T464" s="304"/>
      <c r="U464" s="34"/>
      <c r="V464" s="34"/>
      <c r="W464" s="34"/>
      <c r="X464" s="34"/>
      <c r="Y464" s="105"/>
      <c r="Z464" s="105"/>
    </row>
    <row r="465" spans="1:26" ht="12.75">
      <c r="A465" s="309"/>
      <c r="B465" s="309"/>
      <c r="C465" s="34"/>
      <c r="D465" s="362"/>
      <c r="E465" s="34"/>
      <c r="F465" s="34"/>
      <c r="G465" s="35"/>
      <c r="H465" s="35"/>
      <c r="I465" s="34"/>
      <c r="J465" s="34"/>
      <c r="K465" s="65"/>
      <c r="L465" s="34"/>
      <c r="M465" s="34"/>
      <c r="N465" s="34"/>
      <c r="O465" s="34"/>
      <c r="P465" s="188"/>
      <c r="Q465" s="188"/>
      <c r="R465" s="34"/>
      <c r="S465" s="34"/>
      <c r="T465" s="304"/>
      <c r="U465" s="34"/>
      <c r="V465" s="34"/>
      <c r="W465" s="34"/>
      <c r="X465" s="34"/>
      <c r="Y465" s="105"/>
      <c r="Z465" s="105"/>
    </row>
    <row r="466" spans="1:26" ht="12.75">
      <c r="A466" s="309"/>
      <c r="B466" s="309"/>
      <c r="C466" s="34"/>
      <c r="D466" s="362"/>
      <c r="E466" s="34"/>
      <c r="F466" s="34"/>
      <c r="G466" s="35"/>
      <c r="H466" s="35"/>
      <c r="I466" s="34"/>
      <c r="J466" s="34"/>
      <c r="K466" s="65"/>
      <c r="L466" s="34"/>
      <c r="M466" s="34"/>
      <c r="N466" s="34"/>
      <c r="O466" s="34"/>
      <c r="P466" s="188"/>
      <c r="Q466" s="188"/>
      <c r="R466" s="34"/>
      <c r="S466" s="34"/>
      <c r="T466" s="304"/>
      <c r="U466" s="34"/>
      <c r="V466" s="34"/>
      <c r="W466" s="34"/>
      <c r="X466" s="34"/>
      <c r="Y466" s="105"/>
      <c r="Z466" s="105"/>
    </row>
    <row r="467" spans="1:26" ht="12.75">
      <c r="A467" s="309"/>
      <c r="B467" s="309"/>
      <c r="C467" s="34"/>
      <c r="D467" s="362"/>
      <c r="E467" s="34"/>
      <c r="F467" s="34"/>
      <c r="G467" s="35"/>
      <c r="H467" s="35"/>
      <c r="I467" s="34"/>
      <c r="J467" s="34"/>
      <c r="K467" s="65"/>
      <c r="L467" s="34"/>
      <c r="M467" s="34"/>
      <c r="N467" s="34"/>
      <c r="O467" s="34"/>
      <c r="P467" s="188"/>
      <c r="Q467" s="188"/>
      <c r="R467" s="34"/>
      <c r="S467" s="34"/>
      <c r="T467" s="304"/>
      <c r="U467" s="34"/>
      <c r="V467" s="34"/>
      <c r="W467" s="34"/>
      <c r="X467" s="34"/>
      <c r="Y467" s="105"/>
      <c r="Z467" s="105"/>
    </row>
    <row r="468" spans="1:26" ht="12.75">
      <c r="A468" s="309"/>
      <c r="B468" s="309"/>
      <c r="C468" s="34"/>
      <c r="D468" s="362"/>
      <c r="E468" s="34"/>
      <c r="F468" s="34"/>
      <c r="G468" s="35"/>
      <c r="H468" s="35"/>
      <c r="I468" s="34"/>
      <c r="J468" s="34"/>
      <c r="K468" s="65"/>
      <c r="L468" s="34"/>
      <c r="M468" s="34"/>
      <c r="N468" s="34"/>
      <c r="O468" s="34"/>
      <c r="P468" s="188"/>
      <c r="Q468" s="188"/>
      <c r="R468" s="34"/>
      <c r="S468" s="34"/>
      <c r="T468" s="304"/>
      <c r="U468" s="34"/>
      <c r="V468" s="34"/>
      <c r="W468" s="34"/>
      <c r="X468" s="34"/>
      <c r="Y468" s="105"/>
      <c r="Z468" s="105"/>
    </row>
    <row r="469" spans="1:26" ht="12.75">
      <c r="A469" s="309"/>
      <c r="B469" s="309"/>
      <c r="C469" s="34"/>
      <c r="D469" s="362"/>
      <c r="E469" s="34"/>
      <c r="F469" s="34"/>
      <c r="G469" s="35"/>
      <c r="H469" s="35"/>
      <c r="I469" s="34"/>
      <c r="J469" s="34"/>
      <c r="K469" s="65"/>
      <c r="L469" s="34"/>
      <c r="M469" s="34"/>
      <c r="N469" s="34"/>
      <c r="O469" s="34"/>
      <c r="P469" s="188"/>
      <c r="Q469" s="188"/>
      <c r="R469" s="34"/>
      <c r="S469" s="34"/>
      <c r="T469" s="304"/>
      <c r="U469" s="34"/>
      <c r="V469" s="34"/>
      <c r="W469" s="34"/>
      <c r="X469" s="34"/>
      <c r="Y469" s="105"/>
      <c r="Z469" s="105"/>
    </row>
    <row r="470" spans="1:26" ht="12.75">
      <c r="A470" s="309"/>
      <c r="B470" s="309"/>
      <c r="C470" s="34"/>
      <c r="D470" s="362"/>
      <c r="E470" s="34"/>
      <c r="F470" s="34"/>
      <c r="G470" s="35"/>
      <c r="H470" s="35"/>
      <c r="I470" s="34"/>
      <c r="J470" s="34"/>
      <c r="K470" s="65"/>
      <c r="L470" s="34"/>
      <c r="M470" s="34"/>
      <c r="N470" s="34"/>
      <c r="O470" s="34"/>
      <c r="P470" s="188"/>
      <c r="Q470" s="188"/>
      <c r="R470" s="34"/>
      <c r="S470" s="34"/>
      <c r="T470" s="304"/>
      <c r="U470" s="34"/>
      <c r="V470" s="34"/>
      <c r="W470" s="34"/>
      <c r="X470" s="34"/>
      <c r="Y470" s="105"/>
      <c r="Z470" s="105"/>
    </row>
    <row r="471" spans="1:26" ht="12.75">
      <c r="A471" s="309"/>
      <c r="B471" s="309"/>
      <c r="C471" s="34"/>
      <c r="D471" s="362"/>
      <c r="E471" s="34"/>
      <c r="F471" s="34"/>
      <c r="G471" s="35"/>
      <c r="H471" s="35"/>
      <c r="I471" s="34"/>
      <c r="J471" s="34"/>
      <c r="K471" s="65"/>
      <c r="L471" s="34"/>
      <c r="M471" s="34"/>
      <c r="N471" s="34"/>
      <c r="O471" s="34"/>
      <c r="P471" s="188"/>
      <c r="Q471" s="188"/>
      <c r="R471" s="34"/>
      <c r="S471" s="34"/>
      <c r="T471" s="304"/>
      <c r="U471" s="34"/>
      <c r="V471" s="34"/>
      <c r="W471" s="34"/>
      <c r="X471" s="34"/>
      <c r="Y471" s="105"/>
      <c r="Z471" s="105"/>
    </row>
    <row r="472" spans="1:26" ht="12.75">
      <c r="A472" s="309"/>
      <c r="B472" s="309"/>
      <c r="C472" s="34"/>
      <c r="D472" s="362"/>
      <c r="E472" s="34"/>
      <c r="F472" s="34"/>
      <c r="G472" s="35"/>
      <c r="H472" s="35"/>
      <c r="I472" s="34"/>
      <c r="J472" s="34"/>
      <c r="K472" s="65"/>
      <c r="L472" s="34"/>
      <c r="M472" s="34"/>
      <c r="N472" s="34"/>
      <c r="O472" s="34"/>
      <c r="P472" s="188"/>
      <c r="Q472" s="188"/>
      <c r="R472" s="34"/>
      <c r="S472" s="34"/>
      <c r="T472" s="304"/>
      <c r="U472" s="34"/>
      <c r="V472" s="34"/>
      <c r="W472" s="34"/>
      <c r="X472" s="34"/>
      <c r="Y472" s="105"/>
      <c r="Z472" s="105"/>
    </row>
    <row r="473" spans="1:26" ht="12.75">
      <c r="A473" s="309"/>
      <c r="B473" s="309"/>
      <c r="C473" s="34"/>
      <c r="D473" s="362"/>
      <c r="E473" s="34"/>
      <c r="F473" s="34"/>
      <c r="G473" s="35"/>
      <c r="H473" s="35"/>
      <c r="I473" s="34"/>
      <c r="J473" s="34"/>
      <c r="K473" s="65"/>
      <c r="L473" s="34"/>
      <c r="M473" s="34"/>
      <c r="N473" s="34"/>
      <c r="O473" s="34"/>
      <c r="P473" s="188"/>
      <c r="Q473" s="188"/>
      <c r="R473" s="34"/>
      <c r="S473" s="34"/>
      <c r="T473" s="304"/>
      <c r="U473" s="34"/>
      <c r="V473" s="34"/>
      <c r="W473" s="34"/>
      <c r="X473" s="34"/>
      <c r="Y473" s="105"/>
      <c r="Z473" s="105"/>
    </row>
    <row r="474" spans="1:26" ht="12.75">
      <c r="A474" s="309"/>
      <c r="B474" s="309"/>
      <c r="C474" s="34"/>
      <c r="D474" s="362"/>
      <c r="E474" s="34"/>
      <c r="F474" s="34"/>
      <c r="G474" s="35"/>
      <c r="H474" s="35"/>
      <c r="I474" s="34"/>
      <c r="J474" s="34"/>
      <c r="K474" s="65"/>
      <c r="L474" s="34"/>
      <c r="M474" s="34"/>
      <c r="N474" s="34"/>
      <c r="O474" s="34"/>
      <c r="P474" s="188"/>
      <c r="Q474" s="188"/>
      <c r="R474" s="34"/>
      <c r="S474" s="34"/>
      <c r="T474" s="304"/>
      <c r="U474" s="34"/>
      <c r="V474" s="34"/>
      <c r="W474" s="34"/>
      <c r="X474" s="34"/>
      <c r="Y474" s="105"/>
      <c r="Z474" s="105"/>
    </row>
    <row r="475" spans="1:26" ht="12.75">
      <c r="A475" s="309"/>
      <c r="B475" s="309"/>
      <c r="C475" s="34"/>
      <c r="D475" s="362"/>
      <c r="E475" s="34"/>
      <c r="F475" s="34"/>
      <c r="G475" s="35"/>
      <c r="H475" s="35"/>
      <c r="I475" s="34"/>
      <c r="J475" s="34"/>
      <c r="K475" s="65"/>
      <c r="L475" s="34"/>
      <c r="M475" s="34"/>
      <c r="N475" s="34"/>
      <c r="O475" s="34"/>
      <c r="P475" s="188"/>
      <c r="Q475" s="188"/>
      <c r="R475" s="34"/>
      <c r="S475" s="34"/>
      <c r="T475" s="304"/>
      <c r="U475" s="34"/>
      <c r="V475" s="34"/>
      <c r="W475" s="34"/>
      <c r="X475" s="34"/>
      <c r="Y475" s="105"/>
      <c r="Z475" s="105"/>
    </row>
    <row r="476" spans="1:26" ht="12.75">
      <c r="A476" s="309"/>
      <c r="B476" s="309"/>
      <c r="C476" s="34"/>
      <c r="D476" s="362"/>
      <c r="E476" s="34"/>
      <c r="F476" s="34"/>
      <c r="G476" s="35"/>
      <c r="H476" s="35"/>
      <c r="I476" s="34"/>
      <c r="J476" s="34"/>
      <c r="K476" s="65"/>
      <c r="L476" s="34"/>
      <c r="M476" s="34"/>
      <c r="N476" s="34"/>
      <c r="O476" s="34"/>
      <c r="P476" s="188"/>
      <c r="Q476" s="188"/>
      <c r="R476" s="34"/>
      <c r="S476" s="34"/>
      <c r="T476" s="304"/>
      <c r="U476" s="34"/>
      <c r="V476" s="34"/>
      <c r="W476" s="34"/>
      <c r="X476" s="34"/>
      <c r="Y476" s="105"/>
      <c r="Z476" s="105"/>
    </row>
    <row r="477" spans="1:26" ht="12.75">
      <c r="A477" s="309"/>
      <c r="B477" s="309"/>
      <c r="C477" s="34"/>
      <c r="D477" s="362"/>
      <c r="E477" s="34"/>
      <c r="F477" s="34"/>
      <c r="G477" s="35"/>
      <c r="H477" s="35"/>
      <c r="I477" s="34"/>
      <c r="J477" s="34"/>
      <c r="K477" s="65"/>
      <c r="L477" s="34"/>
      <c r="M477" s="34"/>
      <c r="N477" s="34"/>
      <c r="O477" s="34"/>
      <c r="P477" s="188"/>
      <c r="Q477" s="188"/>
      <c r="R477" s="34"/>
      <c r="S477" s="34"/>
      <c r="T477" s="304"/>
      <c r="U477" s="34"/>
      <c r="V477" s="34"/>
      <c r="W477" s="34"/>
      <c r="X477" s="34"/>
      <c r="Y477" s="105"/>
      <c r="Z477" s="105"/>
    </row>
    <row r="478" spans="1:26" ht="12.75">
      <c r="A478" s="309"/>
      <c r="B478" s="309"/>
      <c r="C478" s="34"/>
      <c r="D478" s="362"/>
      <c r="E478" s="34"/>
      <c r="F478" s="34"/>
      <c r="G478" s="35"/>
      <c r="H478" s="35"/>
      <c r="I478" s="34"/>
      <c r="J478" s="34"/>
      <c r="K478" s="65"/>
      <c r="L478" s="34"/>
      <c r="M478" s="34"/>
      <c r="N478" s="34"/>
      <c r="O478" s="34"/>
      <c r="P478" s="188"/>
      <c r="Q478" s="188"/>
      <c r="R478" s="34"/>
      <c r="S478" s="34"/>
      <c r="T478" s="304"/>
      <c r="U478" s="34"/>
      <c r="V478" s="34"/>
      <c r="W478" s="34"/>
      <c r="X478" s="34"/>
      <c r="Y478" s="105"/>
      <c r="Z478" s="105"/>
    </row>
    <row r="479" spans="1:26" ht="12.75">
      <c r="A479" s="309"/>
      <c r="B479" s="309"/>
      <c r="C479" s="34"/>
      <c r="D479" s="362"/>
      <c r="E479" s="34"/>
      <c r="F479" s="34"/>
      <c r="G479" s="35"/>
      <c r="H479" s="35"/>
      <c r="I479" s="34"/>
      <c r="J479" s="34"/>
      <c r="K479" s="65"/>
      <c r="L479" s="34"/>
      <c r="M479" s="34"/>
      <c r="N479" s="34"/>
      <c r="O479" s="34"/>
      <c r="P479" s="188"/>
      <c r="Q479" s="188"/>
      <c r="R479" s="34"/>
      <c r="S479" s="34"/>
      <c r="T479" s="304"/>
      <c r="U479" s="34"/>
      <c r="V479" s="34"/>
      <c r="W479" s="34"/>
      <c r="X479" s="34"/>
      <c r="Y479" s="105"/>
      <c r="Z479" s="105"/>
    </row>
    <row r="480" spans="1:26" ht="12.75">
      <c r="A480" s="309"/>
      <c r="B480" s="309"/>
      <c r="C480" s="34"/>
      <c r="D480" s="362"/>
      <c r="E480" s="34"/>
      <c r="F480" s="34"/>
      <c r="G480" s="35"/>
      <c r="H480" s="35"/>
      <c r="I480" s="34"/>
      <c r="J480" s="34"/>
      <c r="K480" s="65"/>
      <c r="L480" s="34"/>
      <c r="M480" s="34"/>
      <c r="N480" s="34"/>
      <c r="O480" s="34"/>
      <c r="P480" s="188"/>
      <c r="Q480" s="188"/>
      <c r="R480" s="34"/>
      <c r="S480" s="34"/>
      <c r="T480" s="304"/>
      <c r="U480" s="34"/>
      <c r="V480" s="34"/>
      <c r="W480" s="34"/>
      <c r="X480" s="34"/>
      <c r="Y480" s="105"/>
      <c r="Z480" s="105"/>
    </row>
    <row r="481" spans="1:26" ht="12.75">
      <c r="A481" s="309"/>
      <c r="B481" s="309"/>
      <c r="C481" s="34"/>
      <c r="D481" s="362"/>
      <c r="E481" s="34"/>
      <c r="F481" s="34"/>
      <c r="G481" s="35"/>
      <c r="H481" s="35"/>
      <c r="I481" s="34"/>
      <c r="J481" s="34"/>
      <c r="K481" s="65"/>
      <c r="L481" s="34"/>
      <c r="M481" s="34"/>
      <c r="N481" s="34"/>
      <c r="O481" s="34"/>
      <c r="P481" s="188"/>
      <c r="Q481" s="188"/>
      <c r="R481" s="34"/>
      <c r="S481" s="34"/>
      <c r="T481" s="304"/>
      <c r="U481" s="34"/>
      <c r="V481" s="34"/>
      <c r="W481" s="34"/>
      <c r="X481" s="34"/>
      <c r="Y481" s="105"/>
      <c r="Z481" s="105"/>
    </row>
    <row r="482" spans="1:26" ht="12.75">
      <c r="A482" s="309"/>
      <c r="B482" s="309"/>
      <c r="C482" s="34"/>
      <c r="D482" s="362"/>
      <c r="E482" s="34"/>
      <c r="F482" s="34"/>
      <c r="G482" s="35"/>
      <c r="H482" s="35"/>
      <c r="I482" s="34"/>
      <c r="J482" s="34"/>
      <c r="K482" s="65"/>
      <c r="L482" s="34"/>
      <c r="M482" s="34"/>
      <c r="N482" s="34"/>
      <c r="O482" s="34"/>
      <c r="P482" s="188"/>
      <c r="Q482" s="188"/>
      <c r="R482" s="34"/>
      <c r="S482" s="34"/>
      <c r="T482" s="304"/>
      <c r="U482" s="34"/>
      <c r="V482" s="34"/>
      <c r="W482" s="34"/>
      <c r="X482" s="34"/>
      <c r="Y482" s="105"/>
      <c r="Z482" s="105"/>
    </row>
    <row r="483" spans="1:26" ht="12.75">
      <c r="A483" s="309"/>
      <c r="B483" s="309"/>
      <c r="C483" s="34"/>
      <c r="D483" s="362"/>
      <c r="E483" s="34"/>
      <c r="F483" s="34"/>
      <c r="G483" s="35"/>
      <c r="H483" s="35"/>
      <c r="I483" s="34"/>
      <c r="J483" s="34"/>
      <c r="K483" s="65"/>
      <c r="L483" s="34"/>
      <c r="M483" s="34"/>
      <c r="N483" s="34"/>
      <c r="O483" s="34"/>
      <c r="P483" s="188"/>
      <c r="Q483" s="188"/>
      <c r="R483" s="34"/>
      <c r="S483" s="34"/>
      <c r="T483" s="304"/>
      <c r="U483" s="34"/>
      <c r="V483" s="34"/>
      <c r="W483" s="34"/>
      <c r="X483" s="34"/>
      <c r="Y483" s="105"/>
      <c r="Z483" s="105"/>
    </row>
    <row r="484" spans="1:26" ht="12.75">
      <c r="A484" s="309"/>
      <c r="B484" s="309"/>
      <c r="C484" s="34"/>
      <c r="D484" s="362"/>
      <c r="E484" s="34"/>
      <c r="F484" s="34"/>
      <c r="G484" s="35"/>
      <c r="H484" s="35"/>
      <c r="I484" s="34"/>
      <c r="J484" s="34"/>
      <c r="K484" s="65"/>
      <c r="L484" s="34"/>
      <c r="M484" s="34"/>
      <c r="N484" s="34"/>
      <c r="O484" s="34"/>
      <c r="P484" s="188"/>
      <c r="Q484" s="188"/>
      <c r="R484" s="34"/>
      <c r="S484" s="34"/>
      <c r="T484" s="304"/>
      <c r="U484" s="34"/>
      <c r="V484" s="34"/>
      <c r="W484" s="34"/>
      <c r="X484" s="34"/>
      <c r="Y484" s="105"/>
      <c r="Z484" s="105"/>
    </row>
    <row r="485" spans="1:26" ht="12.75">
      <c r="A485" s="309"/>
      <c r="B485" s="309"/>
      <c r="C485" s="34"/>
      <c r="D485" s="362"/>
      <c r="E485" s="34"/>
      <c r="F485" s="34"/>
      <c r="G485" s="35"/>
      <c r="H485" s="35"/>
      <c r="I485" s="34"/>
      <c r="J485" s="34"/>
      <c r="K485" s="65"/>
      <c r="L485" s="34"/>
      <c r="M485" s="34"/>
      <c r="N485" s="34"/>
      <c r="O485" s="34"/>
      <c r="P485" s="188"/>
      <c r="Q485" s="188"/>
      <c r="R485" s="34"/>
      <c r="S485" s="34"/>
      <c r="T485" s="304"/>
      <c r="U485" s="34"/>
      <c r="V485" s="34"/>
      <c r="W485" s="34"/>
      <c r="X485" s="34"/>
      <c r="Y485" s="105"/>
      <c r="Z485" s="105"/>
    </row>
    <row r="486" spans="1:26" ht="12.75">
      <c r="A486" s="309"/>
      <c r="B486" s="309"/>
      <c r="C486" s="34"/>
      <c r="D486" s="362"/>
      <c r="E486" s="34"/>
      <c r="F486" s="34"/>
      <c r="G486" s="35"/>
      <c r="H486" s="35"/>
      <c r="I486" s="34"/>
      <c r="J486" s="34"/>
      <c r="K486" s="65"/>
      <c r="L486" s="34"/>
      <c r="M486" s="34"/>
      <c r="N486" s="34"/>
      <c r="O486" s="34"/>
      <c r="P486" s="188"/>
      <c r="Q486" s="188"/>
      <c r="R486" s="34"/>
      <c r="S486" s="34"/>
      <c r="T486" s="304"/>
      <c r="U486" s="34"/>
      <c r="V486" s="34"/>
      <c r="W486" s="34"/>
      <c r="X486" s="34"/>
      <c r="Y486" s="105"/>
      <c r="Z486" s="105"/>
    </row>
    <row r="487" spans="1:26" ht="12.75">
      <c r="A487" s="309"/>
      <c r="B487" s="309"/>
      <c r="C487" s="34"/>
      <c r="D487" s="362"/>
      <c r="E487" s="34"/>
      <c r="F487" s="34"/>
      <c r="G487" s="35"/>
      <c r="H487" s="35"/>
      <c r="I487" s="34"/>
      <c r="J487" s="34"/>
      <c r="K487" s="65"/>
      <c r="L487" s="34"/>
      <c r="M487" s="34"/>
      <c r="N487" s="34"/>
      <c r="O487" s="34"/>
      <c r="P487" s="188"/>
      <c r="Q487" s="188"/>
      <c r="R487" s="34"/>
      <c r="S487" s="34"/>
      <c r="T487" s="304"/>
      <c r="U487" s="34"/>
      <c r="V487" s="34"/>
      <c r="W487" s="34"/>
      <c r="X487" s="34"/>
      <c r="Y487" s="105"/>
      <c r="Z487" s="105"/>
    </row>
    <row r="488" spans="1:26" ht="12.75">
      <c r="A488" s="309"/>
      <c r="B488" s="309"/>
      <c r="C488" s="34"/>
      <c r="D488" s="362"/>
      <c r="E488" s="34"/>
      <c r="F488" s="34"/>
      <c r="G488" s="35"/>
      <c r="H488" s="35"/>
      <c r="I488" s="34"/>
      <c r="J488" s="34"/>
      <c r="K488" s="65"/>
      <c r="L488" s="34"/>
      <c r="M488" s="34"/>
      <c r="N488" s="34"/>
      <c r="O488" s="34"/>
      <c r="P488" s="188"/>
      <c r="Q488" s="188"/>
      <c r="R488" s="34"/>
      <c r="S488" s="34"/>
      <c r="T488" s="304"/>
      <c r="U488" s="34"/>
      <c r="V488" s="34"/>
      <c r="W488" s="34"/>
      <c r="X488" s="34"/>
      <c r="Y488" s="105"/>
      <c r="Z488" s="105"/>
    </row>
    <row r="489" spans="1:26" ht="12.75">
      <c r="A489" s="309"/>
      <c r="B489" s="309"/>
      <c r="C489" s="34"/>
      <c r="D489" s="362"/>
      <c r="E489" s="34"/>
      <c r="F489" s="34"/>
      <c r="G489" s="35"/>
      <c r="H489" s="35"/>
      <c r="I489" s="34"/>
      <c r="J489" s="34"/>
      <c r="K489" s="65"/>
      <c r="L489" s="34"/>
      <c r="M489" s="34"/>
      <c r="N489" s="34"/>
      <c r="O489" s="34"/>
      <c r="P489" s="188"/>
      <c r="Q489" s="188"/>
      <c r="R489" s="34"/>
      <c r="S489" s="34"/>
      <c r="T489" s="304"/>
      <c r="U489" s="34"/>
      <c r="V489" s="34"/>
      <c r="W489" s="34"/>
      <c r="X489" s="34"/>
      <c r="Y489" s="105"/>
      <c r="Z489" s="105"/>
    </row>
    <row r="490" spans="1:26" ht="12.75">
      <c r="A490" s="309"/>
      <c r="B490" s="309"/>
      <c r="C490" s="34"/>
      <c r="D490" s="362"/>
      <c r="E490" s="34"/>
      <c r="F490" s="34"/>
      <c r="G490" s="35"/>
      <c r="H490" s="35"/>
      <c r="I490" s="34"/>
      <c r="J490" s="34"/>
      <c r="K490" s="65"/>
      <c r="L490" s="34"/>
      <c r="M490" s="34"/>
      <c r="N490" s="34"/>
      <c r="O490" s="34"/>
      <c r="P490" s="188"/>
      <c r="Q490" s="188"/>
      <c r="R490" s="34"/>
      <c r="S490" s="34"/>
      <c r="T490" s="304"/>
      <c r="U490" s="34"/>
      <c r="V490" s="34"/>
      <c r="W490" s="34"/>
      <c r="X490" s="34"/>
      <c r="Y490" s="105"/>
      <c r="Z490" s="105"/>
    </row>
    <row r="491" spans="1:26" ht="12.75">
      <c r="A491" s="309"/>
      <c r="B491" s="309"/>
      <c r="C491" s="34"/>
      <c r="D491" s="362"/>
      <c r="E491" s="34"/>
      <c r="F491" s="34"/>
      <c r="G491" s="35"/>
      <c r="H491" s="35"/>
      <c r="I491" s="34"/>
      <c r="J491" s="34"/>
      <c r="K491" s="65"/>
      <c r="L491" s="34"/>
      <c r="M491" s="34"/>
      <c r="N491" s="34"/>
      <c r="O491" s="34"/>
      <c r="P491" s="188"/>
      <c r="Q491" s="188"/>
      <c r="R491" s="34"/>
      <c r="S491" s="34"/>
      <c r="T491" s="304"/>
      <c r="U491" s="34"/>
      <c r="V491" s="34"/>
      <c r="W491" s="34"/>
      <c r="X491" s="34"/>
      <c r="Y491" s="105"/>
      <c r="Z491" s="105"/>
    </row>
    <row r="492" spans="1:26" ht="12.75">
      <c r="A492" s="309"/>
      <c r="B492" s="309"/>
      <c r="C492" s="34"/>
      <c r="D492" s="362"/>
      <c r="E492" s="34"/>
      <c r="F492" s="34"/>
      <c r="G492" s="35"/>
      <c r="H492" s="35"/>
      <c r="I492" s="34"/>
      <c r="J492" s="34"/>
      <c r="K492" s="65"/>
      <c r="L492" s="34"/>
      <c r="M492" s="34"/>
      <c r="N492" s="34"/>
      <c r="O492" s="34"/>
      <c r="P492" s="188"/>
      <c r="Q492" s="188"/>
      <c r="R492" s="34"/>
      <c r="S492" s="34"/>
      <c r="T492" s="304"/>
      <c r="U492" s="34"/>
      <c r="V492" s="34"/>
      <c r="W492" s="34"/>
      <c r="X492" s="34"/>
      <c r="Y492" s="105"/>
      <c r="Z492" s="105"/>
    </row>
    <row r="493" spans="1:26" ht="12.75">
      <c r="A493" s="309"/>
      <c r="B493" s="309"/>
      <c r="C493" s="34"/>
      <c r="D493" s="362"/>
      <c r="E493" s="34"/>
      <c r="F493" s="34"/>
      <c r="G493" s="35"/>
      <c r="H493" s="35"/>
      <c r="I493" s="34"/>
      <c r="J493" s="34"/>
      <c r="K493" s="65"/>
      <c r="L493" s="34"/>
      <c r="M493" s="34"/>
      <c r="N493" s="34"/>
      <c r="O493" s="34"/>
      <c r="P493" s="188"/>
      <c r="Q493" s="188"/>
      <c r="R493" s="34"/>
      <c r="S493" s="34"/>
      <c r="T493" s="304"/>
      <c r="U493" s="34"/>
      <c r="V493" s="34"/>
      <c r="W493" s="34"/>
      <c r="X493" s="34"/>
      <c r="Y493" s="105"/>
      <c r="Z493" s="105"/>
    </row>
    <row r="494" spans="1:26" ht="12.75">
      <c r="A494" s="309"/>
      <c r="B494" s="309"/>
      <c r="C494" s="34"/>
      <c r="D494" s="362"/>
      <c r="E494" s="34"/>
      <c r="F494" s="34"/>
      <c r="G494" s="35"/>
      <c r="H494" s="35"/>
      <c r="I494" s="34"/>
      <c r="J494" s="34"/>
      <c r="K494" s="65"/>
      <c r="L494" s="34"/>
      <c r="M494" s="34"/>
      <c r="N494" s="34"/>
      <c r="O494" s="34"/>
      <c r="P494" s="188"/>
      <c r="Q494" s="188"/>
      <c r="R494" s="34"/>
      <c r="S494" s="34"/>
      <c r="T494" s="304"/>
      <c r="U494" s="34"/>
      <c r="V494" s="34"/>
      <c r="W494" s="34"/>
      <c r="X494" s="34"/>
      <c r="Y494" s="105"/>
      <c r="Z494" s="105"/>
    </row>
    <row r="495" spans="1:26" ht="12.75">
      <c r="A495" s="309"/>
      <c r="B495" s="309"/>
      <c r="C495" s="34"/>
      <c r="D495" s="362"/>
      <c r="E495" s="34"/>
      <c r="F495" s="34"/>
      <c r="G495" s="35"/>
      <c r="H495" s="35"/>
      <c r="I495" s="34"/>
      <c r="J495" s="34"/>
      <c r="K495" s="65"/>
      <c r="L495" s="34"/>
      <c r="M495" s="34"/>
      <c r="N495" s="34"/>
      <c r="O495" s="34"/>
      <c r="P495" s="188"/>
      <c r="Q495" s="188"/>
      <c r="R495" s="34"/>
      <c r="S495" s="34"/>
      <c r="T495" s="304"/>
      <c r="U495" s="34"/>
      <c r="V495" s="34"/>
      <c r="W495" s="34"/>
      <c r="X495" s="34"/>
      <c r="Y495" s="105"/>
      <c r="Z495" s="105"/>
    </row>
    <row r="496" spans="1:26" ht="12.75">
      <c r="A496" s="309"/>
      <c r="B496" s="309"/>
      <c r="C496" s="34"/>
      <c r="D496" s="362"/>
      <c r="E496" s="34"/>
      <c r="F496" s="34"/>
      <c r="G496" s="35"/>
      <c r="H496" s="35"/>
      <c r="I496" s="34"/>
      <c r="J496" s="34"/>
      <c r="K496" s="65"/>
      <c r="L496" s="34"/>
      <c r="M496" s="34"/>
      <c r="N496" s="34"/>
      <c r="O496" s="34"/>
      <c r="P496" s="188"/>
      <c r="Q496" s="188"/>
      <c r="R496" s="34"/>
      <c r="S496" s="34"/>
      <c r="T496" s="304"/>
      <c r="U496" s="34"/>
      <c r="V496" s="34"/>
      <c r="W496" s="34"/>
      <c r="X496" s="34"/>
      <c r="Y496" s="105"/>
      <c r="Z496" s="105"/>
    </row>
    <row r="497" spans="1:26" ht="12.75">
      <c r="A497" s="309"/>
      <c r="B497" s="309"/>
      <c r="C497" s="34"/>
      <c r="D497" s="362"/>
      <c r="E497" s="34"/>
      <c r="F497" s="34"/>
      <c r="G497" s="35"/>
      <c r="H497" s="35"/>
      <c r="I497" s="34"/>
      <c r="J497" s="34"/>
      <c r="K497" s="65"/>
      <c r="L497" s="34"/>
      <c r="M497" s="34"/>
      <c r="N497" s="34"/>
      <c r="O497" s="34"/>
      <c r="P497" s="188"/>
      <c r="Q497" s="188"/>
      <c r="R497" s="34"/>
      <c r="S497" s="34"/>
      <c r="T497" s="304"/>
      <c r="U497" s="34"/>
      <c r="V497" s="34"/>
      <c r="W497" s="34"/>
      <c r="X497" s="34"/>
      <c r="Y497" s="105"/>
      <c r="Z497" s="105"/>
    </row>
    <row r="498" spans="1:26" ht="12.75">
      <c r="A498" s="309"/>
      <c r="B498" s="309"/>
      <c r="C498" s="34"/>
      <c r="D498" s="362"/>
      <c r="E498" s="34"/>
      <c r="F498" s="34"/>
      <c r="G498" s="35"/>
      <c r="H498" s="35"/>
      <c r="I498" s="34"/>
      <c r="J498" s="34"/>
      <c r="K498" s="65"/>
      <c r="L498" s="34"/>
      <c r="M498" s="34"/>
      <c r="N498" s="34"/>
      <c r="O498" s="34"/>
      <c r="P498" s="188"/>
      <c r="Q498" s="188"/>
      <c r="R498" s="34"/>
      <c r="S498" s="34"/>
      <c r="T498" s="304"/>
      <c r="U498" s="34"/>
      <c r="V498" s="34"/>
      <c r="W498" s="34"/>
      <c r="X498" s="34"/>
      <c r="Y498" s="105"/>
      <c r="Z498" s="105"/>
    </row>
    <row r="499" spans="1:26" ht="12.75">
      <c r="A499" s="309"/>
      <c r="B499" s="309"/>
      <c r="C499" s="34"/>
      <c r="D499" s="362"/>
      <c r="E499" s="34"/>
      <c r="F499" s="34"/>
      <c r="G499" s="35"/>
      <c r="H499" s="35"/>
      <c r="I499" s="34"/>
      <c r="J499" s="34"/>
      <c r="K499" s="65"/>
      <c r="L499" s="34"/>
      <c r="M499" s="34"/>
      <c r="N499" s="34"/>
      <c r="O499" s="34"/>
      <c r="P499" s="188"/>
      <c r="Q499" s="188"/>
      <c r="R499" s="34"/>
      <c r="S499" s="34"/>
      <c r="T499" s="304"/>
      <c r="U499" s="34"/>
      <c r="V499" s="34"/>
      <c r="W499" s="34"/>
      <c r="X499" s="34"/>
      <c r="Y499" s="105"/>
      <c r="Z499" s="105"/>
    </row>
    <row r="500" spans="1:26" ht="12.75">
      <c r="A500" s="309"/>
      <c r="B500" s="309"/>
      <c r="C500" s="34"/>
      <c r="D500" s="362"/>
      <c r="E500" s="34"/>
      <c r="F500" s="34"/>
      <c r="G500" s="35"/>
      <c r="H500" s="35"/>
      <c r="I500" s="34"/>
      <c r="J500" s="34"/>
      <c r="K500" s="65"/>
      <c r="L500" s="34"/>
      <c r="M500" s="34"/>
      <c r="N500" s="34"/>
      <c r="O500" s="34"/>
      <c r="P500" s="188"/>
      <c r="Q500" s="188"/>
      <c r="R500" s="34"/>
      <c r="S500" s="34"/>
      <c r="T500" s="304"/>
      <c r="U500" s="34"/>
      <c r="V500" s="34"/>
      <c r="W500" s="34"/>
      <c r="X500" s="34"/>
      <c r="Y500" s="105"/>
      <c r="Z500" s="105"/>
    </row>
    <row r="501" spans="1:26" ht="12.75">
      <c r="A501" s="309"/>
      <c r="B501" s="309"/>
      <c r="C501" s="34"/>
      <c r="D501" s="362"/>
      <c r="E501" s="34"/>
      <c r="F501" s="34"/>
      <c r="G501" s="35"/>
      <c r="H501" s="35"/>
      <c r="I501" s="34"/>
      <c r="J501" s="34"/>
      <c r="K501" s="65"/>
      <c r="L501" s="34"/>
      <c r="M501" s="34"/>
      <c r="N501" s="34"/>
      <c r="O501" s="34"/>
      <c r="P501" s="188"/>
      <c r="Q501" s="188"/>
      <c r="R501" s="34"/>
      <c r="S501" s="34"/>
      <c r="T501" s="304"/>
      <c r="U501" s="34"/>
      <c r="V501" s="34"/>
      <c r="W501" s="34"/>
      <c r="X501" s="34"/>
      <c r="Y501" s="105"/>
      <c r="Z501" s="105"/>
    </row>
    <row r="502" spans="1:26" ht="12.75">
      <c r="A502" s="309"/>
      <c r="B502" s="309"/>
      <c r="C502" s="34"/>
      <c r="D502" s="362"/>
      <c r="E502" s="34"/>
      <c r="F502" s="34"/>
      <c r="G502" s="35"/>
      <c r="H502" s="35"/>
      <c r="I502" s="34"/>
      <c r="J502" s="34"/>
      <c r="K502" s="65"/>
      <c r="L502" s="34"/>
      <c r="M502" s="34"/>
      <c r="N502" s="34"/>
      <c r="O502" s="34"/>
      <c r="P502" s="188"/>
      <c r="Q502" s="188"/>
      <c r="R502" s="34"/>
      <c r="S502" s="34"/>
      <c r="T502" s="304"/>
      <c r="U502" s="34"/>
      <c r="V502" s="34"/>
      <c r="W502" s="34"/>
      <c r="X502" s="34"/>
      <c r="Y502" s="105"/>
      <c r="Z502" s="105"/>
    </row>
    <row r="503" spans="1:26" ht="12.75">
      <c r="A503" s="309"/>
      <c r="B503" s="309"/>
      <c r="C503" s="34"/>
      <c r="D503" s="362"/>
      <c r="E503" s="34"/>
      <c r="F503" s="34"/>
      <c r="G503" s="35"/>
      <c r="H503" s="35"/>
      <c r="I503" s="34"/>
      <c r="J503" s="34"/>
      <c r="K503" s="65"/>
      <c r="L503" s="34"/>
      <c r="M503" s="34"/>
      <c r="N503" s="34"/>
      <c r="O503" s="34"/>
      <c r="P503" s="188"/>
      <c r="Q503" s="188"/>
      <c r="R503" s="34"/>
      <c r="S503" s="34"/>
      <c r="T503" s="304"/>
      <c r="U503" s="34"/>
      <c r="V503" s="34"/>
      <c r="W503" s="34"/>
      <c r="X503" s="34"/>
      <c r="Y503" s="105"/>
      <c r="Z503" s="105"/>
    </row>
    <row r="504" spans="1:26" ht="12.75">
      <c r="A504" s="309"/>
      <c r="B504" s="309"/>
      <c r="C504" s="34"/>
      <c r="D504" s="362"/>
      <c r="E504" s="34"/>
      <c r="F504" s="34"/>
      <c r="G504" s="35"/>
      <c r="H504" s="35"/>
      <c r="I504" s="34"/>
      <c r="J504" s="34"/>
      <c r="K504" s="65"/>
      <c r="L504" s="34"/>
      <c r="M504" s="34"/>
      <c r="N504" s="34"/>
      <c r="O504" s="34"/>
      <c r="P504" s="188"/>
      <c r="Q504" s="188"/>
      <c r="R504" s="34"/>
      <c r="S504" s="34"/>
      <c r="T504" s="304"/>
      <c r="U504" s="34"/>
      <c r="V504" s="34"/>
      <c r="W504" s="34"/>
      <c r="X504" s="34"/>
      <c r="Y504" s="105"/>
      <c r="Z504" s="105"/>
    </row>
    <row r="505" spans="1:26" ht="12.75">
      <c r="A505" s="309"/>
      <c r="B505" s="309"/>
      <c r="C505" s="34"/>
      <c r="D505" s="362"/>
      <c r="E505" s="34"/>
      <c r="F505" s="34"/>
      <c r="G505" s="35"/>
      <c r="H505" s="35"/>
      <c r="I505" s="34"/>
      <c r="J505" s="34"/>
      <c r="K505" s="65"/>
      <c r="L505" s="34"/>
      <c r="M505" s="34"/>
      <c r="N505" s="34"/>
      <c r="O505" s="34"/>
      <c r="P505" s="188"/>
      <c r="Q505" s="188"/>
      <c r="R505" s="34"/>
      <c r="S505" s="34"/>
      <c r="T505" s="304"/>
      <c r="U505" s="34"/>
      <c r="V505" s="34"/>
      <c r="W505" s="34"/>
      <c r="X505" s="34"/>
      <c r="Y505" s="105"/>
      <c r="Z505" s="105"/>
    </row>
    <row r="506" spans="1:26" ht="12.75">
      <c r="A506" s="309"/>
      <c r="B506" s="309"/>
      <c r="C506" s="34"/>
      <c r="D506" s="362"/>
      <c r="E506" s="34"/>
      <c r="F506" s="34"/>
      <c r="G506" s="35"/>
      <c r="H506" s="35"/>
      <c r="I506" s="34"/>
      <c r="J506" s="34"/>
      <c r="K506" s="65"/>
      <c r="L506" s="34"/>
      <c r="M506" s="34"/>
      <c r="N506" s="34"/>
      <c r="O506" s="34"/>
      <c r="P506" s="188"/>
      <c r="Q506" s="188"/>
      <c r="R506" s="34"/>
      <c r="S506" s="34"/>
      <c r="T506" s="304"/>
      <c r="U506" s="34"/>
      <c r="V506" s="34"/>
      <c r="W506" s="34"/>
      <c r="X506" s="34"/>
      <c r="Y506" s="105"/>
      <c r="Z506" s="105"/>
    </row>
    <row r="507" spans="1:26" ht="12.75">
      <c r="A507" s="309"/>
      <c r="B507" s="309"/>
      <c r="C507" s="34"/>
      <c r="D507" s="362"/>
      <c r="E507" s="34"/>
      <c r="F507" s="34"/>
      <c r="G507" s="35"/>
      <c r="H507" s="35"/>
      <c r="I507" s="34"/>
      <c r="J507" s="34"/>
      <c r="K507" s="65"/>
      <c r="L507" s="34"/>
      <c r="M507" s="34"/>
      <c r="N507" s="34"/>
      <c r="O507" s="34"/>
      <c r="P507" s="188"/>
      <c r="Q507" s="188"/>
      <c r="R507" s="34"/>
      <c r="S507" s="34"/>
      <c r="T507" s="304"/>
      <c r="U507" s="34"/>
      <c r="V507" s="34"/>
      <c r="W507" s="34"/>
      <c r="X507" s="34"/>
      <c r="Y507" s="105"/>
      <c r="Z507" s="105"/>
    </row>
    <row r="508" spans="1:26" ht="12.75">
      <c r="A508" s="309"/>
      <c r="B508" s="309"/>
      <c r="C508" s="34"/>
      <c r="D508" s="362"/>
      <c r="E508" s="34"/>
      <c r="F508" s="34"/>
      <c r="G508" s="35"/>
      <c r="H508" s="35"/>
      <c r="I508" s="34"/>
      <c r="J508" s="34"/>
      <c r="K508" s="65"/>
      <c r="L508" s="34"/>
      <c r="M508" s="34"/>
      <c r="N508" s="34"/>
      <c r="O508" s="34"/>
      <c r="P508" s="188"/>
      <c r="Q508" s="188"/>
      <c r="R508" s="34"/>
      <c r="S508" s="34"/>
      <c r="T508" s="304"/>
      <c r="U508" s="34"/>
      <c r="V508" s="34"/>
      <c r="W508" s="34"/>
      <c r="X508" s="34"/>
      <c r="Y508" s="105"/>
      <c r="Z508" s="105"/>
    </row>
    <row r="509" spans="1:26" ht="12.75">
      <c r="A509" s="309"/>
      <c r="B509" s="309"/>
      <c r="C509" s="34"/>
      <c r="D509" s="362"/>
      <c r="E509" s="34"/>
      <c r="F509" s="34"/>
      <c r="G509" s="35"/>
      <c r="H509" s="35"/>
      <c r="I509" s="34"/>
      <c r="J509" s="34"/>
      <c r="K509" s="65"/>
      <c r="L509" s="34"/>
      <c r="M509" s="34"/>
      <c r="N509" s="34"/>
      <c r="O509" s="34"/>
      <c r="P509" s="188"/>
      <c r="Q509" s="188"/>
      <c r="R509" s="34"/>
      <c r="S509" s="34"/>
      <c r="T509" s="304"/>
      <c r="U509" s="34"/>
      <c r="V509" s="34"/>
      <c r="W509" s="34"/>
      <c r="X509" s="34"/>
      <c r="Y509" s="105"/>
      <c r="Z509" s="105"/>
    </row>
    <row r="510" spans="1:26" ht="12.75">
      <c r="A510" s="309"/>
      <c r="B510" s="309"/>
      <c r="C510" s="34"/>
      <c r="D510" s="362"/>
      <c r="E510" s="34"/>
      <c r="F510" s="34"/>
      <c r="G510" s="35"/>
      <c r="H510" s="35"/>
      <c r="I510" s="34"/>
      <c r="J510" s="34"/>
      <c r="K510" s="65"/>
      <c r="L510" s="34"/>
      <c r="M510" s="34"/>
      <c r="N510" s="34"/>
      <c r="O510" s="34"/>
      <c r="P510" s="188"/>
      <c r="Q510" s="188"/>
      <c r="R510" s="34"/>
      <c r="S510" s="34"/>
      <c r="T510" s="304"/>
      <c r="U510" s="34"/>
      <c r="V510" s="34"/>
      <c r="W510" s="34"/>
      <c r="X510" s="34"/>
      <c r="Y510" s="105"/>
      <c r="Z510" s="105"/>
    </row>
    <row r="511" spans="1:26" ht="12.75">
      <c r="A511" s="309"/>
      <c r="B511" s="309"/>
      <c r="C511" s="34"/>
      <c r="D511" s="362"/>
      <c r="E511" s="34"/>
      <c r="F511" s="34"/>
      <c r="G511" s="35"/>
      <c r="H511" s="35"/>
      <c r="I511" s="34"/>
      <c r="J511" s="34"/>
      <c r="K511" s="65"/>
      <c r="L511" s="34"/>
      <c r="M511" s="34"/>
      <c r="N511" s="34"/>
      <c r="O511" s="34"/>
      <c r="P511" s="188"/>
      <c r="Q511" s="188"/>
      <c r="R511" s="34"/>
      <c r="S511" s="34"/>
      <c r="T511" s="304"/>
      <c r="U511" s="34"/>
      <c r="V511" s="34"/>
      <c r="W511" s="34"/>
      <c r="X511" s="34"/>
      <c r="Y511" s="105"/>
      <c r="Z511" s="105"/>
    </row>
    <row r="512" spans="1:26" ht="12.75">
      <c r="A512" s="309"/>
      <c r="B512" s="309"/>
      <c r="C512" s="34"/>
      <c r="D512" s="362"/>
      <c r="E512" s="34"/>
      <c r="F512" s="34"/>
      <c r="G512" s="35"/>
      <c r="H512" s="35"/>
      <c r="I512" s="34"/>
      <c r="J512" s="34"/>
      <c r="K512" s="65"/>
      <c r="L512" s="34"/>
      <c r="M512" s="34"/>
      <c r="N512" s="34"/>
      <c r="O512" s="34"/>
      <c r="P512" s="188"/>
      <c r="Q512" s="188"/>
      <c r="R512" s="34"/>
      <c r="S512" s="34"/>
      <c r="T512" s="304"/>
      <c r="U512" s="34"/>
      <c r="V512" s="34"/>
      <c r="W512" s="34"/>
      <c r="X512" s="34"/>
      <c r="Y512" s="105"/>
      <c r="Z512" s="105"/>
    </row>
    <row r="513" spans="1:26" ht="12.75">
      <c r="A513" s="309"/>
      <c r="B513" s="309"/>
      <c r="C513" s="34"/>
      <c r="D513" s="362"/>
      <c r="E513" s="34"/>
      <c r="F513" s="34"/>
      <c r="G513" s="35"/>
      <c r="H513" s="35"/>
      <c r="I513" s="34"/>
      <c r="J513" s="34"/>
      <c r="K513" s="65"/>
      <c r="L513" s="34"/>
      <c r="M513" s="34"/>
      <c r="N513" s="34"/>
      <c r="O513" s="34"/>
      <c r="P513" s="188"/>
      <c r="Q513" s="188"/>
      <c r="R513" s="34"/>
      <c r="S513" s="34"/>
      <c r="T513" s="304"/>
      <c r="U513" s="34"/>
      <c r="V513" s="34"/>
      <c r="W513" s="34"/>
      <c r="X513" s="34"/>
      <c r="Y513" s="105"/>
      <c r="Z513" s="105"/>
    </row>
    <row r="514" spans="1:26" ht="12.75">
      <c r="A514" s="309"/>
      <c r="B514" s="309"/>
      <c r="C514" s="34"/>
      <c r="D514" s="362"/>
      <c r="E514" s="34"/>
      <c r="F514" s="34"/>
      <c r="G514" s="35"/>
      <c r="H514" s="35"/>
      <c r="I514" s="34"/>
      <c r="J514" s="34"/>
      <c r="K514" s="65"/>
      <c r="L514" s="34"/>
      <c r="M514" s="34"/>
      <c r="N514" s="34"/>
      <c r="O514" s="34"/>
      <c r="P514" s="188"/>
      <c r="Q514" s="188"/>
      <c r="R514" s="34"/>
      <c r="S514" s="34"/>
      <c r="T514" s="304"/>
      <c r="U514" s="34"/>
      <c r="V514" s="34"/>
      <c r="W514" s="34"/>
      <c r="X514" s="34"/>
      <c r="Y514" s="105"/>
      <c r="Z514" s="105"/>
    </row>
    <row r="515" spans="1:26" ht="12.75">
      <c r="A515" s="309"/>
      <c r="B515" s="309"/>
      <c r="C515" s="34"/>
      <c r="D515" s="362"/>
      <c r="E515" s="34"/>
      <c r="F515" s="34"/>
      <c r="G515" s="35"/>
      <c r="H515" s="35"/>
      <c r="I515" s="34"/>
      <c r="J515" s="34"/>
      <c r="K515" s="65"/>
      <c r="L515" s="34"/>
      <c r="M515" s="34"/>
      <c r="N515" s="34"/>
      <c r="O515" s="34"/>
      <c r="P515" s="188"/>
      <c r="Q515" s="188"/>
      <c r="R515" s="34"/>
      <c r="S515" s="34"/>
      <c r="T515" s="304"/>
      <c r="U515" s="34"/>
      <c r="V515" s="34"/>
      <c r="W515" s="34"/>
      <c r="X515" s="34"/>
      <c r="Y515" s="105"/>
      <c r="Z515" s="105"/>
    </row>
    <row r="516" spans="1:26" ht="12.75">
      <c r="A516" s="309"/>
      <c r="B516" s="309"/>
      <c r="C516" s="34"/>
      <c r="D516" s="362"/>
      <c r="E516" s="34"/>
      <c r="F516" s="34"/>
      <c r="G516" s="35"/>
      <c r="H516" s="35"/>
      <c r="I516" s="34"/>
      <c r="J516" s="34"/>
      <c r="K516" s="65"/>
      <c r="L516" s="34"/>
      <c r="M516" s="34"/>
      <c r="N516" s="34"/>
      <c r="O516" s="34"/>
      <c r="P516" s="188"/>
      <c r="Q516" s="188"/>
      <c r="R516" s="34"/>
      <c r="S516" s="34"/>
      <c r="T516" s="304"/>
      <c r="U516" s="34"/>
      <c r="V516" s="34"/>
      <c r="W516" s="34"/>
      <c r="X516" s="34"/>
      <c r="Y516" s="105"/>
      <c r="Z516" s="105"/>
    </row>
    <row r="517" spans="1:26" ht="12.75">
      <c r="A517" s="309"/>
      <c r="B517" s="309"/>
      <c r="C517" s="34"/>
      <c r="D517" s="362"/>
      <c r="E517" s="34"/>
      <c r="F517" s="34"/>
      <c r="G517" s="35"/>
      <c r="H517" s="35"/>
      <c r="I517" s="34"/>
      <c r="J517" s="34"/>
      <c r="K517" s="65"/>
      <c r="L517" s="34"/>
      <c r="M517" s="34"/>
      <c r="N517" s="34"/>
      <c r="O517" s="34"/>
      <c r="P517" s="188"/>
      <c r="Q517" s="188"/>
      <c r="R517" s="34"/>
      <c r="S517" s="34"/>
      <c r="T517" s="304"/>
      <c r="U517" s="34"/>
      <c r="V517" s="34"/>
      <c r="W517" s="34"/>
      <c r="X517" s="34"/>
      <c r="Y517" s="105"/>
      <c r="Z517" s="105"/>
    </row>
    <row r="518" spans="1:26" ht="12.75">
      <c r="A518" s="309"/>
      <c r="B518" s="309"/>
      <c r="C518" s="34"/>
      <c r="D518" s="362"/>
      <c r="E518" s="34"/>
      <c r="F518" s="34"/>
      <c r="G518" s="35"/>
      <c r="H518" s="35"/>
      <c r="I518" s="34"/>
      <c r="J518" s="34"/>
      <c r="K518" s="65"/>
      <c r="L518" s="34"/>
      <c r="M518" s="34"/>
      <c r="N518" s="34"/>
      <c r="O518" s="34"/>
      <c r="P518" s="188"/>
      <c r="Q518" s="188"/>
      <c r="R518" s="34"/>
      <c r="S518" s="34"/>
      <c r="T518" s="304"/>
      <c r="U518" s="34"/>
      <c r="V518" s="34"/>
      <c r="W518" s="34"/>
      <c r="X518" s="34"/>
      <c r="Y518" s="105"/>
      <c r="Z518" s="105"/>
    </row>
    <row r="519" spans="1:26" ht="12.75">
      <c r="A519" s="309"/>
      <c r="B519" s="309"/>
      <c r="C519" s="34"/>
      <c r="D519" s="362"/>
      <c r="E519" s="34"/>
      <c r="F519" s="34"/>
      <c r="G519" s="35"/>
      <c r="H519" s="35"/>
      <c r="I519" s="34"/>
      <c r="J519" s="34"/>
      <c r="K519" s="65"/>
      <c r="L519" s="34"/>
      <c r="M519" s="34"/>
      <c r="N519" s="34"/>
      <c r="O519" s="34"/>
      <c r="P519" s="188"/>
      <c r="Q519" s="188"/>
      <c r="R519" s="34"/>
      <c r="S519" s="34"/>
      <c r="T519" s="304"/>
      <c r="U519" s="34"/>
      <c r="V519" s="34"/>
      <c r="W519" s="34"/>
      <c r="X519" s="34"/>
      <c r="Y519" s="105"/>
      <c r="Z519" s="105"/>
    </row>
    <row r="520" spans="1:26" ht="12.75">
      <c r="A520" s="309"/>
      <c r="B520" s="309"/>
      <c r="C520" s="34"/>
      <c r="D520" s="362"/>
      <c r="E520" s="34"/>
      <c r="F520" s="34"/>
      <c r="G520" s="35"/>
      <c r="H520" s="35"/>
      <c r="I520" s="34"/>
      <c r="J520" s="34"/>
      <c r="K520" s="65"/>
      <c r="L520" s="34"/>
      <c r="M520" s="34"/>
      <c r="N520" s="34"/>
      <c r="O520" s="34"/>
      <c r="P520" s="188"/>
      <c r="Q520" s="188"/>
      <c r="R520" s="34"/>
      <c r="S520" s="34"/>
      <c r="T520" s="304"/>
      <c r="U520" s="34"/>
      <c r="V520" s="34"/>
      <c r="W520" s="34"/>
      <c r="X520" s="34"/>
      <c r="Y520" s="105"/>
      <c r="Z520" s="105"/>
    </row>
    <row r="521" spans="1:26" ht="12.75">
      <c r="A521" s="309"/>
      <c r="B521" s="309"/>
      <c r="C521" s="34"/>
      <c r="D521" s="362"/>
      <c r="E521" s="34"/>
      <c r="F521" s="34"/>
      <c r="G521" s="35"/>
      <c r="H521" s="35"/>
      <c r="I521" s="34"/>
      <c r="J521" s="34"/>
      <c r="K521" s="65"/>
      <c r="L521" s="34"/>
      <c r="M521" s="34"/>
      <c r="N521" s="34"/>
      <c r="O521" s="34"/>
      <c r="P521" s="188"/>
      <c r="Q521" s="188"/>
      <c r="R521" s="34"/>
      <c r="S521" s="34"/>
      <c r="T521" s="304"/>
      <c r="U521" s="34"/>
      <c r="V521" s="34"/>
      <c r="W521" s="34"/>
      <c r="X521" s="34"/>
      <c r="Y521" s="105"/>
      <c r="Z521" s="105"/>
    </row>
    <row r="522" spans="1:26" ht="12.75">
      <c r="A522" s="309"/>
      <c r="B522" s="309"/>
      <c r="C522" s="34"/>
      <c r="D522" s="362"/>
      <c r="E522" s="34"/>
      <c r="F522" s="34"/>
      <c r="G522" s="35"/>
      <c r="H522" s="35"/>
      <c r="I522" s="34"/>
      <c r="J522" s="34"/>
      <c r="K522" s="65"/>
      <c r="L522" s="34"/>
      <c r="M522" s="34"/>
      <c r="N522" s="34"/>
      <c r="O522" s="34"/>
      <c r="P522" s="188"/>
      <c r="Q522" s="188"/>
      <c r="R522" s="34"/>
      <c r="S522" s="34"/>
      <c r="T522" s="304"/>
      <c r="U522" s="34"/>
      <c r="V522" s="34"/>
      <c r="W522" s="34"/>
      <c r="X522" s="34"/>
      <c r="Y522" s="105"/>
      <c r="Z522" s="105"/>
    </row>
    <row r="523" spans="1:26" ht="12.75">
      <c r="A523" s="309"/>
      <c r="B523" s="309"/>
      <c r="C523" s="34"/>
      <c r="D523" s="362"/>
      <c r="E523" s="34"/>
      <c r="F523" s="34"/>
      <c r="G523" s="35"/>
      <c r="H523" s="35"/>
      <c r="I523" s="34"/>
      <c r="J523" s="34"/>
      <c r="K523" s="65"/>
      <c r="L523" s="34"/>
      <c r="M523" s="34"/>
      <c r="N523" s="34"/>
      <c r="O523" s="34"/>
      <c r="P523" s="188"/>
      <c r="Q523" s="188"/>
      <c r="R523" s="34"/>
      <c r="S523" s="34"/>
      <c r="T523" s="304"/>
      <c r="U523" s="34"/>
      <c r="V523" s="34"/>
      <c r="W523" s="34"/>
      <c r="X523" s="34"/>
      <c r="Y523" s="105"/>
      <c r="Z523" s="105"/>
    </row>
    <row r="524" spans="1:26" ht="12.75">
      <c r="A524" s="309"/>
      <c r="B524" s="309"/>
      <c r="C524" s="34"/>
      <c r="D524" s="362"/>
      <c r="E524" s="34"/>
      <c r="F524" s="34"/>
      <c r="G524" s="35"/>
      <c r="H524" s="35"/>
      <c r="I524" s="34"/>
      <c r="J524" s="34"/>
      <c r="K524" s="65"/>
      <c r="L524" s="34"/>
      <c r="M524" s="34"/>
      <c r="N524" s="34"/>
      <c r="O524" s="34"/>
      <c r="P524" s="188"/>
      <c r="Q524" s="188"/>
      <c r="R524" s="34"/>
      <c r="S524" s="34"/>
      <c r="T524" s="304"/>
      <c r="U524" s="34"/>
      <c r="V524" s="34"/>
      <c r="W524" s="34"/>
      <c r="X524" s="34"/>
      <c r="Y524" s="105"/>
      <c r="Z524" s="105"/>
    </row>
    <row r="525" spans="1:26" ht="12.75">
      <c r="A525" s="309"/>
      <c r="B525" s="309"/>
      <c r="C525" s="34"/>
      <c r="D525" s="362"/>
      <c r="E525" s="34"/>
      <c r="F525" s="34"/>
      <c r="G525" s="35"/>
      <c r="H525" s="35"/>
      <c r="I525" s="34"/>
      <c r="J525" s="34"/>
      <c r="K525" s="65"/>
      <c r="L525" s="34"/>
      <c r="M525" s="34"/>
      <c r="N525" s="34"/>
      <c r="O525" s="34"/>
      <c r="P525" s="188"/>
      <c r="Q525" s="188"/>
      <c r="R525" s="34"/>
      <c r="S525" s="34"/>
      <c r="T525" s="304"/>
      <c r="U525" s="34"/>
      <c r="V525" s="34"/>
      <c r="W525" s="34"/>
      <c r="X525" s="34"/>
      <c r="Y525" s="105"/>
      <c r="Z525" s="105"/>
    </row>
    <row r="526" spans="1:26" ht="12.75">
      <c r="A526" s="309"/>
      <c r="B526" s="309"/>
      <c r="C526" s="34"/>
      <c r="D526" s="362"/>
      <c r="E526" s="34"/>
      <c r="F526" s="34"/>
      <c r="G526" s="35"/>
      <c r="H526" s="35"/>
      <c r="I526" s="34"/>
      <c r="J526" s="34"/>
      <c r="K526" s="65"/>
      <c r="L526" s="34"/>
      <c r="M526" s="34"/>
      <c r="N526" s="34"/>
      <c r="O526" s="34"/>
      <c r="P526" s="188"/>
      <c r="Q526" s="188"/>
      <c r="R526" s="34"/>
      <c r="S526" s="34"/>
      <c r="T526" s="304"/>
      <c r="U526" s="34"/>
      <c r="V526" s="34"/>
      <c r="W526" s="34"/>
      <c r="X526" s="34"/>
      <c r="Y526" s="105"/>
      <c r="Z526" s="105"/>
    </row>
    <row r="527" spans="1:26" ht="12.75">
      <c r="A527" s="309"/>
      <c r="B527" s="309"/>
      <c r="C527" s="34"/>
      <c r="D527" s="362"/>
      <c r="E527" s="34"/>
      <c r="F527" s="34"/>
      <c r="G527" s="35"/>
      <c r="H527" s="35"/>
      <c r="I527" s="34"/>
      <c r="J527" s="34"/>
      <c r="K527" s="65"/>
      <c r="L527" s="34"/>
      <c r="M527" s="34"/>
      <c r="N527" s="34"/>
      <c r="O527" s="34"/>
      <c r="P527" s="188"/>
      <c r="Q527" s="188"/>
      <c r="R527" s="34"/>
      <c r="S527" s="34"/>
      <c r="T527" s="304"/>
      <c r="U527" s="34"/>
      <c r="V527" s="34"/>
      <c r="W527" s="34"/>
      <c r="X527" s="34"/>
      <c r="Y527" s="105"/>
      <c r="Z527" s="105"/>
    </row>
    <row r="528" spans="1:26" ht="12.75">
      <c r="A528" s="309"/>
      <c r="B528" s="309"/>
      <c r="C528" s="34"/>
      <c r="D528" s="362"/>
      <c r="E528" s="34"/>
      <c r="F528" s="34"/>
      <c r="G528" s="35"/>
      <c r="H528" s="35"/>
      <c r="I528" s="34"/>
      <c r="J528" s="34"/>
      <c r="K528" s="65"/>
      <c r="L528" s="34"/>
      <c r="M528" s="34"/>
      <c r="N528" s="34"/>
      <c r="O528" s="34"/>
      <c r="P528" s="188"/>
      <c r="Q528" s="188"/>
      <c r="R528" s="34"/>
      <c r="S528" s="34"/>
      <c r="T528" s="304"/>
      <c r="U528" s="34"/>
      <c r="V528" s="34"/>
      <c r="W528" s="34"/>
      <c r="X528" s="34"/>
      <c r="Y528" s="105"/>
      <c r="Z528" s="105"/>
    </row>
    <row r="529" spans="1:26" ht="12.75">
      <c r="A529" s="309"/>
      <c r="B529" s="309"/>
      <c r="C529" s="34"/>
      <c r="D529" s="362"/>
      <c r="E529" s="34"/>
      <c r="F529" s="34"/>
      <c r="G529" s="35"/>
      <c r="H529" s="35"/>
      <c r="I529" s="34"/>
      <c r="J529" s="34"/>
      <c r="K529" s="65"/>
      <c r="L529" s="34"/>
      <c r="M529" s="34"/>
      <c r="N529" s="34"/>
      <c r="O529" s="34"/>
      <c r="P529" s="188"/>
      <c r="Q529" s="188"/>
      <c r="R529" s="34"/>
      <c r="S529" s="34"/>
      <c r="T529" s="304"/>
      <c r="U529" s="34"/>
      <c r="V529" s="34"/>
      <c r="W529" s="34"/>
      <c r="X529" s="34"/>
      <c r="Y529" s="105"/>
      <c r="Z529" s="105"/>
    </row>
    <row r="530" spans="1:26" ht="12.75">
      <c r="A530" s="309"/>
      <c r="B530" s="309"/>
      <c r="C530" s="34"/>
      <c r="D530" s="362"/>
      <c r="E530" s="34"/>
      <c r="F530" s="34"/>
      <c r="G530" s="35"/>
      <c r="H530" s="35"/>
      <c r="I530" s="34"/>
      <c r="J530" s="34"/>
      <c r="K530" s="65"/>
      <c r="L530" s="34"/>
      <c r="M530" s="34"/>
      <c r="N530" s="34"/>
      <c r="O530" s="34"/>
      <c r="P530" s="188"/>
      <c r="Q530" s="188"/>
      <c r="R530" s="34"/>
      <c r="S530" s="34"/>
      <c r="T530" s="304"/>
      <c r="U530" s="34"/>
      <c r="V530" s="34"/>
      <c r="W530" s="34"/>
      <c r="X530" s="34"/>
      <c r="Y530" s="105"/>
      <c r="Z530" s="105"/>
    </row>
    <row r="531" spans="1:26" ht="12.75">
      <c r="A531" s="309"/>
      <c r="B531" s="309"/>
      <c r="C531" s="34"/>
      <c r="D531" s="362"/>
      <c r="E531" s="34"/>
      <c r="F531" s="34"/>
      <c r="G531" s="35"/>
      <c r="H531" s="35"/>
      <c r="I531" s="34"/>
      <c r="J531" s="34"/>
      <c r="K531" s="65"/>
      <c r="L531" s="34"/>
      <c r="M531" s="34"/>
      <c r="N531" s="34"/>
      <c r="O531" s="34"/>
      <c r="P531" s="188"/>
      <c r="Q531" s="188"/>
      <c r="R531" s="34"/>
      <c r="S531" s="34"/>
      <c r="T531" s="304"/>
      <c r="U531" s="34"/>
      <c r="V531" s="34"/>
      <c r="W531" s="34"/>
      <c r="X531" s="34"/>
      <c r="Y531" s="105"/>
      <c r="Z531" s="105"/>
    </row>
    <row r="532" spans="1:26" ht="12.75">
      <c r="A532" s="309"/>
      <c r="B532" s="309"/>
      <c r="C532" s="34"/>
      <c r="D532" s="362"/>
      <c r="E532" s="34"/>
      <c r="F532" s="34"/>
      <c r="G532" s="35"/>
      <c r="H532" s="35"/>
      <c r="I532" s="34"/>
      <c r="J532" s="34"/>
      <c r="K532" s="65"/>
      <c r="L532" s="34"/>
      <c r="M532" s="34"/>
      <c r="N532" s="34"/>
      <c r="O532" s="34"/>
      <c r="P532" s="188"/>
      <c r="Q532" s="188"/>
      <c r="R532" s="34"/>
      <c r="S532" s="34"/>
      <c r="T532" s="304"/>
      <c r="U532" s="34"/>
      <c r="V532" s="34"/>
      <c r="W532" s="34"/>
      <c r="X532" s="34"/>
      <c r="Y532" s="105"/>
      <c r="Z532" s="105"/>
    </row>
    <row r="533" spans="1:26" ht="12.75">
      <c r="A533" s="309"/>
      <c r="B533" s="309"/>
      <c r="C533" s="34"/>
      <c r="D533" s="362"/>
      <c r="E533" s="34"/>
      <c r="F533" s="34"/>
      <c r="G533" s="35"/>
      <c r="H533" s="35"/>
      <c r="I533" s="34"/>
      <c r="J533" s="34"/>
      <c r="K533" s="65"/>
      <c r="L533" s="34"/>
      <c r="M533" s="34"/>
      <c r="N533" s="34"/>
      <c r="O533" s="34"/>
      <c r="P533" s="188"/>
      <c r="Q533" s="188"/>
      <c r="R533" s="34"/>
      <c r="S533" s="34"/>
      <c r="T533" s="304"/>
      <c r="U533" s="34"/>
      <c r="V533" s="34"/>
      <c r="W533" s="34"/>
      <c r="X533" s="34"/>
      <c r="Y533" s="105"/>
      <c r="Z533" s="105"/>
    </row>
    <row r="534" spans="1:26" ht="12.75">
      <c r="A534" s="309"/>
      <c r="B534" s="309"/>
      <c r="C534" s="34"/>
      <c r="D534" s="362"/>
      <c r="E534" s="34"/>
      <c r="F534" s="34"/>
      <c r="G534" s="35"/>
      <c r="H534" s="35"/>
      <c r="I534" s="34"/>
      <c r="J534" s="34"/>
      <c r="K534" s="65"/>
      <c r="L534" s="34"/>
      <c r="M534" s="34"/>
      <c r="N534" s="34"/>
      <c r="O534" s="34"/>
      <c r="P534" s="188"/>
      <c r="Q534" s="188"/>
      <c r="R534" s="34"/>
      <c r="S534" s="34"/>
      <c r="T534" s="304"/>
      <c r="U534" s="34"/>
      <c r="V534" s="34"/>
      <c r="W534" s="34"/>
      <c r="X534" s="34"/>
      <c r="Y534" s="105"/>
      <c r="Z534" s="105"/>
    </row>
    <row r="535" spans="1:26" ht="12.75">
      <c r="A535" s="309"/>
      <c r="B535" s="309"/>
      <c r="C535" s="34"/>
      <c r="D535" s="362"/>
      <c r="E535" s="34"/>
      <c r="F535" s="34"/>
      <c r="G535" s="35"/>
      <c r="H535" s="35"/>
      <c r="I535" s="34"/>
      <c r="J535" s="34"/>
      <c r="K535" s="65"/>
      <c r="L535" s="34"/>
      <c r="M535" s="34"/>
      <c r="N535" s="34"/>
      <c r="O535" s="34"/>
      <c r="P535" s="188"/>
      <c r="Q535" s="188"/>
      <c r="R535" s="34"/>
      <c r="S535" s="34"/>
      <c r="T535" s="304"/>
      <c r="U535" s="34"/>
      <c r="V535" s="34"/>
      <c r="W535" s="34"/>
      <c r="X535" s="34"/>
      <c r="Y535" s="105"/>
      <c r="Z535" s="105"/>
    </row>
    <row r="536" spans="1:26" ht="12.75">
      <c r="A536" s="309"/>
      <c r="B536" s="309"/>
      <c r="C536" s="34"/>
      <c r="D536" s="362"/>
      <c r="E536" s="34"/>
      <c r="F536" s="34"/>
      <c r="G536" s="35"/>
      <c r="H536" s="35"/>
      <c r="I536" s="34"/>
      <c r="J536" s="34"/>
      <c r="K536" s="65"/>
      <c r="L536" s="34"/>
      <c r="M536" s="34"/>
      <c r="N536" s="34"/>
      <c r="O536" s="34"/>
      <c r="P536" s="188"/>
      <c r="Q536" s="188"/>
      <c r="R536" s="34"/>
      <c r="S536" s="34"/>
      <c r="T536" s="304"/>
      <c r="U536" s="34"/>
      <c r="V536" s="34"/>
      <c r="W536" s="34"/>
      <c r="X536" s="34"/>
      <c r="Y536" s="105"/>
      <c r="Z536" s="105"/>
    </row>
    <row r="537" spans="1:26" ht="12.75">
      <c r="A537" s="309"/>
      <c r="B537" s="309"/>
      <c r="C537" s="34"/>
      <c r="D537" s="362"/>
      <c r="E537" s="34"/>
      <c r="F537" s="34"/>
      <c r="G537" s="35"/>
      <c r="H537" s="35"/>
      <c r="I537" s="34"/>
      <c r="J537" s="34"/>
      <c r="K537" s="65"/>
      <c r="L537" s="34"/>
      <c r="M537" s="34"/>
      <c r="N537" s="34"/>
      <c r="O537" s="34"/>
      <c r="P537" s="188"/>
      <c r="Q537" s="188"/>
      <c r="R537" s="34"/>
      <c r="S537" s="34"/>
      <c r="T537" s="304"/>
      <c r="U537" s="34"/>
      <c r="V537" s="34"/>
      <c r="W537" s="34"/>
      <c r="X537" s="34"/>
      <c r="Y537" s="105"/>
      <c r="Z537" s="105"/>
    </row>
    <row r="538" spans="1:26" ht="12.75">
      <c r="A538" s="309"/>
      <c r="B538" s="309"/>
      <c r="C538" s="34"/>
      <c r="D538" s="362"/>
      <c r="E538" s="34"/>
      <c r="F538" s="34"/>
      <c r="G538" s="35"/>
      <c r="H538" s="35"/>
      <c r="I538" s="34"/>
      <c r="J538" s="34"/>
      <c r="K538" s="65"/>
      <c r="L538" s="34"/>
      <c r="M538" s="34"/>
      <c r="N538" s="34"/>
      <c r="O538" s="34"/>
      <c r="P538" s="188"/>
      <c r="Q538" s="188"/>
      <c r="R538" s="34"/>
      <c r="S538" s="34"/>
      <c r="T538" s="304"/>
      <c r="U538" s="34"/>
      <c r="V538" s="34"/>
      <c r="W538" s="34"/>
      <c r="X538" s="34"/>
      <c r="Y538" s="105"/>
      <c r="Z538" s="105"/>
    </row>
    <row r="539" spans="1:26" ht="12.75">
      <c r="A539" s="309"/>
      <c r="B539" s="309"/>
      <c r="C539" s="34"/>
      <c r="D539" s="362"/>
      <c r="E539" s="34"/>
      <c r="F539" s="34"/>
      <c r="G539" s="35"/>
      <c r="H539" s="35"/>
      <c r="I539" s="34"/>
      <c r="J539" s="34"/>
      <c r="K539" s="65"/>
      <c r="L539" s="34"/>
      <c r="M539" s="34"/>
      <c r="N539" s="34"/>
      <c r="O539" s="34"/>
      <c r="P539" s="188"/>
      <c r="Q539" s="188"/>
      <c r="R539" s="34"/>
      <c r="S539" s="34"/>
      <c r="T539" s="304"/>
      <c r="U539" s="34"/>
      <c r="V539" s="34"/>
      <c r="W539" s="34"/>
      <c r="X539" s="34"/>
      <c r="Y539" s="105"/>
      <c r="Z539" s="105"/>
    </row>
    <row r="540" spans="1:26" ht="12.75">
      <c r="A540" s="309"/>
      <c r="B540" s="309"/>
      <c r="C540" s="34"/>
      <c r="D540" s="362"/>
      <c r="E540" s="34"/>
      <c r="F540" s="34"/>
      <c r="G540" s="35"/>
      <c r="H540" s="35"/>
      <c r="I540" s="34"/>
      <c r="J540" s="34"/>
      <c r="K540" s="65"/>
      <c r="L540" s="34"/>
      <c r="M540" s="34"/>
      <c r="N540" s="34"/>
      <c r="O540" s="34"/>
      <c r="P540" s="188"/>
      <c r="Q540" s="188"/>
      <c r="R540" s="34"/>
      <c r="S540" s="34"/>
      <c r="T540" s="304"/>
      <c r="U540" s="34"/>
      <c r="V540" s="34"/>
      <c r="W540" s="34"/>
      <c r="X540" s="34"/>
      <c r="Y540" s="105"/>
      <c r="Z540" s="105"/>
    </row>
    <row r="541" spans="1:26" ht="12.75">
      <c r="A541" s="309"/>
      <c r="B541" s="309"/>
      <c r="C541" s="34"/>
      <c r="D541" s="362"/>
      <c r="E541" s="34"/>
      <c r="F541" s="34"/>
      <c r="G541" s="35"/>
      <c r="H541" s="35"/>
      <c r="I541" s="34"/>
      <c r="J541" s="34"/>
      <c r="K541" s="65"/>
      <c r="L541" s="34"/>
      <c r="M541" s="34"/>
      <c r="N541" s="34"/>
      <c r="O541" s="34"/>
      <c r="P541" s="188"/>
      <c r="Q541" s="188"/>
      <c r="R541" s="34"/>
      <c r="S541" s="34"/>
      <c r="T541" s="304"/>
      <c r="U541" s="34"/>
      <c r="V541" s="34"/>
      <c r="W541" s="34"/>
      <c r="X541" s="34"/>
      <c r="Y541" s="105"/>
      <c r="Z541" s="105"/>
    </row>
    <row r="542" spans="1:26" ht="12.75">
      <c r="A542" s="309"/>
      <c r="B542" s="309"/>
      <c r="C542" s="34"/>
      <c r="D542" s="362"/>
      <c r="E542" s="34"/>
      <c r="F542" s="34"/>
      <c r="G542" s="35"/>
      <c r="H542" s="35"/>
      <c r="I542" s="34"/>
      <c r="J542" s="34"/>
      <c r="K542" s="65"/>
      <c r="L542" s="34"/>
      <c r="M542" s="34"/>
      <c r="N542" s="34"/>
      <c r="O542" s="34"/>
      <c r="P542" s="188"/>
      <c r="Q542" s="188"/>
      <c r="R542" s="34"/>
      <c r="S542" s="34"/>
      <c r="T542" s="304"/>
      <c r="U542" s="34"/>
      <c r="V542" s="34"/>
      <c r="W542" s="34"/>
      <c r="X542" s="34"/>
      <c r="Y542" s="105"/>
      <c r="Z542" s="105"/>
    </row>
    <row r="543" spans="1:26" ht="12.75">
      <c r="A543" s="309"/>
      <c r="B543" s="309"/>
      <c r="C543" s="34"/>
      <c r="D543" s="362"/>
      <c r="E543" s="34"/>
      <c r="F543" s="34"/>
      <c r="G543" s="35"/>
      <c r="H543" s="35"/>
      <c r="I543" s="34"/>
      <c r="J543" s="34"/>
      <c r="K543" s="65"/>
      <c r="L543" s="34"/>
      <c r="M543" s="34"/>
      <c r="N543" s="34"/>
      <c r="O543" s="34"/>
      <c r="P543" s="188"/>
      <c r="Q543" s="188"/>
      <c r="R543" s="34"/>
      <c r="S543" s="34"/>
      <c r="T543" s="304"/>
      <c r="U543" s="34"/>
      <c r="V543" s="34"/>
      <c r="W543" s="34"/>
      <c r="X543" s="34"/>
      <c r="Y543" s="105"/>
      <c r="Z543" s="105"/>
    </row>
    <row r="544" spans="1:26" ht="12.75">
      <c r="A544" s="309"/>
      <c r="B544" s="309"/>
      <c r="C544" s="34"/>
      <c r="D544" s="362"/>
      <c r="E544" s="34"/>
      <c r="F544" s="34"/>
      <c r="G544" s="35"/>
      <c r="H544" s="35"/>
      <c r="I544" s="34"/>
      <c r="J544" s="34"/>
      <c r="K544" s="65"/>
      <c r="L544" s="34"/>
      <c r="M544" s="34"/>
      <c r="N544" s="34"/>
      <c r="O544" s="34"/>
      <c r="P544" s="188"/>
      <c r="Q544" s="188"/>
      <c r="R544" s="34"/>
      <c r="S544" s="34"/>
      <c r="T544" s="304"/>
      <c r="U544" s="34"/>
      <c r="V544" s="34"/>
      <c r="W544" s="34"/>
      <c r="X544" s="34"/>
      <c r="Y544" s="105"/>
      <c r="Z544" s="105"/>
    </row>
    <row r="545" spans="1:26" ht="12.75">
      <c r="A545" s="309"/>
      <c r="B545" s="309"/>
      <c r="C545" s="34"/>
      <c r="D545" s="362"/>
      <c r="E545" s="34"/>
      <c r="F545" s="34"/>
      <c r="G545" s="35"/>
      <c r="H545" s="35"/>
      <c r="I545" s="34"/>
      <c r="J545" s="34"/>
      <c r="K545" s="65"/>
      <c r="L545" s="34"/>
      <c r="M545" s="34"/>
      <c r="N545" s="34"/>
      <c r="O545" s="34"/>
      <c r="P545" s="188"/>
      <c r="Q545" s="188"/>
      <c r="R545" s="34"/>
      <c r="S545" s="34"/>
      <c r="T545" s="304"/>
      <c r="U545" s="34"/>
      <c r="V545" s="34"/>
      <c r="W545" s="34"/>
      <c r="X545" s="34"/>
      <c r="Y545" s="105"/>
      <c r="Z545" s="105"/>
    </row>
    <row r="546" spans="1:26" ht="12.75">
      <c r="A546" s="309"/>
      <c r="B546" s="309"/>
      <c r="C546" s="34"/>
      <c r="D546" s="362"/>
      <c r="E546" s="34"/>
      <c r="F546" s="34"/>
      <c r="G546" s="35"/>
      <c r="H546" s="35"/>
      <c r="I546" s="34"/>
      <c r="J546" s="34"/>
      <c r="K546" s="65"/>
      <c r="L546" s="34"/>
      <c r="M546" s="34"/>
      <c r="N546" s="34"/>
      <c r="O546" s="34"/>
      <c r="P546" s="188"/>
      <c r="Q546" s="188"/>
      <c r="R546" s="34"/>
      <c r="S546" s="34"/>
      <c r="T546" s="304"/>
      <c r="U546" s="34"/>
      <c r="V546" s="34"/>
      <c r="W546" s="34"/>
      <c r="X546" s="34"/>
      <c r="Y546" s="105"/>
      <c r="Z546" s="105"/>
    </row>
    <row r="547" spans="1:26" ht="12.75">
      <c r="A547" s="309"/>
      <c r="B547" s="309"/>
      <c r="C547" s="34"/>
      <c r="D547" s="362"/>
      <c r="E547" s="34"/>
      <c r="F547" s="34"/>
      <c r="G547" s="35"/>
      <c r="H547" s="35"/>
      <c r="I547" s="34"/>
      <c r="J547" s="34"/>
      <c r="K547" s="65"/>
      <c r="L547" s="34"/>
      <c r="M547" s="34"/>
      <c r="N547" s="34"/>
      <c r="O547" s="34"/>
      <c r="P547" s="188"/>
      <c r="Q547" s="188"/>
      <c r="R547" s="34"/>
      <c r="S547" s="34"/>
      <c r="T547" s="304"/>
      <c r="U547" s="34"/>
      <c r="V547" s="34"/>
      <c r="W547" s="34"/>
      <c r="X547" s="34"/>
      <c r="Y547" s="105"/>
      <c r="Z547" s="105"/>
    </row>
    <row r="548" spans="1:26" ht="12.75">
      <c r="A548" s="309"/>
      <c r="B548" s="309"/>
      <c r="C548" s="34"/>
      <c r="D548" s="362"/>
      <c r="E548" s="34"/>
      <c r="F548" s="34"/>
      <c r="G548" s="35"/>
      <c r="H548" s="35"/>
      <c r="I548" s="34"/>
      <c r="J548" s="34"/>
      <c r="K548" s="65"/>
      <c r="L548" s="34"/>
      <c r="M548" s="34"/>
      <c r="N548" s="34"/>
      <c r="O548" s="34"/>
      <c r="P548" s="188"/>
      <c r="Q548" s="188"/>
      <c r="R548" s="34"/>
      <c r="S548" s="34"/>
      <c r="T548" s="304"/>
      <c r="U548" s="34"/>
      <c r="V548" s="34"/>
      <c r="W548" s="34"/>
      <c r="X548" s="34"/>
      <c r="Y548" s="105"/>
      <c r="Z548" s="105"/>
    </row>
    <row r="549" spans="1:26" ht="12.75">
      <c r="A549" s="309"/>
      <c r="B549" s="309"/>
      <c r="C549" s="34"/>
      <c r="D549" s="362"/>
      <c r="E549" s="34"/>
      <c r="F549" s="34"/>
      <c r="G549" s="35"/>
      <c r="H549" s="35"/>
      <c r="I549" s="34"/>
      <c r="J549" s="34"/>
      <c r="K549" s="65"/>
      <c r="L549" s="34"/>
      <c r="M549" s="34"/>
      <c r="N549" s="34"/>
      <c r="O549" s="34"/>
      <c r="P549" s="188"/>
      <c r="Q549" s="188"/>
      <c r="R549" s="34"/>
      <c r="S549" s="34"/>
      <c r="T549" s="304"/>
      <c r="U549" s="34"/>
      <c r="V549" s="34"/>
      <c r="W549" s="34"/>
      <c r="X549" s="34"/>
      <c r="Y549" s="105"/>
      <c r="Z549" s="105"/>
    </row>
    <row r="550" spans="1:26" ht="12.75">
      <c r="A550" s="309"/>
      <c r="B550" s="309"/>
      <c r="C550" s="34"/>
      <c r="D550" s="362"/>
      <c r="E550" s="34"/>
      <c r="F550" s="34"/>
      <c r="G550" s="35"/>
      <c r="H550" s="35"/>
      <c r="I550" s="34"/>
      <c r="J550" s="34"/>
      <c r="K550" s="65"/>
      <c r="L550" s="34"/>
      <c r="M550" s="34"/>
      <c r="N550" s="34"/>
      <c r="O550" s="34"/>
      <c r="P550" s="188"/>
      <c r="Q550" s="188"/>
      <c r="R550" s="34"/>
      <c r="S550" s="34"/>
      <c r="T550" s="304"/>
      <c r="U550" s="34"/>
      <c r="V550" s="34"/>
      <c r="W550" s="34"/>
      <c r="X550" s="34"/>
      <c r="Y550" s="105"/>
      <c r="Z550" s="105"/>
    </row>
    <row r="551" spans="1:26" ht="12.75">
      <c r="A551" s="309"/>
      <c r="B551" s="309"/>
      <c r="C551" s="34"/>
      <c r="D551" s="362"/>
      <c r="E551" s="34"/>
      <c r="F551" s="34"/>
      <c r="G551" s="35"/>
      <c r="H551" s="35"/>
      <c r="I551" s="34"/>
      <c r="J551" s="34"/>
      <c r="K551" s="65"/>
      <c r="L551" s="34"/>
      <c r="M551" s="34"/>
      <c r="N551" s="34"/>
      <c r="O551" s="34"/>
      <c r="P551" s="188"/>
      <c r="Q551" s="188"/>
      <c r="R551" s="34"/>
      <c r="S551" s="34"/>
      <c r="T551" s="304"/>
      <c r="U551" s="34"/>
      <c r="V551" s="34"/>
      <c r="W551" s="34"/>
      <c r="X551" s="34"/>
      <c r="Y551" s="105"/>
      <c r="Z551" s="105"/>
    </row>
    <row r="552" spans="1:26" ht="12.75">
      <c r="A552" s="309"/>
      <c r="B552" s="309"/>
      <c r="C552" s="34"/>
      <c r="D552" s="362"/>
      <c r="E552" s="34"/>
      <c r="F552" s="34"/>
      <c r="G552" s="35"/>
      <c r="H552" s="35"/>
      <c r="I552" s="34"/>
      <c r="J552" s="34"/>
      <c r="K552" s="65"/>
      <c r="L552" s="34"/>
      <c r="M552" s="34"/>
      <c r="N552" s="34"/>
      <c r="O552" s="34"/>
      <c r="P552" s="188"/>
      <c r="Q552" s="188"/>
      <c r="R552" s="34"/>
      <c r="S552" s="34"/>
      <c r="T552" s="304"/>
      <c r="U552" s="34"/>
      <c r="V552" s="34"/>
      <c r="W552" s="34"/>
      <c r="X552" s="34"/>
      <c r="Y552" s="105"/>
      <c r="Z552" s="105"/>
    </row>
    <row r="553" spans="1:26" ht="12.75">
      <c r="A553" s="309"/>
      <c r="B553" s="309"/>
      <c r="C553" s="34"/>
      <c r="D553" s="362"/>
      <c r="E553" s="34"/>
      <c r="F553" s="34"/>
      <c r="G553" s="35"/>
      <c r="H553" s="35"/>
      <c r="I553" s="34"/>
      <c r="J553" s="34"/>
      <c r="K553" s="65"/>
      <c r="L553" s="34"/>
      <c r="M553" s="34"/>
      <c r="N553" s="34"/>
      <c r="O553" s="34"/>
      <c r="P553" s="188"/>
      <c r="Q553" s="188"/>
      <c r="R553" s="34"/>
      <c r="S553" s="34"/>
      <c r="T553" s="304"/>
      <c r="U553" s="34"/>
      <c r="V553" s="34"/>
      <c r="W553" s="34"/>
      <c r="X553" s="34"/>
      <c r="Y553" s="105"/>
      <c r="Z553" s="105"/>
    </row>
    <row r="554" spans="1:26" ht="12.75">
      <c r="A554" s="309"/>
      <c r="B554" s="309"/>
      <c r="C554" s="34"/>
      <c r="D554" s="362"/>
      <c r="E554" s="34"/>
      <c r="F554" s="34"/>
      <c r="G554" s="35"/>
      <c r="H554" s="35"/>
      <c r="I554" s="34"/>
      <c r="J554" s="34"/>
      <c r="K554" s="65"/>
      <c r="L554" s="34"/>
      <c r="M554" s="34"/>
      <c r="N554" s="34"/>
      <c r="O554" s="34"/>
      <c r="P554" s="188"/>
      <c r="Q554" s="188"/>
      <c r="R554" s="34"/>
      <c r="S554" s="34"/>
      <c r="T554" s="304"/>
      <c r="U554" s="34"/>
      <c r="V554" s="34"/>
      <c r="W554" s="34"/>
      <c r="X554" s="34"/>
      <c r="Y554" s="105"/>
      <c r="Z554" s="105"/>
    </row>
    <row r="555" spans="1:26" ht="12.75">
      <c r="A555" s="309"/>
      <c r="B555" s="309"/>
      <c r="C555" s="34"/>
      <c r="D555" s="362"/>
      <c r="E555" s="34"/>
      <c r="F555" s="34"/>
      <c r="G555" s="35"/>
      <c r="H555" s="35"/>
      <c r="I555" s="34"/>
      <c r="J555" s="34"/>
      <c r="K555" s="65"/>
      <c r="L555" s="34"/>
      <c r="M555" s="34"/>
      <c r="N555" s="34"/>
      <c r="O555" s="34"/>
      <c r="P555" s="188"/>
      <c r="Q555" s="188"/>
      <c r="R555" s="34"/>
      <c r="S555" s="34"/>
      <c r="T555" s="304"/>
      <c r="U555" s="34"/>
      <c r="V555" s="34"/>
      <c r="W555" s="34"/>
      <c r="X555" s="34"/>
      <c r="Y555" s="105"/>
      <c r="Z555" s="105"/>
    </row>
    <row r="556" spans="1:26" ht="12.75">
      <c r="A556" s="309"/>
      <c r="B556" s="309"/>
      <c r="C556" s="34"/>
      <c r="D556" s="362"/>
      <c r="E556" s="34"/>
      <c r="F556" s="34"/>
      <c r="G556" s="35"/>
      <c r="H556" s="35"/>
      <c r="I556" s="34"/>
      <c r="J556" s="34"/>
      <c r="K556" s="65"/>
      <c r="L556" s="34"/>
      <c r="M556" s="34"/>
      <c r="N556" s="34"/>
      <c r="O556" s="34"/>
      <c r="P556" s="188"/>
      <c r="Q556" s="188"/>
      <c r="R556" s="34"/>
      <c r="S556" s="34"/>
      <c r="T556" s="304"/>
      <c r="U556" s="34"/>
      <c r="V556" s="34"/>
      <c r="W556" s="34"/>
      <c r="X556" s="34"/>
      <c r="Y556" s="105"/>
      <c r="Z556" s="105"/>
    </row>
    <row r="557" spans="1:26" ht="12.75">
      <c r="A557" s="309"/>
      <c r="B557" s="309"/>
      <c r="C557" s="34"/>
      <c r="D557" s="362"/>
      <c r="E557" s="34"/>
      <c r="F557" s="34"/>
      <c r="G557" s="35"/>
      <c r="H557" s="35"/>
      <c r="I557" s="34"/>
      <c r="J557" s="34"/>
      <c r="K557" s="65"/>
      <c r="L557" s="34"/>
      <c r="M557" s="34"/>
      <c r="N557" s="34"/>
      <c r="O557" s="34"/>
      <c r="P557" s="188"/>
      <c r="Q557" s="188"/>
      <c r="R557" s="34"/>
      <c r="S557" s="34"/>
      <c r="T557" s="304"/>
      <c r="U557" s="34"/>
      <c r="V557" s="34"/>
      <c r="W557" s="34"/>
      <c r="X557" s="34"/>
      <c r="Y557" s="105"/>
      <c r="Z557" s="105"/>
    </row>
    <row r="558" spans="1:26" ht="12.75">
      <c r="A558" s="309"/>
      <c r="B558" s="309"/>
      <c r="C558" s="34"/>
      <c r="D558" s="362"/>
      <c r="E558" s="34"/>
      <c r="F558" s="34"/>
      <c r="G558" s="35"/>
      <c r="H558" s="35"/>
      <c r="I558" s="34"/>
      <c r="J558" s="34"/>
      <c r="K558" s="65"/>
      <c r="L558" s="34"/>
      <c r="M558" s="34"/>
      <c r="N558" s="34"/>
      <c r="O558" s="34"/>
      <c r="P558" s="188"/>
      <c r="Q558" s="188"/>
      <c r="R558" s="34"/>
      <c r="S558" s="34"/>
      <c r="T558" s="304"/>
      <c r="U558" s="34"/>
      <c r="V558" s="34"/>
      <c r="W558" s="34"/>
      <c r="X558" s="34"/>
      <c r="Y558" s="105"/>
      <c r="Z558" s="105"/>
    </row>
    <row r="559" spans="1:26" ht="12.75">
      <c r="A559" s="309"/>
      <c r="B559" s="309"/>
      <c r="C559" s="34"/>
      <c r="D559" s="362"/>
      <c r="E559" s="34"/>
      <c r="F559" s="34"/>
      <c r="G559" s="35"/>
      <c r="H559" s="35"/>
      <c r="I559" s="34"/>
      <c r="J559" s="34"/>
      <c r="K559" s="65"/>
      <c r="L559" s="34"/>
      <c r="M559" s="34"/>
      <c r="N559" s="34"/>
      <c r="O559" s="34"/>
      <c r="P559" s="188"/>
      <c r="Q559" s="188"/>
      <c r="R559" s="34"/>
      <c r="S559" s="34"/>
      <c r="T559" s="304"/>
      <c r="U559" s="34"/>
      <c r="V559" s="34"/>
      <c r="W559" s="34"/>
      <c r="X559" s="34"/>
      <c r="Y559" s="105"/>
      <c r="Z559" s="105"/>
    </row>
    <row r="560" spans="1:26" ht="12.75">
      <c r="A560" s="309"/>
      <c r="B560" s="309"/>
      <c r="C560" s="34"/>
      <c r="D560" s="362"/>
      <c r="E560" s="34"/>
      <c r="F560" s="34"/>
      <c r="G560" s="35"/>
      <c r="H560" s="35"/>
      <c r="I560" s="34"/>
      <c r="J560" s="34"/>
      <c r="K560" s="65"/>
      <c r="L560" s="34"/>
      <c r="M560" s="34"/>
      <c r="N560" s="34"/>
      <c r="O560" s="34"/>
      <c r="P560" s="188"/>
      <c r="Q560" s="188"/>
      <c r="R560" s="34"/>
      <c r="S560" s="34"/>
      <c r="T560" s="304"/>
      <c r="U560" s="34"/>
      <c r="V560" s="34"/>
      <c r="W560" s="34"/>
      <c r="X560" s="34"/>
      <c r="Y560" s="105"/>
      <c r="Z560" s="105"/>
    </row>
    <row r="561" spans="1:26" ht="12.75">
      <c r="A561" s="309"/>
      <c r="B561" s="309"/>
      <c r="C561" s="34"/>
      <c r="D561" s="362"/>
      <c r="E561" s="34"/>
      <c r="F561" s="34"/>
      <c r="G561" s="35"/>
      <c r="H561" s="35"/>
      <c r="I561" s="34"/>
      <c r="J561" s="34"/>
      <c r="K561" s="65"/>
      <c r="L561" s="34"/>
      <c r="M561" s="34"/>
      <c r="N561" s="34"/>
      <c r="O561" s="34"/>
      <c r="P561" s="188"/>
      <c r="Q561" s="188"/>
      <c r="R561" s="34"/>
      <c r="S561" s="34"/>
      <c r="T561" s="304"/>
      <c r="U561" s="34"/>
      <c r="V561" s="34"/>
      <c r="W561" s="34"/>
      <c r="X561" s="34"/>
      <c r="Y561" s="105"/>
      <c r="Z561" s="105"/>
    </row>
    <row r="562" spans="1:26" ht="12.75">
      <c r="A562" s="309"/>
      <c r="B562" s="309"/>
      <c r="C562" s="34"/>
      <c r="D562" s="362"/>
      <c r="E562" s="34"/>
      <c r="F562" s="34"/>
      <c r="G562" s="35"/>
      <c r="H562" s="35"/>
      <c r="I562" s="34"/>
      <c r="J562" s="34"/>
      <c r="K562" s="65"/>
      <c r="L562" s="34"/>
      <c r="M562" s="34"/>
      <c r="N562" s="34"/>
      <c r="O562" s="34"/>
      <c r="P562" s="188"/>
      <c r="Q562" s="188"/>
      <c r="R562" s="34"/>
      <c r="S562" s="34"/>
      <c r="T562" s="304"/>
      <c r="U562" s="34"/>
      <c r="V562" s="34"/>
      <c r="W562" s="34"/>
      <c r="X562" s="34"/>
      <c r="Y562" s="105"/>
      <c r="Z562" s="105"/>
    </row>
    <row r="563" spans="1:26" ht="12.75">
      <c r="A563" s="309"/>
      <c r="B563" s="309"/>
      <c r="C563" s="34"/>
      <c r="D563" s="362"/>
      <c r="E563" s="34"/>
      <c r="F563" s="34"/>
      <c r="G563" s="35"/>
      <c r="H563" s="35"/>
      <c r="I563" s="34"/>
      <c r="J563" s="34"/>
      <c r="K563" s="65"/>
      <c r="L563" s="34"/>
      <c r="M563" s="34"/>
      <c r="N563" s="34"/>
      <c r="O563" s="34"/>
      <c r="P563" s="188"/>
      <c r="Q563" s="188"/>
      <c r="R563" s="34"/>
      <c r="S563" s="34"/>
      <c r="T563" s="304"/>
      <c r="U563" s="34"/>
      <c r="V563" s="34"/>
      <c r="W563" s="34"/>
      <c r="X563" s="34"/>
      <c r="Y563" s="105"/>
      <c r="Z563" s="105"/>
    </row>
    <row r="564" spans="1:26" ht="12.75">
      <c r="A564" s="309"/>
      <c r="B564" s="309"/>
      <c r="C564" s="34"/>
      <c r="D564" s="362"/>
      <c r="E564" s="34"/>
      <c r="F564" s="34"/>
      <c r="G564" s="35"/>
      <c r="H564" s="35"/>
      <c r="I564" s="34"/>
      <c r="J564" s="34"/>
      <c r="K564" s="65"/>
      <c r="L564" s="34"/>
      <c r="M564" s="34"/>
      <c r="N564" s="34"/>
      <c r="O564" s="34"/>
      <c r="P564" s="188"/>
      <c r="Q564" s="188"/>
      <c r="R564" s="34"/>
      <c r="S564" s="34"/>
      <c r="T564" s="304"/>
      <c r="U564" s="34"/>
      <c r="V564" s="34"/>
      <c r="W564" s="34"/>
      <c r="X564" s="34"/>
      <c r="Y564" s="105"/>
      <c r="Z564" s="105"/>
    </row>
    <row r="565" spans="1:26" ht="12.75">
      <c r="A565" s="309"/>
      <c r="B565" s="309"/>
      <c r="C565" s="34"/>
      <c r="D565" s="362"/>
      <c r="E565" s="34"/>
      <c r="F565" s="34"/>
      <c r="G565" s="35"/>
      <c r="H565" s="35"/>
      <c r="I565" s="34"/>
      <c r="J565" s="34"/>
      <c r="K565" s="65"/>
      <c r="L565" s="34"/>
      <c r="M565" s="34"/>
      <c r="N565" s="34"/>
      <c r="O565" s="34"/>
      <c r="P565" s="188"/>
      <c r="Q565" s="188"/>
      <c r="R565" s="34"/>
      <c r="S565" s="34"/>
      <c r="T565" s="304"/>
      <c r="U565" s="34"/>
      <c r="V565" s="34"/>
      <c r="W565" s="34"/>
      <c r="X565" s="34"/>
      <c r="Y565" s="105"/>
      <c r="Z565" s="105"/>
    </row>
    <row r="566" spans="1:26" ht="12.75">
      <c r="A566" s="309"/>
      <c r="B566" s="309"/>
      <c r="C566" s="34"/>
      <c r="D566" s="362"/>
      <c r="E566" s="34"/>
      <c r="F566" s="34"/>
      <c r="G566" s="35"/>
      <c r="H566" s="35"/>
      <c r="I566" s="34"/>
      <c r="J566" s="34"/>
      <c r="K566" s="65"/>
      <c r="L566" s="34"/>
      <c r="M566" s="34"/>
      <c r="N566" s="34"/>
      <c r="O566" s="34"/>
      <c r="P566" s="188"/>
      <c r="Q566" s="188"/>
      <c r="R566" s="34"/>
      <c r="S566" s="34"/>
      <c r="T566" s="304"/>
      <c r="U566" s="34"/>
      <c r="V566" s="34"/>
      <c r="W566" s="34"/>
      <c r="X566" s="34"/>
      <c r="Y566" s="105"/>
      <c r="Z566" s="105"/>
    </row>
    <row r="567" spans="1:26" ht="12.75">
      <c r="A567" s="309"/>
      <c r="B567" s="309"/>
      <c r="C567" s="34"/>
      <c r="D567" s="362"/>
      <c r="E567" s="34"/>
      <c r="F567" s="34"/>
      <c r="G567" s="35"/>
      <c r="H567" s="35"/>
      <c r="I567" s="34"/>
      <c r="J567" s="34"/>
      <c r="K567" s="65"/>
      <c r="L567" s="34"/>
      <c r="M567" s="34"/>
      <c r="N567" s="34"/>
      <c r="O567" s="34"/>
      <c r="P567" s="188"/>
      <c r="Q567" s="188"/>
      <c r="R567" s="34"/>
      <c r="S567" s="34"/>
      <c r="T567" s="304"/>
      <c r="U567" s="34"/>
      <c r="V567" s="34"/>
      <c r="W567" s="34"/>
      <c r="X567" s="34"/>
      <c r="Y567" s="105"/>
      <c r="Z567" s="105"/>
    </row>
    <row r="568" spans="1:26" ht="12.75">
      <c r="A568" s="309"/>
      <c r="B568" s="309"/>
      <c r="C568" s="34"/>
      <c r="D568" s="362"/>
      <c r="E568" s="34"/>
      <c r="F568" s="34"/>
      <c r="G568" s="35"/>
      <c r="H568" s="35"/>
      <c r="I568" s="34"/>
      <c r="J568" s="34"/>
      <c r="K568" s="65"/>
      <c r="L568" s="34"/>
      <c r="M568" s="34"/>
      <c r="N568" s="34"/>
      <c r="O568" s="34"/>
      <c r="P568" s="188"/>
      <c r="Q568" s="188"/>
      <c r="R568" s="34"/>
      <c r="S568" s="34"/>
      <c r="T568" s="304"/>
      <c r="U568" s="34"/>
      <c r="V568" s="34"/>
      <c r="W568" s="34"/>
      <c r="X568" s="34"/>
      <c r="Y568" s="105"/>
      <c r="Z568" s="105"/>
    </row>
    <row r="569" spans="1:26" ht="12.75">
      <c r="A569" s="309"/>
      <c r="B569" s="309"/>
      <c r="C569" s="34"/>
      <c r="D569" s="362"/>
      <c r="E569" s="34"/>
      <c r="F569" s="34"/>
      <c r="G569" s="35"/>
      <c r="H569" s="35"/>
      <c r="I569" s="34"/>
      <c r="J569" s="34"/>
      <c r="K569" s="65"/>
      <c r="L569" s="34"/>
      <c r="M569" s="34"/>
      <c r="N569" s="34"/>
      <c r="O569" s="34"/>
      <c r="P569" s="188"/>
      <c r="Q569" s="188"/>
      <c r="R569" s="34"/>
      <c r="S569" s="34"/>
      <c r="T569" s="304"/>
      <c r="U569" s="34"/>
      <c r="V569" s="34"/>
      <c r="W569" s="34"/>
      <c r="X569" s="34"/>
      <c r="Y569" s="105"/>
      <c r="Z569" s="105"/>
    </row>
    <row r="570" spans="1:26" ht="12.75">
      <c r="A570" s="309"/>
      <c r="B570" s="309"/>
      <c r="C570" s="34"/>
      <c r="D570" s="362"/>
      <c r="E570" s="34"/>
      <c r="F570" s="34"/>
      <c r="G570" s="35"/>
      <c r="H570" s="35"/>
      <c r="I570" s="34"/>
      <c r="J570" s="34"/>
      <c r="K570" s="65"/>
      <c r="L570" s="34"/>
      <c r="M570" s="34"/>
      <c r="N570" s="34"/>
      <c r="O570" s="34"/>
      <c r="P570" s="188"/>
      <c r="Q570" s="188"/>
      <c r="R570" s="34"/>
      <c r="S570" s="34"/>
      <c r="T570" s="304"/>
      <c r="U570" s="34"/>
      <c r="V570" s="34"/>
      <c r="W570" s="34"/>
      <c r="X570" s="34"/>
      <c r="Y570" s="105"/>
      <c r="Z570" s="105"/>
    </row>
    <row r="571" spans="1:26" ht="12.75">
      <c r="A571" s="309"/>
      <c r="B571" s="309"/>
      <c r="C571" s="34"/>
      <c r="D571" s="362"/>
      <c r="E571" s="34"/>
      <c r="F571" s="34"/>
      <c r="G571" s="35"/>
      <c r="H571" s="35"/>
      <c r="I571" s="34"/>
      <c r="J571" s="34"/>
      <c r="K571" s="65"/>
      <c r="L571" s="34"/>
      <c r="M571" s="34"/>
      <c r="N571" s="34"/>
      <c r="O571" s="34"/>
      <c r="P571" s="188"/>
      <c r="Q571" s="188"/>
      <c r="R571" s="34"/>
      <c r="S571" s="34"/>
      <c r="T571" s="304"/>
      <c r="U571" s="34"/>
      <c r="V571" s="34"/>
      <c r="W571" s="34"/>
      <c r="X571" s="34"/>
      <c r="Y571" s="105"/>
      <c r="Z571" s="105"/>
    </row>
    <row r="572" spans="1:26" ht="12.75">
      <c r="A572" s="309"/>
      <c r="B572" s="309"/>
      <c r="C572" s="34"/>
      <c r="D572" s="362"/>
      <c r="E572" s="34"/>
      <c r="F572" s="34"/>
      <c r="G572" s="35"/>
      <c r="H572" s="35"/>
      <c r="I572" s="34"/>
      <c r="J572" s="34"/>
      <c r="K572" s="65"/>
      <c r="L572" s="34"/>
      <c r="M572" s="34"/>
      <c r="N572" s="34"/>
      <c r="O572" s="34"/>
      <c r="P572" s="188"/>
      <c r="Q572" s="188"/>
      <c r="R572" s="34"/>
      <c r="S572" s="34"/>
      <c r="T572" s="304"/>
      <c r="U572" s="34"/>
      <c r="V572" s="34"/>
      <c r="W572" s="34"/>
      <c r="X572" s="34"/>
      <c r="Y572" s="105"/>
      <c r="Z572" s="105"/>
    </row>
    <row r="573" spans="1:26" ht="12.75">
      <c r="A573" s="309"/>
      <c r="B573" s="309"/>
      <c r="C573" s="34"/>
      <c r="D573" s="362"/>
      <c r="E573" s="34"/>
      <c r="F573" s="34"/>
      <c r="G573" s="35"/>
      <c r="H573" s="35"/>
      <c r="I573" s="34"/>
      <c r="J573" s="34"/>
      <c r="K573" s="65"/>
      <c r="L573" s="34"/>
      <c r="M573" s="34"/>
      <c r="N573" s="34"/>
      <c r="O573" s="34"/>
      <c r="P573" s="188"/>
      <c r="Q573" s="188"/>
      <c r="R573" s="34"/>
      <c r="S573" s="34"/>
      <c r="T573" s="304"/>
      <c r="U573" s="34"/>
      <c r="V573" s="34"/>
      <c r="W573" s="34"/>
      <c r="X573" s="34"/>
      <c r="Y573" s="105"/>
      <c r="Z573" s="105"/>
    </row>
    <row r="574" spans="1:26" ht="12.75">
      <c r="A574" s="309"/>
      <c r="B574" s="309"/>
      <c r="C574" s="34"/>
      <c r="D574" s="362"/>
      <c r="E574" s="34"/>
      <c r="F574" s="34"/>
      <c r="G574" s="35"/>
      <c r="H574" s="35"/>
      <c r="I574" s="34"/>
      <c r="J574" s="34"/>
      <c r="K574" s="65"/>
      <c r="L574" s="34"/>
      <c r="M574" s="34"/>
      <c r="N574" s="34"/>
      <c r="O574" s="34"/>
      <c r="P574" s="188"/>
      <c r="Q574" s="188"/>
      <c r="R574" s="34"/>
      <c r="S574" s="34"/>
      <c r="T574" s="304"/>
      <c r="U574" s="34"/>
      <c r="V574" s="34"/>
      <c r="W574" s="34"/>
      <c r="X574" s="34"/>
      <c r="Y574" s="105"/>
      <c r="Z574" s="105"/>
    </row>
    <row r="575" spans="1:26" ht="12.75">
      <c r="A575" s="309"/>
      <c r="B575" s="309"/>
      <c r="C575" s="34"/>
      <c r="D575" s="362"/>
      <c r="E575" s="34"/>
      <c r="F575" s="34"/>
      <c r="G575" s="35"/>
      <c r="H575" s="35"/>
      <c r="I575" s="34"/>
      <c r="J575" s="34"/>
      <c r="K575" s="65"/>
      <c r="L575" s="34"/>
      <c r="M575" s="34"/>
      <c r="N575" s="34"/>
      <c r="O575" s="34"/>
      <c r="P575" s="188"/>
      <c r="Q575" s="188"/>
      <c r="R575" s="34"/>
      <c r="S575" s="34"/>
      <c r="T575" s="304"/>
      <c r="U575" s="34"/>
      <c r="V575" s="34"/>
      <c r="W575" s="34"/>
      <c r="X575" s="34"/>
      <c r="Y575" s="105"/>
      <c r="Z575" s="105"/>
    </row>
    <row r="576" spans="1:26" ht="12.75">
      <c r="A576" s="309"/>
      <c r="B576" s="309"/>
      <c r="C576" s="34"/>
      <c r="D576" s="362"/>
      <c r="E576" s="34"/>
      <c r="F576" s="34"/>
      <c r="G576" s="35"/>
      <c r="H576" s="35"/>
      <c r="I576" s="34"/>
      <c r="J576" s="34"/>
      <c r="K576" s="65"/>
      <c r="L576" s="34"/>
      <c r="M576" s="34"/>
      <c r="N576" s="34"/>
      <c r="O576" s="34"/>
      <c r="P576" s="188"/>
      <c r="Q576" s="188"/>
      <c r="R576" s="34"/>
      <c r="S576" s="34"/>
      <c r="T576" s="304"/>
      <c r="U576" s="34"/>
      <c r="V576" s="34"/>
      <c r="W576" s="34"/>
      <c r="X576" s="34"/>
      <c r="Y576" s="105"/>
      <c r="Z576" s="105"/>
    </row>
    <row r="577" spans="1:26" ht="12.75">
      <c r="A577" s="309"/>
      <c r="B577" s="309"/>
      <c r="C577" s="34"/>
      <c r="D577" s="362"/>
      <c r="E577" s="34"/>
      <c r="F577" s="34"/>
      <c r="G577" s="35"/>
      <c r="H577" s="35"/>
      <c r="I577" s="34"/>
      <c r="J577" s="34"/>
      <c r="K577" s="65"/>
      <c r="L577" s="34"/>
      <c r="M577" s="34"/>
      <c r="N577" s="34"/>
      <c r="O577" s="34"/>
      <c r="P577" s="188"/>
      <c r="Q577" s="188"/>
      <c r="R577" s="34"/>
      <c r="S577" s="34"/>
      <c r="T577" s="304"/>
      <c r="U577" s="34"/>
      <c r="V577" s="34"/>
      <c r="W577" s="34"/>
      <c r="X577" s="34"/>
      <c r="Y577" s="105"/>
      <c r="Z577" s="105"/>
    </row>
    <row r="578" spans="1:26" ht="12.75">
      <c r="A578" s="309"/>
      <c r="B578" s="309"/>
      <c r="C578" s="34"/>
      <c r="D578" s="362"/>
      <c r="E578" s="34"/>
      <c r="F578" s="34"/>
      <c r="G578" s="35"/>
      <c r="H578" s="35"/>
      <c r="I578" s="34"/>
      <c r="J578" s="34"/>
      <c r="K578" s="65"/>
      <c r="L578" s="34"/>
      <c r="M578" s="34"/>
      <c r="N578" s="34"/>
      <c r="O578" s="34"/>
      <c r="P578" s="188"/>
      <c r="Q578" s="188"/>
      <c r="R578" s="34"/>
      <c r="S578" s="34"/>
      <c r="T578" s="304"/>
      <c r="U578" s="34"/>
      <c r="V578" s="34"/>
      <c r="W578" s="34"/>
      <c r="X578" s="34"/>
      <c r="Y578" s="105"/>
      <c r="Z578" s="105"/>
    </row>
    <row r="579" spans="1:26" ht="12.75">
      <c r="A579" s="309"/>
      <c r="B579" s="309"/>
      <c r="C579" s="34"/>
      <c r="D579" s="362"/>
      <c r="E579" s="34"/>
      <c r="F579" s="34"/>
      <c r="G579" s="35"/>
      <c r="H579" s="35"/>
      <c r="I579" s="34"/>
      <c r="J579" s="34"/>
      <c r="K579" s="65"/>
      <c r="L579" s="34"/>
      <c r="M579" s="34"/>
      <c r="N579" s="34"/>
      <c r="O579" s="34"/>
      <c r="P579" s="188"/>
      <c r="Q579" s="188"/>
      <c r="R579" s="34"/>
      <c r="S579" s="34"/>
      <c r="T579" s="304"/>
      <c r="U579" s="34"/>
      <c r="V579" s="34"/>
      <c r="W579" s="34"/>
      <c r="X579" s="34"/>
      <c r="Y579" s="105"/>
      <c r="Z579" s="105"/>
    </row>
    <row r="580" spans="1:26" ht="12.75">
      <c r="A580" s="309"/>
      <c r="B580" s="309"/>
      <c r="C580" s="34"/>
      <c r="D580" s="362"/>
      <c r="E580" s="34"/>
      <c r="F580" s="34"/>
      <c r="G580" s="35"/>
      <c r="H580" s="35"/>
      <c r="I580" s="34"/>
      <c r="J580" s="34"/>
      <c r="K580" s="65"/>
      <c r="L580" s="34"/>
      <c r="M580" s="34"/>
      <c r="N580" s="34"/>
      <c r="O580" s="34"/>
      <c r="P580" s="188"/>
      <c r="Q580" s="188"/>
      <c r="R580" s="34"/>
      <c r="S580" s="34"/>
      <c r="T580" s="304"/>
      <c r="U580" s="34"/>
      <c r="V580" s="34"/>
      <c r="W580" s="34"/>
      <c r="X580" s="34"/>
      <c r="Y580" s="105"/>
      <c r="Z580" s="105"/>
    </row>
    <row r="581" spans="1:26" ht="12.75">
      <c r="A581" s="309"/>
      <c r="B581" s="309"/>
      <c r="C581" s="34"/>
      <c r="D581" s="362"/>
      <c r="E581" s="34"/>
      <c r="F581" s="34"/>
      <c r="G581" s="35"/>
      <c r="H581" s="35"/>
      <c r="I581" s="34"/>
      <c r="J581" s="34"/>
      <c r="K581" s="65"/>
      <c r="L581" s="34"/>
      <c r="M581" s="34"/>
      <c r="N581" s="34"/>
      <c r="O581" s="34"/>
      <c r="P581" s="188"/>
      <c r="Q581" s="188"/>
      <c r="R581" s="34"/>
      <c r="S581" s="34"/>
      <c r="T581" s="304"/>
      <c r="U581" s="34"/>
      <c r="V581" s="34"/>
      <c r="W581" s="34"/>
      <c r="X581" s="34"/>
      <c r="Y581" s="105"/>
      <c r="Z581" s="105"/>
    </row>
    <row r="582" spans="1:26" ht="12.75">
      <c r="A582" s="309"/>
      <c r="B582" s="309"/>
      <c r="C582" s="34"/>
      <c r="D582" s="362"/>
      <c r="E582" s="34"/>
      <c r="F582" s="34"/>
      <c r="G582" s="35"/>
      <c r="H582" s="35"/>
      <c r="I582" s="34"/>
      <c r="J582" s="34"/>
      <c r="K582" s="65"/>
      <c r="L582" s="34"/>
      <c r="M582" s="34"/>
      <c r="N582" s="34"/>
      <c r="O582" s="34"/>
      <c r="P582" s="188"/>
      <c r="Q582" s="188"/>
      <c r="R582" s="34"/>
      <c r="S582" s="34"/>
      <c r="T582" s="304"/>
      <c r="U582" s="34"/>
      <c r="V582" s="34"/>
      <c r="W582" s="34"/>
      <c r="X582" s="34"/>
      <c r="Y582" s="105"/>
      <c r="Z582" s="105"/>
    </row>
    <row r="583" spans="1:26" ht="12.75">
      <c r="A583" s="309"/>
      <c r="B583" s="309"/>
      <c r="C583" s="34"/>
      <c r="D583" s="362"/>
      <c r="E583" s="34"/>
      <c r="F583" s="34"/>
      <c r="G583" s="35"/>
      <c r="H583" s="35"/>
      <c r="I583" s="34"/>
      <c r="J583" s="34"/>
      <c r="K583" s="65"/>
      <c r="L583" s="34"/>
      <c r="M583" s="34"/>
      <c r="N583" s="34"/>
      <c r="O583" s="34"/>
      <c r="P583" s="188"/>
      <c r="Q583" s="188"/>
      <c r="R583" s="34"/>
      <c r="S583" s="34"/>
      <c r="T583" s="304"/>
      <c r="U583" s="34"/>
      <c r="V583" s="34"/>
      <c r="W583" s="34"/>
      <c r="X583" s="34"/>
      <c r="Y583" s="105"/>
      <c r="Z583" s="105"/>
    </row>
    <row r="584" spans="1:26" ht="12.75">
      <c r="A584" s="309"/>
      <c r="B584" s="309"/>
      <c r="C584" s="34"/>
      <c r="D584" s="362"/>
      <c r="E584" s="34"/>
      <c r="F584" s="34"/>
      <c r="G584" s="35"/>
      <c r="H584" s="35"/>
      <c r="I584" s="34"/>
      <c r="J584" s="34"/>
      <c r="K584" s="65"/>
      <c r="L584" s="34"/>
      <c r="M584" s="34"/>
      <c r="N584" s="34"/>
      <c r="O584" s="34"/>
      <c r="P584" s="188"/>
      <c r="Q584" s="188"/>
      <c r="R584" s="34"/>
      <c r="S584" s="34"/>
      <c r="T584" s="304"/>
      <c r="U584" s="34"/>
      <c r="V584" s="34"/>
      <c r="W584" s="34"/>
      <c r="X584" s="34"/>
      <c r="Y584" s="105"/>
      <c r="Z584" s="105"/>
    </row>
    <row r="585" spans="1:26" ht="12.75">
      <c r="A585" s="309"/>
      <c r="B585" s="309"/>
      <c r="C585" s="34"/>
      <c r="D585" s="362"/>
      <c r="E585" s="34"/>
      <c r="F585" s="34"/>
      <c r="G585" s="35"/>
      <c r="H585" s="35"/>
      <c r="I585" s="34"/>
      <c r="J585" s="34"/>
      <c r="K585" s="65"/>
      <c r="L585" s="34"/>
      <c r="M585" s="34"/>
      <c r="N585" s="34"/>
      <c r="O585" s="34"/>
      <c r="P585" s="188"/>
      <c r="Q585" s="188"/>
      <c r="R585" s="34"/>
      <c r="S585" s="34"/>
      <c r="T585" s="304"/>
      <c r="U585" s="34"/>
      <c r="V585" s="34"/>
      <c r="W585" s="34"/>
      <c r="X585" s="34"/>
      <c r="Y585" s="105"/>
      <c r="Z585" s="105"/>
    </row>
    <row r="586" spans="1:26" ht="12.75">
      <c r="A586" s="309"/>
      <c r="B586" s="309"/>
      <c r="C586" s="34"/>
      <c r="D586" s="362"/>
      <c r="E586" s="34"/>
      <c r="F586" s="34"/>
      <c r="G586" s="35"/>
      <c r="H586" s="35"/>
      <c r="I586" s="34"/>
      <c r="J586" s="34"/>
      <c r="K586" s="65"/>
      <c r="L586" s="34"/>
      <c r="M586" s="34"/>
      <c r="N586" s="34"/>
      <c r="O586" s="34"/>
      <c r="P586" s="188"/>
      <c r="Q586" s="188"/>
      <c r="R586" s="34"/>
      <c r="S586" s="34"/>
      <c r="T586" s="304"/>
      <c r="U586" s="34"/>
      <c r="V586" s="34"/>
      <c r="W586" s="34"/>
      <c r="X586" s="34"/>
      <c r="Y586" s="105"/>
      <c r="Z586" s="105"/>
    </row>
    <row r="587" spans="1:26" ht="12.75">
      <c r="A587" s="309"/>
      <c r="B587" s="309"/>
      <c r="C587" s="34"/>
      <c r="D587" s="362"/>
      <c r="E587" s="34"/>
      <c r="F587" s="34"/>
      <c r="G587" s="35"/>
      <c r="H587" s="35"/>
      <c r="I587" s="34"/>
      <c r="J587" s="34"/>
      <c r="K587" s="65"/>
      <c r="L587" s="34"/>
      <c r="M587" s="34"/>
      <c r="N587" s="34"/>
      <c r="O587" s="34"/>
      <c r="P587" s="188"/>
      <c r="Q587" s="188"/>
      <c r="R587" s="34"/>
      <c r="S587" s="34"/>
      <c r="T587" s="304"/>
      <c r="U587" s="34"/>
      <c r="V587" s="34"/>
      <c r="W587" s="34"/>
      <c r="X587" s="34"/>
      <c r="Y587" s="105"/>
      <c r="Z587" s="105"/>
    </row>
    <row r="588" spans="1:26" ht="12.75">
      <c r="A588" s="309"/>
      <c r="B588" s="309"/>
      <c r="C588" s="34"/>
      <c r="D588" s="362"/>
      <c r="E588" s="34"/>
      <c r="F588" s="34"/>
      <c r="G588" s="35"/>
      <c r="H588" s="35"/>
      <c r="I588" s="34"/>
      <c r="J588" s="34"/>
      <c r="K588" s="65"/>
      <c r="L588" s="34"/>
      <c r="M588" s="34"/>
      <c r="N588" s="34"/>
      <c r="O588" s="34"/>
      <c r="P588" s="188"/>
      <c r="Q588" s="188"/>
      <c r="R588" s="34"/>
      <c r="S588" s="34"/>
      <c r="T588" s="304"/>
      <c r="U588" s="34"/>
      <c r="V588" s="34"/>
      <c r="W588" s="34"/>
      <c r="X588" s="34"/>
      <c r="Y588" s="105"/>
      <c r="Z588" s="105"/>
    </row>
    <row r="589" spans="1:26" ht="12.75">
      <c r="A589" s="309"/>
      <c r="B589" s="309"/>
      <c r="C589" s="34"/>
      <c r="D589" s="362"/>
      <c r="E589" s="34"/>
      <c r="F589" s="34"/>
      <c r="G589" s="35"/>
      <c r="H589" s="35"/>
      <c r="I589" s="34"/>
      <c r="J589" s="34"/>
      <c r="K589" s="65"/>
      <c r="L589" s="34"/>
      <c r="M589" s="34"/>
      <c r="N589" s="34"/>
      <c r="O589" s="34"/>
      <c r="P589" s="188"/>
      <c r="Q589" s="188"/>
      <c r="R589" s="34"/>
      <c r="S589" s="34"/>
      <c r="T589" s="304"/>
      <c r="U589" s="34"/>
      <c r="V589" s="34"/>
      <c r="W589" s="34"/>
      <c r="X589" s="34"/>
      <c r="Y589" s="105"/>
      <c r="Z589" s="105"/>
    </row>
    <row r="590" spans="1:26" ht="12.75">
      <c r="A590" s="309"/>
      <c r="B590" s="309"/>
      <c r="C590" s="34"/>
      <c r="D590" s="362"/>
      <c r="E590" s="34"/>
      <c r="F590" s="34"/>
      <c r="G590" s="35"/>
      <c r="H590" s="35"/>
      <c r="I590" s="34"/>
      <c r="J590" s="34"/>
      <c r="K590" s="65"/>
      <c r="L590" s="34"/>
      <c r="M590" s="34"/>
      <c r="N590" s="34"/>
      <c r="O590" s="34"/>
      <c r="P590" s="188"/>
      <c r="Q590" s="188"/>
      <c r="R590" s="34"/>
      <c r="S590" s="34"/>
      <c r="T590" s="304"/>
      <c r="U590" s="34"/>
      <c r="V590" s="34"/>
      <c r="W590" s="34"/>
      <c r="X590" s="34"/>
      <c r="Y590" s="105"/>
      <c r="Z590" s="105"/>
    </row>
    <row r="591" spans="1:26" ht="12.75">
      <c r="A591" s="309"/>
      <c r="B591" s="309"/>
      <c r="C591" s="34"/>
      <c r="D591" s="362"/>
      <c r="E591" s="34"/>
      <c r="F591" s="34"/>
      <c r="G591" s="35"/>
      <c r="H591" s="35"/>
      <c r="I591" s="34"/>
      <c r="J591" s="34"/>
      <c r="K591" s="65"/>
      <c r="L591" s="34"/>
      <c r="M591" s="34"/>
      <c r="N591" s="34"/>
      <c r="O591" s="34"/>
      <c r="P591" s="188"/>
      <c r="Q591" s="188"/>
      <c r="R591" s="34"/>
      <c r="S591" s="34"/>
      <c r="T591" s="304"/>
      <c r="U591" s="34"/>
      <c r="V591" s="34"/>
      <c r="W591" s="34"/>
      <c r="X591" s="34"/>
      <c r="Y591" s="105"/>
      <c r="Z591" s="105"/>
    </row>
    <row r="592" spans="1:26" ht="12.75">
      <c r="A592" s="309"/>
      <c r="B592" s="309"/>
      <c r="C592" s="34"/>
      <c r="D592" s="362"/>
      <c r="E592" s="34"/>
      <c r="F592" s="34"/>
      <c r="G592" s="35"/>
      <c r="H592" s="35"/>
      <c r="I592" s="34"/>
      <c r="J592" s="34"/>
      <c r="K592" s="65"/>
      <c r="L592" s="34"/>
      <c r="M592" s="34"/>
      <c r="N592" s="34"/>
      <c r="O592" s="34"/>
      <c r="P592" s="188"/>
      <c r="Q592" s="188"/>
      <c r="R592" s="34"/>
      <c r="S592" s="34"/>
      <c r="T592" s="304"/>
      <c r="U592" s="34"/>
      <c r="V592" s="34"/>
      <c r="W592" s="34"/>
      <c r="X592" s="34"/>
      <c r="Y592" s="105"/>
      <c r="Z592" s="105"/>
    </row>
    <row r="593" spans="1:26" ht="12.75">
      <c r="A593" s="309"/>
      <c r="B593" s="309"/>
      <c r="C593" s="34"/>
      <c r="D593" s="362"/>
      <c r="E593" s="34"/>
      <c r="F593" s="34"/>
      <c r="G593" s="35"/>
      <c r="H593" s="35"/>
      <c r="I593" s="34"/>
      <c r="J593" s="34"/>
      <c r="K593" s="65"/>
      <c r="L593" s="34"/>
      <c r="M593" s="34"/>
      <c r="N593" s="34"/>
      <c r="O593" s="34"/>
      <c r="P593" s="188"/>
      <c r="Q593" s="188"/>
      <c r="R593" s="34"/>
      <c r="S593" s="34"/>
      <c r="T593" s="304"/>
      <c r="U593" s="34"/>
      <c r="V593" s="34"/>
      <c r="W593" s="34"/>
      <c r="X593" s="34"/>
      <c r="Y593" s="105"/>
      <c r="Z593" s="105"/>
    </row>
    <row r="594" spans="1:26" ht="12.75">
      <c r="A594" s="309"/>
      <c r="B594" s="309"/>
      <c r="C594" s="34"/>
      <c r="D594" s="362"/>
      <c r="E594" s="34"/>
      <c r="F594" s="34"/>
      <c r="G594" s="35"/>
      <c r="H594" s="35"/>
      <c r="I594" s="34"/>
      <c r="J594" s="34"/>
      <c r="K594" s="65"/>
      <c r="L594" s="34"/>
      <c r="M594" s="34"/>
      <c r="N594" s="34"/>
      <c r="O594" s="34"/>
      <c r="P594" s="188"/>
      <c r="Q594" s="188"/>
      <c r="R594" s="34"/>
      <c r="S594" s="34"/>
      <c r="T594" s="304"/>
      <c r="U594" s="34"/>
      <c r="V594" s="34"/>
      <c r="W594" s="34"/>
      <c r="X594" s="34"/>
      <c r="Y594" s="105"/>
      <c r="Z594" s="105"/>
    </row>
    <row r="595" spans="1:26" ht="12.75">
      <c r="A595" s="309"/>
      <c r="B595" s="309"/>
      <c r="C595" s="34"/>
      <c r="D595" s="362"/>
      <c r="E595" s="34"/>
      <c r="F595" s="34"/>
      <c r="G595" s="35"/>
      <c r="H595" s="35"/>
      <c r="I595" s="34"/>
      <c r="J595" s="34"/>
      <c r="K595" s="65"/>
      <c r="L595" s="34"/>
      <c r="M595" s="34"/>
      <c r="N595" s="34"/>
      <c r="O595" s="34"/>
      <c r="P595" s="188"/>
      <c r="Q595" s="188"/>
      <c r="R595" s="34"/>
      <c r="S595" s="34"/>
      <c r="T595" s="304"/>
      <c r="U595" s="34"/>
      <c r="V595" s="34"/>
      <c r="W595" s="34"/>
      <c r="X595" s="34"/>
      <c r="Y595" s="105"/>
      <c r="Z595" s="105"/>
    </row>
    <row r="596" spans="1:26" ht="12.75">
      <c r="A596" s="309"/>
      <c r="B596" s="309"/>
      <c r="C596" s="34"/>
      <c r="D596" s="362"/>
      <c r="E596" s="34"/>
      <c r="F596" s="34"/>
      <c r="G596" s="35"/>
      <c r="H596" s="35"/>
      <c r="I596" s="34"/>
      <c r="J596" s="34"/>
      <c r="K596" s="65"/>
      <c r="L596" s="34"/>
      <c r="M596" s="34"/>
      <c r="N596" s="34"/>
      <c r="O596" s="34"/>
      <c r="P596" s="188"/>
      <c r="Q596" s="188"/>
      <c r="R596" s="34"/>
      <c r="S596" s="34"/>
      <c r="T596" s="304"/>
      <c r="U596" s="34"/>
      <c r="V596" s="34"/>
      <c r="W596" s="34"/>
      <c r="X596" s="34"/>
      <c r="Y596" s="105"/>
      <c r="Z596" s="105"/>
    </row>
    <row r="597" spans="1:26" ht="12.75">
      <c r="A597" s="309"/>
      <c r="B597" s="309"/>
      <c r="C597" s="34"/>
      <c r="D597" s="362"/>
      <c r="E597" s="34"/>
      <c r="F597" s="34"/>
      <c r="G597" s="35"/>
      <c r="H597" s="35"/>
      <c r="I597" s="34"/>
      <c r="J597" s="34"/>
      <c r="K597" s="65"/>
      <c r="L597" s="34"/>
      <c r="M597" s="34"/>
      <c r="N597" s="34"/>
      <c r="O597" s="34"/>
      <c r="P597" s="188"/>
      <c r="Q597" s="188"/>
      <c r="R597" s="34"/>
      <c r="S597" s="34"/>
      <c r="T597" s="304"/>
      <c r="U597" s="34"/>
      <c r="V597" s="34"/>
      <c r="W597" s="34"/>
      <c r="X597" s="34"/>
      <c r="Y597" s="105"/>
      <c r="Z597" s="105"/>
    </row>
    <row r="598" spans="1:26" ht="12.75">
      <c r="A598" s="309"/>
      <c r="B598" s="309"/>
      <c r="C598" s="34"/>
      <c r="D598" s="362"/>
      <c r="E598" s="34"/>
      <c r="F598" s="34"/>
      <c r="G598" s="35"/>
      <c r="H598" s="35"/>
      <c r="I598" s="34"/>
      <c r="J598" s="34"/>
      <c r="K598" s="65"/>
      <c r="L598" s="34"/>
      <c r="M598" s="34"/>
      <c r="N598" s="34"/>
      <c r="O598" s="34"/>
      <c r="P598" s="188"/>
      <c r="Q598" s="188"/>
      <c r="R598" s="34"/>
      <c r="S598" s="34"/>
      <c r="T598" s="304"/>
      <c r="U598" s="34"/>
      <c r="V598" s="34"/>
      <c r="W598" s="34"/>
      <c r="X598" s="34"/>
      <c r="Y598" s="105"/>
      <c r="Z598" s="105"/>
    </row>
    <row r="599" spans="1:26" ht="12.75">
      <c r="A599" s="309"/>
      <c r="B599" s="309"/>
      <c r="C599" s="34"/>
      <c r="D599" s="362"/>
      <c r="E599" s="34"/>
      <c r="F599" s="34"/>
      <c r="G599" s="35"/>
      <c r="H599" s="35"/>
      <c r="I599" s="34"/>
      <c r="J599" s="34"/>
      <c r="K599" s="65"/>
      <c r="L599" s="34"/>
      <c r="M599" s="34"/>
      <c r="N599" s="34"/>
      <c r="O599" s="34"/>
      <c r="P599" s="188"/>
      <c r="Q599" s="188"/>
      <c r="R599" s="34"/>
      <c r="S599" s="34"/>
      <c r="T599" s="304"/>
      <c r="U599" s="34"/>
      <c r="V599" s="34"/>
      <c r="W599" s="34"/>
      <c r="X599" s="34"/>
      <c r="Y599" s="105"/>
      <c r="Z599" s="105"/>
    </row>
    <row r="600" spans="1:26" ht="12.75">
      <c r="A600" s="309"/>
      <c r="B600" s="309"/>
      <c r="C600" s="34"/>
      <c r="D600" s="362"/>
      <c r="E600" s="34"/>
      <c r="F600" s="34"/>
      <c r="G600" s="35"/>
      <c r="H600" s="35"/>
      <c r="I600" s="34"/>
      <c r="J600" s="34"/>
      <c r="K600" s="65"/>
      <c r="L600" s="34"/>
      <c r="M600" s="34"/>
      <c r="N600" s="34"/>
      <c r="O600" s="34"/>
      <c r="P600" s="188"/>
      <c r="Q600" s="188"/>
      <c r="R600" s="34"/>
      <c r="S600" s="34"/>
      <c r="T600" s="304"/>
      <c r="U600" s="34"/>
      <c r="V600" s="34"/>
      <c r="W600" s="34"/>
      <c r="X600" s="34"/>
      <c r="Y600" s="105"/>
      <c r="Z600" s="105"/>
    </row>
    <row r="601" spans="1:26" ht="12.75">
      <c r="A601" s="309"/>
      <c r="B601" s="309"/>
      <c r="C601" s="34"/>
      <c r="D601" s="362"/>
      <c r="E601" s="34"/>
      <c r="F601" s="34"/>
      <c r="G601" s="35"/>
      <c r="H601" s="35"/>
      <c r="I601" s="34"/>
      <c r="J601" s="34"/>
      <c r="K601" s="65"/>
      <c r="L601" s="34"/>
      <c r="M601" s="34"/>
      <c r="N601" s="34"/>
      <c r="O601" s="34"/>
      <c r="P601" s="188"/>
      <c r="Q601" s="188"/>
      <c r="R601" s="34"/>
      <c r="S601" s="34"/>
      <c r="T601" s="304"/>
      <c r="U601" s="34"/>
      <c r="V601" s="34"/>
      <c r="W601" s="34"/>
      <c r="X601" s="34"/>
      <c r="Y601" s="105"/>
      <c r="Z601" s="105"/>
    </row>
    <row r="602" spans="1:26" ht="12.75">
      <c r="A602" s="309"/>
      <c r="B602" s="309"/>
      <c r="C602" s="34"/>
      <c r="D602" s="362"/>
      <c r="E602" s="34"/>
      <c r="F602" s="34"/>
      <c r="G602" s="35"/>
      <c r="H602" s="35"/>
      <c r="I602" s="34"/>
      <c r="J602" s="34"/>
      <c r="K602" s="65"/>
      <c r="L602" s="34"/>
      <c r="M602" s="34"/>
      <c r="N602" s="34"/>
      <c r="O602" s="34"/>
      <c r="P602" s="188"/>
      <c r="Q602" s="188"/>
      <c r="R602" s="34"/>
      <c r="S602" s="34"/>
      <c r="T602" s="304"/>
      <c r="U602" s="34"/>
      <c r="V602" s="34"/>
      <c r="W602" s="34"/>
      <c r="X602" s="34"/>
      <c r="Y602" s="105"/>
      <c r="Z602" s="105"/>
    </row>
    <row r="603" spans="1:26" ht="12.75">
      <c r="A603" s="309"/>
      <c r="B603" s="309"/>
      <c r="C603" s="34"/>
      <c r="D603" s="362"/>
      <c r="E603" s="34"/>
      <c r="F603" s="34"/>
      <c r="G603" s="35"/>
      <c r="H603" s="35"/>
      <c r="I603" s="34"/>
      <c r="J603" s="34"/>
      <c r="K603" s="65"/>
      <c r="L603" s="34"/>
      <c r="M603" s="34"/>
      <c r="N603" s="34"/>
      <c r="O603" s="34"/>
      <c r="P603" s="188"/>
      <c r="Q603" s="188"/>
      <c r="R603" s="34"/>
      <c r="S603" s="34"/>
      <c r="T603" s="304"/>
      <c r="U603" s="34"/>
      <c r="V603" s="34"/>
      <c r="W603" s="34"/>
      <c r="X603" s="34"/>
      <c r="Y603" s="105"/>
      <c r="Z603" s="105"/>
    </row>
    <row r="604" spans="1:26" ht="12.75">
      <c r="A604" s="309"/>
      <c r="B604" s="309"/>
      <c r="C604" s="34"/>
      <c r="D604" s="362"/>
      <c r="E604" s="34"/>
      <c r="F604" s="34"/>
      <c r="G604" s="35"/>
      <c r="H604" s="35"/>
      <c r="I604" s="34"/>
      <c r="J604" s="34"/>
      <c r="K604" s="65"/>
      <c r="L604" s="34"/>
      <c r="M604" s="34"/>
      <c r="N604" s="34"/>
      <c r="O604" s="34"/>
      <c r="P604" s="188"/>
      <c r="Q604" s="188"/>
      <c r="R604" s="34"/>
      <c r="S604" s="34"/>
      <c r="T604" s="304"/>
      <c r="U604" s="34"/>
      <c r="V604" s="34"/>
      <c r="W604" s="34"/>
      <c r="X604" s="34"/>
      <c r="Y604" s="105"/>
      <c r="Z604" s="105"/>
    </row>
    <row r="605" spans="1:26" ht="12.75">
      <c r="A605" s="309"/>
      <c r="B605" s="309"/>
      <c r="C605" s="34"/>
      <c r="D605" s="362"/>
      <c r="E605" s="34"/>
      <c r="F605" s="34"/>
      <c r="G605" s="35"/>
      <c r="H605" s="35"/>
      <c r="I605" s="34"/>
      <c r="J605" s="34"/>
      <c r="K605" s="65"/>
      <c r="L605" s="34"/>
      <c r="M605" s="34"/>
      <c r="N605" s="34"/>
      <c r="O605" s="34"/>
      <c r="P605" s="188"/>
      <c r="Q605" s="188"/>
      <c r="R605" s="34"/>
      <c r="S605" s="34"/>
      <c r="T605" s="304"/>
      <c r="U605" s="34"/>
      <c r="V605" s="34"/>
      <c r="W605" s="34"/>
      <c r="X605" s="34"/>
      <c r="Y605" s="105"/>
      <c r="Z605" s="105"/>
    </row>
    <row r="606" spans="1:26" ht="12.75">
      <c r="A606" s="309"/>
      <c r="B606" s="309"/>
      <c r="C606" s="34"/>
      <c r="D606" s="362"/>
      <c r="E606" s="34"/>
      <c r="F606" s="34"/>
      <c r="G606" s="35"/>
      <c r="H606" s="35"/>
      <c r="I606" s="34"/>
      <c r="J606" s="34"/>
      <c r="K606" s="65"/>
      <c r="L606" s="34"/>
      <c r="M606" s="34"/>
      <c r="N606" s="34"/>
      <c r="O606" s="34"/>
      <c r="P606" s="188"/>
      <c r="Q606" s="188"/>
      <c r="R606" s="34"/>
      <c r="S606" s="34"/>
      <c r="T606" s="304"/>
      <c r="U606" s="34"/>
      <c r="V606" s="34"/>
      <c r="W606" s="34"/>
      <c r="X606" s="34"/>
      <c r="Y606" s="105"/>
      <c r="Z606" s="105"/>
    </row>
    <row r="607" spans="1:26" ht="12.75">
      <c r="A607" s="309"/>
      <c r="B607" s="309"/>
      <c r="C607" s="34"/>
      <c r="D607" s="362"/>
      <c r="E607" s="34"/>
      <c r="F607" s="34"/>
      <c r="G607" s="35"/>
      <c r="H607" s="35"/>
      <c r="I607" s="34"/>
      <c r="J607" s="34"/>
      <c r="K607" s="65"/>
      <c r="L607" s="34"/>
      <c r="M607" s="34"/>
      <c r="N607" s="34"/>
      <c r="O607" s="34"/>
      <c r="P607" s="188"/>
      <c r="Q607" s="188"/>
      <c r="R607" s="34"/>
      <c r="S607" s="34"/>
      <c r="T607" s="304"/>
      <c r="U607" s="34"/>
      <c r="V607" s="34"/>
      <c r="W607" s="34"/>
      <c r="X607" s="34"/>
      <c r="Y607" s="105"/>
      <c r="Z607" s="105"/>
    </row>
    <row r="608" spans="1:26" ht="12.75">
      <c r="A608" s="309"/>
      <c r="B608" s="309"/>
      <c r="C608" s="34"/>
      <c r="D608" s="362"/>
      <c r="E608" s="34"/>
      <c r="F608" s="34"/>
      <c r="G608" s="35"/>
      <c r="H608" s="35"/>
      <c r="I608" s="34"/>
      <c r="J608" s="34"/>
      <c r="K608" s="65"/>
      <c r="L608" s="34"/>
      <c r="M608" s="34"/>
      <c r="N608" s="34"/>
      <c r="O608" s="34"/>
      <c r="P608" s="188"/>
      <c r="Q608" s="188"/>
      <c r="R608" s="34"/>
      <c r="S608" s="34"/>
      <c r="T608" s="304"/>
      <c r="U608" s="34"/>
      <c r="V608" s="34"/>
      <c r="W608" s="34"/>
      <c r="X608" s="34"/>
      <c r="Y608" s="105"/>
      <c r="Z608" s="105"/>
    </row>
    <row r="609" spans="1:26" ht="12.75">
      <c r="A609" s="309"/>
      <c r="B609" s="309"/>
      <c r="C609" s="34"/>
      <c r="D609" s="362"/>
      <c r="E609" s="34"/>
      <c r="F609" s="34"/>
      <c r="G609" s="35"/>
      <c r="H609" s="35"/>
      <c r="I609" s="34"/>
      <c r="J609" s="34"/>
      <c r="K609" s="65"/>
      <c r="L609" s="34"/>
      <c r="M609" s="34"/>
      <c r="N609" s="34"/>
      <c r="O609" s="34"/>
      <c r="P609" s="188"/>
      <c r="Q609" s="188"/>
      <c r="R609" s="34"/>
      <c r="S609" s="34"/>
      <c r="T609" s="304"/>
      <c r="U609" s="34"/>
      <c r="V609" s="34"/>
      <c r="W609" s="34"/>
      <c r="X609" s="34"/>
      <c r="Y609" s="105"/>
      <c r="Z609" s="105"/>
    </row>
    <row r="610" spans="1:26" ht="12.75">
      <c r="A610" s="309"/>
      <c r="B610" s="309"/>
      <c r="C610" s="34"/>
      <c r="D610" s="362"/>
      <c r="E610" s="34"/>
      <c r="F610" s="34"/>
      <c r="G610" s="35"/>
      <c r="H610" s="35"/>
      <c r="I610" s="34"/>
      <c r="J610" s="34"/>
      <c r="K610" s="65"/>
      <c r="L610" s="34"/>
      <c r="M610" s="34"/>
      <c r="N610" s="34"/>
      <c r="O610" s="34"/>
      <c r="P610" s="188"/>
      <c r="Q610" s="188"/>
      <c r="R610" s="34"/>
      <c r="S610" s="34"/>
      <c r="T610" s="304"/>
      <c r="U610" s="34"/>
      <c r="V610" s="34"/>
      <c r="W610" s="34"/>
      <c r="X610" s="34"/>
      <c r="Y610" s="105"/>
      <c r="Z610" s="105"/>
    </row>
    <row r="611" spans="1:26" ht="12.75">
      <c r="A611" s="309"/>
      <c r="B611" s="309"/>
      <c r="C611" s="34"/>
      <c r="D611" s="362"/>
      <c r="E611" s="34"/>
      <c r="F611" s="34"/>
      <c r="G611" s="35"/>
      <c r="H611" s="35"/>
      <c r="I611" s="34"/>
      <c r="J611" s="34"/>
      <c r="K611" s="65"/>
      <c r="L611" s="34"/>
      <c r="M611" s="34"/>
      <c r="N611" s="34"/>
      <c r="O611" s="34"/>
      <c r="P611" s="188"/>
      <c r="Q611" s="188"/>
      <c r="R611" s="34"/>
      <c r="S611" s="34"/>
      <c r="T611" s="304"/>
      <c r="U611" s="34"/>
      <c r="V611" s="34"/>
      <c r="W611" s="34"/>
      <c r="X611" s="34"/>
      <c r="Y611" s="105"/>
      <c r="Z611" s="105"/>
    </row>
    <row r="612" spans="1:26" ht="12.75">
      <c r="A612" s="309"/>
      <c r="B612" s="309"/>
      <c r="C612" s="34"/>
      <c r="D612" s="362"/>
      <c r="E612" s="34"/>
      <c r="F612" s="34"/>
      <c r="G612" s="35"/>
      <c r="H612" s="35"/>
      <c r="I612" s="34"/>
      <c r="J612" s="34"/>
      <c r="K612" s="65"/>
      <c r="L612" s="34"/>
      <c r="M612" s="34"/>
      <c r="N612" s="34"/>
      <c r="O612" s="34"/>
      <c r="P612" s="188"/>
      <c r="Q612" s="188"/>
      <c r="R612" s="34"/>
      <c r="S612" s="34"/>
      <c r="T612" s="304"/>
      <c r="U612" s="34"/>
      <c r="V612" s="34"/>
      <c r="W612" s="34"/>
      <c r="X612" s="34"/>
      <c r="Y612" s="105"/>
      <c r="Z612" s="105"/>
    </row>
    <row r="613" spans="1:26" ht="12.75">
      <c r="A613" s="309"/>
      <c r="B613" s="309"/>
      <c r="C613" s="34"/>
      <c r="D613" s="362"/>
      <c r="E613" s="34"/>
      <c r="F613" s="34"/>
      <c r="G613" s="35"/>
      <c r="H613" s="35"/>
      <c r="I613" s="34"/>
      <c r="J613" s="34"/>
      <c r="K613" s="65"/>
      <c r="L613" s="34"/>
      <c r="M613" s="34"/>
      <c r="N613" s="34"/>
      <c r="O613" s="34"/>
      <c r="P613" s="188"/>
      <c r="Q613" s="188"/>
      <c r="R613" s="34"/>
      <c r="S613" s="34"/>
      <c r="T613" s="304"/>
      <c r="U613" s="34"/>
      <c r="V613" s="34"/>
      <c r="W613" s="34"/>
      <c r="X613" s="34"/>
      <c r="Y613" s="105"/>
      <c r="Z613" s="105"/>
    </row>
    <row r="614" spans="1:26" ht="12.75">
      <c r="A614" s="309"/>
      <c r="B614" s="309"/>
      <c r="C614" s="34"/>
      <c r="D614" s="362"/>
      <c r="E614" s="34"/>
      <c r="F614" s="34"/>
      <c r="G614" s="35"/>
      <c r="H614" s="35"/>
      <c r="I614" s="34"/>
      <c r="J614" s="34"/>
      <c r="K614" s="65"/>
      <c r="L614" s="34"/>
      <c r="M614" s="34"/>
      <c r="N614" s="34"/>
      <c r="O614" s="34"/>
      <c r="P614" s="188"/>
      <c r="Q614" s="188"/>
      <c r="R614" s="34"/>
      <c r="S614" s="34"/>
      <c r="T614" s="304"/>
      <c r="U614" s="34"/>
      <c r="V614" s="34"/>
      <c r="W614" s="34"/>
      <c r="X614" s="34"/>
      <c r="Y614" s="105"/>
      <c r="Z614" s="105"/>
    </row>
    <row r="615" spans="1:26" ht="12.75">
      <c r="A615" s="309"/>
      <c r="B615" s="309"/>
      <c r="C615" s="34"/>
      <c r="D615" s="362"/>
      <c r="E615" s="34"/>
      <c r="F615" s="34"/>
      <c r="G615" s="35"/>
      <c r="H615" s="35"/>
      <c r="I615" s="34"/>
      <c r="J615" s="34"/>
      <c r="K615" s="65"/>
      <c r="L615" s="34"/>
      <c r="M615" s="34"/>
      <c r="N615" s="34"/>
      <c r="O615" s="34"/>
      <c r="P615" s="188"/>
      <c r="Q615" s="188"/>
      <c r="R615" s="34"/>
      <c r="S615" s="34"/>
      <c r="T615" s="304"/>
      <c r="U615" s="34"/>
      <c r="V615" s="34"/>
      <c r="W615" s="34"/>
      <c r="X615" s="34"/>
      <c r="Y615" s="105"/>
      <c r="Z615" s="105"/>
    </row>
    <row r="616" spans="1:26" ht="12.75">
      <c r="A616" s="309"/>
      <c r="B616" s="309"/>
      <c r="C616" s="34"/>
      <c r="D616" s="362"/>
      <c r="E616" s="34"/>
      <c r="F616" s="34"/>
      <c r="G616" s="35"/>
      <c r="H616" s="35"/>
      <c r="I616" s="34"/>
      <c r="J616" s="34"/>
      <c r="K616" s="65"/>
      <c r="L616" s="34"/>
      <c r="M616" s="34"/>
      <c r="N616" s="34"/>
      <c r="O616" s="34"/>
      <c r="P616" s="188"/>
      <c r="Q616" s="188"/>
      <c r="R616" s="34"/>
      <c r="S616" s="34"/>
      <c r="T616" s="304"/>
      <c r="U616" s="34"/>
      <c r="V616" s="34"/>
      <c r="W616" s="34"/>
      <c r="X616" s="34"/>
      <c r="Y616" s="105"/>
      <c r="Z616" s="105"/>
    </row>
    <row r="617" spans="1:26" ht="12.75">
      <c r="A617" s="309"/>
      <c r="B617" s="309"/>
      <c r="C617" s="34"/>
      <c r="D617" s="362"/>
      <c r="E617" s="34"/>
      <c r="F617" s="34"/>
      <c r="G617" s="35"/>
      <c r="H617" s="35"/>
      <c r="I617" s="34"/>
      <c r="J617" s="34"/>
      <c r="K617" s="65"/>
      <c r="L617" s="34"/>
      <c r="M617" s="34"/>
      <c r="N617" s="34"/>
      <c r="O617" s="34"/>
      <c r="P617" s="188"/>
      <c r="Q617" s="188"/>
      <c r="R617" s="34"/>
      <c r="S617" s="34"/>
      <c r="T617" s="304"/>
      <c r="U617" s="34"/>
      <c r="V617" s="34"/>
      <c r="W617" s="34"/>
      <c r="X617" s="34"/>
      <c r="Y617" s="105"/>
      <c r="Z617" s="105"/>
    </row>
    <row r="618" spans="1:26" ht="12.75">
      <c r="A618" s="309"/>
      <c r="B618" s="309"/>
      <c r="C618" s="34"/>
      <c r="D618" s="362"/>
      <c r="E618" s="34"/>
      <c r="F618" s="34"/>
      <c r="G618" s="35"/>
      <c r="H618" s="35"/>
      <c r="I618" s="34"/>
      <c r="J618" s="34"/>
      <c r="K618" s="65"/>
      <c r="L618" s="34"/>
      <c r="M618" s="34"/>
      <c r="N618" s="34"/>
      <c r="O618" s="34"/>
      <c r="P618" s="188"/>
      <c r="Q618" s="188"/>
      <c r="R618" s="34"/>
      <c r="S618" s="34"/>
      <c r="T618" s="304"/>
      <c r="U618" s="34"/>
      <c r="V618" s="34"/>
      <c r="W618" s="34"/>
      <c r="X618" s="34"/>
      <c r="Y618" s="105"/>
      <c r="Z618" s="105"/>
    </row>
    <row r="619" spans="1:26" ht="12.75">
      <c r="A619" s="309"/>
      <c r="B619" s="309"/>
      <c r="C619" s="34"/>
      <c r="D619" s="362"/>
      <c r="E619" s="34"/>
      <c r="F619" s="34"/>
      <c r="G619" s="35"/>
      <c r="H619" s="35"/>
      <c r="I619" s="34"/>
      <c r="J619" s="34"/>
      <c r="K619" s="65"/>
      <c r="L619" s="34"/>
      <c r="M619" s="34"/>
      <c r="N619" s="34"/>
      <c r="O619" s="34"/>
      <c r="P619" s="188"/>
      <c r="Q619" s="188"/>
      <c r="R619" s="34"/>
      <c r="S619" s="34"/>
      <c r="T619" s="304"/>
      <c r="U619" s="34"/>
      <c r="V619" s="34"/>
      <c r="W619" s="34"/>
      <c r="X619" s="34"/>
      <c r="Y619" s="105"/>
      <c r="Z619" s="105"/>
    </row>
    <row r="620" spans="1:26" ht="12.75">
      <c r="A620" s="309"/>
      <c r="B620" s="309"/>
      <c r="C620" s="34"/>
      <c r="D620" s="362"/>
      <c r="E620" s="34"/>
      <c r="F620" s="34"/>
      <c r="G620" s="35"/>
      <c r="H620" s="35"/>
      <c r="I620" s="34"/>
      <c r="J620" s="34"/>
      <c r="K620" s="65"/>
      <c r="L620" s="34"/>
      <c r="M620" s="34"/>
      <c r="N620" s="34"/>
      <c r="O620" s="34"/>
      <c r="P620" s="188"/>
      <c r="Q620" s="188"/>
      <c r="R620" s="34"/>
      <c r="S620" s="34"/>
      <c r="T620" s="304"/>
      <c r="U620" s="34"/>
      <c r="V620" s="34"/>
      <c r="W620" s="34"/>
      <c r="X620" s="34"/>
      <c r="Y620" s="105"/>
      <c r="Z620" s="105"/>
    </row>
    <row r="621" spans="1:26" ht="12.75">
      <c r="A621" s="309"/>
      <c r="B621" s="309"/>
      <c r="C621" s="34"/>
      <c r="D621" s="362"/>
      <c r="E621" s="34"/>
      <c r="F621" s="34"/>
      <c r="G621" s="35"/>
      <c r="H621" s="35"/>
      <c r="I621" s="34"/>
      <c r="J621" s="34"/>
      <c r="K621" s="65"/>
      <c r="L621" s="34"/>
      <c r="M621" s="34"/>
      <c r="N621" s="34"/>
      <c r="O621" s="34"/>
      <c r="P621" s="188"/>
      <c r="Q621" s="188"/>
      <c r="R621" s="34"/>
      <c r="S621" s="34"/>
      <c r="T621" s="304"/>
      <c r="U621" s="34"/>
      <c r="V621" s="34"/>
      <c r="W621" s="34"/>
      <c r="X621" s="34"/>
      <c r="Y621" s="105"/>
      <c r="Z621" s="105"/>
    </row>
    <row r="622" spans="1:26" ht="12.75">
      <c r="A622" s="309"/>
      <c r="B622" s="309"/>
      <c r="C622" s="34"/>
      <c r="D622" s="362"/>
      <c r="E622" s="34"/>
      <c r="F622" s="34"/>
      <c r="G622" s="35"/>
      <c r="H622" s="35"/>
      <c r="I622" s="34"/>
      <c r="J622" s="34"/>
      <c r="K622" s="65"/>
      <c r="L622" s="34"/>
      <c r="M622" s="34"/>
      <c r="N622" s="34"/>
      <c r="O622" s="34"/>
      <c r="P622" s="188"/>
      <c r="Q622" s="188"/>
      <c r="R622" s="34"/>
      <c r="S622" s="34"/>
      <c r="T622" s="304"/>
      <c r="U622" s="34"/>
      <c r="V622" s="34"/>
      <c r="W622" s="34"/>
      <c r="X622" s="34"/>
      <c r="Y622" s="105"/>
      <c r="Z622" s="105"/>
    </row>
    <row r="623" spans="1:26" ht="12.75">
      <c r="A623" s="309"/>
      <c r="B623" s="309"/>
      <c r="C623" s="34"/>
      <c r="D623" s="362"/>
      <c r="E623" s="34"/>
      <c r="F623" s="34"/>
      <c r="G623" s="35"/>
      <c r="H623" s="35"/>
      <c r="I623" s="34"/>
      <c r="J623" s="34"/>
      <c r="K623" s="65"/>
      <c r="L623" s="34"/>
      <c r="M623" s="34"/>
      <c r="N623" s="34"/>
      <c r="O623" s="34"/>
      <c r="P623" s="188"/>
      <c r="Q623" s="188"/>
      <c r="R623" s="34"/>
      <c r="S623" s="34"/>
      <c r="T623" s="304"/>
      <c r="U623" s="34"/>
      <c r="V623" s="34"/>
      <c r="W623" s="34"/>
      <c r="X623" s="34"/>
      <c r="Y623" s="105"/>
      <c r="Z623" s="105"/>
    </row>
    <row r="624" spans="1:26" ht="12.75">
      <c r="A624" s="309"/>
      <c r="B624" s="309"/>
      <c r="C624" s="34"/>
      <c r="D624" s="362"/>
      <c r="E624" s="34"/>
      <c r="F624" s="34"/>
      <c r="G624" s="35"/>
      <c r="H624" s="35"/>
      <c r="I624" s="34"/>
      <c r="J624" s="34"/>
      <c r="K624" s="65"/>
      <c r="L624" s="34"/>
      <c r="M624" s="34"/>
      <c r="N624" s="34"/>
      <c r="O624" s="34"/>
      <c r="P624" s="188"/>
      <c r="Q624" s="188"/>
      <c r="R624" s="34"/>
      <c r="S624" s="34"/>
      <c r="T624" s="304"/>
      <c r="U624" s="34"/>
      <c r="V624" s="34"/>
      <c r="W624" s="34"/>
      <c r="X624" s="34"/>
      <c r="Y624" s="105"/>
      <c r="Z624" s="105"/>
    </row>
    <row r="625" spans="1:26" ht="12.75">
      <c r="A625" s="309"/>
      <c r="B625" s="309"/>
      <c r="C625" s="34"/>
      <c r="D625" s="362"/>
      <c r="E625" s="34"/>
      <c r="F625" s="34"/>
      <c r="G625" s="35"/>
      <c r="H625" s="35"/>
      <c r="I625" s="34"/>
      <c r="J625" s="34"/>
      <c r="K625" s="65"/>
      <c r="L625" s="34"/>
      <c r="M625" s="34"/>
      <c r="N625" s="34"/>
      <c r="O625" s="34"/>
      <c r="P625" s="188"/>
      <c r="Q625" s="188"/>
      <c r="R625" s="34"/>
      <c r="S625" s="34"/>
      <c r="T625" s="304"/>
      <c r="U625" s="34"/>
      <c r="V625" s="34"/>
      <c r="W625" s="34"/>
      <c r="X625" s="34"/>
      <c r="Y625" s="105"/>
      <c r="Z625" s="105"/>
    </row>
    <row r="626" spans="1:26" ht="12.75">
      <c r="A626" s="309"/>
      <c r="B626" s="309"/>
      <c r="C626" s="34"/>
      <c r="D626" s="362"/>
      <c r="E626" s="34"/>
      <c r="F626" s="34"/>
      <c r="G626" s="35"/>
      <c r="H626" s="35"/>
      <c r="I626" s="34"/>
      <c r="J626" s="34"/>
      <c r="K626" s="65"/>
      <c r="L626" s="34"/>
      <c r="M626" s="34"/>
      <c r="N626" s="34"/>
      <c r="O626" s="34"/>
      <c r="P626" s="188"/>
      <c r="Q626" s="188"/>
      <c r="R626" s="34"/>
      <c r="S626" s="34"/>
      <c r="T626" s="304"/>
      <c r="U626" s="34"/>
      <c r="V626" s="34"/>
      <c r="W626" s="34"/>
      <c r="X626" s="34"/>
      <c r="Y626" s="105"/>
      <c r="Z626" s="105"/>
    </row>
    <row r="627" spans="1:26" ht="12.75">
      <c r="A627" s="309"/>
      <c r="B627" s="309"/>
      <c r="C627" s="34"/>
      <c r="D627" s="362"/>
      <c r="E627" s="34"/>
      <c r="F627" s="34"/>
      <c r="G627" s="35"/>
      <c r="H627" s="35"/>
      <c r="I627" s="34"/>
      <c r="J627" s="34"/>
      <c r="K627" s="65"/>
      <c r="L627" s="34"/>
      <c r="M627" s="34"/>
      <c r="N627" s="34"/>
      <c r="O627" s="34"/>
      <c r="P627" s="188"/>
      <c r="Q627" s="188"/>
      <c r="R627" s="34"/>
      <c r="S627" s="34"/>
      <c r="T627" s="304"/>
      <c r="U627" s="34"/>
      <c r="V627" s="34"/>
      <c r="W627" s="34"/>
      <c r="X627" s="34"/>
      <c r="Y627" s="105"/>
      <c r="Z627" s="105"/>
    </row>
    <row r="628" spans="1:26" ht="12.75">
      <c r="A628" s="309"/>
      <c r="B628" s="309"/>
      <c r="C628" s="34"/>
      <c r="D628" s="362"/>
      <c r="E628" s="34"/>
      <c r="F628" s="34"/>
      <c r="G628" s="35"/>
      <c r="H628" s="35"/>
      <c r="I628" s="34"/>
      <c r="J628" s="34"/>
      <c r="K628" s="65"/>
      <c r="L628" s="34"/>
      <c r="M628" s="34"/>
      <c r="N628" s="34"/>
      <c r="O628" s="34"/>
      <c r="P628" s="188"/>
      <c r="Q628" s="188"/>
      <c r="R628" s="34"/>
      <c r="S628" s="34"/>
      <c r="T628" s="304"/>
      <c r="U628" s="34"/>
      <c r="V628" s="34"/>
      <c r="W628" s="34"/>
      <c r="X628" s="34"/>
      <c r="Y628" s="105"/>
      <c r="Z628" s="105"/>
    </row>
    <row r="629" spans="1:26" ht="12.75">
      <c r="A629" s="309"/>
      <c r="B629" s="309"/>
      <c r="C629" s="34"/>
      <c r="D629" s="362"/>
      <c r="E629" s="34"/>
      <c r="F629" s="34"/>
      <c r="G629" s="35"/>
      <c r="H629" s="35"/>
      <c r="I629" s="34"/>
      <c r="J629" s="34"/>
      <c r="K629" s="65"/>
      <c r="L629" s="34"/>
      <c r="M629" s="34"/>
      <c r="N629" s="34"/>
      <c r="O629" s="34"/>
      <c r="P629" s="188"/>
      <c r="Q629" s="188"/>
      <c r="R629" s="34"/>
      <c r="S629" s="34"/>
      <c r="T629" s="304"/>
      <c r="U629" s="34"/>
      <c r="V629" s="34"/>
      <c r="W629" s="34"/>
      <c r="X629" s="34"/>
      <c r="Y629" s="105"/>
      <c r="Z629" s="105"/>
    </row>
    <row r="630" spans="1:26" ht="12.75">
      <c r="A630" s="309"/>
      <c r="B630" s="309"/>
      <c r="C630" s="34"/>
      <c r="D630" s="362"/>
      <c r="E630" s="34"/>
      <c r="F630" s="34"/>
      <c r="G630" s="35"/>
      <c r="H630" s="35"/>
      <c r="I630" s="34"/>
      <c r="J630" s="34"/>
      <c r="K630" s="65"/>
      <c r="L630" s="34"/>
      <c r="M630" s="34"/>
      <c r="N630" s="34"/>
      <c r="O630" s="34"/>
      <c r="P630" s="188"/>
      <c r="Q630" s="188"/>
      <c r="R630" s="34"/>
      <c r="S630" s="34"/>
      <c r="T630" s="304"/>
      <c r="U630" s="34"/>
      <c r="V630" s="34"/>
      <c r="W630" s="34"/>
      <c r="X630" s="34"/>
      <c r="Y630" s="105"/>
      <c r="Z630" s="105"/>
    </row>
    <row r="631" spans="1:26" ht="12.75">
      <c r="A631" s="309"/>
      <c r="B631" s="309"/>
      <c r="C631" s="34"/>
      <c r="D631" s="362"/>
      <c r="E631" s="34"/>
      <c r="F631" s="34"/>
      <c r="G631" s="35"/>
      <c r="H631" s="35"/>
      <c r="I631" s="34"/>
      <c r="J631" s="34"/>
      <c r="K631" s="65"/>
      <c r="L631" s="34"/>
      <c r="M631" s="34"/>
      <c r="N631" s="34"/>
      <c r="O631" s="34"/>
      <c r="P631" s="188"/>
      <c r="Q631" s="188"/>
      <c r="R631" s="34"/>
      <c r="S631" s="34"/>
      <c r="T631" s="304"/>
      <c r="U631" s="34"/>
      <c r="V631" s="34"/>
      <c r="W631" s="34"/>
      <c r="X631" s="34"/>
      <c r="Y631" s="105"/>
      <c r="Z631" s="105"/>
    </row>
    <row r="632" spans="1:26" ht="12.75">
      <c r="A632" s="309"/>
      <c r="B632" s="309"/>
      <c r="C632" s="34"/>
      <c r="D632" s="362"/>
      <c r="E632" s="34"/>
      <c r="F632" s="34"/>
      <c r="G632" s="35"/>
      <c r="H632" s="35"/>
      <c r="I632" s="34"/>
      <c r="J632" s="34"/>
      <c r="K632" s="65"/>
      <c r="L632" s="34"/>
      <c r="M632" s="34"/>
      <c r="N632" s="34"/>
      <c r="O632" s="34"/>
      <c r="P632" s="188"/>
      <c r="Q632" s="188"/>
      <c r="R632" s="34"/>
      <c r="S632" s="34"/>
      <c r="T632" s="304"/>
      <c r="U632" s="34"/>
      <c r="V632" s="34"/>
      <c r="W632" s="34"/>
      <c r="X632" s="34"/>
      <c r="Y632" s="105"/>
      <c r="Z632" s="105"/>
    </row>
    <row r="633" spans="1:26" ht="12.75">
      <c r="A633" s="309"/>
      <c r="B633" s="309"/>
      <c r="C633" s="34"/>
      <c r="D633" s="362"/>
      <c r="E633" s="34"/>
      <c r="F633" s="34"/>
      <c r="G633" s="35"/>
      <c r="H633" s="35"/>
      <c r="I633" s="34"/>
      <c r="J633" s="34"/>
      <c r="K633" s="65"/>
      <c r="L633" s="34"/>
      <c r="M633" s="34"/>
      <c r="N633" s="34"/>
      <c r="O633" s="34"/>
      <c r="P633" s="188"/>
      <c r="Q633" s="188"/>
      <c r="R633" s="34"/>
      <c r="S633" s="34"/>
      <c r="T633" s="304"/>
      <c r="U633" s="34"/>
      <c r="V633" s="34"/>
      <c r="W633" s="34"/>
      <c r="X633" s="34"/>
      <c r="Y633" s="105"/>
      <c r="Z633" s="105"/>
    </row>
    <row r="634" spans="1:26" ht="12.75">
      <c r="A634" s="309"/>
      <c r="B634" s="309"/>
      <c r="C634" s="34"/>
      <c r="D634" s="362"/>
      <c r="E634" s="34"/>
      <c r="F634" s="34"/>
      <c r="G634" s="35"/>
      <c r="H634" s="35"/>
      <c r="I634" s="34"/>
      <c r="J634" s="34"/>
      <c r="K634" s="65"/>
      <c r="L634" s="34"/>
      <c r="M634" s="34"/>
      <c r="N634" s="34"/>
      <c r="O634" s="34"/>
      <c r="P634" s="188"/>
      <c r="Q634" s="188"/>
      <c r="R634" s="34"/>
      <c r="S634" s="34"/>
      <c r="T634" s="304"/>
      <c r="U634" s="34"/>
      <c r="V634" s="34"/>
      <c r="W634" s="34"/>
      <c r="X634" s="34"/>
      <c r="Y634" s="105"/>
      <c r="Z634" s="105"/>
    </row>
    <row r="635" spans="1:26" ht="12.75">
      <c r="A635" s="309"/>
      <c r="B635" s="309"/>
      <c r="C635" s="34"/>
      <c r="D635" s="362"/>
      <c r="E635" s="34"/>
      <c r="F635" s="34"/>
      <c r="G635" s="35"/>
      <c r="H635" s="35"/>
      <c r="I635" s="34"/>
      <c r="J635" s="34"/>
      <c r="K635" s="65"/>
      <c r="L635" s="34"/>
      <c r="M635" s="34"/>
      <c r="N635" s="34"/>
      <c r="O635" s="34"/>
      <c r="P635" s="188"/>
      <c r="Q635" s="188"/>
      <c r="R635" s="34"/>
      <c r="S635" s="34"/>
      <c r="T635" s="304"/>
      <c r="U635" s="34"/>
      <c r="V635" s="34"/>
      <c r="W635" s="34"/>
      <c r="X635" s="34"/>
      <c r="Y635" s="105"/>
      <c r="Z635" s="105"/>
    </row>
    <row r="636" spans="1:26" ht="12.75">
      <c r="A636" s="309"/>
      <c r="B636" s="309"/>
      <c r="C636" s="34"/>
      <c r="D636" s="362"/>
      <c r="E636" s="34"/>
      <c r="F636" s="34"/>
      <c r="G636" s="35"/>
      <c r="H636" s="35"/>
      <c r="I636" s="34"/>
      <c r="J636" s="34"/>
      <c r="K636" s="65"/>
      <c r="L636" s="34"/>
      <c r="M636" s="34"/>
      <c r="N636" s="34"/>
      <c r="O636" s="34"/>
      <c r="P636" s="188"/>
      <c r="Q636" s="188"/>
      <c r="R636" s="34"/>
      <c r="S636" s="34"/>
      <c r="T636" s="304"/>
      <c r="U636" s="34"/>
      <c r="V636" s="34"/>
      <c r="W636" s="34"/>
      <c r="X636" s="34"/>
      <c r="Y636" s="105"/>
      <c r="Z636" s="105"/>
    </row>
    <row r="637" spans="1:26" ht="12.75">
      <c r="A637" s="309"/>
      <c r="B637" s="309"/>
      <c r="C637" s="34"/>
      <c r="D637" s="362"/>
      <c r="E637" s="34"/>
      <c r="F637" s="34"/>
      <c r="G637" s="35"/>
      <c r="H637" s="35"/>
      <c r="I637" s="34"/>
      <c r="J637" s="34"/>
      <c r="K637" s="65"/>
      <c r="L637" s="34"/>
      <c r="M637" s="34"/>
      <c r="N637" s="34"/>
      <c r="O637" s="34"/>
      <c r="P637" s="188"/>
      <c r="Q637" s="188"/>
      <c r="R637" s="34"/>
      <c r="S637" s="34"/>
      <c r="T637" s="304"/>
      <c r="U637" s="34"/>
      <c r="V637" s="34"/>
      <c r="W637" s="34"/>
      <c r="X637" s="34"/>
      <c r="Y637" s="105"/>
      <c r="Z637" s="105"/>
    </row>
    <row r="638" spans="1:26" ht="12.75">
      <c r="A638" s="309"/>
      <c r="B638" s="309"/>
      <c r="C638" s="34"/>
      <c r="D638" s="362"/>
      <c r="E638" s="34"/>
      <c r="F638" s="34"/>
      <c r="G638" s="35"/>
      <c r="H638" s="35"/>
      <c r="I638" s="34"/>
      <c r="J638" s="34"/>
      <c r="K638" s="65"/>
      <c r="L638" s="34"/>
      <c r="M638" s="34"/>
      <c r="N638" s="34"/>
      <c r="O638" s="34"/>
      <c r="P638" s="188"/>
      <c r="Q638" s="188"/>
      <c r="R638" s="34"/>
      <c r="S638" s="34"/>
      <c r="T638" s="304"/>
      <c r="U638" s="34"/>
      <c r="V638" s="34"/>
      <c r="W638" s="34"/>
      <c r="X638" s="34"/>
      <c r="Y638" s="105"/>
      <c r="Z638" s="105"/>
    </row>
    <row r="639" spans="1:26" ht="12.75">
      <c r="A639" s="309"/>
      <c r="B639" s="309"/>
      <c r="C639" s="34"/>
      <c r="D639" s="362"/>
      <c r="E639" s="34"/>
      <c r="F639" s="34"/>
      <c r="G639" s="35"/>
      <c r="H639" s="35"/>
      <c r="I639" s="34"/>
      <c r="J639" s="34"/>
      <c r="K639" s="65"/>
      <c r="L639" s="34"/>
      <c r="M639" s="34"/>
      <c r="N639" s="34"/>
      <c r="O639" s="34"/>
      <c r="P639" s="188"/>
      <c r="Q639" s="188"/>
      <c r="R639" s="34"/>
      <c r="S639" s="34"/>
      <c r="T639" s="304"/>
      <c r="U639" s="34"/>
      <c r="V639" s="34"/>
      <c r="W639" s="34"/>
      <c r="X639" s="34"/>
      <c r="Y639" s="105"/>
      <c r="Z639" s="105"/>
    </row>
    <row r="640" spans="1:26" ht="12.75">
      <c r="A640" s="309"/>
      <c r="B640" s="309"/>
      <c r="C640" s="34"/>
      <c r="D640" s="362"/>
      <c r="E640" s="34"/>
      <c r="F640" s="34"/>
      <c r="G640" s="35"/>
      <c r="H640" s="35"/>
      <c r="I640" s="34"/>
      <c r="J640" s="34"/>
      <c r="K640" s="65"/>
      <c r="L640" s="34"/>
      <c r="M640" s="34"/>
      <c r="N640" s="34"/>
      <c r="O640" s="34"/>
      <c r="P640" s="188"/>
      <c r="Q640" s="188"/>
      <c r="R640" s="34"/>
      <c r="S640" s="34"/>
      <c r="T640" s="304"/>
      <c r="U640" s="34"/>
      <c r="V640" s="34"/>
      <c r="W640" s="34"/>
      <c r="X640" s="34"/>
      <c r="Y640" s="105"/>
      <c r="Z640" s="105"/>
    </row>
    <row r="641" spans="1:26" ht="12.75">
      <c r="A641" s="309"/>
      <c r="B641" s="309"/>
      <c r="C641" s="34"/>
      <c r="D641" s="362"/>
      <c r="E641" s="34"/>
      <c r="F641" s="34"/>
      <c r="G641" s="35"/>
      <c r="H641" s="35"/>
      <c r="I641" s="34"/>
      <c r="J641" s="34"/>
      <c r="K641" s="65"/>
      <c r="L641" s="34"/>
      <c r="M641" s="34"/>
      <c r="N641" s="34"/>
      <c r="O641" s="34"/>
      <c r="P641" s="188"/>
      <c r="Q641" s="188"/>
      <c r="R641" s="34"/>
      <c r="S641" s="34"/>
      <c r="T641" s="304"/>
      <c r="U641" s="34"/>
      <c r="V641" s="34"/>
      <c r="W641" s="34"/>
      <c r="X641" s="34"/>
      <c r="Y641" s="105"/>
      <c r="Z641" s="105"/>
    </row>
    <row r="642" spans="1:26" ht="12.75">
      <c r="A642" s="309"/>
      <c r="B642" s="309"/>
      <c r="C642" s="34"/>
      <c r="D642" s="362"/>
      <c r="E642" s="34"/>
      <c r="F642" s="34"/>
      <c r="G642" s="35"/>
      <c r="H642" s="35"/>
      <c r="I642" s="34"/>
      <c r="J642" s="34"/>
      <c r="K642" s="65"/>
      <c r="L642" s="34"/>
      <c r="M642" s="34"/>
      <c r="N642" s="34"/>
      <c r="O642" s="34"/>
      <c r="P642" s="188"/>
      <c r="Q642" s="188"/>
      <c r="R642" s="34"/>
      <c r="S642" s="34"/>
      <c r="T642" s="304"/>
      <c r="U642" s="34"/>
      <c r="V642" s="34"/>
      <c r="W642" s="34"/>
      <c r="X642" s="34"/>
      <c r="Y642" s="105"/>
      <c r="Z642" s="105"/>
    </row>
    <row r="643" spans="1:26" ht="12.75">
      <c r="A643" s="309"/>
      <c r="B643" s="309"/>
      <c r="C643" s="34"/>
      <c r="D643" s="362"/>
      <c r="E643" s="34"/>
      <c r="F643" s="34"/>
      <c r="G643" s="35"/>
      <c r="H643" s="35"/>
      <c r="I643" s="34"/>
      <c r="J643" s="34"/>
      <c r="K643" s="65"/>
      <c r="L643" s="34"/>
      <c r="M643" s="34"/>
      <c r="N643" s="34"/>
      <c r="O643" s="34"/>
      <c r="P643" s="188"/>
      <c r="Q643" s="188"/>
      <c r="R643" s="34"/>
      <c r="S643" s="34"/>
      <c r="T643" s="304"/>
      <c r="U643" s="34"/>
      <c r="V643" s="34"/>
      <c r="W643" s="34"/>
      <c r="X643" s="34"/>
      <c r="Y643" s="105"/>
      <c r="Z643" s="105"/>
    </row>
    <row r="644" spans="1:26" ht="12.75">
      <c r="A644" s="309"/>
      <c r="B644" s="309"/>
      <c r="C644" s="34"/>
      <c r="D644" s="362"/>
      <c r="E644" s="34"/>
      <c r="F644" s="34"/>
      <c r="G644" s="35"/>
      <c r="H644" s="35"/>
      <c r="I644" s="34"/>
      <c r="J644" s="34"/>
      <c r="K644" s="65"/>
      <c r="L644" s="34"/>
      <c r="M644" s="34"/>
      <c r="N644" s="34"/>
      <c r="O644" s="34"/>
      <c r="P644" s="188"/>
      <c r="Q644" s="188"/>
      <c r="R644" s="34"/>
      <c r="S644" s="34"/>
      <c r="T644" s="304"/>
      <c r="U644" s="34"/>
      <c r="V644" s="34"/>
      <c r="W644" s="34"/>
      <c r="X644" s="34"/>
      <c r="Y644" s="105"/>
      <c r="Z644" s="105"/>
    </row>
    <row r="645" spans="1:26" ht="12.75">
      <c r="A645" s="309"/>
      <c r="B645" s="309"/>
      <c r="C645" s="34"/>
      <c r="D645" s="362"/>
      <c r="E645" s="34"/>
      <c r="F645" s="34"/>
      <c r="G645" s="35"/>
      <c r="H645" s="35"/>
      <c r="I645" s="34"/>
      <c r="J645" s="34"/>
      <c r="K645" s="65"/>
      <c r="L645" s="34"/>
      <c r="M645" s="34"/>
      <c r="N645" s="34"/>
      <c r="O645" s="34"/>
      <c r="P645" s="188"/>
      <c r="Q645" s="188"/>
      <c r="R645" s="34"/>
      <c r="S645" s="34"/>
      <c r="T645" s="304"/>
      <c r="U645" s="34"/>
      <c r="V645" s="34"/>
      <c r="W645" s="34"/>
      <c r="X645" s="34"/>
      <c r="Y645" s="105"/>
      <c r="Z645" s="105"/>
    </row>
    <row r="646" spans="1:26" ht="12.75">
      <c r="A646" s="309"/>
      <c r="B646" s="309"/>
      <c r="C646" s="34"/>
      <c r="D646" s="362"/>
      <c r="E646" s="34"/>
      <c r="F646" s="34"/>
      <c r="G646" s="35"/>
      <c r="H646" s="35"/>
      <c r="I646" s="34"/>
      <c r="J646" s="34"/>
      <c r="K646" s="65"/>
      <c r="L646" s="34"/>
      <c r="M646" s="34"/>
      <c r="N646" s="34"/>
      <c r="O646" s="34"/>
      <c r="P646" s="188"/>
      <c r="Q646" s="188"/>
      <c r="R646" s="34"/>
      <c r="S646" s="34"/>
      <c r="T646" s="304"/>
      <c r="U646" s="34"/>
      <c r="V646" s="34"/>
      <c r="W646" s="34"/>
      <c r="X646" s="34"/>
      <c r="Y646" s="105"/>
      <c r="Z646" s="105"/>
    </row>
    <row r="647" spans="1:26" ht="12.75">
      <c r="A647" s="309"/>
      <c r="B647" s="309"/>
      <c r="C647" s="34"/>
      <c r="D647" s="362"/>
      <c r="E647" s="34"/>
      <c r="F647" s="34"/>
      <c r="G647" s="35"/>
      <c r="H647" s="35"/>
      <c r="I647" s="34"/>
      <c r="J647" s="34"/>
      <c r="K647" s="65"/>
      <c r="L647" s="34"/>
      <c r="M647" s="34"/>
      <c r="N647" s="34"/>
      <c r="O647" s="34"/>
      <c r="P647" s="188"/>
      <c r="Q647" s="188"/>
      <c r="R647" s="34"/>
      <c r="S647" s="34"/>
      <c r="T647" s="304"/>
      <c r="U647" s="34"/>
      <c r="V647" s="34"/>
      <c r="W647" s="34"/>
      <c r="X647" s="34"/>
      <c r="Y647" s="105"/>
      <c r="Z647" s="105"/>
    </row>
    <row r="648" spans="1:26" ht="12.75">
      <c r="A648" s="309"/>
      <c r="B648" s="309"/>
      <c r="C648" s="34"/>
      <c r="D648" s="362"/>
      <c r="E648" s="34"/>
      <c r="F648" s="34"/>
      <c r="G648" s="35"/>
      <c r="H648" s="35"/>
      <c r="I648" s="34"/>
      <c r="J648" s="34"/>
      <c r="K648" s="65"/>
      <c r="L648" s="34"/>
      <c r="M648" s="34"/>
      <c r="N648" s="34"/>
      <c r="O648" s="34"/>
      <c r="P648" s="188"/>
      <c r="Q648" s="188"/>
      <c r="R648" s="34"/>
      <c r="S648" s="34"/>
      <c r="T648" s="304"/>
      <c r="U648" s="34"/>
      <c r="V648" s="34"/>
      <c r="W648" s="34"/>
      <c r="X648" s="34"/>
      <c r="Y648" s="105"/>
      <c r="Z648" s="105"/>
    </row>
    <row r="649" spans="1:26" ht="12.75">
      <c r="A649" s="309"/>
      <c r="B649" s="309"/>
      <c r="C649" s="34"/>
      <c r="D649" s="362"/>
      <c r="E649" s="34"/>
      <c r="F649" s="34"/>
      <c r="G649" s="35"/>
      <c r="H649" s="35"/>
      <c r="I649" s="34"/>
      <c r="J649" s="34"/>
      <c r="K649" s="65"/>
      <c r="L649" s="34"/>
      <c r="M649" s="34"/>
      <c r="N649" s="34"/>
      <c r="O649" s="34"/>
      <c r="P649" s="188"/>
      <c r="Q649" s="188"/>
      <c r="R649" s="34"/>
      <c r="S649" s="34"/>
      <c r="T649" s="304"/>
      <c r="U649" s="34"/>
      <c r="V649" s="34"/>
      <c r="W649" s="34"/>
      <c r="X649" s="34"/>
      <c r="Y649" s="105"/>
      <c r="Z649" s="105"/>
    </row>
    <row r="650" spans="1:26" ht="12.75">
      <c r="A650" s="309"/>
      <c r="B650" s="309"/>
      <c r="C650" s="34"/>
      <c r="D650" s="362"/>
      <c r="E650" s="34"/>
      <c r="F650" s="34"/>
      <c r="G650" s="35"/>
      <c r="H650" s="35"/>
      <c r="I650" s="34"/>
      <c r="J650" s="34"/>
      <c r="K650" s="65"/>
      <c r="L650" s="34"/>
      <c r="M650" s="34"/>
      <c r="N650" s="34"/>
      <c r="O650" s="34"/>
      <c r="P650" s="188"/>
      <c r="Q650" s="188"/>
      <c r="R650" s="34"/>
      <c r="S650" s="34"/>
      <c r="T650" s="304"/>
      <c r="U650" s="34"/>
      <c r="V650" s="34"/>
      <c r="W650" s="34"/>
      <c r="X650" s="34"/>
      <c r="Y650" s="105"/>
      <c r="Z650" s="105"/>
    </row>
    <row r="651" spans="1:26" ht="12.75">
      <c r="A651" s="309"/>
      <c r="B651" s="309"/>
      <c r="C651" s="34"/>
      <c r="D651" s="362"/>
      <c r="E651" s="34"/>
      <c r="F651" s="34"/>
      <c r="G651" s="35"/>
      <c r="H651" s="35"/>
      <c r="I651" s="34"/>
      <c r="J651" s="34"/>
      <c r="K651" s="65"/>
      <c r="L651" s="34"/>
      <c r="M651" s="34"/>
      <c r="N651" s="34"/>
      <c r="O651" s="34"/>
      <c r="P651" s="188"/>
      <c r="Q651" s="188"/>
      <c r="R651" s="34"/>
      <c r="S651" s="34"/>
      <c r="T651" s="304"/>
      <c r="U651" s="34"/>
      <c r="V651" s="34"/>
      <c r="W651" s="34"/>
      <c r="X651" s="34"/>
      <c r="Y651" s="105"/>
      <c r="Z651" s="105"/>
    </row>
    <row r="652" spans="1:26" ht="12.75">
      <c r="A652" s="309"/>
      <c r="B652" s="309"/>
      <c r="C652" s="34"/>
      <c r="D652" s="362"/>
      <c r="E652" s="34"/>
      <c r="F652" s="34"/>
      <c r="G652" s="35"/>
      <c r="H652" s="35"/>
      <c r="I652" s="34"/>
      <c r="J652" s="34"/>
      <c r="K652" s="65"/>
      <c r="L652" s="34"/>
      <c r="M652" s="34"/>
      <c r="N652" s="34"/>
      <c r="O652" s="34"/>
      <c r="P652" s="188"/>
      <c r="Q652" s="188"/>
      <c r="R652" s="34"/>
      <c r="S652" s="34"/>
      <c r="T652" s="304"/>
      <c r="U652" s="34"/>
      <c r="V652" s="34"/>
      <c r="W652" s="34"/>
      <c r="X652" s="34"/>
      <c r="Y652" s="105"/>
      <c r="Z652" s="105"/>
    </row>
    <row r="653" spans="1:26" ht="12.75">
      <c r="A653" s="309"/>
      <c r="B653" s="309"/>
      <c r="C653" s="34"/>
      <c r="D653" s="362"/>
      <c r="E653" s="34"/>
      <c r="F653" s="34"/>
      <c r="G653" s="35"/>
      <c r="H653" s="35"/>
      <c r="I653" s="34"/>
      <c r="J653" s="34"/>
      <c r="K653" s="65"/>
      <c r="L653" s="34"/>
      <c r="M653" s="34"/>
      <c r="N653" s="34"/>
      <c r="O653" s="34"/>
      <c r="P653" s="188"/>
      <c r="Q653" s="188"/>
      <c r="R653" s="34"/>
      <c r="S653" s="34"/>
      <c r="T653" s="304"/>
      <c r="U653" s="34"/>
      <c r="V653" s="34"/>
      <c r="W653" s="34"/>
      <c r="X653" s="34"/>
      <c r="Y653" s="105"/>
      <c r="Z653" s="105"/>
    </row>
    <row r="654" spans="1:26" ht="12.75">
      <c r="A654" s="309"/>
      <c r="B654" s="309"/>
      <c r="C654" s="34"/>
      <c r="D654" s="362"/>
      <c r="E654" s="34"/>
      <c r="F654" s="34"/>
      <c r="G654" s="35"/>
      <c r="H654" s="35"/>
      <c r="I654" s="34"/>
      <c r="J654" s="34"/>
      <c r="K654" s="65"/>
      <c r="L654" s="34"/>
      <c r="M654" s="34"/>
      <c r="N654" s="34"/>
      <c r="O654" s="34"/>
      <c r="P654" s="188"/>
      <c r="Q654" s="188"/>
      <c r="R654" s="34"/>
      <c r="S654" s="34"/>
      <c r="T654" s="304"/>
      <c r="U654" s="34"/>
      <c r="V654" s="34"/>
      <c r="W654" s="34"/>
      <c r="X654" s="34"/>
      <c r="Y654" s="105"/>
      <c r="Z654" s="105"/>
    </row>
    <row r="655" spans="1:26" ht="12.75">
      <c r="A655" s="309"/>
      <c r="B655" s="309"/>
      <c r="C655" s="34"/>
      <c r="D655" s="362"/>
      <c r="E655" s="34"/>
      <c r="F655" s="34"/>
      <c r="G655" s="35"/>
      <c r="H655" s="35"/>
      <c r="I655" s="34"/>
      <c r="J655" s="34"/>
      <c r="K655" s="65"/>
      <c r="L655" s="34"/>
      <c r="M655" s="34"/>
      <c r="N655" s="34"/>
      <c r="O655" s="34"/>
      <c r="P655" s="188"/>
      <c r="Q655" s="188"/>
      <c r="R655" s="34"/>
      <c r="S655" s="34"/>
      <c r="T655" s="304"/>
      <c r="U655" s="34"/>
      <c r="V655" s="34"/>
      <c r="W655" s="34"/>
      <c r="X655" s="34"/>
      <c r="Y655" s="105"/>
      <c r="Z655" s="105"/>
    </row>
    <row r="656" spans="1:26" ht="12.75">
      <c r="A656" s="309"/>
      <c r="B656" s="309"/>
      <c r="C656" s="34"/>
      <c r="D656" s="362"/>
      <c r="E656" s="34"/>
      <c r="F656" s="34"/>
      <c r="G656" s="35"/>
      <c r="H656" s="35"/>
      <c r="I656" s="34"/>
      <c r="J656" s="34"/>
      <c r="K656" s="65"/>
      <c r="L656" s="34"/>
      <c r="M656" s="34"/>
      <c r="N656" s="34"/>
      <c r="O656" s="34"/>
      <c r="P656" s="188"/>
      <c r="Q656" s="188"/>
      <c r="R656" s="34"/>
      <c r="S656" s="34"/>
      <c r="T656" s="304"/>
      <c r="U656" s="34"/>
      <c r="V656" s="34"/>
      <c r="W656" s="34"/>
      <c r="X656" s="34"/>
      <c r="Y656" s="105"/>
      <c r="Z656" s="105"/>
    </row>
    <row r="657" spans="1:26" ht="12.75">
      <c r="A657" s="309"/>
      <c r="B657" s="309"/>
      <c r="C657" s="34"/>
      <c r="D657" s="362"/>
      <c r="E657" s="34"/>
      <c r="F657" s="34"/>
      <c r="G657" s="35"/>
      <c r="H657" s="35"/>
      <c r="I657" s="34"/>
      <c r="J657" s="34"/>
      <c r="K657" s="65"/>
      <c r="L657" s="34"/>
      <c r="M657" s="34"/>
      <c r="N657" s="34"/>
      <c r="O657" s="34"/>
      <c r="P657" s="188"/>
      <c r="Q657" s="188"/>
      <c r="R657" s="34"/>
      <c r="S657" s="34"/>
      <c r="T657" s="304"/>
      <c r="U657" s="34"/>
      <c r="V657" s="34"/>
      <c r="W657" s="34"/>
      <c r="X657" s="34"/>
      <c r="Y657" s="105"/>
      <c r="Z657" s="105"/>
    </row>
    <row r="658" spans="1:26" ht="12.75">
      <c r="A658" s="309"/>
      <c r="B658" s="309"/>
      <c r="C658" s="34"/>
      <c r="D658" s="362"/>
      <c r="E658" s="34"/>
      <c r="F658" s="34"/>
      <c r="G658" s="35"/>
      <c r="H658" s="35"/>
      <c r="I658" s="34"/>
      <c r="J658" s="34"/>
      <c r="K658" s="65"/>
      <c r="L658" s="34"/>
      <c r="M658" s="34"/>
      <c r="N658" s="34"/>
      <c r="O658" s="34"/>
      <c r="P658" s="188"/>
      <c r="Q658" s="188"/>
      <c r="R658" s="34"/>
      <c r="S658" s="34"/>
      <c r="T658" s="304"/>
      <c r="U658" s="34"/>
      <c r="V658" s="34"/>
      <c r="W658" s="34"/>
      <c r="X658" s="34"/>
      <c r="Y658" s="105"/>
      <c r="Z658" s="105"/>
    </row>
    <row r="659" spans="1:26" ht="12.75">
      <c r="A659" s="309"/>
      <c r="B659" s="309"/>
      <c r="C659" s="34"/>
      <c r="D659" s="362"/>
      <c r="E659" s="34"/>
      <c r="F659" s="34"/>
      <c r="G659" s="35"/>
      <c r="H659" s="35"/>
      <c r="I659" s="34"/>
      <c r="J659" s="34"/>
      <c r="K659" s="65"/>
      <c r="L659" s="34"/>
      <c r="M659" s="34"/>
      <c r="N659" s="34"/>
      <c r="O659" s="34"/>
      <c r="P659" s="188"/>
      <c r="Q659" s="188"/>
      <c r="R659" s="34"/>
      <c r="S659" s="34"/>
      <c r="T659" s="304"/>
      <c r="U659" s="34"/>
      <c r="V659" s="34"/>
      <c r="W659" s="34"/>
      <c r="X659" s="34"/>
      <c r="Y659" s="105"/>
      <c r="Z659" s="105"/>
    </row>
    <row r="660" spans="1:26" ht="12.75">
      <c r="A660" s="309"/>
      <c r="B660" s="309"/>
      <c r="C660" s="34"/>
      <c r="D660" s="362"/>
      <c r="E660" s="34"/>
      <c r="F660" s="34"/>
      <c r="G660" s="35"/>
      <c r="H660" s="35"/>
      <c r="I660" s="34"/>
      <c r="J660" s="34"/>
      <c r="K660" s="65"/>
      <c r="L660" s="34"/>
      <c r="M660" s="34"/>
      <c r="N660" s="34"/>
      <c r="O660" s="34"/>
      <c r="P660" s="188"/>
      <c r="Q660" s="188"/>
      <c r="R660" s="34"/>
      <c r="S660" s="34"/>
      <c r="T660" s="304"/>
      <c r="U660" s="34"/>
      <c r="V660" s="34"/>
      <c r="W660" s="34"/>
      <c r="X660" s="34"/>
      <c r="Y660" s="105"/>
      <c r="Z660" s="105"/>
    </row>
    <row r="661" spans="1:26" ht="12.75">
      <c r="A661" s="309"/>
      <c r="B661" s="309"/>
      <c r="C661" s="34"/>
      <c r="D661" s="362"/>
      <c r="E661" s="34"/>
      <c r="F661" s="34"/>
      <c r="G661" s="35"/>
      <c r="H661" s="35"/>
      <c r="I661" s="34"/>
      <c r="J661" s="34"/>
      <c r="K661" s="65"/>
      <c r="L661" s="34"/>
      <c r="M661" s="34"/>
      <c r="N661" s="34"/>
      <c r="O661" s="34"/>
      <c r="P661" s="188"/>
      <c r="Q661" s="188"/>
      <c r="R661" s="34"/>
      <c r="S661" s="34"/>
      <c r="T661" s="304"/>
      <c r="U661" s="34"/>
      <c r="V661" s="34"/>
      <c r="W661" s="34"/>
      <c r="X661" s="34"/>
      <c r="Y661" s="105"/>
      <c r="Z661" s="105"/>
    </row>
    <row r="662" spans="1:26" ht="12.75">
      <c r="A662" s="309"/>
      <c r="B662" s="309"/>
      <c r="C662" s="34"/>
      <c r="D662" s="362"/>
      <c r="E662" s="34"/>
      <c r="F662" s="34"/>
      <c r="G662" s="35"/>
      <c r="H662" s="35"/>
      <c r="I662" s="34"/>
      <c r="J662" s="34"/>
      <c r="K662" s="65"/>
      <c r="L662" s="34"/>
      <c r="M662" s="34"/>
      <c r="N662" s="34"/>
      <c r="O662" s="34"/>
      <c r="P662" s="188"/>
      <c r="Q662" s="188"/>
      <c r="R662" s="34"/>
      <c r="S662" s="34"/>
      <c r="T662" s="304"/>
      <c r="U662" s="34"/>
      <c r="V662" s="34"/>
      <c r="W662" s="34"/>
      <c r="X662" s="34"/>
      <c r="Y662" s="105"/>
      <c r="Z662" s="105"/>
    </row>
    <row r="663" spans="1:26" ht="12.75">
      <c r="A663" s="309"/>
      <c r="B663" s="309"/>
      <c r="C663" s="34"/>
      <c r="D663" s="362"/>
      <c r="E663" s="34"/>
      <c r="F663" s="34"/>
      <c r="G663" s="35"/>
      <c r="H663" s="35"/>
      <c r="I663" s="34"/>
      <c r="J663" s="34"/>
      <c r="K663" s="65"/>
      <c r="L663" s="34"/>
      <c r="M663" s="34"/>
      <c r="N663" s="34"/>
      <c r="O663" s="34"/>
      <c r="P663" s="188"/>
      <c r="Q663" s="188"/>
      <c r="R663" s="34"/>
      <c r="S663" s="34"/>
      <c r="T663" s="304"/>
      <c r="U663" s="34"/>
      <c r="V663" s="34"/>
      <c r="W663" s="34"/>
      <c r="X663" s="34"/>
      <c r="Y663" s="105"/>
      <c r="Z663" s="105"/>
    </row>
    <row r="664" spans="1:26" ht="12.75">
      <c r="A664" s="309"/>
      <c r="B664" s="309"/>
      <c r="C664" s="34"/>
      <c r="D664" s="362"/>
      <c r="E664" s="34"/>
      <c r="F664" s="34"/>
      <c r="G664" s="35"/>
      <c r="H664" s="35"/>
      <c r="I664" s="34"/>
      <c r="J664" s="34"/>
      <c r="K664" s="65"/>
      <c r="L664" s="34"/>
      <c r="M664" s="34"/>
      <c r="N664" s="34"/>
      <c r="O664" s="34"/>
      <c r="P664" s="188"/>
      <c r="Q664" s="188"/>
      <c r="R664" s="34"/>
      <c r="S664" s="34"/>
      <c r="T664" s="304"/>
      <c r="U664" s="34"/>
      <c r="V664" s="34"/>
      <c r="W664" s="34"/>
      <c r="X664" s="34"/>
      <c r="Y664" s="105"/>
      <c r="Z664" s="105"/>
    </row>
    <row r="665" spans="1:26" ht="12.75">
      <c r="A665" s="309"/>
      <c r="B665" s="309"/>
      <c r="C665" s="34"/>
      <c r="D665" s="362"/>
      <c r="E665" s="34"/>
      <c r="F665" s="34"/>
      <c r="G665" s="35"/>
      <c r="H665" s="35"/>
      <c r="I665" s="34"/>
      <c r="J665" s="34"/>
      <c r="K665" s="65"/>
      <c r="L665" s="34"/>
      <c r="M665" s="34"/>
      <c r="N665" s="34"/>
      <c r="O665" s="34"/>
      <c r="P665" s="188"/>
      <c r="Q665" s="188"/>
      <c r="R665" s="34"/>
      <c r="S665" s="34"/>
      <c r="T665" s="304"/>
      <c r="U665" s="34"/>
      <c r="V665" s="34"/>
      <c r="W665" s="34"/>
      <c r="X665" s="34"/>
      <c r="Y665" s="105"/>
      <c r="Z665" s="105"/>
    </row>
    <row r="666" spans="1:26" ht="12.75">
      <c r="A666" s="309"/>
      <c r="B666" s="309"/>
      <c r="C666" s="34"/>
      <c r="D666" s="362"/>
      <c r="E666" s="34"/>
      <c r="F666" s="34"/>
      <c r="G666" s="35"/>
      <c r="H666" s="35"/>
      <c r="I666" s="34"/>
      <c r="J666" s="34"/>
      <c r="K666" s="65"/>
      <c r="L666" s="34"/>
      <c r="M666" s="34"/>
      <c r="N666" s="34"/>
      <c r="O666" s="34"/>
      <c r="P666" s="188"/>
      <c r="Q666" s="188"/>
      <c r="R666" s="34"/>
      <c r="S666" s="34"/>
      <c r="T666" s="304"/>
      <c r="U666" s="34"/>
      <c r="V666" s="34"/>
      <c r="W666" s="34"/>
      <c r="X666" s="34"/>
      <c r="Y666" s="105"/>
      <c r="Z666" s="105"/>
    </row>
    <row r="667" spans="1:26" ht="12.75">
      <c r="A667" s="309"/>
      <c r="B667" s="309"/>
      <c r="C667" s="34"/>
      <c r="D667" s="362"/>
      <c r="E667" s="34"/>
      <c r="F667" s="34"/>
      <c r="G667" s="35"/>
      <c r="H667" s="35"/>
      <c r="I667" s="34"/>
      <c r="J667" s="34"/>
      <c r="K667" s="65"/>
      <c r="L667" s="34"/>
      <c r="M667" s="34"/>
      <c r="N667" s="34"/>
      <c r="O667" s="34"/>
      <c r="P667" s="188"/>
      <c r="Q667" s="188"/>
      <c r="R667" s="34"/>
      <c r="S667" s="34"/>
      <c r="T667" s="304"/>
      <c r="U667" s="34"/>
      <c r="V667" s="34"/>
      <c r="W667" s="34"/>
      <c r="X667" s="34"/>
      <c r="Y667" s="105"/>
      <c r="Z667" s="105"/>
    </row>
    <row r="668" spans="1:26" ht="12.75">
      <c r="A668" s="309"/>
      <c r="B668" s="309"/>
      <c r="C668" s="34"/>
      <c r="D668" s="362"/>
      <c r="E668" s="34"/>
      <c r="F668" s="34"/>
      <c r="G668" s="35"/>
      <c r="H668" s="35"/>
      <c r="I668" s="34"/>
      <c r="J668" s="34"/>
      <c r="K668" s="65"/>
      <c r="L668" s="34"/>
      <c r="M668" s="34"/>
      <c r="N668" s="34"/>
      <c r="O668" s="34"/>
      <c r="P668" s="188"/>
      <c r="Q668" s="188"/>
      <c r="R668" s="34"/>
      <c r="S668" s="34"/>
      <c r="T668" s="304"/>
      <c r="U668" s="34"/>
      <c r="V668" s="34"/>
      <c r="W668" s="34"/>
      <c r="X668" s="34"/>
      <c r="Y668" s="105"/>
      <c r="Z668" s="105"/>
    </row>
    <row r="669" spans="1:26" ht="12.75">
      <c r="A669" s="309"/>
      <c r="B669" s="309"/>
      <c r="C669" s="34"/>
      <c r="D669" s="362"/>
      <c r="E669" s="34"/>
      <c r="F669" s="34"/>
      <c r="G669" s="35"/>
      <c r="H669" s="35"/>
      <c r="I669" s="34"/>
      <c r="J669" s="34"/>
      <c r="K669" s="65"/>
      <c r="L669" s="34"/>
      <c r="M669" s="34"/>
      <c r="N669" s="34"/>
      <c r="O669" s="34"/>
      <c r="P669" s="188"/>
      <c r="Q669" s="188"/>
      <c r="R669" s="34"/>
      <c r="S669" s="34"/>
      <c r="T669" s="304"/>
      <c r="U669" s="34"/>
      <c r="V669" s="34"/>
      <c r="W669" s="34"/>
      <c r="X669" s="34"/>
      <c r="Y669" s="105"/>
      <c r="Z669" s="105"/>
    </row>
    <row r="670" spans="1:26" ht="12.75">
      <c r="A670" s="309"/>
      <c r="B670" s="309"/>
      <c r="C670" s="34"/>
      <c r="D670" s="362"/>
      <c r="E670" s="34"/>
      <c r="F670" s="34"/>
      <c r="G670" s="35"/>
      <c r="H670" s="35"/>
      <c r="I670" s="34"/>
      <c r="J670" s="34"/>
      <c r="K670" s="65"/>
      <c r="L670" s="34"/>
      <c r="M670" s="34"/>
      <c r="N670" s="34"/>
      <c r="O670" s="34"/>
      <c r="P670" s="188"/>
      <c r="Q670" s="188"/>
      <c r="R670" s="34"/>
      <c r="S670" s="34"/>
      <c r="T670" s="304"/>
      <c r="U670" s="34"/>
      <c r="V670" s="34"/>
      <c r="W670" s="34"/>
      <c r="X670" s="34"/>
      <c r="Y670" s="105"/>
      <c r="Z670" s="105"/>
    </row>
    <row r="671" spans="1:26" ht="12.75">
      <c r="A671" s="309"/>
      <c r="B671" s="309"/>
      <c r="C671" s="34"/>
      <c r="D671" s="362"/>
      <c r="E671" s="34"/>
      <c r="F671" s="34"/>
      <c r="G671" s="35"/>
      <c r="H671" s="35"/>
      <c r="I671" s="34"/>
      <c r="J671" s="34"/>
      <c r="K671" s="65"/>
      <c r="L671" s="34"/>
      <c r="M671" s="34"/>
      <c r="N671" s="34"/>
      <c r="O671" s="34"/>
      <c r="P671" s="188"/>
      <c r="Q671" s="188"/>
      <c r="R671" s="34"/>
      <c r="S671" s="34"/>
      <c r="T671" s="304"/>
      <c r="U671" s="34"/>
      <c r="V671" s="34"/>
      <c r="W671" s="34"/>
      <c r="X671" s="34"/>
      <c r="Y671" s="105"/>
      <c r="Z671" s="105"/>
    </row>
    <row r="672" spans="1:26" ht="12.75">
      <c r="A672" s="309"/>
      <c r="B672" s="309"/>
      <c r="C672" s="34"/>
      <c r="D672" s="362"/>
      <c r="E672" s="34"/>
      <c r="F672" s="34"/>
      <c r="G672" s="35"/>
      <c r="H672" s="35"/>
      <c r="I672" s="34"/>
      <c r="J672" s="34"/>
      <c r="K672" s="65"/>
      <c r="L672" s="34"/>
      <c r="M672" s="34"/>
      <c r="N672" s="34"/>
      <c r="O672" s="34"/>
      <c r="P672" s="188"/>
      <c r="Q672" s="188"/>
      <c r="R672" s="34"/>
      <c r="S672" s="34"/>
      <c r="T672" s="304"/>
      <c r="U672" s="34"/>
      <c r="V672" s="34"/>
      <c r="W672" s="34"/>
      <c r="X672" s="34"/>
      <c r="Y672" s="105"/>
      <c r="Z672" s="105"/>
    </row>
    <row r="673" spans="1:26" ht="12.75">
      <c r="A673" s="309"/>
      <c r="B673" s="309"/>
      <c r="C673" s="34"/>
      <c r="D673" s="362"/>
      <c r="E673" s="34"/>
      <c r="F673" s="34"/>
      <c r="G673" s="35"/>
      <c r="H673" s="35"/>
      <c r="I673" s="34"/>
      <c r="J673" s="34"/>
      <c r="K673" s="65"/>
      <c r="L673" s="34"/>
      <c r="M673" s="34"/>
      <c r="N673" s="34"/>
      <c r="O673" s="34"/>
      <c r="P673" s="188"/>
      <c r="Q673" s="188"/>
      <c r="R673" s="34"/>
      <c r="S673" s="34"/>
      <c r="T673" s="304"/>
      <c r="U673" s="34"/>
      <c r="V673" s="34"/>
      <c r="W673" s="34"/>
      <c r="X673" s="34"/>
      <c r="Y673" s="105"/>
      <c r="Z673" s="105"/>
    </row>
    <row r="674" spans="1:26" ht="12.75">
      <c r="A674" s="309"/>
      <c r="B674" s="309"/>
      <c r="C674" s="34"/>
      <c r="D674" s="362"/>
      <c r="E674" s="34"/>
      <c r="F674" s="34"/>
      <c r="G674" s="35"/>
      <c r="H674" s="35"/>
      <c r="I674" s="34"/>
      <c r="J674" s="34"/>
      <c r="K674" s="65"/>
      <c r="L674" s="34"/>
      <c r="M674" s="34"/>
      <c r="N674" s="34"/>
      <c r="O674" s="34"/>
      <c r="P674" s="188"/>
      <c r="Q674" s="188"/>
      <c r="R674" s="34"/>
      <c r="S674" s="34"/>
      <c r="T674" s="304"/>
      <c r="U674" s="34"/>
      <c r="V674" s="34"/>
      <c r="W674" s="34"/>
      <c r="X674" s="34"/>
      <c r="Y674" s="105"/>
      <c r="Z674" s="105"/>
    </row>
    <row r="675" spans="1:26" ht="12.75">
      <c r="A675" s="309"/>
      <c r="B675" s="309"/>
      <c r="C675" s="34"/>
      <c r="D675" s="362"/>
      <c r="E675" s="34"/>
      <c r="F675" s="34"/>
      <c r="G675" s="35"/>
      <c r="H675" s="35"/>
      <c r="I675" s="34"/>
      <c r="J675" s="34"/>
      <c r="K675" s="65"/>
      <c r="L675" s="34"/>
      <c r="M675" s="34"/>
      <c r="N675" s="34"/>
      <c r="O675" s="34"/>
      <c r="P675" s="188"/>
      <c r="Q675" s="188"/>
      <c r="R675" s="34"/>
      <c r="S675" s="34"/>
      <c r="T675" s="304"/>
      <c r="U675" s="34"/>
      <c r="V675" s="34"/>
      <c r="W675" s="34"/>
      <c r="X675" s="34"/>
      <c r="Y675" s="105"/>
      <c r="Z675" s="105"/>
    </row>
    <row r="676" spans="1:26" ht="12.75">
      <c r="A676" s="309"/>
      <c r="B676" s="309"/>
      <c r="C676" s="34"/>
      <c r="D676" s="362"/>
      <c r="E676" s="34"/>
      <c r="F676" s="34"/>
      <c r="G676" s="35"/>
      <c r="H676" s="35"/>
      <c r="I676" s="34"/>
      <c r="J676" s="34"/>
      <c r="K676" s="65"/>
      <c r="L676" s="34"/>
      <c r="M676" s="34"/>
      <c r="N676" s="34"/>
      <c r="O676" s="34"/>
      <c r="P676" s="188"/>
      <c r="Q676" s="188"/>
      <c r="R676" s="34"/>
      <c r="S676" s="34"/>
      <c r="T676" s="304"/>
      <c r="U676" s="34"/>
      <c r="V676" s="34"/>
      <c r="W676" s="34"/>
      <c r="X676" s="34"/>
      <c r="Y676" s="105"/>
      <c r="Z676" s="105"/>
    </row>
    <row r="677" spans="1:26" ht="12.75">
      <c r="A677" s="309"/>
      <c r="B677" s="309"/>
      <c r="C677" s="34"/>
      <c r="D677" s="362"/>
      <c r="E677" s="34"/>
      <c r="F677" s="34"/>
      <c r="G677" s="35"/>
      <c r="H677" s="35"/>
      <c r="I677" s="34"/>
      <c r="J677" s="34"/>
      <c r="K677" s="65"/>
      <c r="L677" s="34"/>
      <c r="M677" s="34"/>
      <c r="N677" s="34"/>
      <c r="O677" s="34"/>
      <c r="P677" s="188"/>
      <c r="Q677" s="188"/>
      <c r="R677" s="34"/>
      <c r="S677" s="34"/>
      <c r="T677" s="304"/>
      <c r="U677" s="34"/>
      <c r="V677" s="34"/>
      <c r="W677" s="34"/>
      <c r="X677" s="34"/>
      <c r="Y677" s="105"/>
      <c r="Z677" s="105"/>
    </row>
    <row r="678" spans="1:26" ht="12.75">
      <c r="A678" s="309"/>
      <c r="B678" s="309"/>
      <c r="C678" s="34"/>
      <c r="D678" s="362"/>
      <c r="E678" s="34"/>
      <c r="F678" s="34"/>
      <c r="G678" s="35"/>
      <c r="H678" s="35"/>
      <c r="I678" s="34"/>
      <c r="J678" s="34"/>
      <c r="K678" s="65"/>
      <c r="L678" s="34"/>
      <c r="M678" s="34"/>
      <c r="N678" s="34"/>
      <c r="O678" s="34"/>
      <c r="P678" s="188"/>
      <c r="Q678" s="188"/>
      <c r="R678" s="34"/>
      <c r="S678" s="34"/>
      <c r="T678" s="304"/>
      <c r="U678" s="34"/>
      <c r="V678" s="34"/>
      <c r="W678" s="34"/>
      <c r="X678" s="34"/>
      <c r="Y678" s="105"/>
      <c r="Z678" s="105"/>
    </row>
    <row r="679" spans="1:26" ht="12.75">
      <c r="A679" s="309"/>
      <c r="B679" s="309"/>
      <c r="C679" s="34"/>
      <c r="D679" s="362"/>
      <c r="E679" s="34"/>
      <c r="F679" s="34"/>
      <c r="G679" s="35"/>
      <c r="H679" s="35"/>
      <c r="I679" s="34"/>
      <c r="J679" s="34"/>
      <c r="K679" s="65"/>
      <c r="L679" s="34"/>
      <c r="M679" s="34"/>
      <c r="N679" s="34"/>
      <c r="O679" s="34"/>
      <c r="P679" s="188"/>
      <c r="Q679" s="188"/>
      <c r="R679" s="34"/>
      <c r="S679" s="34"/>
      <c r="T679" s="304"/>
      <c r="U679" s="34"/>
      <c r="V679" s="34"/>
      <c r="W679" s="34"/>
      <c r="X679" s="34"/>
      <c r="Y679" s="105"/>
      <c r="Z679" s="105"/>
    </row>
    <row r="680" spans="1:26" ht="12.75">
      <c r="A680" s="309"/>
      <c r="B680" s="309"/>
      <c r="C680" s="34"/>
      <c r="D680" s="362"/>
      <c r="E680" s="34"/>
      <c r="F680" s="34"/>
      <c r="G680" s="35"/>
      <c r="H680" s="35"/>
      <c r="I680" s="34"/>
      <c r="J680" s="34"/>
      <c r="K680" s="65"/>
      <c r="L680" s="34"/>
      <c r="M680" s="34"/>
      <c r="N680" s="34"/>
      <c r="O680" s="34"/>
      <c r="P680" s="188"/>
      <c r="Q680" s="188"/>
      <c r="R680" s="34"/>
      <c r="S680" s="34"/>
      <c r="T680" s="304"/>
      <c r="U680" s="34"/>
      <c r="V680" s="34"/>
      <c r="W680" s="34"/>
      <c r="X680" s="34"/>
      <c r="Y680" s="105"/>
      <c r="Z680" s="105"/>
    </row>
    <row r="681" spans="1:26" ht="12.75">
      <c r="A681" s="309"/>
      <c r="B681" s="309"/>
      <c r="C681" s="34"/>
      <c r="D681" s="362"/>
      <c r="E681" s="34"/>
      <c r="F681" s="34"/>
      <c r="G681" s="35"/>
      <c r="H681" s="35"/>
      <c r="I681" s="34"/>
      <c r="J681" s="34"/>
      <c r="K681" s="65"/>
      <c r="L681" s="34"/>
      <c r="M681" s="34"/>
      <c r="N681" s="34"/>
      <c r="O681" s="34"/>
      <c r="P681" s="188"/>
      <c r="Q681" s="188"/>
      <c r="R681" s="34"/>
      <c r="S681" s="34"/>
      <c r="T681" s="304"/>
      <c r="U681" s="34"/>
      <c r="V681" s="34"/>
      <c r="W681" s="34"/>
      <c r="X681" s="34"/>
      <c r="Y681" s="105"/>
      <c r="Z681" s="105"/>
    </row>
    <row r="682" spans="1:26" ht="12.75">
      <c r="A682" s="309"/>
      <c r="B682" s="309"/>
      <c r="C682" s="34"/>
      <c r="D682" s="362"/>
      <c r="E682" s="34"/>
      <c r="F682" s="34"/>
      <c r="G682" s="35"/>
      <c r="H682" s="35"/>
      <c r="I682" s="34"/>
      <c r="J682" s="34"/>
      <c r="K682" s="65"/>
      <c r="L682" s="34"/>
      <c r="M682" s="34"/>
      <c r="N682" s="34"/>
      <c r="O682" s="34"/>
      <c r="P682" s="188"/>
      <c r="Q682" s="188"/>
      <c r="R682" s="34"/>
      <c r="S682" s="34"/>
      <c r="T682" s="304"/>
      <c r="U682" s="34"/>
      <c r="V682" s="34"/>
      <c r="W682" s="34"/>
      <c r="X682" s="34"/>
      <c r="Y682" s="105"/>
      <c r="Z682" s="105"/>
    </row>
    <row r="683" spans="1:26" ht="12.75">
      <c r="A683" s="309"/>
      <c r="B683" s="309"/>
      <c r="C683" s="34"/>
      <c r="D683" s="362"/>
      <c r="E683" s="34"/>
      <c r="F683" s="34"/>
      <c r="G683" s="35"/>
      <c r="H683" s="35"/>
      <c r="I683" s="34"/>
      <c r="J683" s="34"/>
      <c r="K683" s="65"/>
      <c r="L683" s="34"/>
      <c r="M683" s="34"/>
      <c r="N683" s="34"/>
      <c r="O683" s="34"/>
      <c r="P683" s="188"/>
      <c r="Q683" s="188"/>
      <c r="R683" s="34"/>
      <c r="S683" s="34"/>
      <c r="T683" s="304"/>
      <c r="U683" s="34"/>
      <c r="V683" s="34"/>
      <c r="W683" s="34"/>
      <c r="X683" s="34"/>
      <c r="Y683" s="105"/>
      <c r="Z683" s="105"/>
    </row>
    <row r="684" spans="1:26" ht="12.75">
      <c r="A684" s="309"/>
      <c r="B684" s="309"/>
      <c r="C684" s="34"/>
      <c r="D684" s="362"/>
      <c r="E684" s="34"/>
      <c r="F684" s="34"/>
      <c r="G684" s="35"/>
      <c r="H684" s="35"/>
      <c r="I684" s="34"/>
      <c r="J684" s="34"/>
      <c r="K684" s="65"/>
      <c r="L684" s="34"/>
      <c r="M684" s="34"/>
      <c r="N684" s="34"/>
      <c r="O684" s="34"/>
      <c r="P684" s="188"/>
      <c r="Q684" s="188"/>
      <c r="R684" s="34"/>
      <c r="S684" s="34"/>
      <c r="T684" s="304"/>
      <c r="U684" s="34"/>
      <c r="V684" s="34"/>
      <c r="W684" s="34"/>
      <c r="X684" s="34"/>
      <c r="Y684" s="105"/>
      <c r="Z684" s="105"/>
    </row>
    <row r="685" spans="1:26" ht="12.75">
      <c r="A685" s="309"/>
      <c r="B685" s="309"/>
      <c r="C685" s="34"/>
      <c r="D685" s="362"/>
      <c r="E685" s="34"/>
      <c r="F685" s="34"/>
      <c r="G685" s="35"/>
      <c r="H685" s="35"/>
      <c r="I685" s="34"/>
      <c r="J685" s="34"/>
      <c r="K685" s="65"/>
      <c r="L685" s="34"/>
      <c r="M685" s="34"/>
      <c r="N685" s="34"/>
      <c r="O685" s="34"/>
      <c r="P685" s="188"/>
      <c r="Q685" s="188"/>
      <c r="R685" s="34"/>
      <c r="S685" s="34"/>
      <c r="T685" s="304"/>
      <c r="U685" s="34"/>
      <c r="V685" s="34"/>
      <c r="W685" s="34"/>
      <c r="X685" s="34"/>
      <c r="Y685" s="105"/>
      <c r="Z685" s="105"/>
    </row>
    <row r="686" spans="1:26" ht="12.75">
      <c r="A686" s="309"/>
      <c r="B686" s="309"/>
      <c r="C686" s="34"/>
      <c r="D686" s="362"/>
      <c r="E686" s="34"/>
      <c r="F686" s="34"/>
      <c r="G686" s="35"/>
      <c r="H686" s="35"/>
      <c r="I686" s="34"/>
      <c r="J686" s="34"/>
      <c r="K686" s="65"/>
      <c r="L686" s="34"/>
      <c r="M686" s="34"/>
      <c r="N686" s="34"/>
      <c r="O686" s="34"/>
      <c r="P686" s="188"/>
      <c r="Q686" s="188"/>
      <c r="R686" s="34"/>
      <c r="S686" s="34"/>
      <c r="T686" s="304"/>
      <c r="U686" s="34"/>
      <c r="V686" s="34"/>
      <c r="W686" s="34"/>
      <c r="X686" s="34"/>
      <c r="Y686" s="105"/>
      <c r="Z686" s="105"/>
    </row>
    <row r="687" spans="1:26" ht="12.75">
      <c r="A687" s="309"/>
      <c r="B687" s="309"/>
      <c r="C687" s="34"/>
      <c r="D687" s="362"/>
      <c r="E687" s="34"/>
      <c r="F687" s="34"/>
      <c r="G687" s="35"/>
      <c r="H687" s="35"/>
      <c r="I687" s="34"/>
      <c r="J687" s="34"/>
      <c r="K687" s="65"/>
      <c r="L687" s="34"/>
      <c r="M687" s="34"/>
      <c r="N687" s="34"/>
      <c r="O687" s="34"/>
      <c r="P687" s="188"/>
      <c r="Q687" s="188"/>
      <c r="R687" s="34"/>
      <c r="S687" s="34"/>
      <c r="T687" s="304"/>
      <c r="U687" s="34"/>
      <c r="V687" s="34"/>
      <c r="W687" s="34"/>
      <c r="X687" s="34"/>
      <c r="Y687" s="105"/>
      <c r="Z687" s="105"/>
    </row>
    <row r="688" spans="1:26" ht="12.75">
      <c r="A688" s="309"/>
      <c r="B688" s="309"/>
      <c r="C688" s="34"/>
      <c r="D688" s="362"/>
      <c r="E688" s="34"/>
      <c r="F688" s="34"/>
      <c r="G688" s="35"/>
      <c r="H688" s="35"/>
      <c r="I688" s="34"/>
      <c r="J688" s="34"/>
      <c r="K688" s="65"/>
      <c r="L688" s="34"/>
      <c r="M688" s="34"/>
      <c r="N688" s="34"/>
      <c r="O688" s="34"/>
      <c r="P688" s="188"/>
      <c r="Q688" s="188"/>
      <c r="R688" s="34"/>
      <c r="S688" s="34"/>
      <c r="T688" s="304"/>
      <c r="U688" s="34"/>
      <c r="V688" s="34"/>
      <c r="W688" s="34"/>
      <c r="X688" s="34"/>
      <c r="Y688" s="105"/>
      <c r="Z688" s="105"/>
    </row>
    <row r="689" spans="1:26" ht="12.75">
      <c r="A689" s="309"/>
      <c r="B689" s="309"/>
      <c r="C689" s="34"/>
      <c r="D689" s="362"/>
      <c r="E689" s="34"/>
      <c r="F689" s="34"/>
      <c r="G689" s="35"/>
      <c r="H689" s="35"/>
      <c r="I689" s="34"/>
      <c r="J689" s="34"/>
      <c r="K689" s="65"/>
      <c r="L689" s="34"/>
      <c r="M689" s="34"/>
      <c r="N689" s="34"/>
      <c r="O689" s="34"/>
      <c r="P689" s="188"/>
      <c r="Q689" s="188"/>
      <c r="R689" s="34"/>
      <c r="S689" s="34"/>
      <c r="T689" s="304"/>
      <c r="U689" s="34"/>
      <c r="V689" s="34"/>
      <c r="W689" s="34"/>
      <c r="X689" s="34"/>
      <c r="Y689" s="105"/>
      <c r="Z689" s="105"/>
    </row>
    <row r="690" spans="1:26" ht="12.75">
      <c r="A690" s="309"/>
      <c r="B690" s="309"/>
      <c r="C690" s="34"/>
      <c r="D690" s="362"/>
      <c r="E690" s="34"/>
      <c r="F690" s="34"/>
      <c r="G690" s="35"/>
      <c r="H690" s="35"/>
      <c r="I690" s="34"/>
      <c r="J690" s="34"/>
      <c r="K690" s="65"/>
      <c r="L690" s="34"/>
      <c r="M690" s="34"/>
      <c r="N690" s="34"/>
      <c r="O690" s="34"/>
      <c r="P690" s="188"/>
      <c r="Q690" s="188"/>
      <c r="R690" s="34"/>
      <c r="S690" s="34"/>
      <c r="T690" s="304"/>
      <c r="U690" s="34"/>
      <c r="V690" s="34"/>
      <c r="W690" s="34"/>
      <c r="X690" s="34"/>
      <c r="Y690" s="105"/>
      <c r="Z690" s="105"/>
    </row>
    <row r="691" spans="1:26" ht="12.75">
      <c r="A691" s="309"/>
      <c r="B691" s="309"/>
      <c r="C691" s="34"/>
      <c r="D691" s="362"/>
      <c r="E691" s="34"/>
      <c r="F691" s="34"/>
      <c r="G691" s="35"/>
      <c r="H691" s="35"/>
      <c r="I691" s="34"/>
      <c r="J691" s="34"/>
      <c r="K691" s="65"/>
      <c r="L691" s="34"/>
      <c r="M691" s="34"/>
      <c r="N691" s="34"/>
      <c r="O691" s="34"/>
      <c r="P691" s="188"/>
      <c r="Q691" s="188"/>
      <c r="R691" s="34"/>
      <c r="S691" s="34"/>
      <c r="T691" s="304"/>
      <c r="U691" s="34"/>
      <c r="V691" s="34"/>
      <c r="W691" s="34"/>
      <c r="X691" s="34"/>
      <c r="Y691" s="105"/>
      <c r="Z691" s="105"/>
    </row>
    <row r="692" spans="1:26" ht="12.75">
      <c r="A692" s="309"/>
      <c r="B692" s="309"/>
      <c r="C692" s="34"/>
      <c r="D692" s="362"/>
      <c r="E692" s="34"/>
      <c r="F692" s="34"/>
      <c r="G692" s="35"/>
      <c r="H692" s="35"/>
      <c r="I692" s="34"/>
      <c r="J692" s="34"/>
      <c r="K692" s="65"/>
      <c r="L692" s="34"/>
      <c r="M692" s="34"/>
      <c r="N692" s="34"/>
      <c r="O692" s="34"/>
      <c r="P692" s="188"/>
      <c r="Q692" s="188"/>
      <c r="R692" s="34"/>
      <c r="S692" s="34"/>
      <c r="T692" s="304"/>
      <c r="U692" s="34"/>
      <c r="V692" s="34"/>
      <c r="W692" s="34"/>
      <c r="X692" s="34"/>
      <c r="Y692" s="105"/>
      <c r="Z692" s="105"/>
    </row>
    <row r="693" spans="1:26" ht="12.75">
      <c r="A693" s="309"/>
      <c r="B693" s="309"/>
      <c r="C693" s="34"/>
      <c r="D693" s="362"/>
      <c r="E693" s="34"/>
      <c r="F693" s="34"/>
      <c r="G693" s="35"/>
      <c r="H693" s="35"/>
      <c r="I693" s="34"/>
      <c r="J693" s="34"/>
      <c r="K693" s="65"/>
      <c r="L693" s="34"/>
      <c r="M693" s="34"/>
      <c r="N693" s="34"/>
      <c r="O693" s="34"/>
      <c r="P693" s="188"/>
      <c r="Q693" s="188"/>
      <c r="R693" s="34"/>
      <c r="S693" s="34"/>
      <c r="T693" s="304"/>
      <c r="U693" s="34"/>
      <c r="V693" s="34"/>
      <c r="W693" s="34"/>
      <c r="X693" s="34"/>
      <c r="Y693" s="105"/>
      <c r="Z693" s="105"/>
    </row>
    <row r="694" spans="1:26" ht="12.75">
      <c r="A694" s="309"/>
      <c r="B694" s="309"/>
      <c r="C694" s="34"/>
      <c r="D694" s="362"/>
      <c r="E694" s="34"/>
      <c r="F694" s="34"/>
      <c r="G694" s="35"/>
      <c r="H694" s="35"/>
      <c r="I694" s="34"/>
      <c r="J694" s="34"/>
      <c r="K694" s="65"/>
      <c r="L694" s="34"/>
      <c r="M694" s="34"/>
      <c r="N694" s="34"/>
      <c r="O694" s="34"/>
      <c r="P694" s="188"/>
      <c r="Q694" s="188"/>
      <c r="R694" s="34"/>
      <c r="S694" s="34"/>
      <c r="T694" s="304"/>
      <c r="U694" s="34"/>
      <c r="V694" s="34"/>
      <c r="W694" s="34"/>
      <c r="X694" s="34"/>
      <c r="Y694" s="105"/>
      <c r="Z694" s="105"/>
    </row>
    <row r="695" spans="1:26" ht="12.75">
      <c r="A695" s="309"/>
      <c r="B695" s="309"/>
      <c r="C695" s="34"/>
      <c r="D695" s="362"/>
      <c r="E695" s="34"/>
      <c r="F695" s="34"/>
      <c r="G695" s="35"/>
      <c r="H695" s="35"/>
      <c r="I695" s="34"/>
      <c r="J695" s="34"/>
      <c r="K695" s="65"/>
      <c r="L695" s="34"/>
      <c r="M695" s="34"/>
      <c r="N695" s="34"/>
      <c r="O695" s="34"/>
      <c r="P695" s="188"/>
      <c r="Q695" s="188"/>
      <c r="R695" s="34"/>
      <c r="S695" s="34"/>
      <c r="T695" s="304"/>
      <c r="U695" s="34"/>
      <c r="V695" s="34"/>
      <c r="W695" s="34"/>
      <c r="X695" s="34"/>
      <c r="Y695" s="105"/>
      <c r="Z695" s="105"/>
    </row>
    <row r="696" spans="1:26" ht="12.75">
      <c r="A696" s="309"/>
      <c r="B696" s="309"/>
      <c r="C696" s="34"/>
      <c r="D696" s="362"/>
      <c r="E696" s="34"/>
      <c r="F696" s="34"/>
      <c r="G696" s="35"/>
      <c r="H696" s="35"/>
      <c r="I696" s="34"/>
      <c r="J696" s="34"/>
      <c r="K696" s="65"/>
      <c r="L696" s="34"/>
      <c r="M696" s="34"/>
      <c r="N696" s="34"/>
      <c r="O696" s="34"/>
      <c r="P696" s="188"/>
      <c r="Q696" s="188"/>
      <c r="R696" s="34"/>
      <c r="S696" s="34"/>
      <c r="T696" s="304"/>
      <c r="U696" s="34"/>
      <c r="V696" s="34"/>
      <c r="W696" s="34"/>
      <c r="X696" s="34"/>
      <c r="Y696" s="105"/>
      <c r="Z696" s="105"/>
    </row>
    <row r="697" spans="1:26" ht="12.75">
      <c r="A697" s="309"/>
      <c r="B697" s="309"/>
      <c r="C697" s="34"/>
      <c r="D697" s="362"/>
      <c r="E697" s="34"/>
      <c r="F697" s="34"/>
      <c r="G697" s="35"/>
      <c r="H697" s="35"/>
      <c r="I697" s="34"/>
      <c r="J697" s="34"/>
      <c r="K697" s="65"/>
      <c r="L697" s="34"/>
      <c r="M697" s="34"/>
      <c r="N697" s="34"/>
      <c r="O697" s="34"/>
      <c r="P697" s="188"/>
      <c r="Q697" s="188"/>
      <c r="R697" s="34"/>
      <c r="S697" s="34"/>
      <c r="T697" s="304"/>
      <c r="U697" s="34"/>
      <c r="V697" s="34"/>
      <c r="W697" s="34"/>
      <c r="X697" s="34"/>
      <c r="Y697" s="105"/>
      <c r="Z697" s="105"/>
    </row>
    <row r="698" spans="1:26" ht="12.75">
      <c r="A698" s="309"/>
      <c r="B698" s="309"/>
      <c r="C698" s="34"/>
      <c r="D698" s="362"/>
      <c r="E698" s="34"/>
      <c r="F698" s="34"/>
      <c r="G698" s="35"/>
      <c r="H698" s="35"/>
      <c r="I698" s="34"/>
      <c r="J698" s="34"/>
      <c r="K698" s="65"/>
      <c r="L698" s="34"/>
      <c r="M698" s="34"/>
      <c r="N698" s="34"/>
      <c r="O698" s="34"/>
      <c r="P698" s="188"/>
      <c r="Q698" s="188"/>
      <c r="R698" s="34"/>
      <c r="S698" s="34"/>
      <c r="T698" s="304"/>
      <c r="U698" s="34"/>
      <c r="V698" s="34"/>
      <c r="W698" s="34"/>
      <c r="X698" s="34"/>
      <c r="Y698" s="105"/>
      <c r="Z698" s="105"/>
    </row>
    <row r="699" spans="1:26" ht="12.75">
      <c r="A699" s="309"/>
      <c r="B699" s="309"/>
      <c r="C699" s="34"/>
      <c r="D699" s="362"/>
      <c r="E699" s="34"/>
      <c r="F699" s="34"/>
      <c r="G699" s="35"/>
      <c r="H699" s="35"/>
      <c r="I699" s="34"/>
      <c r="J699" s="34"/>
      <c r="K699" s="65"/>
      <c r="L699" s="34"/>
      <c r="M699" s="34"/>
      <c r="N699" s="34"/>
      <c r="O699" s="34"/>
      <c r="P699" s="188"/>
      <c r="Q699" s="188"/>
      <c r="R699" s="34"/>
      <c r="S699" s="34"/>
      <c r="T699" s="304"/>
      <c r="U699" s="34"/>
      <c r="V699" s="34"/>
      <c r="W699" s="34"/>
      <c r="X699" s="34"/>
      <c r="Y699" s="105"/>
      <c r="Z699" s="105"/>
    </row>
    <row r="700" spans="1:26" ht="12.75">
      <c r="A700" s="309"/>
      <c r="B700" s="309"/>
      <c r="C700" s="34"/>
      <c r="D700" s="362"/>
      <c r="E700" s="34"/>
      <c r="F700" s="34"/>
      <c r="G700" s="35"/>
      <c r="H700" s="35"/>
      <c r="I700" s="34"/>
      <c r="J700" s="34"/>
      <c r="K700" s="65"/>
      <c r="L700" s="34"/>
      <c r="M700" s="34"/>
      <c r="N700" s="34"/>
      <c r="O700" s="34"/>
      <c r="P700" s="188"/>
      <c r="Q700" s="188"/>
      <c r="R700" s="34"/>
      <c r="S700" s="34"/>
      <c r="T700" s="304"/>
      <c r="U700" s="34"/>
      <c r="V700" s="34"/>
      <c r="W700" s="34"/>
      <c r="X700" s="34"/>
      <c r="Y700" s="105"/>
      <c r="Z700" s="105"/>
    </row>
    <row r="701" spans="1:26" ht="12.75">
      <c r="A701" s="309"/>
      <c r="B701" s="309"/>
      <c r="C701" s="34"/>
      <c r="D701" s="362"/>
      <c r="E701" s="34"/>
      <c r="F701" s="34"/>
      <c r="G701" s="35"/>
      <c r="H701" s="35"/>
      <c r="I701" s="34"/>
      <c r="J701" s="34"/>
      <c r="K701" s="65"/>
      <c r="L701" s="34"/>
      <c r="M701" s="34"/>
      <c r="N701" s="34"/>
      <c r="O701" s="34"/>
      <c r="P701" s="188"/>
      <c r="Q701" s="188"/>
      <c r="R701" s="34"/>
      <c r="S701" s="34"/>
      <c r="T701" s="304"/>
      <c r="U701" s="34"/>
      <c r="V701" s="34"/>
      <c r="W701" s="34"/>
      <c r="X701" s="34"/>
      <c r="Y701" s="105"/>
      <c r="Z701" s="105"/>
    </row>
    <row r="702" spans="1:26" ht="12.75">
      <c r="A702" s="309"/>
      <c r="B702" s="309"/>
      <c r="C702" s="34"/>
      <c r="D702" s="362"/>
      <c r="E702" s="34"/>
      <c r="F702" s="34"/>
      <c r="G702" s="35"/>
      <c r="H702" s="35"/>
      <c r="I702" s="34"/>
      <c r="J702" s="34"/>
      <c r="K702" s="65"/>
      <c r="L702" s="34"/>
      <c r="M702" s="34"/>
      <c r="N702" s="34"/>
      <c r="O702" s="34"/>
      <c r="P702" s="188"/>
      <c r="Q702" s="188"/>
      <c r="R702" s="34"/>
      <c r="S702" s="34"/>
      <c r="T702" s="304"/>
      <c r="U702" s="34"/>
      <c r="V702" s="34"/>
      <c r="W702" s="34"/>
      <c r="X702" s="34"/>
      <c r="Y702" s="105"/>
      <c r="Z702" s="105"/>
    </row>
    <row r="703" spans="1:26" ht="12.75">
      <c r="A703" s="309"/>
      <c r="B703" s="309"/>
      <c r="C703" s="34"/>
      <c r="D703" s="362"/>
      <c r="E703" s="34"/>
      <c r="F703" s="34"/>
      <c r="G703" s="35"/>
      <c r="H703" s="35"/>
      <c r="I703" s="34"/>
      <c r="J703" s="34"/>
      <c r="K703" s="65"/>
      <c r="L703" s="34"/>
      <c r="M703" s="34"/>
      <c r="N703" s="34"/>
      <c r="O703" s="34"/>
      <c r="P703" s="188"/>
      <c r="Q703" s="188"/>
      <c r="R703" s="34"/>
      <c r="S703" s="34"/>
      <c r="T703" s="304"/>
      <c r="U703" s="34"/>
      <c r="V703" s="34"/>
      <c r="W703" s="34"/>
      <c r="X703" s="34"/>
      <c r="Y703" s="105"/>
      <c r="Z703" s="105"/>
    </row>
    <row r="704" spans="1:26" ht="12.75">
      <c r="A704" s="309"/>
      <c r="B704" s="309"/>
      <c r="C704" s="34"/>
      <c r="D704" s="362"/>
      <c r="E704" s="34"/>
      <c r="F704" s="34"/>
      <c r="G704" s="35"/>
      <c r="H704" s="35"/>
      <c r="I704" s="34"/>
      <c r="J704" s="34"/>
      <c r="K704" s="65"/>
      <c r="L704" s="34"/>
      <c r="M704" s="34"/>
      <c r="N704" s="34"/>
      <c r="O704" s="34"/>
      <c r="P704" s="188"/>
      <c r="Q704" s="188"/>
      <c r="R704" s="34"/>
      <c r="S704" s="34"/>
      <c r="T704" s="304"/>
      <c r="U704" s="34"/>
      <c r="V704" s="34"/>
      <c r="W704" s="34"/>
      <c r="X704" s="34"/>
      <c r="Y704" s="105"/>
      <c r="Z704" s="105"/>
    </row>
    <row r="705" spans="1:26" ht="12.75">
      <c r="A705" s="309"/>
      <c r="B705" s="309"/>
      <c r="C705" s="34"/>
      <c r="D705" s="362"/>
      <c r="E705" s="34"/>
      <c r="F705" s="34"/>
      <c r="G705" s="35"/>
      <c r="H705" s="35"/>
      <c r="I705" s="34"/>
      <c r="J705" s="34"/>
      <c r="K705" s="65"/>
      <c r="L705" s="34"/>
      <c r="M705" s="34"/>
      <c r="N705" s="34"/>
      <c r="O705" s="34"/>
      <c r="P705" s="188"/>
      <c r="Q705" s="188"/>
      <c r="R705" s="34"/>
      <c r="S705" s="34"/>
      <c r="T705" s="304"/>
      <c r="U705" s="34"/>
      <c r="V705" s="34"/>
      <c r="W705" s="34"/>
      <c r="X705" s="34"/>
      <c r="Y705" s="105"/>
      <c r="Z705" s="105"/>
    </row>
    <row r="706" spans="1:26" ht="12.75">
      <c r="A706" s="309"/>
      <c r="B706" s="309"/>
      <c r="C706" s="34"/>
      <c r="D706" s="362"/>
      <c r="E706" s="34"/>
      <c r="F706" s="34"/>
      <c r="G706" s="35"/>
      <c r="H706" s="35"/>
      <c r="I706" s="34"/>
      <c r="J706" s="34"/>
      <c r="K706" s="65"/>
      <c r="L706" s="34"/>
      <c r="M706" s="34"/>
      <c r="N706" s="34"/>
      <c r="O706" s="34"/>
      <c r="P706" s="188"/>
      <c r="Q706" s="188"/>
      <c r="R706" s="34"/>
      <c r="S706" s="34"/>
      <c r="T706" s="304"/>
      <c r="U706" s="34"/>
      <c r="V706" s="34"/>
      <c r="W706" s="34"/>
      <c r="X706" s="34"/>
      <c r="Y706" s="105"/>
      <c r="Z706" s="105"/>
    </row>
    <row r="707" spans="1:26" ht="12.75">
      <c r="A707" s="309"/>
      <c r="B707" s="309"/>
      <c r="C707" s="34"/>
      <c r="D707" s="362"/>
      <c r="E707" s="34"/>
      <c r="F707" s="34"/>
      <c r="G707" s="35"/>
      <c r="H707" s="35"/>
      <c r="I707" s="34"/>
      <c r="J707" s="34"/>
      <c r="K707" s="65"/>
      <c r="L707" s="34"/>
      <c r="M707" s="34"/>
      <c r="N707" s="34"/>
      <c r="O707" s="34"/>
      <c r="P707" s="188"/>
      <c r="Q707" s="188"/>
      <c r="R707" s="34"/>
      <c r="S707" s="34"/>
      <c r="T707" s="304"/>
      <c r="U707" s="34"/>
      <c r="V707" s="34"/>
      <c r="W707" s="34"/>
      <c r="X707" s="34"/>
      <c r="Y707" s="105"/>
      <c r="Z707" s="105"/>
    </row>
    <row r="708" spans="1:26" ht="12.75">
      <c r="A708" s="309"/>
      <c r="B708" s="309"/>
      <c r="C708" s="34"/>
      <c r="D708" s="362"/>
      <c r="E708" s="34"/>
      <c r="F708" s="34"/>
      <c r="G708" s="35"/>
      <c r="H708" s="35"/>
      <c r="I708" s="34"/>
      <c r="J708" s="34"/>
      <c r="K708" s="65"/>
      <c r="L708" s="34"/>
      <c r="M708" s="34"/>
      <c r="N708" s="34"/>
      <c r="O708" s="34"/>
      <c r="P708" s="188"/>
      <c r="Q708" s="188"/>
      <c r="R708" s="34"/>
      <c r="S708" s="34"/>
      <c r="T708" s="304"/>
      <c r="U708" s="34"/>
      <c r="V708" s="34"/>
      <c r="W708" s="34"/>
      <c r="X708" s="34"/>
      <c r="Y708" s="105"/>
      <c r="Z708" s="105"/>
    </row>
    <row r="709" spans="1:26" ht="12.75">
      <c r="A709" s="309"/>
      <c r="B709" s="309"/>
      <c r="C709" s="34"/>
      <c r="D709" s="362"/>
      <c r="E709" s="34"/>
      <c r="F709" s="34"/>
      <c r="G709" s="35"/>
      <c r="H709" s="35"/>
      <c r="I709" s="34"/>
      <c r="J709" s="34"/>
      <c r="K709" s="65"/>
      <c r="L709" s="34"/>
      <c r="M709" s="34"/>
      <c r="N709" s="34"/>
      <c r="O709" s="34"/>
      <c r="P709" s="188"/>
      <c r="Q709" s="188"/>
      <c r="R709" s="34"/>
      <c r="S709" s="34"/>
      <c r="T709" s="304"/>
      <c r="U709" s="34"/>
      <c r="V709" s="34"/>
      <c r="W709" s="34"/>
      <c r="X709" s="34"/>
      <c r="Y709" s="105"/>
      <c r="Z709" s="105"/>
    </row>
    <row r="710" spans="1:26" ht="12.75">
      <c r="A710" s="309"/>
      <c r="B710" s="309"/>
      <c r="C710" s="34"/>
      <c r="D710" s="362"/>
      <c r="E710" s="34"/>
      <c r="F710" s="34"/>
      <c r="G710" s="35"/>
      <c r="H710" s="35"/>
      <c r="I710" s="34"/>
      <c r="J710" s="34"/>
      <c r="K710" s="65"/>
      <c r="L710" s="34"/>
      <c r="M710" s="34"/>
      <c r="N710" s="34"/>
      <c r="O710" s="34"/>
      <c r="P710" s="188"/>
      <c r="Q710" s="188"/>
      <c r="R710" s="34"/>
      <c r="S710" s="34"/>
      <c r="T710" s="304"/>
      <c r="U710" s="34"/>
      <c r="V710" s="34"/>
      <c r="W710" s="34"/>
      <c r="X710" s="34"/>
      <c r="Y710" s="105"/>
      <c r="Z710" s="105"/>
    </row>
    <row r="711" spans="1:26" ht="12.75">
      <c r="A711" s="309"/>
      <c r="B711" s="309"/>
      <c r="C711" s="34"/>
      <c r="D711" s="362"/>
      <c r="E711" s="34"/>
      <c r="F711" s="34"/>
      <c r="G711" s="35"/>
      <c r="H711" s="35"/>
      <c r="I711" s="34"/>
      <c r="J711" s="34"/>
      <c r="K711" s="65"/>
      <c r="L711" s="34"/>
      <c r="M711" s="34"/>
      <c r="N711" s="34"/>
      <c r="O711" s="34"/>
      <c r="P711" s="188"/>
      <c r="Q711" s="188"/>
      <c r="R711" s="34"/>
      <c r="S711" s="34"/>
      <c r="T711" s="304"/>
      <c r="U711" s="34"/>
      <c r="V711" s="34"/>
      <c r="W711" s="34"/>
      <c r="X711" s="34"/>
      <c r="Y711" s="105"/>
      <c r="Z711" s="105"/>
    </row>
    <row r="712" spans="1:26" ht="12.75">
      <c r="A712" s="309"/>
      <c r="B712" s="309"/>
      <c r="C712" s="34"/>
      <c r="D712" s="362"/>
      <c r="E712" s="34"/>
      <c r="F712" s="34"/>
      <c r="G712" s="35"/>
      <c r="H712" s="35"/>
      <c r="I712" s="34"/>
      <c r="J712" s="34"/>
      <c r="K712" s="65"/>
      <c r="L712" s="34"/>
      <c r="M712" s="34"/>
      <c r="N712" s="34"/>
      <c r="O712" s="34"/>
      <c r="P712" s="188"/>
      <c r="Q712" s="188"/>
      <c r="R712" s="34"/>
      <c r="S712" s="34"/>
      <c r="T712" s="304"/>
      <c r="U712" s="34"/>
      <c r="V712" s="34"/>
      <c r="W712" s="34"/>
      <c r="X712" s="34"/>
      <c r="Y712" s="105"/>
      <c r="Z712" s="105"/>
    </row>
    <row r="713" spans="1:26" ht="12.75">
      <c r="A713" s="309"/>
      <c r="B713" s="309"/>
      <c r="C713" s="34"/>
      <c r="D713" s="362"/>
      <c r="E713" s="34"/>
      <c r="F713" s="34"/>
      <c r="G713" s="35"/>
      <c r="H713" s="35"/>
      <c r="I713" s="34"/>
      <c r="J713" s="34"/>
      <c r="K713" s="65"/>
      <c r="L713" s="34"/>
      <c r="M713" s="34"/>
      <c r="N713" s="34"/>
      <c r="O713" s="34"/>
      <c r="P713" s="188"/>
      <c r="Q713" s="188"/>
      <c r="R713" s="34"/>
      <c r="S713" s="34"/>
      <c r="T713" s="304"/>
      <c r="U713" s="34"/>
      <c r="V713" s="34"/>
      <c r="W713" s="34"/>
      <c r="X713" s="34"/>
      <c r="Y713" s="105"/>
      <c r="Z713" s="105"/>
    </row>
    <row r="714" spans="1:26" ht="12.75">
      <c r="A714" s="309"/>
      <c r="B714" s="309"/>
      <c r="C714" s="34"/>
      <c r="D714" s="362"/>
      <c r="E714" s="34"/>
      <c r="F714" s="34"/>
      <c r="G714" s="35"/>
      <c r="H714" s="35"/>
      <c r="I714" s="34"/>
      <c r="J714" s="34"/>
      <c r="K714" s="65"/>
      <c r="L714" s="34"/>
      <c r="M714" s="34"/>
      <c r="N714" s="34"/>
      <c r="O714" s="34"/>
      <c r="P714" s="188"/>
      <c r="Q714" s="188"/>
      <c r="R714" s="34"/>
      <c r="S714" s="34"/>
      <c r="T714" s="304"/>
      <c r="U714" s="34"/>
      <c r="V714" s="34"/>
      <c r="W714" s="34"/>
      <c r="X714" s="34"/>
      <c r="Y714" s="105"/>
      <c r="Z714" s="105"/>
    </row>
    <row r="715" spans="1:26" ht="12.75">
      <c r="A715" s="309"/>
      <c r="B715" s="309"/>
      <c r="C715" s="34"/>
      <c r="D715" s="362"/>
      <c r="E715" s="34"/>
      <c r="F715" s="34"/>
      <c r="G715" s="35"/>
      <c r="H715" s="35"/>
      <c r="I715" s="34"/>
      <c r="J715" s="34"/>
      <c r="K715" s="65"/>
      <c r="L715" s="34"/>
      <c r="M715" s="34"/>
      <c r="N715" s="34"/>
      <c r="O715" s="34"/>
      <c r="P715" s="188"/>
      <c r="Q715" s="188"/>
      <c r="R715" s="34"/>
      <c r="S715" s="34"/>
      <c r="T715" s="304"/>
      <c r="U715" s="34"/>
      <c r="V715" s="34"/>
      <c r="W715" s="34"/>
      <c r="X715" s="34"/>
      <c r="Y715" s="105"/>
      <c r="Z715" s="105"/>
    </row>
    <row r="716" spans="1:26" ht="12.75">
      <c r="A716" s="309"/>
      <c r="B716" s="309"/>
      <c r="C716" s="34"/>
      <c r="D716" s="362"/>
      <c r="E716" s="34"/>
      <c r="F716" s="34"/>
      <c r="G716" s="35"/>
      <c r="H716" s="35"/>
      <c r="I716" s="34"/>
      <c r="J716" s="34"/>
      <c r="K716" s="65"/>
      <c r="L716" s="34"/>
      <c r="M716" s="34"/>
      <c r="N716" s="34"/>
      <c r="O716" s="34"/>
      <c r="P716" s="188"/>
      <c r="Q716" s="188"/>
      <c r="R716" s="34"/>
      <c r="S716" s="34"/>
      <c r="T716" s="304"/>
      <c r="U716" s="34"/>
      <c r="V716" s="34"/>
      <c r="W716" s="34"/>
      <c r="X716" s="34"/>
      <c r="Y716" s="105"/>
      <c r="Z716" s="105"/>
    </row>
    <row r="717" spans="1:26" ht="12.75">
      <c r="A717" s="309"/>
      <c r="B717" s="309"/>
      <c r="C717" s="34"/>
      <c r="D717" s="362"/>
      <c r="E717" s="34"/>
      <c r="F717" s="34"/>
      <c r="G717" s="35"/>
      <c r="H717" s="35"/>
      <c r="I717" s="34"/>
      <c r="J717" s="34"/>
      <c r="K717" s="65"/>
      <c r="L717" s="34"/>
      <c r="M717" s="34"/>
      <c r="N717" s="34"/>
      <c r="O717" s="34"/>
      <c r="P717" s="188"/>
      <c r="Q717" s="188"/>
      <c r="R717" s="34"/>
      <c r="S717" s="34"/>
      <c r="T717" s="304"/>
      <c r="U717" s="34"/>
      <c r="V717" s="34"/>
      <c r="W717" s="34"/>
      <c r="X717" s="34"/>
      <c r="Y717" s="105"/>
      <c r="Z717" s="105"/>
    </row>
    <row r="718" spans="1:26" ht="12.75">
      <c r="A718" s="309"/>
      <c r="B718" s="309"/>
      <c r="C718" s="34"/>
      <c r="D718" s="362"/>
      <c r="E718" s="34"/>
      <c r="F718" s="34"/>
      <c r="G718" s="35"/>
      <c r="H718" s="35"/>
      <c r="I718" s="34"/>
      <c r="J718" s="34"/>
      <c r="K718" s="65"/>
      <c r="L718" s="34"/>
      <c r="M718" s="34"/>
      <c r="N718" s="34"/>
      <c r="O718" s="34"/>
      <c r="P718" s="188"/>
      <c r="Q718" s="188"/>
      <c r="R718" s="34"/>
      <c r="S718" s="34"/>
      <c r="T718" s="304"/>
      <c r="U718" s="34"/>
      <c r="V718" s="34"/>
      <c r="W718" s="34"/>
      <c r="X718" s="34"/>
      <c r="Y718" s="105"/>
      <c r="Z718" s="105"/>
    </row>
    <row r="719" spans="1:26" ht="12.75">
      <c r="A719" s="309"/>
      <c r="B719" s="309"/>
      <c r="C719" s="34"/>
      <c r="D719" s="362"/>
      <c r="E719" s="34"/>
      <c r="F719" s="34"/>
      <c r="G719" s="35"/>
      <c r="H719" s="35"/>
      <c r="I719" s="34"/>
      <c r="J719" s="34"/>
      <c r="K719" s="65"/>
      <c r="L719" s="34"/>
      <c r="M719" s="34"/>
      <c r="N719" s="34"/>
      <c r="O719" s="34"/>
      <c r="P719" s="188"/>
      <c r="Q719" s="188"/>
      <c r="R719" s="34"/>
      <c r="S719" s="34"/>
      <c r="T719" s="304"/>
      <c r="U719" s="34"/>
      <c r="V719" s="34"/>
      <c r="W719" s="34"/>
      <c r="X719" s="34"/>
      <c r="Y719" s="105"/>
      <c r="Z719" s="105"/>
    </row>
    <row r="720" spans="1:26" ht="12.75">
      <c r="A720" s="309"/>
      <c r="B720" s="309"/>
      <c r="C720" s="34"/>
      <c r="D720" s="362"/>
      <c r="E720" s="34"/>
      <c r="F720" s="34"/>
      <c r="G720" s="35"/>
      <c r="H720" s="35"/>
      <c r="I720" s="34"/>
      <c r="J720" s="34"/>
      <c r="K720" s="65"/>
      <c r="L720" s="34"/>
      <c r="M720" s="34"/>
      <c r="N720" s="34"/>
      <c r="O720" s="34"/>
      <c r="P720" s="188"/>
      <c r="Q720" s="188"/>
      <c r="R720" s="34"/>
      <c r="S720" s="34"/>
      <c r="T720" s="304"/>
      <c r="U720" s="34"/>
      <c r="V720" s="34"/>
      <c r="W720" s="34"/>
      <c r="X720" s="34"/>
      <c r="Y720" s="105"/>
      <c r="Z720" s="105"/>
    </row>
    <row r="721" spans="1:26" ht="12.75">
      <c r="A721" s="309"/>
      <c r="B721" s="309"/>
      <c r="C721" s="34"/>
      <c r="D721" s="362"/>
      <c r="E721" s="34"/>
      <c r="F721" s="34"/>
      <c r="G721" s="35"/>
      <c r="H721" s="35"/>
      <c r="I721" s="34"/>
      <c r="J721" s="34"/>
      <c r="K721" s="65"/>
      <c r="L721" s="34"/>
      <c r="M721" s="34"/>
      <c r="N721" s="34"/>
      <c r="O721" s="34"/>
      <c r="P721" s="188"/>
      <c r="Q721" s="188"/>
      <c r="R721" s="34"/>
      <c r="S721" s="34"/>
      <c r="T721" s="304"/>
      <c r="U721" s="34"/>
      <c r="V721" s="34"/>
      <c r="W721" s="34"/>
      <c r="X721" s="34"/>
      <c r="Y721" s="105"/>
      <c r="Z721" s="105"/>
    </row>
    <row r="722" spans="1:26" ht="12.75">
      <c r="A722" s="309"/>
      <c r="B722" s="309"/>
      <c r="C722" s="34"/>
      <c r="D722" s="362"/>
      <c r="E722" s="34"/>
      <c r="F722" s="34"/>
      <c r="G722" s="35"/>
      <c r="H722" s="35"/>
      <c r="I722" s="34"/>
      <c r="J722" s="34"/>
      <c r="K722" s="65"/>
      <c r="L722" s="34"/>
      <c r="M722" s="34"/>
      <c r="N722" s="34"/>
      <c r="O722" s="34"/>
      <c r="P722" s="188"/>
      <c r="Q722" s="188"/>
      <c r="R722" s="34"/>
      <c r="S722" s="34"/>
      <c r="T722" s="304"/>
      <c r="U722" s="34"/>
      <c r="V722" s="34"/>
      <c r="W722" s="34"/>
      <c r="X722" s="34"/>
      <c r="Y722" s="105"/>
      <c r="Z722" s="105"/>
    </row>
    <row r="723" spans="1:26" ht="12.75">
      <c r="A723" s="309"/>
      <c r="B723" s="309"/>
      <c r="C723" s="34"/>
      <c r="D723" s="362"/>
      <c r="E723" s="34"/>
      <c r="F723" s="34"/>
      <c r="G723" s="35"/>
      <c r="H723" s="35"/>
      <c r="I723" s="34"/>
      <c r="J723" s="34"/>
      <c r="K723" s="65"/>
      <c r="L723" s="34"/>
      <c r="M723" s="34"/>
      <c r="N723" s="34"/>
      <c r="O723" s="34"/>
      <c r="P723" s="188"/>
      <c r="Q723" s="188"/>
      <c r="R723" s="34"/>
      <c r="S723" s="34"/>
      <c r="T723" s="304"/>
      <c r="U723" s="34"/>
      <c r="V723" s="34"/>
      <c r="W723" s="34"/>
      <c r="X723" s="34"/>
      <c r="Y723" s="105"/>
      <c r="Z723" s="105"/>
    </row>
    <row r="724" spans="1:26" ht="12.75">
      <c r="A724" s="309"/>
      <c r="B724" s="309"/>
      <c r="C724" s="34"/>
      <c r="D724" s="362"/>
      <c r="E724" s="34"/>
      <c r="F724" s="34"/>
      <c r="G724" s="35"/>
      <c r="H724" s="35"/>
      <c r="I724" s="34"/>
      <c r="J724" s="34"/>
      <c r="K724" s="65"/>
      <c r="L724" s="34"/>
      <c r="M724" s="34"/>
      <c r="N724" s="34"/>
      <c r="O724" s="34"/>
      <c r="P724" s="188"/>
      <c r="Q724" s="188"/>
      <c r="R724" s="34"/>
      <c r="S724" s="34"/>
      <c r="T724" s="304"/>
      <c r="U724" s="34"/>
      <c r="V724" s="34"/>
      <c r="W724" s="34"/>
      <c r="X724" s="34"/>
      <c r="Y724" s="105"/>
      <c r="Z724" s="105"/>
    </row>
    <row r="725" spans="1:26" ht="12.75">
      <c r="A725" s="309"/>
      <c r="B725" s="309"/>
      <c r="C725" s="34"/>
      <c r="D725" s="362"/>
      <c r="E725" s="34"/>
      <c r="F725" s="34"/>
      <c r="G725" s="35"/>
      <c r="H725" s="35"/>
      <c r="I725" s="34"/>
      <c r="J725" s="34"/>
      <c r="K725" s="65"/>
      <c r="L725" s="34"/>
      <c r="M725" s="34"/>
      <c r="N725" s="34"/>
      <c r="O725" s="34"/>
      <c r="P725" s="188"/>
      <c r="Q725" s="188"/>
      <c r="R725" s="34"/>
      <c r="S725" s="34"/>
      <c r="T725" s="304"/>
      <c r="U725" s="34"/>
      <c r="V725" s="34"/>
      <c r="W725" s="34"/>
      <c r="X725" s="34"/>
      <c r="Y725" s="105"/>
      <c r="Z725" s="105"/>
    </row>
    <row r="726" spans="1:26" ht="12.75">
      <c r="A726" s="309"/>
      <c r="B726" s="309"/>
      <c r="C726" s="34"/>
      <c r="D726" s="362"/>
      <c r="E726" s="34"/>
      <c r="F726" s="34"/>
      <c r="G726" s="35"/>
      <c r="H726" s="35"/>
      <c r="I726" s="34"/>
      <c r="J726" s="34"/>
      <c r="K726" s="65"/>
      <c r="L726" s="34"/>
      <c r="M726" s="34"/>
      <c r="N726" s="34"/>
      <c r="O726" s="34"/>
      <c r="P726" s="188"/>
      <c r="Q726" s="188"/>
      <c r="R726" s="34"/>
      <c r="S726" s="34"/>
      <c r="T726" s="304"/>
      <c r="U726" s="34"/>
      <c r="V726" s="34"/>
      <c r="W726" s="34"/>
      <c r="X726" s="34"/>
      <c r="Y726" s="105"/>
      <c r="Z726" s="105"/>
    </row>
    <row r="727" spans="1:26" ht="12.75">
      <c r="A727" s="309"/>
      <c r="B727" s="309"/>
      <c r="C727" s="34"/>
      <c r="D727" s="362"/>
      <c r="E727" s="34"/>
      <c r="F727" s="34"/>
      <c r="G727" s="35"/>
      <c r="H727" s="35"/>
      <c r="I727" s="34"/>
      <c r="J727" s="34"/>
      <c r="K727" s="65"/>
      <c r="L727" s="34"/>
      <c r="M727" s="34"/>
      <c r="N727" s="34"/>
      <c r="O727" s="34"/>
      <c r="P727" s="188"/>
      <c r="Q727" s="188"/>
      <c r="R727" s="34"/>
      <c r="S727" s="34"/>
      <c r="T727" s="304"/>
      <c r="U727" s="34"/>
      <c r="V727" s="34"/>
      <c r="W727" s="34"/>
      <c r="X727" s="34"/>
      <c r="Y727" s="105"/>
      <c r="Z727" s="105"/>
    </row>
    <row r="728" spans="1:26" ht="12.75">
      <c r="A728" s="309"/>
      <c r="B728" s="309"/>
      <c r="C728" s="34"/>
      <c r="D728" s="362"/>
      <c r="E728" s="34"/>
      <c r="F728" s="34"/>
      <c r="G728" s="35"/>
      <c r="H728" s="35"/>
      <c r="I728" s="34"/>
      <c r="J728" s="34"/>
      <c r="K728" s="65"/>
      <c r="L728" s="34"/>
      <c r="M728" s="34"/>
      <c r="N728" s="34"/>
      <c r="O728" s="34"/>
      <c r="P728" s="188"/>
      <c r="Q728" s="188"/>
      <c r="R728" s="34"/>
      <c r="S728" s="34"/>
      <c r="T728" s="304"/>
      <c r="U728" s="34"/>
      <c r="V728" s="34"/>
      <c r="W728" s="34"/>
      <c r="X728" s="34"/>
      <c r="Y728" s="105"/>
      <c r="Z728" s="105"/>
    </row>
    <row r="729" spans="1:26" ht="12.75">
      <c r="A729" s="309"/>
      <c r="B729" s="309"/>
      <c r="C729" s="34"/>
      <c r="D729" s="362"/>
      <c r="E729" s="34"/>
      <c r="F729" s="34"/>
      <c r="G729" s="35"/>
      <c r="H729" s="35"/>
      <c r="I729" s="34"/>
      <c r="J729" s="34"/>
      <c r="K729" s="65"/>
      <c r="L729" s="34"/>
      <c r="M729" s="34"/>
      <c r="N729" s="34"/>
      <c r="O729" s="34"/>
      <c r="P729" s="188"/>
      <c r="Q729" s="188"/>
      <c r="R729" s="34"/>
      <c r="S729" s="34"/>
      <c r="T729" s="304"/>
      <c r="U729" s="34"/>
      <c r="V729" s="34"/>
      <c r="W729" s="34"/>
      <c r="X729" s="34"/>
      <c r="Y729" s="105"/>
      <c r="Z729" s="105"/>
    </row>
    <row r="730" spans="1:26" ht="12.75">
      <c r="A730" s="309"/>
      <c r="B730" s="309"/>
      <c r="C730" s="34"/>
      <c r="D730" s="362"/>
      <c r="E730" s="34"/>
      <c r="F730" s="34"/>
      <c r="G730" s="35"/>
      <c r="H730" s="35"/>
      <c r="I730" s="34"/>
      <c r="J730" s="34"/>
      <c r="K730" s="65"/>
      <c r="L730" s="34"/>
      <c r="M730" s="34"/>
      <c r="N730" s="34"/>
      <c r="O730" s="34"/>
      <c r="P730" s="188"/>
      <c r="Q730" s="188"/>
      <c r="R730" s="34"/>
      <c r="S730" s="34"/>
      <c r="T730" s="304"/>
      <c r="U730" s="34"/>
      <c r="V730" s="34"/>
      <c r="W730" s="34"/>
      <c r="X730" s="34"/>
      <c r="Y730" s="105"/>
      <c r="Z730" s="105"/>
    </row>
    <row r="731" spans="1:26" ht="12.75">
      <c r="A731" s="309"/>
      <c r="B731" s="309"/>
      <c r="C731" s="34"/>
      <c r="D731" s="362"/>
      <c r="E731" s="34"/>
      <c r="F731" s="34"/>
      <c r="G731" s="35"/>
      <c r="H731" s="35"/>
      <c r="I731" s="34"/>
      <c r="J731" s="34"/>
      <c r="K731" s="65"/>
      <c r="L731" s="34"/>
      <c r="M731" s="34"/>
      <c r="N731" s="34"/>
      <c r="O731" s="34"/>
      <c r="P731" s="188"/>
      <c r="Q731" s="188"/>
      <c r="R731" s="34"/>
      <c r="S731" s="34"/>
      <c r="T731" s="304"/>
      <c r="U731" s="34"/>
      <c r="V731" s="34"/>
      <c r="W731" s="34"/>
      <c r="X731" s="34"/>
      <c r="Y731" s="105"/>
      <c r="Z731" s="105"/>
    </row>
    <row r="732" spans="1:26" ht="12.75">
      <c r="A732" s="309"/>
      <c r="B732" s="309"/>
      <c r="C732" s="34"/>
      <c r="D732" s="362"/>
      <c r="E732" s="34"/>
      <c r="F732" s="34"/>
      <c r="G732" s="35"/>
      <c r="H732" s="35"/>
      <c r="I732" s="34"/>
      <c r="J732" s="34"/>
      <c r="K732" s="65"/>
      <c r="L732" s="34"/>
      <c r="M732" s="34"/>
      <c r="N732" s="34"/>
      <c r="O732" s="34"/>
      <c r="P732" s="188"/>
      <c r="Q732" s="188"/>
      <c r="R732" s="34"/>
      <c r="S732" s="34"/>
      <c r="T732" s="304"/>
      <c r="U732" s="34"/>
      <c r="V732" s="34"/>
      <c r="W732" s="34"/>
      <c r="X732" s="34"/>
      <c r="Y732" s="105"/>
      <c r="Z732" s="105"/>
    </row>
    <row r="733" spans="1:26" ht="12.75">
      <c r="A733" s="309"/>
      <c r="B733" s="309"/>
      <c r="C733" s="34"/>
      <c r="D733" s="362"/>
      <c r="E733" s="34"/>
      <c r="F733" s="34"/>
      <c r="G733" s="35"/>
      <c r="H733" s="35"/>
      <c r="I733" s="34"/>
      <c r="J733" s="34"/>
      <c r="K733" s="65"/>
      <c r="L733" s="34"/>
      <c r="M733" s="34"/>
      <c r="N733" s="34"/>
      <c r="O733" s="34"/>
      <c r="P733" s="188"/>
      <c r="Q733" s="188"/>
      <c r="R733" s="34"/>
      <c r="S733" s="34"/>
      <c r="T733" s="304"/>
      <c r="U733" s="34"/>
      <c r="V733" s="34"/>
      <c r="W733" s="34"/>
      <c r="X733" s="34"/>
      <c r="Y733" s="105"/>
      <c r="Z733" s="105"/>
    </row>
    <row r="734" spans="1:26" ht="12.75">
      <c r="A734" s="309"/>
      <c r="B734" s="309"/>
      <c r="C734" s="34"/>
      <c r="D734" s="362"/>
      <c r="E734" s="34"/>
      <c r="F734" s="34"/>
      <c r="G734" s="35"/>
      <c r="H734" s="35"/>
      <c r="I734" s="34"/>
      <c r="J734" s="34"/>
      <c r="K734" s="65"/>
      <c r="L734" s="34"/>
      <c r="M734" s="34"/>
      <c r="N734" s="34"/>
      <c r="O734" s="34"/>
      <c r="P734" s="188"/>
      <c r="Q734" s="188"/>
      <c r="R734" s="34"/>
      <c r="S734" s="34"/>
      <c r="T734" s="304"/>
      <c r="U734" s="34"/>
      <c r="V734" s="34"/>
      <c r="W734" s="34"/>
      <c r="X734" s="34"/>
      <c r="Y734" s="105"/>
      <c r="Z734" s="105"/>
    </row>
    <row r="735" spans="1:26" ht="12.75">
      <c r="A735" s="309"/>
      <c r="B735" s="309"/>
      <c r="C735" s="34"/>
      <c r="D735" s="362"/>
      <c r="E735" s="34"/>
      <c r="F735" s="34"/>
      <c r="G735" s="35"/>
      <c r="H735" s="35"/>
      <c r="I735" s="34"/>
      <c r="J735" s="34"/>
      <c r="K735" s="65"/>
      <c r="L735" s="34"/>
      <c r="M735" s="34"/>
      <c r="N735" s="34"/>
      <c r="O735" s="34"/>
      <c r="P735" s="188"/>
      <c r="Q735" s="188"/>
      <c r="R735" s="34"/>
      <c r="S735" s="34"/>
      <c r="T735" s="304"/>
      <c r="U735" s="34"/>
      <c r="V735" s="34"/>
      <c r="W735" s="34"/>
      <c r="X735" s="34"/>
      <c r="Y735" s="105"/>
      <c r="Z735" s="105"/>
    </row>
    <row r="736" spans="1:26" ht="12.75">
      <c r="A736" s="309"/>
      <c r="B736" s="309"/>
      <c r="C736" s="34"/>
      <c r="D736" s="362"/>
      <c r="E736" s="34"/>
      <c r="F736" s="34"/>
      <c r="G736" s="35"/>
      <c r="H736" s="35"/>
      <c r="I736" s="34"/>
      <c r="J736" s="34"/>
      <c r="K736" s="65"/>
      <c r="L736" s="34"/>
      <c r="M736" s="34"/>
      <c r="N736" s="34"/>
      <c r="O736" s="34"/>
      <c r="P736" s="188"/>
      <c r="Q736" s="188"/>
      <c r="R736" s="34"/>
      <c r="S736" s="34"/>
      <c r="T736" s="304"/>
      <c r="U736" s="34"/>
      <c r="V736" s="34"/>
      <c r="W736" s="34"/>
      <c r="X736" s="34"/>
      <c r="Y736" s="105"/>
      <c r="Z736" s="105"/>
    </row>
    <row r="737" spans="1:26" ht="12.75">
      <c r="A737" s="309"/>
      <c r="B737" s="309"/>
      <c r="C737" s="34"/>
      <c r="D737" s="362"/>
      <c r="E737" s="34"/>
      <c r="F737" s="34"/>
      <c r="G737" s="35"/>
      <c r="H737" s="35"/>
      <c r="I737" s="34"/>
      <c r="J737" s="34"/>
      <c r="K737" s="65"/>
      <c r="L737" s="34"/>
      <c r="M737" s="34"/>
      <c r="N737" s="34"/>
      <c r="O737" s="34"/>
      <c r="P737" s="188"/>
      <c r="Q737" s="188"/>
      <c r="R737" s="34"/>
      <c r="S737" s="34"/>
      <c r="T737" s="304"/>
      <c r="U737" s="34"/>
      <c r="V737" s="34"/>
      <c r="W737" s="34"/>
      <c r="X737" s="34"/>
      <c r="Y737" s="105"/>
      <c r="Z737" s="105"/>
    </row>
    <row r="738" spans="1:26" ht="12.75">
      <c r="A738" s="309"/>
      <c r="B738" s="309"/>
      <c r="C738" s="34"/>
      <c r="D738" s="362"/>
      <c r="E738" s="34"/>
      <c r="F738" s="34"/>
      <c r="G738" s="35"/>
      <c r="H738" s="35"/>
      <c r="I738" s="34"/>
      <c r="J738" s="34"/>
      <c r="K738" s="65"/>
      <c r="L738" s="34"/>
      <c r="M738" s="34"/>
      <c r="N738" s="34"/>
      <c r="O738" s="34"/>
      <c r="P738" s="188"/>
      <c r="Q738" s="188"/>
      <c r="R738" s="34"/>
      <c r="S738" s="34"/>
      <c r="T738" s="304"/>
      <c r="U738" s="34"/>
      <c r="V738" s="34"/>
      <c r="W738" s="34"/>
      <c r="X738" s="34"/>
      <c r="Y738" s="105"/>
      <c r="Z738" s="105"/>
    </row>
    <row r="739" spans="1:26" ht="12.75">
      <c r="A739" s="309"/>
      <c r="B739" s="309"/>
      <c r="C739" s="34"/>
      <c r="D739" s="362"/>
      <c r="E739" s="34"/>
      <c r="F739" s="34"/>
      <c r="G739" s="35"/>
      <c r="H739" s="35"/>
      <c r="I739" s="34"/>
      <c r="J739" s="34"/>
      <c r="K739" s="65"/>
      <c r="L739" s="34"/>
      <c r="M739" s="34"/>
      <c r="N739" s="34"/>
      <c r="O739" s="34"/>
      <c r="P739" s="188"/>
      <c r="Q739" s="188"/>
      <c r="R739" s="34"/>
      <c r="S739" s="34"/>
      <c r="T739" s="304"/>
      <c r="U739" s="34"/>
      <c r="V739" s="34"/>
      <c r="W739" s="34"/>
      <c r="X739" s="34"/>
      <c r="Y739" s="105"/>
      <c r="Z739" s="105"/>
    </row>
    <row r="740" spans="1:26" ht="12.75">
      <c r="A740" s="309"/>
      <c r="B740" s="309"/>
      <c r="C740" s="34"/>
      <c r="D740" s="362"/>
      <c r="E740" s="34"/>
      <c r="F740" s="34"/>
      <c r="G740" s="35"/>
      <c r="H740" s="35"/>
      <c r="I740" s="34"/>
      <c r="J740" s="34"/>
      <c r="K740" s="65"/>
      <c r="L740" s="34"/>
      <c r="M740" s="34"/>
      <c r="N740" s="34"/>
      <c r="O740" s="34"/>
      <c r="P740" s="188"/>
      <c r="Q740" s="188"/>
      <c r="R740" s="34"/>
      <c r="S740" s="34"/>
      <c r="T740" s="304"/>
      <c r="U740" s="34"/>
      <c r="V740" s="34"/>
      <c r="W740" s="34"/>
      <c r="X740" s="34"/>
      <c r="Y740" s="105"/>
      <c r="Z740" s="105"/>
    </row>
    <row r="741" spans="1:26" ht="12.75">
      <c r="A741" s="309"/>
      <c r="B741" s="309"/>
      <c r="C741" s="34"/>
      <c r="D741" s="362"/>
      <c r="E741" s="34"/>
      <c r="F741" s="34"/>
      <c r="G741" s="35"/>
      <c r="H741" s="35"/>
      <c r="I741" s="34"/>
      <c r="J741" s="34"/>
      <c r="K741" s="65"/>
      <c r="L741" s="34"/>
      <c r="M741" s="34"/>
      <c r="N741" s="34"/>
      <c r="O741" s="34"/>
      <c r="P741" s="188"/>
      <c r="Q741" s="188"/>
      <c r="R741" s="34"/>
      <c r="S741" s="34"/>
      <c r="T741" s="304"/>
      <c r="U741" s="34"/>
      <c r="V741" s="34"/>
      <c r="W741" s="34"/>
      <c r="X741" s="34"/>
      <c r="Y741" s="105"/>
      <c r="Z741" s="105"/>
    </row>
    <row r="742" spans="1:26" ht="12.75">
      <c r="A742" s="309"/>
      <c r="B742" s="309"/>
      <c r="C742" s="34"/>
      <c r="D742" s="362"/>
      <c r="E742" s="34"/>
      <c r="F742" s="34"/>
      <c r="G742" s="35"/>
      <c r="H742" s="35"/>
      <c r="I742" s="34"/>
      <c r="J742" s="34"/>
      <c r="K742" s="65"/>
      <c r="L742" s="34"/>
      <c r="M742" s="34"/>
      <c r="N742" s="34"/>
      <c r="O742" s="34"/>
      <c r="P742" s="188"/>
      <c r="Q742" s="188"/>
      <c r="R742" s="34"/>
      <c r="S742" s="34"/>
      <c r="T742" s="304"/>
      <c r="U742" s="34"/>
      <c r="V742" s="34"/>
      <c r="W742" s="34"/>
      <c r="X742" s="34"/>
      <c r="Y742" s="105"/>
      <c r="Z742" s="105"/>
    </row>
    <row r="743" spans="1:26" ht="12.75">
      <c r="A743" s="309"/>
      <c r="B743" s="309"/>
      <c r="C743" s="34"/>
      <c r="D743" s="362"/>
      <c r="E743" s="34"/>
      <c r="F743" s="34"/>
      <c r="G743" s="35"/>
      <c r="H743" s="35"/>
      <c r="I743" s="34"/>
      <c r="J743" s="34"/>
      <c r="K743" s="65"/>
      <c r="L743" s="34"/>
      <c r="M743" s="34"/>
      <c r="N743" s="34"/>
      <c r="O743" s="34"/>
      <c r="P743" s="188"/>
      <c r="Q743" s="188"/>
      <c r="R743" s="34"/>
      <c r="S743" s="34"/>
      <c r="T743" s="304"/>
      <c r="U743" s="34"/>
      <c r="V743" s="34"/>
      <c r="W743" s="34"/>
      <c r="X743" s="34"/>
      <c r="Y743" s="105"/>
      <c r="Z743" s="105"/>
    </row>
    <row r="744" spans="1:26" ht="12.75">
      <c r="A744" s="309"/>
      <c r="B744" s="309"/>
      <c r="C744" s="34"/>
      <c r="D744" s="362"/>
      <c r="E744" s="34"/>
      <c r="F744" s="34"/>
      <c r="G744" s="35"/>
      <c r="H744" s="35"/>
      <c r="I744" s="34"/>
      <c r="J744" s="34"/>
      <c r="K744" s="65"/>
      <c r="L744" s="34"/>
      <c r="M744" s="34"/>
      <c r="N744" s="34"/>
      <c r="O744" s="34"/>
      <c r="P744" s="188"/>
      <c r="Q744" s="188"/>
      <c r="R744" s="34"/>
      <c r="S744" s="34"/>
      <c r="T744" s="304"/>
      <c r="U744" s="34"/>
      <c r="V744" s="34"/>
      <c r="W744" s="34"/>
      <c r="X744" s="34"/>
      <c r="Y744" s="105"/>
      <c r="Z744" s="105"/>
    </row>
    <row r="745" spans="1:26" ht="12.75">
      <c r="A745" s="309"/>
      <c r="B745" s="309"/>
      <c r="C745" s="34"/>
      <c r="D745" s="362"/>
      <c r="E745" s="34"/>
      <c r="F745" s="34"/>
      <c r="G745" s="35"/>
      <c r="H745" s="35"/>
      <c r="I745" s="34"/>
      <c r="J745" s="34"/>
      <c r="K745" s="65"/>
      <c r="L745" s="34"/>
      <c r="M745" s="34"/>
      <c r="N745" s="34"/>
      <c r="O745" s="34"/>
      <c r="P745" s="188"/>
      <c r="Q745" s="188"/>
      <c r="R745" s="34"/>
      <c r="S745" s="34"/>
      <c r="T745" s="304"/>
      <c r="U745" s="34"/>
      <c r="V745" s="34"/>
      <c r="W745" s="34"/>
      <c r="X745" s="34"/>
      <c r="Y745" s="105"/>
      <c r="Z745" s="105"/>
    </row>
    <row r="746" spans="1:26" ht="12.75">
      <c r="A746" s="309"/>
      <c r="B746" s="309"/>
      <c r="C746" s="34"/>
      <c r="D746" s="362"/>
      <c r="E746" s="34"/>
      <c r="F746" s="34"/>
      <c r="G746" s="35"/>
      <c r="H746" s="35"/>
      <c r="I746" s="34"/>
      <c r="J746" s="34"/>
      <c r="K746" s="65"/>
      <c r="L746" s="34"/>
      <c r="M746" s="34"/>
      <c r="N746" s="34"/>
      <c r="O746" s="34"/>
      <c r="P746" s="188"/>
      <c r="Q746" s="188"/>
      <c r="R746" s="34"/>
      <c r="S746" s="34"/>
      <c r="T746" s="304"/>
      <c r="U746" s="34"/>
      <c r="V746" s="34"/>
      <c r="W746" s="34"/>
      <c r="X746" s="34"/>
      <c r="Y746" s="105"/>
      <c r="Z746" s="105"/>
    </row>
    <row r="747" spans="1:26" ht="12.75">
      <c r="A747" s="309"/>
      <c r="B747" s="309"/>
      <c r="C747" s="34"/>
      <c r="D747" s="362"/>
      <c r="E747" s="34"/>
      <c r="F747" s="34"/>
      <c r="G747" s="35"/>
      <c r="H747" s="35"/>
      <c r="I747" s="34"/>
      <c r="J747" s="34"/>
      <c r="K747" s="65"/>
      <c r="L747" s="34"/>
      <c r="M747" s="34"/>
      <c r="N747" s="34"/>
      <c r="O747" s="34"/>
      <c r="P747" s="188"/>
      <c r="Q747" s="188"/>
      <c r="R747" s="34"/>
      <c r="S747" s="34"/>
      <c r="T747" s="304"/>
      <c r="U747" s="34"/>
      <c r="V747" s="34"/>
      <c r="W747" s="34"/>
      <c r="X747" s="34"/>
      <c r="Y747" s="105"/>
      <c r="Z747" s="105"/>
    </row>
    <row r="748" spans="1:26" ht="12.75">
      <c r="A748" s="309"/>
      <c r="B748" s="309"/>
      <c r="C748" s="34"/>
      <c r="D748" s="362"/>
      <c r="E748" s="34"/>
      <c r="F748" s="34"/>
      <c r="G748" s="35"/>
      <c r="H748" s="35"/>
      <c r="I748" s="34"/>
      <c r="J748" s="34"/>
      <c r="K748" s="65"/>
      <c r="L748" s="34"/>
      <c r="M748" s="34"/>
      <c r="N748" s="34"/>
      <c r="O748" s="34"/>
      <c r="P748" s="188"/>
      <c r="Q748" s="188"/>
      <c r="R748" s="34"/>
      <c r="S748" s="34"/>
      <c r="T748" s="304"/>
      <c r="U748" s="34"/>
      <c r="V748" s="34"/>
      <c r="W748" s="34"/>
      <c r="X748" s="34"/>
      <c r="Y748" s="105"/>
      <c r="Z748" s="105"/>
    </row>
    <row r="749" spans="1:26" ht="12.75">
      <c r="A749" s="309"/>
      <c r="B749" s="309"/>
      <c r="C749" s="34"/>
      <c r="D749" s="362"/>
      <c r="E749" s="34"/>
      <c r="F749" s="34"/>
      <c r="G749" s="35"/>
      <c r="H749" s="35"/>
      <c r="I749" s="34"/>
      <c r="J749" s="34"/>
      <c r="K749" s="65"/>
      <c r="L749" s="34"/>
      <c r="M749" s="34"/>
      <c r="N749" s="34"/>
      <c r="O749" s="34"/>
      <c r="P749" s="188"/>
      <c r="Q749" s="188"/>
      <c r="R749" s="34"/>
      <c r="S749" s="34"/>
      <c r="T749" s="304"/>
      <c r="U749" s="34"/>
      <c r="V749" s="34"/>
      <c r="W749" s="34"/>
      <c r="X749" s="34"/>
      <c r="Y749" s="105"/>
      <c r="Z749" s="105"/>
    </row>
    <row r="750" spans="1:26" ht="12.75">
      <c r="A750" s="309"/>
      <c r="B750" s="309"/>
      <c r="C750" s="34"/>
      <c r="D750" s="362"/>
      <c r="E750" s="34"/>
      <c r="F750" s="34"/>
      <c r="G750" s="35"/>
      <c r="H750" s="35"/>
      <c r="I750" s="34"/>
      <c r="J750" s="34"/>
      <c r="K750" s="65"/>
      <c r="L750" s="34"/>
      <c r="M750" s="34"/>
      <c r="N750" s="34"/>
      <c r="O750" s="34"/>
      <c r="P750" s="188"/>
      <c r="Q750" s="188"/>
      <c r="R750" s="34"/>
      <c r="S750" s="34"/>
      <c r="T750" s="304"/>
      <c r="U750" s="34"/>
      <c r="V750" s="34"/>
      <c r="W750" s="34"/>
      <c r="X750" s="34"/>
      <c r="Y750" s="105"/>
      <c r="Z750" s="105"/>
    </row>
    <row r="751" spans="1:26" ht="12.75">
      <c r="A751" s="309"/>
      <c r="B751" s="309"/>
      <c r="C751" s="34"/>
      <c r="D751" s="362"/>
      <c r="E751" s="34"/>
      <c r="F751" s="34"/>
      <c r="G751" s="35"/>
      <c r="H751" s="35"/>
      <c r="I751" s="34"/>
      <c r="J751" s="34"/>
      <c r="K751" s="65"/>
      <c r="L751" s="34"/>
      <c r="M751" s="34"/>
      <c r="N751" s="34"/>
      <c r="O751" s="34"/>
      <c r="P751" s="188"/>
      <c r="Q751" s="188"/>
      <c r="R751" s="34"/>
      <c r="S751" s="34"/>
      <c r="T751" s="304"/>
      <c r="U751" s="34"/>
      <c r="V751" s="34"/>
      <c r="W751" s="34"/>
      <c r="X751" s="34"/>
      <c r="Y751" s="105"/>
      <c r="Z751" s="105"/>
    </row>
    <row r="752" spans="1:26" ht="12.75">
      <c r="A752" s="309"/>
      <c r="B752" s="309"/>
      <c r="C752" s="34"/>
      <c r="D752" s="362"/>
      <c r="E752" s="34"/>
      <c r="F752" s="34"/>
      <c r="G752" s="35"/>
      <c r="H752" s="35"/>
      <c r="I752" s="34"/>
      <c r="J752" s="34"/>
      <c r="K752" s="65"/>
      <c r="L752" s="34"/>
      <c r="M752" s="34"/>
      <c r="N752" s="34"/>
      <c r="O752" s="34"/>
      <c r="P752" s="188"/>
      <c r="Q752" s="188"/>
      <c r="R752" s="34"/>
      <c r="S752" s="34"/>
      <c r="T752" s="304"/>
      <c r="U752" s="34"/>
      <c r="V752" s="34"/>
      <c r="W752" s="34"/>
      <c r="X752" s="34"/>
      <c r="Y752" s="105"/>
      <c r="Z752" s="105"/>
    </row>
    <row r="753" spans="1:26" ht="12.75">
      <c r="A753" s="309"/>
      <c r="B753" s="309"/>
      <c r="C753" s="34"/>
      <c r="D753" s="362"/>
      <c r="E753" s="34"/>
      <c r="F753" s="34"/>
      <c r="G753" s="35"/>
      <c r="H753" s="35"/>
      <c r="I753" s="34"/>
      <c r="J753" s="34"/>
      <c r="K753" s="65"/>
      <c r="L753" s="34"/>
      <c r="M753" s="34"/>
      <c r="N753" s="34"/>
      <c r="O753" s="34"/>
      <c r="P753" s="188"/>
      <c r="Q753" s="188"/>
      <c r="R753" s="34"/>
      <c r="S753" s="34"/>
      <c r="T753" s="304"/>
      <c r="U753" s="34"/>
      <c r="V753" s="34"/>
      <c r="W753" s="34"/>
      <c r="X753" s="34"/>
      <c r="Y753" s="105"/>
      <c r="Z753" s="105"/>
    </row>
    <row r="754" spans="1:26" ht="12.75">
      <c r="A754" s="309"/>
      <c r="B754" s="309"/>
      <c r="C754" s="34"/>
      <c r="D754" s="362"/>
      <c r="E754" s="34"/>
      <c r="F754" s="34"/>
      <c r="G754" s="35"/>
      <c r="H754" s="35"/>
      <c r="I754" s="34"/>
      <c r="J754" s="34"/>
      <c r="K754" s="65"/>
      <c r="L754" s="34"/>
      <c r="M754" s="34"/>
      <c r="N754" s="34"/>
      <c r="O754" s="34"/>
      <c r="P754" s="188"/>
      <c r="Q754" s="188"/>
      <c r="R754" s="34"/>
      <c r="S754" s="34"/>
      <c r="T754" s="304"/>
      <c r="U754" s="34"/>
      <c r="V754" s="34"/>
      <c r="W754" s="34"/>
      <c r="X754" s="34"/>
      <c r="Y754" s="105"/>
      <c r="Z754" s="105"/>
    </row>
    <row r="755" spans="1:26" ht="12.75">
      <c r="A755" s="309"/>
      <c r="B755" s="309"/>
      <c r="C755" s="34"/>
      <c r="D755" s="362"/>
      <c r="E755" s="34"/>
      <c r="F755" s="34"/>
      <c r="G755" s="35"/>
      <c r="H755" s="35"/>
      <c r="I755" s="34"/>
      <c r="J755" s="34"/>
      <c r="K755" s="65"/>
      <c r="L755" s="34"/>
      <c r="M755" s="34"/>
      <c r="N755" s="34"/>
      <c r="O755" s="34"/>
      <c r="P755" s="188"/>
      <c r="Q755" s="188"/>
      <c r="R755" s="34"/>
      <c r="S755" s="34"/>
      <c r="T755" s="304"/>
      <c r="U755" s="34"/>
      <c r="V755" s="34"/>
      <c r="W755" s="34"/>
      <c r="X755" s="34"/>
      <c r="Y755" s="105"/>
      <c r="Z755" s="105"/>
    </row>
    <row r="756" spans="1:26" ht="12.75">
      <c r="A756" s="309"/>
      <c r="B756" s="309"/>
      <c r="C756" s="34"/>
      <c r="D756" s="362"/>
      <c r="E756" s="34"/>
      <c r="F756" s="34"/>
      <c r="G756" s="35"/>
      <c r="H756" s="35"/>
      <c r="I756" s="34"/>
      <c r="J756" s="34"/>
      <c r="K756" s="65"/>
      <c r="L756" s="34"/>
      <c r="M756" s="34"/>
      <c r="N756" s="34"/>
      <c r="O756" s="34"/>
      <c r="P756" s="188"/>
      <c r="Q756" s="188"/>
      <c r="R756" s="34"/>
      <c r="S756" s="34"/>
      <c r="T756" s="304"/>
      <c r="U756" s="34"/>
      <c r="V756" s="34"/>
      <c r="W756" s="34"/>
      <c r="X756" s="34"/>
      <c r="Y756" s="105"/>
      <c r="Z756" s="105"/>
    </row>
    <row r="757" spans="1:26" ht="12.75">
      <c r="A757" s="309"/>
      <c r="B757" s="309"/>
      <c r="C757" s="34"/>
      <c r="D757" s="362"/>
      <c r="E757" s="34"/>
      <c r="F757" s="34"/>
      <c r="G757" s="35"/>
      <c r="H757" s="35"/>
      <c r="I757" s="34"/>
      <c r="J757" s="34"/>
      <c r="K757" s="65"/>
      <c r="L757" s="34"/>
      <c r="M757" s="34"/>
      <c r="N757" s="34"/>
      <c r="O757" s="34"/>
      <c r="P757" s="188"/>
      <c r="Q757" s="188"/>
      <c r="R757" s="34"/>
      <c r="S757" s="34"/>
      <c r="T757" s="304"/>
      <c r="U757" s="34"/>
      <c r="V757" s="34"/>
      <c r="W757" s="34"/>
      <c r="X757" s="34"/>
      <c r="Y757" s="105"/>
      <c r="Z757" s="105"/>
    </row>
    <row r="758" spans="1:26" ht="12.75">
      <c r="A758" s="309"/>
      <c r="B758" s="309"/>
      <c r="C758" s="34"/>
      <c r="D758" s="362"/>
      <c r="E758" s="34"/>
      <c r="F758" s="34"/>
      <c r="G758" s="35"/>
      <c r="H758" s="35"/>
      <c r="I758" s="34"/>
      <c r="J758" s="34"/>
      <c r="K758" s="65"/>
      <c r="L758" s="34"/>
      <c r="M758" s="34"/>
      <c r="N758" s="34"/>
      <c r="O758" s="34"/>
      <c r="P758" s="188"/>
      <c r="Q758" s="188"/>
      <c r="R758" s="34"/>
      <c r="S758" s="34"/>
      <c r="T758" s="304"/>
      <c r="U758" s="34"/>
      <c r="V758" s="34"/>
      <c r="W758" s="34"/>
      <c r="X758" s="34"/>
      <c r="Y758" s="105"/>
      <c r="Z758" s="105"/>
    </row>
    <row r="759" spans="1:26" ht="12.75">
      <c r="A759" s="309"/>
      <c r="B759" s="309"/>
      <c r="C759" s="34"/>
      <c r="D759" s="362"/>
      <c r="E759" s="34"/>
      <c r="F759" s="34"/>
      <c r="G759" s="35"/>
      <c r="H759" s="35"/>
      <c r="I759" s="34"/>
      <c r="J759" s="34"/>
      <c r="K759" s="65"/>
      <c r="L759" s="34"/>
      <c r="M759" s="34"/>
      <c r="N759" s="34"/>
      <c r="O759" s="34"/>
      <c r="P759" s="188"/>
      <c r="Q759" s="188"/>
      <c r="R759" s="34"/>
      <c r="S759" s="34"/>
      <c r="T759" s="304"/>
      <c r="U759" s="34"/>
      <c r="V759" s="34"/>
      <c r="W759" s="34"/>
      <c r="X759" s="34"/>
      <c r="Y759" s="105"/>
      <c r="Z759" s="105"/>
    </row>
    <row r="760" spans="1:26" ht="12.75">
      <c r="A760" s="309"/>
      <c r="B760" s="309"/>
      <c r="C760" s="34"/>
      <c r="D760" s="362"/>
      <c r="E760" s="34"/>
      <c r="F760" s="34"/>
      <c r="G760" s="35"/>
      <c r="H760" s="35"/>
      <c r="I760" s="34"/>
      <c r="J760" s="34"/>
      <c r="K760" s="65"/>
      <c r="L760" s="34"/>
      <c r="M760" s="34"/>
      <c r="N760" s="34"/>
      <c r="O760" s="34"/>
      <c r="P760" s="188"/>
      <c r="Q760" s="188"/>
      <c r="R760" s="34"/>
      <c r="S760" s="34"/>
      <c r="T760" s="304"/>
      <c r="U760" s="34"/>
      <c r="V760" s="34"/>
      <c r="W760" s="34"/>
      <c r="X760" s="34"/>
      <c r="Y760" s="105"/>
      <c r="Z760" s="105"/>
    </row>
    <row r="761" spans="1:26" ht="12.75">
      <c r="A761" s="309"/>
      <c r="B761" s="309"/>
      <c r="C761" s="34"/>
      <c r="D761" s="362"/>
      <c r="E761" s="34"/>
      <c r="F761" s="34"/>
      <c r="G761" s="35"/>
      <c r="H761" s="35"/>
      <c r="I761" s="34"/>
      <c r="J761" s="34"/>
      <c r="K761" s="65"/>
      <c r="L761" s="34"/>
      <c r="M761" s="34"/>
      <c r="N761" s="34"/>
      <c r="O761" s="34"/>
      <c r="P761" s="188"/>
      <c r="Q761" s="188"/>
      <c r="R761" s="34"/>
      <c r="S761" s="34"/>
      <c r="T761" s="304"/>
      <c r="U761" s="34"/>
      <c r="V761" s="34"/>
      <c r="W761" s="34"/>
      <c r="X761" s="34"/>
      <c r="Y761" s="105"/>
      <c r="Z761" s="105"/>
    </row>
    <row r="762" spans="1:26" ht="12.75">
      <c r="A762" s="309"/>
      <c r="B762" s="309"/>
      <c r="C762" s="34"/>
      <c r="D762" s="362"/>
      <c r="E762" s="34"/>
      <c r="F762" s="34"/>
      <c r="G762" s="35"/>
      <c r="H762" s="35"/>
      <c r="I762" s="34"/>
      <c r="J762" s="34"/>
      <c r="K762" s="65"/>
      <c r="L762" s="34"/>
      <c r="M762" s="34"/>
      <c r="N762" s="34"/>
      <c r="O762" s="34"/>
      <c r="P762" s="188"/>
      <c r="Q762" s="188"/>
      <c r="R762" s="34"/>
      <c r="S762" s="34"/>
      <c r="T762" s="304"/>
      <c r="U762" s="34"/>
      <c r="V762" s="34"/>
      <c r="W762" s="34"/>
      <c r="X762" s="34"/>
      <c r="Y762" s="105"/>
      <c r="Z762" s="105"/>
    </row>
    <row r="763" spans="1:26" ht="12.75">
      <c r="A763" s="309"/>
      <c r="B763" s="309"/>
      <c r="C763" s="34"/>
      <c r="D763" s="362"/>
      <c r="E763" s="34"/>
      <c r="F763" s="34"/>
      <c r="G763" s="35"/>
      <c r="H763" s="35"/>
      <c r="I763" s="34"/>
      <c r="J763" s="34"/>
      <c r="K763" s="65"/>
      <c r="L763" s="34"/>
      <c r="M763" s="34"/>
      <c r="N763" s="34"/>
      <c r="O763" s="34"/>
      <c r="P763" s="188"/>
      <c r="Q763" s="188"/>
      <c r="R763" s="34"/>
      <c r="S763" s="34"/>
      <c r="T763" s="304"/>
      <c r="U763" s="34"/>
      <c r="V763" s="34"/>
      <c r="W763" s="34"/>
      <c r="X763" s="34"/>
      <c r="Y763" s="105"/>
      <c r="Z763" s="105"/>
    </row>
    <row r="764" spans="1:26" ht="12.75">
      <c r="A764" s="309"/>
      <c r="B764" s="309"/>
      <c r="C764" s="34"/>
      <c r="D764" s="362"/>
      <c r="E764" s="34"/>
      <c r="F764" s="34"/>
      <c r="G764" s="35"/>
      <c r="H764" s="35"/>
      <c r="I764" s="34"/>
      <c r="J764" s="34"/>
      <c r="K764" s="65"/>
      <c r="L764" s="34"/>
      <c r="M764" s="34"/>
      <c r="N764" s="34"/>
      <c r="O764" s="34"/>
      <c r="P764" s="188"/>
      <c r="Q764" s="188"/>
      <c r="R764" s="34"/>
      <c r="S764" s="34"/>
      <c r="T764" s="304"/>
      <c r="U764" s="34"/>
      <c r="V764" s="34"/>
      <c r="W764" s="34"/>
      <c r="X764" s="34"/>
      <c r="Y764" s="105"/>
      <c r="Z764" s="105"/>
    </row>
    <row r="765" spans="1:26" ht="12.75">
      <c r="A765" s="309"/>
      <c r="B765" s="309"/>
      <c r="C765" s="34"/>
      <c r="D765" s="362"/>
      <c r="E765" s="34"/>
      <c r="F765" s="34"/>
      <c r="G765" s="35"/>
      <c r="H765" s="35"/>
      <c r="I765" s="34"/>
      <c r="J765" s="34"/>
      <c r="K765" s="65"/>
      <c r="L765" s="34"/>
      <c r="M765" s="34"/>
      <c r="N765" s="34"/>
      <c r="O765" s="34"/>
      <c r="P765" s="188"/>
      <c r="Q765" s="188"/>
      <c r="R765" s="34"/>
      <c r="S765" s="34"/>
      <c r="T765" s="304"/>
      <c r="U765" s="34"/>
      <c r="V765" s="34"/>
      <c r="W765" s="34"/>
      <c r="X765" s="34"/>
      <c r="Y765" s="105"/>
      <c r="Z765" s="105"/>
    </row>
    <row r="766" spans="1:26" ht="12.75">
      <c r="A766" s="309"/>
      <c r="B766" s="309"/>
      <c r="C766" s="34"/>
      <c r="D766" s="362"/>
      <c r="E766" s="34"/>
      <c r="F766" s="34"/>
      <c r="G766" s="35"/>
      <c r="H766" s="35"/>
      <c r="I766" s="34"/>
      <c r="J766" s="34"/>
      <c r="K766" s="65"/>
      <c r="L766" s="34"/>
      <c r="M766" s="34"/>
      <c r="N766" s="34"/>
      <c r="O766" s="34"/>
      <c r="P766" s="188"/>
      <c r="Q766" s="188"/>
      <c r="R766" s="34"/>
      <c r="S766" s="34"/>
      <c r="T766" s="304"/>
      <c r="U766" s="34"/>
      <c r="V766" s="34"/>
      <c r="W766" s="34"/>
      <c r="X766" s="34"/>
      <c r="Y766" s="105"/>
      <c r="Z766" s="105"/>
    </row>
    <row r="767" spans="1:26" ht="12.75">
      <c r="A767" s="309"/>
      <c r="B767" s="309"/>
      <c r="C767" s="34"/>
      <c r="D767" s="362"/>
      <c r="E767" s="34"/>
      <c r="F767" s="34"/>
      <c r="G767" s="35"/>
      <c r="H767" s="35"/>
      <c r="I767" s="34"/>
      <c r="J767" s="34"/>
      <c r="K767" s="65"/>
      <c r="L767" s="34"/>
      <c r="M767" s="34"/>
      <c r="N767" s="34"/>
      <c r="O767" s="34"/>
      <c r="P767" s="188"/>
      <c r="Q767" s="188"/>
      <c r="R767" s="34"/>
      <c r="S767" s="34"/>
      <c r="T767" s="304"/>
      <c r="U767" s="34"/>
      <c r="V767" s="34"/>
      <c r="W767" s="34"/>
      <c r="X767" s="34"/>
      <c r="Y767" s="105"/>
      <c r="Z767" s="105"/>
    </row>
    <row r="768" spans="1:26" ht="12.75">
      <c r="A768" s="309"/>
      <c r="B768" s="309"/>
      <c r="C768" s="34"/>
      <c r="D768" s="362"/>
      <c r="E768" s="34"/>
      <c r="F768" s="34"/>
      <c r="G768" s="35"/>
      <c r="H768" s="35"/>
      <c r="I768" s="34"/>
      <c r="J768" s="34"/>
      <c r="K768" s="65"/>
      <c r="L768" s="34"/>
      <c r="M768" s="34"/>
      <c r="N768" s="34"/>
      <c r="O768" s="34"/>
      <c r="P768" s="188"/>
      <c r="Q768" s="188"/>
      <c r="R768" s="34"/>
      <c r="S768" s="34"/>
      <c r="T768" s="304"/>
      <c r="U768" s="34"/>
      <c r="V768" s="34"/>
      <c r="W768" s="34"/>
      <c r="X768" s="34"/>
      <c r="Y768" s="105"/>
      <c r="Z768" s="105"/>
    </row>
    <row r="769" spans="1:26" ht="12.75">
      <c r="A769" s="309"/>
      <c r="B769" s="309"/>
      <c r="C769" s="34"/>
      <c r="D769" s="362"/>
      <c r="E769" s="34"/>
      <c r="F769" s="34"/>
      <c r="G769" s="35"/>
      <c r="H769" s="35"/>
      <c r="I769" s="34"/>
      <c r="J769" s="34"/>
      <c r="K769" s="65"/>
      <c r="L769" s="34"/>
      <c r="M769" s="34"/>
      <c r="N769" s="34"/>
      <c r="O769" s="34"/>
      <c r="P769" s="188"/>
      <c r="Q769" s="188"/>
      <c r="R769" s="34"/>
      <c r="S769" s="34"/>
      <c r="T769" s="304"/>
      <c r="U769" s="34"/>
      <c r="V769" s="34"/>
      <c r="W769" s="34"/>
      <c r="X769" s="34"/>
      <c r="Y769" s="105"/>
      <c r="Z769" s="105"/>
    </row>
    <row r="770" spans="1:26" ht="12.75">
      <c r="A770" s="309"/>
      <c r="B770" s="309"/>
      <c r="C770" s="34"/>
      <c r="D770" s="362"/>
      <c r="E770" s="34"/>
      <c r="F770" s="34"/>
      <c r="G770" s="35"/>
      <c r="H770" s="35"/>
      <c r="I770" s="34"/>
      <c r="J770" s="34"/>
      <c r="K770" s="65"/>
      <c r="L770" s="34"/>
      <c r="M770" s="34"/>
      <c r="N770" s="34"/>
      <c r="O770" s="34"/>
      <c r="P770" s="188"/>
      <c r="Q770" s="188"/>
      <c r="R770" s="34"/>
      <c r="S770" s="34"/>
      <c r="T770" s="304"/>
      <c r="U770" s="34"/>
      <c r="V770" s="34"/>
      <c r="W770" s="34"/>
      <c r="X770" s="34"/>
      <c r="Y770" s="105"/>
      <c r="Z770" s="105"/>
    </row>
    <row r="771" spans="1:26" ht="12.75">
      <c r="A771" s="309"/>
      <c r="B771" s="309"/>
      <c r="C771" s="34"/>
      <c r="D771" s="362"/>
      <c r="E771" s="34"/>
      <c r="F771" s="34"/>
      <c r="G771" s="35"/>
      <c r="H771" s="35"/>
      <c r="I771" s="34"/>
      <c r="J771" s="34"/>
      <c r="K771" s="65"/>
      <c r="L771" s="34"/>
      <c r="M771" s="34"/>
      <c r="N771" s="34"/>
      <c r="O771" s="34"/>
      <c r="P771" s="188"/>
      <c r="Q771" s="188"/>
      <c r="R771" s="34"/>
      <c r="S771" s="34"/>
      <c r="T771" s="304"/>
      <c r="U771" s="34"/>
      <c r="V771" s="34"/>
      <c r="W771" s="34"/>
      <c r="X771" s="34"/>
      <c r="Y771" s="105"/>
      <c r="Z771" s="105"/>
    </row>
    <row r="772" spans="1:26" ht="12.75">
      <c r="A772" s="309"/>
      <c r="B772" s="309"/>
      <c r="C772" s="34"/>
      <c r="D772" s="362"/>
      <c r="E772" s="34"/>
      <c r="F772" s="34"/>
      <c r="G772" s="35"/>
      <c r="H772" s="35"/>
      <c r="I772" s="34"/>
      <c r="J772" s="34"/>
      <c r="K772" s="65"/>
      <c r="L772" s="34"/>
      <c r="M772" s="34"/>
      <c r="N772" s="34"/>
      <c r="O772" s="34"/>
      <c r="P772" s="188"/>
      <c r="Q772" s="188"/>
      <c r="R772" s="34"/>
      <c r="S772" s="34"/>
      <c r="T772" s="304"/>
      <c r="U772" s="34"/>
      <c r="V772" s="34"/>
      <c r="W772" s="34"/>
      <c r="X772" s="34"/>
      <c r="Y772" s="105"/>
      <c r="Z772" s="105"/>
    </row>
    <row r="773" spans="1:26" ht="12.75">
      <c r="A773" s="309"/>
      <c r="B773" s="309"/>
      <c r="C773" s="34"/>
      <c r="D773" s="362"/>
      <c r="E773" s="34"/>
      <c r="F773" s="34"/>
      <c r="G773" s="35"/>
      <c r="H773" s="35"/>
      <c r="I773" s="34"/>
      <c r="J773" s="34"/>
      <c r="K773" s="65"/>
      <c r="L773" s="34"/>
      <c r="M773" s="34"/>
      <c r="N773" s="34"/>
      <c r="O773" s="34"/>
      <c r="P773" s="188"/>
      <c r="Q773" s="188"/>
      <c r="R773" s="34"/>
      <c r="S773" s="34"/>
      <c r="T773" s="304"/>
      <c r="U773" s="34"/>
      <c r="V773" s="34"/>
      <c r="W773" s="34"/>
      <c r="X773" s="34"/>
      <c r="Y773" s="105"/>
      <c r="Z773" s="105"/>
    </row>
    <row r="774" spans="1:26" ht="12.75">
      <c r="A774" s="309"/>
      <c r="B774" s="309"/>
      <c r="C774" s="34"/>
      <c r="D774" s="362"/>
      <c r="E774" s="34"/>
      <c r="F774" s="34"/>
      <c r="G774" s="35"/>
      <c r="H774" s="35"/>
      <c r="I774" s="34"/>
      <c r="J774" s="34"/>
      <c r="K774" s="65"/>
      <c r="L774" s="34"/>
      <c r="M774" s="34"/>
      <c r="N774" s="34"/>
      <c r="O774" s="34"/>
      <c r="P774" s="188"/>
      <c r="Q774" s="188"/>
      <c r="R774" s="34"/>
      <c r="S774" s="34"/>
      <c r="T774" s="304"/>
      <c r="U774" s="34"/>
      <c r="V774" s="34"/>
      <c r="W774" s="34"/>
      <c r="X774" s="34"/>
      <c r="Y774" s="105"/>
      <c r="Z774" s="105"/>
    </row>
    <row r="775" spans="1:26" ht="12.75">
      <c r="A775" s="309"/>
      <c r="B775" s="309"/>
      <c r="C775" s="34"/>
      <c r="D775" s="362"/>
      <c r="E775" s="34"/>
      <c r="F775" s="34"/>
      <c r="G775" s="35"/>
      <c r="H775" s="35"/>
      <c r="I775" s="34"/>
      <c r="J775" s="34"/>
      <c r="K775" s="65"/>
      <c r="L775" s="34"/>
      <c r="M775" s="34"/>
      <c r="N775" s="34"/>
      <c r="O775" s="34"/>
      <c r="P775" s="188"/>
      <c r="Q775" s="188"/>
      <c r="R775" s="34"/>
      <c r="S775" s="34"/>
      <c r="T775" s="304"/>
      <c r="U775" s="34"/>
      <c r="V775" s="34"/>
      <c r="W775" s="34"/>
      <c r="X775" s="34"/>
      <c r="Y775" s="105"/>
      <c r="Z775" s="105"/>
    </row>
    <row r="776" spans="1:26" ht="12.75">
      <c r="A776" s="309"/>
      <c r="B776" s="309"/>
      <c r="C776" s="34"/>
      <c r="D776" s="362"/>
      <c r="E776" s="34"/>
      <c r="F776" s="34"/>
      <c r="G776" s="35"/>
      <c r="H776" s="35"/>
      <c r="I776" s="34"/>
      <c r="J776" s="34"/>
      <c r="K776" s="65"/>
      <c r="L776" s="34"/>
      <c r="M776" s="34"/>
      <c r="N776" s="34"/>
      <c r="O776" s="34"/>
      <c r="P776" s="188"/>
      <c r="Q776" s="188"/>
      <c r="R776" s="34"/>
      <c r="S776" s="34"/>
      <c r="T776" s="304"/>
      <c r="U776" s="34"/>
      <c r="V776" s="34"/>
      <c r="W776" s="34"/>
      <c r="X776" s="34"/>
      <c r="Y776" s="105"/>
      <c r="Z776" s="105"/>
    </row>
    <row r="777" spans="1:26" ht="12.75">
      <c r="A777" s="309"/>
      <c r="B777" s="309"/>
      <c r="C777" s="34"/>
      <c r="D777" s="362"/>
      <c r="E777" s="34"/>
      <c r="F777" s="34"/>
      <c r="G777" s="35"/>
      <c r="H777" s="35"/>
      <c r="I777" s="34"/>
      <c r="J777" s="34"/>
      <c r="K777" s="65"/>
      <c r="L777" s="34"/>
      <c r="M777" s="34"/>
      <c r="N777" s="34"/>
      <c r="O777" s="34"/>
      <c r="P777" s="188"/>
      <c r="Q777" s="188"/>
      <c r="R777" s="34"/>
      <c r="S777" s="34"/>
      <c r="T777" s="304"/>
      <c r="U777" s="34"/>
      <c r="V777" s="34"/>
      <c r="W777" s="34"/>
      <c r="X777" s="34"/>
      <c r="Y777" s="105"/>
      <c r="Z777" s="105"/>
    </row>
    <row r="778" spans="1:26" ht="12.75">
      <c r="A778" s="309"/>
      <c r="B778" s="309"/>
      <c r="C778" s="34"/>
      <c r="D778" s="362"/>
      <c r="E778" s="34"/>
      <c r="F778" s="34"/>
      <c r="G778" s="35"/>
      <c r="H778" s="35"/>
      <c r="I778" s="34"/>
      <c r="J778" s="34"/>
      <c r="K778" s="65"/>
      <c r="L778" s="34"/>
      <c r="M778" s="34"/>
      <c r="N778" s="34"/>
      <c r="O778" s="34"/>
      <c r="P778" s="188"/>
      <c r="Q778" s="188"/>
      <c r="R778" s="34"/>
      <c r="S778" s="34"/>
      <c r="T778" s="304"/>
      <c r="U778" s="34"/>
      <c r="V778" s="34"/>
      <c r="W778" s="34"/>
      <c r="X778" s="34"/>
      <c r="Y778" s="105"/>
      <c r="Z778" s="105"/>
    </row>
    <row r="779" spans="1:26" ht="12.75">
      <c r="A779" s="309"/>
      <c r="B779" s="309"/>
      <c r="C779" s="34"/>
      <c r="D779" s="362"/>
      <c r="E779" s="34"/>
      <c r="F779" s="34"/>
      <c r="G779" s="35"/>
      <c r="H779" s="35"/>
      <c r="I779" s="34"/>
      <c r="J779" s="34"/>
      <c r="K779" s="65"/>
      <c r="L779" s="34"/>
      <c r="M779" s="34"/>
      <c r="N779" s="34"/>
      <c r="O779" s="34"/>
      <c r="P779" s="188"/>
      <c r="Q779" s="188"/>
      <c r="R779" s="34"/>
      <c r="S779" s="34"/>
      <c r="T779" s="304"/>
      <c r="U779" s="34"/>
      <c r="V779" s="34"/>
      <c r="W779" s="34"/>
      <c r="X779" s="34"/>
      <c r="Y779" s="105"/>
      <c r="Z779" s="105"/>
    </row>
    <row r="780" spans="1:26" ht="12.75">
      <c r="A780" s="309"/>
      <c r="B780" s="309"/>
      <c r="C780" s="34"/>
      <c r="D780" s="362"/>
      <c r="E780" s="34"/>
      <c r="F780" s="34"/>
      <c r="G780" s="35"/>
      <c r="H780" s="35"/>
      <c r="I780" s="34"/>
      <c r="J780" s="34"/>
      <c r="K780" s="65"/>
      <c r="L780" s="34"/>
      <c r="M780" s="34"/>
      <c r="N780" s="34"/>
      <c r="O780" s="34"/>
      <c r="P780" s="188"/>
      <c r="Q780" s="188"/>
      <c r="R780" s="34"/>
      <c r="S780" s="34"/>
      <c r="T780" s="304"/>
      <c r="U780" s="34"/>
      <c r="V780" s="34"/>
      <c r="W780" s="34"/>
      <c r="X780" s="34"/>
      <c r="Y780" s="105"/>
      <c r="Z780" s="105"/>
    </row>
    <row r="781" spans="1:26" ht="12.75">
      <c r="A781" s="309"/>
      <c r="B781" s="309"/>
      <c r="C781" s="34"/>
      <c r="D781" s="362"/>
      <c r="E781" s="34"/>
      <c r="F781" s="34"/>
      <c r="G781" s="35"/>
      <c r="H781" s="35"/>
      <c r="I781" s="34"/>
      <c r="J781" s="34"/>
      <c r="K781" s="65"/>
      <c r="L781" s="34"/>
      <c r="M781" s="34"/>
      <c r="N781" s="34"/>
      <c r="O781" s="34"/>
      <c r="P781" s="188"/>
      <c r="Q781" s="188"/>
      <c r="R781" s="34"/>
      <c r="S781" s="34"/>
      <c r="T781" s="304"/>
      <c r="U781" s="34"/>
      <c r="V781" s="34"/>
      <c r="W781" s="34"/>
      <c r="X781" s="34"/>
      <c r="Y781" s="105"/>
      <c r="Z781" s="105"/>
    </row>
    <row r="782" spans="1:26" ht="12.75">
      <c r="A782" s="309"/>
      <c r="B782" s="309"/>
      <c r="C782" s="34"/>
      <c r="D782" s="362"/>
      <c r="E782" s="34"/>
      <c r="F782" s="34"/>
      <c r="G782" s="35"/>
      <c r="H782" s="35"/>
      <c r="I782" s="34"/>
      <c r="J782" s="34"/>
      <c r="K782" s="65"/>
      <c r="L782" s="34"/>
      <c r="M782" s="34"/>
      <c r="N782" s="34"/>
      <c r="O782" s="34"/>
      <c r="P782" s="188"/>
      <c r="Q782" s="188"/>
      <c r="R782" s="34"/>
      <c r="S782" s="34"/>
      <c r="T782" s="304"/>
      <c r="U782" s="34"/>
      <c r="V782" s="34"/>
      <c r="W782" s="34"/>
      <c r="X782" s="34"/>
      <c r="Y782" s="105"/>
      <c r="Z782" s="105"/>
    </row>
    <row r="783" spans="1:26" ht="12.75">
      <c r="A783" s="309"/>
      <c r="B783" s="309"/>
      <c r="C783" s="34"/>
      <c r="D783" s="362"/>
      <c r="E783" s="34"/>
      <c r="F783" s="34"/>
      <c r="G783" s="35"/>
      <c r="H783" s="35"/>
      <c r="I783" s="34"/>
      <c r="J783" s="34"/>
      <c r="K783" s="65"/>
      <c r="L783" s="34"/>
      <c r="M783" s="34"/>
      <c r="N783" s="34"/>
      <c r="O783" s="34"/>
      <c r="P783" s="188"/>
      <c r="Q783" s="188"/>
      <c r="R783" s="34"/>
      <c r="S783" s="34"/>
      <c r="T783" s="304"/>
      <c r="U783" s="34"/>
      <c r="V783" s="34"/>
      <c r="W783" s="34"/>
      <c r="X783" s="34"/>
      <c r="Y783" s="105"/>
      <c r="Z783" s="105"/>
    </row>
    <row r="784" spans="1:26" ht="12.75">
      <c r="A784" s="309"/>
      <c r="B784" s="309"/>
      <c r="C784" s="34"/>
      <c r="D784" s="362"/>
      <c r="E784" s="34"/>
      <c r="F784" s="34"/>
      <c r="G784" s="35"/>
      <c r="H784" s="35"/>
      <c r="I784" s="34"/>
      <c r="J784" s="34"/>
      <c r="K784" s="65"/>
      <c r="L784" s="34"/>
      <c r="M784" s="34"/>
      <c r="N784" s="34"/>
      <c r="O784" s="34"/>
      <c r="P784" s="188"/>
      <c r="Q784" s="188"/>
      <c r="R784" s="34"/>
      <c r="S784" s="34"/>
      <c r="T784" s="304"/>
      <c r="U784" s="34"/>
      <c r="V784" s="34"/>
      <c r="W784" s="34"/>
      <c r="X784" s="34"/>
      <c r="Y784" s="105"/>
      <c r="Z784" s="105"/>
    </row>
    <row r="785" spans="1:26" ht="12.75">
      <c r="A785" s="309"/>
      <c r="B785" s="309"/>
      <c r="C785" s="34"/>
      <c r="D785" s="362"/>
      <c r="E785" s="34"/>
      <c r="F785" s="34"/>
      <c r="G785" s="35"/>
      <c r="H785" s="35"/>
      <c r="I785" s="34"/>
      <c r="J785" s="34"/>
      <c r="K785" s="65"/>
      <c r="L785" s="34"/>
      <c r="M785" s="34"/>
      <c r="N785" s="34"/>
      <c r="O785" s="34"/>
      <c r="P785" s="188"/>
      <c r="Q785" s="188"/>
      <c r="R785" s="34"/>
      <c r="S785" s="34"/>
      <c r="T785" s="304"/>
      <c r="U785" s="34"/>
      <c r="V785" s="34"/>
      <c r="W785" s="34"/>
      <c r="X785" s="34"/>
      <c r="Y785" s="105"/>
      <c r="Z785" s="105"/>
    </row>
    <row r="786" spans="1:26" ht="12.75">
      <c r="A786" s="309"/>
      <c r="B786" s="309"/>
      <c r="C786" s="34"/>
      <c r="D786" s="362"/>
      <c r="E786" s="34"/>
      <c r="F786" s="34"/>
      <c r="G786" s="35"/>
      <c r="H786" s="35"/>
      <c r="I786" s="34"/>
      <c r="J786" s="34"/>
      <c r="K786" s="65"/>
      <c r="L786" s="34"/>
      <c r="M786" s="34"/>
      <c r="N786" s="34"/>
      <c r="O786" s="34"/>
      <c r="P786" s="188"/>
      <c r="Q786" s="188"/>
      <c r="R786" s="34"/>
      <c r="S786" s="34"/>
      <c r="T786" s="304"/>
      <c r="U786" s="34"/>
      <c r="V786" s="34"/>
      <c r="W786" s="34"/>
      <c r="X786" s="34"/>
      <c r="Y786" s="105"/>
      <c r="Z786" s="105"/>
    </row>
    <row r="787" spans="1:26" ht="12.75">
      <c r="A787" s="309"/>
      <c r="B787" s="309"/>
      <c r="C787" s="34"/>
      <c r="D787" s="362"/>
      <c r="E787" s="34"/>
      <c r="F787" s="34"/>
      <c r="G787" s="35"/>
      <c r="H787" s="35"/>
      <c r="I787" s="34"/>
      <c r="J787" s="34"/>
      <c r="K787" s="65"/>
      <c r="L787" s="34"/>
      <c r="M787" s="34"/>
      <c r="N787" s="34"/>
      <c r="O787" s="34"/>
      <c r="P787" s="188"/>
      <c r="Q787" s="188"/>
      <c r="R787" s="34"/>
      <c r="S787" s="34"/>
      <c r="T787" s="304"/>
      <c r="U787" s="34"/>
      <c r="V787" s="34"/>
      <c r="W787" s="34"/>
      <c r="X787" s="34"/>
      <c r="Y787" s="105"/>
      <c r="Z787" s="105"/>
    </row>
    <row r="788" spans="1:26" ht="12.75">
      <c r="A788" s="309"/>
      <c r="B788" s="309"/>
      <c r="C788" s="34"/>
      <c r="D788" s="362"/>
      <c r="E788" s="34"/>
      <c r="F788" s="34"/>
      <c r="G788" s="35"/>
      <c r="H788" s="35"/>
      <c r="I788" s="34"/>
      <c r="J788" s="34"/>
      <c r="K788" s="65"/>
      <c r="L788" s="34"/>
      <c r="M788" s="34"/>
      <c r="N788" s="34"/>
      <c r="O788" s="34"/>
      <c r="P788" s="188"/>
      <c r="Q788" s="188"/>
      <c r="R788" s="34"/>
      <c r="S788" s="34"/>
      <c r="T788" s="304"/>
      <c r="U788" s="34"/>
      <c r="V788" s="34"/>
      <c r="W788" s="34"/>
      <c r="X788" s="34"/>
      <c r="Y788" s="105"/>
      <c r="Z788" s="105"/>
    </row>
    <row r="789" spans="1:26" ht="12.75">
      <c r="A789" s="309"/>
      <c r="B789" s="309"/>
      <c r="C789" s="34"/>
      <c r="D789" s="362"/>
      <c r="E789" s="34"/>
      <c r="F789" s="34"/>
      <c r="G789" s="35"/>
      <c r="H789" s="35"/>
      <c r="I789" s="34"/>
      <c r="J789" s="34"/>
      <c r="K789" s="65"/>
      <c r="L789" s="34"/>
      <c r="M789" s="34"/>
      <c r="N789" s="34"/>
      <c r="O789" s="34"/>
      <c r="P789" s="188"/>
      <c r="Q789" s="188"/>
      <c r="R789" s="34"/>
      <c r="S789" s="34"/>
      <c r="T789" s="304"/>
      <c r="U789" s="34"/>
      <c r="V789" s="34"/>
      <c r="W789" s="34"/>
      <c r="X789" s="34"/>
      <c r="Y789" s="105"/>
      <c r="Z789" s="105"/>
    </row>
    <row r="790" spans="1:26" ht="12.75">
      <c r="A790" s="309"/>
      <c r="B790" s="309"/>
      <c r="C790" s="34"/>
      <c r="D790" s="362"/>
      <c r="E790" s="34"/>
      <c r="F790" s="34"/>
      <c r="G790" s="35"/>
      <c r="H790" s="35"/>
      <c r="I790" s="34"/>
      <c r="J790" s="34"/>
      <c r="K790" s="65"/>
      <c r="L790" s="34"/>
      <c r="M790" s="34"/>
      <c r="N790" s="34"/>
      <c r="O790" s="34"/>
      <c r="P790" s="188"/>
      <c r="Q790" s="188"/>
      <c r="R790" s="34"/>
      <c r="S790" s="34"/>
      <c r="T790" s="304"/>
      <c r="U790" s="34"/>
      <c r="V790" s="34"/>
      <c r="W790" s="34"/>
      <c r="X790" s="34"/>
      <c r="Y790" s="105"/>
      <c r="Z790" s="105"/>
    </row>
    <row r="791" spans="1:26" ht="12.75">
      <c r="A791" s="309"/>
      <c r="B791" s="309"/>
      <c r="C791" s="34"/>
      <c r="D791" s="362"/>
      <c r="E791" s="34"/>
      <c r="F791" s="34"/>
      <c r="G791" s="35"/>
      <c r="H791" s="35"/>
      <c r="I791" s="34"/>
      <c r="J791" s="34"/>
      <c r="K791" s="65"/>
      <c r="L791" s="34"/>
      <c r="M791" s="34"/>
      <c r="N791" s="34"/>
      <c r="O791" s="34"/>
      <c r="P791" s="188"/>
      <c r="Q791" s="188"/>
      <c r="R791" s="34"/>
      <c r="S791" s="34"/>
      <c r="T791" s="304"/>
      <c r="U791" s="34"/>
      <c r="V791" s="34"/>
      <c r="W791" s="34"/>
      <c r="X791" s="34"/>
      <c r="Y791" s="105"/>
      <c r="Z791" s="105"/>
    </row>
    <row r="792" spans="1:26" ht="12.75">
      <c r="A792" s="309"/>
      <c r="B792" s="309"/>
      <c r="C792" s="34"/>
      <c r="D792" s="362"/>
      <c r="E792" s="34"/>
      <c r="F792" s="34"/>
      <c r="G792" s="35"/>
      <c r="H792" s="35"/>
      <c r="I792" s="34"/>
      <c r="J792" s="34"/>
      <c r="K792" s="65"/>
      <c r="L792" s="34"/>
      <c r="M792" s="34"/>
      <c r="N792" s="34"/>
      <c r="O792" s="34"/>
      <c r="P792" s="188"/>
      <c r="Q792" s="188"/>
      <c r="R792" s="34"/>
      <c r="S792" s="34"/>
      <c r="T792" s="304"/>
      <c r="U792" s="34"/>
      <c r="V792" s="34"/>
      <c r="W792" s="34"/>
      <c r="X792" s="34"/>
      <c r="Y792" s="105"/>
      <c r="Z792" s="105"/>
    </row>
    <row r="793" spans="1:26" ht="12.75">
      <c r="A793" s="309"/>
      <c r="B793" s="309"/>
      <c r="C793" s="34"/>
      <c r="D793" s="362"/>
      <c r="E793" s="34"/>
      <c r="F793" s="34"/>
      <c r="G793" s="35"/>
      <c r="H793" s="35"/>
      <c r="I793" s="34"/>
      <c r="J793" s="34"/>
      <c r="K793" s="65"/>
      <c r="L793" s="34"/>
      <c r="M793" s="34"/>
      <c r="N793" s="34"/>
      <c r="O793" s="34"/>
      <c r="P793" s="188"/>
      <c r="Q793" s="188"/>
      <c r="R793" s="34"/>
      <c r="S793" s="34"/>
      <c r="T793" s="304"/>
      <c r="U793" s="34"/>
      <c r="V793" s="34"/>
      <c r="W793" s="34"/>
      <c r="X793" s="34"/>
      <c r="Y793" s="105"/>
      <c r="Z793" s="105"/>
    </row>
    <row r="794" spans="1:26" ht="12.75">
      <c r="A794" s="309"/>
      <c r="B794" s="309"/>
      <c r="C794" s="34"/>
      <c r="D794" s="362"/>
      <c r="E794" s="34"/>
      <c r="F794" s="34"/>
      <c r="G794" s="35"/>
      <c r="H794" s="35"/>
      <c r="I794" s="34"/>
      <c r="J794" s="34"/>
      <c r="K794" s="65"/>
      <c r="L794" s="34"/>
      <c r="M794" s="34"/>
      <c r="N794" s="34"/>
      <c r="O794" s="34"/>
      <c r="P794" s="188"/>
      <c r="Q794" s="188"/>
      <c r="R794" s="34"/>
      <c r="S794" s="34"/>
      <c r="T794" s="304"/>
      <c r="U794" s="34"/>
      <c r="V794" s="34"/>
      <c r="W794" s="34"/>
      <c r="X794" s="34"/>
      <c r="Y794" s="105"/>
      <c r="Z794" s="105"/>
    </row>
    <row r="795" spans="1:26" ht="12.75">
      <c r="A795" s="309"/>
      <c r="B795" s="309"/>
      <c r="C795" s="34"/>
      <c r="D795" s="362"/>
      <c r="E795" s="34"/>
      <c r="F795" s="34"/>
      <c r="G795" s="35"/>
      <c r="H795" s="35"/>
      <c r="I795" s="34"/>
      <c r="J795" s="34"/>
      <c r="K795" s="65"/>
      <c r="L795" s="34"/>
      <c r="M795" s="34"/>
      <c r="N795" s="34"/>
      <c r="O795" s="34"/>
      <c r="P795" s="188"/>
      <c r="Q795" s="188"/>
      <c r="R795" s="34"/>
      <c r="S795" s="34"/>
      <c r="T795" s="304"/>
      <c r="U795" s="34"/>
      <c r="V795" s="34"/>
      <c r="W795" s="34"/>
      <c r="X795" s="34"/>
      <c r="Y795" s="105"/>
      <c r="Z795" s="105"/>
    </row>
    <row r="796" spans="1:26" ht="12.75">
      <c r="A796" s="309"/>
      <c r="B796" s="309"/>
      <c r="C796" s="34"/>
      <c r="D796" s="362"/>
      <c r="E796" s="34"/>
      <c r="F796" s="34"/>
      <c r="G796" s="35"/>
      <c r="H796" s="35"/>
      <c r="I796" s="34"/>
      <c r="J796" s="34"/>
      <c r="K796" s="65"/>
      <c r="L796" s="34"/>
      <c r="M796" s="34"/>
      <c r="N796" s="34"/>
      <c r="O796" s="34"/>
      <c r="P796" s="188"/>
      <c r="Q796" s="188"/>
      <c r="R796" s="34"/>
      <c r="S796" s="34"/>
      <c r="T796" s="304"/>
      <c r="U796" s="34"/>
      <c r="V796" s="34"/>
      <c r="W796" s="34"/>
      <c r="X796" s="34"/>
      <c r="Y796" s="105"/>
      <c r="Z796" s="105"/>
    </row>
    <row r="797" spans="1:26" ht="12.75">
      <c r="A797" s="309"/>
      <c r="B797" s="309"/>
      <c r="C797" s="34"/>
      <c r="D797" s="362"/>
      <c r="E797" s="34"/>
      <c r="F797" s="34"/>
      <c r="G797" s="35"/>
      <c r="H797" s="35"/>
      <c r="I797" s="34"/>
      <c r="J797" s="34"/>
      <c r="K797" s="65"/>
      <c r="L797" s="34"/>
      <c r="M797" s="34"/>
      <c r="N797" s="34"/>
      <c r="O797" s="34"/>
      <c r="P797" s="188"/>
      <c r="Q797" s="188"/>
      <c r="R797" s="34"/>
      <c r="S797" s="34"/>
      <c r="T797" s="304"/>
      <c r="U797" s="34"/>
      <c r="V797" s="34"/>
      <c r="W797" s="34"/>
      <c r="X797" s="34"/>
      <c r="Y797" s="105"/>
      <c r="Z797" s="105"/>
    </row>
    <row r="798" spans="1:26" ht="12.75">
      <c r="A798" s="309"/>
      <c r="B798" s="309"/>
      <c r="C798" s="34"/>
      <c r="D798" s="362"/>
      <c r="E798" s="34"/>
      <c r="F798" s="34"/>
      <c r="G798" s="35"/>
      <c r="H798" s="35"/>
      <c r="I798" s="34"/>
      <c r="J798" s="34"/>
      <c r="K798" s="65"/>
      <c r="L798" s="34"/>
      <c r="M798" s="34"/>
      <c r="N798" s="34"/>
      <c r="O798" s="34"/>
      <c r="P798" s="188"/>
      <c r="Q798" s="188"/>
      <c r="R798" s="34"/>
      <c r="S798" s="34"/>
      <c r="T798" s="304"/>
      <c r="U798" s="34"/>
      <c r="V798" s="34"/>
      <c r="W798" s="34"/>
      <c r="X798" s="34"/>
      <c r="Y798" s="105"/>
      <c r="Z798" s="105"/>
    </row>
    <row r="799" spans="1:26" ht="12.75">
      <c r="A799" s="309"/>
      <c r="B799" s="309"/>
      <c r="C799" s="34"/>
      <c r="D799" s="362"/>
      <c r="E799" s="34"/>
      <c r="F799" s="34"/>
      <c r="G799" s="35"/>
      <c r="H799" s="35"/>
      <c r="I799" s="34"/>
      <c r="J799" s="34"/>
      <c r="K799" s="65"/>
      <c r="L799" s="34"/>
      <c r="M799" s="34"/>
      <c r="N799" s="34"/>
      <c r="O799" s="34"/>
      <c r="P799" s="188"/>
      <c r="Q799" s="188"/>
      <c r="R799" s="34"/>
      <c r="S799" s="34"/>
      <c r="T799" s="304"/>
      <c r="U799" s="34"/>
      <c r="V799" s="34"/>
      <c r="W799" s="34"/>
      <c r="X799" s="34"/>
      <c r="Y799" s="105"/>
      <c r="Z799" s="105"/>
    </row>
    <row r="800" spans="1:26" ht="12.75">
      <c r="A800" s="309"/>
      <c r="B800" s="309"/>
      <c r="C800" s="34"/>
      <c r="D800" s="362"/>
      <c r="E800" s="34"/>
      <c r="F800" s="34"/>
      <c r="G800" s="35"/>
      <c r="H800" s="35"/>
      <c r="I800" s="34"/>
      <c r="J800" s="34"/>
      <c r="K800" s="65"/>
      <c r="L800" s="34"/>
      <c r="M800" s="34"/>
      <c r="N800" s="34"/>
      <c r="O800" s="34"/>
      <c r="P800" s="188"/>
      <c r="Q800" s="188"/>
      <c r="R800" s="34"/>
      <c r="S800" s="34"/>
      <c r="T800" s="304"/>
      <c r="U800" s="34"/>
      <c r="V800" s="34"/>
      <c r="W800" s="34"/>
      <c r="X800" s="34"/>
      <c r="Y800" s="105"/>
      <c r="Z800" s="105"/>
    </row>
    <row r="801" spans="1:26" ht="12.75">
      <c r="A801" s="309"/>
      <c r="B801" s="309"/>
      <c r="C801" s="34"/>
      <c r="D801" s="362"/>
      <c r="E801" s="34"/>
      <c r="F801" s="34"/>
      <c r="G801" s="35"/>
      <c r="H801" s="35"/>
      <c r="I801" s="34"/>
      <c r="J801" s="34"/>
      <c r="K801" s="65"/>
      <c r="L801" s="34"/>
      <c r="M801" s="34"/>
      <c r="N801" s="34"/>
      <c r="O801" s="34"/>
      <c r="P801" s="188"/>
      <c r="Q801" s="188"/>
      <c r="R801" s="34"/>
      <c r="S801" s="34"/>
      <c r="T801" s="304"/>
      <c r="U801" s="34"/>
      <c r="V801" s="34"/>
      <c r="W801" s="34"/>
      <c r="X801" s="34"/>
      <c r="Y801" s="105"/>
      <c r="Z801" s="105"/>
    </row>
    <row r="802" spans="1:26" ht="12.75">
      <c r="A802" s="309"/>
      <c r="B802" s="309"/>
      <c r="C802" s="34"/>
      <c r="D802" s="362"/>
      <c r="E802" s="34"/>
      <c r="F802" s="34"/>
      <c r="G802" s="35"/>
      <c r="H802" s="35"/>
      <c r="I802" s="34"/>
      <c r="J802" s="34"/>
      <c r="K802" s="65"/>
      <c r="L802" s="34"/>
      <c r="M802" s="34"/>
      <c r="N802" s="34"/>
      <c r="O802" s="34"/>
      <c r="P802" s="188"/>
      <c r="Q802" s="188"/>
      <c r="R802" s="34"/>
      <c r="S802" s="34"/>
      <c r="T802" s="304"/>
      <c r="U802" s="34"/>
      <c r="V802" s="34"/>
      <c r="W802" s="34"/>
      <c r="X802" s="34"/>
      <c r="Y802" s="105"/>
      <c r="Z802" s="105"/>
    </row>
    <row r="803" spans="1:26" ht="12.75">
      <c r="A803" s="309"/>
      <c r="B803" s="309"/>
      <c r="C803" s="34"/>
      <c r="D803" s="362"/>
      <c r="E803" s="34"/>
      <c r="F803" s="34"/>
      <c r="G803" s="35"/>
      <c r="H803" s="35"/>
      <c r="I803" s="34"/>
      <c r="J803" s="34"/>
      <c r="K803" s="65"/>
      <c r="L803" s="34"/>
      <c r="M803" s="34"/>
      <c r="N803" s="34"/>
      <c r="O803" s="34"/>
      <c r="P803" s="188"/>
      <c r="Q803" s="188"/>
      <c r="R803" s="34"/>
      <c r="S803" s="34"/>
      <c r="T803" s="304"/>
      <c r="U803" s="34"/>
      <c r="V803" s="34"/>
      <c r="W803" s="34"/>
      <c r="X803" s="34"/>
      <c r="Y803" s="105"/>
      <c r="Z803" s="105"/>
    </row>
    <row r="804" spans="1:26" ht="12.75">
      <c r="A804" s="309"/>
      <c r="B804" s="309"/>
      <c r="C804" s="34"/>
      <c r="D804" s="362"/>
      <c r="E804" s="34"/>
      <c r="F804" s="34"/>
      <c r="G804" s="35"/>
      <c r="H804" s="35"/>
      <c r="I804" s="34"/>
      <c r="J804" s="34"/>
      <c r="K804" s="65"/>
      <c r="L804" s="34"/>
      <c r="M804" s="34"/>
      <c r="N804" s="34"/>
      <c r="O804" s="34"/>
      <c r="P804" s="188"/>
      <c r="Q804" s="188"/>
      <c r="R804" s="34"/>
      <c r="S804" s="34"/>
      <c r="T804" s="304"/>
      <c r="U804" s="34"/>
      <c r="V804" s="34"/>
      <c r="W804" s="34"/>
      <c r="X804" s="34"/>
      <c r="Y804" s="105"/>
      <c r="Z804" s="105"/>
    </row>
    <row r="805" spans="1:26" ht="12.75">
      <c r="A805" s="309"/>
      <c r="B805" s="309"/>
      <c r="C805" s="34"/>
      <c r="D805" s="362"/>
      <c r="E805" s="34"/>
      <c r="F805" s="34"/>
      <c r="G805" s="35"/>
      <c r="H805" s="35"/>
      <c r="I805" s="34"/>
      <c r="J805" s="34"/>
      <c r="K805" s="65"/>
      <c r="L805" s="34"/>
      <c r="M805" s="34"/>
      <c r="N805" s="34"/>
      <c r="O805" s="34"/>
      <c r="P805" s="188"/>
      <c r="Q805" s="188"/>
      <c r="R805" s="34"/>
      <c r="S805" s="34"/>
      <c r="T805" s="304"/>
      <c r="U805" s="34"/>
      <c r="V805" s="34"/>
      <c r="W805" s="34"/>
      <c r="X805" s="34"/>
      <c r="Y805" s="105"/>
      <c r="Z805" s="105"/>
    </row>
    <row r="806" spans="1:26" ht="12.75">
      <c r="A806" s="309"/>
      <c r="B806" s="309"/>
      <c r="C806" s="34"/>
      <c r="D806" s="362"/>
      <c r="E806" s="34"/>
      <c r="F806" s="34"/>
      <c r="G806" s="35"/>
      <c r="H806" s="35"/>
      <c r="I806" s="34"/>
      <c r="J806" s="34"/>
      <c r="K806" s="65"/>
      <c r="L806" s="34"/>
      <c r="M806" s="34"/>
      <c r="N806" s="34"/>
      <c r="O806" s="34"/>
      <c r="P806" s="188"/>
      <c r="Q806" s="188"/>
      <c r="R806" s="34"/>
      <c r="S806" s="34"/>
      <c r="T806" s="304"/>
      <c r="U806" s="34"/>
      <c r="V806" s="34"/>
      <c r="W806" s="34"/>
      <c r="X806" s="34"/>
      <c r="Y806" s="105"/>
      <c r="Z806" s="105"/>
    </row>
    <row r="807" spans="1:26" ht="12.75">
      <c r="A807" s="309"/>
      <c r="B807" s="309"/>
      <c r="C807" s="34"/>
      <c r="D807" s="362"/>
      <c r="E807" s="34"/>
      <c r="F807" s="34"/>
      <c r="G807" s="35"/>
      <c r="H807" s="35"/>
      <c r="I807" s="34"/>
      <c r="J807" s="34"/>
      <c r="K807" s="65"/>
      <c r="L807" s="34"/>
      <c r="M807" s="34"/>
      <c r="N807" s="34"/>
      <c r="O807" s="34"/>
      <c r="P807" s="188"/>
      <c r="Q807" s="188"/>
      <c r="R807" s="34"/>
      <c r="S807" s="34"/>
      <c r="T807" s="304"/>
      <c r="U807" s="34"/>
      <c r="V807" s="34"/>
      <c r="W807" s="34"/>
      <c r="X807" s="34"/>
      <c r="Y807" s="105"/>
      <c r="Z807" s="105"/>
    </row>
    <row r="808" spans="1:26" ht="12.75">
      <c r="A808" s="309"/>
      <c r="B808" s="309"/>
      <c r="C808" s="34"/>
      <c r="D808" s="362"/>
      <c r="E808" s="34"/>
      <c r="F808" s="34"/>
      <c r="G808" s="35"/>
      <c r="H808" s="35"/>
      <c r="I808" s="34"/>
      <c r="J808" s="34"/>
      <c r="K808" s="65"/>
      <c r="L808" s="34"/>
      <c r="M808" s="34"/>
      <c r="N808" s="34"/>
      <c r="O808" s="34"/>
      <c r="P808" s="188"/>
      <c r="Q808" s="188"/>
      <c r="R808" s="34"/>
      <c r="S808" s="34"/>
      <c r="T808" s="304"/>
      <c r="U808" s="34"/>
      <c r="V808" s="34"/>
      <c r="W808" s="34"/>
      <c r="X808" s="34"/>
      <c r="Y808" s="105"/>
      <c r="Z808" s="105"/>
    </row>
    <row r="809" spans="1:26" ht="12.75">
      <c r="A809" s="309"/>
      <c r="B809" s="309"/>
      <c r="C809" s="34"/>
      <c r="D809" s="362"/>
      <c r="E809" s="34"/>
      <c r="F809" s="34"/>
      <c r="G809" s="35"/>
      <c r="H809" s="35"/>
      <c r="I809" s="34"/>
      <c r="J809" s="34"/>
      <c r="K809" s="65"/>
      <c r="L809" s="34"/>
      <c r="M809" s="34"/>
      <c r="N809" s="34"/>
      <c r="O809" s="34"/>
      <c r="P809" s="188"/>
      <c r="Q809" s="188"/>
      <c r="R809" s="34"/>
      <c r="S809" s="34"/>
      <c r="T809" s="304"/>
      <c r="U809" s="34"/>
      <c r="V809" s="34"/>
      <c r="W809" s="34"/>
      <c r="X809" s="34"/>
      <c r="Y809" s="105"/>
      <c r="Z809" s="105"/>
    </row>
    <row r="810" spans="1:26" ht="12.75">
      <c r="A810" s="309"/>
      <c r="B810" s="309"/>
      <c r="C810" s="34"/>
      <c r="D810" s="362"/>
      <c r="E810" s="34"/>
      <c r="F810" s="34"/>
      <c r="G810" s="35"/>
      <c r="H810" s="35"/>
      <c r="I810" s="34"/>
      <c r="J810" s="34"/>
      <c r="K810" s="65"/>
      <c r="L810" s="34"/>
      <c r="M810" s="34"/>
      <c r="N810" s="34"/>
      <c r="O810" s="34"/>
      <c r="P810" s="188"/>
      <c r="Q810" s="188"/>
      <c r="R810" s="34"/>
      <c r="S810" s="34"/>
      <c r="T810" s="304"/>
      <c r="U810" s="34"/>
      <c r="V810" s="34"/>
      <c r="W810" s="34"/>
      <c r="X810" s="34"/>
      <c r="Y810" s="105"/>
      <c r="Z810" s="105"/>
    </row>
    <row r="811" spans="1:26" ht="12.75">
      <c r="A811" s="309"/>
      <c r="B811" s="309"/>
      <c r="C811" s="34"/>
      <c r="D811" s="362"/>
      <c r="E811" s="34"/>
      <c r="F811" s="34"/>
      <c r="G811" s="35"/>
      <c r="H811" s="35"/>
      <c r="I811" s="34"/>
      <c r="J811" s="34"/>
      <c r="K811" s="65"/>
      <c r="L811" s="34"/>
      <c r="M811" s="34"/>
      <c r="N811" s="34"/>
      <c r="O811" s="34"/>
      <c r="P811" s="188"/>
      <c r="Q811" s="188"/>
      <c r="R811" s="34"/>
      <c r="S811" s="34"/>
      <c r="T811" s="304"/>
      <c r="U811" s="34"/>
      <c r="V811" s="34"/>
      <c r="W811" s="34"/>
      <c r="X811" s="34"/>
      <c r="Y811" s="105"/>
      <c r="Z811" s="105"/>
    </row>
    <row r="812" spans="1:26" ht="12.75">
      <c r="A812" s="309"/>
      <c r="B812" s="309"/>
      <c r="C812" s="34"/>
      <c r="D812" s="362"/>
      <c r="E812" s="34"/>
      <c r="F812" s="34"/>
      <c r="G812" s="35"/>
      <c r="H812" s="35"/>
      <c r="I812" s="34"/>
      <c r="J812" s="34"/>
      <c r="K812" s="65"/>
      <c r="L812" s="34"/>
      <c r="M812" s="34"/>
      <c r="N812" s="34"/>
      <c r="O812" s="34"/>
      <c r="P812" s="188"/>
      <c r="Q812" s="188"/>
      <c r="R812" s="34"/>
      <c r="S812" s="34"/>
      <c r="T812" s="304"/>
      <c r="U812" s="34"/>
      <c r="V812" s="34"/>
      <c r="W812" s="34"/>
      <c r="X812" s="34"/>
      <c r="Y812" s="105"/>
      <c r="Z812" s="105"/>
    </row>
    <row r="813" spans="1:26" ht="12.75">
      <c r="A813" s="309"/>
      <c r="B813" s="309"/>
      <c r="C813" s="34"/>
      <c r="D813" s="362"/>
      <c r="E813" s="34"/>
      <c r="F813" s="34"/>
      <c r="G813" s="35"/>
      <c r="H813" s="35"/>
      <c r="I813" s="34"/>
      <c r="J813" s="34"/>
      <c r="K813" s="65"/>
      <c r="L813" s="34"/>
      <c r="M813" s="34"/>
      <c r="N813" s="34"/>
      <c r="O813" s="34"/>
      <c r="P813" s="188"/>
      <c r="Q813" s="188"/>
      <c r="R813" s="34"/>
      <c r="S813" s="34"/>
      <c r="T813" s="304"/>
      <c r="U813" s="34"/>
      <c r="V813" s="34"/>
      <c r="W813" s="34"/>
      <c r="X813" s="34"/>
      <c r="Y813" s="105"/>
      <c r="Z813" s="105"/>
    </row>
    <row r="814" spans="1:26" ht="12.75">
      <c r="A814" s="309"/>
      <c r="B814" s="309"/>
      <c r="C814" s="34"/>
      <c r="D814" s="362"/>
      <c r="E814" s="34"/>
      <c r="F814" s="34"/>
      <c r="G814" s="35"/>
      <c r="H814" s="35"/>
      <c r="I814" s="34"/>
      <c r="J814" s="34"/>
      <c r="K814" s="65"/>
      <c r="L814" s="34"/>
      <c r="M814" s="34"/>
      <c r="N814" s="34"/>
      <c r="O814" s="34"/>
      <c r="P814" s="188"/>
      <c r="Q814" s="188"/>
      <c r="R814" s="34"/>
      <c r="S814" s="34"/>
      <c r="T814" s="304"/>
      <c r="U814" s="34"/>
      <c r="V814" s="34"/>
      <c r="W814" s="34"/>
      <c r="X814" s="34"/>
      <c r="Y814" s="105"/>
      <c r="Z814" s="105"/>
    </row>
    <row r="815" spans="1:26" ht="12.75">
      <c r="A815" s="309"/>
      <c r="B815" s="309"/>
      <c r="C815" s="34"/>
      <c r="D815" s="362"/>
      <c r="E815" s="34"/>
      <c r="F815" s="34"/>
      <c r="G815" s="35"/>
      <c r="H815" s="35"/>
      <c r="I815" s="34"/>
      <c r="J815" s="34"/>
      <c r="K815" s="65"/>
      <c r="L815" s="34"/>
      <c r="M815" s="34"/>
      <c r="N815" s="34"/>
      <c r="O815" s="34"/>
      <c r="P815" s="188"/>
      <c r="Q815" s="188"/>
      <c r="R815" s="34"/>
      <c r="S815" s="34"/>
      <c r="T815" s="304"/>
      <c r="U815" s="34"/>
      <c r="V815" s="34"/>
      <c r="W815" s="34"/>
      <c r="X815" s="34"/>
      <c r="Y815" s="105"/>
      <c r="Z815" s="105"/>
    </row>
    <row r="816" spans="1:26" ht="12.75">
      <c r="A816" s="309"/>
      <c r="B816" s="309"/>
      <c r="C816" s="34"/>
      <c r="D816" s="362"/>
      <c r="E816" s="34"/>
      <c r="F816" s="34"/>
      <c r="G816" s="35"/>
      <c r="H816" s="35"/>
      <c r="I816" s="34"/>
      <c r="J816" s="34"/>
      <c r="K816" s="65"/>
      <c r="L816" s="34"/>
      <c r="M816" s="34"/>
      <c r="N816" s="34"/>
      <c r="O816" s="34"/>
      <c r="P816" s="188"/>
      <c r="Q816" s="188"/>
      <c r="R816" s="34"/>
      <c r="S816" s="34"/>
      <c r="T816" s="304"/>
      <c r="U816" s="34"/>
      <c r="V816" s="34"/>
      <c r="W816" s="34"/>
      <c r="X816" s="34"/>
      <c r="Y816" s="105"/>
      <c r="Z816" s="105"/>
    </row>
    <row r="817" spans="1:26" ht="12.75">
      <c r="A817" s="309"/>
      <c r="B817" s="309"/>
      <c r="C817" s="34"/>
      <c r="D817" s="362"/>
      <c r="E817" s="34"/>
      <c r="F817" s="34"/>
      <c r="G817" s="35"/>
      <c r="H817" s="35"/>
      <c r="I817" s="34"/>
      <c r="J817" s="34"/>
      <c r="K817" s="65"/>
      <c r="L817" s="34"/>
      <c r="M817" s="34"/>
      <c r="N817" s="34"/>
      <c r="O817" s="34"/>
      <c r="P817" s="188"/>
      <c r="Q817" s="188"/>
      <c r="R817" s="34"/>
      <c r="S817" s="34"/>
      <c r="T817" s="304"/>
      <c r="U817" s="34"/>
      <c r="V817" s="34"/>
      <c r="W817" s="34"/>
      <c r="X817" s="34"/>
      <c r="Y817" s="105"/>
      <c r="Z817" s="105"/>
    </row>
    <row r="818" spans="1:26" ht="12.75">
      <c r="A818" s="309"/>
      <c r="B818" s="309"/>
      <c r="C818" s="34"/>
      <c r="D818" s="362"/>
      <c r="E818" s="34"/>
      <c r="F818" s="34"/>
      <c r="G818" s="35"/>
      <c r="H818" s="35"/>
      <c r="I818" s="34"/>
      <c r="J818" s="34"/>
      <c r="K818" s="65"/>
      <c r="L818" s="34"/>
      <c r="M818" s="34"/>
      <c r="N818" s="34"/>
      <c r="O818" s="34"/>
      <c r="P818" s="188"/>
      <c r="Q818" s="188"/>
      <c r="R818" s="34"/>
      <c r="S818" s="34"/>
      <c r="T818" s="304"/>
      <c r="U818" s="34"/>
      <c r="V818" s="34"/>
      <c r="W818" s="34"/>
      <c r="X818" s="34"/>
      <c r="Y818" s="105"/>
      <c r="Z818" s="105"/>
    </row>
    <row r="819" spans="1:26" ht="12.75">
      <c r="A819" s="309"/>
      <c r="B819" s="309"/>
      <c r="C819" s="34"/>
      <c r="D819" s="362"/>
      <c r="E819" s="34"/>
      <c r="F819" s="34"/>
      <c r="G819" s="35"/>
      <c r="H819" s="35"/>
      <c r="I819" s="34"/>
      <c r="J819" s="34"/>
      <c r="K819" s="65"/>
      <c r="L819" s="34"/>
      <c r="M819" s="34"/>
      <c r="N819" s="34"/>
      <c r="O819" s="34"/>
      <c r="P819" s="188"/>
      <c r="Q819" s="188"/>
      <c r="R819" s="34"/>
      <c r="S819" s="34"/>
      <c r="T819" s="304"/>
      <c r="U819" s="34"/>
      <c r="V819" s="34"/>
      <c r="W819" s="34"/>
      <c r="X819" s="34"/>
      <c r="Y819" s="105"/>
      <c r="Z819" s="105"/>
    </row>
    <row r="820" spans="1:26" ht="12.75">
      <c r="A820" s="309"/>
      <c r="B820" s="309"/>
      <c r="C820" s="34"/>
      <c r="D820" s="362"/>
      <c r="E820" s="34"/>
      <c r="F820" s="34"/>
      <c r="G820" s="35"/>
      <c r="H820" s="35"/>
      <c r="I820" s="34"/>
      <c r="J820" s="34"/>
      <c r="K820" s="65"/>
      <c r="L820" s="34"/>
      <c r="M820" s="34"/>
      <c r="N820" s="34"/>
      <c r="O820" s="34"/>
      <c r="P820" s="188"/>
      <c r="Q820" s="188"/>
      <c r="R820" s="34"/>
      <c r="S820" s="34"/>
      <c r="T820" s="304"/>
      <c r="U820" s="34"/>
      <c r="V820" s="34"/>
      <c r="W820" s="34"/>
      <c r="X820" s="34"/>
      <c r="Y820" s="105"/>
      <c r="Z820" s="105"/>
    </row>
    <row r="821" spans="1:26" ht="12.75">
      <c r="A821" s="309"/>
      <c r="B821" s="309"/>
      <c r="C821" s="34"/>
      <c r="D821" s="362"/>
      <c r="E821" s="34"/>
      <c r="F821" s="34"/>
      <c r="G821" s="35"/>
      <c r="H821" s="35"/>
      <c r="I821" s="34"/>
      <c r="J821" s="34"/>
      <c r="K821" s="65"/>
      <c r="L821" s="34"/>
      <c r="M821" s="34"/>
      <c r="N821" s="34"/>
      <c r="O821" s="34"/>
      <c r="P821" s="188"/>
      <c r="Q821" s="188"/>
      <c r="R821" s="34"/>
      <c r="S821" s="34"/>
      <c r="T821" s="304"/>
      <c r="U821" s="34"/>
      <c r="V821" s="34"/>
      <c r="W821" s="34"/>
      <c r="X821" s="34"/>
      <c r="Y821" s="105"/>
      <c r="Z821" s="105"/>
    </row>
    <row r="822" spans="1:26" ht="12.75">
      <c r="A822" s="309"/>
      <c r="B822" s="309"/>
      <c r="C822" s="34"/>
      <c r="D822" s="362"/>
      <c r="E822" s="34"/>
      <c r="F822" s="34"/>
      <c r="G822" s="35"/>
      <c r="H822" s="35"/>
      <c r="I822" s="34"/>
      <c r="J822" s="34"/>
      <c r="K822" s="65"/>
      <c r="L822" s="34"/>
      <c r="M822" s="34"/>
      <c r="N822" s="34"/>
      <c r="O822" s="34"/>
      <c r="P822" s="188"/>
      <c r="Q822" s="188"/>
      <c r="R822" s="34"/>
      <c r="S822" s="34"/>
      <c r="T822" s="304"/>
      <c r="U822" s="34"/>
      <c r="V822" s="34"/>
      <c r="W822" s="34"/>
      <c r="X822" s="34"/>
      <c r="Y822" s="105"/>
      <c r="Z822" s="105"/>
    </row>
    <row r="823" spans="1:26" ht="12.75">
      <c r="A823" s="309"/>
      <c r="B823" s="309"/>
      <c r="C823" s="34"/>
      <c r="D823" s="362"/>
      <c r="E823" s="34"/>
      <c r="F823" s="34"/>
      <c r="G823" s="35"/>
      <c r="H823" s="35"/>
      <c r="I823" s="34"/>
      <c r="J823" s="34"/>
      <c r="K823" s="65"/>
      <c r="L823" s="34"/>
      <c r="M823" s="34"/>
      <c r="N823" s="34"/>
      <c r="O823" s="34"/>
      <c r="P823" s="188"/>
      <c r="Q823" s="188"/>
      <c r="R823" s="34"/>
      <c r="S823" s="34"/>
      <c r="T823" s="304"/>
      <c r="U823" s="34"/>
      <c r="V823" s="34"/>
      <c r="W823" s="34"/>
      <c r="X823" s="34"/>
      <c r="Y823" s="105"/>
      <c r="Z823" s="105"/>
    </row>
    <row r="824" spans="1:26" ht="12.75">
      <c r="A824" s="309"/>
      <c r="B824" s="309"/>
      <c r="C824" s="34"/>
      <c r="D824" s="362"/>
      <c r="E824" s="34"/>
      <c r="F824" s="34"/>
      <c r="G824" s="35"/>
      <c r="H824" s="35"/>
      <c r="I824" s="34"/>
      <c r="J824" s="34"/>
      <c r="K824" s="65"/>
      <c r="L824" s="34"/>
      <c r="M824" s="34"/>
      <c r="N824" s="34"/>
      <c r="O824" s="34"/>
      <c r="P824" s="188"/>
      <c r="Q824" s="188"/>
      <c r="R824" s="34"/>
      <c r="S824" s="34"/>
      <c r="T824" s="304"/>
      <c r="U824" s="34"/>
      <c r="V824" s="34"/>
      <c r="W824" s="34"/>
      <c r="X824" s="34"/>
      <c r="Y824" s="105"/>
      <c r="Z824" s="105"/>
    </row>
    <row r="825" spans="1:26" ht="12.75">
      <c r="A825" s="309"/>
      <c r="B825" s="309"/>
      <c r="C825" s="34"/>
      <c r="D825" s="362"/>
      <c r="E825" s="34"/>
      <c r="F825" s="34"/>
      <c r="G825" s="35"/>
      <c r="H825" s="35"/>
      <c r="I825" s="34"/>
      <c r="J825" s="34"/>
      <c r="K825" s="65"/>
      <c r="L825" s="34"/>
      <c r="M825" s="34"/>
      <c r="N825" s="34"/>
      <c r="O825" s="34"/>
      <c r="P825" s="188"/>
      <c r="Q825" s="188"/>
      <c r="R825" s="34"/>
      <c r="S825" s="34"/>
      <c r="T825" s="304"/>
      <c r="U825" s="34"/>
      <c r="V825" s="34"/>
      <c r="W825" s="34"/>
      <c r="X825" s="34"/>
      <c r="Y825" s="105"/>
      <c r="Z825" s="105"/>
    </row>
    <row r="826" spans="1:26" ht="12.75">
      <c r="A826" s="309"/>
      <c r="B826" s="309"/>
      <c r="C826" s="34"/>
      <c r="D826" s="362"/>
      <c r="E826" s="34"/>
      <c r="F826" s="34"/>
      <c r="G826" s="35"/>
      <c r="H826" s="35"/>
      <c r="I826" s="34"/>
      <c r="J826" s="34"/>
      <c r="K826" s="65"/>
      <c r="L826" s="34"/>
      <c r="M826" s="34"/>
      <c r="N826" s="34"/>
      <c r="O826" s="34"/>
      <c r="P826" s="188"/>
      <c r="Q826" s="188"/>
      <c r="R826" s="34"/>
      <c r="S826" s="34"/>
      <c r="T826" s="304"/>
      <c r="U826" s="34"/>
      <c r="V826" s="34"/>
      <c r="W826" s="34"/>
      <c r="X826" s="34"/>
      <c r="Y826" s="105"/>
      <c r="Z826" s="105"/>
    </row>
    <row r="827" spans="1:26" ht="12.75">
      <c r="A827" s="309"/>
      <c r="B827" s="309"/>
      <c r="C827" s="34"/>
      <c r="D827" s="362"/>
      <c r="E827" s="34"/>
      <c r="F827" s="34"/>
      <c r="G827" s="35"/>
      <c r="H827" s="35"/>
      <c r="I827" s="34"/>
      <c r="J827" s="34"/>
      <c r="K827" s="65"/>
      <c r="L827" s="34"/>
      <c r="M827" s="34"/>
      <c r="N827" s="34"/>
      <c r="O827" s="34"/>
      <c r="P827" s="188"/>
      <c r="Q827" s="188"/>
      <c r="R827" s="34"/>
      <c r="S827" s="34"/>
      <c r="T827" s="304"/>
      <c r="U827" s="34"/>
      <c r="V827" s="34"/>
      <c r="W827" s="34"/>
      <c r="X827" s="34"/>
      <c r="Y827" s="105"/>
      <c r="Z827" s="105"/>
    </row>
    <row r="828" spans="1:26" ht="12.75">
      <c r="A828" s="309"/>
      <c r="B828" s="309"/>
      <c r="C828" s="34"/>
      <c r="D828" s="362"/>
      <c r="E828" s="34"/>
      <c r="F828" s="34"/>
      <c r="G828" s="35"/>
      <c r="H828" s="35"/>
      <c r="I828" s="34"/>
      <c r="J828" s="34"/>
      <c r="K828" s="65"/>
      <c r="L828" s="34"/>
      <c r="M828" s="34"/>
      <c r="N828" s="34"/>
      <c r="O828" s="34"/>
      <c r="P828" s="188"/>
      <c r="Q828" s="188"/>
      <c r="R828" s="34"/>
      <c r="S828" s="34"/>
      <c r="T828" s="304"/>
      <c r="U828" s="34"/>
      <c r="V828" s="34"/>
      <c r="W828" s="34"/>
      <c r="X828" s="34"/>
      <c r="Y828" s="105"/>
      <c r="Z828" s="105"/>
    </row>
    <row r="829" spans="1:26" ht="12.75">
      <c r="A829" s="309"/>
      <c r="B829" s="309"/>
      <c r="C829" s="34"/>
      <c r="D829" s="362"/>
      <c r="E829" s="34"/>
      <c r="F829" s="34"/>
      <c r="G829" s="35"/>
      <c r="H829" s="35"/>
      <c r="I829" s="34"/>
      <c r="J829" s="34"/>
      <c r="K829" s="65"/>
      <c r="L829" s="34"/>
      <c r="M829" s="34"/>
      <c r="N829" s="34"/>
      <c r="O829" s="34"/>
      <c r="P829" s="188"/>
      <c r="Q829" s="188"/>
      <c r="R829" s="34"/>
      <c r="S829" s="34"/>
      <c r="T829" s="304"/>
      <c r="U829" s="34"/>
      <c r="V829" s="34"/>
      <c r="W829" s="34"/>
      <c r="X829" s="34"/>
      <c r="Y829" s="105"/>
      <c r="Z829" s="105"/>
    </row>
    <row r="830" spans="1:26" ht="12.75">
      <c r="A830" s="309"/>
      <c r="B830" s="309"/>
      <c r="C830" s="34"/>
      <c r="D830" s="362"/>
      <c r="E830" s="34"/>
      <c r="F830" s="34"/>
      <c r="G830" s="35"/>
      <c r="H830" s="35"/>
      <c r="I830" s="34"/>
      <c r="J830" s="34"/>
      <c r="K830" s="65"/>
      <c r="L830" s="34"/>
      <c r="M830" s="34"/>
      <c r="N830" s="34"/>
      <c r="O830" s="34"/>
      <c r="P830" s="188"/>
      <c r="Q830" s="188"/>
      <c r="R830" s="34"/>
      <c r="S830" s="34"/>
      <c r="T830" s="304"/>
      <c r="U830" s="34"/>
      <c r="V830" s="34"/>
      <c r="W830" s="34"/>
      <c r="X830" s="34"/>
      <c r="Y830" s="105"/>
      <c r="Z830" s="105"/>
    </row>
    <row r="831" spans="1:26" ht="12.75">
      <c r="A831" s="309"/>
      <c r="B831" s="309"/>
      <c r="C831" s="34"/>
      <c r="D831" s="362"/>
      <c r="E831" s="34"/>
      <c r="F831" s="34"/>
      <c r="G831" s="35"/>
      <c r="H831" s="35"/>
      <c r="I831" s="34"/>
      <c r="J831" s="34"/>
      <c r="K831" s="65"/>
      <c r="L831" s="34"/>
      <c r="M831" s="34"/>
      <c r="N831" s="34"/>
      <c r="O831" s="34"/>
      <c r="P831" s="188"/>
      <c r="Q831" s="188"/>
      <c r="R831" s="34"/>
      <c r="S831" s="34"/>
      <c r="T831" s="304"/>
      <c r="U831" s="34"/>
      <c r="V831" s="34"/>
      <c r="W831" s="34"/>
      <c r="X831" s="34"/>
      <c r="Y831" s="105"/>
      <c r="Z831" s="105"/>
    </row>
    <row r="832" spans="1:26" ht="12.75">
      <c r="A832" s="309"/>
      <c r="B832" s="309"/>
      <c r="C832" s="34"/>
      <c r="D832" s="362"/>
      <c r="E832" s="34"/>
      <c r="F832" s="34"/>
      <c r="G832" s="35"/>
      <c r="H832" s="35"/>
      <c r="I832" s="34"/>
      <c r="J832" s="34"/>
      <c r="K832" s="65"/>
      <c r="L832" s="34"/>
      <c r="M832" s="34"/>
      <c r="N832" s="34"/>
      <c r="O832" s="34"/>
      <c r="P832" s="188"/>
      <c r="Q832" s="188"/>
      <c r="R832" s="34"/>
      <c r="S832" s="34"/>
      <c r="T832" s="304"/>
      <c r="U832" s="34"/>
      <c r="V832" s="34"/>
      <c r="W832" s="34"/>
      <c r="X832" s="34"/>
      <c r="Y832" s="105"/>
      <c r="Z832" s="105"/>
    </row>
    <row r="833" spans="1:26" ht="12.75">
      <c r="A833" s="309"/>
      <c r="B833" s="309"/>
      <c r="C833" s="34"/>
      <c r="D833" s="362"/>
      <c r="E833" s="34"/>
      <c r="F833" s="34"/>
      <c r="G833" s="35"/>
      <c r="H833" s="35"/>
      <c r="I833" s="34"/>
      <c r="J833" s="34"/>
      <c r="K833" s="65"/>
      <c r="L833" s="34"/>
      <c r="M833" s="34"/>
      <c r="N833" s="34"/>
      <c r="O833" s="34"/>
      <c r="P833" s="188"/>
      <c r="Q833" s="188"/>
      <c r="R833" s="34"/>
      <c r="S833" s="34"/>
      <c r="T833" s="304"/>
      <c r="U833" s="34"/>
      <c r="V833" s="34"/>
      <c r="W833" s="34"/>
      <c r="X833" s="34"/>
      <c r="Y833" s="105"/>
      <c r="Z833" s="105"/>
    </row>
    <row r="834" spans="1:26" ht="12.75">
      <c r="A834" s="309"/>
      <c r="B834" s="309"/>
      <c r="C834" s="34"/>
      <c r="D834" s="362"/>
      <c r="E834" s="34"/>
      <c r="F834" s="34"/>
      <c r="G834" s="35"/>
      <c r="H834" s="35"/>
      <c r="I834" s="34"/>
      <c r="J834" s="34"/>
      <c r="K834" s="65"/>
      <c r="L834" s="34"/>
      <c r="M834" s="34"/>
      <c r="N834" s="34"/>
      <c r="O834" s="34"/>
      <c r="P834" s="188"/>
      <c r="Q834" s="188"/>
      <c r="R834" s="34"/>
      <c r="S834" s="34"/>
      <c r="T834" s="304"/>
      <c r="U834" s="34"/>
      <c r="V834" s="34"/>
      <c r="W834" s="34"/>
      <c r="X834" s="34"/>
      <c r="Y834" s="105"/>
      <c r="Z834" s="105"/>
    </row>
    <row r="835" spans="1:26" ht="12.75">
      <c r="A835" s="309"/>
      <c r="B835" s="309"/>
      <c r="C835" s="34"/>
      <c r="D835" s="362"/>
      <c r="E835" s="34"/>
      <c r="F835" s="34"/>
      <c r="G835" s="35"/>
      <c r="H835" s="35"/>
      <c r="I835" s="34"/>
      <c r="J835" s="34"/>
      <c r="K835" s="65"/>
      <c r="L835" s="34"/>
      <c r="M835" s="34"/>
      <c r="N835" s="34"/>
      <c r="O835" s="34"/>
      <c r="P835" s="188"/>
      <c r="Q835" s="188"/>
      <c r="R835" s="34"/>
      <c r="S835" s="34"/>
      <c r="T835" s="304"/>
      <c r="U835" s="34"/>
      <c r="V835" s="34"/>
      <c r="W835" s="34"/>
      <c r="X835" s="34"/>
      <c r="Y835" s="105"/>
      <c r="Z835" s="105"/>
    </row>
    <row r="836" spans="1:26" ht="12.75">
      <c r="A836" s="309"/>
      <c r="B836" s="309"/>
      <c r="C836" s="34"/>
      <c r="D836" s="362"/>
      <c r="E836" s="34"/>
      <c r="F836" s="34"/>
      <c r="G836" s="35"/>
      <c r="H836" s="35"/>
      <c r="I836" s="34"/>
      <c r="J836" s="34"/>
      <c r="K836" s="65"/>
      <c r="L836" s="34"/>
      <c r="M836" s="34"/>
      <c r="N836" s="34"/>
      <c r="O836" s="34"/>
      <c r="P836" s="188"/>
      <c r="Q836" s="188"/>
      <c r="R836" s="34"/>
      <c r="S836" s="34"/>
      <c r="T836" s="304"/>
      <c r="U836" s="34"/>
      <c r="V836" s="34"/>
      <c r="W836" s="34"/>
      <c r="X836" s="34"/>
      <c r="Y836" s="105"/>
      <c r="Z836" s="105"/>
    </row>
    <row r="837" spans="1:26" ht="12.75">
      <c r="A837" s="309"/>
      <c r="B837" s="309"/>
      <c r="C837" s="34"/>
      <c r="D837" s="362"/>
      <c r="E837" s="34"/>
      <c r="F837" s="34"/>
      <c r="G837" s="35"/>
      <c r="H837" s="35"/>
      <c r="I837" s="34"/>
      <c r="J837" s="34"/>
      <c r="K837" s="65"/>
      <c r="L837" s="34"/>
      <c r="M837" s="34"/>
      <c r="N837" s="34"/>
      <c r="O837" s="34"/>
      <c r="P837" s="188"/>
      <c r="Q837" s="188"/>
      <c r="R837" s="34"/>
      <c r="S837" s="34"/>
      <c r="T837" s="304"/>
      <c r="U837" s="34"/>
      <c r="V837" s="34"/>
      <c r="W837" s="34"/>
      <c r="X837" s="34"/>
      <c r="Y837" s="105"/>
      <c r="Z837" s="105"/>
    </row>
    <row r="838" spans="1:26" ht="12.75">
      <c r="A838" s="309"/>
      <c r="B838" s="309"/>
      <c r="C838" s="34"/>
      <c r="D838" s="362"/>
      <c r="E838" s="34"/>
      <c r="F838" s="34"/>
      <c r="G838" s="35"/>
      <c r="H838" s="35"/>
      <c r="I838" s="34"/>
      <c r="J838" s="34"/>
      <c r="K838" s="65"/>
      <c r="L838" s="34"/>
      <c r="M838" s="34"/>
      <c r="N838" s="34"/>
      <c r="O838" s="34"/>
      <c r="P838" s="188"/>
      <c r="Q838" s="188"/>
      <c r="R838" s="34"/>
      <c r="S838" s="34"/>
      <c r="T838" s="304"/>
      <c r="U838" s="34"/>
      <c r="V838" s="34"/>
      <c r="W838" s="34"/>
      <c r="X838" s="34"/>
      <c r="Y838" s="105"/>
      <c r="Z838" s="105"/>
    </row>
    <row r="839" spans="1:26" ht="12.75">
      <c r="A839" s="309"/>
      <c r="B839" s="309"/>
      <c r="C839" s="34"/>
      <c r="D839" s="362"/>
      <c r="E839" s="34"/>
      <c r="F839" s="34"/>
      <c r="G839" s="35"/>
      <c r="H839" s="35"/>
      <c r="I839" s="34"/>
      <c r="J839" s="34"/>
      <c r="K839" s="65"/>
      <c r="L839" s="34"/>
      <c r="M839" s="34"/>
      <c r="N839" s="34"/>
      <c r="O839" s="34"/>
      <c r="P839" s="188"/>
      <c r="Q839" s="188"/>
      <c r="R839" s="34"/>
      <c r="S839" s="34"/>
      <c r="T839" s="304"/>
      <c r="U839" s="34"/>
      <c r="V839" s="34"/>
      <c r="W839" s="34"/>
      <c r="X839" s="34"/>
      <c r="Y839" s="105"/>
      <c r="Z839" s="105"/>
    </row>
    <row r="840" spans="1:26" ht="12.75">
      <c r="A840" s="309"/>
      <c r="B840" s="309"/>
      <c r="C840" s="34"/>
      <c r="D840" s="362"/>
      <c r="E840" s="34"/>
      <c r="F840" s="34"/>
      <c r="G840" s="35"/>
      <c r="H840" s="35"/>
      <c r="I840" s="34"/>
      <c r="J840" s="34"/>
      <c r="K840" s="65"/>
      <c r="L840" s="34"/>
      <c r="M840" s="34"/>
      <c r="N840" s="34"/>
      <c r="O840" s="34"/>
      <c r="P840" s="188"/>
      <c r="Q840" s="188"/>
      <c r="R840" s="34"/>
      <c r="S840" s="34"/>
      <c r="T840" s="304"/>
      <c r="U840" s="34"/>
      <c r="V840" s="34"/>
      <c r="W840" s="34"/>
      <c r="X840" s="34"/>
      <c r="Y840" s="105"/>
      <c r="Z840" s="105"/>
    </row>
    <row r="841" spans="1:26" ht="12.75">
      <c r="A841" s="309"/>
      <c r="B841" s="309"/>
      <c r="C841" s="34"/>
      <c r="D841" s="362"/>
      <c r="E841" s="34"/>
      <c r="F841" s="34"/>
      <c r="G841" s="35"/>
      <c r="H841" s="35"/>
      <c r="I841" s="34"/>
      <c r="J841" s="34"/>
      <c r="K841" s="65"/>
      <c r="L841" s="34"/>
      <c r="M841" s="34"/>
      <c r="N841" s="34"/>
      <c r="O841" s="34"/>
      <c r="P841" s="188"/>
      <c r="Q841" s="188"/>
      <c r="R841" s="34"/>
      <c r="S841" s="34"/>
      <c r="T841" s="304"/>
      <c r="U841" s="34"/>
      <c r="V841" s="34"/>
      <c r="W841" s="34"/>
      <c r="X841" s="34"/>
      <c r="Y841" s="105"/>
      <c r="Z841" s="105"/>
    </row>
    <row r="842" spans="1:26" ht="12.75">
      <c r="A842" s="309"/>
      <c r="B842" s="309"/>
      <c r="C842" s="34"/>
      <c r="D842" s="362"/>
      <c r="E842" s="34"/>
      <c r="F842" s="34"/>
      <c r="G842" s="35"/>
      <c r="H842" s="35"/>
      <c r="I842" s="34"/>
      <c r="J842" s="34"/>
      <c r="K842" s="65"/>
      <c r="L842" s="34"/>
      <c r="M842" s="34"/>
      <c r="N842" s="34"/>
      <c r="O842" s="34"/>
      <c r="P842" s="188"/>
      <c r="Q842" s="188"/>
      <c r="R842" s="34"/>
      <c r="S842" s="34"/>
      <c r="T842" s="304"/>
      <c r="U842" s="34"/>
      <c r="V842" s="34"/>
      <c r="W842" s="34"/>
      <c r="X842" s="34"/>
      <c r="Y842" s="105"/>
      <c r="Z842" s="105"/>
    </row>
    <row r="843" spans="1:26" ht="12.75">
      <c r="A843" s="309"/>
      <c r="B843" s="309"/>
      <c r="C843" s="34"/>
      <c r="D843" s="362"/>
      <c r="E843" s="34"/>
      <c r="F843" s="34"/>
      <c r="G843" s="35"/>
      <c r="H843" s="35"/>
      <c r="I843" s="34"/>
      <c r="J843" s="34"/>
      <c r="K843" s="65"/>
      <c r="L843" s="34"/>
      <c r="M843" s="34"/>
      <c r="N843" s="34"/>
      <c r="O843" s="34"/>
      <c r="P843" s="188"/>
      <c r="Q843" s="188"/>
      <c r="R843" s="34"/>
      <c r="S843" s="34"/>
      <c r="T843" s="304"/>
      <c r="U843" s="34"/>
      <c r="V843" s="34"/>
      <c r="W843" s="34"/>
      <c r="X843" s="34"/>
      <c r="Y843" s="105"/>
      <c r="Z843" s="105"/>
    </row>
    <row r="844" spans="1:26" ht="12.75">
      <c r="A844" s="309"/>
      <c r="B844" s="309"/>
      <c r="C844" s="34"/>
      <c r="D844" s="362"/>
      <c r="E844" s="34"/>
      <c r="F844" s="34"/>
      <c r="G844" s="35"/>
      <c r="H844" s="35"/>
      <c r="I844" s="34"/>
      <c r="J844" s="34"/>
      <c r="K844" s="65"/>
      <c r="L844" s="34"/>
      <c r="M844" s="34"/>
      <c r="N844" s="34"/>
      <c r="O844" s="34"/>
      <c r="P844" s="188"/>
      <c r="Q844" s="188"/>
      <c r="R844" s="34"/>
      <c r="S844" s="34"/>
      <c r="T844" s="304"/>
      <c r="U844" s="34"/>
      <c r="V844" s="34"/>
      <c r="W844" s="34"/>
      <c r="X844" s="34"/>
      <c r="Y844" s="105"/>
      <c r="Z844" s="105"/>
    </row>
    <row r="845" spans="1:26" ht="12.75">
      <c r="A845" s="309"/>
      <c r="B845" s="309"/>
      <c r="C845" s="34"/>
      <c r="D845" s="362"/>
      <c r="E845" s="34"/>
      <c r="F845" s="34"/>
      <c r="G845" s="35"/>
      <c r="H845" s="35"/>
      <c r="I845" s="34"/>
      <c r="J845" s="34"/>
      <c r="K845" s="65"/>
      <c r="L845" s="34"/>
      <c r="M845" s="34"/>
      <c r="N845" s="34"/>
      <c r="O845" s="34"/>
      <c r="P845" s="188"/>
      <c r="Q845" s="188"/>
      <c r="R845" s="34"/>
      <c r="S845" s="34"/>
      <c r="T845" s="304"/>
      <c r="U845" s="34"/>
      <c r="V845" s="34"/>
      <c r="W845" s="34"/>
      <c r="X845" s="34"/>
      <c r="Y845" s="105"/>
      <c r="Z845" s="105"/>
    </row>
    <row r="846" spans="1:26" ht="12.75">
      <c r="A846" s="309"/>
      <c r="B846" s="309"/>
      <c r="C846" s="34"/>
      <c r="D846" s="362"/>
      <c r="E846" s="34"/>
      <c r="F846" s="34"/>
      <c r="G846" s="35"/>
      <c r="H846" s="35"/>
      <c r="I846" s="34"/>
      <c r="J846" s="34"/>
      <c r="K846" s="65"/>
      <c r="L846" s="34"/>
      <c r="M846" s="34"/>
      <c r="N846" s="34"/>
      <c r="O846" s="34"/>
      <c r="P846" s="188"/>
      <c r="Q846" s="188"/>
      <c r="R846" s="34"/>
      <c r="S846" s="34"/>
      <c r="T846" s="304"/>
      <c r="U846" s="34"/>
      <c r="V846" s="34"/>
      <c r="W846" s="34"/>
      <c r="X846" s="34"/>
      <c r="Y846" s="105"/>
      <c r="Z846" s="105"/>
    </row>
    <row r="847" spans="1:26" ht="12.75">
      <c r="A847" s="309"/>
      <c r="B847" s="309"/>
      <c r="C847" s="34"/>
      <c r="D847" s="362"/>
      <c r="E847" s="34"/>
      <c r="F847" s="34"/>
      <c r="G847" s="35"/>
      <c r="H847" s="35"/>
      <c r="I847" s="34"/>
      <c r="J847" s="34"/>
      <c r="K847" s="65"/>
      <c r="L847" s="34"/>
      <c r="M847" s="34"/>
      <c r="N847" s="34"/>
      <c r="O847" s="34"/>
      <c r="P847" s="188"/>
      <c r="Q847" s="188"/>
      <c r="R847" s="34"/>
      <c r="S847" s="34"/>
      <c r="T847" s="304"/>
      <c r="U847" s="34"/>
      <c r="V847" s="34"/>
      <c r="W847" s="34"/>
      <c r="X847" s="34"/>
      <c r="Y847" s="105"/>
      <c r="Z847" s="105"/>
    </row>
    <row r="848" spans="1:26" ht="12.75">
      <c r="A848" s="309"/>
      <c r="B848" s="309"/>
      <c r="C848" s="34"/>
      <c r="D848" s="362"/>
      <c r="E848" s="34"/>
      <c r="F848" s="34"/>
      <c r="G848" s="35"/>
      <c r="H848" s="35"/>
      <c r="I848" s="34"/>
      <c r="J848" s="34"/>
      <c r="K848" s="65"/>
      <c r="L848" s="34"/>
      <c r="M848" s="34"/>
      <c r="N848" s="34"/>
      <c r="O848" s="34"/>
      <c r="P848" s="188"/>
      <c r="Q848" s="188"/>
      <c r="R848" s="34"/>
      <c r="S848" s="34"/>
      <c r="T848" s="304"/>
      <c r="U848" s="34"/>
      <c r="V848" s="34"/>
      <c r="W848" s="34"/>
      <c r="X848" s="34"/>
      <c r="Y848" s="105"/>
      <c r="Z848" s="105"/>
    </row>
    <row r="849" spans="1:26" ht="12.75">
      <c r="A849" s="309"/>
      <c r="B849" s="309"/>
      <c r="C849" s="34"/>
      <c r="D849" s="362"/>
      <c r="E849" s="34"/>
      <c r="F849" s="34"/>
      <c r="G849" s="35"/>
      <c r="H849" s="35"/>
      <c r="I849" s="34"/>
      <c r="J849" s="34"/>
      <c r="K849" s="65"/>
      <c r="L849" s="34"/>
      <c r="M849" s="34"/>
      <c r="N849" s="34"/>
      <c r="O849" s="34"/>
      <c r="P849" s="188"/>
      <c r="Q849" s="188"/>
      <c r="R849" s="34"/>
      <c r="S849" s="34"/>
      <c r="T849" s="304"/>
      <c r="U849" s="34"/>
      <c r="V849" s="34"/>
      <c r="W849" s="34"/>
      <c r="X849" s="34"/>
      <c r="Y849" s="105"/>
      <c r="Z849" s="105"/>
    </row>
    <row r="850" spans="1:26" ht="12.75">
      <c r="A850" s="309"/>
      <c r="B850" s="309"/>
      <c r="C850" s="34"/>
      <c r="D850" s="362"/>
      <c r="E850" s="34"/>
      <c r="F850" s="34"/>
      <c r="G850" s="35"/>
      <c r="H850" s="35"/>
      <c r="I850" s="34"/>
      <c r="J850" s="34"/>
      <c r="K850" s="65"/>
      <c r="L850" s="34"/>
      <c r="M850" s="34"/>
      <c r="N850" s="34"/>
      <c r="O850" s="34"/>
      <c r="P850" s="188"/>
      <c r="Q850" s="188"/>
      <c r="R850" s="34"/>
      <c r="S850" s="34"/>
      <c r="T850" s="304"/>
      <c r="U850" s="34"/>
      <c r="V850" s="34"/>
      <c r="W850" s="34"/>
      <c r="X850" s="34"/>
      <c r="Y850" s="105"/>
      <c r="Z850" s="105"/>
    </row>
    <row r="851" spans="1:26" ht="12.75">
      <c r="A851" s="309"/>
      <c r="B851" s="309"/>
      <c r="C851" s="34"/>
      <c r="D851" s="362"/>
      <c r="E851" s="34"/>
      <c r="F851" s="34"/>
      <c r="G851" s="35"/>
      <c r="H851" s="35"/>
      <c r="I851" s="34"/>
      <c r="J851" s="34"/>
      <c r="K851" s="65"/>
      <c r="L851" s="34"/>
      <c r="M851" s="34"/>
      <c r="N851" s="34"/>
      <c r="O851" s="34"/>
      <c r="P851" s="188"/>
      <c r="Q851" s="188"/>
      <c r="R851" s="34"/>
      <c r="S851" s="34"/>
      <c r="T851" s="304"/>
      <c r="U851" s="34"/>
      <c r="V851" s="34"/>
      <c r="W851" s="34"/>
      <c r="X851" s="34"/>
      <c r="Y851" s="105"/>
      <c r="Z851" s="105"/>
    </row>
    <row r="852" spans="1:26" ht="12.75">
      <c r="A852" s="309"/>
      <c r="B852" s="309"/>
      <c r="C852" s="34"/>
      <c r="D852" s="362"/>
      <c r="E852" s="34"/>
      <c r="F852" s="34"/>
      <c r="G852" s="35"/>
      <c r="H852" s="35"/>
      <c r="I852" s="34"/>
      <c r="J852" s="34"/>
      <c r="K852" s="65"/>
      <c r="L852" s="34"/>
      <c r="M852" s="34"/>
      <c r="N852" s="34"/>
      <c r="O852" s="34"/>
      <c r="P852" s="188"/>
      <c r="Q852" s="188"/>
      <c r="R852" s="34"/>
      <c r="S852" s="34"/>
      <c r="T852" s="304"/>
      <c r="U852" s="34"/>
      <c r="V852" s="34"/>
      <c r="W852" s="34"/>
      <c r="X852" s="34"/>
      <c r="Y852" s="105"/>
      <c r="Z852" s="105"/>
    </row>
    <row r="853" spans="1:26" ht="12.75">
      <c r="A853" s="309"/>
      <c r="B853" s="309"/>
      <c r="C853" s="34"/>
      <c r="D853" s="362"/>
      <c r="E853" s="34"/>
      <c r="F853" s="34"/>
      <c r="G853" s="35"/>
      <c r="H853" s="35"/>
      <c r="I853" s="34"/>
      <c r="J853" s="34"/>
      <c r="K853" s="65"/>
      <c r="L853" s="34"/>
      <c r="M853" s="34"/>
      <c r="N853" s="34"/>
      <c r="O853" s="34"/>
      <c r="P853" s="188"/>
      <c r="Q853" s="188"/>
      <c r="R853" s="34"/>
      <c r="S853" s="34"/>
      <c r="T853" s="304"/>
      <c r="U853" s="34"/>
      <c r="V853" s="34"/>
      <c r="W853" s="34"/>
      <c r="X853" s="34"/>
      <c r="Y853" s="105"/>
      <c r="Z853" s="105"/>
    </row>
    <row r="854" spans="1:26" ht="12.75">
      <c r="A854" s="309"/>
      <c r="B854" s="309"/>
      <c r="C854" s="34"/>
      <c r="D854" s="362"/>
      <c r="E854" s="34"/>
      <c r="F854" s="34"/>
      <c r="G854" s="35"/>
      <c r="H854" s="35"/>
      <c r="I854" s="34"/>
      <c r="J854" s="34"/>
      <c r="K854" s="65"/>
      <c r="L854" s="34"/>
      <c r="M854" s="34"/>
      <c r="N854" s="34"/>
      <c r="O854" s="34"/>
      <c r="P854" s="188"/>
      <c r="Q854" s="188"/>
      <c r="R854" s="34"/>
      <c r="S854" s="34"/>
      <c r="T854" s="304"/>
      <c r="U854" s="34"/>
      <c r="V854" s="34"/>
      <c r="W854" s="34"/>
      <c r="X854" s="34"/>
      <c r="Y854" s="105"/>
      <c r="Z854" s="105"/>
    </row>
    <row r="855" spans="1:26" ht="12.75">
      <c r="A855" s="309"/>
      <c r="B855" s="309"/>
      <c r="C855" s="34"/>
      <c r="D855" s="362"/>
      <c r="E855" s="34"/>
      <c r="F855" s="34"/>
      <c r="G855" s="35"/>
      <c r="H855" s="35"/>
      <c r="I855" s="34"/>
      <c r="J855" s="34"/>
      <c r="K855" s="65"/>
      <c r="L855" s="34"/>
      <c r="M855" s="34"/>
      <c r="N855" s="34"/>
      <c r="O855" s="34"/>
      <c r="P855" s="188"/>
      <c r="Q855" s="188"/>
      <c r="R855" s="34"/>
      <c r="S855" s="34"/>
      <c r="T855" s="304"/>
      <c r="U855" s="34"/>
      <c r="V855" s="34"/>
      <c r="W855" s="34"/>
      <c r="X855" s="34"/>
      <c r="Y855" s="105"/>
      <c r="Z855" s="105"/>
    </row>
    <row r="856" spans="1:26" ht="12.75">
      <c r="A856" s="309"/>
      <c r="B856" s="309"/>
      <c r="C856" s="34"/>
      <c r="D856" s="362"/>
      <c r="E856" s="34"/>
      <c r="F856" s="34"/>
      <c r="G856" s="35"/>
      <c r="H856" s="35"/>
      <c r="I856" s="34"/>
      <c r="J856" s="34"/>
      <c r="K856" s="65"/>
      <c r="L856" s="34"/>
      <c r="M856" s="34"/>
      <c r="N856" s="34"/>
      <c r="O856" s="34"/>
      <c r="P856" s="188"/>
      <c r="Q856" s="188"/>
      <c r="R856" s="34"/>
      <c r="S856" s="34"/>
      <c r="T856" s="304"/>
      <c r="U856" s="34"/>
      <c r="V856" s="34"/>
      <c r="W856" s="34"/>
      <c r="X856" s="34"/>
      <c r="Y856" s="105"/>
      <c r="Z856" s="105"/>
    </row>
    <row r="857" spans="1:26" ht="12.75">
      <c r="A857" s="309"/>
      <c r="B857" s="309"/>
      <c r="C857" s="34"/>
      <c r="D857" s="362"/>
      <c r="E857" s="34"/>
      <c r="F857" s="34"/>
      <c r="G857" s="35"/>
      <c r="H857" s="35"/>
      <c r="I857" s="34"/>
      <c r="J857" s="34"/>
      <c r="K857" s="65"/>
      <c r="L857" s="34"/>
      <c r="M857" s="34"/>
      <c r="N857" s="34"/>
      <c r="O857" s="34"/>
      <c r="P857" s="188"/>
      <c r="Q857" s="188"/>
      <c r="R857" s="34"/>
      <c r="S857" s="34"/>
      <c r="T857" s="304"/>
      <c r="U857" s="34"/>
      <c r="V857" s="34"/>
      <c r="W857" s="34"/>
      <c r="X857" s="34"/>
      <c r="Y857" s="105"/>
      <c r="Z857" s="105"/>
    </row>
    <row r="858" spans="1:26" ht="12.75">
      <c r="A858" s="309"/>
      <c r="B858" s="309"/>
      <c r="C858" s="34"/>
      <c r="D858" s="362"/>
      <c r="E858" s="34"/>
      <c r="F858" s="34"/>
      <c r="G858" s="35"/>
      <c r="H858" s="35"/>
      <c r="I858" s="34"/>
      <c r="J858" s="34"/>
      <c r="K858" s="65"/>
      <c r="L858" s="34"/>
      <c r="M858" s="34"/>
      <c r="N858" s="34"/>
      <c r="O858" s="34"/>
      <c r="P858" s="188"/>
      <c r="Q858" s="188"/>
      <c r="R858" s="34"/>
      <c r="S858" s="34"/>
      <c r="T858" s="304"/>
      <c r="U858" s="34"/>
      <c r="V858" s="34"/>
      <c r="W858" s="34"/>
      <c r="X858" s="34"/>
      <c r="Y858" s="105"/>
      <c r="Z858" s="105"/>
    </row>
    <row r="859" spans="1:26" ht="12.75">
      <c r="A859" s="309"/>
      <c r="B859" s="309"/>
      <c r="C859" s="34"/>
      <c r="D859" s="362"/>
      <c r="E859" s="34"/>
      <c r="F859" s="34"/>
      <c r="G859" s="35"/>
      <c r="H859" s="35"/>
      <c r="I859" s="34"/>
      <c r="J859" s="34"/>
      <c r="K859" s="65"/>
      <c r="L859" s="34"/>
      <c r="M859" s="34"/>
      <c r="N859" s="34"/>
      <c r="O859" s="34"/>
      <c r="P859" s="188"/>
      <c r="Q859" s="188"/>
      <c r="R859" s="34"/>
      <c r="S859" s="34"/>
      <c r="T859" s="304"/>
      <c r="U859" s="34"/>
      <c r="V859" s="34"/>
      <c r="W859" s="34"/>
      <c r="X859" s="34"/>
      <c r="Y859" s="105"/>
      <c r="Z859" s="105"/>
    </row>
    <row r="860" spans="1:26" ht="12.75">
      <c r="A860" s="309"/>
      <c r="B860" s="309"/>
      <c r="C860" s="34"/>
      <c r="D860" s="362"/>
      <c r="E860" s="34"/>
      <c r="F860" s="34"/>
      <c r="G860" s="35"/>
      <c r="H860" s="35"/>
      <c r="I860" s="34"/>
      <c r="J860" s="34"/>
      <c r="K860" s="65"/>
      <c r="L860" s="34"/>
      <c r="M860" s="34"/>
      <c r="N860" s="34"/>
      <c r="O860" s="34"/>
      <c r="P860" s="188"/>
      <c r="Q860" s="188"/>
      <c r="R860" s="34"/>
      <c r="S860" s="34"/>
      <c r="T860" s="304"/>
      <c r="U860" s="34"/>
      <c r="V860" s="34"/>
      <c r="W860" s="34"/>
      <c r="X860" s="34"/>
      <c r="Y860" s="105"/>
      <c r="Z860" s="105"/>
    </row>
    <row r="861" spans="1:26" ht="12.75">
      <c r="A861" s="309"/>
      <c r="B861" s="309"/>
      <c r="C861" s="34"/>
      <c r="D861" s="362"/>
      <c r="E861" s="34"/>
      <c r="F861" s="34"/>
      <c r="G861" s="35"/>
      <c r="H861" s="35"/>
      <c r="I861" s="34"/>
      <c r="J861" s="34"/>
      <c r="K861" s="65"/>
      <c r="L861" s="34"/>
      <c r="M861" s="34"/>
      <c r="N861" s="34"/>
      <c r="O861" s="34"/>
      <c r="P861" s="188"/>
      <c r="Q861" s="188"/>
      <c r="R861" s="34"/>
      <c r="S861" s="34"/>
      <c r="T861" s="304"/>
      <c r="U861" s="34"/>
      <c r="V861" s="34"/>
      <c r="W861" s="34"/>
      <c r="X861" s="34"/>
      <c r="Y861" s="105"/>
      <c r="Z861" s="105"/>
    </row>
    <row r="862" spans="1:26" ht="12.75">
      <c r="A862" s="309"/>
      <c r="B862" s="309"/>
      <c r="C862" s="34"/>
      <c r="D862" s="362"/>
      <c r="E862" s="34"/>
      <c r="F862" s="34"/>
      <c r="G862" s="35"/>
      <c r="H862" s="35"/>
      <c r="I862" s="34"/>
      <c r="J862" s="34"/>
      <c r="K862" s="65"/>
      <c r="L862" s="34"/>
      <c r="M862" s="34"/>
      <c r="N862" s="34"/>
      <c r="O862" s="34"/>
      <c r="P862" s="188"/>
      <c r="Q862" s="188"/>
      <c r="R862" s="34"/>
      <c r="S862" s="34"/>
      <c r="T862" s="304"/>
      <c r="U862" s="34"/>
      <c r="V862" s="34"/>
      <c r="W862" s="34"/>
      <c r="X862" s="34"/>
      <c r="Y862" s="105"/>
      <c r="Z862" s="105"/>
    </row>
    <row r="863" spans="1:26" ht="12.75">
      <c r="A863" s="309"/>
      <c r="B863" s="309"/>
      <c r="C863" s="34"/>
      <c r="D863" s="362"/>
      <c r="E863" s="34"/>
      <c r="F863" s="34"/>
      <c r="G863" s="35"/>
      <c r="H863" s="35"/>
      <c r="I863" s="34"/>
      <c r="J863" s="34"/>
      <c r="K863" s="65"/>
      <c r="L863" s="34"/>
      <c r="M863" s="34"/>
      <c r="N863" s="34"/>
      <c r="O863" s="34"/>
      <c r="P863" s="188"/>
      <c r="Q863" s="188"/>
      <c r="R863" s="34"/>
      <c r="S863" s="34"/>
      <c r="T863" s="304"/>
      <c r="U863" s="34"/>
      <c r="V863" s="34"/>
      <c r="W863" s="34"/>
      <c r="X863" s="34"/>
      <c r="Y863" s="105"/>
      <c r="Z863" s="105"/>
    </row>
    <row r="864" spans="1:26" ht="12.75">
      <c r="A864" s="309"/>
      <c r="B864" s="309"/>
      <c r="C864" s="34"/>
      <c r="D864" s="362"/>
      <c r="E864" s="34"/>
      <c r="F864" s="34"/>
      <c r="G864" s="35"/>
      <c r="H864" s="35"/>
      <c r="I864" s="34"/>
      <c r="J864" s="34"/>
      <c r="K864" s="65"/>
      <c r="L864" s="34"/>
      <c r="M864" s="34"/>
      <c r="N864" s="34"/>
      <c r="O864" s="34"/>
      <c r="P864" s="188"/>
      <c r="Q864" s="188"/>
      <c r="R864" s="34"/>
      <c r="S864" s="34"/>
      <c r="T864" s="304"/>
      <c r="U864" s="34"/>
      <c r="V864" s="34"/>
      <c r="W864" s="34"/>
      <c r="X864" s="34"/>
      <c r="Y864" s="105"/>
      <c r="Z864" s="105"/>
    </row>
  </sheetData>
  <autoFilter ref="A1:Z93" xr:uid="{00000000-0009-0000-0000-00000F000000}">
    <filterColumn colId="4">
      <filters>
        <filter val="APPROVAL"/>
        <filter val="Termination"/>
      </filters>
    </filterColumn>
    <filterColumn colId="5">
      <filters>
        <filter val="ACCREDITATION"/>
        <filter val="ACU"/>
        <filter val="ACU-I"/>
        <filter val="CONCEPT PROTO"/>
        <filter val="GALING"/>
        <filter val="IBED II"/>
        <filter val="ISP"/>
        <filter val="LEGAL"/>
      </filters>
    </filterColumn>
  </autoFilter>
  <customSheetViews>
    <customSheetView guid="{54124929-EE60-443F-B392-D879CA063A10}" filter="1" showAutoFilter="1">
      <pageMargins left="0.7" right="0.7" top="0.75" bottom="0.75" header="0.3" footer="0.3"/>
      <autoFilter ref="A1:Q84" xr:uid="{6EC9FED2-4D9F-40BF-9FBC-BD457C8A8DC9}"/>
    </customSheetView>
  </customSheetViews>
  <dataValidations count="2">
    <dataValidation type="list" allowBlank="1" showErrorMessage="1" sqref="C2:C3" xr:uid="{00000000-0002-0000-0F00-000000000000}">
      <formula1>"YES,NO,N/A"</formula1>
    </dataValidation>
    <dataValidation type="list" allowBlank="1" showErrorMessage="1" sqref="U2:U263" xr:uid="{00000000-0002-0000-0F00-000001000000}">
      <formula1>"N/A,FEMALE,MALE"</formula1>
    </dataValidation>
  </dataValidations>
  <hyperlinks>
    <hyperlink ref="D2" r:id="rId1" xr:uid="{00000000-0004-0000-0F00-000000000000}"/>
    <hyperlink ref="D3" r:id="rId2" xr:uid="{00000000-0004-0000-0F00-000001000000}"/>
    <hyperlink ref="D4" r:id="rId3" xr:uid="{00000000-0004-0000-0F00-000002000000}"/>
    <hyperlink ref="D5" r:id="rId4" xr:uid="{00000000-0004-0000-0F00-000003000000}"/>
    <hyperlink ref="D7" r:id="rId5" xr:uid="{00000000-0004-0000-0F00-000004000000}"/>
    <hyperlink ref="D8" r:id="rId6" xr:uid="{00000000-0004-0000-0F00-000005000000}"/>
    <hyperlink ref="D9" r:id="rId7" xr:uid="{00000000-0004-0000-0F00-000006000000}"/>
    <hyperlink ref="D10" r:id="rId8" xr:uid="{00000000-0004-0000-0F00-000007000000}"/>
    <hyperlink ref="D11" r:id="rId9" xr:uid="{00000000-0004-0000-0F00-000008000000}"/>
    <hyperlink ref="D12" r:id="rId10" xr:uid="{00000000-0004-0000-0F00-000009000000}"/>
    <hyperlink ref="D13" r:id="rId11" xr:uid="{00000000-0004-0000-0F00-00000A000000}"/>
    <hyperlink ref="D14" r:id="rId12" xr:uid="{00000000-0004-0000-0F00-00000B000000}"/>
    <hyperlink ref="D15" r:id="rId13" xr:uid="{00000000-0004-0000-0F00-00000C000000}"/>
    <hyperlink ref="D16" r:id="rId14" xr:uid="{00000000-0004-0000-0F00-00000D000000}"/>
    <hyperlink ref="D17" r:id="rId15" xr:uid="{00000000-0004-0000-0F00-00000E000000}"/>
    <hyperlink ref="D18" r:id="rId16" xr:uid="{00000000-0004-0000-0F00-00000F000000}"/>
    <hyperlink ref="D19" r:id="rId17" xr:uid="{00000000-0004-0000-0F00-000010000000}"/>
    <hyperlink ref="D20" r:id="rId18" xr:uid="{00000000-0004-0000-0F00-000011000000}"/>
    <hyperlink ref="D21" r:id="rId19" xr:uid="{00000000-0004-0000-0F00-000012000000}"/>
    <hyperlink ref="D22" r:id="rId20" xr:uid="{00000000-0004-0000-0F00-000013000000}"/>
    <hyperlink ref="D23" r:id="rId21" xr:uid="{00000000-0004-0000-0F00-000014000000}"/>
    <hyperlink ref="D24" r:id="rId22" xr:uid="{00000000-0004-0000-0F00-000015000000}"/>
    <hyperlink ref="D25" r:id="rId23" xr:uid="{00000000-0004-0000-0F00-000016000000}"/>
    <hyperlink ref="D26" r:id="rId24" xr:uid="{00000000-0004-0000-0F00-000017000000}"/>
    <hyperlink ref="D27" r:id="rId25" xr:uid="{00000000-0004-0000-0F00-000018000000}"/>
    <hyperlink ref="D28" r:id="rId26" xr:uid="{00000000-0004-0000-0F00-000019000000}"/>
    <hyperlink ref="D29" r:id="rId27" xr:uid="{00000000-0004-0000-0F00-00001A000000}"/>
    <hyperlink ref="D30" r:id="rId28" xr:uid="{00000000-0004-0000-0F00-00001B000000}"/>
    <hyperlink ref="D31" r:id="rId29" xr:uid="{00000000-0004-0000-0F00-00001C000000}"/>
    <hyperlink ref="D32" r:id="rId30" xr:uid="{00000000-0004-0000-0F00-00001D000000}"/>
    <hyperlink ref="D33" r:id="rId31" xr:uid="{00000000-0004-0000-0F00-00001E000000}"/>
    <hyperlink ref="D34" r:id="rId32" xr:uid="{00000000-0004-0000-0F00-00001F000000}"/>
    <hyperlink ref="D35" r:id="rId33" xr:uid="{00000000-0004-0000-0F00-000020000000}"/>
    <hyperlink ref="D36" r:id="rId34" xr:uid="{00000000-0004-0000-0F00-000021000000}"/>
    <hyperlink ref="D37" r:id="rId35" xr:uid="{00000000-0004-0000-0F00-000022000000}"/>
    <hyperlink ref="D38" r:id="rId36" xr:uid="{00000000-0004-0000-0F00-000023000000}"/>
    <hyperlink ref="D39" r:id="rId37" xr:uid="{00000000-0004-0000-0F00-000024000000}"/>
    <hyperlink ref="D40" r:id="rId38" xr:uid="{00000000-0004-0000-0F00-000025000000}"/>
    <hyperlink ref="D41" r:id="rId39" xr:uid="{00000000-0004-0000-0F00-000026000000}"/>
    <hyperlink ref="D42" r:id="rId40" xr:uid="{00000000-0004-0000-0F00-000027000000}"/>
    <hyperlink ref="D43" r:id="rId41" xr:uid="{00000000-0004-0000-0F00-000028000000}"/>
    <hyperlink ref="D45" r:id="rId42" xr:uid="{00000000-0004-0000-0F00-000029000000}"/>
  </hyperlinks>
  <printOptions horizontalCentered="1" gridLines="1"/>
  <pageMargins left="0.7" right="0.7" top="0.75" bottom="0.75" header="0" footer="0"/>
  <pageSetup paperSize="9" pageOrder="overThenDown" orientation="landscape"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R122"/>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cols>
    <col min="1" max="1" width="19.140625" customWidth="1"/>
    <col min="2" max="2" width="22.42578125" customWidth="1"/>
    <col min="3" max="3" width="17.140625" customWidth="1"/>
    <col min="4" max="4" width="17.42578125" customWidth="1"/>
    <col min="5" max="5" width="39.28515625" customWidth="1"/>
    <col min="6" max="6" width="43.85546875" customWidth="1"/>
    <col min="7" max="7" width="20" customWidth="1"/>
    <col min="8" max="8" width="25.42578125" customWidth="1"/>
    <col min="11" max="11" width="57.42578125" customWidth="1"/>
    <col min="12" max="13" width="17.42578125" customWidth="1"/>
    <col min="14" max="14" width="30.85546875" customWidth="1"/>
    <col min="15" max="15" width="47.5703125" customWidth="1"/>
    <col min="17" max="17" width="18.5703125" customWidth="1"/>
  </cols>
  <sheetData>
    <row r="1" spans="1:18" ht="45" customHeight="1">
      <c r="A1" s="271" t="s">
        <v>6059</v>
      </c>
      <c r="B1" s="271" t="s">
        <v>3</v>
      </c>
      <c r="C1" s="271" t="s">
        <v>4</v>
      </c>
      <c r="D1" s="271" t="s">
        <v>5</v>
      </c>
      <c r="E1" s="271" t="s">
        <v>6</v>
      </c>
      <c r="F1" s="271" t="s">
        <v>7</v>
      </c>
      <c r="G1" s="273" t="s">
        <v>391</v>
      </c>
      <c r="H1" s="271" t="s">
        <v>1820</v>
      </c>
      <c r="I1" s="271" t="s">
        <v>1821</v>
      </c>
      <c r="J1" s="271" t="s">
        <v>1818</v>
      </c>
      <c r="K1" s="271" t="s">
        <v>1822</v>
      </c>
      <c r="L1" s="271" t="s">
        <v>5631</v>
      </c>
      <c r="M1" s="271" t="s">
        <v>5632</v>
      </c>
      <c r="N1" s="271" t="s">
        <v>5894</v>
      </c>
      <c r="O1" s="271" t="s">
        <v>5630</v>
      </c>
      <c r="P1" s="319" t="s">
        <v>5633</v>
      </c>
      <c r="Q1" s="271" t="s">
        <v>6060</v>
      </c>
      <c r="R1" s="274" t="s">
        <v>5305</v>
      </c>
    </row>
    <row r="2" spans="1:18" ht="77.25" customHeight="1">
      <c r="A2" s="61">
        <v>44682</v>
      </c>
      <c r="B2" s="6" t="s">
        <v>1823</v>
      </c>
      <c r="C2" s="9" t="s">
        <v>1830</v>
      </c>
      <c r="D2" s="111">
        <v>44588</v>
      </c>
      <c r="E2" s="22" t="s">
        <v>1825</v>
      </c>
      <c r="F2" s="6" t="s">
        <v>1826</v>
      </c>
      <c r="G2" s="13">
        <v>680240</v>
      </c>
      <c r="H2" s="6" t="s">
        <v>1827</v>
      </c>
      <c r="I2" s="9" t="s">
        <v>1828</v>
      </c>
      <c r="J2" s="9" t="s">
        <v>1824</v>
      </c>
      <c r="K2" s="22" t="s">
        <v>1829</v>
      </c>
      <c r="L2" s="53"/>
      <c r="M2" s="9" t="s">
        <v>1808</v>
      </c>
      <c r="N2" s="421" t="s">
        <v>6061</v>
      </c>
      <c r="O2" s="297" t="s">
        <v>6062</v>
      </c>
      <c r="P2" s="9" t="s">
        <v>6063</v>
      </c>
      <c r="Q2" s="9" t="s">
        <v>6064</v>
      </c>
      <c r="R2" s="52"/>
    </row>
    <row r="3" spans="1:18" ht="73.5" customHeight="1">
      <c r="A3" s="61">
        <v>44713</v>
      </c>
      <c r="B3" s="112" t="s">
        <v>61</v>
      </c>
      <c r="C3" s="9" t="s">
        <v>1831</v>
      </c>
      <c r="D3" s="113">
        <v>44614</v>
      </c>
      <c r="E3" s="22" t="s">
        <v>1832</v>
      </c>
      <c r="F3" s="6" t="s">
        <v>1826</v>
      </c>
      <c r="G3" s="13">
        <v>210000</v>
      </c>
      <c r="H3" s="6" t="s">
        <v>1827</v>
      </c>
      <c r="I3" s="9" t="s">
        <v>1828</v>
      </c>
      <c r="J3" s="9" t="s">
        <v>1824</v>
      </c>
      <c r="K3" s="22" t="s">
        <v>1833</v>
      </c>
      <c r="L3" s="53"/>
      <c r="M3" s="9" t="s">
        <v>1808</v>
      </c>
      <c r="N3" s="422" t="s">
        <v>6065</v>
      </c>
      <c r="O3" s="297" t="s">
        <v>6066</v>
      </c>
      <c r="P3" s="9" t="s">
        <v>6063</v>
      </c>
      <c r="Q3" s="9" t="s">
        <v>6064</v>
      </c>
      <c r="R3" s="52"/>
    </row>
    <row r="4" spans="1:18" ht="63.75" customHeight="1">
      <c r="A4" s="61">
        <v>44743</v>
      </c>
      <c r="B4" s="112" t="s">
        <v>61</v>
      </c>
      <c r="C4" s="9" t="s">
        <v>575</v>
      </c>
      <c r="D4" s="171">
        <v>44594</v>
      </c>
      <c r="E4" s="22" t="s">
        <v>1466</v>
      </c>
      <c r="F4" s="6" t="s">
        <v>1835</v>
      </c>
      <c r="G4" s="13">
        <v>310057.2</v>
      </c>
      <c r="H4" s="6" t="s">
        <v>1836</v>
      </c>
      <c r="I4" s="9" t="s">
        <v>1828</v>
      </c>
      <c r="J4" s="9" t="s">
        <v>1834</v>
      </c>
      <c r="K4" s="22" t="s">
        <v>1837</v>
      </c>
      <c r="L4" s="53"/>
      <c r="M4" s="9" t="s">
        <v>1808</v>
      </c>
      <c r="N4" s="423" t="s">
        <v>6067</v>
      </c>
      <c r="O4" s="297" t="s">
        <v>6068</v>
      </c>
      <c r="P4" s="9" t="s">
        <v>1462</v>
      </c>
      <c r="Q4" s="9" t="s">
        <v>6064</v>
      </c>
      <c r="R4" s="52"/>
    </row>
    <row r="5" spans="1:18" ht="51.75" customHeight="1">
      <c r="A5" s="61">
        <v>44774</v>
      </c>
      <c r="B5" s="112" t="s">
        <v>61</v>
      </c>
      <c r="C5" s="9" t="s">
        <v>1838</v>
      </c>
      <c r="D5" s="171">
        <v>44614</v>
      </c>
      <c r="E5" s="22" t="s">
        <v>1839</v>
      </c>
      <c r="F5" s="6" t="s">
        <v>1840</v>
      </c>
      <c r="G5" s="13">
        <v>25200</v>
      </c>
      <c r="H5" s="6" t="s">
        <v>1836</v>
      </c>
      <c r="I5" s="9" t="s">
        <v>1828</v>
      </c>
      <c r="J5" s="9" t="s">
        <v>1824</v>
      </c>
      <c r="K5" s="22" t="s">
        <v>1841</v>
      </c>
      <c r="L5" s="53"/>
      <c r="M5" s="9" t="s">
        <v>1808</v>
      </c>
      <c r="N5" s="424" t="s">
        <v>6069</v>
      </c>
      <c r="O5" s="297" t="s">
        <v>6070</v>
      </c>
      <c r="P5" s="9" t="s">
        <v>1838</v>
      </c>
      <c r="Q5" s="9" t="s">
        <v>6071</v>
      </c>
      <c r="R5" s="52"/>
    </row>
    <row r="6" spans="1:18" ht="51">
      <c r="A6" s="61">
        <v>44805</v>
      </c>
      <c r="B6" s="112" t="s">
        <v>1842</v>
      </c>
      <c r="C6" s="9" t="s">
        <v>575</v>
      </c>
      <c r="D6" s="171">
        <v>44602</v>
      </c>
      <c r="E6" s="22" t="s">
        <v>1844</v>
      </c>
      <c r="F6" s="6" t="s">
        <v>1845</v>
      </c>
      <c r="G6" s="13">
        <v>5300</v>
      </c>
      <c r="H6" s="6" t="s">
        <v>1846</v>
      </c>
      <c r="I6" s="9" t="s">
        <v>1847</v>
      </c>
      <c r="J6" s="9" t="s">
        <v>1843</v>
      </c>
      <c r="K6" s="22" t="s">
        <v>1848</v>
      </c>
      <c r="L6" s="53"/>
      <c r="M6" s="9" t="s">
        <v>1808</v>
      </c>
      <c r="N6" s="425"/>
      <c r="O6" s="297" t="s">
        <v>6072</v>
      </c>
      <c r="P6" s="9"/>
      <c r="Q6" s="9" t="s">
        <v>6073</v>
      </c>
      <c r="R6" s="52"/>
    </row>
    <row r="7" spans="1:18" ht="58.5" customHeight="1">
      <c r="A7" s="62">
        <v>44835</v>
      </c>
      <c r="B7" s="112" t="s">
        <v>61</v>
      </c>
      <c r="C7" s="9" t="s">
        <v>1849</v>
      </c>
      <c r="D7" s="171">
        <v>44608</v>
      </c>
      <c r="E7" s="22" t="s">
        <v>1850</v>
      </c>
      <c r="F7" s="6" t="s">
        <v>1851</v>
      </c>
      <c r="G7" s="9" t="s">
        <v>6074</v>
      </c>
      <c r="H7" s="6" t="s">
        <v>1836</v>
      </c>
      <c r="I7" s="9" t="s">
        <v>1828</v>
      </c>
      <c r="J7" s="9" t="s">
        <v>1824</v>
      </c>
      <c r="K7" s="22" t="s">
        <v>1852</v>
      </c>
      <c r="L7" s="53"/>
      <c r="M7" s="9" t="s">
        <v>1808</v>
      </c>
      <c r="N7" s="426"/>
      <c r="O7" s="297" t="s">
        <v>6075</v>
      </c>
      <c r="P7" s="9" t="s">
        <v>1462</v>
      </c>
      <c r="Q7" s="9" t="s">
        <v>6064</v>
      </c>
      <c r="R7" s="52"/>
    </row>
    <row r="8" spans="1:18" ht="78" customHeight="1">
      <c r="A8" s="114">
        <v>44866</v>
      </c>
      <c r="B8" s="112" t="s">
        <v>61</v>
      </c>
      <c r="C8" s="115" t="s">
        <v>394</v>
      </c>
      <c r="D8" s="427">
        <v>44608</v>
      </c>
      <c r="E8" s="118" t="s">
        <v>571</v>
      </c>
      <c r="F8" s="112" t="s">
        <v>572</v>
      </c>
      <c r="G8" s="428">
        <v>19000</v>
      </c>
      <c r="H8" s="112" t="s">
        <v>1854</v>
      </c>
      <c r="I8" s="115" t="s">
        <v>1855</v>
      </c>
      <c r="J8" s="115" t="s">
        <v>1824</v>
      </c>
      <c r="K8" s="118" t="s">
        <v>1856</v>
      </c>
      <c r="L8" s="429"/>
      <c r="M8" s="9" t="s">
        <v>1808</v>
      </c>
      <c r="N8" s="430" t="s">
        <v>6076</v>
      </c>
      <c r="O8" s="431" t="s">
        <v>6077</v>
      </c>
      <c r="P8" s="115" t="s">
        <v>1853</v>
      </c>
      <c r="Q8" s="115" t="s">
        <v>6064</v>
      </c>
      <c r="R8" s="52"/>
    </row>
    <row r="9" spans="1:18" ht="49.5" customHeight="1">
      <c r="A9" s="62">
        <v>44896</v>
      </c>
      <c r="B9" s="112" t="s">
        <v>61</v>
      </c>
      <c r="C9" s="9" t="s">
        <v>573</v>
      </c>
      <c r="D9" s="171">
        <v>44622</v>
      </c>
      <c r="E9" s="22" t="s">
        <v>574</v>
      </c>
      <c r="F9" s="6" t="s">
        <v>575</v>
      </c>
      <c r="G9" s="13">
        <v>345000</v>
      </c>
      <c r="H9" s="6" t="s">
        <v>1827</v>
      </c>
      <c r="I9" s="9" t="s">
        <v>1828</v>
      </c>
      <c r="J9" s="9" t="s">
        <v>1824</v>
      </c>
      <c r="K9" s="22" t="s">
        <v>1857</v>
      </c>
      <c r="L9" s="53"/>
      <c r="M9" s="9" t="s">
        <v>1808</v>
      </c>
      <c r="N9" s="426"/>
      <c r="O9" s="297" t="s">
        <v>6078</v>
      </c>
      <c r="P9" s="9" t="s">
        <v>1462</v>
      </c>
      <c r="Q9" s="9" t="s">
        <v>6064</v>
      </c>
      <c r="R9" s="52"/>
    </row>
    <row r="10" spans="1:18" ht="76.5">
      <c r="A10" s="119" t="s">
        <v>1858</v>
      </c>
      <c r="B10" s="112" t="s">
        <v>61</v>
      </c>
      <c r="C10" s="115" t="s">
        <v>1458</v>
      </c>
      <c r="D10" s="427">
        <v>44573</v>
      </c>
      <c r="E10" s="118" t="s">
        <v>1459</v>
      </c>
      <c r="F10" s="112" t="s">
        <v>1460</v>
      </c>
      <c r="G10" s="428">
        <v>393300</v>
      </c>
      <c r="H10" s="112" t="s">
        <v>1827</v>
      </c>
      <c r="I10" s="115" t="s">
        <v>1847</v>
      </c>
      <c r="J10" s="115" t="s">
        <v>1834</v>
      </c>
      <c r="K10" s="118" t="s">
        <v>1860</v>
      </c>
      <c r="L10" s="429"/>
      <c r="M10" s="9" t="s">
        <v>1808</v>
      </c>
      <c r="N10" s="432" t="s">
        <v>6079</v>
      </c>
      <c r="O10" s="431" t="s">
        <v>6080</v>
      </c>
      <c r="P10" s="115" t="s">
        <v>1383</v>
      </c>
      <c r="Q10" s="115" t="s">
        <v>6064</v>
      </c>
      <c r="R10" s="52"/>
    </row>
    <row r="11" spans="1:18" ht="76.5">
      <c r="A11" s="119" t="s">
        <v>1861</v>
      </c>
      <c r="B11" s="112" t="s">
        <v>61</v>
      </c>
      <c r="C11" s="115" t="s">
        <v>1862</v>
      </c>
      <c r="D11" s="427">
        <v>44573</v>
      </c>
      <c r="E11" s="118" t="s">
        <v>1863</v>
      </c>
      <c r="F11" s="112" t="s">
        <v>1864</v>
      </c>
      <c r="G11" s="428">
        <v>190300</v>
      </c>
      <c r="H11" s="112" t="s">
        <v>1846</v>
      </c>
      <c r="I11" s="115" t="s">
        <v>1847</v>
      </c>
      <c r="J11" s="115" t="s">
        <v>1843</v>
      </c>
      <c r="K11" s="118" t="s">
        <v>1865</v>
      </c>
      <c r="L11" s="429"/>
      <c r="M11" s="9" t="s">
        <v>1808</v>
      </c>
      <c r="N11" s="433"/>
      <c r="O11" s="431" t="s">
        <v>6081</v>
      </c>
      <c r="P11" s="115"/>
      <c r="Q11" s="115" t="s">
        <v>6064</v>
      </c>
      <c r="R11" s="52"/>
    </row>
    <row r="12" spans="1:18" ht="51">
      <c r="A12" s="119" t="s">
        <v>1866</v>
      </c>
      <c r="B12" s="112" t="s">
        <v>1867</v>
      </c>
      <c r="C12" s="115" t="s">
        <v>1862</v>
      </c>
      <c r="D12" s="427">
        <v>44588</v>
      </c>
      <c r="E12" s="118" t="s">
        <v>1868</v>
      </c>
      <c r="F12" s="112" t="s">
        <v>575</v>
      </c>
      <c r="G12" s="112" t="s">
        <v>1808</v>
      </c>
      <c r="H12" s="112" t="s">
        <v>1849</v>
      </c>
      <c r="I12" s="115" t="s">
        <v>1828</v>
      </c>
      <c r="J12" s="115" t="s">
        <v>1834</v>
      </c>
      <c r="K12" s="118" t="s">
        <v>1869</v>
      </c>
      <c r="L12" s="429"/>
      <c r="M12" s="9" t="s">
        <v>1808</v>
      </c>
      <c r="N12" s="433"/>
      <c r="O12" s="434" t="s">
        <v>6082</v>
      </c>
      <c r="P12" s="115"/>
      <c r="Q12" s="115" t="s">
        <v>6064</v>
      </c>
      <c r="R12" s="52"/>
    </row>
    <row r="13" spans="1:18" ht="51">
      <c r="A13" s="119" t="s">
        <v>1870</v>
      </c>
      <c r="B13" s="112" t="s">
        <v>61</v>
      </c>
      <c r="C13" s="115" t="s">
        <v>1862</v>
      </c>
      <c r="D13" s="427">
        <v>44588</v>
      </c>
      <c r="E13" s="118" t="s">
        <v>1871</v>
      </c>
      <c r="F13" s="112" t="s">
        <v>1872</v>
      </c>
      <c r="G13" s="141">
        <v>544434</v>
      </c>
      <c r="H13" s="112" t="s">
        <v>1872</v>
      </c>
      <c r="I13" s="115" t="s">
        <v>1847</v>
      </c>
      <c r="J13" s="115" t="s">
        <v>1843</v>
      </c>
      <c r="K13" s="118" t="s">
        <v>1873</v>
      </c>
      <c r="L13" s="429"/>
      <c r="M13" s="9" t="s">
        <v>1808</v>
      </c>
      <c r="N13" s="433"/>
      <c r="O13" s="431" t="s">
        <v>6083</v>
      </c>
      <c r="P13" s="115" t="s">
        <v>6063</v>
      </c>
      <c r="Q13" s="115" t="s">
        <v>6064</v>
      </c>
      <c r="R13" s="52"/>
    </row>
    <row r="14" spans="1:18" ht="76.5">
      <c r="A14" s="6" t="s">
        <v>576</v>
      </c>
      <c r="B14" s="112" t="s">
        <v>61</v>
      </c>
      <c r="C14" s="6" t="s">
        <v>125</v>
      </c>
      <c r="D14" s="7">
        <v>44881</v>
      </c>
      <c r="E14" s="22" t="s">
        <v>577</v>
      </c>
      <c r="F14" s="6" t="s">
        <v>578</v>
      </c>
      <c r="G14" s="57">
        <v>2353196</v>
      </c>
      <c r="H14" s="6" t="s">
        <v>1875</v>
      </c>
      <c r="I14" s="6" t="s">
        <v>1828</v>
      </c>
      <c r="J14" s="6" t="s">
        <v>5334</v>
      </c>
      <c r="K14" s="22" t="s">
        <v>1876</v>
      </c>
      <c r="L14" s="53"/>
      <c r="M14" s="9" t="s">
        <v>5654</v>
      </c>
      <c r="N14" s="56"/>
      <c r="O14" s="291" t="s">
        <v>6084</v>
      </c>
      <c r="P14" s="6" t="s">
        <v>1874</v>
      </c>
      <c r="Q14" s="6" t="s">
        <v>6085</v>
      </c>
      <c r="R14" s="54"/>
    </row>
    <row r="15" spans="1:18" ht="102">
      <c r="A15" s="112" t="s">
        <v>579</v>
      </c>
      <c r="B15" s="112" t="s">
        <v>61</v>
      </c>
      <c r="C15" s="435" t="s">
        <v>394</v>
      </c>
      <c r="D15" s="427">
        <v>44629</v>
      </c>
      <c r="E15" s="118" t="s">
        <v>580</v>
      </c>
      <c r="F15" s="112" t="s">
        <v>581</v>
      </c>
      <c r="G15" s="436">
        <v>20000</v>
      </c>
      <c r="H15" s="112" t="s">
        <v>1915</v>
      </c>
      <c r="I15" s="115" t="s">
        <v>1916</v>
      </c>
      <c r="J15" s="115" t="s">
        <v>1824</v>
      </c>
      <c r="K15" s="118" t="s">
        <v>1917</v>
      </c>
      <c r="L15" s="429"/>
      <c r="M15" s="9" t="s">
        <v>1808</v>
      </c>
      <c r="N15" s="430" t="s">
        <v>6086</v>
      </c>
      <c r="O15" s="431" t="s">
        <v>6087</v>
      </c>
      <c r="P15" s="115" t="s">
        <v>1853</v>
      </c>
      <c r="Q15" s="115" t="s">
        <v>2232</v>
      </c>
      <c r="R15" s="52"/>
    </row>
    <row r="16" spans="1:18" ht="76.5">
      <c r="A16" s="112" t="s">
        <v>582</v>
      </c>
      <c r="B16" s="112" t="s">
        <v>61</v>
      </c>
      <c r="C16" s="115" t="s">
        <v>68</v>
      </c>
      <c r="D16" s="427">
        <v>44629</v>
      </c>
      <c r="E16" s="118" t="s">
        <v>583</v>
      </c>
      <c r="F16" s="112" t="s">
        <v>584</v>
      </c>
      <c r="G16" s="436">
        <v>300700</v>
      </c>
      <c r="H16" s="112" t="s">
        <v>1918</v>
      </c>
      <c r="I16" s="115" t="s">
        <v>2613</v>
      </c>
      <c r="J16" s="115" t="s">
        <v>1824</v>
      </c>
      <c r="K16" s="118" t="s">
        <v>1920</v>
      </c>
      <c r="L16" s="115" t="s">
        <v>6088</v>
      </c>
      <c r="M16" s="115" t="s">
        <v>5654</v>
      </c>
      <c r="N16" s="432" t="s">
        <v>6089</v>
      </c>
      <c r="O16" s="434" t="s">
        <v>6090</v>
      </c>
      <c r="P16" s="115" t="s">
        <v>1874</v>
      </c>
      <c r="Q16" s="115" t="s">
        <v>6064</v>
      </c>
      <c r="R16" s="52"/>
    </row>
    <row r="17" spans="1:18" ht="38.25">
      <c r="A17" s="127" t="s">
        <v>585</v>
      </c>
      <c r="B17" s="112" t="s">
        <v>1883</v>
      </c>
      <c r="C17" s="6" t="s">
        <v>586</v>
      </c>
      <c r="D17" s="7">
        <v>44907</v>
      </c>
      <c r="E17" s="22" t="s">
        <v>1884</v>
      </c>
      <c r="F17" s="6"/>
      <c r="G17" s="8"/>
      <c r="H17" s="6"/>
      <c r="I17" s="6"/>
      <c r="J17" s="6"/>
      <c r="K17" s="22"/>
      <c r="L17" s="179"/>
      <c r="M17" s="9" t="s">
        <v>1808</v>
      </c>
      <c r="N17" s="190"/>
      <c r="O17" s="291" t="s">
        <v>6091</v>
      </c>
      <c r="P17" s="6"/>
      <c r="Q17" s="6" t="s">
        <v>6092</v>
      </c>
      <c r="R17" s="54"/>
    </row>
    <row r="18" spans="1:18" ht="76.5">
      <c r="A18" s="112" t="s">
        <v>585</v>
      </c>
      <c r="B18" s="112" t="s">
        <v>61</v>
      </c>
      <c r="C18" s="6" t="s">
        <v>586</v>
      </c>
      <c r="D18" s="7">
        <v>44886</v>
      </c>
      <c r="E18" s="22" t="s">
        <v>587</v>
      </c>
      <c r="F18" s="6" t="s">
        <v>588</v>
      </c>
      <c r="G18" s="8">
        <v>17575</v>
      </c>
      <c r="H18" s="6" t="s">
        <v>1885</v>
      </c>
      <c r="I18" s="6" t="s">
        <v>1886</v>
      </c>
      <c r="J18" s="6" t="s">
        <v>1862</v>
      </c>
      <c r="K18" s="22" t="s">
        <v>1887</v>
      </c>
      <c r="L18" s="179"/>
      <c r="M18" s="6" t="s">
        <v>5654</v>
      </c>
      <c r="N18" s="291" t="s">
        <v>6093</v>
      </c>
      <c r="O18" s="291" t="s">
        <v>6094</v>
      </c>
      <c r="P18" s="6" t="s">
        <v>1874</v>
      </c>
      <c r="Q18" s="6" t="s">
        <v>82</v>
      </c>
      <c r="R18" s="54"/>
    </row>
    <row r="19" spans="1:18" ht="87.75" customHeight="1">
      <c r="A19" s="6" t="s">
        <v>589</v>
      </c>
      <c r="B19" s="112" t="s">
        <v>61</v>
      </c>
      <c r="C19" s="6" t="s">
        <v>125</v>
      </c>
      <c r="D19" s="7">
        <v>44909</v>
      </c>
      <c r="E19" s="22" t="s">
        <v>590</v>
      </c>
      <c r="F19" s="6" t="s">
        <v>591</v>
      </c>
      <c r="G19" s="57">
        <v>2802604</v>
      </c>
      <c r="H19" s="6" t="s">
        <v>6095</v>
      </c>
      <c r="I19" s="6" t="s">
        <v>1828</v>
      </c>
      <c r="J19" s="6"/>
      <c r="K19" s="22" t="s">
        <v>1890</v>
      </c>
      <c r="L19" s="179"/>
      <c r="M19" s="6" t="s">
        <v>5650</v>
      </c>
      <c r="N19" s="423" t="s">
        <v>6096</v>
      </c>
      <c r="O19" s="291" t="s">
        <v>6097</v>
      </c>
      <c r="P19" s="6" t="s">
        <v>1874</v>
      </c>
      <c r="Q19" s="6" t="s">
        <v>6071</v>
      </c>
      <c r="R19" s="54"/>
    </row>
    <row r="20" spans="1:18" ht="141" customHeight="1">
      <c r="A20" s="6" t="s">
        <v>592</v>
      </c>
      <c r="B20" s="112" t="s">
        <v>61</v>
      </c>
      <c r="C20" s="6" t="s">
        <v>125</v>
      </c>
      <c r="D20" s="7">
        <v>44909</v>
      </c>
      <c r="E20" s="22" t="s">
        <v>593</v>
      </c>
      <c r="F20" s="6" t="s">
        <v>594</v>
      </c>
      <c r="G20" s="57">
        <v>2692520</v>
      </c>
      <c r="H20" s="6" t="s">
        <v>6098</v>
      </c>
      <c r="I20" s="6" t="s">
        <v>1828</v>
      </c>
      <c r="J20" s="6"/>
      <c r="K20" s="22" t="s">
        <v>6099</v>
      </c>
      <c r="L20" s="179"/>
      <c r="M20" s="6" t="s">
        <v>5654</v>
      </c>
      <c r="N20" s="423" t="s">
        <v>6100</v>
      </c>
      <c r="O20" s="291" t="s">
        <v>6101</v>
      </c>
      <c r="P20" s="6" t="s">
        <v>1874</v>
      </c>
      <c r="Q20" s="6" t="s">
        <v>6085</v>
      </c>
      <c r="R20" s="54"/>
    </row>
    <row r="21" spans="1:18" ht="67.5" customHeight="1">
      <c r="A21" s="127" t="s">
        <v>595</v>
      </c>
      <c r="B21" s="112" t="s">
        <v>61</v>
      </c>
      <c r="C21" s="6" t="s">
        <v>125</v>
      </c>
      <c r="D21" s="7">
        <v>44909</v>
      </c>
      <c r="E21" s="22" t="s">
        <v>596</v>
      </c>
      <c r="F21" s="6" t="s">
        <v>597</v>
      </c>
      <c r="G21" s="57">
        <v>1450894</v>
      </c>
      <c r="H21" s="6" t="s">
        <v>1895</v>
      </c>
      <c r="I21" s="6" t="s">
        <v>1896</v>
      </c>
      <c r="J21" s="6"/>
      <c r="K21" s="22" t="s">
        <v>1897</v>
      </c>
      <c r="L21" s="179"/>
      <c r="M21" s="6" t="s">
        <v>5650</v>
      </c>
      <c r="N21" s="423" t="s">
        <v>6102</v>
      </c>
      <c r="O21" s="291" t="s">
        <v>6103</v>
      </c>
      <c r="P21" s="6" t="s">
        <v>1874</v>
      </c>
      <c r="Q21" s="6" t="s">
        <v>6104</v>
      </c>
      <c r="R21" s="54"/>
    </row>
    <row r="22" spans="1:18" ht="72" customHeight="1">
      <c r="A22" s="127" t="s">
        <v>598</v>
      </c>
      <c r="B22" s="112" t="s">
        <v>61</v>
      </c>
      <c r="C22" s="6" t="s">
        <v>125</v>
      </c>
      <c r="D22" s="7">
        <v>44909</v>
      </c>
      <c r="E22" s="22" t="s">
        <v>599</v>
      </c>
      <c r="F22" s="6" t="s">
        <v>600</v>
      </c>
      <c r="G22" s="57">
        <v>1780736</v>
      </c>
      <c r="H22" s="6" t="s">
        <v>1898</v>
      </c>
      <c r="I22" s="6" t="s">
        <v>1899</v>
      </c>
      <c r="J22" s="6"/>
      <c r="K22" s="22" t="s">
        <v>1900</v>
      </c>
      <c r="L22" s="179"/>
      <c r="M22" s="6" t="s">
        <v>5654</v>
      </c>
      <c r="N22" s="423" t="s">
        <v>6105</v>
      </c>
      <c r="O22" s="291" t="s">
        <v>6106</v>
      </c>
      <c r="P22" s="6" t="s">
        <v>1874</v>
      </c>
      <c r="Q22" s="6" t="s">
        <v>6104</v>
      </c>
      <c r="R22" s="54"/>
    </row>
    <row r="23" spans="1:18" ht="63.75">
      <c r="A23" s="6" t="s">
        <v>601</v>
      </c>
      <c r="B23" s="112" t="s">
        <v>61</v>
      </c>
      <c r="C23" s="6" t="s">
        <v>125</v>
      </c>
      <c r="D23" s="7">
        <v>44911</v>
      </c>
      <c r="E23" s="22" t="s">
        <v>602</v>
      </c>
      <c r="F23" s="6" t="s">
        <v>603</v>
      </c>
      <c r="G23" s="57">
        <v>2995096</v>
      </c>
      <c r="H23" s="6" t="s">
        <v>1902</v>
      </c>
      <c r="I23" s="6" t="s">
        <v>1828</v>
      </c>
      <c r="J23" s="6"/>
      <c r="K23" s="22" t="s">
        <v>1903</v>
      </c>
      <c r="L23" s="179"/>
      <c r="M23" s="6" t="s">
        <v>5650</v>
      </c>
      <c r="N23" s="423" t="s">
        <v>6105</v>
      </c>
      <c r="O23" s="291" t="s">
        <v>6107</v>
      </c>
      <c r="P23" s="6" t="s">
        <v>1874</v>
      </c>
      <c r="Q23" s="6" t="s">
        <v>6108</v>
      </c>
      <c r="R23" s="54"/>
    </row>
    <row r="24" spans="1:18" ht="114.75">
      <c r="A24" s="6" t="s">
        <v>75</v>
      </c>
      <c r="B24" s="112" t="s">
        <v>61</v>
      </c>
      <c r="C24" s="6" t="s">
        <v>76</v>
      </c>
      <c r="D24" s="6" t="s">
        <v>77</v>
      </c>
      <c r="E24" s="22" t="s">
        <v>78</v>
      </c>
      <c r="F24" s="6" t="s">
        <v>79</v>
      </c>
      <c r="G24" s="8">
        <v>1083679</v>
      </c>
      <c r="H24" s="6" t="s">
        <v>1905</v>
      </c>
      <c r="I24" s="6" t="s">
        <v>1886</v>
      </c>
      <c r="J24" s="6"/>
      <c r="K24" s="22" t="s">
        <v>1906</v>
      </c>
      <c r="L24" s="179"/>
      <c r="M24" s="6" t="s">
        <v>5654</v>
      </c>
      <c r="N24" s="423" t="s">
        <v>6109</v>
      </c>
      <c r="O24" s="291" t="s">
        <v>6110</v>
      </c>
      <c r="P24" s="9" t="s">
        <v>1904</v>
      </c>
      <c r="Q24" s="6" t="s">
        <v>6092</v>
      </c>
      <c r="R24" s="54"/>
    </row>
    <row r="25" spans="1:18" ht="43.5" customHeight="1">
      <c r="A25" s="6" t="s">
        <v>604</v>
      </c>
      <c r="B25" s="112" t="s">
        <v>61</v>
      </c>
      <c r="C25" s="9" t="s">
        <v>573</v>
      </c>
      <c r="D25" s="171">
        <v>44622</v>
      </c>
      <c r="E25" s="22" t="s">
        <v>1907</v>
      </c>
      <c r="F25" s="6" t="s">
        <v>575</v>
      </c>
      <c r="G25" s="13">
        <v>1201148.8799999999</v>
      </c>
      <c r="H25" s="6" t="s">
        <v>1827</v>
      </c>
      <c r="I25" s="9" t="s">
        <v>1828</v>
      </c>
      <c r="J25" s="9" t="s">
        <v>1824</v>
      </c>
      <c r="K25" s="22" t="s">
        <v>1908</v>
      </c>
      <c r="L25" s="53"/>
      <c r="M25" s="9" t="s">
        <v>1808</v>
      </c>
      <c r="N25" s="426"/>
      <c r="O25" s="297" t="s">
        <v>6111</v>
      </c>
      <c r="P25" s="9"/>
      <c r="Q25" s="9" t="s">
        <v>6064</v>
      </c>
      <c r="R25" s="52"/>
    </row>
    <row r="26" spans="1:18" ht="76.5">
      <c r="A26" s="6" t="s">
        <v>1909</v>
      </c>
      <c r="B26" s="112" t="s">
        <v>61</v>
      </c>
      <c r="C26" s="9" t="s">
        <v>575</v>
      </c>
      <c r="D26" s="171">
        <v>44622</v>
      </c>
      <c r="E26" s="22" t="s">
        <v>1910</v>
      </c>
      <c r="F26" s="6" t="s">
        <v>575</v>
      </c>
      <c r="G26" s="13">
        <v>389200</v>
      </c>
      <c r="H26" s="6" t="s">
        <v>1827</v>
      </c>
      <c r="I26" s="9" t="s">
        <v>1828</v>
      </c>
      <c r="J26" s="9" t="s">
        <v>1824</v>
      </c>
      <c r="K26" s="22" t="s">
        <v>1911</v>
      </c>
      <c r="L26" s="53"/>
      <c r="M26" s="9" t="s">
        <v>1808</v>
      </c>
      <c r="N26" s="426"/>
      <c r="O26" s="297" t="s">
        <v>6112</v>
      </c>
      <c r="P26" s="9"/>
      <c r="Q26" s="9" t="s">
        <v>6064</v>
      </c>
      <c r="R26" s="52"/>
    </row>
    <row r="27" spans="1:18" ht="57" customHeight="1">
      <c r="A27" s="6" t="s">
        <v>1912</v>
      </c>
      <c r="B27" s="112" t="s">
        <v>61</v>
      </c>
      <c r="C27" s="9" t="s">
        <v>575</v>
      </c>
      <c r="D27" s="171">
        <v>44622</v>
      </c>
      <c r="E27" s="22" t="s">
        <v>1913</v>
      </c>
      <c r="F27" s="6" t="s">
        <v>575</v>
      </c>
      <c r="G27" s="13">
        <v>1381550</v>
      </c>
      <c r="H27" s="6" t="s">
        <v>1827</v>
      </c>
      <c r="I27" s="9" t="s">
        <v>1828</v>
      </c>
      <c r="J27" s="9" t="s">
        <v>1824</v>
      </c>
      <c r="K27" s="22" t="s">
        <v>1914</v>
      </c>
      <c r="L27" s="53"/>
      <c r="M27" s="9" t="s">
        <v>1808</v>
      </c>
      <c r="N27" s="426"/>
      <c r="O27" s="297" t="s">
        <v>6113</v>
      </c>
      <c r="P27" s="9"/>
      <c r="Q27" s="9" t="s">
        <v>573</v>
      </c>
      <c r="R27" s="52"/>
    </row>
    <row r="28" spans="1:18" ht="118.5" customHeight="1">
      <c r="A28" s="112" t="s">
        <v>606</v>
      </c>
      <c r="B28" s="112" t="s">
        <v>61</v>
      </c>
      <c r="C28" s="115" t="s">
        <v>394</v>
      </c>
      <c r="D28" s="427">
        <v>44633</v>
      </c>
      <c r="E28" s="118" t="s">
        <v>1943</v>
      </c>
      <c r="F28" s="112" t="s">
        <v>608</v>
      </c>
      <c r="G28" s="436">
        <v>38400</v>
      </c>
      <c r="H28" s="112" t="s">
        <v>1849</v>
      </c>
      <c r="I28" s="115" t="s">
        <v>1828</v>
      </c>
      <c r="J28" s="115" t="s">
        <v>575</v>
      </c>
      <c r="K28" s="22" t="s">
        <v>1944</v>
      </c>
      <c r="L28" s="429"/>
      <c r="M28" s="9" t="s">
        <v>1808</v>
      </c>
      <c r="N28" s="437" t="s">
        <v>6114</v>
      </c>
      <c r="O28" s="431" t="s">
        <v>6115</v>
      </c>
      <c r="P28" s="115" t="s">
        <v>1853</v>
      </c>
      <c r="Q28" s="115" t="s">
        <v>6064</v>
      </c>
      <c r="R28" s="52"/>
    </row>
    <row r="29" spans="1:18" ht="45" customHeight="1">
      <c r="A29" s="6" t="s">
        <v>609</v>
      </c>
      <c r="B29" s="112" t="s">
        <v>61</v>
      </c>
      <c r="C29" s="9" t="s">
        <v>394</v>
      </c>
      <c r="D29" s="171">
        <v>44713</v>
      </c>
      <c r="E29" s="22" t="s">
        <v>610</v>
      </c>
      <c r="F29" s="6" t="s">
        <v>611</v>
      </c>
      <c r="G29" s="13">
        <v>419537.6</v>
      </c>
      <c r="H29" s="6" t="s">
        <v>1938</v>
      </c>
      <c r="I29" s="9" t="s">
        <v>1828</v>
      </c>
      <c r="J29" s="9" t="s">
        <v>1824</v>
      </c>
      <c r="K29" s="22" t="s">
        <v>1973</v>
      </c>
      <c r="L29" s="53"/>
      <c r="M29" s="9" t="s">
        <v>1808</v>
      </c>
      <c r="N29" s="426"/>
      <c r="O29" s="297" t="s">
        <v>6116</v>
      </c>
      <c r="P29" s="115" t="s">
        <v>1853</v>
      </c>
      <c r="Q29" s="9" t="s">
        <v>6071</v>
      </c>
      <c r="R29" s="52"/>
    </row>
    <row r="30" spans="1:18" ht="51.75" customHeight="1">
      <c r="A30" s="6" t="s">
        <v>1921</v>
      </c>
      <c r="B30" s="112" t="s">
        <v>61</v>
      </c>
      <c r="C30" s="9" t="s">
        <v>1838</v>
      </c>
      <c r="D30" s="7">
        <v>44636</v>
      </c>
      <c r="E30" s="22" t="s">
        <v>1922</v>
      </c>
      <c r="F30" s="6" t="s">
        <v>1840</v>
      </c>
      <c r="G30" s="13">
        <v>121200</v>
      </c>
      <c r="H30" s="6" t="s">
        <v>1923</v>
      </c>
      <c r="I30" s="9" t="s">
        <v>1828</v>
      </c>
      <c r="J30" s="9" t="s">
        <v>1824</v>
      </c>
      <c r="K30" s="22" t="s">
        <v>1924</v>
      </c>
      <c r="L30" s="53"/>
      <c r="M30" s="9" t="s">
        <v>1808</v>
      </c>
      <c r="N30" s="423" t="s">
        <v>6117</v>
      </c>
      <c r="O30" s="297" t="s">
        <v>6118</v>
      </c>
      <c r="P30" s="9"/>
      <c r="Q30" s="9" t="s">
        <v>6064</v>
      </c>
      <c r="R30" s="52"/>
    </row>
    <row r="31" spans="1:18" ht="51">
      <c r="A31" s="6" t="s">
        <v>1925</v>
      </c>
      <c r="B31" s="6"/>
      <c r="C31" s="9" t="s">
        <v>1417</v>
      </c>
      <c r="D31" s="171">
        <v>44643</v>
      </c>
      <c r="E31" s="22" t="s">
        <v>1927</v>
      </c>
      <c r="F31" s="6" t="s">
        <v>1928</v>
      </c>
      <c r="G31" s="9"/>
      <c r="H31" s="6"/>
      <c r="I31" s="9"/>
      <c r="J31" s="9"/>
      <c r="K31" s="22" t="s">
        <v>1929</v>
      </c>
      <c r="L31" s="53"/>
      <c r="M31" s="9" t="s">
        <v>1808</v>
      </c>
      <c r="N31" s="438" t="s">
        <v>6119</v>
      </c>
      <c r="O31" s="297" t="s">
        <v>6120</v>
      </c>
      <c r="P31" s="9"/>
      <c r="Q31" s="9" t="s">
        <v>6073</v>
      </c>
      <c r="R31" s="52"/>
    </row>
    <row r="32" spans="1:18" ht="67.5" customHeight="1">
      <c r="A32" s="6" t="s">
        <v>1930</v>
      </c>
      <c r="B32" s="112" t="s">
        <v>61</v>
      </c>
      <c r="C32" s="9" t="s">
        <v>1934</v>
      </c>
      <c r="D32" s="171">
        <v>44650</v>
      </c>
      <c r="E32" s="22" t="s">
        <v>1931</v>
      </c>
      <c r="F32" s="6" t="s">
        <v>575</v>
      </c>
      <c r="G32" s="13">
        <v>749991.24</v>
      </c>
      <c r="H32" s="6" t="s">
        <v>1932</v>
      </c>
      <c r="I32" s="9" t="s">
        <v>1828</v>
      </c>
      <c r="J32" s="9" t="s">
        <v>1824</v>
      </c>
      <c r="K32" s="22" t="s">
        <v>1933</v>
      </c>
      <c r="L32" s="53"/>
      <c r="M32" s="9" t="s">
        <v>1808</v>
      </c>
      <c r="N32" s="439" t="s">
        <v>6121</v>
      </c>
      <c r="O32" s="297" t="s">
        <v>6122</v>
      </c>
      <c r="P32" s="9" t="s">
        <v>82</v>
      </c>
      <c r="Q32" s="9" t="s">
        <v>6073</v>
      </c>
      <c r="R32" s="52"/>
    </row>
    <row r="33" spans="1:18" ht="127.5">
      <c r="A33" s="6" t="s">
        <v>1935</v>
      </c>
      <c r="B33" s="112" t="s">
        <v>61</v>
      </c>
      <c r="C33" s="9" t="s">
        <v>1940</v>
      </c>
      <c r="D33" s="171">
        <v>44657</v>
      </c>
      <c r="E33" s="22" t="s">
        <v>1936</v>
      </c>
      <c r="F33" s="6" t="s">
        <v>1937</v>
      </c>
      <c r="G33" s="13">
        <v>1302000</v>
      </c>
      <c r="H33" s="6" t="s">
        <v>1938</v>
      </c>
      <c r="I33" s="9" t="s">
        <v>1828</v>
      </c>
      <c r="J33" s="9" t="s">
        <v>1824</v>
      </c>
      <c r="K33" s="22" t="s">
        <v>1939</v>
      </c>
      <c r="L33" s="53"/>
      <c r="M33" s="9" t="s">
        <v>1808</v>
      </c>
      <c r="N33" s="439" t="s">
        <v>6123</v>
      </c>
      <c r="O33" s="297" t="s">
        <v>6124</v>
      </c>
      <c r="P33" s="9" t="s">
        <v>82</v>
      </c>
      <c r="Q33" s="9" t="s">
        <v>6064</v>
      </c>
      <c r="R33" s="52"/>
    </row>
    <row r="34" spans="1:18" ht="51">
      <c r="A34" s="6" t="s">
        <v>1461</v>
      </c>
      <c r="B34" s="112" t="s">
        <v>61</v>
      </c>
      <c r="C34" s="9" t="s">
        <v>1462</v>
      </c>
      <c r="D34" s="171">
        <v>44664</v>
      </c>
      <c r="E34" s="22" t="s">
        <v>1463</v>
      </c>
      <c r="F34" s="6" t="s">
        <v>1851</v>
      </c>
      <c r="G34" s="13">
        <v>1203000</v>
      </c>
      <c r="H34" s="6" t="s">
        <v>1941</v>
      </c>
      <c r="I34" s="9" t="s">
        <v>1828</v>
      </c>
      <c r="J34" s="9"/>
      <c r="K34" s="22" t="s">
        <v>1942</v>
      </c>
      <c r="L34" s="53"/>
      <c r="M34" s="9" t="s">
        <v>1808</v>
      </c>
      <c r="N34" s="439" t="s">
        <v>6125</v>
      </c>
      <c r="O34" s="291" t="s">
        <v>6126</v>
      </c>
      <c r="P34" s="9"/>
      <c r="Q34" s="9" t="s">
        <v>6064</v>
      </c>
      <c r="R34" s="52"/>
    </row>
    <row r="35" spans="1:18" ht="61.5" customHeight="1">
      <c r="A35" s="112" t="s">
        <v>612</v>
      </c>
      <c r="B35" s="112" t="s">
        <v>61</v>
      </c>
      <c r="C35" s="112" t="s">
        <v>1877</v>
      </c>
      <c r="D35" s="134">
        <v>44783</v>
      </c>
      <c r="E35" s="118" t="s">
        <v>613</v>
      </c>
      <c r="F35" s="112" t="s">
        <v>614</v>
      </c>
      <c r="G35" s="428">
        <v>174759.01</v>
      </c>
      <c r="H35" s="112" t="s">
        <v>2040</v>
      </c>
      <c r="I35" s="112" t="s">
        <v>2041</v>
      </c>
      <c r="J35" s="112" t="s">
        <v>2018</v>
      </c>
      <c r="K35" s="118" t="s">
        <v>2042</v>
      </c>
      <c r="L35" s="440"/>
      <c r="M35" s="112" t="s">
        <v>5650</v>
      </c>
      <c r="N35" s="441"/>
      <c r="O35" s="434" t="s">
        <v>6127</v>
      </c>
      <c r="P35" s="115" t="s">
        <v>1853</v>
      </c>
      <c r="Q35" s="112" t="s">
        <v>6092</v>
      </c>
      <c r="R35" s="54"/>
    </row>
    <row r="36" spans="1:18" ht="63.75">
      <c r="A36" s="6" t="s">
        <v>1945</v>
      </c>
      <c r="B36" s="112" t="s">
        <v>1946</v>
      </c>
      <c r="C36" s="9" t="s">
        <v>1383</v>
      </c>
      <c r="D36" s="171">
        <v>44671</v>
      </c>
      <c r="E36" s="22" t="s">
        <v>1947</v>
      </c>
      <c r="F36" s="6" t="s">
        <v>575</v>
      </c>
      <c r="G36" s="13">
        <v>2400000</v>
      </c>
      <c r="H36" s="6"/>
      <c r="I36" s="9" t="s">
        <v>1828</v>
      </c>
      <c r="J36" s="9" t="s">
        <v>575</v>
      </c>
      <c r="K36" s="118" t="s">
        <v>1948</v>
      </c>
      <c r="L36" s="53"/>
      <c r="M36" s="9" t="s">
        <v>1808</v>
      </c>
      <c r="N36" s="425"/>
      <c r="O36" s="297" t="s">
        <v>6128</v>
      </c>
      <c r="P36" s="9"/>
      <c r="Q36" s="9" t="s">
        <v>6073</v>
      </c>
      <c r="R36" s="52"/>
    </row>
    <row r="37" spans="1:18" ht="140.25">
      <c r="A37" s="6" t="s">
        <v>1945</v>
      </c>
      <c r="B37" s="112" t="s">
        <v>1946</v>
      </c>
      <c r="C37" s="9" t="s">
        <v>1471</v>
      </c>
      <c r="D37" s="171">
        <v>44671</v>
      </c>
      <c r="E37" s="22" t="s">
        <v>1949</v>
      </c>
      <c r="F37" s="6" t="s">
        <v>575</v>
      </c>
      <c r="G37" s="13">
        <v>24000</v>
      </c>
      <c r="H37" s="6" t="s">
        <v>1938</v>
      </c>
      <c r="I37" s="9" t="s">
        <v>1828</v>
      </c>
      <c r="J37" s="9" t="s">
        <v>575</v>
      </c>
      <c r="K37" s="118" t="s">
        <v>1950</v>
      </c>
      <c r="L37" s="53"/>
      <c r="M37" s="9" t="s">
        <v>1808</v>
      </c>
      <c r="N37" s="438" t="s">
        <v>6129</v>
      </c>
      <c r="O37" s="297" t="s">
        <v>6128</v>
      </c>
      <c r="P37" s="9"/>
      <c r="Q37" s="9" t="s">
        <v>6064</v>
      </c>
      <c r="R37" s="52"/>
    </row>
    <row r="38" spans="1:18" ht="76.5">
      <c r="A38" s="6" t="s">
        <v>1951</v>
      </c>
      <c r="B38" s="112" t="s">
        <v>61</v>
      </c>
      <c r="C38" s="9" t="s">
        <v>575</v>
      </c>
      <c r="D38" s="171">
        <v>44678</v>
      </c>
      <c r="E38" s="22" t="s">
        <v>1952</v>
      </c>
      <c r="F38" s="6" t="s">
        <v>575</v>
      </c>
      <c r="G38" s="13">
        <v>69200</v>
      </c>
      <c r="H38" s="6" t="s">
        <v>1938</v>
      </c>
      <c r="I38" s="9" t="s">
        <v>1828</v>
      </c>
      <c r="J38" s="9" t="s">
        <v>575</v>
      </c>
      <c r="K38" s="22" t="s">
        <v>1953</v>
      </c>
      <c r="L38" s="53"/>
      <c r="M38" s="9" t="s">
        <v>1808</v>
      </c>
      <c r="N38" s="439" t="s">
        <v>6130</v>
      </c>
      <c r="O38" s="291" t="s">
        <v>6131</v>
      </c>
      <c r="P38" s="9"/>
      <c r="Q38" s="9" t="s">
        <v>6073</v>
      </c>
      <c r="R38" s="52"/>
    </row>
    <row r="39" spans="1:18" ht="63.75">
      <c r="A39" s="6" t="s">
        <v>1075</v>
      </c>
      <c r="B39" s="112" t="s">
        <v>61</v>
      </c>
      <c r="C39" s="9" t="s">
        <v>62</v>
      </c>
      <c r="D39" s="113">
        <v>44685</v>
      </c>
      <c r="E39" s="22" t="s">
        <v>1076</v>
      </c>
      <c r="F39" s="6" t="s">
        <v>1954</v>
      </c>
      <c r="G39" s="13">
        <v>1000000</v>
      </c>
      <c r="H39" s="6" t="s">
        <v>1955</v>
      </c>
      <c r="I39" s="9" t="s">
        <v>1828</v>
      </c>
      <c r="J39" s="9" t="s">
        <v>1824</v>
      </c>
      <c r="K39" s="22" t="s">
        <v>1956</v>
      </c>
      <c r="L39" s="53"/>
      <c r="M39" s="9" t="s">
        <v>6132</v>
      </c>
      <c r="N39" s="442" t="s">
        <v>6114</v>
      </c>
      <c r="O39" s="291" t="s">
        <v>6133</v>
      </c>
      <c r="P39" s="9" t="s">
        <v>1904</v>
      </c>
      <c r="Q39" s="9" t="s">
        <v>6073</v>
      </c>
      <c r="R39" s="52"/>
    </row>
    <row r="40" spans="1:18" ht="89.25">
      <c r="A40" s="6" t="s">
        <v>1957</v>
      </c>
      <c r="B40" s="6" t="s">
        <v>1823</v>
      </c>
      <c r="C40" s="9" t="s">
        <v>1111</v>
      </c>
      <c r="D40" s="113">
        <v>44706</v>
      </c>
      <c r="E40" s="22" t="s">
        <v>1958</v>
      </c>
      <c r="F40" s="6" t="s">
        <v>1959</v>
      </c>
      <c r="G40" s="13">
        <v>1504308</v>
      </c>
      <c r="H40" s="6" t="s">
        <v>1960</v>
      </c>
      <c r="I40" s="9"/>
      <c r="J40" s="9" t="s">
        <v>1150</v>
      </c>
      <c r="K40" s="22" t="s">
        <v>1961</v>
      </c>
      <c r="L40" s="9" t="s">
        <v>6134</v>
      </c>
      <c r="M40" s="9" t="s">
        <v>6132</v>
      </c>
      <c r="N40" s="443" t="s">
        <v>6135</v>
      </c>
      <c r="O40" s="297" t="s">
        <v>6136</v>
      </c>
      <c r="P40" s="9" t="s">
        <v>1904</v>
      </c>
      <c r="Q40" s="9" t="s">
        <v>6137</v>
      </c>
      <c r="R40" s="52"/>
    </row>
    <row r="41" spans="1:18" ht="42" customHeight="1">
      <c r="A41" s="6" t="s">
        <v>1962</v>
      </c>
      <c r="B41" s="6"/>
      <c r="C41" s="9" t="s">
        <v>575</v>
      </c>
      <c r="D41" s="171">
        <v>44706</v>
      </c>
      <c r="E41" s="22" t="s">
        <v>1963</v>
      </c>
      <c r="F41" s="6"/>
      <c r="G41" s="9"/>
      <c r="H41" s="6"/>
      <c r="I41" s="9"/>
      <c r="J41" s="9"/>
      <c r="K41" s="22" t="s">
        <v>1964</v>
      </c>
      <c r="L41" s="53"/>
      <c r="M41" s="9" t="s">
        <v>1808</v>
      </c>
      <c r="N41" s="438" t="s">
        <v>6138</v>
      </c>
      <c r="O41" s="291" t="s">
        <v>6139</v>
      </c>
      <c r="P41" s="9"/>
      <c r="Q41" s="9" t="s">
        <v>6140</v>
      </c>
      <c r="R41" s="52"/>
    </row>
    <row r="42" spans="1:18" ht="76.5">
      <c r="A42" s="6" t="s">
        <v>1965</v>
      </c>
      <c r="B42" s="112" t="s">
        <v>61</v>
      </c>
      <c r="C42" s="9" t="s">
        <v>575</v>
      </c>
      <c r="D42" s="171">
        <v>44713</v>
      </c>
      <c r="E42" s="22" t="s">
        <v>1966</v>
      </c>
      <c r="F42" s="6" t="s">
        <v>1967</v>
      </c>
      <c r="G42" s="13">
        <v>53175</v>
      </c>
      <c r="H42" s="6" t="s">
        <v>1968</v>
      </c>
      <c r="I42" s="9" t="s">
        <v>1828</v>
      </c>
      <c r="J42" s="9" t="s">
        <v>1824</v>
      </c>
      <c r="K42" s="22" t="s">
        <v>1969</v>
      </c>
      <c r="L42" s="53"/>
      <c r="M42" s="9" t="s">
        <v>1808</v>
      </c>
      <c r="N42" s="439" t="s">
        <v>6141</v>
      </c>
      <c r="O42" s="291" t="s">
        <v>6142</v>
      </c>
      <c r="P42" s="9"/>
      <c r="Q42" s="9" t="s">
        <v>6071</v>
      </c>
      <c r="R42" s="52"/>
    </row>
    <row r="43" spans="1:18" ht="43.5" customHeight="1">
      <c r="A43" s="6" t="s">
        <v>1970</v>
      </c>
      <c r="B43" s="112" t="s">
        <v>61</v>
      </c>
      <c r="C43" s="9" t="s">
        <v>575</v>
      </c>
      <c r="D43" s="171">
        <v>44713</v>
      </c>
      <c r="E43" s="22" t="s">
        <v>1971</v>
      </c>
      <c r="F43" s="6" t="s">
        <v>1967</v>
      </c>
      <c r="G43" s="13">
        <v>400300</v>
      </c>
      <c r="H43" s="6" t="s">
        <v>1968</v>
      </c>
      <c r="I43" s="9" t="s">
        <v>1828</v>
      </c>
      <c r="J43" s="9" t="s">
        <v>1824</v>
      </c>
      <c r="K43" s="22" t="s">
        <v>1972</v>
      </c>
      <c r="L43" s="53"/>
      <c r="M43" s="9" t="s">
        <v>1808</v>
      </c>
      <c r="N43" s="426"/>
      <c r="O43" s="291" t="s">
        <v>6143</v>
      </c>
      <c r="P43" s="9"/>
      <c r="Q43" s="9" t="s">
        <v>6071</v>
      </c>
      <c r="R43" s="52"/>
    </row>
    <row r="44" spans="1:18" ht="50.25" customHeight="1">
      <c r="A44" s="112" t="s">
        <v>615</v>
      </c>
      <c r="B44" s="112" t="s">
        <v>61</v>
      </c>
      <c r="C44" s="112" t="s">
        <v>1877</v>
      </c>
      <c r="D44" s="134">
        <v>44783</v>
      </c>
      <c r="E44" s="444" t="s">
        <v>616</v>
      </c>
      <c r="F44" s="209" t="s">
        <v>617</v>
      </c>
      <c r="G44" s="428">
        <v>60837.599999999999</v>
      </c>
      <c r="H44" s="112" t="s">
        <v>2043</v>
      </c>
      <c r="I44" s="112" t="s">
        <v>1828</v>
      </c>
      <c r="J44" s="112" t="s">
        <v>2018</v>
      </c>
      <c r="K44" s="118" t="s">
        <v>2044</v>
      </c>
      <c r="L44" s="440"/>
      <c r="M44" s="112" t="s">
        <v>5654</v>
      </c>
      <c r="N44" s="445" t="s">
        <v>6144</v>
      </c>
      <c r="O44" s="434" t="s">
        <v>6145</v>
      </c>
      <c r="P44" s="115" t="s">
        <v>1853</v>
      </c>
      <c r="Q44" s="112" t="s">
        <v>6092</v>
      </c>
      <c r="R44" s="54"/>
    </row>
    <row r="45" spans="1:18" ht="31.5" customHeight="1">
      <c r="A45" s="6" t="s">
        <v>1974</v>
      </c>
      <c r="B45" s="112" t="s">
        <v>1946</v>
      </c>
      <c r="C45" s="158" t="s">
        <v>1453</v>
      </c>
      <c r="D45" s="171">
        <v>44720</v>
      </c>
      <c r="E45" s="22" t="s">
        <v>1975</v>
      </c>
      <c r="F45" s="6" t="s">
        <v>1453</v>
      </c>
      <c r="G45" s="154">
        <v>316600</v>
      </c>
      <c r="H45" s="6"/>
      <c r="I45" s="9"/>
      <c r="J45" s="9"/>
      <c r="K45" s="22" t="s">
        <v>1976</v>
      </c>
      <c r="L45" s="53"/>
      <c r="M45" s="9" t="s">
        <v>1808</v>
      </c>
      <c r="N45" s="438" t="s">
        <v>6146</v>
      </c>
      <c r="O45" s="297" t="s">
        <v>6147</v>
      </c>
      <c r="P45" s="9"/>
      <c r="Q45" s="9" t="s">
        <v>6064</v>
      </c>
      <c r="R45" s="52"/>
    </row>
    <row r="46" spans="1:18" ht="51">
      <c r="A46" s="6" t="s">
        <v>1977</v>
      </c>
      <c r="B46" s="6" t="s">
        <v>1978</v>
      </c>
      <c r="C46" s="158" t="s">
        <v>1980</v>
      </c>
      <c r="D46" s="171">
        <v>44720</v>
      </c>
      <c r="E46" s="22" t="s">
        <v>1979</v>
      </c>
      <c r="F46" s="6" t="s">
        <v>575</v>
      </c>
      <c r="G46" s="13">
        <v>400300</v>
      </c>
      <c r="H46" s="6" t="s">
        <v>1938</v>
      </c>
      <c r="I46" s="9" t="s">
        <v>1828</v>
      </c>
      <c r="J46" s="9" t="s">
        <v>1824</v>
      </c>
      <c r="K46" s="22"/>
      <c r="L46" s="53"/>
      <c r="M46" s="9" t="s">
        <v>1808</v>
      </c>
      <c r="N46" s="425"/>
      <c r="O46" s="291" t="s">
        <v>6148</v>
      </c>
      <c r="P46" s="9"/>
      <c r="Q46" s="9"/>
      <c r="R46" s="52"/>
    </row>
    <row r="47" spans="1:18" ht="49.5" customHeight="1">
      <c r="A47" s="6" t="s">
        <v>1078</v>
      </c>
      <c r="B47" s="112" t="s">
        <v>61</v>
      </c>
      <c r="C47" s="6" t="s">
        <v>62</v>
      </c>
      <c r="D47" s="113">
        <v>44720</v>
      </c>
      <c r="E47" s="22" t="s">
        <v>1079</v>
      </c>
      <c r="F47" s="6" t="s">
        <v>1080</v>
      </c>
      <c r="G47" s="13">
        <v>702000</v>
      </c>
      <c r="H47" s="6" t="s">
        <v>1981</v>
      </c>
      <c r="I47" s="9" t="s">
        <v>1828</v>
      </c>
      <c r="J47" s="9" t="s">
        <v>2018</v>
      </c>
      <c r="K47" s="22" t="s">
        <v>1982</v>
      </c>
      <c r="L47" s="53"/>
      <c r="M47" s="9" t="s">
        <v>1808</v>
      </c>
      <c r="N47" s="442" t="s">
        <v>6149</v>
      </c>
      <c r="O47" s="291" t="s">
        <v>6150</v>
      </c>
      <c r="P47" s="9" t="s">
        <v>1904</v>
      </c>
      <c r="Q47" s="9"/>
      <c r="R47" s="52"/>
    </row>
    <row r="48" spans="1:18" ht="38.25">
      <c r="A48" s="6" t="s">
        <v>618</v>
      </c>
      <c r="B48" s="112" t="s">
        <v>61</v>
      </c>
      <c r="C48" s="6" t="s">
        <v>197</v>
      </c>
      <c r="D48" s="171">
        <v>44727</v>
      </c>
      <c r="E48" s="22" t="s">
        <v>619</v>
      </c>
      <c r="F48" s="6" t="s">
        <v>620</v>
      </c>
      <c r="G48" s="57">
        <v>2001920</v>
      </c>
      <c r="H48" s="166" t="s">
        <v>1983</v>
      </c>
      <c r="I48" s="6" t="s">
        <v>2474</v>
      </c>
      <c r="J48" s="6" t="s">
        <v>6151</v>
      </c>
      <c r="K48" s="22"/>
      <c r="L48" s="179"/>
      <c r="M48" s="6" t="s">
        <v>5654</v>
      </c>
      <c r="N48" s="439" t="s">
        <v>6152</v>
      </c>
      <c r="O48" s="297" t="s">
        <v>6153</v>
      </c>
      <c r="P48" s="6" t="s">
        <v>1874</v>
      </c>
      <c r="Q48" s="6"/>
      <c r="R48" s="54"/>
    </row>
    <row r="49" spans="1:18" ht="38.25">
      <c r="A49" s="6" t="s">
        <v>621</v>
      </c>
      <c r="B49" s="112" t="s">
        <v>61</v>
      </c>
      <c r="C49" s="6" t="s">
        <v>197</v>
      </c>
      <c r="D49" s="171">
        <v>44734</v>
      </c>
      <c r="E49" s="22" t="s">
        <v>622</v>
      </c>
      <c r="F49" s="6" t="s">
        <v>623</v>
      </c>
      <c r="G49" s="57">
        <v>2435960</v>
      </c>
      <c r="H49" s="6" t="s">
        <v>1984</v>
      </c>
      <c r="I49" s="6" t="s">
        <v>6154</v>
      </c>
      <c r="J49" s="6" t="s">
        <v>6151</v>
      </c>
      <c r="K49" s="22"/>
      <c r="L49" s="179">
        <v>64</v>
      </c>
      <c r="M49" s="6" t="s">
        <v>5654</v>
      </c>
      <c r="N49" s="426"/>
      <c r="O49" s="297" t="s">
        <v>6155</v>
      </c>
      <c r="P49" s="6" t="s">
        <v>1874</v>
      </c>
      <c r="Q49" s="6"/>
      <c r="R49" s="54"/>
    </row>
    <row r="50" spans="1:18" ht="127.5">
      <c r="A50" s="112" t="s">
        <v>1081</v>
      </c>
      <c r="B50" s="112" t="s">
        <v>61</v>
      </c>
      <c r="C50" s="112" t="s">
        <v>76</v>
      </c>
      <c r="D50" s="134">
        <v>44734</v>
      </c>
      <c r="E50" s="118" t="s">
        <v>1082</v>
      </c>
      <c r="F50" s="112" t="s">
        <v>1083</v>
      </c>
      <c r="G50" s="428" t="s">
        <v>22</v>
      </c>
      <c r="H50" s="112" t="s">
        <v>1985</v>
      </c>
      <c r="I50" s="112" t="s">
        <v>1828</v>
      </c>
      <c r="J50" s="112" t="s">
        <v>2018</v>
      </c>
      <c r="K50" s="118" t="s">
        <v>1986</v>
      </c>
      <c r="L50" s="440"/>
      <c r="M50" s="112" t="s">
        <v>5654</v>
      </c>
      <c r="N50" s="445" t="s">
        <v>6156</v>
      </c>
      <c r="O50" s="431" t="s">
        <v>6157</v>
      </c>
      <c r="P50" s="9" t="s">
        <v>1904</v>
      </c>
      <c r="Q50" s="112" t="s">
        <v>6158</v>
      </c>
      <c r="R50" s="54"/>
    </row>
    <row r="51" spans="1:18" ht="140.25">
      <c r="A51" s="6" t="s">
        <v>1465</v>
      </c>
      <c r="B51" s="112" t="s">
        <v>61</v>
      </c>
      <c r="C51" s="6" t="s">
        <v>1420</v>
      </c>
      <c r="D51" s="7">
        <v>44734</v>
      </c>
      <c r="E51" s="22" t="s">
        <v>1466</v>
      </c>
      <c r="F51" s="6" t="s">
        <v>575</v>
      </c>
      <c r="G51" s="8">
        <v>75130</v>
      </c>
      <c r="H51" s="6" t="s">
        <v>22</v>
      </c>
      <c r="I51" s="6" t="s">
        <v>1828</v>
      </c>
      <c r="J51" s="6" t="s">
        <v>1862</v>
      </c>
      <c r="K51" s="22" t="s">
        <v>1987</v>
      </c>
      <c r="L51" s="179"/>
      <c r="M51" s="6" t="s">
        <v>22</v>
      </c>
      <c r="N51" s="423" t="s">
        <v>6159</v>
      </c>
      <c r="O51" s="291" t="s">
        <v>6160</v>
      </c>
      <c r="P51" s="6"/>
      <c r="Q51" s="6" t="s">
        <v>6161</v>
      </c>
      <c r="R51" s="54"/>
    </row>
    <row r="52" spans="1:18" ht="127.5">
      <c r="A52" s="6" t="s">
        <v>1988</v>
      </c>
      <c r="B52" s="112" t="s">
        <v>1883</v>
      </c>
      <c r="C52" s="6" t="s">
        <v>1383</v>
      </c>
      <c r="D52" s="7">
        <v>44734</v>
      </c>
      <c r="E52" s="22" t="s">
        <v>1989</v>
      </c>
      <c r="F52" s="6" t="s">
        <v>575</v>
      </c>
      <c r="G52" s="8">
        <v>1186064</v>
      </c>
      <c r="H52" s="6" t="s">
        <v>22</v>
      </c>
      <c r="I52" s="6" t="s">
        <v>1828</v>
      </c>
      <c r="J52" s="6" t="s">
        <v>1862</v>
      </c>
      <c r="K52" s="22" t="s">
        <v>1990</v>
      </c>
      <c r="L52" s="179"/>
      <c r="M52" s="6" t="s">
        <v>22</v>
      </c>
      <c r="N52" s="190"/>
      <c r="O52" s="291" t="s">
        <v>6162</v>
      </c>
      <c r="P52" s="6"/>
      <c r="Q52" s="6" t="s">
        <v>6064</v>
      </c>
      <c r="R52" s="54"/>
    </row>
    <row r="53" spans="1:18" ht="45.75" customHeight="1">
      <c r="A53" s="6" t="s">
        <v>1991</v>
      </c>
      <c r="B53" s="6" t="s">
        <v>1992</v>
      </c>
      <c r="C53" s="6" t="s">
        <v>1099</v>
      </c>
      <c r="D53" s="7">
        <v>44734</v>
      </c>
      <c r="E53" s="22" t="s">
        <v>1993</v>
      </c>
      <c r="F53" s="6" t="s">
        <v>575</v>
      </c>
      <c r="G53" s="8" t="s">
        <v>22</v>
      </c>
      <c r="H53" s="6" t="s">
        <v>22</v>
      </c>
      <c r="I53" s="6" t="s">
        <v>1828</v>
      </c>
      <c r="J53" s="6" t="s">
        <v>1862</v>
      </c>
      <c r="K53" s="446" t="s">
        <v>1994</v>
      </c>
      <c r="L53" s="179"/>
      <c r="M53" s="6" t="s">
        <v>22</v>
      </c>
      <c r="N53" s="190"/>
      <c r="O53" s="291" t="s">
        <v>6163</v>
      </c>
      <c r="P53" s="9" t="s">
        <v>1904</v>
      </c>
      <c r="Q53" s="6" t="s">
        <v>6064</v>
      </c>
      <c r="R53" s="54"/>
    </row>
    <row r="54" spans="1:18" ht="51">
      <c r="A54" s="6" t="s">
        <v>1995</v>
      </c>
      <c r="B54" s="6" t="s">
        <v>1996</v>
      </c>
      <c r="C54" s="6" t="s">
        <v>62</v>
      </c>
      <c r="D54" s="7">
        <v>44734</v>
      </c>
      <c r="E54" s="22" t="s">
        <v>1997</v>
      </c>
      <c r="F54" s="6" t="s">
        <v>575</v>
      </c>
      <c r="G54" s="8" t="s">
        <v>22</v>
      </c>
      <c r="H54" s="6" t="s">
        <v>22</v>
      </c>
      <c r="I54" s="6" t="s">
        <v>1828</v>
      </c>
      <c r="J54" s="6" t="s">
        <v>1862</v>
      </c>
      <c r="K54" s="446" t="s">
        <v>1998</v>
      </c>
      <c r="L54" s="179"/>
      <c r="M54" s="6" t="s">
        <v>22</v>
      </c>
      <c r="N54" s="190"/>
      <c r="O54" s="291" t="s">
        <v>6164</v>
      </c>
      <c r="P54" s="9" t="s">
        <v>1904</v>
      </c>
      <c r="Q54" s="292" t="s">
        <v>1867</v>
      </c>
      <c r="R54" s="54"/>
    </row>
    <row r="55" spans="1:18" ht="64.5" customHeight="1">
      <c r="A55" s="6" t="s">
        <v>1999</v>
      </c>
      <c r="B55" s="6" t="s">
        <v>1842</v>
      </c>
      <c r="C55" s="6" t="s">
        <v>22</v>
      </c>
      <c r="D55" s="7">
        <v>44734</v>
      </c>
      <c r="E55" s="22" t="s">
        <v>2000</v>
      </c>
      <c r="F55" s="6" t="s">
        <v>575</v>
      </c>
      <c r="G55" s="8" t="s">
        <v>22</v>
      </c>
      <c r="H55" s="6" t="s">
        <v>22</v>
      </c>
      <c r="I55" s="6" t="s">
        <v>1828</v>
      </c>
      <c r="J55" s="6" t="s">
        <v>1862</v>
      </c>
      <c r="K55" s="22" t="s">
        <v>2001</v>
      </c>
      <c r="L55" s="179"/>
      <c r="M55" s="6" t="s">
        <v>22</v>
      </c>
      <c r="N55" s="190"/>
      <c r="O55" s="291" t="s">
        <v>6165</v>
      </c>
      <c r="P55" s="6"/>
      <c r="Q55" s="6" t="s">
        <v>6064</v>
      </c>
      <c r="R55" s="54"/>
    </row>
    <row r="56" spans="1:18" ht="54" customHeight="1">
      <c r="A56" s="6" t="s">
        <v>2002</v>
      </c>
      <c r="B56" s="6" t="s">
        <v>1883</v>
      </c>
      <c r="C56" s="6" t="s">
        <v>22</v>
      </c>
      <c r="D56" s="7">
        <v>44736</v>
      </c>
      <c r="E56" s="22" t="s">
        <v>2003</v>
      </c>
      <c r="F56" s="6" t="s">
        <v>575</v>
      </c>
      <c r="G56" s="8" t="s">
        <v>22</v>
      </c>
      <c r="H56" s="6" t="s">
        <v>22</v>
      </c>
      <c r="I56" s="6" t="s">
        <v>1828</v>
      </c>
      <c r="J56" s="6" t="s">
        <v>1862</v>
      </c>
      <c r="K56" s="22" t="s">
        <v>2004</v>
      </c>
      <c r="L56" s="179"/>
      <c r="M56" s="6" t="s">
        <v>22</v>
      </c>
      <c r="N56" s="447" t="s">
        <v>6166</v>
      </c>
      <c r="O56" s="297" t="s">
        <v>6167</v>
      </c>
      <c r="P56" s="6"/>
      <c r="Q56" s="6" t="s">
        <v>6168</v>
      </c>
      <c r="R56" s="54"/>
    </row>
    <row r="57" spans="1:18" ht="127.5">
      <c r="A57" s="6" t="s">
        <v>2005</v>
      </c>
      <c r="B57" s="6" t="s">
        <v>2006</v>
      </c>
      <c r="C57" s="6" t="s">
        <v>22</v>
      </c>
      <c r="D57" s="7">
        <v>44736</v>
      </c>
      <c r="E57" s="22" t="s">
        <v>2007</v>
      </c>
      <c r="F57" s="6" t="s">
        <v>575</v>
      </c>
      <c r="G57" s="8" t="s">
        <v>22</v>
      </c>
      <c r="H57" s="6" t="s">
        <v>22</v>
      </c>
      <c r="I57" s="6" t="s">
        <v>1828</v>
      </c>
      <c r="J57" s="6" t="s">
        <v>1862</v>
      </c>
      <c r="K57" s="22" t="s">
        <v>2008</v>
      </c>
      <c r="L57" s="179"/>
      <c r="M57" s="6" t="s">
        <v>22</v>
      </c>
      <c r="N57" s="190"/>
      <c r="O57" s="291" t="s">
        <v>6169</v>
      </c>
      <c r="P57" s="6"/>
      <c r="Q57" s="6" t="s">
        <v>6170</v>
      </c>
      <c r="R57" s="54"/>
    </row>
    <row r="58" spans="1:18" ht="89.25">
      <c r="A58" s="6" t="s">
        <v>1084</v>
      </c>
      <c r="B58" s="112" t="s">
        <v>61</v>
      </c>
      <c r="C58" s="6" t="s">
        <v>62</v>
      </c>
      <c r="D58" s="7">
        <v>44741</v>
      </c>
      <c r="E58" s="22" t="s">
        <v>1085</v>
      </c>
      <c r="F58" s="6" t="s">
        <v>1086</v>
      </c>
      <c r="G58" s="8">
        <v>923252</v>
      </c>
      <c r="H58" s="6" t="s">
        <v>2009</v>
      </c>
      <c r="I58" s="6" t="s">
        <v>6171</v>
      </c>
      <c r="J58" s="6" t="s">
        <v>2018</v>
      </c>
      <c r="K58" s="22" t="s">
        <v>2010</v>
      </c>
      <c r="L58" s="179"/>
      <c r="M58" s="6" t="s">
        <v>5650</v>
      </c>
      <c r="N58" s="291" t="s">
        <v>6172</v>
      </c>
      <c r="O58" s="291" t="s">
        <v>6173</v>
      </c>
      <c r="P58" s="9" t="s">
        <v>1904</v>
      </c>
      <c r="Q58" s="6" t="s">
        <v>6174</v>
      </c>
      <c r="R58" s="54"/>
    </row>
    <row r="59" spans="1:18" ht="102">
      <c r="A59" s="6" t="s">
        <v>1087</v>
      </c>
      <c r="B59" s="112" t="s">
        <v>61</v>
      </c>
      <c r="C59" s="6" t="s">
        <v>62</v>
      </c>
      <c r="D59" s="7">
        <v>44748</v>
      </c>
      <c r="E59" s="22" t="s">
        <v>1088</v>
      </c>
      <c r="F59" s="6" t="s">
        <v>1089</v>
      </c>
      <c r="G59" s="8">
        <v>494868.75</v>
      </c>
      <c r="H59" s="6" t="s">
        <v>2011</v>
      </c>
      <c r="I59" s="6" t="s">
        <v>6171</v>
      </c>
      <c r="J59" s="6" t="s">
        <v>2018</v>
      </c>
      <c r="K59" s="22" t="s">
        <v>2012</v>
      </c>
      <c r="L59" s="179"/>
      <c r="M59" s="6" t="s">
        <v>5650</v>
      </c>
      <c r="N59" s="291" t="s">
        <v>6175</v>
      </c>
      <c r="O59" s="297" t="s">
        <v>6176</v>
      </c>
      <c r="P59" s="9" t="s">
        <v>1904</v>
      </c>
      <c r="Q59" s="6" t="s">
        <v>6170</v>
      </c>
      <c r="R59" s="54"/>
    </row>
    <row r="60" spans="1:18" ht="25.5">
      <c r="A60" s="6" t="s">
        <v>2013</v>
      </c>
      <c r="B60" s="6" t="s">
        <v>2014</v>
      </c>
      <c r="C60" s="6" t="s">
        <v>1420</v>
      </c>
      <c r="D60" s="7">
        <v>44748</v>
      </c>
      <c r="E60" s="22" t="s">
        <v>2015</v>
      </c>
      <c r="F60" s="6" t="s">
        <v>575</v>
      </c>
      <c r="G60" s="8" t="s">
        <v>22</v>
      </c>
      <c r="H60" s="6" t="s">
        <v>22</v>
      </c>
      <c r="I60" s="6" t="s">
        <v>1828</v>
      </c>
      <c r="J60" s="6" t="s">
        <v>1862</v>
      </c>
      <c r="K60" s="22" t="s">
        <v>2016</v>
      </c>
      <c r="L60" s="179"/>
      <c r="M60" s="6" t="s">
        <v>22</v>
      </c>
      <c r="N60" s="190"/>
      <c r="O60" s="291" t="s">
        <v>6177</v>
      </c>
      <c r="P60" s="6"/>
      <c r="Q60" s="6"/>
      <c r="R60" s="54"/>
    </row>
    <row r="61" spans="1:18" ht="38.25">
      <c r="A61" s="6" t="s">
        <v>2017</v>
      </c>
      <c r="B61" s="6" t="s">
        <v>2014</v>
      </c>
      <c r="C61" s="6" t="s">
        <v>62</v>
      </c>
      <c r="D61" s="7">
        <v>44755</v>
      </c>
      <c r="E61" s="22" t="s">
        <v>2019</v>
      </c>
      <c r="F61" s="6" t="s">
        <v>1089</v>
      </c>
      <c r="G61" s="8">
        <v>494868.75</v>
      </c>
      <c r="H61" s="6" t="s">
        <v>2011</v>
      </c>
      <c r="I61" s="6" t="s">
        <v>6171</v>
      </c>
      <c r="J61" s="6" t="s">
        <v>2018</v>
      </c>
      <c r="K61" s="22" t="s">
        <v>2016</v>
      </c>
      <c r="L61" s="179"/>
      <c r="M61" s="6" t="s">
        <v>5650</v>
      </c>
      <c r="N61" s="179"/>
      <c r="O61" s="291" t="s">
        <v>6178</v>
      </c>
      <c r="P61" s="9" t="s">
        <v>1904</v>
      </c>
      <c r="Q61" s="152" t="s">
        <v>1867</v>
      </c>
      <c r="R61" s="54"/>
    </row>
    <row r="62" spans="1:18" ht="38.25">
      <c r="A62" s="6" t="s">
        <v>2020</v>
      </c>
      <c r="B62" s="112" t="s">
        <v>61</v>
      </c>
      <c r="C62" s="6"/>
      <c r="D62" s="7">
        <v>44776</v>
      </c>
      <c r="E62" s="22" t="s">
        <v>1088</v>
      </c>
      <c r="F62" s="6" t="s">
        <v>1089</v>
      </c>
      <c r="G62" s="8">
        <v>494868.75</v>
      </c>
      <c r="H62" s="6" t="s">
        <v>2011</v>
      </c>
      <c r="I62" s="6" t="s">
        <v>6171</v>
      </c>
      <c r="J62" s="6" t="s">
        <v>2018</v>
      </c>
      <c r="K62" s="22"/>
      <c r="L62" s="179"/>
      <c r="M62" s="6" t="s">
        <v>6179</v>
      </c>
      <c r="N62" s="22" t="s">
        <v>1088</v>
      </c>
      <c r="O62" s="297" t="s">
        <v>6180</v>
      </c>
      <c r="P62" s="9" t="s">
        <v>1904</v>
      </c>
      <c r="Q62" s="6"/>
      <c r="R62" s="54"/>
    </row>
    <row r="63" spans="1:18" ht="38.25">
      <c r="A63" s="6" t="s">
        <v>2020</v>
      </c>
      <c r="B63" s="6"/>
      <c r="C63" s="6" t="s">
        <v>62</v>
      </c>
      <c r="D63" s="7">
        <v>44755</v>
      </c>
      <c r="E63" s="22" t="s">
        <v>2021</v>
      </c>
      <c r="F63" s="6" t="s">
        <v>1089</v>
      </c>
      <c r="G63" s="8">
        <v>494868.75</v>
      </c>
      <c r="H63" s="6" t="s">
        <v>2011</v>
      </c>
      <c r="I63" s="6" t="s">
        <v>6171</v>
      </c>
      <c r="J63" s="6" t="s">
        <v>2018</v>
      </c>
      <c r="K63" s="22" t="s">
        <v>2016</v>
      </c>
      <c r="L63" s="179"/>
      <c r="M63" s="6" t="s">
        <v>5650</v>
      </c>
      <c r="N63" s="179"/>
      <c r="O63" s="297" t="s">
        <v>6180</v>
      </c>
      <c r="P63" s="9" t="s">
        <v>1904</v>
      </c>
      <c r="Q63" s="152" t="s">
        <v>1867</v>
      </c>
      <c r="R63" s="54"/>
    </row>
    <row r="64" spans="1:18" ht="140.25">
      <c r="A64" s="112" t="s">
        <v>2022</v>
      </c>
      <c r="B64" s="112" t="s">
        <v>3096</v>
      </c>
      <c r="C64" s="112" t="s">
        <v>394</v>
      </c>
      <c r="D64" s="134">
        <v>44776</v>
      </c>
      <c r="E64" s="118" t="s">
        <v>610</v>
      </c>
      <c r="F64" s="112" t="s">
        <v>575</v>
      </c>
      <c r="G64" s="428">
        <v>0</v>
      </c>
      <c r="H64" s="112" t="s">
        <v>22</v>
      </c>
      <c r="I64" s="112" t="s">
        <v>1828</v>
      </c>
      <c r="J64" s="112" t="s">
        <v>1862</v>
      </c>
      <c r="K64" s="118" t="s">
        <v>2023</v>
      </c>
      <c r="L64" s="440"/>
      <c r="M64" s="9" t="s">
        <v>1808</v>
      </c>
      <c r="N64" s="448" t="s">
        <v>6181</v>
      </c>
      <c r="O64" s="431" t="s">
        <v>6182</v>
      </c>
      <c r="P64" s="115" t="s">
        <v>1853</v>
      </c>
      <c r="Q64" s="112" t="s">
        <v>6183</v>
      </c>
      <c r="R64" s="54"/>
    </row>
    <row r="65" spans="1:18" ht="60">
      <c r="A65" s="6" t="s">
        <v>2024</v>
      </c>
      <c r="B65" s="6" t="s">
        <v>1867</v>
      </c>
      <c r="C65" s="6" t="s">
        <v>2029</v>
      </c>
      <c r="D65" s="7">
        <v>44776</v>
      </c>
      <c r="E65" s="135" t="s">
        <v>2025</v>
      </c>
      <c r="F65" s="6" t="s">
        <v>2026</v>
      </c>
      <c r="G65" s="8"/>
      <c r="H65" s="6" t="s">
        <v>2027</v>
      </c>
      <c r="I65" s="6" t="s">
        <v>1828</v>
      </c>
      <c r="J65" s="6" t="s">
        <v>2018</v>
      </c>
      <c r="K65" s="22" t="s">
        <v>2028</v>
      </c>
      <c r="L65" s="179"/>
      <c r="M65" s="6" t="s">
        <v>5654</v>
      </c>
      <c r="N65" s="190"/>
      <c r="O65" s="297" t="s">
        <v>6184</v>
      </c>
      <c r="P65" s="6"/>
      <c r="Q65" s="6"/>
      <c r="R65" s="54"/>
    </row>
    <row r="66" spans="1:18" ht="45">
      <c r="A66" s="6" t="s">
        <v>1467</v>
      </c>
      <c r="B66" s="112" t="s">
        <v>61</v>
      </c>
      <c r="C66" s="6" t="s">
        <v>1468</v>
      </c>
      <c r="D66" s="7">
        <v>44776</v>
      </c>
      <c r="E66" s="449" t="s">
        <v>1469</v>
      </c>
      <c r="F66" s="6" t="s">
        <v>1451</v>
      </c>
      <c r="G66" s="8">
        <v>200000</v>
      </c>
      <c r="H66" s="6" t="s">
        <v>2030</v>
      </c>
      <c r="I66" s="6" t="s">
        <v>6185</v>
      </c>
      <c r="J66" s="6" t="s">
        <v>6186</v>
      </c>
      <c r="K66" s="450" t="s">
        <v>2032</v>
      </c>
      <c r="L66" s="179"/>
      <c r="M66" s="9" t="s">
        <v>1808</v>
      </c>
      <c r="N66" s="56"/>
      <c r="O66" s="297" t="s">
        <v>6187</v>
      </c>
      <c r="P66" s="6" t="s">
        <v>82</v>
      </c>
      <c r="Q66" s="6" t="s">
        <v>6064</v>
      </c>
      <c r="R66" s="54"/>
    </row>
    <row r="67" spans="1:18" ht="102">
      <c r="A67" s="6" t="s">
        <v>2033</v>
      </c>
      <c r="B67" s="6" t="s">
        <v>2034</v>
      </c>
      <c r="C67" s="6" t="s">
        <v>22</v>
      </c>
      <c r="D67" s="7">
        <v>44776</v>
      </c>
      <c r="E67" s="451" t="s">
        <v>2035</v>
      </c>
      <c r="F67" s="6" t="s">
        <v>575</v>
      </c>
      <c r="G67" s="8" t="s">
        <v>22</v>
      </c>
      <c r="H67" s="6" t="s">
        <v>22</v>
      </c>
      <c r="I67" s="6" t="s">
        <v>1828</v>
      </c>
      <c r="J67" s="6" t="s">
        <v>1862</v>
      </c>
      <c r="K67" s="136" t="s">
        <v>2036</v>
      </c>
      <c r="L67" s="179"/>
      <c r="M67" s="6" t="s">
        <v>22</v>
      </c>
      <c r="N67" s="190"/>
      <c r="O67" s="291" t="s">
        <v>6188</v>
      </c>
      <c r="P67" s="6"/>
      <c r="Q67" s="6" t="s">
        <v>6189</v>
      </c>
      <c r="R67" s="54"/>
    </row>
    <row r="68" spans="1:18" ht="127.5">
      <c r="A68" s="6" t="s">
        <v>1090</v>
      </c>
      <c r="B68" s="112" t="s">
        <v>61</v>
      </c>
      <c r="C68" s="6" t="s">
        <v>62</v>
      </c>
      <c r="D68" s="31">
        <v>44783</v>
      </c>
      <c r="E68" s="135" t="s">
        <v>1091</v>
      </c>
      <c r="F68" s="6" t="s">
        <v>1092</v>
      </c>
      <c r="G68" s="8">
        <v>998550</v>
      </c>
      <c r="H68" s="6" t="s">
        <v>2038</v>
      </c>
      <c r="I68" s="6" t="s">
        <v>1879</v>
      </c>
      <c r="J68" s="6" t="s">
        <v>2018</v>
      </c>
      <c r="K68" s="22" t="s">
        <v>2039</v>
      </c>
      <c r="L68" s="53"/>
      <c r="M68" s="9" t="s">
        <v>5650</v>
      </c>
      <c r="N68" s="22"/>
      <c r="O68" s="291" t="s">
        <v>6190</v>
      </c>
      <c r="P68" s="9" t="s">
        <v>1904</v>
      </c>
      <c r="Q68" s="6" t="s">
        <v>6189</v>
      </c>
      <c r="R68" s="54"/>
    </row>
    <row r="69" spans="1:18" ht="38.25">
      <c r="A69" s="112" t="s">
        <v>624</v>
      </c>
      <c r="B69" s="112" t="s">
        <v>61</v>
      </c>
      <c r="C69" s="112" t="s">
        <v>1877</v>
      </c>
      <c r="D69" s="134">
        <v>44799</v>
      </c>
      <c r="E69" s="118" t="s">
        <v>625</v>
      </c>
      <c r="F69" s="209" t="s">
        <v>626</v>
      </c>
      <c r="G69" s="428">
        <v>31804.6</v>
      </c>
      <c r="H69" s="112" t="s">
        <v>2046</v>
      </c>
      <c r="I69" s="112" t="s">
        <v>2047</v>
      </c>
      <c r="J69" s="112" t="s">
        <v>2018</v>
      </c>
      <c r="K69" s="118" t="s">
        <v>2048</v>
      </c>
      <c r="L69" s="440"/>
      <c r="M69" s="112" t="s">
        <v>5654</v>
      </c>
      <c r="N69" s="209"/>
      <c r="O69" s="434" t="s">
        <v>6191</v>
      </c>
      <c r="P69" s="115" t="s">
        <v>1853</v>
      </c>
      <c r="Q69" s="112" t="s">
        <v>6104</v>
      </c>
      <c r="R69" s="54"/>
    </row>
    <row r="70" spans="1:18" ht="51">
      <c r="A70" s="112" t="s">
        <v>627</v>
      </c>
      <c r="B70" s="112" t="s">
        <v>61</v>
      </c>
      <c r="C70" s="112" t="s">
        <v>1877</v>
      </c>
      <c r="D70" s="134">
        <v>44825</v>
      </c>
      <c r="E70" s="118" t="s">
        <v>628</v>
      </c>
      <c r="F70" s="209" t="s">
        <v>629</v>
      </c>
      <c r="G70" s="428">
        <v>10160</v>
      </c>
      <c r="H70" s="112" t="s">
        <v>2064</v>
      </c>
      <c r="I70" s="112" t="s">
        <v>2031</v>
      </c>
      <c r="J70" s="112" t="s">
        <v>2018</v>
      </c>
      <c r="K70" s="118" t="s">
        <v>2065</v>
      </c>
      <c r="L70" s="440"/>
      <c r="M70" s="112" t="s">
        <v>5650</v>
      </c>
      <c r="N70" s="209"/>
      <c r="O70" s="434" t="s">
        <v>6192</v>
      </c>
      <c r="P70" s="115" t="s">
        <v>1853</v>
      </c>
      <c r="Q70" s="112" t="s">
        <v>6108</v>
      </c>
      <c r="R70" s="54"/>
    </row>
    <row r="71" spans="1:18" ht="153">
      <c r="A71" s="6" t="s">
        <v>1470</v>
      </c>
      <c r="B71" s="112" t="s">
        <v>61</v>
      </c>
      <c r="C71" s="6" t="s">
        <v>1471</v>
      </c>
      <c r="D71" s="7">
        <v>44790</v>
      </c>
      <c r="E71" s="22" t="s">
        <v>1472</v>
      </c>
      <c r="F71" s="6" t="s">
        <v>1473</v>
      </c>
      <c r="G71" s="8">
        <v>300000</v>
      </c>
      <c r="H71" s="6"/>
      <c r="I71" s="6" t="s">
        <v>6193</v>
      </c>
      <c r="J71" s="6" t="s">
        <v>6186</v>
      </c>
      <c r="K71" s="22" t="s">
        <v>2045</v>
      </c>
      <c r="L71" s="179"/>
      <c r="M71" s="9" t="s">
        <v>1808</v>
      </c>
      <c r="N71" s="56"/>
      <c r="O71" s="291" t="s">
        <v>6194</v>
      </c>
      <c r="P71" s="6" t="s">
        <v>82</v>
      </c>
      <c r="Q71" s="6" t="s">
        <v>6064</v>
      </c>
      <c r="R71" s="54"/>
    </row>
    <row r="72" spans="1:18" ht="36.75" customHeight="1">
      <c r="A72" s="112" t="s">
        <v>630</v>
      </c>
      <c r="B72" s="112" t="s">
        <v>61</v>
      </c>
      <c r="C72" s="112" t="s">
        <v>1877</v>
      </c>
      <c r="D72" s="134">
        <v>44832</v>
      </c>
      <c r="E72" s="118" t="s">
        <v>631</v>
      </c>
      <c r="F72" s="209" t="s">
        <v>632</v>
      </c>
      <c r="G72" s="428">
        <v>199727</v>
      </c>
      <c r="H72" s="112" t="s">
        <v>2070</v>
      </c>
      <c r="I72" s="112" t="s">
        <v>1899</v>
      </c>
      <c r="J72" s="112" t="s">
        <v>2018</v>
      </c>
      <c r="K72" s="118" t="s">
        <v>2071</v>
      </c>
      <c r="L72" s="440"/>
      <c r="M72" s="112" t="s">
        <v>5654</v>
      </c>
      <c r="N72" s="445" t="s">
        <v>6195</v>
      </c>
      <c r="O72" s="434" t="s">
        <v>6196</v>
      </c>
      <c r="P72" s="115" t="s">
        <v>1853</v>
      </c>
      <c r="Q72" s="112" t="s">
        <v>6092</v>
      </c>
      <c r="R72" s="54"/>
    </row>
    <row r="73" spans="1:18" ht="89.25">
      <c r="A73" s="6" t="s">
        <v>1474</v>
      </c>
      <c r="B73" s="112" t="s">
        <v>61</v>
      </c>
      <c r="C73" s="6" t="s">
        <v>1420</v>
      </c>
      <c r="D73" s="7">
        <v>44782</v>
      </c>
      <c r="E73" s="22" t="s">
        <v>1475</v>
      </c>
      <c r="F73" s="6" t="s">
        <v>575</v>
      </c>
      <c r="G73" s="8" t="s">
        <v>22</v>
      </c>
      <c r="H73" s="6" t="s">
        <v>22</v>
      </c>
      <c r="I73" s="6" t="s">
        <v>1828</v>
      </c>
      <c r="J73" s="6" t="s">
        <v>1862</v>
      </c>
      <c r="K73" s="22" t="s">
        <v>2049</v>
      </c>
      <c r="L73" s="179"/>
      <c r="M73" s="6" t="s">
        <v>22</v>
      </c>
      <c r="N73" s="56"/>
      <c r="O73" s="297" t="s">
        <v>6197</v>
      </c>
      <c r="P73" s="6" t="s">
        <v>82</v>
      </c>
      <c r="Q73" s="6" t="s">
        <v>6064</v>
      </c>
      <c r="R73" s="54"/>
    </row>
    <row r="74" spans="1:18" ht="63.75">
      <c r="A74" s="6" t="s">
        <v>1093</v>
      </c>
      <c r="B74" s="112" t="s">
        <v>61</v>
      </c>
      <c r="C74" s="6" t="s">
        <v>62</v>
      </c>
      <c r="D74" s="7">
        <v>44811</v>
      </c>
      <c r="E74" s="22" t="s">
        <v>1094</v>
      </c>
      <c r="F74" s="6" t="s">
        <v>1095</v>
      </c>
      <c r="G74" s="8">
        <v>1503212.5</v>
      </c>
      <c r="H74" s="6" t="s">
        <v>2050</v>
      </c>
      <c r="I74" s="6" t="s">
        <v>6198</v>
      </c>
      <c r="J74" s="6" t="s">
        <v>2018</v>
      </c>
      <c r="K74" s="22" t="s">
        <v>2052</v>
      </c>
      <c r="L74" s="179"/>
      <c r="M74" s="6" t="s">
        <v>5650</v>
      </c>
      <c r="N74" s="291" t="s">
        <v>6199</v>
      </c>
      <c r="O74" s="291" t="s">
        <v>6200</v>
      </c>
      <c r="P74" s="9" t="s">
        <v>1904</v>
      </c>
      <c r="Q74" s="6" t="s">
        <v>6104</v>
      </c>
      <c r="R74" s="54"/>
    </row>
    <row r="75" spans="1:18" ht="25.5">
      <c r="A75" s="6" t="s">
        <v>2053</v>
      </c>
      <c r="B75" s="6" t="s">
        <v>1867</v>
      </c>
      <c r="C75" s="6" t="s">
        <v>62</v>
      </c>
      <c r="D75" s="7">
        <v>44818</v>
      </c>
      <c r="E75" s="22" t="s">
        <v>2054</v>
      </c>
      <c r="F75" s="6" t="s">
        <v>2055</v>
      </c>
      <c r="G75" s="8" t="s">
        <v>22</v>
      </c>
      <c r="H75" s="6" t="s">
        <v>2056</v>
      </c>
      <c r="I75" s="6" t="s">
        <v>1828</v>
      </c>
      <c r="J75" s="6" t="s">
        <v>2018</v>
      </c>
      <c r="K75" s="22" t="s">
        <v>2028</v>
      </c>
      <c r="L75" s="179"/>
      <c r="M75" s="6" t="s">
        <v>5654</v>
      </c>
      <c r="N75" s="179"/>
      <c r="O75" s="291" t="s">
        <v>6201</v>
      </c>
      <c r="P75" s="9" t="s">
        <v>1904</v>
      </c>
      <c r="Q75" s="152" t="s">
        <v>1867</v>
      </c>
      <c r="R75" s="54"/>
    </row>
    <row r="76" spans="1:18" ht="165.75">
      <c r="A76" s="6" t="s">
        <v>1476</v>
      </c>
      <c r="B76" s="112" t="s">
        <v>61</v>
      </c>
      <c r="C76" s="6" t="s">
        <v>1468</v>
      </c>
      <c r="D76" s="7">
        <v>44818</v>
      </c>
      <c r="E76" s="22" t="s">
        <v>1477</v>
      </c>
      <c r="F76" s="6" t="s">
        <v>1478</v>
      </c>
      <c r="G76" s="8">
        <v>200000</v>
      </c>
      <c r="H76" s="6" t="s">
        <v>2057</v>
      </c>
      <c r="I76" s="6" t="s">
        <v>1879</v>
      </c>
      <c r="J76" s="6" t="s">
        <v>2018</v>
      </c>
      <c r="K76" s="22" t="s">
        <v>2058</v>
      </c>
      <c r="L76" s="179"/>
      <c r="M76" s="6" t="s">
        <v>22</v>
      </c>
      <c r="N76" s="56"/>
      <c r="O76" s="291" t="s">
        <v>6202</v>
      </c>
      <c r="P76" s="6" t="s">
        <v>82</v>
      </c>
      <c r="Q76" s="6" t="s">
        <v>6092</v>
      </c>
      <c r="R76" s="54"/>
    </row>
    <row r="77" spans="1:18" ht="140.25">
      <c r="A77" s="6" t="s">
        <v>1479</v>
      </c>
      <c r="B77" s="112" t="s">
        <v>61</v>
      </c>
      <c r="C77" s="6" t="s">
        <v>1480</v>
      </c>
      <c r="D77" s="7">
        <v>44818</v>
      </c>
      <c r="E77" s="22" t="s">
        <v>1481</v>
      </c>
      <c r="F77" s="6" t="s">
        <v>2059</v>
      </c>
      <c r="G77" s="8">
        <v>350500</v>
      </c>
      <c r="H77" s="6"/>
      <c r="I77" s="6" t="s">
        <v>1828</v>
      </c>
      <c r="J77" s="6" t="s">
        <v>2018</v>
      </c>
      <c r="K77" s="22" t="s">
        <v>2060</v>
      </c>
      <c r="L77" s="179"/>
      <c r="M77" s="6" t="s">
        <v>22</v>
      </c>
      <c r="N77" s="56"/>
      <c r="O77" s="291" t="s">
        <v>6203</v>
      </c>
      <c r="P77" s="6" t="s">
        <v>82</v>
      </c>
      <c r="Q77" s="6" t="s">
        <v>6064</v>
      </c>
      <c r="R77" s="54"/>
    </row>
    <row r="78" spans="1:18" ht="89.25">
      <c r="A78" s="6" t="s">
        <v>1483</v>
      </c>
      <c r="B78" s="112" t="s">
        <v>61</v>
      </c>
      <c r="C78" s="6" t="s">
        <v>1420</v>
      </c>
      <c r="D78" s="7">
        <v>44818</v>
      </c>
      <c r="E78" s="22" t="s">
        <v>1484</v>
      </c>
      <c r="F78" s="6" t="s">
        <v>575</v>
      </c>
      <c r="G78" s="6" t="s">
        <v>22</v>
      </c>
      <c r="H78" s="6" t="s">
        <v>22</v>
      </c>
      <c r="I78" s="6" t="s">
        <v>1828</v>
      </c>
      <c r="J78" s="6"/>
      <c r="K78" s="22" t="s">
        <v>2061</v>
      </c>
      <c r="L78" s="179"/>
      <c r="M78" s="6" t="s">
        <v>22</v>
      </c>
      <c r="N78" s="56"/>
      <c r="O78" s="291" t="s">
        <v>6204</v>
      </c>
      <c r="P78" s="6" t="s">
        <v>6205</v>
      </c>
      <c r="Q78" s="6" t="s">
        <v>6206</v>
      </c>
      <c r="R78" s="54"/>
    </row>
    <row r="79" spans="1:18" ht="89.25">
      <c r="A79" s="6" t="s">
        <v>633</v>
      </c>
      <c r="B79" s="112" t="s">
        <v>61</v>
      </c>
      <c r="C79" s="6" t="s">
        <v>125</v>
      </c>
      <c r="D79" s="7">
        <v>44825</v>
      </c>
      <c r="E79" s="22" t="s">
        <v>634</v>
      </c>
      <c r="F79" s="6" t="s">
        <v>635</v>
      </c>
      <c r="G79" s="57">
        <v>2251504</v>
      </c>
      <c r="H79" s="6" t="s">
        <v>2062</v>
      </c>
      <c r="I79" s="6" t="s">
        <v>6207</v>
      </c>
      <c r="J79" s="6" t="s">
        <v>6208</v>
      </c>
      <c r="K79" s="22" t="s">
        <v>2063</v>
      </c>
      <c r="L79" s="179"/>
      <c r="M79" s="6" t="s">
        <v>5650</v>
      </c>
      <c r="N79" s="56"/>
      <c r="O79" s="291" t="s">
        <v>6209</v>
      </c>
      <c r="P79" s="6" t="s">
        <v>1874</v>
      </c>
      <c r="Q79" s="6" t="s">
        <v>6137</v>
      </c>
      <c r="R79" s="54"/>
    </row>
    <row r="80" spans="1:18" ht="114.75">
      <c r="A80" s="112" t="s">
        <v>636</v>
      </c>
      <c r="B80" s="112" t="s">
        <v>61</v>
      </c>
      <c r="C80" s="112" t="s">
        <v>1877</v>
      </c>
      <c r="D80" s="134">
        <v>44832</v>
      </c>
      <c r="E80" s="118" t="s">
        <v>637</v>
      </c>
      <c r="F80" s="209" t="s">
        <v>638</v>
      </c>
      <c r="G80" s="428">
        <v>199950</v>
      </c>
      <c r="H80" s="112" t="s">
        <v>2072</v>
      </c>
      <c r="I80" s="112" t="s">
        <v>1879</v>
      </c>
      <c r="J80" s="112" t="s">
        <v>2018</v>
      </c>
      <c r="K80" s="118" t="s">
        <v>2073</v>
      </c>
      <c r="L80" s="440"/>
      <c r="M80" s="112" t="s">
        <v>5654</v>
      </c>
      <c r="N80" s="439" t="s">
        <v>6210</v>
      </c>
      <c r="O80" s="434" t="s">
        <v>6211</v>
      </c>
      <c r="P80" s="115" t="s">
        <v>1853</v>
      </c>
      <c r="Q80" s="112" t="s">
        <v>6170</v>
      </c>
      <c r="R80" s="54"/>
    </row>
    <row r="81" spans="1:18" ht="150.75" customHeight="1">
      <c r="A81" s="6" t="s">
        <v>639</v>
      </c>
      <c r="B81" s="112" t="s">
        <v>61</v>
      </c>
      <c r="C81" s="6" t="s">
        <v>586</v>
      </c>
      <c r="D81" s="7">
        <v>44825</v>
      </c>
      <c r="E81" s="22" t="s">
        <v>640</v>
      </c>
      <c r="F81" s="6" t="s">
        <v>641</v>
      </c>
      <c r="G81" s="8">
        <v>17575</v>
      </c>
      <c r="H81" s="6" t="s">
        <v>2066</v>
      </c>
      <c r="I81" s="6" t="s">
        <v>6193</v>
      </c>
      <c r="J81" s="6" t="s">
        <v>2018</v>
      </c>
      <c r="K81" s="22" t="s">
        <v>2067</v>
      </c>
      <c r="L81" s="179"/>
      <c r="M81" s="6" t="s">
        <v>5654</v>
      </c>
      <c r="N81" s="56"/>
      <c r="O81" s="291" t="s">
        <v>6212</v>
      </c>
      <c r="P81" s="6" t="s">
        <v>1874</v>
      </c>
      <c r="Q81" s="6" t="s">
        <v>6092</v>
      </c>
      <c r="R81" s="54"/>
    </row>
    <row r="82" spans="1:18" ht="165.75">
      <c r="A82" s="6" t="s">
        <v>1096</v>
      </c>
      <c r="B82" s="112" t="s">
        <v>61</v>
      </c>
      <c r="C82" s="6" t="s">
        <v>62</v>
      </c>
      <c r="D82" s="7">
        <v>44826</v>
      </c>
      <c r="E82" s="22" t="s">
        <v>1097</v>
      </c>
      <c r="F82" s="6" t="s">
        <v>1095</v>
      </c>
      <c r="G82" s="8">
        <v>1000000</v>
      </c>
      <c r="H82" s="6" t="s">
        <v>2068</v>
      </c>
      <c r="I82" s="6" t="s">
        <v>6198</v>
      </c>
      <c r="J82" s="6" t="s">
        <v>2018</v>
      </c>
      <c r="K82" s="22" t="s">
        <v>2069</v>
      </c>
      <c r="L82" s="179"/>
      <c r="M82" s="6" t="s">
        <v>5650</v>
      </c>
      <c r="N82" s="291" t="s">
        <v>6213</v>
      </c>
      <c r="O82" s="291" t="s">
        <v>6214</v>
      </c>
      <c r="P82" s="9" t="s">
        <v>1904</v>
      </c>
      <c r="Q82" s="6" t="s">
        <v>6108</v>
      </c>
      <c r="R82" s="54"/>
    </row>
    <row r="83" spans="1:18" ht="147" customHeight="1">
      <c r="A83" s="112" t="s">
        <v>642</v>
      </c>
      <c r="B83" s="112" t="s">
        <v>61</v>
      </c>
      <c r="C83" s="112" t="s">
        <v>1877</v>
      </c>
      <c r="D83" s="134">
        <v>44832</v>
      </c>
      <c r="E83" s="118" t="s">
        <v>643</v>
      </c>
      <c r="F83" s="209" t="s">
        <v>644</v>
      </c>
      <c r="G83" s="428">
        <v>48250</v>
      </c>
      <c r="H83" s="112" t="s">
        <v>2072</v>
      </c>
      <c r="I83" s="112" t="s">
        <v>1879</v>
      </c>
      <c r="J83" s="112" t="s">
        <v>2018</v>
      </c>
      <c r="K83" s="118" t="s">
        <v>2074</v>
      </c>
      <c r="L83" s="440"/>
      <c r="M83" s="112" t="s">
        <v>5650</v>
      </c>
      <c r="N83" s="439" t="s">
        <v>6215</v>
      </c>
      <c r="O83" s="434" t="s">
        <v>6216</v>
      </c>
      <c r="P83" s="115" t="s">
        <v>1853</v>
      </c>
      <c r="Q83" s="112" t="s">
        <v>6217</v>
      </c>
      <c r="R83" s="54"/>
    </row>
    <row r="84" spans="1:18" ht="102">
      <c r="A84" s="112" t="s">
        <v>645</v>
      </c>
      <c r="B84" s="112" t="s">
        <v>61</v>
      </c>
      <c r="C84" s="112" t="s">
        <v>1877</v>
      </c>
      <c r="D84" s="134">
        <v>44832</v>
      </c>
      <c r="E84" s="118" t="s">
        <v>646</v>
      </c>
      <c r="F84" s="209" t="s">
        <v>647</v>
      </c>
      <c r="G84" s="428">
        <v>27532</v>
      </c>
      <c r="H84" s="112" t="s">
        <v>2075</v>
      </c>
      <c r="I84" s="115" t="s">
        <v>1899</v>
      </c>
      <c r="J84" s="112" t="s">
        <v>2018</v>
      </c>
      <c r="K84" s="118" t="s">
        <v>2076</v>
      </c>
      <c r="L84" s="440"/>
      <c r="M84" s="112" t="s">
        <v>5654</v>
      </c>
      <c r="N84" s="445" t="s">
        <v>6218</v>
      </c>
      <c r="O84" s="434" t="s">
        <v>6219</v>
      </c>
      <c r="P84" s="115" t="s">
        <v>1853</v>
      </c>
      <c r="Q84" s="112" t="s">
        <v>6220</v>
      </c>
      <c r="R84" s="54"/>
    </row>
    <row r="85" spans="1:18" ht="102">
      <c r="A85" s="112" t="s">
        <v>648</v>
      </c>
      <c r="B85" s="112" t="s">
        <v>61</v>
      </c>
      <c r="C85" s="112" t="s">
        <v>394</v>
      </c>
      <c r="D85" s="134">
        <v>44839</v>
      </c>
      <c r="E85" s="118" t="s">
        <v>649</v>
      </c>
      <c r="F85" s="112" t="s">
        <v>650</v>
      </c>
      <c r="G85" s="428">
        <v>37075</v>
      </c>
      <c r="H85" s="112" t="s">
        <v>2084</v>
      </c>
      <c r="I85" s="112" t="s">
        <v>2085</v>
      </c>
      <c r="J85" s="112" t="s">
        <v>2018</v>
      </c>
      <c r="K85" s="118" t="s">
        <v>2088</v>
      </c>
      <c r="L85" s="440"/>
      <c r="M85" s="9" t="s">
        <v>1808</v>
      </c>
      <c r="N85" s="448" t="s">
        <v>6221</v>
      </c>
      <c r="O85" s="431" t="s">
        <v>6222</v>
      </c>
      <c r="P85" s="115" t="s">
        <v>1853</v>
      </c>
      <c r="Q85" s="115" t="s">
        <v>6183</v>
      </c>
      <c r="R85" s="54"/>
    </row>
    <row r="86" spans="1:18" ht="38.25">
      <c r="A86" s="112" t="s">
        <v>651</v>
      </c>
      <c r="B86" s="112" t="s">
        <v>61</v>
      </c>
      <c r="C86" s="112" t="s">
        <v>652</v>
      </c>
      <c r="D86" s="134">
        <v>44846</v>
      </c>
      <c r="E86" s="118" t="s">
        <v>653</v>
      </c>
      <c r="F86" s="112" t="s">
        <v>654</v>
      </c>
      <c r="G86" s="428">
        <v>14793</v>
      </c>
      <c r="H86" s="112" t="s">
        <v>2095</v>
      </c>
      <c r="I86" s="112" t="s">
        <v>6193</v>
      </c>
      <c r="J86" s="112" t="s">
        <v>2018</v>
      </c>
      <c r="K86" s="118"/>
      <c r="L86" s="440"/>
      <c r="M86" s="112" t="s">
        <v>5654</v>
      </c>
      <c r="N86" s="445" t="s">
        <v>6223</v>
      </c>
      <c r="O86" s="112"/>
      <c r="P86" s="6" t="s">
        <v>1874</v>
      </c>
      <c r="Q86" s="112" t="s">
        <v>6137</v>
      </c>
      <c r="R86" s="54"/>
    </row>
    <row r="87" spans="1:18" ht="153">
      <c r="A87" s="6" t="s">
        <v>2077</v>
      </c>
      <c r="B87" s="112" t="s">
        <v>61</v>
      </c>
      <c r="C87" s="6" t="s">
        <v>2078</v>
      </c>
      <c r="D87" s="138">
        <v>44832</v>
      </c>
      <c r="E87" s="22" t="s">
        <v>2079</v>
      </c>
      <c r="F87" s="6" t="s">
        <v>575</v>
      </c>
      <c r="G87" s="6" t="s">
        <v>22</v>
      </c>
      <c r="H87" s="6" t="s">
        <v>22</v>
      </c>
      <c r="I87" s="6" t="s">
        <v>1828</v>
      </c>
      <c r="J87" s="6"/>
      <c r="K87" s="22" t="s">
        <v>2080</v>
      </c>
      <c r="L87" s="179"/>
      <c r="M87" s="6" t="s">
        <v>22</v>
      </c>
      <c r="N87" s="452"/>
      <c r="O87" s="6"/>
      <c r="P87" s="6"/>
      <c r="Q87" s="6" t="s">
        <v>6071</v>
      </c>
      <c r="R87" s="54"/>
    </row>
    <row r="88" spans="1:18" ht="127.5">
      <c r="A88" s="6" t="s">
        <v>1098</v>
      </c>
      <c r="B88" s="112" t="s">
        <v>61</v>
      </c>
      <c r="C88" s="6" t="s">
        <v>1099</v>
      </c>
      <c r="D88" s="7">
        <v>44832</v>
      </c>
      <c r="E88" s="22" t="s">
        <v>1100</v>
      </c>
      <c r="F88" s="6" t="s">
        <v>1101</v>
      </c>
      <c r="G88" s="8">
        <v>225000</v>
      </c>
      <c r="H88" s="6" t="s">
        <v>2081</v>
      </c>
      <c r="I88" s="6" t="s">
        <v>6224</v>
      </c>
      <c r="J88" s="6" t="s">
        <v>2018</v>
      </c>
      <c r="K88" s="22" t="s">
        <v>2083</v>
      </c>
      <c r="L88" s="179"/>
      <c r="M88" s="9" t="s">
        <v>1808</v>
      </c>
      <c r="N88" s="423" t="s">
        <v>6225</v>
      </c>
      <c r="O88" s="297" t="s">
        <v>6226</v>
      </c>
      <c r="P88" s="9" t="s">
        <v>1904</v>
      </c>
      <c r="Q88" s="6" t="s">
        <v>6092</v>
      </c>
      <c r="R88" s="54"/>
    </row>
    <row r="89" spans="1:18" ht="51">
      <c r="A89" s="6" t="s">
        <v>1485</v>
      </c>
      <c r="B89" s="112" t="s">
        <v>61</v>
      </c>
      <c r="C89" s="6" t="s">
        <v>1471</v>
      </c>
      <c r="D89" s="7">
        <v>44839</v>
      </c>
      <c r="E89" s="22" t="s">
        <v>1486</v>
      </c>
      <c r="F89" s="6" t="s">
        <v>650</v>
      </c>
      <c r="G89" s="8">
        <v>300000</v>
      </c>
      <c r="H89" s="6" t="s">
        <v>2084</v>
      </c>
      <c r="I89" s="6" t="s">
        <v>2604</v>
      </c>
      <c r="J89" s="6" t="s">
        <v>2018</v>
      </c>
      <c r="K89" s="22" t="s">
        <v>2086</v>
      </c>
      <c r="L89" s="179"/>
      <c r="M89" s="9" t="s">
        <v>1808</v>
      </c>
      <c r="N89" s="56"/>
      <c r="O89" s="297" t="s">
        <v>6227</v>
      </c>
      <c r="P89" s="6" t="s">
        <v>82</v>
      </c>
      <c r="Q89" s="6" t="s">
        <v>6064</v>
      </c>
      <c r="R89" s="54"/>
    </row>
    <row r="90" spans="1:18" ht="204">
      <c r="A90" s="6" t="s">
        <v>1487</v>
      </c>
      <c r="B90" s="112" t="s">
        <v>61</v>
      </c>
      <c r="C90" s="6" t="s">
        <v>1468</v>
      </c>
      <c r="D90" s="7">
        <v>44839</v>
      </c>
      <c r="E90" s="22" t="s">
        <v>1488</v>
      </c>
      <c r="F90" s="6" t="s">
        <v>650</v>
      </c>
      <c r="G90" s="8">
        <v>200000</v>
      </c>
      <c r="H90" s="6" t="s">
        <v>2084</v>
      </c>
      <c r="I90" s="6" t="s">
        <v>2604</v>
      </c>
      <c r="J90" s="6" t="s">
        <v>2018</v>
      </c>
      <c r="K90" s="22" t="s">
        <v>2087</v>
      </c>
      <c r="L90" s="179"/>
      <c r="M90" s="9" t="s">
        <v>1808</v>
      </c>
      <c r="N90" s="56"/>
      <c r="O90" s="297" t="s">
        <v>6228</v>
      </c>
      <c r="P90" s="6" t="s">
        <v>82</v>
      </c>
      <c r="Q90" s="6" t="s">
        <v>6064</v>
      </c>
      <c r="R90" s="54"/>
    </row>
    <row r="91" spans="1:18" ht="38.25">
      <c r="A91" s="112" t="s">
        <v>655</v>
      </c>
      <c r="B91" s="112" t="s">
        <v>61</v>
      </c>
      <c r="C91" s="112" t="s">
        <v>1877</v>
      </c>
      <c r="D91" s="134">
        <v>44846</v>
      </c>
      <c r="E91" s="118" t="s">
        <v>656</v>
      </c>
      <c r="F91" s="209" t="s">
        <v>657</v>
      </c>
      <c r="G91" s="428">
        <v>19555</v>
      </c>
      <c r="H91" s="112" t="s">
        <v>2096</v>
      </c>
      <c r="I91" s="112" t="s">
        <v>2047</v>
      </c>
      <c r="J91" s="112" t="s">
        <v>2018</v>
      </c>
      <c r="K91" s="118" t="s">
        <v>2097</v>
      </c>
      <c r="L91" s="440"/>
      <c r="M91" s="112" t="s">
        <v>5654</v>
      </c>
      <c r="N91" s="445" t="s">
        <v>6229</v>
      </c>
      <c r="O91" s="112"/>
      <c r="P91" s="115" t="s">
        <v>1853</v>
      </c>
      <c r="Q91" s="112" t="s">
        <v>6092</v>
      </c>
      <c r="R91" s="54"/>
    </row>
    <row r="92" spans="1:18" ht="102">
      <c r="A92" s="112" t="s">
        <v>2089</v>
      </c>
      <c r="B92" s="112" t="s">
        <v>61</v>
      </c>
      <c r="C92" s="6" t="s">
        <v>2093</v>
      </c>
      <c r="D92" s="7">
        <v>44844</v>
      </c>
      <c r="E92" s="22" t="s">
        <v>2090</v>
      </c>
      <c r="F92" s="6" t="s">
        <v>1502</v>
      </c>
      <c r="G92" s="8">
        <v>200000</v>
      </c>
      <c r="H92" s="6" t="s">
        <v>2091</v>
      </c>
      <c r="I92" s="453" t="s">
        <v>6198</v>
      </c>
      <c r="J92" s="6" t="s">
        <v>1824</v>
      </c>
      <c r="K92" s="22" t="s">
        <v>2092</v>
      </c>
      <c r="L92" s="179"/>
      <c r="M92" s="6" t="s">
        <v>1808</v>
      </c>
      <c r="N92" s="22"/>
      <c r="O92" s="291" t="s">
        <v>6230</v>
      </c>
      <c r="P92" s="6" t="s">
        <v>82</v>
      </c>
      <c r="Q92" s="6" t="s">
        <v>82</v>
      </c>
      <c r="R92" s="54"/>
    </row>
    <row r="93" spans="1:18" ht="26.25" customHeight="1">
      <c r="A93" s="6" t="s">
        <v>1102</v>
      </c>
      <c r="B93" s="112" t="s">
        <v>61</v>
      </c>
      <c r="C93" s="9" t="s">
        <v>1099</v>
      </c>
      <c r="D93" s="111">
        <v>44846</v>
      </c>
      <c r="E93" s="22" t="s">
        <v>1103</v>
      </c>
      <c r="F93" s="6" t="s">
        <v>1104</v>
      </c>
      <c r="G93" s="13">
        <v>186356</v>
      </c>
      <c r="H93" s="9" t="s">
        <v>2094</v>
      </c>
      <c r="I93" s="9" t="s">
        <v>6231</v>
      </c>
      <c r="J93" s="9" t="s">
        <v>2018</v>
      </c>
      <c r="K93" s="140"/>
      <c r="L93" s="53"/>
      <c r="M93" s="9" t="s">
        <v>1808</v>
      </c>
      <c r="N93" s="454" t="s">
        <v>6232</v>
      </c>
      <c r="O93" s="6"/>
      <c r="P93" s="9" t="s">
        <v>1904</v>
      </c>
      <c r="Q93" s="10"/>
      <c r="R93" s="54"/>
    </row>
    <row r="94" spans="1:18" ht="31.5" customHeight="1">
      <c r="A94" s="112" t="s">
        <v>658</v>
      </c>
      <c r="B94" s="112" t="s">
        <v>61</v>
      </c>
      <c r="C94" s="112" t="s">
        <v>1877</v>
      </c>
      <c r="D94" s="134">
        <v>44846</v>
      </c>
      <c r="E94" s="118" t="s">
        <v>659</v>
      </c>
      <c r="F94" s="209" t="s">
        <v>660</v>
      </c>
      <c r="G94" s="428">
        <v>194052.75</v>
      </c>
      <c r="H94" s="112" t="s">
        <v>2098</v>
      </c>
      <c r="I94" s="112" t="s">
        <v>1886</v>
      </c>
      <c r="J94" s="112" t="s">
        <v>2018</v>
      </c>
      <c r="K94" s="118" t="s">
        <v>2099</v>
      </c>
      <c r="L94" s="440"/>
      <c r="M94" s="112" t="s">
        <v>5654</v>
      </c>
      <c r="N94" s="445" t="s">
        <v>6233</v>
      </c>
      <c r="O94" s="112"/>
      <c r="P94" s="115" t="s">
        <v>1853</v>
      </c>
      <c r="Q94" s="112" t="s">
        <v>6104</v>
      </c>
      <c r="R94" s="54"/>
    </row>
    <row r="95" spans="1:18" ht="102">
      <c r="A95" s="112" t="s">
        <v>661</v>
      </c>
      <c r="B95" s="112" t="s">
        <v>61</v>
      </c>
      <c r="C95" s="112" t="s">
        <v>1877</v>
      </c>
      <c r="D95" s="134">
        <v>44853</v>
      </c>
      <c r="E95" s="118" t="s">
        <v>662</v>
      </c>
      <c r="F95" s="209" t="s">
        <v>663</v>
      </c>
      <c r="G95" s="428">
        <v>24430</v>
      </c>
      <c r="H95" s="112" t="s">
        <v>2106</v>
      </c>
      <c r="I95" s="112" t="s">
        <v>1879</v>
      </c>
      <c r="J95" s="112" t="s">
        <v>2018</v>
      </c>
      <c r="K95" s="118" t="s">
        <v>2107</v>
      </c>
      <c r="L95" s="440"/>
      <c r="M95" s="112" t="s">
        <v>5654</v>
      </c>
      <c r="N95" s="445" t="s">
        <v>6234</v>
      </c>
      <c r="O95" s="431" t="s">
        <v>6235</v>
      </c>
      <c r="P95" s="115" t="s">
        <v>1853</v>
      </c>
      <c r="Q95" s="112" t="s">
        <v>6137</v>
      </c>
      <c r="R95" s="54"/>
    </row>
    <row r="96" spans="1:18" ht="140.25">
      <c r="A96" s="112" t="s">
        <v>664</v>
      </c>
      <c r="B96" s="112" t="s">
        <v>61</v>
      </c>
      <c r="C96" s="112" t="s">
        <v>1877</v>
      </c>
      <c r="D96" s="134">
        <v>44853</v>
      </c>
      <c r="E96" s="118" t="s">
        <v>665</v>
      </c>
      <c r="F96" s="209" t="s">
        <v>666</v>
      </c>
      <c r="G96" s="428">
        <v>8500</v>
      </c>
      <c r="H96" s="112" t="s">
        <v>2108</v>
      </c>
      <c r="I96" s="112" t="s">
        <v>1855</v>
      </c>
      <c r="J96" s="112" t="s">
        <v>2018</v>
      </c>
      <c r="K96" s="118" t="s">
        <v>2109</v>
      </c>
      <c r="L96" s="440"/>
      <c r="M96" s="112" t="s">
        <v>5650</v>
      </c>
      <c r="N96" s="209"/>
      <c r="O96" s="431" t="s">
        <v>6236</v>
      </c>
      <c r="P96" s="115" t="s">
        <v>1853</v>
      </c>
      <c r="Q96" s="112" t="s">
        <v>6108</v>
      </c>
      <c r="R96" s="54"/>
    </row>
    <row r="97" spans="1:18" ht="76.5">
      <c r="A97" s="6" t="s">
        <v>667</v>
      </c>
      <c r="B97" s="112" t="s">
        <v>61</v>
      </c>
      <c r="C97" s="6" t="s">
        <v>125</v>
      </c>
      <c r="D97" s="7">
        <v>44847</v>
      </c>
      <c r="E97" s="22" t="s">
        <v>668</v>
      </c>
      <c r="F97" s="6" t="s">
        <v>669</v>
      </c>
      <c r="G97" s="57">
        <v>2501824</v>
      </c>
      <c r="H97" s="6" t="s">
        <v>2100</v>
      </c>
      <c r="I97" s="6" t="s">
        <v>6185</v>
      </c>
      <c r="J97" s="6" t="s">
        <v>6208</v>
      </c>
      <c r="K97" s="22" t="s">
        <v>2101</v>
      </c>
      <c r="L97" s="179"/>
      <c r="M97" s="6" t="s">
        <v>5654</v>
      </c>
      <c r="N97" s="56"/>
      <c r="O97" s="291" t="s">
        <v>6237</v>
      </c>
      <c r="P97" s="6" t="s">
        <v>1874</v>
      </c>
      <c r="Q97" s="6" t="s">
        <v>6137</v>
      </c>
      <c r="R97" s="54"/>
    </row>
    <row r="98" spans="1:18" ht="12.75">
      <c r="A98" s="6" t="s">
        <v>2102</v>
      </c>
      <c r="B98" s="6"/>
      <c r="C98" s="6"/>
      <c r="D98" s="7"/>
      <c r="E98" s="22"/>
      <c r="F98" s="6"/>
      <c r="G98" s="8"/>
      <c r="H98" s="6"/>
      <c r="I98" s="6"/>
      <c r="J98" s="6"/>
      <c r="K98" s="22"/>
      <c r="L98" s="179"/>
      <c r="M98" s="6"/>
      <c r="N98" s="190"/>
      <c r="O98" s="6"/>
      <c r="P98" s="6"/>
      <c r="Q98" s="6"/>
      <c r="R98" s="54"/>
    </row>
    <row r="99" spans="1:18" ht="127.5">
      <c r="A99" s="6" t="s">
        <v>1489</v>
      </c>
      <c r="B99" s="112" t="s">
        <v>61</v>
      </c>
      <c r="C99" s="6" t="s">
        <v>1468</v>
      </c>
      <c r="D99" s="7">
        <v>44853</v>
      </c>
      <c r="E99" s="22" t="s">
        <v>1490</v>
      </c>
      <c r="F99" s="6" t="s">
        <v>1491</v>
      </c>
      <c r="G99" s="8">
        <v>200000</v>
      </c>
      <c r="H99" s="6"/>
      <c r="I99" s="6" t="s">
        <v>6231</v>
      </c>
      <c r="J99" s="6" t="s">
        <v>2018</v>
      </c>
      <c r="K99" s="22" t="s">
        <v>2103</v>
      </c>
      <c r="L99" s="179"/>
      <c r="M99" s="9" t="s">
        <v>1808</v>
      </c>
      <c r="N99" s="56"/>
      <c r="O99" s="297" t="s">
        <v>6238</v>
      </c>
      <c r="P99" s="6" t="s">
        <v>82</v>
      </c>
      <c r="Q99" s="6" t="s">
        <v>6064</v>
      </c>
      <c r="R99" s="54"/>
    </row>
    <row r="100" spans="1:18" ht="191.25">
      <c r="A100" s="6" t="s">
        <v>1492</v>
      </c>
      <c r="B100" s="112" t="s">
        <v>61</v>
      </c>
      <c r="C100" s="6" t="s">
        <v>1480</v>
      </c>
      <c r="D100" s="7">
        <v>44853</v>
      </c>
      <c r="E100" s="22" t="s">
        <v>1493</v>
      </c>
      <c r="F100" s="6" t="s">
        <v>2104</v>
      </c>
      <c r="G100" s="8">
        <v>1720880</v>
      </c>
      <c r="H100" s="6"/>
      <c r="I100" s="6" t="s">
        <v>1828</v>
      </c>
      <c r="J100" s="6" t="s">
        <v>2018</v>
      </c>
      <c r="K100" s="22" t="s">
        <v>2105</v>
      </c>
      <c r="L100" s="179"/>
      <c r="M100" s="9" t="s">
        <v>1808</v>
      </c>
      <c r="N100" s="56"/>
      <c r="O100" s="6"/>
      <c r="P100" s="6" t="s">
        <v>82</v>
      </c>
      <c r="Q100" s="6" t="s">
        <v>6064</v>
      </c>
      <c r="R100" s="54"/>
    </row>
    <row r="101" spans="1:18" ht="102">
      <c r="A101" s="112" t="s">
        <v>670</v>
      </c>
      <c r="B101" s="112" t="s">
        <v>61</v>
      </c>
      <c r="C101" s="112" t="s">
        <v>1877</v>
      </c>
      <c r="D101" s="134">
        <v>44853</v>
      </c>
      <c r="E101" s="118" t="s">
        <v>671</v>
      </c>
      <c r="F101" s="209" t="s">
        <v>672</v>
      </c>
      <c r="G101" s="428">
        <v>151700</v>
      </c>
      <c r="H101" s="112" t="s">
        <v>135</v>
      </c>
      <c r="I101" s="112" t="s">
        <v>1828</v>
      </c>
      <c r="J101" s="112" t="s">
        <v>2018</v>
      </c>
      <c r="K101" s="118" t="s">
        <v>2110</v>
      </c>
      <c r="L101" s="440"/>
      <c r="M101" s="112" t="s">
        <v>5650</v>
      </c>
      <c r="N101" s="445" t="s">
        <v>6239</v>
      </c>
      <c r="O101" s="434" t="s">
        <v>6240</v>
      </c>
      <c r="P101" s="115" t="s">
        <v>1853</v>
      </c>
      <c r="Q101" s="112" t="s">
        <v>6170</v>
      </c>
      <c r="R101" s="54"/>
    </row>
    <row r="102" spans="1:18" ht="76.5">
      <c r="A102" s="112" t="s">
        <v>673</v>
      </c>
      <c r="B102" s="112" t="s">
        <v>61</v>
      </c>
      <c r="C102" s="112" t="s">
        <v>1877</v>
      </c>
      <c r="D102" s="134">
        <v>44860</v>
      </c>
      <c r="E102" s="118" t="s">
        <v>674</v>
      </c>
      <c r="F102" s="209" t="s">
        <v>675</v>
      </c>
      <c r="G102" s="428">
        <v>39600</v>
      </c>
      <c r="H102" s="112" t="s">
        <v>2116</v>
      </c>
      <c r="I102" s="112" t="s">
        <v>1879</v>
      </c>
      <c r="J102" s="112" t="s">
        <v>2018</v>
      </c>
      <c r="K102" s="118" t="s">
        <v>2117</v>
      </c>
      <c r="L102" s="440">
        <v>60</v>
      </c>
      <c r="M102" s="112" t="s">
        <v>5654</v>
      </c>
      <c r="N102" s="445" t="s">
        <v>6241</v>
      </c>
      <c r="O102" s="434" t="s">
        <v>6242</v>
      </c>
      <c r="P102" s="115" t="s">
        <v>1853</v>
      </c>
      <c r="Q102" s="112" t="s">
        <v>6137</v>
      </c>
      <c r="R102" s="54"/>
    </row>
    <row r="103" spans="1:18" ht="63.75">
      <c r="A103" s="112" t="s">
        <v>676</v>
      </c>
      <c r="B103" s="112" t="s">
        <v>61</v>
      </c>
      <c r="C103" s="112" t="s">
        <v>1877</v>
      </c>
      <c r="D103" s="134">
        <v>44860</v>
      </c>
      <c r="E103" s="118" t="s">
        <v>677</v>
      </c>
      <c r="F103" s="209" t="s">
        <v>678</v>
      </c>
      <c r="G103" s="428">
        <v>94130</v>
      </c>
      <c r="H103" s="112" t="s">
        <v>2118</v>
      </c>
      <c r="I103" s="112" t="s">
        <v>1886</v>
      </c>
      <c r="J103" s="112" t="s">
        <v>2018</v>
      </c>
      <c r="K103" s="118" t="s">
        <v>2119</v>
      </c>
      <c r="L103" s="440"/>
      <c r="M103" s="112" t="s">
        <v>5654</v>
      </c>
      <c r="N103" s="445" t="s">
        <v>6243</v>
      </c>
      <c r="O103" s="434" t="s">
        <v>6244</v>
      </c>
      <c r="P103" s="115" t="s">
        <v>1853</v>
      </c>
      <c r="Q103" s="112" t="s">
        <v>6092</v>
      </c>
      <c r="R103" s="54"/>
    </row>
    <row r="104" spans="1:18" ht="38.25">
      <c r="A104" s="6" t="s">
        <v>2111</v>
      </c>
      <c r="B104" s="112" t="s">
        <v>1883</v>
      </c>
      <c r="C104" s="6" t="s">
        <v>586</v>
      </c>
      <c r="D104" s="7">
        <v>44860</v>
      </c>
      <c r="E104" s="22" t="s">
        <v>587</v>
      </c>
      <c r="F104" s="6" t="s">
        <v>641</v>
      </c>
      <c r="G104" s="8">
        <v>5000</v>
      </c>
      <c r="H104" s="6" t="s">
        <v>2112</v>
      </c>
      <c r="I104" s="6" t="s">
        <v>1828</v>
      </c>
      <c r="J104" s="6" t="s">
        <v>2018</v>
      </c>
      <c r="K104" s="22"/>
      <c r="L104" s="179"/>
      <c r="M104" s="6" t="s">
        <v>5654</v>
      </c>
      <c r="N104" s="190"/>
      <c r="O104" s="291" t="s">
        <v>6245</v>
      </c>
      <c r="P104" s="6" t="s">
        <v>611</v>
      </c>
      <c r="Q104" s="6" t="s">
        <v>6092</v>
      </c>
      <c r="R104" s="54"/>
    </row>
    <row r="105" spans="1:18" ht="114.75">
      <c r="A105" s="112" t="s">
        <v>2111</v>
      </c>
      <c r="B105" s="112" t="s">
        <v>2113</v>
      </c>
      <c r="C105" s="6" t="s">
        <v>586</v>
      </c>
      <c r="D105" s="7">
        <v>44860</v>
      </c>
      <c r="E105" s="22" t="s">
        <v>2114</v>
      </c>
      <c r="F105" s="6" t="s">
        <v>588</v>
      </c>
      <c r="G105" s="8">
        <v>5000</v>
      </c>
      <c r="H105" s="6" t="s">
        <v>2112</v>
      </c>
      <c r="I105" s="6" t="s">
        <v>6246</v>
      </c>
      <c r="J105" s="6"/>
      <c r="K105" s="22" t="s">
        <v>2115</v>
      </c>
      <c r="L105" s="179"/>
      <c r="M105" s="6" t="s">
        <v>5654</v>
      </c>
      <c r="N105" s="22"/>
      <c r="O105" s="6"/>
      <c r="P105" s="6"/>
      <c r="Q105" s="6"/>
      <c r="R105" s="54"/>
    </row>
    <row r="106" spans="1:18" ht="76.5">
      <c r="A106" s="112" t="s">
        <v>679</v>
      </c>
      <c r="B106" s="112" t="s">
        <v>61</v>
      </c>
      <c r="C106" s="112" t="s">
        <v>1877</v>
      </c>
      <c r="D106" s="134">
        <v>44860</v>
      </c>
      <c r="E106" s="118" t="s">
        <v>680</v>
      </c>
      <c r="F106" s="209" t="s">
        <v>681</v>
      </c>
      <c r="G106" s="428">
        <v>151870</v>
      </c>
      <c r="H106" s="112" t="s">
        <v>2120</v>
      </c>
      <c r="I106" s="112" t="s">
        <v>1886</v>
      </c>
      <c r="J106" s="112" t="s">
        <v>2018</v>
      </c>
      <c r="K106" s="118" t="s">
        <v>2121</v>
      </c>
      <c r="L106" s="440"/>
      <c r="M106" s="112" t="s">
        <v>5654</v>
      </c>
      <c r="N106" s="445" t="s">
        <v>6247</v>
      </c>
      <c r="O106" s="434" t="s">
        <v>6248</v>
      </c>
      <c r="P106" s="115" t="s">
        <v>1853</v>
      </c>
      <c r="Q106" s="112" t="s">
        <v>6137</v>
      </c>
      <c r="R106" s="54"/>
    </row>
    <row r="107" spans="1:18" ht="63.75">
      <c r="A107" s="112" t="s">
        <v>682</v>
      </c>
      <c r="B107" s="112" t="s">
        <v>61</v>
      </c>
      <c r="C107" s="112" t="s">
        <v>68</v>
      </c>
      <c r="D107" s="134">
        <v>44875</v>
      </c>
      <c r="E107" s="118" t="s">
        <v>683</v>
      </c>
      <c r="F107" s="112" t="s">
        <v>684</v>
      </c>
      <c r="G107" s="428">
        <v>73200</v>
      </c>
      <c r="H107" s="112" t="s">
        <v>2126</v>
      </c>
      <c r="I107" s="112" t="s">
        <v>2031</v>
      </c>
      <c r="J107" s="112" t="s">
        <v>2018</v>
      </c>
      <c r="K107" s="118" t="s">
        <v>2127</v>
      </c>
      <c r="L107" s="440"/>
      <c r="M107" s="112" t="s">
        <v>5654</v>
      </c>
      <c r="N107" s="209"/>
      <c r="O107" s="112"/>
      <c r="P107" s="112" t="s">
        <v>1874</v>
      </c>
      <c r="Q107" s="112" t="s">
        <v>6170</v>
      </c>
      <c r="R107" s="54"/>
    </row>
    <row r="108" spans="1:18" ht="51">
      <c r="A108" s="20" t="s">
        <v>685</v>
      </c>
      <c r="B108" s="112" t="s">
        <v>61</v>
      </c>
      <c r="C108" s="17" t="s">
        <v>1877</v>
      </c>
      <c r="D108" s="123">
        <v>44896</v>
      </c>
      <c r="E108" s="24" t="s">
        <v>686</v>
      </c>
      <c r="F108" s="115" t="s">
        <v>520</v>
      </c>
      <c r="G108" s="455">
        <v>199890</v>
      </c>
      <c r="H108" s="112" t="s">
        <v>1878</v>
      </c>
      <c r="I108" s="112" t="s">
        <v>1879</v>
      </c>
      <c r="J108" s="112"/>
      <c r="K108" s="124" t="s">
        <v>1880</v>
      </c>
      <c r="L108" s="440"/>
      <c r="M108" s="112" t="s">
        <v>5654</v>
      </c>
      <c r="N108" s="456" t="s">
        <v>6249</v>
      </c>
      <c r="O108" s="457" t="s">
        <v>6250</v>
      </c>
      <c r="P108" s="115" t="s">
        <v>1853</v>
      </c>
      <c r="Q108" s="112" t="s">
        <v>6170</v>
      </c>
      <c r="R108" s="54"/>
    </row>
    <row r="109" spans="1:18" ht="38.25">
      <c r="A109" s="6" t="s">
        <v>1105</v>
      </c>
      <c r="B109" s="112" t="s">
        <v>61</v>
      </c>
      <c r="C109" s="6" t="s">
        <v>1099</v>
      </c>
      <c r="D109" s="7">
        <v>44875</v>
      </c>
      <c r="E109" s="22" t="s">
        <v>1106</v>
      </c>
      <c r="F109" s="6" t="s">
        <v>1107</v>
      </c>
      <c r="G109" s="8">
        <v>50876.800000000003</v>
      </c>
      <c r="H109" s="6" t="s">
        <v>2122</v>
      </c>
      <c r="I109" s="6" t="s">
        <v>2082</v>
      </c>
      <c r="J109" s="6" t="s">
        <v>2018</v>
      </c>
      <c r="K109" s="22"/>
      <c r="L109" s="179"/>
      <c r="M109" s="6" t="s">
        <v>5654</v>
      </c>
      <c r="N109" s="423" t="s">
        <v>6251</v>
      </c>
      <c r="O109" s="291" t="s">
        <v>6252</v>
      </c>
      <c r="P109" s="9" t="s">
        <v>1904</v>
      </c>
      <c r="Q109" s="6" t="s">
        <v>6108</v>
      </c>
      <c r="R109" s="54"/>
    </row>
    <row r="110" spans="1:18" ht="63.75">
      <c r="A110" s="6" t="s">
        <v>2123</v>
      </c>
      <c r="B110" s="6" t="s">
        <v>1883</v>
      </c>
      <c r="C110" s="6" t="s">
        <v>1877</v>
      </c>
      <c r="D110" s="7">
        <v>44875</v>
      </c>
      <c r="E110" s="22" t="s">
        <v>2124</v>
      </c>
      <c r="F110" s="56" t="s">
        <v>2125</v>
      </c>
      <c r="G110" s="8"/>
      <c r="H110" s="6"/>
      <c r="I110" s="6" t="s">
        <v>2639</v>
      </c>
      <c r="J110" s="6" t="s">
        <v>2018</v>
      </c>
      <c r="K110" s="22"/>
      <c r="L110" s="179"/>
      <c r="M110" s="6" t="s">
        <v>5654</v>
      </c>
      <c r="N110" s="190"/>
      <c r="O110" s="6"/>
      <c r="P110" s="6"/>
      <c r="Q110" s="6" t="s">
        <v>6253</v>
      </c>
      <c r="R110" s="54"/>
    </row>
    <row r="111" spans="1:18" ht="63.75">
      <c r="A111" s="6" t="s">
        <v>687</v>
      </c>
      <c r="B111" s="112" t="s">
        <v>61</v>
      </c>
      <c r="C111" s="6" t="s">
        <v>652</v>
      </c>
      <c r="D111" s="125">
        <v>44896</v>
      </c>
      <c r="E111" s="126" t="s">
        <v>688</v>
      </c>
      <c r="F111" s="6" t="s">
        <v>689</v>
      </c>
      <c r="G111" s="8">
        <v>18425</v>
      </c>
      <c r="H111" s="6" t="s">
        <v>1881</v>
      </c>
      <c r="I111" s="112" t="s">
        <v>1879</v>
      </c>
      <c r="J111" s="6"/>
      <c r="K111" s="22" t="s">
        <v>1882</v>
      </c>
      <c r="L111" s="179"/>
      <c r="M111" s="6" t="s">
        <v>5650</v>
      </c>
      <c r="N111" s="423" t="s">
        <v>6254</v>
      </c>
      <c r="O111" s="291" t="s">
        <v>6255</v>
      </c>
      <c r="P111" s="6" t="s">
        <v>1874</v>
      </c>
      <c r="Q111" s="6" t="s">
        <v>6170</v>
      </c>
      <c r="R111" s="54"/>
    </row>
    <row r="112" spans="1:18" ht="12.75">
      <c r="A112" s="112"/>
      <c r="B112" s="112"/>
      <c r="C112" s="112"/>
      <c r="D112" s="134"/>
      <c r="E112" s="118"/>
      <c r="F112" s="112"/>
      <c r="G112" s="428">
        <f>SUM(G111,G108,G107,G106,G103,G102,G101,G96,G95,G94,G86,G85)</f>
        <v>1007665.75</v>
      </c>
      <c r="H112" s="112"/>
      <c r="I112" s="112"/>
      <c r="J112" s="112"/>
      <c r="K112" s="118"/>
      <c r="L112" s="440"/>
      <c r="M112" s="112"/>
      <c r="N112" s="458"/>
      <c r="O112" s="112"/>
      <c r="P112" s="112"/>
      <c r="Q112" s="112"/>
      <c r="R112" s="54"/>
    </row>
    <row r="113" spans="1:18" ht="71.25" customHeight="1">
      <c r="A113" s="6" t="s">
        <v>1108</v>
      </c>
      <c r="B113" s="112" t="s">
        <v>61</v>
      </c>
      <c r="C113" s="6" t="s">
        <v>62</v>
      </c>
      <c r="D113" s="7">
        <v>44881</v>
      </c>
      <c r="E113" s="22" t="s">
        <v>1109</v>
      </c>
      <c r="F113" s="6" t="s">
        <v>1110</v>
      </c>
      <c r="G113" s="8">
        <v>1534670</v>
      </c>
      <c r="H113" s="6" t="s">
        <v>2128</v>
      </c>
      <c r="I113" s="6" t="s">
        <v>1855</v>
      </c>
      <c r="J113" s="6" t="s">
        <v>2018</v>
      </c>
      <c r="K113" s="22"/>
      <c r="L113" s="179"/>
      <c r="M113" s="6" t="s">
        <v>5654</v>
      </c>
      <c r="N113" s="291" t="s">
        <v>6256</v>
      </c>
      <c r="O113" s="6"/>
      <c r="P113" s="9" t="s">
        <v>1904</v>
      </c>
      <c r="Q113" s="6" t="s">
        <v>6170</v>
      </c>
      <c r="R113" s="54"/>
    </row>
    <row r="114" spans="1:18" ht="71.25" customHeight="1">
      <c r="A114" s="56"/>
      <c r="B114" s="209"/>
      <c r="C114" s="56"/>
      <c r="D114" s="301"/>
      <c r="E114" s="208"/>
      <c r="F114" s="56"/>
      <c r="G114" s="57">
        <f>G113+G82+G74+G68</f>
        <v>5036432.5</v>
      </c>
      <c r="H114" s="56"/>
      <c r="I114" s="56"/>
      <c r="J114" s="56"/>
      <c r="K114" s="208"/>
      <c r="L114" s="190"/>
      <c r="M114" s="56"/>
      <c r="N114" s="190"/>
      <c r="O114" s="56"/>
      <c r="P114" s="459"/>
      <c r="Q114" s="56"/>
      <c r="R114" s="302"/>
    </row>
    <row r="115" spans="1:18" ht="89.25">
      <c r="A115" s="6" t="s">
        <v>1494</v>
      </c>
      <c r="B115" s="112" t="s">
        <v>61</v>
      </c>
      <c r="C115" s="6" t="s">
        <v>1468</v>
      </c>
      <c r="D115" s="7">
        <v>44881</v>
      </c>
      <c r="E115" s="22" t="s">
        <v>1495</v>
      </c>
      <c r="F115" s="6" t="s">
        <v>1496</v>
      </c>
      <c r="G115" s="8">
        <v>300000</v>
      </c>
      <c r="H115" s="6" t="s">
        <v>2129</v>
      </c>
      <c r="I115" s="6" t="s">
        <v>2130</v>
      </c>
      <c r="J115" s="6" t="s">
        <v>2018</v>
      </c>
      <c r="K115" s="22" t="s">
        <v>2131</v>
      </c>
      <c r="L115" s="179"/>
      <c r="M115" s="6" t="s">
        <v>5654</v>
      </c>
      <c r="N115" s="56"/>
      <c r="O115" s="291" t="s">
        <v>6257</v>
      </c>
      <c r="P115" s="6" t="s">
        <v>82</v>
      </c>
      <c r="Q115" s="6" t="s">
        <v>6064</v>
      </c>
      <c r="R115" s="54"/>
    </row>
    <row r="116" spans="1:18" ht="12.75">
      <c r="A116" s="6" t="s">
        <v>2132</v>
      </c>
      <c r="B116" s="6" t="s">
        <v>1883</v>
      </c>
      <c r="C116" s="6" t="s">
        <v>1383</v>
      </c>
      <c r="D116" s="7">
        <v>44881</v>
      </c>
      <c r="E116" s="22" t="s">
        <v>2133</v>
      </c>
      <c r="F116" s="6" t="s">
        <v>2104</v>
      </c>
      <c r="G116" s="8"/>
      <c r="H116" s="6"/>
      <c r="I116" s="6" t="s">
        <v>1828</v>
      </c>
      <c r="J116" s="6" t="s">
        <v>2018</v>
      </c>
      <c r="K116" s="22"/>
      <c r="L116" s="179"/>
      <c r="M116" s="9" t="s">
        <v>1808</v>
      </c>
      <c r="N116" s="190"/>
      <c r="O116" s="6"/>
      <c r="P116" s="6"/>
      <c r="Q116" s="6"/>
      <c r="R116" s="54"/>
    </row>
    <row r="117" spans="1:18" ht="12.75">
      <c r="A117" s="6" t="s">
        <v>2134</v>
      </c>
      <c r="B117" s="6" t="s">
        <v>1883</v>
      </c>
      <c r="C117" s="6" t="s">
        <v>1383</v>
      </c>
      <c r="D117" s="7">
        <v>44886</v>
      </c>
      <c r="E117" s="22" t="s">
        <v>2135</v>
      </c>
      <c r="F117" s="6" t="s">
        <v>2104</v>
      </c>
      <c r="G117" s="8"/>
      <c r="H117" s="6"/>
      <c r="I117" s="6" t="s">
        <v>1828</v>
      </c>
      <c r="J117" s="6" t="s">
        <v>2018</v>
      </c>
      <c r="K117" s="22"/>
      <c r="L117" s="179"/>
      <c r="M117" s="9" t="s">
        <v>1808</v>
      </c>
      <c r="N117" s="190"/>
      <c r="O117" s="6"/>
      <c r="P117" s="6"/>
      <c r="Q117" s="6"/>
      <c r="R117" s="54"/>
    </row>
    <row r="118" spans="1:18" ht="38.25">
      <c r="A118" s="42" t="s">
        <v>690</v>
      </c>
      <c r="B118" s="112" t="s">
        <v>61</v>
      </c>
      <c r="C118" s="6" t="s">
        <v>125</v>
      </c>
      <c r="D118" s="7">
        <v>44733</v>
      </c>
      <c r="E118" s="136" t="s">
        <v>691</v>
      </c>
      <c r="F118" s="42" t="s">
        <v>692</v>
      </c>
      <c r="G118" s="57">
        <v>7155412</v>
      </c>
      <c r="H118" s="6" t="s">
        <v>2136</v>
      </c>
      <c r="I118" s="6" t="s">
        <v>1919</v>
      </c>
      <c r="J118" s="6"/>
      <c r="K118" s="136"/>
      <c r="L118" s="179">
        <v>62</v>
      </c>
      <c r="M118" s="6" t="s">
        <v>5654</v>
      </c>
      <c r="N118" s="56"/>
      <c r="O118" s="42"/>
      <c r="P118" s="6" t="s">
        <v>1874</v>
      </c>
      <c r="Q118" s="6" t="s">
        <v>6137</v>
      </c>
      <c r="R118" s="54"/>
    </row>
    <row r="119" spans="1:18" ht="12.75">
      <c r="A119" s="42"/>
      <c r="B119" s="112"/>
      <c r="C119" s="6"/>
      <c r="D119" s="7"/>
      <c r="E119" s="136"/>
      <c r="F119" s="42"/>
      <c r="G119" s="8">
        <f>G118+G49+G48</f>
        <v>11593292</v>
      </c>
      <c r="H119" s="6"/>
      <c r="I119" s="6"/>
      <c r="J119" s="6"/>
      <c r="K119" s="136"/>
      <c r="L119" s="179"/>
      <c r="M119" s="6"/>
      <c r="N119" s="190"/>
      <c r="O119" s="42"/>
      <c r="P119" s="6"/>
      <c r="Q119" s="6"/>
      <c r="R119" s="54"/>
    </row>
    <row r="120" spans="1:18" ht="51">
      <c r="A120" s="42" t="s">
        <v>690</v>
      </c>
      <c r="B120" s="112" t="s">
        <v>61</v>
      </c>
      <c r="C120" s="6" t="s">
        <v>125</v>
      </c>
      <c r="D120" s="7">
        <v>44873</v>
      </c>
      <c r="E120" s="136" t="s">
        <v>693</v>
      </c>
      <c r="F120" s="42" t="s">
        <v>694</v>
      </c>
      <c r="G120" s="397">
        <v>3897512</v>
      </c>
      <c r="H120" s="6" t="s">
        <v>2137</v>
      </c>
      <c r="I120" s="6" t="s">
        <v>1896</v>
      </c>
      <c r="J120" s="6"/>
      <c r="K120" s="136"/>
      <c r="L120" s="179"/>
      <c r="M120" s="6" t="s">
        <v>5654</v>
      </c>
      <c r="N120" s="56"/>
      <c r="O120" s="42"/>
      <c r="P120" s="6" t="s">
        <v>1874</v>
      </c>
      <c r="Q120" s="6" t="s">
        <v>6108</v>
      </c>
      <c r="R120" s="54"/>
    </row>
    <row r="121" spans="1:18" ht="38.25" customHeight="1">
      <c r="A121" s="42" t="s">
        <v>690</v>
      </c>
      <c r="B121" s="112" t="s">
        <v>61</v>
      </c>
      <c r="C121" s="6" t="s">
        <v>125</v>
      </c>
      <c r="D121" s="7">
        <v>44873</v>
      </c>
      <c r="E121" s="136" t="s">
        <v>695</v>
      </c>
      <c r="F121" s="42" t="s">
        <v>696</v>
      </c>
      <c r="G121" s="460">
        <v>4161535.59</v>
      </c>
      <c r="H121" s="6" t="s">
        <v>2138</v>
      </c>
      <c r="I121" s="6" t="s">
        <v>1828</v>
      </c>
      <c r="J121" s="6"/>
      <c r="K121" s="136"/>
      <c r="L121" s="179"/>
      <c r="M121" s="6" t="s">
        <v>5654</v>
      </c>
      <c r="N121" s="423" t="s">
        <v>6258</v>
      </c>
      <c r="O121" s="42"/>
      <c r="P121" s="6" t="s">
        <v>1874</v>
      </c>
      <c r="Q121" s="6"/>
      <c r="R121" s="54"/>
    </row>
    <row r="122" spans="1:18" ht="38.25" customHeight="1">
      <c r="A122" s="461"/>
      <c r="B122" s="462"/>
      <c r="C122" s="34"/>
      <c r="D122" s="35"/>
      <c r="E122" s="463"/>
      <c r="F122" s="461"/>
      <c r="G122" s="464">
        <f>G121+G120+G97+G79+G23+G22+G21+G20+G19+G14</f>
        <v>26887421.59</v>
      </c>
      <c r="H122" s="34"/>
      <c r="I122" s="34"/>
      <c r="J122" s="34"/>
      <c r="K122" s="463"/>
      <c r="L122" s="304"/>
      <c r="M122" s="34"/>
      <c r="N122" s="465"/>
      <c r="O122" s="461"/>
      <c r="P122" s="34"/>
      <c r="Q122" s="34"/>
      <c r="R122" s="105"/>
    </row>
  </sheetData>
  <conditionalFormatting sqref="B1:B122">
    <cfRule type="containsText" dxfId="3" priority="1" operator="containsText" text="Allocation">
      <formula>NOT(ISERROR(SEARCH(("Allocation"),(B1))))</formula>
    </cfRule>
  </conditionalFormatting>
  <hyperlinks>
    <hyperlink ref="N2" r:id="rId1" xr:uid="{00000000-0004-0000-1000-000000000000}"/>
    <hyperlink ref="O2" r:id="rId2" xr:uid="{00000000-0004-0000-1000-000001000000}"/>
    <hyperlink ref="N3" r:id="rId3" xr:uid="{00000000-0004-0000-1000-000002000000}"/>
    <hyperlink ref="O3" r:id="rId4" xr:uid="{00000000-0004-0000-1000-000003000000}"/>
    <hyperlink ref="N4" r:id="rId5" xr:uid="{00000000-0004-0000-1000-000004000000}"/>
    <hyperlink ref="O4" r:id="rId6" xr:uid="{00000000-0004-0000-1000-000005000000}"/>
    <hyperlink ref="N5" r:id="rId7" xr:uid="{00000000-0004-0000-1000-000006000000}"/>
    <hyperlink ref="O5" r:id="rId8" xr:uid="{00000000-0004-0000-1000-000007000000}"/>
    <hyperlink ref="O6" r:id="rId9" xr:uid="{00000000-0004-0000-1000-000008000000}"/>
    <hyperlink ref="O7" r:id="rId10" xr:uid="{00000000-0004-0000-1000-000009000000}"/>
    <hyperlink ref="N8" r:id="rId11" xr:uid="{00000000-0004-0000-1000-00000A000000}"/>
    <hyperlink ref="O8" r:id="rId12" xr:uid="{00000000-0004-0000-1000-00000B000000}"/>
    <hyperlink ref="O9" r:id="rId13" xr:uid="{00000000-0004-0000-1000-00000C000000}"/>
    <hyperlink ref="N10" r:id="rId14" xr:uid="{00000000-0004-0000-1000-00000D000000}"/>
    <hyperlink ref="O10" r:id="rId15" xr:uid="{00000000-0004-0000-1000-00000E000000}"/>
    <hyperlink ref="O11" r:id="rId16" xr:uid="{00000000-0004-0000-1000-00000F000000}"/>
    <hyperlink ref="O12" r:id="rId17" xr:uid="{00000000-0004-0000-1000-000010000000}"/>
    <hyperlink ref="O13" r:id="rId18" xr:uid="{00000000-0004-0000-1000-000011000000}"/>
    <hyperlink ref="O14" r:id="rId19" xr:uid="{00000000-0004-0000-1000-000012000000}"/>
    <hyperlink ref="N15" r:id="rId20" xr:uid="{00000000-0004-0000-1000-000013000000}"/>
    <hyperlink ref="O15" r:id="rId21" xr:uid="{00000000-0004-0000-1000-000014000000}"/>
    <hyperlink ref="N16" r:id="rId22" xr:uid="{00000000-0004-0000-1000-000015000000}"/>
    <hyperlink ref="O16" r:id="rId23" xr:uid="{00000000-0004-0000-1000-000016000000}"/>
    <hyperlink ref="O17" r:id="rId24" xr:uid="{00000000-0004-0000-1000-000017000000}"/>
    <hyperlink ref="N18" r:id="rId25" xr:uid="{00000000-0004-0000-1000-000018000000}"/>
    <hyperlink ref="O18" r:id="rId26" xr:uid="{00000000-0004-0000-1000-000019000000}"/>
    <hyperlink ref="N19" r:id="rId27" xr:uid="{00000000-0004-0000-1000-00001A000000}"/>
    <hyperlink ref="O19" r:id="rId28" xr:uid="{00000000-0004-0000-1000-00001B000000}"/>
    <hyperlink ref="N20" r:id="rId29" xr:uid="{00000000-0004-0000-1000-00001C000000}"/>
    <hyperlink ref="O20" r:id="rId30" xr:uid="{00000000-0004-0000-1000-00001D000000}"/>
    <hyperlink ref="N21" r:id="rId31" xr:uid="{00000000-0004-0000-1000-00001E000000}"/>
    <hyperlink ref="O21" r:id="rId32" xr:uid="{00000000-0004-0000-1000-00001F000000}"/>
    <hyperlink ref="N22" r:id="rId33" xr:uid="{00000000-0004-0000-1000-000020000000}"/>
    <hyperlink ref="O22" r:id="rId34" xr:uid="{00000000-0004-0000-1000-000021000000}"/>
    <hyperlink ref="N23" r:id="rId35" xr:uid="{00000000-0004-0000-1000-000022000000}"/>
    <hyperlink ref="O23" r:id="rId36" xr:uid="{00000000-0004-0000-1000-000023000000}"/>
    <hyperlink ref="N24" r:id="rId37" xr:uid="{00000000-0004-0000-1000-000024000000}"/>
    <hyperlink ref="O24" r:id="rId38" xr:uid="{00000000-0004-0000-1000-000025000000}"/>
    <hyperlink ref="O25" r:id="rId39" xr:uid="{00000000-0004-0000-1000-000026000000}"/>
    <hyperlink ref="O26" r:id="rId40" xr:uid="{00000000-0004-0000-1000-000027000000}"/>
    <hyperlink ref="O27" r:id="rId41" xr:uid="{00000000-0004-0000-1000-000028000000}"/>
    <hyperlink ref="N28" r:id="rId42" xr:uid="{00000000-0004-0000-1000-000029000000}"/>
    <hyperlink ref="O28" r:id="rId43" xr:uid="{00000000-0004-0000-1000-00002A000000}"/>
    <hyperlink ref="O29" r:id="rId44" xr:uid="{00000000-0004-0000-1000-00002B000000}"/>
    <hyperlink ref="N30" r:id="rId45" xr:uid="{00000000-0004-0000-1000-00002C000000}"/>
    <hyperlink ref="O30" r:id="rId46" xr:uid="{00000000-0004-0000-1000-00002D000000}"/>
    <hyperlink ref="N31" r:id="rId47" xr:uid="{00000000-0004-0000-1000-00002E000000}"/>
    <hyperlink ref="O31" r:id="rId48" xr:uid="{00000000-0004-0000-1000-00002F000000}"/>
    <hyperlink ref="N32" r:id="rId49" xr:uid="{00000000-0004-0000-1000-000030000000}"/>
    <hyperlink ref="O32" r:id="rId50" xr:uid="{00000000-0004-0000-1000-000031000000}"/>
    <hyperlink ref="N33" r:id="rId51" xr:uid="{00000000-0004-0000-1000-000032000000}"/>
    <hyperlink ref="O33" r:id="rId52" xr:uid="{00000000-0004-0000-1000-000033000000}"/>
    <hyperlink ref="N34" r:id="rId53" xr:uid="{00000000-0004-0000-1000-000034000000}"/>
    <hyperlink ref="O34" r:id="rId54" xr:uid="{00000000-0004-0000-1000-000035000000}"/>
    <hyperlink ref="O35" r:id="rId55" xr:uid="{00000000-0004-0000-1000-000036000000}"/>
    <hyperlink ref="O36" r:id="rId56" xr:uid="{00000000-0004-0000-1000-000037000000}"/>
    <hyperlink ref="N37" r:id="rId57" xr:uid="{00000000-0004-0000-1000-000038000000}"/>
    <hyperlink ref="O37" r:id="rId58" xr:uid="{00000000-0004-0000-1000-000039000000}"/>
    <hyperlink ref="N38" r:id="rId59" xr:uid="{00000000-0004-0000-1000-00003A000000}"/>
    <hyperlink ref="O38" r:id="rId60" xr:uid="{00000000-0004-0000-1000-00003B000000}"/>
    <hyperlink ref="N39" r:id="rId61" xr:uid="{00000000-0004-0000-1000-00003C000000}"/>
    <hyperlink ref="O39" r:id="rId62" xr:uid="{00000000-0004-0000-1000-00003D000000}"/>
    <hyperlink ref="N40" r:id="rId63" xr:uid="{00000000-0004-0000-1000-00003E000000}"/>
    <hyperlink ref="O40" r:id="rId64" xr:uid="{00000000-0004-0000-1000-00003F000000}"/>
    <hyperlink ref="N41" r:id="rId65" xr:uid="{00000000-0004-0000-1000-000040000000}"/>
    <hyperlink ref="O41" r:id="rId66" xr:uid="{00000000-0004-0000-1000-000041000000}"/>
    <hyperlink ref="N42" r:id="rId67" xr:uid="{00000000-0004-0000-1000-000042000000}"/>
    <hyperlink ref="O42" r:id="rId68" xr:uid="{00000000-0004-0000-1000-000043000000}"/>
    <hyperlink ref="O43" r:id="rId69" xr:uid="{00000000-0004-0000-1000-000044000000}"/>
    <hyperlink ref="N44" r:id="rId70" xr:uid="{00000000-0004-0000-1000-000045000000}"/>
    <hyperlink ref="O44" r:id="rId71" xr:uid="{00000000-0004-0000-1000-000046000000}"/>
    <hyperlink ref="N45" r:id="rId72" xr:uid="{00000000-0004-0000-1000-000047000000}"/>
    <hyperlink ref="O45" r:id="rId73" xr:uid="{00000000-0004-0000-1000-000048000000}"/>
    <hyperlink ref="O46" r:id="rId74" xr:uid="{00000000-0004-0000-1000-000049000000}"/>
    <hyperlink ref="N47" r:id="rId75" xr:uid="{00000000-0004-0000-1000-00004A000000}"/>
    <hyperlink ref="O47" r:id="rId76" xr:uid="{00000000-0004-0000-1000-00004B000000}"/>
    <hyperlink ref="N48" r:id="rId77" xr:uid="{00000000-0004-0000-1000-00004C000000}"/>
    <hyperlink ref="O48" r:id="rId78" xr:uid="{00000000-0004-0000-1000-00004D000000}"/>
    <hyperlink ref="O49" r:id="rId79" xr:uid="{00000000-0004-0000-1000-00004E000000}"/>
    <hyperlink ref="N50" r:id="rId80" xr:uid="{00000000-0004-0000-1000-00004F000000}"/>
    <hyperlink ref="O50" r:id="rId81" xr:uid="{00000000-0004-0000-1000-000050000000}"/>
    <hyperlink ref="N51" r:id="rId82" xr:uid="{00000000-0004-0000-1000-000051000000}"/>
    <hyperlink ref="O51" r:id="rId83" xr:uid="{00000000-0004-0000-1000-000052000000}"/>
    <hyperlink ref="O52" r:id="rId84" xr:uid="{00000000-0004-0000-1000-000053000000}"/>
    <hyperlink ref="O53" r:id="rId85" xr:uid="{00000000-0004-0000-1000-000054000000}"/>
    <hyperlink ref="O54" r:id="rId86" xr:uid="{00000000-0004-0000-1000-000055000000}"/>
    <hyperlink ref="O55" r:id="rId87" xr:uid="{00000000-0004-0000-1000-000056000000}"/>
    <hyperlink ref="N56" r:id="rId88" xr:uid="{00000000-0004-0000-1000-000057000000}"/>
    <hyperlink ref="O56" r:id="rId89" xr:uid="{00000000-0004-0000-1000-000058000000}"/>
    <hyperlink ref="O57" r:id="rId90" xr:uid="{00000000-0004-0000-1000-000059000000}"/>
    <hyperlink ref="N58" r:id="rId91" xr:uid="{00000000-0004-0000-1000-00005A000000}"/>
    <hyperlink ref="O58" r:id="rId92" xr:uid="{00000000-0004-0000-1000-00005B000000}"/>
    <hyperlink ref="N59" r:id="rId93" xr:uid="{00000000-0004-0000-1000-00005C000000}"/>
    <hyperlink ref="O59" r:id="rId94" xr:uid="{00000000-0004-0000-1000-00005D000000}"/>
    <hyperlink ref="O60" r:id="rId95" xr:uid="{00000000-0004-0000-1000-00005E000000}"/>
    <hyperlink ref="O61" r:id="rId96" xr:uid="{00000000-0004-0000-1000-00005F000000}"/>
    <hyperlink ref="O62" r:id="rId97" xr:uid="{00000000-0004-0000-1000-000060000000}"/>
    <hyperlink ref="O63" r:id="rId98" xr:uid="{00000000-0004-0000-1000-000061000000}"/>
    <hyperlink ref="N64" r:id="rId99" xr:uid="{00000000-0004-0000-1000-000062000000}"/>
    <hyperlink ref="O64" r:id="rId100" xr:uid="{00000000-0004-0000-1000-000063000000}"/>
    <hyperlink ref="O65" r:id="rId101" xr:uid="{00000000-0004-0000-1000-000064000000}"/>
    <hyperlink ref="O66" r:id="rId102" xr:uid="{00000000-0004-0000-1000-000065000000}"/>
    <hyperlink ref="O67" r:id="rId103" xr:uid="{00000000-0004-0000-1000-000066000000}"/>
    <hyperlink ref="O68" r:id="rId104" xr:uid="{00000000-0004-0000-1000-000067000000}"/>
    <hyperlink ref="O69" r:id="rId105" xr:uid="{00000000-0004-0000-1000-000068000000}"/>
    <hyperlink ref="O70" r:id="rId106" xr:uid="{00000000-0004-0000-1000-000069000000}"/>
    <hyperlink ref="O71" r:id="rId107" xr:uid="{00000000-0004-0000-1000-00006A000000}"/>
    <hyperlink ref="N72" r:id="rId108" xr:uid="{00000000-0004-0000-1000-00006B000000}"/>
    <hyperlink ref="O72" r:id="rId109" xr:uid="{00000000-0004-0000-1000-00006C000000}"/>
    <hyperlink ref="O73" r:id="rId110" xr:uid="{00000000-0004-0000-1000-00006D000000}"/>
    <hyperlink ref="N74" r:id="rId111" xr:uid="{00000000-0004-0000-1000-00006E000000}"/>
    <hyperlink ref="O74" r:id="rId112" xr:uid="{00000000-0004-0000-1000-00006F000000}"/>
    <hyperlink ref="O75" r:id="rId113" xr:uid="{00000000-0004-0000-1000-000070000000}"/>
    <hyperlink ref="O76" r:id="rId114" xr:uid="{00000000-0004-0000-1000-000071000000}"/>
    <hyperlink ref="O77" r:id="rId115" xr:uid="{00000000-0004-0000-1000-000072000000}"/>
    <hyperlink ref="O78" r:id="rId116" xr:uid="{00000000-0004-0000-1000-000073000000}"/>
    <hyperlink ref="O79" r:id="rId117" xr:uid="{00000000-0004-0000-1000-000074000000}"/>
    <hyperlink ref="N80" r:id="rId118" xr:uid="{00000000-0004-0000-1000-000075000000}"/>
    <hyperlink ref="O80" r:id="rId119" xr:uid="{00000000-0004-0000-1000-000076000000}"/>
    <hyperlink ref="O81" r:id="rId120" xr:uid="{00000000-0004-0000-1000-000077000000}"/>
    <hyperlink ref="N82" r:id="rId121" xr:uid="{00000000-0004-0000-1000-000078000000}"/>
    <hyperlink ref="O82" r:id="rId122" xr:uid="{00000000-0004-0000-1000-000079000000}"/>
    <hyperlink ref="N83" r:id="rId123" xr:uid="{00000000-0004-0000-1000-00007A000000}"/>
    <hyperlink ref="O83" r:id="rId124" xr:uid="{00000000-0004-0000-1000-00007B000000}"/>
    <hyperlink ref="N84" r:id="rId125" xr:uid="{00000000-0004-0000-1000-00007C000000}"/>
    <hyperlink ref="O84" r:id="rId126" xr:uid="{00000000-0004-0000-1000-00007D000000}"/>
    <hyperlink ref="N85" r:id="rId127" xr:uid="{00000000-0004-0000-1000-00007E000000}"/>
    <hyperlink ref="O85" r:id="rId128" xr:uid="{00000000-0004-0000-1000-00007F000000}"/>
    <hyperlink ref="N86" r:id="rId129" xr:uid="{00000000-0004-0000-1000-000080000000}"/>
    <hyperlink ref="N88" r:id="rId130" xr:uid="{00000000-0004-0000-1000-000081000000}"/>
    <hyperlink ref="O88" r:id="rId131" xr:uid="{00000000-0004-0000-1000-000082000000}"/>
    <hyperlink ref="O89" r:id="rId132" xr:uid="{00000000-0004-0000-1000-000083000000}"/>
    <hyperlink ref="O90" r:id="rId133" xr:uid="{00000000-0004-0000-1000-000084000000}"/>
    <hyperlink ref="N91" r:id="rId134" xr:uid="{00000000-0004-0000-1000-000085000000}"/>
    <hyperlink ref="O92" r:id="rId135" xr:uid="{00000000-0004-0000-1000-000086000000}"/>
    <hyperlink ref="N93" r:id="rId136" xr:uid="{00000000-0004-0000-1000-000087000000}"/>
    <hyperlink ref="N94" r:id="rId137" xr:uid="{00000000-0004-0000-1000-000088000000}"/>
    <hyperlink ref="N95" r:id="rId138" xr:uid="{00000000-0004-0000-1000-000089000000}"/>
    <hyperlink ref="O95" r:id="rId139" xr:uid="{00000000-0004-0000-1000-00008A000000}"/>
    <hyperlink ref="O96" r:id="rId140" xr:uid="{00000000-0004-0000-1000-00008B000000}"/>
    <hyperlink ref="O97" r:id="rId141" xr:uid="{00000000-0004-0000-1000-00008C000000}"/>
    <hyperlink ref="O99" r:id="rId142" xr:uid="{00000000-0004-0000-1000-00008D000000}"/>
    <hyperlink ref="N101" r:id="rId143" xr:uid="{00000000-0004-0000-1000-00008E000000}"/>
    <hyperlink ref="O101" r:id="rId144" xr:uid="{00000000-0004-0000-1000-00008F000000}"/>
    <hyperlink ref="N102" r:id="rId145" xr:uid="{00000000-0004-0000-1000-000090000000}"/>
    <hyperlink ref="O102" r:id="rId146" xr:uid="{00000000-0004-0000-1000-000091000000}"/>
    <hyperlink ref="N103" r:id="rId147" xr:uid="{00000000-0004-0000-1000-000092000000}"/>
    <hyperlink ref="O103" r:id="rId148" xr:uid="{00000000-0004-0000-1000-000093000000}"/>
    <hyperlink ref="O104" r:id="rId149" xr:uid="{00000000-0004-0000-1000-000094000000}"/>
    <hyperlink ref="N106" r:id="rId150" xr:uid="{00000000-0004-0000-1000-000095000000}"/>
    <hyperlink ref="O106" r:id="rId151" xr:uid="{00000000-0004-0000-1000-000096000000}"/>
    <hyperlink ref="N108" r:id="rId152" xr:uid="{00000000-0004-0000-1000-000097000000}"/>
    <hyperlink ref="O108" r:id="rId153" xr:uid="{00000000-0004-0000-1000-000098000000}"/>
    <hyperlink ref="N109" r:id="rId154" xr:uid="{00000000-0004-0000-1000-000099000000}"/>
    <hyperlink ref="O109" r:id="rId155" xr:uid="{00000000-0004-0000-1000-00009A000000}"/>
    <hyperlink ref="N111" r:id="rId156" xr:uid="{00000000-0004-0000-1000-00009B000000}"/>
    <hyperlink ref="O111" r:id="rId157" xr:uid="{00000000-0004-0000-1000-00009C000000}"/>
    <hyperlink ref="N113" r:id="rId158" xr:uid="{00000000-0004-0000-1000-00009D000000}"/>
    <hyperlink ref="O115" r:id="rId159" xr:uid="{00000000-0004-0000-1000-00009E000000}"/>
    <hyperlink ref="N121" r:id="rId160" xr:uid="{00000000-0004-0000-1000-00009F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R7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3.28515625" customWidth="1"/>
    <col min="2" max="2" width="12.42578125" customWidth="1"/>
    <col min="3" max="3" width="13.85546875" customWidth="1"/>
    <col min="4" max="4" width="15.85546875" customWidth="1"/>
    <col min="5" max="5" width="35.28515625" customWidth="1"/>
    <col min="6" max="6" width="33.85546875" customWidth="1"/>
    <col min="7" max="7" width="17.42578125" customWidth="1"/>
    <col min="8" max="8" width="21.7109375" customWidth="1"/>
    <col min="11" max="11" width="53.7109375" customWidth="1"/>
    <col min="12" max="12" width="14.7109375" customWidth="1"/>
    <col min="13" max="14" width="9.85546875" customWidth="1"/>
    <col min="15" max="15" width="37.5703125" customWidth="1"/>
    <col min="16" max="16" width="33.85546875" customWidth="1"/>
    <col min="18" max="18" width="30.140625" customWidth="1"/>
  </cols>
  <sheetData>
    <row r="1" spans="1:18" ht="38.25">
      <c r="A1" s="466" t="s">
        <v>6259</v>
      </c>
      <c r="B1" s="466" t="s">
        <v>389</v>
      </c>
      <c r="C1" s="466" t="s">
        <v>4</v>
      </c>
      <c r="D1" s="274" t="s">
        <v>5</v>
      </c>
      <c r="E1" s="274" t="s">
        <v>6</v>
      </c>
      <c r="F1" s="274" t="s">
        <v>7</v>
      </c>
      <c r="G1" s="274" t="s">
        <v>5627</v>
      </c>
      <c r="H1" s="274" t="s">
        <v>8</v>
      </c>
      <c r="I1" s="466" t="s">
        <v>1821</v>
      </c>
      <c r="J1" s="466" t="s">
        <v>1818</v>
      </c>
      <c r="K1" s="274" t="s">
        <v>1822</v>
      </c>
      <c r="L1" s="319" t="s">
        <v>5633</v>
      </c>
      <c r="M1" s="274" t="s">
        <v>5631</v>
      </c>
      <c r="N1" s="274" t="s">
        <v>6260</v>
      </c>
      <c r="O1" s="274" t="s">
        <v>6261</v>
      </c>
      <c r="P1" s="274" t="s">
        <v>5630</v>
      </c>
      <c r="Q1" s="274" t="s">
        <v>6060</v>
      </c>
      <c r="R1" s="466" t="s">
        <v>5628</v>
      </c>
    </row>
    <row r="2" spans="1:18" ht="51" customHeight="1">
      <c r="A2" s="144">
        <v>44197</v>
      </c>
      <c r="B2" s="9" t="s">
        <v>61</v>
      </c>
      <c r="C2" s="9" t="s">
        <v>697</v>
      </c>
      <c r="D2" s="6"/>
      <c r="E2" s="22" t="s">
        <v>698</v>
      </c>
      <c r="F2" s="6" t="s">
        <v>699</v>
      </c>
      <c r="G2" s="8">
        <v>414900</v>
      </c>
      <c r="H2" s="6" t="s">
        <v>2139</v>
      </c>
      <c r="I2" s="9" t="s">
        <v>1828</v>
      </c>
      <c r="J2" s="9" t="s">
        <v>1824</v>
      </c>
      <c r="K2" s="6"/>
      <c r="L2" s="9" t="s">
        <v>611</v>
      </c>
      <c r="M2" s="179"/>
      <c r="N2" s="9" t="s">
        <v>1808</v>
      </c>
      <c r="O2" s="297" t="s">
        <v>6262</v>
      </c>
      <c r="P2" s="467" t="s">
        <v>6263</v>
      </c>
      <c r="Q2" s="6" t="s">
        <v>1824</v>
      </c>
      <c r="R2" s="9"/>
    </row>
    <row r="3" spans="1:18" ht="51">
      <c r="A3" s="144">
        <v>44228</v>
      </c>
      <c r="B3" s="9" t="s">
        <v>1867</v>
      </c>
      <c r="C3" s="9"/>
      <c r="D3" s="6"/>
      <c r="E3" s="22" t="s">
        <v>2140</v>
      </c>
      <c r="F3" s="6" t="s">
        <v>2141</v>
      </c>
      <c r="G3" s="6"/>
      <c r="H3" s="6" t="s">
        <v>2142</v>
      </c>
      <c r="I3" s="9" t="s">
        <v>2467</v>
      </c>
      <c r="J3" s="9"/>
      <c r="K3" s="6" t="s">
        <v>2143</v>
      </c>
      <c r="L3" s="9" t="s">
        <v>1231</v>
      </c>
      <c r="M3" s="179"/>
      <c r="N3" s="6" t="s">
        <v>5650</v>
      </c>
      <c r="O3" s="297" t="s">
        <v>6264</v>
      </c>
      <c r="P3" s="467" t="s">
        <v>6265</v>
      </c>
      <c r="Q3" s="6" t="s">
        <v>6217</v>
      </c>
      <c r="R3" s="9"/>
    </row>
    <row r="4" spans="1:18" ht="39.75" customHeight="1">
      <c r="A4" s="144">
        <v>44348</v>
      </c>
      <c r="B4" s="9" t="s">
        <v>1867</v>
      </c>
      <c r="C4" s="9"/>
      <c r="D4" s="6"/>
      <c r="E4" s="22" t="s">
        <v>2145</v>
      </c>
      <c r="F4" s="6" t="s">
        <v>2146</v>
      </c>
      <c r="G4" s="6"/>
      <c r="H4" s="6" t="s">
        <v>2147</v>
      </c>
      <c r="I4" s="9" t="s">
        <v>2449</v>
      </c>
      <c r="J4" s="9" t="s">
        <v>2144</v>
      </c>
      <c r="K4" s="6" t="s">
        <v>2143</v>
      </c>
      <c r="L4" s="9" t="s">
        <v>611</v>
      </c>
      <c r="M4" s="179"/>
      <c r="N4" s="6" t="s">
        <v>5654</v>
      </c>
      <c r="O4" s="297" t="s">
        <v>6266</v>
      </c>
      <c r="P4" s="468" t="s">
        <v>6267</v>
      </c>
      <c r="Q4" s="9" t="s">
        <v>6137</v>
      </c>
      <c r="R4" s="6" t="s">
        <v>6268</v>
      </c>
    </row>
    <row r="5" spans="1:18" ht="140.25">
      <c r="A5" s="144">
        <v>44378</v>
      </c>
      <c r="B5" s="9" t="s">
        <v>61</v>
      </c>
      <c r="C5" s="9" t="s">
        <v>1111</v>
      </c>
      <c r="D5" s="6"/>
      <c r="E5" s="22" t="s">
        <v>1112</v>
      </c>
      <c r="F5" s="6" t="s">
        <v>1113</v>
      </c>
      <c r="G5" s="8">
        <v>1578099.2</v>
      </c>
      <c r="H5" s="6" t="s">
        <v>2148</v>
      </c>
      <c r="I5" s="9" t="s">
        <v>2467</v>
      </c>
      <c r="J5" s="9" t="s">
        <v>1150</v>
      </c>
      <c r="K5" s="6" t="s">
        <v>2149</v>
      </c>
      <c r="L5" s="9" t="s">
        <v>1231</v>
      </c>
      <c r="M5" s="179"/>
      <c r="N5" s="6" t="s">
        <v>5654</v>
      </c>
      <c r="O5" s="469" t="s">
        <v>6269</v>
      </c>
      <c r="P5" s="468" t="s">
        <v>6270</v>
      </c>
      <c r="Q5" s="6" t="s">
        <v>6140</v>
      </c>
      <c r="R5" s="9"/>
    </row>
    <row r="6" spans="1:18" ht="38.25">
      <c r="A6" s="144">
        <v>44409</v>
      </c>
      <c r="B6" s="9" t="s">
        <v>1867</v>
      </c>
      <c r="C6" s="9" t="s">
        <v>1111</v>
      </c>
      <c r="D6" s="6"/>
      <c r="E6" s="22" t="s">
        <v>2150</v>
      </c>
      <c r="F6" s="6" t="s">
        <v>2151</v>
      </c>
      <c r="G6" s="6"/>
      <c r="H6" s="6" t="s">
        <v>2152</v>
      </c>
      <c r="I6" s="9" t="s">
        <v>2467</v>
      </c>
      <c r="J6" s="9"/>
      <c r="K6" s="139" t="s">
        <v>2016</v>
      </c>
      <c r="L6" s="9"/>
      <c r="M6" s="179"/>
      <c r="N6" s="6" t="s">
        <v>5654</v>
      </c>
      <c r="O6" s="297" t="s">
        <v>6271</v>
      </c>
      <c r="P6" s="468" t="s">
        <v>6272</v>
      </c>
      <c r="Q6" s="9" t="s">
        <v>1867</v>
      </c>
      <c r="R6" s="9"/>
    </row>
    <row r="7" spans="1:18" ht="63.75">
      <c r="A7" s="144">
        <v>44440</v>
      </c>
      <c r="B7" s="9" t="s">
        <v>1867</v>
      </c>
      <c r="C7" s="9"/>
      <c r="D7" s="6"/>
      <c r="E7" s="22" t="s">
        <v>2153</v>
      </c>
      <c r="F7" s="6" t="s">
        <v>2154</v>
      </c>
      <c r="G7" s="6"/>
      <c r="H7" s="6" t="s">
        <v>2155</v>
      </c>
      <c r="I7" s="9" t="s">
        <v>2656</v>
      </c>
      <c r="J7" s="9"/>
      <c r="K7" s="139" t="s">
        <v>2016</v>
      </c>
      <c r="L7" s="9"/>
      <c r="M7" s="179"/>
      <c r="N7" s="6" t="s">
        <v>5650</v>
      </c>
      <c r="O7" s="297" t="s">
        <v>6273</v>
      </c>
      <c r="P7" s="468" t="s">
        <v>6274</v>
      </c>
      <c r="Q7" s="9" t="s">
        <v>1867</v>
      </c>
      <c r="R7" s="9"/>
    </row>
    <row r="8" spans="1:18" ht="127.5">
      <c r="A8" s="145">
        <v>44531</v>
      </c>
      <c r="B8" s="9" t="s">
        <v>61</v>
      </c>
      <c r="C8" s="9" t="s">
        <v>456</v>
      </c>
      <c r="D8" s="6"/>
      <c r="E8" s="22" t="s">
        <v>700</v>
      </c>
      <c r="F8" s="6" t="s">
        <v>2156</v>
      </c>
      <c r="G8" s="8">
        <v>50735</v>
      </c>
      <c r="H8" s="6" t="s">
        <v>2157</v>
      </c>
      <c r="I8" s="9" t="s">
        <v>1886</v>
      </c>
      <c r="J8" s="9" t="s">
        <v>6275</v>
      </c>
      <c r="K8" s="6" t="s">
        <v>2158</v>
      </c>
      <c r="L8" s="9" t="s">
        <v>1853</v>
      </c>
      <c r="M8" s="179"/>
      <c r="N8" s="6" t="s">
        <v>5650</v>
      </c>
      <c r="O8" s="291" t="s">
        <v>6276</v>
      </c>
      <c r="P8" s="468" t="s">
        <v>6277</v>
      </c>
      <c r="Q8" s="6" t="s">
        <v>6092</v>
      </c>
      <c r="R8" s="9"/>
    </row>
    <row r="9" spans="1:18" ht="127.5">
      <c r="A9" s="9" t="s">
        <v>2159</v>
      </c>
      <c r="B9" s="9"/>
      <c r="C9" s="9" t="s">
        <v>456</v>
      </c>
      <c r="D9" s="6"/>
      <c r="E9" s="164" t="s">
        <v>700</v>
      </c>
      <c r="F9" s="158" t="s">
        <v>2160</v>
      </c>
      <c r="G9" s="470">
        <v>50735</v>
      </c>
      <c r="H9" s="6" t="s">
        <v>2157</v>
      </c>
      <c r="I9" s="9" t="s">
        <v>1886</v>
      </c>
      <c r="J9" s="9" t="s">
        <v>6275</v>
      </c>
      <c r="K9" s="6" t="s">
        <v>2158</v>
      </c>
      <c r="L9" s="9" t="s">
        <v>1853</v>
      </c>
      <c r="M9" s="178"/>
      <c r="N9" s="158" t="s">
        <v>5650</v>
      </c>
      <c r="O9" s="291" t="s">
        <v>6276</v>
      </c>
      <c r="P9" s="471" t="s">
        <v>6278</v>
      </c>
      <c r="Q9" s="6" t="s">
        <v>6279</v>
      </c>
      <c r="R9" s="9"/>
    </row>
    <row r="10" spans="1:18" ht="76.5">
      <c r="A10" s="9" t="s">
        <v>1114</v>
      </c>
      <c r="B10" s="9" t="s">
        <v>61</v>
      </c>
      <c r="C10" s="9" t="s">
        <v>1111</v>
      </c>
      <c r="D10" s="160"/>
      <c r="E10" s="22" t="s">
        <v>1115</v>
      </c>
      <c r="F10" s="6" t="s">
        <v>1116</v>
      </c>
      <c r="G10" s="8">
        <v>1527776</v>
      </c>
      <c r="H10" s="160" t="s">
        <v>2161</v>
      </c>
      <c r="I10" s="9" t="s">
        <v>1828</v>
      </c>
      <c r="J10" s="9" t="s">
        <v>6280</v>
      </c>
      <c r="K10" s="6" t="s">
        <v>2162</v>
      </c>
      <c r="L10" s="9" t="s">
        <v>1904</v>
      </c>
      <c r="M10" s="179"/>
      <c r="N10" s="6" t="s">
        <v>5650</v>
      </c>
      <c r="O10" s="472" t="s">
        <v>6281</v>
      </c>
      <c r="P10" s="468" t="s">
        <v>6282</v>
      </c>
      <c r="Q10" s="6" t="s">
        <v>6283</v>
      </c>
      <c r="R10" s="9"/>
    </row>
    <row r="11" spans="1:18" ht="102">
      <c r="A11" s="9" t="s">
        <v>1497</v>
      </c>
      <c r="B11" s="9" t="s">
        <v>61</v>
      </c>
      <c r="C11" s="9" t="s">
        <v>1417</v>
      </c>
      <c r="D11" s="6"/>
      <c r="E11" s="22" t="s">
        <v>1498</v>
      </c>
      <c r="F11" s="6" t="s">
        <v>808</v>
      </c>
      <c r="G11" s="8">
        <v>1232386.08</v>
      </c>
      <c r="H11" s="6" t="s">
        <v>2139</v>
      </c>
      <c r="I11" s="9" t="s">
        <v>1828</v>
      </c>
      <c r="J11" s="9" t="s">
        <v>2163</v>
      </c>
      <c r="K11" s="6" t="s">
        <v>2164</v>
      </c>
      <c r="L11" s="9" t="s">
        <v>82</v>
      </c>
      <c r="M11" s="179"/>
      <c r="N11" s="9" t="s">
        <v>1808</v>
      </c>
      <c r="O11" s="472" t="s">
        <v>6284</v>
      </c>
      <c r="P11" s="468" t="s">
        <v>6285</v>
      </c>
      <c r="Q11" s="6" t="s">
        <v>6064</v>
      </c>
      <c r="R11" s="9"/>
    </row>
    <row r="12" spans="1:18" ht="38.25">
      <c r="A12" s="9" t="s">
        <v>2165</v>
      </c>
      <c r="B12" s="9" t="s">
        <v>1867</v>
      </c>
      <c r="C12" s="9"/>
      <c r="D12" s="6"/>
      <c r="E12" s="22" t="s">
        <v>2166</v>
      </c>
      <c r="F12" s="6" t="s">
        <v>2167</v>
      </c>
      <c r="G12" s="6"/>
      <c r="H12" s="6" t="s">
        <v>2168</v>
      </c>
      <c r="I12" s="9" t="s">
        <v>2656</v>
      </c>
      <c r="J12" s="9"/>
      <c r="K12" s="139" t="s">
        <v>2016</v>
      </c>
      <c r="L12" s="9"/>
      <c r="M12" s="179"/>
      <c r="N12" s="6" t="s">
        <v>5654</v>
      </c>
      <c r="O12" s="6"/>
      <c r="P12" s="468" t="s">
        <v>6286</v>
      </c>
      <c r="Q12" s="9" t="s">
        <v>1867</v>
      </c>
      <c r="R12" s="9"/>
    </row>
    <row r="13" spans="1:18" ht="38.25">
      <c r="A13" s="9" t="s">
        <v>2169</v>
      </c>
      <c r="B13" s="9" t="s">
        <v>61</v>
      </c>
      <c r="C13" s="9" t="s">
        <v>2172</v>
      </c>
      <c r="D13" s="6"/>
      <c r="E13" s="22" t="s">
        <v>2170</v>
      </c>
      <c r="F13" s="6" t="s">
        <v>2171</v>
      </c>
      <c r="G13" s="8">
        <v>200000</v>
      </c>
      <c r="H13" s="6" t="s">
        <v>2139</v>
      </c>
      <c r="I13" s="9" t="s">
        <v>1828</v>
      </c>
      <c r="J13" s="9" t="s">
        <v>6287</v>
      </c>
      <c r="K13" s="6"/>
      <c r="L13" s="9" t="s">
        <v>82</v>
      </c>
      <c r="M13" s="179"/>
      <c r="N13" s="9" t="s">
        <v>1808</v>
      </c>
      <c r="O13" s="473" t="s">
        <v>6288</v>
      </c>
      <c r="P13" s="468" t="s">
        <v>6289</v>
      </c>
      <c r="Q13" s="6" t="s">
        <v>6064</v>
      </c>
      <c r="R13" s="9"/>
    </row>
    <row r="14" spans="1:18" ht="76.5">
      <c r="A14" s="9" t="s">
        <v>2173</v>
      </c>
      <c r="B14" s="9"/>
      <c r="C14" s="9" t="s">
        <v>2172</v>
      </c>
      <c r="D14" s="6"/>
      <c r="E14" s="22" t="s">
        <v>2174</v>
      </c>
      <c r="F14" s="158" t="s">
        <v>808</v>
      </c>
      <c r="G14" s="64">
        <v>5600000</v>
      </c>
      <c r="H14" s="6" t="s">
        <v>2139</v>
      </c>
      <c r="I14" s="9" t="s">
        <v>1828</v>
      </c>
      <c r="J14" s="9" t="s">
        <v>1824</v>
      </c>
      <c r="K14" s="132" t="s">
        <v>2175</v>
      </c>
      <c r="L14" s="9" t="s">
        <v>82</v>
      </c>
      <c r="M14" s="179"/>
      <c r="N14" s="9" t="s">
        <v>1808</v>
      </c>
      <c r="O14" s="474" t="s">
        <v>6290</v>
      </c>
      <c r="P14" s="474" t="s">
        <v>6291</v>
      </c>
      <c r="Q14" s="6" t="s">
        <v>6064</v>
      </c>
      <c r="R14" s="9"/>
    </row>
    <row r="15" spans="1:18" ht="114.75">
      <c r="A15" s="9" t="s">
        <v>702</v>
      </c>
      <c r="B15" s="9" t="s">
        <v>61</v>
      </c>
      <c r="C15" s="9" t="s">
        <v>394</v>
      </c>
      <c r="D15" s="6"/>
      <c r="E15" s="22" t="s">
        <v>703</v>
      </c>
      <c r="F15" s="6" t="s">
        <v>704</v>
      </c>
      <c r="G15" s="64">
        <v>9000</v>
      </c>
      <c r="H15" s="6" t="s">
        <v>6292</v>
      </c>
      <c r="I15" s="9" t="s">
        <v>1879</v>
      </c>
      <c r="J15" s="9" t="s">
        <v>6293</v>
      </c>
      <c r="K15" s="6" t="s">
        <v>2176</v>
      </c>
      <c r="L15" s="9" t="s">
        <v>1853</v>
      </c>
      <c r="M15" s="179"/>
      <c r="N15" s="9" t="s">
        <v>1808</v>
      </c>
      <c r="O15" s="472" t="s">
        <v>6294</v>
      </c>
      <c r="P15" s="468" t="s">
        <v>6295</v>
      </c>
      <c r="Q15" s="6" t="s">
        <v>6071</v>
      </c>
      <c r="R15" s="9"/>
    </row>
    <row r="16" spans="1:18" ht="127.5">
      <c r="A16" s="9" t="s">
        <v>705</v>
      </c>
      <c r="B16" s="9" t="s">
        <v>61</v>
      </c>
      <c r="C16" s="9" t="s">
        <v>394</v>
      </c>
      <c r="D16" s="6"/>
      <c r="E16" s="164" t="s">
        <v>706</v>
      </c>
      <c r="F16" s="6" t="s">
        <v>707</v>
      </c>
      <c r="G16" s="64">
        <v>20000</v>
      </c>
      <c r="H16" s="6" t="s">
        <v>6296</v>
      </c>
      <c r="I16" s="9" t="s">
        <v>1919</v>
      </c>
      <c r="J16" s="9" t="s">
        <v>6293</v>
      </c>
      <c r="K16" s="6" t="s">
        <v>2177</v>
      </c>
      <c r="L16" s="9" t="s">
        <v>1853</v>
      </c>
      <c r="M16" s="179"/>
      <c r="N16" s="9" t="s">
        <v>1808</v>
      </c>
      <c r="O16" s="472" t="s">
        <v>6294</v>
      </c>
      <c r="P16" s="468" t="s">
        <v>6297</v>
      </c>
      <c r="Q16" s="6" t="s">
        <v>6071</v>
      </c>
      <c r="R16" s="9"/>
    </row>
    <row r="17" spans="1:18" ht="89.25">
      <c r="A17" s="9" t="s">
        <v>2178</v>
      </c>
      <c r="B17" s="9" t="s">
        <v>61</v>
      </c>
      <c r="C17" s="9" t="s">
        <v>2172</v>
      </c>
      <c r="D17" s="6"/>
      <c r="E17" s="22" t="s">
        <v>2180</v>
      </c>
      <c r="F17" s="6" t="s">
        <v>575</v>
      </c>
      <c r="G17" s="6" t="s">
        <v>6298</v>
      </c>
      <c r="H17" s="6" t="s">
        <v>2181</v>
      </c>
      <c r="I17" s="9" t="s">
        <v>1828</v>
      </c>
      <c r="J17" s="9" t="s">
        <v>1824</v>
      </c>
      <c r="K17" s="6" t="s">
        <v>2182</v>
      </c>
      <c r="L17" s="9" t="s">
        <v>82</v>
      </c>
      <c r="M17" s="179"/>
      <c r="N17" s="9" t="s">
        <v>1808</v>
      </c>
      <c r="O17" s="471" t="s">
        <v>6299</v>
      </c>
      <c r="P17" s="468" t="s">
        <v>6300</v>
      </c>
      <c r="Q17" s="6" t="s">
        <v>6064</v>
      </c>
      <c r="R17" s="9"/>
    </row>
    <row r="18" spans="1:18" ht="178.5">
      <c r="A18" s="9" t="s">
        <v>1499</v>
      </c>
      <c r="B18" s="9" t="s">
        <v>61</v>
      </c>
      <c r="C18" s="9" t="s">
        <v>1500</v>
      </c>
      <c r="D18" s="6"/>
      <c r="E18" s="22" t="s">
        <v>1501</v>
      </c>
      <c r="F18" s="6" t="s">
        <v>1502</v>
      </c>
      <c r="G18" s="8">
        <v>200000</v>
      </c>
      <c r="H18" s="6" t="s">
        <v>6301</v>
      </c>
      <c r="I18" s="9" t="s">
        <v>2051</v>
      </c>
      <c r="J18" s="9" t="s">
        <v>6293</v>
      </c>
      <c r="K18" s="6" t="s">
        <v>2183</v>
      </c>
      <c r="L18" s="9" t="s">
        <v>82</v>
      </c>
      <c r="M18" s="179"/>
      <c r="N18" s="9" t="s">
        <v>1808</v>
      </c>
      <c r="O18" s="472" t="s">
        <v>6302</v>
      </c>
      <c r="P18" s="468" t="s">
        <v>6303</v>
      </c>
      <c r="Q18" s="6" t="s">
        <v>6064</v>
      </c>
      <c r="R18" s="9" t="s">
        <v>6064</v>
      </c>
    </row>
    <row r="19" spans="1:18" ht="66" customHeight="1">
      <c r="A19" s="9" t="s">
        <v>708</v>
      </c>
      <c r="B19" s="9" t="s">
        <v>61</v>
      </c>
      <c r="C19" s="6" t="s">
        <v>586</v>
      </c>
      <c r="D19" s="160"/>
      <c r="E19" s="22" t="s">
        <v>709</v>
      </c>
      <c r="F19" s="6" t="s">
        <v>2184</v>
      </c>
      <c r="G19" s="8">
        <v>28450</v>
      </c>
      <c r="H19" s="160" t="s">
        <v>2185</v>
      </c>
      <c r="I19" s="9" t="s">
        <v>1886</v>
      </c>
      <c r="J19" s="9" t="s">
        <v>2144</v>
      </c>
      <c r="K19" s="6" t="s">
        <v>2186</v>
      </c>
      <c r="L19" s="9" t="s">
        <v>1874</v>
      </c>
      <c r="M19" s="179"/>
      <c r="N19" s="6" t="s">
        <v>5654</v>
      </c>
      <c r="O19" s="474" t="s">
        <v>6304</v>
      </c>
      <c r="P19" s="468" t="s">
        <v>6305</v>
      </c>
      <c r="Q19" s="6" t="s">
        <v>6306</v>
      </c>
      <c r="R19" s="9"/>
    </row>
    <row r="20" spans="1:18" ht="51">
      <c r="A20" s="9" t="s">
        <v>711</v>
      </c>
      <c r="B20" s="9" t="s">
        <v>61</v>
      </c>
      <c r="C20" s="9" t="s">
        <v>712</v>
      </c>
      <c r="D20" s="160"/>
      <c r="E20" s="22" t="s">
        <v>713</v>
      </c>
      <c r="F20" s="6" t="s">
        <v>2187</v>
      </c>
      <c r="G20" s="8">
        <v>222750</v>
      </c>
      <c r="H20" s="160" t="s">
        <v>2188</v>
      </c>
      <c r="I20" s="9" t="s">
        <v>1828</v>
      </c>
      <c r="J20" s="9" t="s">
        <v>2144</v>
      </c>
      <c r="K20" s="6" t="s">
        <v>2189</v>
      </c>
      <c r="L20" s="9" t="s">
        <v>1874</v>
      </c>
      <c r="M20" s="179"/>
      <c r="N20" s="6" t="s">
        <v>5654</v>
      </c>
      <c r="O20" s="474" t="s">
        <v>6307</v>
      </c>
      <c r="P20" s="468" t="s">
        <v>6308</v>
      </c>
      <c r="Q20" s="6" t="s">
        <v>6206</v>
      </c>
      <c r="R20" s="9"/>
    </row>
    <row r="21" spans="1:18" ht="114.75">
      <c r="A21" s="9" t="s">
        <v>1503</v>
      </c>
      <c r="B21" s="9" t="s">
        <v>61</v>
      </c>
      <c r="C21" s="9" t="s">
        <v>1383</v>
      </c>
      <c r="D21" s="6"/>
      <c r="E21" s="22" t="s">
        <v>1504</v>
      </c>
      <c r="F21" s="6" t="s">
        <v>1505</v>
      </c>
      <c r="G21" s="8">
        <v>394700</v>
      </c>
      <c r="H21" s="6" t="s">
        <v>2190</v>
      </c>
      <c r="I21" s="9" t="s">
        <v>1828</v>
      </c>
      <c r="J21" s="9" t="s">
        <v>6309</v>
      </c>
      <c r="K21" s="6" t="s">
        <v>2191</v>
      </c>
      <c r="L21" s="9" t="s">
        <v>82</v>
      </c>
      <c r="M21" s="179"/>
      <c r="N21" s="9" t="s">
        <v>1808</v>
      </c>
      <c r="O21" s="474" t="s">
        <v>6310</v>
      </c>
      <c r="P21" s="468" t="s">
        <v>6311</v>
      </c>
      <c r="Q21" s="6" t="s">
        <v>6064</v>
      </c>
      <c r="R21" s="9"/>
    </row>
    <row r="22" spans="1:18" ht="140.25">
      <c r="A22" s="9" t="s">
        <v>2192</v>
      </c>
      <c r="B22" s="9" t="s">
        <v>61</v>
      </c>
      <c r="C22" s="9" t="s">
        <v>2172</v>
      </c>
      <c r="D22" s="6"/>
      <c r="E22" s="22" t="s">
        <v>2193</v>
      </c>
      <c r="F22" s="6" t="s">
        <v>575</v>
      </c>
      <c r="G22" s="8">
        <v>76800</v>
      </c>
      <c r="H22" s="6" t="s">
        <v>2190</v>
      </c>
      <c r="I22" s="9" t="s">
        <v>1828</v>
      </c>
      <c r="J22" s="9" t="s">
        <v>1824</v>
      </c>
      <c r="K22" s="6" t="s">
        <v>2194</v>
      </c>
      <c r="L22" s="9" t="s">
        <v>82</v>
      </c>
      <c r="M22" s="179"/>
      <c r="N22" s="9" t="s">
        <v>1808</v>
      </c>
      <c r="O22" s="474" t="s">
        <v>6312</v>
      </c>
      <c r="P22" s="468" t="s">
        <v>6313</v>
      </c>
      <c r="Q22" s="6" t="s">
        <v>6064</v>
      </c>
      <c r="R22" s="9"/>
    </row>
    <row r="23" spans="1:18" ht="165.75">
      <c r="A23" s="9" t="s">
        <v>1506</v>
      </c>
      <c r="B23" s="9" t="s">
        <v>61</v>
      </c>
      <c r="C23" s="9" t="s">
        <v>1383</v>
      </c>
      <c r="D23" s="6"/>
      <c r="E23" s="22" t="s">
        <v>2195</v>
      </c>
      <c r="F23" s="6" t="s">
        <v>1508</v>
      </c>
      <c r="G23" s="8">
        <v>200000</v>
      </c>
      <c r="H23" s="6" t="s">
        <v>3421</v>
      </c>
      <c r="I23" s="9" t="s">
        <v>6314</v>
      </c>
      <c r="J23" s="9" t="s">
        <v>6293</v>
      </c>
      <c r="K23" s="6" t="s">
        <v>2196</v>
      </c>
      <c r="L23" s="9" t="s">
        <v>82</v>
      </c>
      <c r="M23" s="179"/>
      <c r="N23" s="9" t="s">
        <v>1808</v>
      </c>
      <c r="O23" s="472" t="s">
        <v>6315</v>
      </c>
      <c r="P23" s="468" t="s">
        <v>6316</v>
      </c>
      <c r="Q23" s="6" t="s">
        <v>6064</v>
      </c>
      <c r="R23" s="9"/>
    </row>
    <row r="24" spans="1:18" ht="229.5">
      <c r="A24" s="9" t="s">
        <v>715</v>
      </c>
      <c r="B24" s="9" t="s">
        <v>61</v>
      </c>
      <c r="C24" s="9" t="s">
        <v>394</v>
      </c>
      <c r="D24" s="6"/>
      <c r="E24" s="22" t="s">
        <v>716</v>
      </c>
      <c r="F24" s="6" t="s">
        <v>572</v>
      </c>
      <c r="G24" s="8">
        <v>8000</v>
      </c>
      <c r="H24" s="6"/>
      <c r="I24" s="9" t="s">
        <v>2460</v>
      </c>
      <c r="J24" s="9" t="s">
        <v>6293</v>
      </c>
      <c r="K24" s="6" t="s">
        <v>2197</v>
      </c>
      <c r="L24" s="9" t="s">
        <v>1853</v>
      </c>
      <c r="M24" s="180"/>
      <c r="N24" s="9" t="s">
        <v>1808</v>
      </c>
      <c r="O24" s="472" t="s">
        <v>6317</v>
      </c>
      <c r="P24" s="468" t="s">
        <v>6318</v>
      </c>
      <c r="Q24" s="6" t="s">
        <v>6071</v>
      </c>
      <c r="R24" s="9"/>
    </row>
    <row r="25" spans="1:18" ht="102">
      <c r="A25" s="9" t="s">
        <v>717</v>
      </c>
      <c r="B25" s="9" t="s">
        <v>61</v>
      </c>
      <c r="C25" s="6" t="s">
        <v>586</v>
      </c>
      <c r="D25" s="160"/>
      <c r="E25" s="449" t="s">
        <v>718</v>
      </c>
      <c r="F25" s="6" t="s">
        <v>2198</v>
      </c>
      <c r="G25" s="8">
        <v>8500</v>
      </c>
      <c r="H25" s="160" t="s">
        <v>2199</v>
      </c>
      <c r="I25" s="9" t="s">
        <v>1828</v>
      </c>
      <c r="J25" s="9" t="s">
        <v>6319</v>
      </c>
      <c r="K25" s="6" t="s">
        <v>2200</v>
      </c>
      <c r="L25" s="9" t="s">
        <v>1874</v>
      </c>
      <c r="M25" s="179"/>
      <c r="N25" s="6" t="s">
        <v>5654</v>
      </c>
      <c r="O25" s="472" t="s">
        <v>6320</v>
      </c>
      <c r="P25" s="468" t="s">
        <v>6321</v>
      </c>
      <c r="Q25" s="6" t="s">
        <v>6104</v>
      </c>
      <c r="R25" s="9"/>
    </row>
    <row r="26" spans="1:18" ht="63.75">
      <c r="A26" s="9" t="s">
        <v>1509</v>
      </c>
      <c r="B26" s="9" t="s">
        <v>61</v>
      </c>
      <c r="C26" s="9" t="s">
        <v>1417</v>
      </c>
      <c r="D26" s="6"/>
      <c r="E26" s="22" t="s">
        <v>1510</v>
      </c>
      <c r="F26" s="6" t="s">
        <v>1511</v>
      </c>
      <c r="G26" s="8">
        <v>314417.48</v>
      </c>
      <c r="H26" s="6" t="s">
        <v>2190</v>
      </c>
      <c r="I26" s="9" t="s">
        <v>1828</v>
      </c>
      <c r="J26" s="9" t="s">
        <v>1824</v>
      </c>
      <c r="K26" s="6" t="s">
        <v>2201</v>
      </c>
      <c r="L26" s="9" t="s">
        <v>2412</v>
      </c>
      <c r="M26" s="179"/>
      <c r="N26" s="9" t="s">
        <v>1808</v>
      </c>
      <c r="O26" s="474" t="s">
        <v>6322</v>
      </c>
      <c r="P26" s="468" t="s">
        <v>6323</v>
      </c>
      <c r="Q26" s="6" t="s">
        <v>6064</v>
      </c>
      <c r="R26" s="9"/>
    </row>
    <row r="27" spans="1:18" ht="76.5">
      <c r="A27" s="9" t="s">
        <v>1512</v>
      </c>
      <c r="B27" s="9" t="s">
        <v>61</v>
      </c>
      <c r="C27" s="9" t="s">
        <v>1417</v>
      </c>
      <c r="D27" s="6"/>
      <c r="E27" s="22" t="s">
        <v>2202</v>
      </c>
      <c r="F27" s="6" t="s">
        <v>1511</v>
      </c>
      <c r="G27" s="8">
        <v>509255</v>
      </c>
      <c r="H27" s="6" t="s">
        <v>2190</v>
      </c>
      <c r="I27" s="9" t="s">
        <v>1828</v>
      </c>
      <c r="J27" s="9" t="s">
        <v>1824</v>
      </c>
      <c r="K27" s="6" t="s">
        <v>2203</v>
      </c>
      <c r="L27" s="9" t="s">
        <v>2412</v>
      </c>
      <c r="M27" s="179"/>
      <c r="N27" s="9" t="s">
        <v>1808</v>
      </c>
      <c r="O27" s="474" t="s">
        <v>6324</v>
      </c>
      <c r="P27" s="468" t="s">
        <v>6325</v>
      </c>
      <c r="Q27" s="6" t="s">
        <v>6064</v>
      </c>
      <c r="R27" s="9"/>
    </row>
    <row r="28" spans="1:18" ht="105.75" customHeight="1">
      <c r="A28" s="9" t="s">
        <v>1117</v>
      </c>
      <c r="B28" s="9" t="s">
        <v>61</v>
      </c>
      <c r="C28" s="9" t="s">
        <v>1118</v>
      </c>
      <c r="D28" s="6"/>
      <c r="E28" s="22" t="s">
        <v>1119</v>
      </c>
      <c r="F28" s="6" t="s">
        <v>1120</v>
      </c>
      <c r="G28" s="8">
        <v>2880000</v>
      </c>
      <c r="H28" s="6" t="s">
        <v>2204</v>
      </c>
      <c r="I28" s="9" t="s">
        <v>2449</v>
      </c>
      <c r="J28" s="9" t="s">
        <v>2144</v>
      </c>
      <c r="K28" s="6" t="s">
        <v>2205</v>
      </c>
      <c r="L28" s="9" t="s">
        <v>1904</v>
      </c>
      <c r="M28" s="179"/>
      <c r="N28" s="6" t="s">
        <v>5654</v>
      </c>
      <c r="O28" s="472" t="s">
        <v>6320</v>
      </c>
      <c r="P28" s="468" t="s">
        <v>6326</v>
      </c>
      <c r="Q28" s="6" t="s">
        <v>6327</v>
      </c>
      <c r="R28" s="9" t="s">
        <v>6328</v>
      </c>
    </row>
    <row r="29" spans="1:18" ht="76.5">
      <c r="A29" s="9" t="s">
        <v>1514</v>
      </c>
      <c r="B29" s="9" t="s">
        <v>61</v>
      </c>
      <c r="C29" s="9" t="s">
        <v>1383</v>
      </c>
      <c r="D29" s="6"/>
      <c r="E29" s="22" t="s">
        <v>1515</v>
      </c>
      <c r="F29" s="6" t="s">
        <v>707</v>
      </c>
      <c r="G29" s="8">
        <v>200000</v>
      </c>
      <c r="H29" s="6" t="s">
        <v>6329</v>
      </c>
      <c r="I29" s="9" t="s">
        <v>2609</v>
      </c>
      <c r="J29" s="9" t="s">
        <v>6293</v>
      </c>
      <c r="K29" s="6" t="s">
        <v>2206</v>
      </c>
      <c r="L29" s="9" t="s">
        <v>82</v>
      </c>
      <c r="M29" s="179"/>
      <c r="N29" s="9" t="s">
        <v>1808</v>
      </c>
      <c r="O29" s="472" t="s">
        <v>6330</v>
      </c>
      <c r="P29" s="468" t="s">
        <v>6331</v>
      </c>
      <c r="Q29" s="6" t="s">
        <v>6064</v>
      </c>
      <c r="R29" s="9"/>
    </row>
    <row r="30" spans="1:18" ht="89.25">
      <c r="A30" s="9" t="s">
        <v>720</v>
      </c>
      <c r="B30" s="9" t="s">
        <v>61</v>
      </c>
      <c r="C30" s="9" t="s">
        <v>394</v>
      </c>
      <c r="D30" s="6"/>
      <c r="E30" s="22" t="s">
        <v>721</v>
      </c>
      <c r="F30" s="6" t="s">
        <v>722</v>
      </c>
      <c r="G30" s="8">
        <v>10000</v>
      </c>
      <c r="H30" s="6"/>
      <c r="I30" s="9" t="s">
        <v>2467</v>
      </c>
      <c r="J30" s="9" t="s">
        <v>6293</v>
      </c>
      <c r="K30" s="6" t="s">
        <v>2207</v>
      </c>
      <c r="L30" s="9" t="s">
        <v>1853</v>
      </c>
      <c r="M30" s="179"/>
      <c r="N30" s="9" t="s">
        <v>1808</v>
      </c>
      <c r="O30" s="474" t="s">
        <v>6332</v>
      </c>
      <c r="P30" s="468" t="s">
        <v>6333</v>
      </c>
      <c r="Q30" s="6" t="s">
        <v>6071</v>
      </c>
      <c r="R30" s="9"/>
    </row>
    <row r="31" spans="1:18" ht="63.75">
      <c r="A31" s="9" t="s">
        <v>2208</v>
      </c>
      <c r="B31" s="9"/>
      <c r="C31" s="9" t="s">
        <v>1420</v>
      </c>
      <c r="D31" s="6"/>
      <c r="E31" s="22" t="s">
        <v>2209</v>
      </c>
      <c r="F31" s="6" t="s">
        <v>2210</v>
      </c>
      <c r="G31" s="8">
        <v>250000</v>
      </c>
      <c r="H31" s="6" t="s">
        <v>2190</v>
      </c>
      <c r="I31" s="9" t="s">
        <v>1828</v>
      </c>
      <c r="J31" s="9" t="s">
        <v>1824</v>
      </c>
      <c r="K31" s="6" t="s">
        <v>2211</v>
      </c>
      <c r="L31" s="9" t="s">
        <v>82</v>
      </c>
      <c r="M31" s="179"/>
      <c r="N31" s="9" t="s">
        <v>1808</v>
      </c>
      <c r="O31" s="474" t="s">
        <v>6332</v>
      </c>
      <c r="P31" s="468" t="s">
        <v>6334</v>
      </c>
      <c r="Q31" s="6" t="s">
        <v>6064</v>
      </c>
      <c r="R31" s="9"/>
    </row>
    <row r="32" spans="1:18" ht="89.25">
      <c r="A32" s="9" t="s">
        <v>2212</v>
      </c>
      <c r="B32" s="9" t="s">
        <v>61</v>
      </c>
      <c r="C32" s="9" t="s">
        <v>2172</v>
      </c>
      <c r="D32" s="6"/>
      <c r="E32" s="22" t="s">
        <v>2213</v>
      </c>
      <c r="F32" s="6" t="s">
        <v>2214</v>
      </c>
      <c r="G32" s="8">
        <v>200000</v>
      </c>
      <c r="H32" s="6"/>
      <c r="I32" s="9" t="s">
        <v>2085</v>
      </c>
      <c r="J32" s="9" t="s">
        <v>6293</v>
      </c>
      <c r="K32" s="6" t="s">
        <v>2215</v>
      </c>
      <c r="L32" s="9" t="s">
        <v>82</v>
      </c>
      <c r="M32" s="179"/>
      <c r="N32" s="9" t="s">
        <v>1808</v>
      </c>
      <c r="O32" s="474" t="s">
        <v>6312</v>
      </c>
      <c r="P32" s="468" t="s">
        <v>6335</v>
      </c>
      <c r="Q32" s="6" t="s">
        <v>6064</v>
      </c>
      <c r="R32" s="9"/>
    </row>
    <row r="33" spans="1:18" ht="50.25" customHeight="1">
      <c r="A33" s="9" t="s">
        <v>1516</v>
      </c>
      <c r="B33" s="9" t="s">
        <v>61</v>
      </c>
      <c r="C33" s="9" t="s">
        <v>1500</v>
      </c>
      <c r="D33" s="6"/>
      <c r="E33" s="22" t="s">
        <v>1517</v>
      </c>
      <c r="F33" s="6" t="s">
        <v>2216</v>
      </c>
      <c r="G33" s="8">
        <v>2325008</v>
      </c>
      <c r="H33" s="6" t="s">
        <v>2190</v>
      </c>
      <c r="I33" s="9" t="s">
        <v>1828</v>
      </c>
      <c r="J33" s="9" t="s">
        <v>1824</v>
      </c>
      <c r="K33" s="6" t="s">
        <v>2217</v>
      </c>
      <c r="L33" s="9" t="s">
        <v>82</v>
      </c>
      <c r="M33" s="179"/>
      <c r="N33" s="9" t="s">
        <v>1808</v>
      </c>
      <c r="O33" s="474" t="s">
        <v>6336</v>
      </c>
      <c r="P33" s="468" t="s">
        <v>6337</v>
      </c>
      <c r="Q33" s="6" t="s">
        <v>6064</v>
      </c>
      <c r="R33" s="9"/>
    </row>
    <row r="34" spans="1:18" ht="138" customHeight="1">
      <c r="A34" s="9" t="s">
        <v>1519</v>
      </c>
      <c r="B34" s="9" t="s">
        <v>61</v>
      </c>
      <c r="C34" s="9" t="s">
        <v>1520</v>
      </c>
      <c r="D34" s="6"/>
      <c r="E34" s="22" t="s">
        <v>2218</v>
      </c>
      <c r="F34" s="6" t="s">
        <v>1389</v>
      </c>
      <c r="G34" s="8">
        <v>200000</v>
      </c>
      <c r="H34" s="6" t="s">
        <v>6338</v>
      </c>
      <c r="I34" s="9" t="s">
        <v>2031</v>
      </c>
      <c r="J34" s="9" t="s">
        <v>6287</v>
      </c>
      <c r="K34" s="149" t="s">
        <v>2219</v>
      </c>
      <c r="L34" s="9" t="s">
        <v>82</v>
      </c>
      <c r="M34" s="179"/>
      <c r="N34" s="9" t="s">
        <v>1808</v>
      </c>
      <c r="O34" s="474" t="s">
        <v>6339</v>
      </c>
      <c r="P34" s="468" t="s">
        <v>6340</v>
      </c>
      <c r="Q34" s="6" t="s">
        <v>6064</v>
      </c>
      <c r="R34" s="9" t="s">
        <v>6064</v>
      </c>
    </row>
    <row r="35" spans="1:18" ht="140.25">
      <c r="A35" s="9" t="s">
        <v>1522</v>
      </c>
      <c r="B35" s="9" t="s">
        <v>61</v>
      </c>
      <c r="C35" s="9" t="s">
        <v>1520</v>
      </c>
      <c r="D35" s="6"/>
      <c r="E35" s="22" t="s">
        <v>1523</v>
      </c>
      <c r="F35" s="6" t="s">
        <v>1491</v>
      </c>
      <c r="G35" s="8">
        <v>170750</v>
      </c>
      <c r="H35" s="6"/>
      <c r="I35" s="9" t="s">
        <v>2041</v>
      </c>
      <c r="J35" s="9" t="s">
        <v>6287</v>
      </c>
      <c r="K35" s="149" t="s">
        <v>2220</v>
      </c>
      <c r="L35" s="9" t="s">
        <v>82</v>
      </c>
      <c r="M35" s="179"/>
      <c r="N35" s="9" t="s">
        <v>1808</v>
      </c>
      <c r="O35" s="474" t="s">
        <v>6339</v>
      </c>
      <c r="P35" s="468" t="s">
        <v>6341</v>
      </c>
      <c r="Q35" s="6" t="s">
        <v>6064</v>
      </c>
      <c r="R35" s="9"/>
    </row>
    <row r="36" spans="1:18" ht="89.25">
      <c r="A36" s="9" t="s">
        <v>1524</v>
      </c>
      <c r="B36" s="9" t="s">
        <v>61</v>
      </c>
      <c r="C36" s="9" t="s">
        <v>1520</v>
      </c>
      <c r="D36" s="6"/>
      <c r="E36" s="22" t="s">
        <v>1525</v>
      </c>
      <c r="F36" s="6" t="s">
        <v>575</v>
      </c>
      <c r="G36" s="8">
        <v>38350</v>
      </c>
      <c r="H36" s="6" t="s">
        <v>2190</v>
      </c>
      <c r="I36" s="9" t="s">
        <v>1828</v>
      </c>
      <c r="J36" s="9" t="s">
        <v>1824</v>
      </c>
      <c r="K36" s="149" t="s">
        <v>2221</v>
      </c>
      <c r="L36" s="9" t="s">
        <v>82</v>
      </c>
      <c r="M36" s="179"/>
      <c r="N36" s="9" t="s">
        <v>1808</v>
      </c>
      <c r="O36" s="472" t="s">
        <v>6339</v>
      </c>
      <c r="P36" s="468" t="s">
        <v>6342</v>
      </c>
      <c r="Q36" s="6" t="s">
        <v>6064</v>
      </c>
      <c r="R36" s="9"/>
    </row>
    <row r="37" spans="1:18" ht="102">
      <c r="A37" s="9" t="s">
        <v>1526</v>
      </c>
      <c r="B37" s="9" t="s">
        <v>61</v>
      </c>
      <c r="C37" s="9" t="s">
        <v>1520</v>
      </c>
      <c r="D37" s="6"/>
      <c r="E37" s="22" t="s">
        <v>1527</v>
      </c>
      <c r="F37" s="6" t="s">
        <v>1528</v>
      </c>
      <c r="G37" s="8">
        <v>32350</v>
      </c>
      <c r="H37" s="6" t="s">
        <v>2190</v>
      </c>
      <c r="I37" s="9" t="s">
        <v>1828</v>
      </c>
      <c r="J37" s="9" t="s">
        <v>1824</v>
      </c>
      <c r="K37" s="149" t="s">
        <v>2222</v>
      </c>
      <c r="L37" s="9" t="s">
        <v>82</v>
      </c>
      <c r="M37" s="179"/>
      <c r="N37" s="9" t="s">
        <v>1808</v>
      </c>
      <c r="O37" s="474" t="s">
        <v>6343</v>
      </c>
      <c r="P37" s="468" t="s">
        <v>6344</v>
      </c>
      <c r="Q37" s="6" t="s">
        <v>6064</v>
      </c>
      <c r="R37" s="9"/>
    </row>
    <row r="38" spans="1:18" ht="63.75">
      <c r="A38" s="9" t="s">
        <v>2223</v>
      </c>
      <c r="B38" s="9" t="s">
        <v>61</v>
      </c>
      <c r="C38" s="9" t="s">
        <v>1838</v>
      </c>
      <c r="D38" s="6"/>
      <c r="E38" s="22" t="s">
        <v>2224</v>
      </c>
      <c r="F38" s="6" t="s">
        <v>2225</v>
      </c>
      <c r="G38" s="8">
        <v>110000</v>
      </c>
      <c r="H38" s="6" t="s">
        <v>2190</v>
      </c>
      <c r="I38" s="9" t="s">
        <v>1828</v>
      </c>
      <c r="J38" s="9" t="s">
        <v>1824</v>
      </c>
      <c r="K38" s="6" t="s">
        <v>2226</v>
      </c>
      <c r="L38" s="9" t="s">
        <v>6345</v>
      </c>
      <c r="M38" s="179"/>
      <c r="N38" s="9" t="s">
        <v>1808</v>
      </c>
      <c r="O38" s="471" t="s">
        <v>6339</v>
      </c>
      <c r="P38" s="468" t="s">
        <v>6346</v>
      </c>
      <c r="Q38" s="6" t="s">
        <v>6064</v>
      </c>
      <c r="R38" s="9"/>
    </row>
    <row r="39" spans="1:18" ht="102">
      <c r="A39" s="9" t="s">
        <v>72</v>
      </c>
      <c r="B39" s="9" t="s">
        <v>61</v>
      </c>
      <c r="C39" s="9" t="s">
        <v>2230</v>
      </c>
      <c r="D39" s="160"/>
      <c r="E39" s="22" t="s">
        <v>73</v>
      </c>
      <c r="F39" s="6" t="s">
        <v>2227</v>
      </c>
      <c r="G39" s="8">
        <v>349800</v>
      </c>
      <c r="H39" s="160" t="s">
        <v>2228</v>
      </c>
      <c r="I39" s="9" t="s">
        <v>1886</v>
      </c>
      <c r="J39" s="9" t="s">
        <v>2144</v>
      </c>
      <c r="K39" s="6" t="s">
        <v>2229</v>
      </c>
      <c r="L39" s="9" t="s">
        <v>1874</v>
      </c>
      <c r="M39" s="179"/>
      <c r="N39" s="9" t="s">
        <v>5654</v>
      </c>
      <c r="O39" s="472" t="s">
        <v>6347</v>
      </c>
      <c r="P39" s="468" t="s">
        <v>6348</v>
      </c>
      <c r="Q39" s="6" t="s">
        <v>6174</v>
      </c>
      <c r="R39" s="9"/>
    </row>
    <row r="40" spans="1:18" ht="51">
      <c r="A40" s="9" t="s">
        <v>724</v>
      </c>
      <c r="B40" s="9" t="s">
        <v>61</v>
      </c>
      <c r="C40" s="9" t="s">
        <v>2232</v>
      </c>
      <c r="D40" s="6"/>
      <c r="E40" s="22" t="s">
        <v>725</v>
      </c>
      <c r="F40" s="6" t="s">
        <v>572</v>
      </c>
      <c r="G40" s="8">
        <v>8000</v>
      </c>
      <c r="H40" s="6" t="s">
        <v>6349</v>
      </c>
      <c r="I40" s="9" t="s">
        <v>1855</v>
      </c>
      <c r="J40" s="9" t="s">
        <v>6287</v>
      </c>
      <c r="K40" s="6" t="s">
        <v>2231</v>
      </c>
      <c r="L40" s="9" t="s">
        <v>611</v>
      </c>
      <c r="M40" s="179"/>
      <c r="N40" s="9" t="s">
        <v>1808</v>
      </c>
      <c r="O40" s="472" t="s">
        <v>6347</v>
      </c>
      <c r="P40" s="468" t="s">
        <v>6350</v>
      </c>
      <c r="Q40" s="6" t="s">
        <v>6071</v>
      </c>
      <c r="R40" s="9"/>
    </row>
    <row r="41" spans="1:18" ht="242.25">
      <c r="A41" s="9" t="s">
        <v>1121</v>
      </c>
      <c r="B41" s="9" t="s">
        <v>61</v>
      </c>
      <c r="C41" s="9" t="s">
        <v>1111</v>
      </c>
      <c r="D41" s="6"/>
      <c r="E41" s="449" t="s">
        <v>1122</v>
      </c>
      <c r="F41" s="6" t="s">
        <v>1123</v>
      </c>
      <c r="G41" s="8">
        <v>2928900.41</v>
      </c>
      <c r="H41" s="6" t="s">
        <v>2233</v>
      </c>
      <c r="I41" s="9" t="s">
        <v>1828</v>
      </c>
      <c r="J41" s="9" t="s">
        <v>2144</v>
      </c>
      <c r="K41" s="6" t="s">
        <v>2234</v>
      </c>
      <c r="L41" s="9" t="s">
        <v>1904</v>
      </c>
      <c r="M41" s="179"/>
      <c r="N41" s="6" t="s">
        <v>5654</v>
      </c>
      <c r="O41" s="474" t="s">
        <v>6351</v>
      </c>
      <c r="P41" s="468" t="s">
        <v>6352</v>
      </c>
      <c r="Q41" s="6" t="s">
        <v>6353</v>
      </c>
      <c r="R41" s="9"/>
    </row>
    <row r="42" spans="1:18" ht="191.25">
      <c r="A42" s="9" t="s">
        <v>1529</v>
      </c>
      <c r="B42" s="9" t="s">
        <v>61</v>
      </c>
      <c r="C42" s="9" t="s">
        <v>1520</v>
      </c>
      <c r="D42" s="6"/>
      <c r="E42" s="22" t="s">
        <v>1530</v>
      </c>
      <c r="F42" s="6" t="s">
        <v>1531</v>
      </c>
      <c r="G42" s="8">
        <v>90500</v>
      </c>
      <c r="H42" s="6" t="s">
        <v>2190</v>
      </c>
      <c r="I42" s="9" t="s">
        <v>1828</v>
      </c>
      <c r="J42" s="9" t="s">
        <v>1824</v>
      </c>
      <c r="K42" s="6" t="s">
        <v>2235</v>
      </c>
      <c r="L42" s="9" t="s">
        <v>82</v>
      </c>
      <c r="M42" s="179"/>
      <c r="N42" s="9" t="s">
        <v>1808</v>
      </c>
      <c r="O42" s="474" t="s">
        <v>6354</v>
      </c>
      <c r="P42" s="468" t="s">
        <v>6355</v>
      </c>
      <c r="Q42" s="6" t="s">
        <v>6064</v>
      </c>
      <c r="R42" s="9"/>
    </row>
    <row r="43" spans="1:18" ht="204">
      <c r="A43" s="9" t="s">
        <v>1124</v>
      </c>
      <c r="B43" s="9" t="s">
        <v>61</v>
      </c>
      <c r="C43" s="9" t="s">
        <v>1111</v>
      </c>
      <c r="D43" s="6"/>
      <c r="E43" s="22" t="s">
        <v>1125</v>
      </c>
      <c r="F43" s="6" t="s">
        <v>1113</v>
      </c>
      <c r="G43" s="8">
        <v>4512920</v>
      </c>
      <c r="H43" s="6" t="s">
        <v>2236</v>
      </c>
      <c r="I43" s="9" t="s">
        <v>2467</v>
      </c>
      <c r="J43" s="9" t="s">
        <v>6356</v>
      </c>
      <c r="K43" s="6" t="s">
        <v>2237</v>
      </c>
      <c r="L43" s="9" t="s">
        <v>1904</v>
      </c>
      <c r="M43" s="179"/>
      <c r="N43" s="6" t="s">
        <v>5654</v>
      </c>
      <c r="O43" s="474" t="s">
        <v>6269</v>
      </c>
      <c r="P43" s="468" t="s">
        <v>6357</v>
      </c>
      <c r="Q43" s="6" t="s">
        <v>6358</v>
      </c>
      <c r="R43" s="9"/>
    </row>
    <row r="44" spans="1:18" ht="51">
      <c r="A44" s="9" t="s">
        <v>726</v>
      </c>
      <c r="B44" s="9" t="s">
        <v>61</v>
      </c>
      <c r="C44" s="9" t="s">
        <v>2230</v>
      </c>
      <c r="D44" s="160"/>
      <c r="E44" s="22" t="s">
        <v>727</v>
      </c>
      <c r="F44" s="6" t="s">
        <v>2238</v>
      </c>
      <c r="G44" s="8">
        <v>108540</v>
      </c>
      <c r="H44" s="160" t="s">
        <v>2239</v>
      </c>
      <c r="I44" s="9" t="s">
        <v>1886</v>
      </c>
      <c r="J44" s="9" t="s">
        <v>2144</v>
      </c>
      <c r="K44" s="6" t="s">
        <v>2240</v>
      </c>
      <c r="L44" s="9" t="s">
        <v>1874</v>
      </c>
      <c r="M44" s="179"/>
      <c r="N44" s="6" t="s">
        <v>5654</v>
      </c>
      <c r="O44" s="472" t="s">
        <v>6269</v>
      </c>
      <c r="P44" s="468" t="s">
        <v>6359</v>
      </c>
      <c r="Q44" s="6" t="s">
        <v>6360</v>
      </c>
      <c r="R44" s="9"/>
    </row>
    <row r="45" spans="1:18" ht="51">
      <c r="A45" s="9" t="s">
        <v>729</v>
      </c>
      <c r="B45" s="9" t="s">
        <v>61</v>
      </c>
      <c r="C45" s="9" t="s">
        <v>2230</v>
      </c>
      <c r="D45" s="160"/>
      <c r="E45" s="22" t="s">
        <v>730</v>
      </c>
      <c r="F45" s="6" t="s">
        <v>2241</v>
      </c>
      <c r="G45" s="8">
        <v>108500</v>
      </c>
      <c r="H45" s="160" t="s">
        <v>2242</v>
      </c>
      <c r="I45" s="9" t="s">
        <v>1919</v>
      </c>
      <c r="J45" s="9" t="s">
        <v>2144</v>
      </c>
      <c r="K45" s="6" t="s">
        <v>2243</v>
      </c>
      <c r="L45" s="9" t="s">
        <v>1874</v>
      </c>
      <c r="M45" s="179"/>
      <c r="N45" s="6" t="s">
        <v>5650</v>
      </c>
      <c r="O45" s="474" t="s">
        <v>6269</v>
      </c>
      <c r="P45" s="468" t="s">
        <v>6361</v>
      </c>
      <c r="Q45" s="6" t="s">
        <v>6174</v>
      </c>
      <c r="R45" s="9" t="s">
        <v>6328</v>
      </c>
    </row>
    <row r="46" spans="1:18" ht="76.5">
      <c r="A46" s="9" t="s">
        <v>1126</v>
      </c>
      <c r="B46" s="9" t="s">
        <v>61</v>
      </c>
      <c r="C46" s="9" t="s">
        <v>1127</v>
      </c>
      <c r="D46" s="6"/>
      <c r="E46" s="22" t="s">
        <v>1128</v>
      </c>
      <c r="F46" s="6" t="s">
        <v>1129</v>
      </c>
      <c r="G46" s="8">
        <v>3300440</v>
      </c>
      <c r="H46" s="6" t="s">
        <v>2244</v>
      </c>
      <c r="I46" s="9" t="s">
        <v>2460</v>
      </c>
      <c r="J46" s="9" t="s">
        <v>6356</v>
      </c>
      <c r="K46" s="6" t="s">
        <v>2245</v>
      </c>
      <c r="L46" s="9" t="s">
        <v>1904</v>
      </c>
      <c r="M46" s="179" t="s">
        <v>6362</v>
      </c>
      <c r="N46" s="6" t="s">
        <v>5650</v>
      </c>
      <c r="O46" s="474" t="s">
        <v>6339</v>
      </c>
      <c r="P46" s="468" t="s">
        <v>6363</v>
      </c>
      <c r="Q46" s="6" t="s">
        <v>6364</v>
      </c>
      <c r="R46" s="9"/>
    </row>
    <row r="47" spans="1:18" ht="178.5">
      <c r="A47" s="9" t="s">
        <v>1532</v>
      </c>
      <c r="B47" s="9" t="s">
        <v>61</v>
      </c>
      <c r="C47" s="9" t="s">
        <v>1500</v>
      </c>
      <c r="D47" s="6"/>
      <c r="E47" s="22" t="s">
        <v>1533</v>
      </c>
      <c r="F47" s="6" t="s">
        <v>1410</v>
      </c>
      <c r="G47" s="8">
        <v>200000</v>
      </c>
      <c r="H47" s="6" t="s">
        <v>2190</v>
      </c>
      <c r="I47" s="9" t="s">
        <v>1828</v>
      </c>
      <c r="J47" s="9" t="s">
        <v>2163</v>
      </c>
      <c r="K47" s="6" t="s">
        <v>2246</v>
      </c>
      <c r="L47" s="9" t="s">
        <v>82</v>
      </c>
      <c r="M47" s="179"/>
      <c r="N47" s="9" t="s">
        <v>1808</v>
      </c>
      <c r="O47" s="472" t="s">
        <v>6269</v>
      </c>
      <c r="P47" s="468" t="s">
        <v>6365</v>
      </c>
      <c r="Q47" s="6" t="s">
        <v>6064</v>
      </c>
      <c r="R47" s="9"/>
    </row>
    <row r="48" spans="1:18" ht="191.25">
      <c r="A48" s="9" t="s">
        <v>1534</v>
      </c>
      <c r="B48" s="9" t="s">
        <v>61</v>
      </c>
      <c r="C48" s="9" t="s">
        <v>1520</v>
      </c>
      <c r="D48" s="6"/>
      <c r="E48" s="22" t="s">
        <v>1535</v>
      </c>
      <c r="F48" s="6" t="s">
        <v>704</v>
      </c>
      <c r="G48" s="8">
        <v>155400</v>
      </c>
      <c r="H48" s="6" t="s">
        <v>6366</v>
      </c>
      <c r="I48" s="9" t="s">
        <v>1879</v>
      </c>
      <c r="J48" s="9" t="s">
        <v>6287</v>
      </c>
      <c r="K48" s="6" t="s">
        <v>2247</v>
      </c>
      <c r="L48" s="9" t="s">
        <v>82</v>
      </c>
      <c r="M48" s="179"/>
      <c r="N48" s="220" t="s">
        <v>1808</v>
      </c>
      <c r="O48" s="474" t="s">
        <v>6269</v>
      </c>
      <c r="P48" s="468" t="s">
        <v>6367</v>
      </c>
      <c r="Q48" s="6" t="s">
        <v>6064</v>
      </c>
      <c r="R48" s="9"/>
    </row>
    <row r="49" spans="1:18" ht="178.5">
      <c r="A49" s="9" t="s">
        <v>1536</v>
      </c>
      <c r="B49" s="9" t="s">
        <v>61</v>
      </c>
      <c r="C49" s="9" t="s">
        <v>1520</v>
      </c>
      <c r="D49" s="6"/>
      <c r="E49" s="22" t="s">
        <v>1537</v>
      </c>
      <c r="F49" s="6" t="s">
        <v>575</v>
      </c>
      <c r="G49" s="30">
        <v>196050</v>
      </c>
      <c r="H49" s="6" t="s">
        <v>2190</v>
      </c>
      <c r="I49" s="9" t="s">
        <v>1828</v>
      </c>
      <c r="J49" s="9" t="s">
        <v>1824</v>
      </c>
      <c r="K49" s="6" t="s">
        <v>2248</v>
      </c>
      <c r="L49" s="9" t="s">
        <v>82</v>
      </c>
      <c r="M49" s="179"/>
      <c r="N49" s="475" t="s">
        <v>1808</v>
      </c>
      <c r="O49" s="472" t="s">
        <v>6368</v>
      </c>
      <c r="P49" s="468" t="s">
        <v>6369</v>
      </c>
      <c r="Q49" s="6" t="s">
        <v>6064</v>
      </c>
      <c r="R49" s="9"/>
    </row>
    <row r="50" spans="1:18" ht="114.75">
      <c r="A50" s="9" t="s">
        <v>1538</v>
      </c>
      <c r="B50" s="9" t="s">
        <v>61</v>
      </c>
      <c r="C50" s="9" t="s">
        <v>1500</v>
      </c>
      <c r="D50" s="160"/>
      <c r="E50" s="22" t="s">
        <v>1539</v>
      </c>
      <c r="F50" s="6" t="s">
        <v>2249</v>
      </c>
      <c r="G50" s="8">
        <v>105600</v>
      </c>
      <c r="H50" s="160" t="s">
        <v>2250</v>
      </c>
      <c r="I50" s="9" t="s">
        <v>6370</v>
      </c>
      <c r="J50" s="9" t="s">
        <v>6287</v>
      </c>
      <c r="K50" s="6" t="s">
        <v>2251</v>
      </c>
      <c r="L50" s="9" t="s">
        <v>82</v>
      </c>
      <c r="M50" s="179"/>
      <c r="N50" s="475" t="s">
        <v>1808</v>
      </c>
      <c r="O50" s="472" t="s">
        <v>6371</v>
      </c>
      <c r="P50" s="468" t="s">
        <v>6372</v>
      </c>
      <c r="Q50" s="6" t="s">
        <v>6064</v>
      </c>
      <c r="R50" s="9"/>
    </row>
    <row r="51" spans="1:18" ht="165.75">
      <c r="A51" s="9" t="s">
        <v>732</v>
      </c>
      <c r="B51" s="9" t="s">
        <v>61</v>
      </c>
      <c r="C51" s="9" t="s">
        <v>394</v>
      </c>
      <c r="D51" s="6"/>
      <c r="E51" s="22" t="s">
        <v>733</v>
      </c>
      <c r="F51" s="6" t="s">
        <v>734</v>
      </c>
      <c r="G51" s="8">
        <v>8000</v>
      </c>
      <c r="H51" s="6"/>
      <c r="I51" s="9" t="s">
        <v>2609</v>
      </c>
      <c r="J51" s="9" t="s">
        <v>6373</v>
      </c>
      <c r="K51" s="6" t="s">
        <v>2252</v>
      </c>
      <c r="L51" s="9" t="s">
        <v>1853</v>
      </c>
      <c r="M51" s="179"/>
      <c r="N51" s="475" t="s">
        <v>1808</v>
      </c>
      <c r="O51" s="472" t="s">
        <v>6371</v>
      </c>
      <c r="P51" s="468" t="s">
        <v>6374</v>
      </c>
      <c r="Q51" s="6" t="s">
        <v>6071</v>
      </c>
      <c r="R51" s="9"/>
    </row>
    <row r="52" spans="1:18" ht="63.75">
      <c r="A52" s="9" t="s">
        <v>1130</v>
      </c>
      <c r="B52" s="9" t="s">
        <v>61</v>
      </c>
      <c r="C52" s="6" t="s">
        <v>1131</v>
      </c>
      <c r="D52" s="6"/>
      <c r="E52" s="22" t="s">
        <v>1132</v>
      </c>
      <c r="F52" s="6" t="s">
        <v>1133</v>
      </c>
      <c r="G52" s="8">
        <v>1000000</v>
      </c>
      <c r="H52" s="6"/>
      <c r="I52" s="9" t="s">
        <v>2449</v>
      </c>
      <c r="J52" s="9" t="s">
        <v>6356</v>
      </c>
      <c r="K52" s="6" t="s">
        <v>2253</v>
      </c>
      <c r="L52" s="9" t="s">
        <v>1904</v>
      </c>
      <c r="M52" s="179"/>
      <c r="N52" s="6" t="s">
        <v>5650</v>
      </c>
      <c r="O52" s="474" t="s">
        <v>6375</v>
      </c>
      <c r="P52" s="468" t="s">
        <v>6376</v>
      </c>
      <c r="Q52" s="6" t="s">
        <v>6174</v>
      </c>
      <c r="R52" s="9" t="s">
        <v>6328</v>
      </c>
    </row>
    <row r="53" spans="1:18" ht="63.75">
      <c r="A53" s="9" t="s">
        <v>735</v>
      </c>
      <c r="B53" s="9" t="s">
        <v>61</v>
      </c>
      <c r="C53" s="9" t="s">
        <v>394</v>
      </c>
      <c r="D53" s="160"/>
      <c r="E53" s="22" t="s">
        <v>736</v>
      </c>
      <c r="F53" s="6" t="s">
        <v>737</v>
      </c>
      <c r="G53" s="8">
        <v>10000</v>
      </c>
      <c r="H53" s="160" t="s">
        <v>2254</v>
      </c>
      <c r="I53" s="9" t="s">
        <v>2460</v>
      </c>
      <c r="J53" s="9" t="s">
        <v>6287</v>
      </c>
      <c r="K53" s="6" t="s">
        <v>2255</v>
      </c>
      <c r="L53" s="9" t="s">
        <v>1853</v>
      </c>
      <c r="M53" s="179"/>
      <c r="N53" s="475" t="s">
        <v>1808</v>
      </c>
      <c r="O53" s="472" t="s">
        <v>6375</v>
      </c>
      <c r="P53" s="468" t="s">
        <v>6377</v>
      </c>
      <c r="Q53" s="6" t="s">
        <v>6071</v>
      </c>
      <c r="R53" s="9"/>
    </row>
    <row r="54" spans="1:18" ht="153">
      <c r="A54" s="9" t="s">
        <v>738</v>
      </c>
      <c r="B54" s="9" t="s">
        <v>61</v>
      </c>
      <c r="C54" s="9" t="s">
        <v>652</v>
      </c>
      <c r="D54" s="160"/>
      <c r="E54" s="22" t="s">
        <v>739</v>
      </c>
      <c r="F54" s="6" t="s">
        <v>2256</v>
      </c>
      <c r="G54" s="8">
        <v>157139</v>
      </c>
      <c r="H54" s="160" t="s">
        <v>2257</v>
      </c>
      <c r="I54" s="9" t="s">
        <v>1879</v>
      </c>
      <c r="J54" s="9" t="s">
        <v>2144</v>
      </c>
      <c r="K54" s="6" t="s">
        <v>2258</v>
      </c>
      <c r="L54" s="9" t="s">
        <v>1874</v>
      </c>
      <c r="M54" s="179"/>
      <c r="N54" s="6" t="s">
        <v>5650</v>
      </c>
      <c r="O54" s="472" t="s">
        <v>6375</v>
      </c>
      <c r="P54" s="468" t="s">
        <v>6378</v>
      </c>
      <c r="Q54" s="6" t="s">
        <v>6092</v>
      </c>
      <c r="R54" s="9"/>
    </row>
    <row r="55" spans="1:18" ht="63.75">
      <c r="A55" s="9" t="s">
        <v>741</v>
      </c>
      <c r="B55" s="9" t="s">
        <v>61</v>
      </c>
      <c r="C55" s="9" t="s">
        <v>652</v>
      </c>
      <c r="D55" s="6"/>
      <c r="E55" s="22" t="s">
        <v>742</v>
      </c>
      <c r="F55" s="6" t="s">
        <v>2259</v>
      </c>
      <c r="G55" s="8">
        <v>28150</v>
      </c>
      <c r="H55" s="6" t="s">
        <v>2260</v>
      </c>
      <c r="I55" s="9" t="s">
        <v>1879</v>
      </c>
      <c r="J55" s="9" t="s">
        <v>2144</v>
      </c>
      <c r="K55" s="6" t="s">
        <v>2261</v>
      </c>
      <c r="L55" s="9" t="s">
        <v>1874</v>
      </c>
      <c r="M55" s="179"/>
      <c r="N55" s="6" t="s">
        <v>5654</v>
      </c>
      <c r="O55" s="474" t="s">
        <v>6375</v>
      </c>
      <c r="P55" s="468" t="s">
        <v>6379</v>
      </c>
      <c r="Q55" s="6" t="s">
        <v>6279</v>
      </c>
      <c r="R55" s="9"/>
    </row>
    <row r="56" spans="1:18" ht="165.75">
      <c r="A56" s="9" t="s">
        <v>744</v>
      </c>
      <c r="B56" s="9" t="s">
        <v>61</v>
      </c>
      <c r="C56" s="9" t="s">
        <v>652</v>
      </c>
      <c r="D56" s="160"/>
      <c r="E56" s="22" t="s">
        <v>745</v>
      </c>
      <c r="F56" s="6" t="s">
        <v>2262</v>
      </c>
      <c r="G56" s="8">
        <v>179435</v>
      </c>
      <c r="H56" s="160" t="s">
        <v>2263</v>
      </c>
      <c r="I56" s="9" t="s">
        <v>1879</v>
      </c>
      <c r="J56" s="9" t="s">
        <v>2144</v>
      </c>
      <c r="K56" s="6" t="s">
        <v>2264</v>
      </c>
      <c r="L56" s="9" t="s">
        <v>1874</v>
      </c>
      <c r="M56" s="179"/>
      <c r="N56" s="6" t="s">
        <v>5650</v>
      </c>
      <c r="O56" s="472" t="s">
        <v>6375</v>
      </c>
      <c r="P56" s="468" t="s">
        <v>6380</v>
      </c>
      <c r="Q56" s="6" t="s">
        <v>6279</v>
      </c>
      <c r="R56" s="9"/>
    </row>
    <row r="57" spans="1:18" ht="178.5">
      <c r="A57" s="9" t="s">
        <v>1134</v>
      </c>
      <c r="B57" s="9" t="s">
        <v>61</v>
      </c>
      <c r="C57" s="9" t="s">
        <v>62</v>
      </c>
      <c r="D57" s="6"/>
      <c r="E57" s="22" t="s">
        <v>1135</v>
      </c>
      <c r="F57" s="6" t="s">
        <v>1136</v>
      </c>
      <c r="G57" s="8">
        <v>916956.36</v>
      </c>
      <c r="H57" s="6" t="s">
        <v>6381</v>
      </c>
      <c r="I57" s="9" t="s">
        <v>1919</v>
      </c>
      <c r="J57" s="9" t="s">
        <v>2144</v>
      </c>
      <c r="K57" s="6" t="s">
        <v>2265</v>
      </c>
      <c r="L57" s="9" t="s">
        <v>1904</v>
      </c>
      <c r="M57" s="179"/>
      <c r="N57" s="6" t="s">
        <v>5654</v>
      </c>
      <c r="O57" s="474" t="s">
        <v>6382</v>
      </c>
      <c r="P57" s="468" t="s">
        <v>6383</v>
      </c>
      <c r="Q57" s="6" t="s">
        <v>6104</v>
      </c>
      <c r="R57" s="6" t="s">
        <v>6384</v>
      </c>
    </row>
    <row r="58" spans="1:18" ht="127.5">
      <c r="A58" s="9" t="s">
        <v>747</v>
      </c>
      <c r="B58" s="9" t="s">
        <v>61</v>
      </c>
      <c r="C58" s="9" t="s">
        <v>652</v>
      </c>
      <c r="D58" s="160"/>
      <c r="E58" s="22" t="s">
        <v>748</v>
      </c>
      <c r="F58" s="6" t="s">
        <v>2266</v>
      </c>
      <c r="G58" s="8">
        <v>30842</v>
      </c>
      <c r="H58" s="160" t="s">
        <v>2267</v>
      </c>
      <c r="I58" s="9" t="s">
        <v>1886</v>
      </c>
      <c r="J58" s="9" t="s">
        <v>2144</v>
      </c>
      <c r="K58" s="6" t="s">
        <v>2268</v>
      </c>
      <c r="L58" s="9" t="s">
        <v>1874</v>
      </c>
      <c r="M58" s="179"/>
      <c r="N58" s="6" t="s">
        <v>5654</v>
      </c>
      <c r="O58" s="474" t="s">
        <v>6382</v>
      </c>
      <c r="P58" s="468" t="s">
        <v>6385</v>
      </c>
      <c r="Q58" s="6" t="s">
        <v>6279</v>
      </c>
      <c r="R58" s="9"/>
    </row>
    <row r="59" spans="1:18" ht="108.75" customHeight="1">
      <c r="A59" s="9" t="s">
        <v>750</v>
      </c>
      <c r="B59" s="9" t="s">
        <v>61</v>
      </c>
      <c r="C59" s="9" t="s">
        <v>652</v>
      </c>
      <c r="D59" s="160"/>
      <c r="E59" s="22" t="s">
        <v>751</v>
      </c>
      <c r="F59" s="6" t="s">
        <v>2269</v>
      </c>
      <c r="G59" s="30">
        <v>378009.46</v>
      </c>
      <c r="H59" s="160" t="s">
        <v>2270</v>
      </c>
      <c r="I59" s="9" t="s">
        <v>1879</v>
      </c>
      <c r="J59" s="9" t="s">
        <v>2144</v>
      </c>
      <c r="K59" s="6" t="s">
        <v>2271</v>
      </c>
      <c r="L59" s="9" t="s">
        <v>1874</v>
      </c>
      <c r="M59" s="179"/>
      <c r="N59" s="6" t="s">
        <v>5654</v>
      </c>
      <c r="O59" s="474" t="s">
        <v>6382</v>
      </c>
      <c r="P59" s="468" t="s">
        <v>6386</v>
      </c>
      <c r="Q59" s="6" t="s">
        <v>6137</v>
      </c>
      <c r="R59" s="9"/>
    </row>
    <row r="60" spans="1:18" ht="51">
      <c r="A60" s="9" t="s">
        <v>2272</v>
      </c>
      <c r="B60" s="9" t="s">
        <v>61</v>
      </c>
      <c r="C60" s="9" t="s">
        <v>1934</v>
      </c>
      <c r="D60" s="6"/>
      <c r="E60" s="22" t="s">
        <v>2273</v>
      </c>
      <c r="F60" s="6" t="s">
        <v>1547</v>
      </c>
      <c r="G60" s="8">
        <v>169850</v>
      </c>
      <c r="H60" s="6" t="s">
        <v>2190</v>
      </c>
      <c r="I60" s="9" t="s">
        <v>1828</v>
      </c>
      <c r="J60" s="9" t="s">
        <v>1824</v>
      </c>
      <c r="K60" s="6"/>
      <c r="L60" s="9" t="s">
        <v>82</v>
      </c>
      <c r="M60" s="179"/>
      <c r="N60" s="475" t="s">
        <v>1808</v>
      </c>
      <c r="O60" s="474" t="s">
        <v>6382</v>
      </c>
      <c r="P60" s="468" t="s">
        <v>6387</v>
      </c>
      <c r="Q60" s="6" t="s">
        <v>6064</v>
      </c>
      <c r="R60" s="9"/>
    </row>
    <row r="61" spans="1:18" ht="51">
      <c r="A61" s="9" t="s">
        <v>2274</v>
      </c>
      <c r="B61" s="9" t="s">
        <v>61</v>
      </c>
      <c r="C61" s="9" t="s">
        <v>1838</v>
      </c>
      <c r="D61" s="6"/>
      <c r="E61" s="22" t="s">
        <v>2276</v>
      </c>
      <c r="F61" s="6" t="s">
        <v>2277</v>
      </c>
      <c r="G61" s="8">
        <v>55000</v>
      </c>
      <c r="H61" s="6" t="s">
        <v>2190</v>
      </c>
      <c r="I61" s="9" t="s">
        <v>1828</v>
      </c>
      <c r="J61" s="9" t="s">
        <v>2275</v>
      </c>
      <c r="K61" s="6"/>
      <c r="L61" s="9" t="s">
        <v>6345</v>
      </c>
      <c r="M61" s="179"/>
      <c r="N61" s="475" t="s">
        <v>1808</v>
      </c>
      <c r="O61" s="474" t="s">
        <v>6382</v>
      </c>
      <c r="P61" s="468" t="s">
        <v>6388</v>
      </c>
      <c r="Q61" s="6" t="s">
        <v>1838</v>
      </c>
      <c r="R61" s="9"/>
    </row>
    <row r="62" spans="1:18" ht="165.75">
      <c r="A62" s="9" t="s">
        <v>1541</v>
      </c>
      <c r="B62" s="9" t="s">
        <v>61</v>
      </c>
      <c r="C62" s="9" t="s">
        <v>1520</v>
      </c>
      <c r="D62" s="6"/>
      <c r="E62" s="22" t="s">
        <v>1542</v>
      </c>
      <c r="F62" s="6" t="s">
        <v>1543</v>
      </c>
      <c r="G62" s="8">
        <v>46400</v>
      </c>
      <c r="H62" s="6" t="s">
        <v>2190</v>
      </c>
      <c r="I62" s="9" t="s">
        <v>1828</v>
      </c>
      <c r="J62" s="9" t="s">
        <v>1824</v>
      </c>
      <c r="K62" s="6" t="s">
        <v>2278</v>
      </c>
      <c r="L62" s="9" t="s">
        <v>82</v>
      </c>
      <c r="M62" s="179"/>
      <c r="N62" s="475" t="s">
        <v>1808</v>
      </c>
      <c r="O62" s="472" t="s">
        <v>6312</v>
      </c>
      <c r="P62" s="468" t="s">
        <v>6389</v>
      </c>
      <c r="Q62" s="6" t="s">
        <v>6064</v>
      </c>
      <c r="R62" s="9"/>
    </row>
    <row r="63" spans="1:18" ht="178.5">
      <c r="A63" s="9" t="s">
        <v>1137</v>
      </c>
      <c r="B63" s="9" t="s">
        <v>61</v>
      </c>
      <c r="C63" s="9" t="s">
        <v>1099</v>
      </c>
      <c r="D63" s="292"/>
      <c r="E63" s="22" t="s">
        <v>1138</v>
      </c>
      <c r="F63" s="6" t="s">
        <v>2279</v>
      </c>
      <c r="G63" s="30">
        <v>246099.46</v>
      </c>
      <c r="H63" s="292" t="s">
        <v>2280</v>
      </c>
      <c r="I63" s="9" t="s">
        <v>6370</v>
      </c>
      <c r="J63" s="9" t="s">
        <v>6373</v>
      </c>
      <c r="K63" s="6" t="s">
        <v>2281</v>
      </c>
      <c r="L63" s="9" t="s">
        <v>1904</v>
      </c>
      <c r="M63" s="179"/>
      <c r="N63" s="475" t="s">
        <v>1808</v>
      </c>
      <c r="O63" s="472" t="s">
        <v>6382</v>
      </c>
      <c r="P63" s="468" t="s">
        <v>6390</v>
      </c>
      <c r="Q63" s="6" t="s">
        <v>6137</v>
      </c>
      <c r="R63" s="9"/>
    </row>
    <row r="64" spans="1:18" ht="114.75">
      <c r="A64" s="9" t="s">
        <v>753</v>
      </c>
      <c r="B64" s="9" t="s">
        <v>61</v>
      </c>
      <c r="C64" s="9" t="s">
        <v>652</v>
      </c>
      <c r="D64" s="6"/>
      <c r="E64" s="22" t="s">
        <v>754</v>
      </c>
      <c r="F64" s="6" t="s">
        <v>755</v>
      </c>
      <c r="G64" s="30">
        <v>29572.21</v>
      </c>
      <c r="H64" s="6" t="s">
        <v>2190</v>
      </c>
      <c r="I64" s="9" t="s">
        <v>1828</v>
      </c>
      <c r="J64" s="9" t="s">
        <v>2144</v>
      </c>
      <c r="K64" s="6"/>
      <c r="L64" s="9" t="s">
        <v>1874</v>
      </c>
      <c r="M64" s="179"/>
      <c r="N64" s="6" t="s">
        <v>6391</v>
      </c>
      <c r="O64" s="297" t="s">
        <v>6392</v>
      </c>
      <c r="P64" s="468" t="s">
        <v>6393</v>
      </c>
      <c r="Q64" s="6" t="s">
        <v>6394</v>
      </c>
      <c r="R64" s="9"/>
    </row>
    <row r="65" spans="1:18" ht="242.25">
      <c r="A65" s="9" t="s">
        <v>1544</v>
      </c>
      <c r="B65" s="9" t="s">
        <v>61</v>
      </c>
      <c r="C65" s="9" t="s">
        <v>1545</v>
      </c>
      <c r="D65" s="6"/>
      <c r="E65" s="22" t="s">
        <v>1546</v>
      </c>
      <c r="F65" s="6" t="s">
        <v>2282</v>
      </c>
      <c r="G65" s="8">
        <v>110000</v>
      </c>
      <c r="H65" s="6" t="s">
        <v>2190</v>
      </c>
      <c r="I65" s="9" t="s">
        <v>1828</v>
      </c>
      <c r="J65" s="9" t="s">
        <v>1824</v>
      </c>
      <c r="K65" s="6" t="s">
        <v>2283</v>
      </c>
      <c r="L65" s="9" t="s">
        <v>82</v>
      </c>
      <c r="M65" s="179"/>
      <c r="N65" s="475" t="s">
        <v>1808</v>
      </c>
      <c r="O65" s="474" t="s">
        <v>6395</v>
      </c>
      <c r="P65" s="468" t="s">
        <v>6396</v>
      </c>
      <c r="Q65" s="6" t="s">
        <v>6064</v>
      </c>
      <c r="R65" s="9"/>
    </row>
    <row r="66" spans="1:18" ht="38.25">
      <c r="A66" s="9" t="s">
        <v>1548</v>
      </c>
      <c r="B66" s="9" t="s">
        <v>61</v>
      </c>
      <c r="C66" s="9" t="s">
        <v>1549</v>
      </c>
      <c r="D66" s="6"/>
      <c r="E66" s="22" t="s">
        <v>1550</v>
      </c>
      <c r="F66" s="6" t="s">
        <v>808</v>
      </c>
      <c r="G66" s="8">
        <v>803882</v>
      </c>
      <c r="H66" s="6" t="s">
        <v>2190</v>
      </c>
      <c r="I66" s="9" t="s">
        <v>1828</v>
      </c>
      <c r="J66" s="9" t="s">
        <v>1824</v>
      </c>
      <c r="K66" s="6"/>
      <c r="L66" s="9" t="s">
        <v>82</v>
      </c>
      <c r="M66" s="179"/>
      <c r="N66" s="475" t="s">
        <v>1808</v>
      </c>
      <c r="O66" s="476" t="s">
        <v>6397</v>
      </c>
      <c r="P66" s="468" t="s">
        <v>6398</v>
      </c>
      <c r="Q66" s="6" t="s">
        <v>6064</v>
      </c>
      <c r="R66" s="9"/>
    </row>
    <row r="67" spans="1:18" ht="102">
      <c r="A67" s="9" t="s">
        <v>1551</v>
      </c>
      <c r="B67" s="9" t="s">
        <v>61</v>
      </c>
      <c r="C67" s="9" t="s">
        <v>1549</v>
      </c>
      <c r="D67" s="6"/>
      <c r="E67" s="22" t="s">
        <v>1552</v>
      </c>
      <c r="F67" s="6" t="s">
        <v>1511</v>
      </c>
      <c r="G67" s="8">
        <v>2789448.89</v>
      </c>
      <c r="H67" s="6" t="s">
        <v>2190</v>
      </c>
      <c r="I67" s="9" t="s">
        <v>1828</v>
      </c>
      <c r="J67" s="9" t="s">
        <v>1824</v>
      </c>
      <c r="K67" s="6" t="s">
        <v>2284</v>
      </c>
      <c r="L67" s="9" t="s">
        <v>82</v>
      </c>
      <c r="M67" s="179"/>
      <c r="N67" s="475" t="s">
        <v>1808</v>
      </c>
      <c r="O67" s="474" t="s">
        <v>6399</v>
      </c>
      <c r="P67" s="468" t="s">
        <v>6400</v>
      </c>
      <c r="Q67" s="6" t="s">
        <v>6064</v>
      </c>
      <c r="R67" s="9"/>
    </row>
    <row r="68" spans="1:18" ht="153">
      <c r="A68" s="9" t="s">
        <v>756</v>
      </c>
      <c r="B68" s="9" t="s">
        <v>61</v>
      </c>
      <c r="C68" s="6" t="s">
        <v>586</v>
      </c>
      <c r="D68" s="160"/>
      <c r="E68" s="22" t="s">
        <v>757</v>
      </c>
      <c r="F68" s="6" t="s">
        <v>2227</v>
      </c>
      <c r="G68" s="8">
        <v>20000</v>
      </c>
      <c r="H68" s="160" t="s">
        <v>2285</v>
      </c>
      <c r="I68" s="9" t="s">
        <v>2656</v>
      </c>
      <c r="J68" s="9" t="s">
        <v>2144</v>
      </c>
      <c r="K68" s="6" t="s">
        <v>2286</v>
      </c>
      <c r="L68" s="9" t="s">
        <v>1874</v>
      </c>
      <c r="M68" s="179"/>
      <c r="N68" s="6" t="s">
        <v>5654</v>
      </c>
      <c r="O68" s="477" t="s">
        <v>6401</v>
      </c>
      <c r="P68" s="468" t="s">
        <v>6402</v>
      </c>
      <c r="Q68" s="6" t="s">
        <v>6174</v>
      </c>
      <c r="R68" s="9"/>
    </row>
    <row r="69" spans="1:18" ht="89.25">
      <c r="A69" s="9" t="s">
        <v>758</v>
      </c>
      <c r="B69" s="9" t="s">
        <v>61</v>
      </c>
      <c r="C69" s="9" t="s">
        <v>456</v>
      </c>
      <c r="D69" s="160"/>
      <c r="E69" s="22" t="s">
        <v>759</v>
      </c>
      <c r="F69" s="6" t="s">
        <v>2287</v>
      </c>
      <c r="G69" s="8">
        <v>46650</v>
      </c>
      <c r="H69" s="160" t="s">
        <v>2288</v>
      </c>
      <c r="I69" s="9" t="s">
        <v>2656</v>
      </c>
      <c r="J69" s="9" t="s">
        <v>2144</v>
      </c>
      <c r="K69" s="6" t="s">
        <v>2289</v>
      </c>
      <c r="L69" s="9" t="s">
        <v>1853</v>
      </c>
      <c r="M69" s="179"/>
      <c r="N69" s="6" t="s">
        <v>5654</v>
      </c>
      <c r="O69" s="474" t="s">
        <v>6399</v>
      </c>
      <c r="P69" s="468" t="s">
        <v>6403</v>
      </c>
      <c r="Q69" s="6" t="s">
        <v>6394</v>
      </c>
      <c r="R69" s="9"/>
    </row>
    <row r="70" spans="1:18" ht="51">
      <c r="A70" s="9" t="s">
        <v>2290</v>
      </c>
      <c r="B70" s="9" t="s">
        <v>1867</v>
      </c>
      <c r="C70" s="9"/>
      <c r="D70" s="160"/>
      <c r="E70" s="22" t="s">
        <v>2291</v>
      </c>
      <c r="F70" s="6" t="s">
        <v>2292</v>
      </c>
      <c r="G70" s="6"/>
      <c r="H70" s="160" t="s">
        <v>2293</v>
      </c>
      <c r="I70" s="9" t="s">
        <v>2656</v>
      </c>
      <c r="J70" s="9"/>
      <c r="K70" s="139" t="s">
        <v>2016</v>
      </c>
      <c r="L70" s="9"/>
      <c r="M70" s="179"/>
      <c r="N70" s="6" t="s">
        <v>5654</v>
      </c>
      <c r="O70" s="478" t="s">
        <v>6404</v>
      </c>
      <c r="P70" s="468" t="s">
        <v>6405</v>
      </c>
      <c r="Q70" s="9"/>
      <c r="R70" s="9"/>
    </row>
    <row r="71" spans="1:18" ht="51">
      <c r="A71" s="9" t="s">
        <v>2294</v>
      </c>
      <c r="B71" s="9" t="s">
        <v>1867</v>
      </c>
      <c r="C71" s="9"/>
      <c r="D71" s="6"/>
      <c r="E71" s="22" t="s">
        <v>2295</v>
      </c>
      <c r="F71" s="6" t="s">
        <v>2296</v>
      </c>
      <c r="G71" s="6"/>
      <c r="H71" s="6" t="s">
        <v>2297</v>
      </c>
      <c r="I71" s="9" t="s">
        <v>2656</v>
      </c>
      <c r="J71" s="9"/>
      <c r="K71" s="139" t="s">
        <v>2016</v>
      </c>
      <c r="L71" s="9"/>
      <c r="M71" s="179"/>
      <c r="N71" s="6" t="s">
        <v>5654</v>
      </c>
      <c r="O71" s="478" t="s">
        <v>6406</v>
      </c>
      <c r="P71" s="468" t="s">
        <v>6407</v>
      </c>
      <c r="Q71" s="9"/>
      <c r="R71" s="9"/>
    </row>
    <row r="72" spans="1:18" ht="140.25">
      <c r="A72" s="9" t="s">
        <v>1553</v>
      </c>
      <c r="B72" s="9" t="s">
        <v>61</v>
      </c>
      <c r="C72" s="9" t="s">
        <v>1549</v>
      </c>
      <c r="D72" s="6"/>
      <c r="E72" s="22" t="s">
        <v>1554</v>
      </c>
      <c r="F72" s="6" t="s">
        <v>575</v>
      </c>
      <c r="G72" s="9"/>
      <c r="H72" s="6" t="s">
        <v>2298</v>
      </c>
      <c r="I72" s="9" t="s">
        <v>1828</v>
      </c>
      <c r="J72" s="9" t="s">
        <v>1824</v>
      </c>
      <c r="K72" s="6" t="s">
        <v>2299</v>
      </c>
      <c r="L72" s="9" t="s">
        <v>82</v>
      </c>
      <c r="M72" s="179"/>
      <c r="N72" s="475" t="s">
        <v>1808</v>
      </c>
      <c r="O72" s="472" t="s">
        <v>6408</v>
      </c>
      <c r="P72" s="468" t="s">
        <v>6409</v>
      </c>
      <c r="Q72" s="6" t="s">
        <v>6410</v>
      </c>
      <c r="R72" s="9"/>
    </row>
    <row r="73" spans="1:18" ht="38.25">
      <c r="A73" s="9" t="s">
        <v>761</v>
      </c>
      <c r="B73" s="9" t="s">
        <v>61</v>
      </c>
      <c r="C73" s="9" t="s">
        <v>68</v>
      </c>
      <c r="D73" s="6"/>
      <c r="E73" s="22" t="s">
        <v>762</v>
      </c>
      <c r="F73" s="6" t="s">
        <v>763</v>
      </c>
      <c r="G73" s="13">
        <v>350000</v>
      </c>
      <c r="H73" s="6" t="s">
        <v>2300</v>
      </c>
      <c r="I73" s="9" t="s">
        <v>1828</v>
      </c>
      <c r="J73" s="9" t="s">
        <v>2144</v>
      </c>
      <c r="K73" s="6" t="s">
        <v>2301</v>
      </c>
      <c r="L73" s="9" t="s">
        <v>1874</v>
      </c>
      <c r="M73" s="179"/>
      <c r="N73" s="6" t="s">
        <v>5654</v>
      </c>
      <c r="O73" s="6"/>
      <c r="P73" s="479"/>
      <c r="Q73" s="6" t="s">
        <v>6092</v>
      </c>
      <c r="R73" s="9"/>
    </row>
    <row r="74" spans="1:18" ht="89.25">
      <c r="A74" s="9" t="s">
        <v>2302</v>
      </c>
      <c r="B74" s="9" t="s">
        <v>61</v>
      </c>
      <c r="C74" s="9" t="s">
        <v>2172</v>
      </c>
      <c r="D74" s="480"/>
      <c r="E74" s="22" t="s">
        <v>2303</v>
      </c>
      <c r="F74" s="6" t="s">
        <v>2304</v>
      </c>
      <c r="G74" s="13">
        <v>200000</v>
      </c>
      <c r="H74" s="480" t="s">
        <v>2305</v>
      </c>
      <c r="I74" s="9" t="s">
        <v>5924</v>
      </c>
      <c r="J74" s="9" t="s">
        <v>6287</v>
      </c>
      <c r="K74" s="6" t="s">
        <v>2306</v>
      </c>
      <c r="L74" s="9" t="s">
        <v>82</v>
      </c>
      <c r="M74" s="179"/>
      <c r="N74" s="475" t="s">
        <v>1808</v>
      </c>
      <c r="O74" s="9"/>
      <c r="P74" s="479"/>
      <c r="Q74" s="6" t="s">
        <v>6064</v>
      </c>
      <c r="R74" s="9"/>
    </row>
    <row r="75" spans="1:18" ht="38.25">
      <c r="A75" s="9" t="s">
        <v>2307</v>
      </c>
      <c r="B75" s="9" t="s">
        <v>61</v>
      </c>
      <c r="C75" s="9" t="s">
        <v>2172</v>
      </c>
      <c r="D75" s="6"/>
      <c r="E75" s="22" t="s">
        <v>2308</v>
      </c>
      <c r="F75" s="6" t="s">
        <v>2309</v>
      </c>
      <c r="G75" s="13">
        <v>190000</v>
      </c>
      <c r="H75" s="6" t="s">
        <v>2310</v>
      </c>
      <c r="I75" s="9" t="s">
        <v>2609</v>
      </c>
      <c r="J75" s="9" t="s">
        <v>6287</v>
      </c>
      <c r="K75" s="6" t="s">
        <v>2311</v>
      </c>
      <c r="L75" s="9" t="s">
        <v>82</v>
      </c>
      <c r="M75" s="179"/>
      <c r="N75" s="475" t="s">
        <v>1808</v>
      </c>
      <c r="O75" s="6"/>
      <c r="P75" s="479"/>
      <c r="Q75" s="6" t="s">
        <v>6064</v>
      </c>
      <c r="R75" s="9"/>
    </row>
    <row r="76" spans="1:18" ht="51">
      <c r="A76" s="9" t="s">
        <v>1140</v>
      </c>
      <c r="B76" s="9" t="s">
        <v>61</v>
      </c>
      <c r="C76" s="9" t="s">
        <v>1141</v>
      </c>
      <c r="D76" s="6"/>
      <c r="E76" s="22" t="s">
        <v>1142</v>
      </c>
      <c r="F76" s="6" t="s">
        <v>1143</v>
      </c>
      <c r="G76" s="13">
        <v>114237.84</v>
      </c>
      <c r="H76" s="6"/>
      <c r="I76" s="9" t="s">
        <v>6370</v>
      </c>
      <c r="J76" s="9" t="s">
        <v>6373</v>
      </c>
      <c r="K76" s="6" t="s">
        <v>2312</v>
      </c>
      <c r="L76" s="9" t="s">
        <v>1904</v>
      </c>
      <c r="M76" s="179"/>
      <c r="N76" s="475" t="s">
        <v>1808</v>
      </c>
      <c r="O76" s="6"/>
      <c r="P76" s="479"/>
      <c r="Q76" s="6" t="s">
        <v>6217</v>
      </c>
      <c r="R76" s="9"/>
    </row>
    <row r="77" spans="1:18" ht="140.25">
      <c r="A77" s="9" t="s">
        <v>1144</v>
      </c>
      <c r="B77" s="9" t="s">
        <v>61</v>
      </c>
      <c r="C77" s="9" t="s">
        <v>1141</v>
      </c>
      <c r="D77" s="6"/>
      <c r="E77" s="22" t="s">
        <v>1145</v>
      </c>
      <c r="F77" s="6" t="s">
        <v>2313</v>
      </c>
      <c r="G77" s="13">
        <v>246150</v>
      </c>
      <c r="H77" s="6" t="s">
        <v>2314</v>
      </c>
      <c r="I77" s="9" t="s">
        <v>2609</v>
      </c>
      <c r="J77" s="9" t="s">
        <v>6373</v>
      </c>
      <c r="K77" s="6" t="s">
        <v>2315</v>
      </c>
      <c r="L77" s="9" t="s">
        <v>1904</v>
      </c>
      <c r="M77" s="179"/>
      <c r="N77" s="6" t="s">
        <v>5650</v>
      </c>
      <c r="O77" s="6"/>
      <c r="P77" s="468" t="s">
        <v>6409</v>
      </c>
      <c r="Q77" s="6" t="s">
        <v>6411</v>
      </c>
      <c r="R77" s="9"/>
    </row>
    <row r="78" spans="1:18" ht="114.75">
      <c r="A78" s="481" t="s">
        <v>764</v>
      </c>
      <c r="B78" s="481" t="s">
        <v>61</v>
      </c>
      <c r="C78" s="481" t="s">
        <v>652</v>
      </c>
      <c r="D78" s="339"/>
      <c r="E78" s="344" t="s">
        <v>765</v>
      </c>
      <c r="F78" s="339" t="s">
        <v>766</v>
      </c>
      <c r="G78" s="482">
        <v>201000</v>
      </c>
      <c r="H78" s="339" t="s">
        <v>2316</v>
      </c>
      <c r="I78" s="481" t="s">
        <v>1828</v>
      </c>
      <c r="J78" s="481" t="s">
        <v>2144</v>
      </c>
      <c r="K78" s="339" t="s">
        <v>2317</v>
      </c>
      <c r="L78" s="9" t="s">
        <v>1874</v>
      </c>
      <c r="M78" s="345"/>
      <c r="N78" s="339" t="s">
        <v>5654</v>
      </c>
      <c r="O78" s="339"/>
      <c r="P78" s="483" t="s">
        <v>6409</v>
      </c>
      <c r="Q78" s="339" t="s">
        <v>6092</v>
      </c>
      <c r="R78" s="481"/>
    </row>
  </sheetData>
  <hyperlinks>
    <hyperlink ref="O2" r:id="rId1" xr:uid="{00000000-0004-0000-1100-000000000000}"/>
    <hyperlink ref="P2" r:id="rId2" xr:uid="{00000000-0004-0000-1100-000001000000}"/>
    <hyperlink ref="O3" r:id="rId3" xr:uid="{00000000-0004-0000-1100-000002000000}"/>
    <hyperlink ref="P3" r:id="rId4" xr:uid="{00000000-0004-0000-1100-000003000000}"/>
    <hyperlink ref="O4" r:id="rId5" xr:uid="{00000000-0004-0000-1100-000004000000}"/>
    <hyperlink ref="P4" r:id="rId6" xr:uid="{00000000-0004-0000-1100-000005000000}"/>
    <hyperlink ref="O5" r:id="rId7" xr:uid="{00000000-0004-0000-1100-000006000000}"/>
    <hyperlink ref="P5" r:id="rId8" xr:uid="{00000000-0004-0000-1100-000007000000}"/>
    <hyperlink ref="O6" r:id="rId9" xr:uid="{00000000-0004-0000-1100-000008000000}"/>
    <hyperlink ref="P6" r:id="rId10" xr:uid="{00000000-0004-0000-1100-000009000000}"/>
    <hyperlink ref="O7" r:id="rId11" xr:uid="{00000000-0004-0000-1100-00000A000000}"/>
    <hyperlink ref="P7" r:id="rId12" xr:uid="{00000000-0004-0000-1100-00000B000000}"/>
    <hyperlink ref="O8" r:id="rId13" xr:uid="{00000000-0004-0000-1100-00000C000000}"/>
    <hyperlink ref="P8" r:id="rId14" xr:uid="{00000000-0004-0000-1100-00000D000000}"/>
    <hyperlink ref="O9" r:id="rId15" xr:uid="{00000000-0004-0000-1100-00000E000000}"/>
    <hyperlink ref="P9" r:id="rId16" xr:uid="{00000000-0004-0000-1100-00000F000000}"/>
    <hyperlink ref="O10" r:id="rId17" xr:uid="{00000000-0004-0000-1100-000010000000}"/>
    <hyperlink ref="P10" r:id="rId18" xr:uid="{00000000-0004-0000-1100-000011000000}"/>
    <hyperlink ref="O11" r:id="rId19" xr:uid="{00000000-0004-0000-1100-000012000000}"/>
    <hyperlink ref="P11" r:id="rId20" xr:uid="{00000000-0004-0000-1100-000013000000}"/>
    <hyperlink ref="P12" r:id="rId21" xr:uid="{00000000-0004-0000-1100-000014000000}"/>
    <hyperlink ref="O13" r:id="rId22" xr:uid="{00000000-0004-0000-1100-000015000000}"/>
    <hyperlink ref="P13" r:id="rId23" xr:uid="{00000000-0004-0000-1100-000016000000}"/>
    <hyperlink ref="O14" r:id="rId24" xr:uid="{00000000-0004-0000-1100-000017000000}"/>
    <hyperlink ref="P14" r:id="rId25" xr:uid="{00000000-0004-0000-1100-000018000000}"/>
    <hyperlink ref="O15" r:id="rId26" xr:uid="{00000000-0004-0000-1100-000019000000}"/>
    <hyperlink ref="P15" r:id="rId27" xr:uid="{00000000-0004-0000-1100-00001A000000}"/>
    <hyperlink ref="O16" r:id="rId28" xr:uid="{00000000-0004-0000-1100-00001B000000}"/>
    <hyperlink ref="P16" r:id="rId29" xr:uid="{00000000-0004-0000-1100-00001C000000}"/>
    <hyperlink ref="O17" r:id="rId30" xr:uid="{00000000-0004-0000-1100-00001D000000}"/>
    <hyperlink ref="P17" r:id="rId31" xr:uid="{00000000-0004-0000-1100-00001E000000}"/>
    <hyperlink ref="O18" r:id="rId32" xr:uid="{00000000-0004-0000-1100-00001F000000}"/>
    <hyperlink ref="P18" r:id="rId33" xr:uid="{00000000-0004-0000-1100-000020000000}"/>
    <hyperlink ref="O19" r:id="rId34" xr:uid="{00000000-0004-0000-1100-000021000000}"/>
    <hyperlink ref="P19" r:id="rId35" xr:uid="{00000000-0004-0000-1100-000022000000}"/>
    <hyperlink ref="O20" r:id="rId36" xr:uid="{00000000-0004-0000-1100-000023000000}"/>
    <hyperlink ref="P20" r:id="rId37" xr:uid="{00000000-0004-0000-1100-000024000000}"/>
    <hyperlink ref="O21" r:id="rId38" xr:uid="{00000000-0004-0000-1100-000025000000}"/>
    <hyperlink ref="P21" r:id="rId39" xr:uid="{00000000-0004-0000-1100-000026000000}"/>
    <hyperlink ref="O22" r:id="rId40" xr:uid="{00000000-0004-0000-1100-000027000000}"/>
    <hyperlink ref="P22" r:id="rId41" xr:uid="{00000000-0004-0000-1100-000028000000}"/>
    <hyperlink ref="O23" r:id="rId42" xr:uid="{00000000-0004-0000-1100-000029000000}"/>
    <hyperlink ref="P23" r:id="rId43" xr:uid="{00000000-0004-0000-1100-00002A000000}"/>
    <hyperlink ref="O24" r:id="rId44" xr:uid="{00000000-0004-0000-1100-00002B000000}"/>
    <hyperlink ref="P24" r:id="rId45" xr:uid="{00000000-0004-0000-1100-00002C000000}"/>
    <hyperlink ref="O25" r:id="rId46" xr:uid="{00000000-0004-0000-1100-00002D000000}"/>
    <hyperlink ref="P25" r:id="rId47" xr:uid="{00000000-0004-0000-1100-00002E000000}"/>
    <hyperlink ref="O26" r:id="rId48" xr:uid="{00000000-0004-0000-1100-00002F000000}"/>
    <hyperlink ref="P26" r:id="rId49" xr:uid="{00000000-0004-0000-1100-000030000000}"/>
    <hyperlink ref="O27" r:id="rId50" xr:uid="{00000000-0004-0000-1100-000031000000}"/>
    <hyperlink ref="P27" r:id="rId51" xr:uid="{00000000-0004-0000-1100-000032000000}"/>
    <hyperlink ref="O28" r:id="rId52" xr:uid="{00000000-0004-0000-1100-000033000000}"/>
    <hyperlink ref="P28" r:id="rId53" xr:uid="{00000000-0004-0000-1100-000034000000}"/>
    <hyperlink ref="O29" r:id="rId54" xr:uid="{00000000-0004-0000-1100-000035000000}"/>
    <hyperlink ref="P29" r:id="rId55" xr:uid="{00000000-0004-0000-1100-000036000000}"/>
    <hyperlink ref="O30" r:id="rId56" xr:uid="{00000000-0004-0000-1100-000037000000}"/>
    <hyperlink ref="P30" r:id="rId57" xr:uid="{00000000-0004-0000-1100-000038000000}"/>
    <hyperlink ref="O31" r:id="rId58" xr:uid="{00000000-0004-0000-1100-000039000000}"/>
    <hyperlink ref="P31" r:id="rId59" xr:uid="{00000000-0004-0000-1100-00003A000000}"/>
    <hyperlink ref="O32" r:id="rId60" xr:uid="{00000000-0004-0000-1100-00003B000000}"/>
    <hyperlink ref="P32" r:id="rId61" xr:uid="{00000000-0004-0000-1100-00003C000000}"/>
    <hyperlink ref="O33" r:id="rId62" xr:uid="{00000000-0004-0000-1100-00003D000000}"/>
    <hyperlink ref="P33" r:id="rId63" xr:uid="{00000000-0004-0000-1100-00003E000000}"/>
    <hyperlink ref="O34" r:id="rId64" xr:uid="{00000000-0004-0000-1100-00003F000000}"/>
    <hyperlink ref="P34" r:id="rId65" xr:uid="{00000000-0004-0000-1100-000040000000}"/>
    <hyperlink ref="O35" r:id="rId66" xr:uid="{00000000-0004-0000-1100-000041000000}"/>
    <hyperlink ref="P35" r:id="rId67" xr:uid="{00000000-0004-0000-1100-000042000000}"/>
    <hyperlink ref="O36" r:id="rId68" xr:uid="{00000000-0004-0000-1100-000043000000}"/>
    <hyperlink ref="P36" r:id="rId69" xr:uid="{00000000-0004-0000-1100-000044000000}"/>
    <hyperlink ref="O37" r:id="rId70" xr:uid="{00000000-0004-0000-1100-000045000000}"/>
    <hyperlink ref="P37" r:id="rId71" xr:uid="{00000000-0004-0000-1100-000046000000}"/>
    <hyperlink ref="O38" r:id="rId72" xr:uid="{00000000-0004-0000-1100-000047000000}"/>
    <hyperlink ref="P38" r:id="rId73" xr:uid="{00000000-0004-0000-1100-000048000000}"/>
    <hyperlink ref="O39" r:id="rId74" xr:uid="{00000000-0004-0000-1100-000049000000}"/>
    <hyperlink ref="P39" r:id="rId75" xr:uid="{00000000-0004-0000-1100-00004A000000}"/>
    <hyperlink ref="O40" r:id="rId76" xr:uid="{00000000-0004-0000-1100-00004B000000}"/>
    <hyperlink ref="P40" r:id="rId77" xr:uid="{00000000-0004-0000-1100-00004C000000}"/>
    <hyperlink ref="O41" r:id="rId78" xr:uid="{00000000-0004-0000-1100-00004D000000}"/>
    <hyperlink ref="P41" r:id="rId79" xr:uid="{00000000-0004-0000-1100-00004E000000}"/>
    <hyperlink ref="O42" r:id="rId80" xr:uid="{00000000-0004-0000-1100-00004F000000}"/>
    <hyperlink ref="P42" r:id="rId81" xr:uid="{00000000-0004-0000-1100-000050000000}"/>
    <hyperlink ref="O43" r:id="rId82" xr:uid="{00000000-0004-0000-1100-000051000000}"/>
    <hyperlink ref="P43" r:id="rId83" xr:uid="{00000000-0004-0000-1100-000052000000}"/>
    <hyperlink ref="O44" r:id="rId84" xr:uid="{00000000-0004-0000-1100-000053000000}"/>
    <hyperlink ref="P44" r:id="rId85" xr:uid="{00000000-0004-0000-1100-000054000000}"/>
    <hyperlink ref="O45" r:id="rId86" xr:uid="{00000000-0004-0000-1100-000055000000}"/>
    <hyperlink ref="P45" r:id="rId87" xr:uid="{00000000-0004-0000-1100-000056000000}"/>
    <hyperlink ref="O46" r:id="rId88" xr:uid="{00000000-0004-0000-1100-000057000000}"/>
    <hyperlink ref="P46" r:id="rId89" xr:uid="{00000000-0004-0000-1100-000058000000}"/>
    <hyperlink ref="O47" r:id="rId90" xr:uid="{00000000-0004-0000-1100-000059000000}"/>
    <hyperlink ref="P47" r:id="rId91" xr:uid="{00000000-0004-0000-1100-00005A000000}"/>
    <hyperlink ref="O48" r:id="rId92" xr:uid="{00000000-0004-0000-1100-00005B000000}"/>
    <hyperlink ref="P48" r:id="rId93" xr:uid="{00000000-0004-0000-1100-00005C000000}"/>
    <hyperlink ref="O49" r:id="rId94" xr:uid="{00000000-0004-0000-1100-00005D000000}"/>
    <hyperlink ref="P49" r:id="rId95" xr:uid="{00000000-0004-0000-1100-00005E000000}"/>
    <hyperlink ref="O50" r:id="rId96" xr:uid="{00000000-0004-0000-1100-00005F000000}"/>
    <hyperlink ref="P50" r:id="rId97" xr:uid="{00000000-0004-0000-1100-000060000000}"/>
    <hyperlink ref="O51" r:id="rId98" xr:uid="{00000000-0004-0000-1100-000061000000}"/>
    <hyperlink ref="P51" r:id="rId99" xr:uid="{00000000-0004-0000-1100-000062000000}"/>
    <hyperlink ref="O52" r:id="rId100" xr:uid="{00000000-0004-0000-1100-000063000000}"/>
    <hyperlink ref="P52" r:id="rId101" xr:uid="{00000000-0004-0000-1100-000064000000}"/>
    <hyperlink ref="O53" r:id="rId102" xr:uid="{00000000-0004-0000-1100-000065000000}"/>
    <hyperlink ref="P53" r:id="rId103" xr:uid="{00000000-0004-0000-1100-000066000000}"/>
    <hyperlink ref="O54" r:id="rId104" xr:uid="{00000000-0004-0000-1100-000067000000}"/>
    <hyperlink ref="P54" r:id="rId105" xr:uid="{00000000-0004-0000-1100-000068000000}"/>
    <hyperlink ref="O55" r:id="rId106" xr:uid="{00000000-0004-0000-1100-000069000000}"/>
    <hyperlink ref="P55" r:id="rId107" xr:uid="{00000000-0004-0000-1100-00006A000000}"/>
    <hyperlink ref="O56" r:id="rId108" xr:uid="{00000000-0004-0000-1100-00006B000000}"/>
    <hyperlink ref="P56" r:id="rId109" xr:uid="{00000000-0004-0000-1100-00006C000000}"/>
    <hyperlink ref="O57" r:id="rId110" xr:uid="{00000000-0004-0000-1100-00006D000000}"/>
    <hyperlink ref="P57" r:id="rId111" xr:uid="{00000000-0004-0000-1100-00006E000000}"/>
    <hyperlink ref="O58" r:id="rId112" xr:uid="{00000000-0004-0000-1100-00006F000000}"/>
    <hyperlink ref="P58" r:id="rId113" xr:uid="{00000000-0004-0000-1100-000070000000}"/>
    <hyperlink ref="O59" r:id="rId114" xr:uid="{00000000-0004-0000-1100-000071000000}"/>
    <hyperlink ref="P59" r:id="rId115" xr:uid="{00000000-0004-0000-1100-000072000000}"/>
    <hyperlink ref="O60" r:id="rId116" xr:uid="{00000000-0004-0000-1100-000073000000}"/>
    <hyperlink ref="P60" r:id="rId117" xr:uid="{00000000-0004-0000-1100-000074000000}"/>
    <hyperlink ref="O61" r:id="rId118" xr:uid="{00000000-0004-0000-1100-000075000000}"/>
    <hyperlink ref="P61" r:id="rId119" xr:uid="{00000000-0004-0000-1100-000076000000}"/>
    <hyperlink ref="O62" r:id="rId120" xr:uid="{00000000-0004-0000-1100-000077000000}"/>
    <hyperlink ref="P62" r:id="rId121" xr:uid="{00000000-0004-0000-1100-000078000000}"/>
    <hyperlink ref="O63" r:id="rId122" xr:uid="{00000000-0004-0000-1100-000079000000}"/>
    <hyperlink ref="P63" r:id="rId123" xr:uid="{00000000-0004-0000-1100-00007A000000}"/>
    <hyperlink ref="O64" r:id="rId124" xr:uid="{00000000-0004-0000-1100-00007B000000}"/>
    <hyperlink ref="P64" r:id="rId125" xr:uid="{00000000-0004-0000-1100-00007C000000}"/>
    <hyperlink ref="O65" r:id="rId126" xr:uid="{00000000-0004-0000-1100-00007D000000}"/>
    <hyperlink ref="P65" r:id="rId127" xr:uid="{00000000-0004-0000-1100-00007E000000}"/>
    <hyperlink ref="O66" r:id="rId128" xr:uid="{00000000-0004-0000-1100-00007F000000}"/>
    <hyperlink ref="P66" r:id="rId129" xr:uid="{00000000-0004-0000-1100-000080000000}"/>
    <hyperlink ref="O67" r:id="rId130" xr:uid="{00000000-0004-0000-1100-000081000000}"/>
    <hyperlink ref="P67" r:id="rId131" xr:uid="{00000000-0004-0000-1100-000082000000}"/>
    <hyperlink ref="O68" r:id="rId132" xr:uid="{00000000-0004-0000-1100-000083000000}"/>
    <hyperlink ref="P68" r:id="rId133" xr:uid="{00000000-0004-0000-1100-000084000000}"/>
    <hyperlink ref="O69" r:id="rId134" xr:uid="{00000000-0004-0000-1100-000085000000}"/>
    <hyperlink ref="P69" r:id="rId135" xr:uid="{00000000-0004-0000-1100-000086000000}"/>
    <hyperlink ref="O70" r:id="rId136" xr:uid="{00000000-0004-0000-1100-000087000000}"/>
    <hyperlink ref="P70" r:id="rId137" xr:uid="{00000000-0004-0000-1100-000088000000}"/>
    <hyperlink ref="O71" r:id="rId138" xr:uid="{00000000-0004-0000-1100-000089000000}"/>
    <hyperlink ref="P71" r:id="rId139" xr:uid="{00000000-0004-0000-1100-00008A000000}"/>
    <hyperlink ref="O72" r:id="rId140" xr:uid="{00000000-0004-0000-1100-00008B000000}"/>
    <hyperlink ref="P72" r:id="rId141" xr:uid="{00000000-0004-0000-1100-00008C000000}"/>
    <hyperlink ref="P77" r:id="rId142" xr:uid="{00000000-0004-0000-1100-00008D000000}"/>
    <hyperlink ref="P78" r:id="rId143" xr:uid="{00000000-0004-0000-1100-00008E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R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3" max="3" width="16" customWidth="1"/>
    <col min="4" max="4" width="18.42578125" customWidth="1"/>
    <col min="5" max="5" width="44.85546875" customWidth="1"/>
    <col min="6" max="6" width="45.42578125" customWidth="1"/>
    <col min="7" max="7" width="25.85546875" customWidth="1"/>
    <col min="8" max="8" width="27.42578125" customWidth="1"/>
    <col min="11" max="11" width="54.42578125" customWidth="1"/>
    <col min="13" max="13" width="16.85546875" customWidth="1"/>
    <col min="14" max="14" width="19.42578125" customWidth="1"/>
    <col min="15" max="16" width="44.85546875" customWidth="1"/>
    <col min="17" max="17" width="22.140625" customWidth="1"/>
    <col min="18" max="18" width="23.42578125" customWidth="1"/>
  </cols>
  <sheetData>
    <row r="1" spans="1:18" ht="46.5" customHeight="1">
      <c r="A1" s="274" t="s">
        <v>6259</v>
      </c>
      <c r="B1" s="274" t="s">
        <v>6412</v>
      </c>
      <c r="C1" s="274" t="s">
        <v>4</v>
      </c>
      <c r="D1" s="274" t="s">
        <v>5</v>
      </c>
      <c r="E1" s="274" t="s">
        <v>6</v>
      </c>
      <c r="F1" s="274" t="s">
        <v>7</v>
      </c>
      <c r="G1" s="274" t="s">
        <v>1819</v>
      </c>
      <c r="H1" s="274" t="s">
        <v>8</v>
      </c>
      <c r="I1" s="274" t="s">
        <v>1821</v>
      </c>
      <c r="J1" s="274" t="s">
        <v>6413</v>
      </c>
      <c r="K1" s="274" t="s">
        <v>1822</v>
      </c>
      <c r="L1" s="319" t="s">
        <v>5633</v>
      </c>
      <c r="M1" s="274" t="s">
        <v>5631</v>
      </c>
      <c r="N1" s="274" t="s">
        <v>5632</v>
      </c>
      <c r="O1" s="274" t="s">
        <v>6261</v>
      </c>
      <c r="P1" s="274" t="s">
        <v>6414</v>
      </c>
      <c r="Q1" s="274" t="s">
        <v>6060</v>
      </c>
      <c r="R1" s="274" t="s">
        <v>5305</v>
      </c>
    </row>
    <row r="2" spans="1:18" ht="51" customHeight="1">
      <c r="A2" s="155">
        <v>43831</v>
      </c>
      <c r="B2" s="156" t="s">
        <v>61</v>
      </c>
      <c r="C2" s="156" t="s">
        <v>1940</v>
      </c>
      <c r="D2" s="158"/>
      <c r="E2" s="156" t="s">
        <v>2318</v>
      </c>
      <c r="F2" s="156" t="s">
        <v>2319</v>
      </c>
      <c r="G2" s="246">
        <v>5969000</v>
      </c>
      <c r="H2" s="156" t="s">
        <v>2320</v>
      </c>
      <c r="I2" s="156" t="s">
        <v>1828</v>
      </c>
      <c r="J2" s="156" t="s">
        <v>1824</v>
      </c>
      <c r="K2" s="159" t="s">
        <v>2321</v>
      </c>
      <c r="L2" s="156" t="s">
        <v>82</v>
      </c>
      <c r="M2" s="156"/>
      <c r="N2" s="475" t="s">
        <v>1808</v>
      </c>
      <c r="O2" s="156"/>
      <c r="P2" s="484" t="s">
        <v>6415</v>
      </c>
      <c r="Q2" s="156" t="s">
        <v>6064</v>
      </c>
      <c r="R2" s="286" t="s">
        <v>6416</v>
      </c>
    </row>
    <row r="3" spans="1:18" ht="76.5">
      <c r="A3" s="61">
        <v>43862</v>
      </c>
      <c r="B3" s="6" t="s">
        <v>61</v>
      </c>
      <c r="C3" s="6" t="s">
        <v>62</v>
      </c>
      <c r="D3" s="158"/>
      <c r="E3" s="6" t="s">
        <v>1148</v>
      </c>
      <c r="F3" s="6" t="s">
        <v>2322</v>
      </c>
      <c r="G3" s="8">
        <v>2957181.66</v>
      </c>
      <c r="H3" s="160" t="s">
        <v>2323</v>
      </c>
      <c r="I3" s="6" t="s">
        <v>2085</v>
      </c>
      <c r="J3" s="6"/>
      <c r="K3" s="22" t="s">
        <v>2324</v>
      </c>
      <c r="L3" s="6" t="s">
        <v>1904</v>
      </c>
      <c r="M3" s="6"/>
      <c r="N3" s="6" t="s">
        <v>6132</v>
      </c>
      <c r="O3" s="6"/>
      <c r="P3" s="297" t="s">
        <v>6417</v>
      </c>
      <c r="Q3" s="6" t="s">
        <v>6418</v>
      </c>
      <c r="R3" s="54"/>
    </row>
    <row r="4" spans="1:18" ht="78" customHeight="1">
      <c r="A4" s="61">
        <v>43922</v>
      </c>
      <c r="B4" s="6"/>
      <c r="C4" s="161" t="s">
        <v>697</v>
      </c>
      <c r="D4" s="158"/>
      <c r="E4" s="6" t="s">
        <v>2325</v>
      </c>
      <c r="F4" s="6" t="s">
        <v>699</v>
      </c>
      <c r="G4" s="8">
        <v>546900</v>
      </c>
      <c r="H4" s="6" t="s">
        <v>2326</v>
      </c>
      <c r="I4" s="6" t="s">
        <v>1828</v>
      </c>
      <c r="J4" s="6" t="s">
        <v>1824</v>
      </c>
      <c r="K4" s="22" t="s">
        <v>2327</v>
      </c>
      <c r="L4" s="6"/>
      <c r="M4" s="6"/>
      <c r="N4" s="6"/>
      <c r="O4" s="6"/>
      <c r="P4" s="297" t="s">
        <v>6419</v>
      </c>
      <c r="Q4" s="6" t="s">
        <v>1824</v>
      </c>
      <c r="R4" s="54"/>
    </row>
    <row r="5" spans="1:18" ht="12.75">
      <c r="A5" s="61">
        <v>43952</v>
      </c>
      <c r="B5" s="6" t="s">
        <v>2328</v>
      </c>
      <c r="C5" s="6"/>
      <c r="D5" s="6"/>
      <c r="E5" s="6" t="s">
        <v>2329</v>
      </c>
      <c r="F5" s="6" t="s">
        <v>2330</v>
      </c>
      <c r="G5" s="6"/>
      <c r="H5" s="6" t="s">
        <v>2326</v>
      </c>
      <c r="I5" s="6" t="s">
        <v>1828</v>
      </c>
      <c r="J5" s="6"/>
      <c r="K5" s="22" t="s">
        <v>2028</v>
      </c>
      <c r="L5" s="6"/>
      <c r="M5" s="6"/>
      <c r="N5" s="6" t="s">
        <v>6132</v>
      </c>
      <c r="O5" s="6"/>
      <c r="P5" s="297" t="s">
        <v>6420</v>
      </c>
      <c r="Q5" s="292" t="s">
        <v>1867</v>
      </c>
      <c r="R5" s="54"/>
    </row>
    <row r="6" spans="1:18" ht="48.75" customHeight="1">
      <c r="A6" s="61">
        <v>43983</v>
      </c>
      <c r="B6" s="6" t="s">
        <v>61</v>
      </c>
      <c r="C6" s="6" t="s">
        <v>1383</v>
      </c>
      <c r="D6" s="158"/>
      <c r="E6" s="6" t="s">
        <v>1555</v>
      </c>
      <c r="F6" s="6" t="s">
        <v>2331</v>
      </c>
      <c r="G6" s="8">
        <v>1000000</v>
      </c>
      <c r="H6" s="6" t="s">
        <v>2326</v>
      </c>
      <c r="I6" s="6" t="s">
        <v>1828</v>
      </c>
      <c r="J6" s="6" t="s">
        <v>1824</v>
      </c>
      <c r="K6" s="22" t="s">
        <v>2332</v>
      </c>
      <c r="L6" s="156" t="s">
        <v>82</v>
      </c>
      <c r="M6" s="6"/>
      <c r="N6" s="475" t="s">
        <v>1808</v>
      </c>
      <c r="O6" s="6"/>
      <c r="P6" s="291" t="s">
        <v>6421</v>
      </c>
      <c r="Q6" s="6" t="s">
        <v>6064</v>
      </c>
      <c r="R6" s="54"/>
    </row>
    <row r="7" spans="1:18" ht="64.5" customHeight="1">
      <c r="A7" s="61">
        <v>44013</v>
      </c>
      <c r="B7" s="6" t="s">
        <v>61</v>
      </c>
      <c r="C7" s="6" t="s">
        <v>1383</v>
      </c>
      <c r="D7" s="158"/>
      <c r="E7" s="6" t="s">
        <v>1557</v>
      </c>
      <c r="F7" s="6" t="s">
        <v>1556</v>
      </c>
      <c r="G7" s="8">
        <v>2590000</v>
      </c>
      <c r="H7" s="6" t="s">
        <v>2326</v>
      </c>
      <c r="I7" s="6" t="s">
        <v>1828</v>
      </c>
      <c r="J7" s="6" t="s">
        <v>1824</v>
      </c>
      <c r="K7" s="22" t="s">
        <v>2333</v>
      </c>
      <c r="L7" s="156" t="s">
        <v>82</v>
      </c>
      <c r="M7" s="6"/>
      <c r="N7" s="475" t="s">
        <v>1808</v>
      </c>
      <c r="O7" s="6"/>
      <c r="P7" s="297" t="s">
        <v>6422</v>
      </c>
      <c r="Q7" s="6" t="s">
        <v>6064</v>
      </c>
      <c r="R7" s="54"/>
    </row>
    <row r="8" spans="1:18" ht="63.75">
      <c r="A8" s="62">
        <v>44075</v>
      </c>
      <c r="B8" s="6" t="s">
        <v>61</v>
      </c>
      <c r="C8" s="6" t="s">
        <v>1151</v>
      </c>
      <c r="D8" s="158"/>
      <c r="E8" s="6" t="s">
        <v>1152</v>
      </c>
      <c r="F8" s="6" t="s">
        <v>2334</v>
      </c>
      <c r="G8" s="8">
        <v>1000000</v>
      </c>
      <c r="H8" s="6" t="s">
        <v>2326</v>
      </c>
      <c r="I8" s="6" t="s">
        <v>1828</v>
      </c>
      <c r="J8" s="6" t="s">
        <v>6423</v>
      </c>
      <c r="K8" s="22" t="s">
        <v>2335</v>
      </c>
      <c r="L8" s="6" t="s">
        <v>1904</v>
      </c>
      <c r="M8" s="6"/>
      <c r="N8" s="6" t="s">
        <v>6132</v>
      </c>
      <c r="O8" s="6"/>
      <c r="P8" s="297" t="s">
        <v>6424</v>
      </c>
      <c r="Q8" s="6" t="s">
        <v>6425</v>
      </c>
      <c r="R8" s="54"/>
    </row>
    <row r="9" spans="1:18" ht="58.5" customHeight="1">
      <c r="A9" s="61">
        <v>44136</v>
      </c>
      <c r="B9" s="6" t="s">
        <v>61</v>
      </c>
      <c r="C9" s="6" t="s">
        <v>1151</v>
      </c>
      <c r="D9" s="158"/>
      <c r="E9" s="158" t="s">
        <v>1154</v>
      </c>
      <c r="F9" s="158" t="s">
        <v>2336</v>
      </c>
      <c r="G9" s="470">
        <v>1000000</v>
      </c>
      <c r="H9" s="158" t="s">
        <v>2337</v>
      </c>
      <c r="I9" s="6" t="s">
        <v>1855</v>
      </c>
      <c r="J9" s="6" t="s">
        <v>6426</v>
      </c>
      <c r="K9" s="164" t="s">
        <v>2338</v>
      </c>
      <c r="L9" s="6" t="s">
        <v>1904</v>
      </c>
      <c r="M9" s="172"/>
      <c r="N9" s="6" t="s">
        <v>6132</v>
      </c>
      <c r="O9" s="172"/>
      <c r="P9" s="472" t="s">
        <v>6427</v>
      </c>
      <c r="Q9" s="6" t="s">
        <v>6428</v>
      </c>
      <c r="R9" s="54"/>
    </row>
    <row r="10" spans="1:18" ht="51">
      <c r="A10" s="6" t="s">
        <v>1156</v>
      </c>
      <c r="B10" s="6" t="s">
        <v>61</v>
      </c>
      <c r="C10" s="6" t="s">
        <v>1151</v>
      </c>
      <c r="D10" s="158"/>
      <c r="E10" s="6" t="s">
        <v>1157</v>
      </c>
      <c r="F10" s="6" t="s">
        <v>2339</v>
      </c>
      <c r="G10" s="8">
        <v>1000000</v>
      </c>
      <c r="H10" s="160" t="s">
        <v>2340</v>
      </c>
      <c r="I10" s="6" t="s">
        <v>1828</v>
      </c>
      <c r="J10" s="6" t="s">
        <v>6426</v>
      </c>
      <c r="K10" s="22" t="s">
        <v>2341</v>
      </c>
      <c r="L10" s="6" t="s">
        <v>1904</v>
      </c>
      <c r="M10" s="6"/>
      <c r="N10" s="6" t="s">
        <v>6132</v>
      </c>
      <c r="O10" s="6"/>
      <c r="P10" s="291" t="s">
        <v>6429</v>
      </c>
      <c r="Q10" s="6" t="s">
        <v>6430</v>
      </c>
      <c r="R10" s="54"/>
    </row>
    <row r="11" spans="1:18" ht="51">
      <c r="A11" s="6" t="s">
        <v>1159</v>
      </c>
      <c r="B11" s="6" t="s">
        <v>61</v>
      </c>
      <c r="C11" s="6" t="s">
        <v>62</v>
      </c>
      <c r="D11" s="158"/>
      <c r="E11" s="6" t="s">
        <v>1160</v>
      </c>
      <c r="F11" s="6" t="s">
        <v>2342</v>
      </c>
      <c r="G11" s="8">
        <v>2284150</v>
      </c>
      <c r="H11" s="160" t="s">
        <v>2343</v>
      </c>
      <c r="I11" s="6" t="s">
        <v>1828</v>
      </c>
      <c r="J11" s="6" t="s">
        <v>6426</v>
      </c>
      <c r="K11" s="22" t="s">
        <v>2344</v>
      </c>
      <c r="L11" s="6" t="s">
        <v>1904</v>
      </c>
      <c r="M11" s="6"/>
      <c r="N11" s="6" t="s">
        <v>6179</v>
      </c>
      <c r="O11" s="6"/>
      <c r="P11" s="297" t="s">
        <v>6431</v>
      </c>
      <c r="Q11" s="6" t="s">
        <v>6137</v>
      </c>
      <c r="R11" s="54"/>
    </row>
    <row r="12" spans="1:18" ht="63.75">
      <c r="A12" s="6" t="s">
        <v>1162</v>
      </c>
      <c r="B12" s="6" t="s">
        <v>61</v>
      </c>
      <c r="C12" s="6" t="s">
        <v>62</v>
      </c>
      <c r="D12" s="158"/>
      <c r="E12" s="6" t="s">
        <v>1163</v>
      </c>
      <c r="F12" s="6" t="s">
        <v>6432</v>
      </c>
      <c r="G12" s="8">
        <v>1621819.5</v>
      </c>
      <c r="H12" s="160" t="s">
        <v>2346</v>
      </c>
      <c r="I12" s="6" t="s">
        <v>1828</v>
      </c>
      <c r="J12" s="6" t="s">
        <v>6423</v>
      </c>
      <c r="K12" s="22" t="s">
        <v>2347</v>
      </c>
      <c r="L12" s="6" t="s">
        <v>1904</v>
      </c>
      <c r="M12" s="6"/>
      <c r="N12" s="6" t="s">
        <v>6132</v>
      </c>
      <c r="O12" s="6"/>
      <c r="P12" s="291" t="s">
        <v>6433</v>
      </c>
      <c r="Q12" s="6" t="s">
        <v>6434</v>
      </c>
      <c r="R12" s="54"/>
    </row>
    <row r="13" spans="1:18" ht="48.75" customHeight="1">
      <c r="A13" s="6" t="s">
        <v>1165</v>
      </c>
      <c r="B13" s="6" t="s">
        <v>61</v>
      </c>
      <c r="C13" s="6" t="s">
        <v>62</v>
      </c>
      <c r="D13" s="158"/>
      <c r="E13" s="6" t="s">
        <v>1166</v>
      </c>
      <c r="F13" s="6" t="s">
        <v>2348</v>
      </c>
      <c r="G13" s="8">
        <v>2382264</v>
      </c>
      <c r="H13" s="160" t="s">
        <v>2349</v>
      </c>
      <c r="I13" s="6" t="s">
        <v>1899</v>
      </c>
      <c r="J13" s="6" t="s">
        <v>6356</v>
      </c>
      <c r="K13" s="22" t="s">
        <v>2350</v>
      </c>
      <c r="L13" s="6" t="s">
        <v>1904</v>
      </c>
      <c r="M13" s="6"/>
      <c r="N13" s="6" t="s">
        <v>6132</v>
      </c>
      <c r="O13" s="6"/>
      <c r="P13" s="297" t="s">
        <v>6435</v>
      </c>
      <c r="Q13" s="6" t="s">
        <v>6418</v>
      </c>
      <c r="R13" s="54"/>
    </row>
    <row r="14" spans="1:18" ht="51">
      <c r="A14" s="6" t="s">
        <v>1558</v>
      </c>
      <c r="B14" s="6" t="s">
        <v>61</v>
      </c>
      <c r="C14" s="6" t="s">
        <v>1549</v>
      </c>
      <c r="D14" s="158"/>
      <c r="E14" s="6" t="s">
        <v>1559</v>
      </c>
      <c r="F14" s="158" t="s">
        <v>1560</v>
      </c>
      <c r="G14" s="8">
        <v>1000000</v>
      </c>
      <c r="H14" s="6" t="s">
        <v>2326</v>
      </c>
      <c r="I14" s="6" t="s">
        <v>1828</v>
      </c>
      <c r="J14" s="6" t="s">
        <v>1824</v>
      </c>
      <c r="K14" s="147" t="s">
        <v>2352</v>
      </c>
      <c r="L14" s="6" t="s">
        <v>82</v>
      </c>
      <c r="M14" s="6"/>
      <c r="N14" s="475" t="s">
        <v>1808</v>
      </c>
      <c r="O14" s="6"/>
      <c r="P14" s="297" t="s">
        <v>6436</v>
      </c>
      <c r="Q14" s="6" t="s">
        <v>6064</v>
      </c>
      <c r="R14" s="54"/>
    </row>
    <row r="15" spans="1:18" ht="12.75">
      <c r="A15" s="6" t="s">
        <v>2353</v>
      </c>
      <c r="B15" s="6" t="s">
        <v>2328</v>
      </c>
      <c r="C15" s="6" t="s">
        <v>1141</v>
      </c>
      <c r="D15" s="158"/>
      <c r="E15" s="6" t="s">
        <v>2354</v>
      </c>
      <c r="F15" s="6" t="s">
        <v>2355</v>
      </c>
      <c r="G15" s="6"/>
      <c r="H15" s="6" t="s">
        <v>2326</v>
      </c>
      <c r="I15" s="6" t="s">
        <v>1828</v>
      </c>
      <c r="J15" s="6" t="s">
        <v>2144</v>
      </c>
      <c r="K15" s="22" t="s">
        <v>2028</v>
      </c>
      <c r="L15" s="6" t="s">
        <v>1231</v>
      </c>
      <c r="M15" s="6"/>
      <c r="N15" s="6" t="s">
        <v>6132</v>
      </c>
      <c r="O15" s="6"/>
      <c r="P15" s="297" t="s">
        <v>6437</v>
      </c>
      <c r="Q15" s="6" t="s">
        <v>6137</v>
      </c>
      <c r="R15" s="54"/>
    </row>
    <row r="16" spans="1:18" ht="51">
      <c r="A16" s="6" t="s">
        <v>767</v>
      </c>
      <c r="B16" s="6" t="s">
        <v>61</v>
      </c>
      <c r="C16" s="6" t="s">
        <v>68</v>
      </c>
      <c r="D16" s="158"/>
      <c r="E16" s="158" t="s">
        <v>768</v>
      </c>
      <c r="F16" s="6" t="s">
        <v>769</v>
      </c>
      <c r="G16" s="8">
        <v>169000</v>
      </c>
      <c r="H16" s="6" t="s">
        <v>2356</v>
      </c>
      <c r="I16" s="6" t="s">
        <v>2031</v>
      </c>
      <c r="J16" s="6" t="s">
        <v>2144</v>
      </c>
      <c r="K16" s="22" t="s">
        <v>2357</v>
      </c>
      <c r="L16" s="6" t="s">
        <v>6438</v>
      </c>
      <c r="M16" s="158"/>
      <c r="N16" s="6" t="s">
        <v>6132</v>
      </c>
      <c r="O16" s="158"/>
      <c r="P16" s="158"/>
      <c r="Q16" s="6" t="s">
        <v>6439</v>
      </c>
      <c r="R16" s="54"/>
    </row>
    <row r="17" spans="1:18" ht="38.25">
      <c r="A17" s="6" t="s">
        <v>2358</v>
      </c>
      <c r="B17" s="6" t="s">
        <v>61</v>
      </c>
      <c r="C17" s="6" t="s">
        <v>1838</v>
      </c>
      <c r="D17" s="158"/>
      <c r="E17" s="6" t="s">
        <v>2359</v>
      </c>
      <c r="F17" s="6" t="s">
        <v>575</v>
      </c>
      <c r="G17" s="8">
        <v>102405</v>
      </c>
      <c r="H17" s="6" t="s">
        <v>2298</v>
      </c>
      <c r="I17" s="6" t="s">
        <v>1828</v>
      </c>
      <c r="J17" s="6" t="s">
        <v>1824</v>
      </c>
      <c r="K17" s="22" t="s">
        <v>2360</v>
      </c>
      <c r="L17" s="6"/>
      <c r="M17" s="6"/>
      <c r="N17" s="475" t="s">
        <v>1808</v>
      </c>
      <c r="O17" s="6"/>
      <c r="P17" s="6"/>
      <c r="Q17" s="6" t="s">
        <v>6064</v>
      </c>
      <c r="R17" s="54"/>
    </row>
    <row r="18" spans="1:18" ht="51">
      <c r="A18" s="6" t="s">
        <v>770</v>
      </c>
      <c r="B18" s="6" t="s">
        <v>61</v>
      </c>
      <c r="C18" s="6" t="s">
        <v>652</v>
      </c>
      <c r="D18" s="158"/>
      <c r="E18" s="6" t="s">
        <v>771</v>
      </c>
      <c r="F18" s="6" t="s">
        <v>772</v>
      </c>
      <c r="G18" s="8">
        <v>29878</v>
      </c>
      <c r="H18" s="6" t="s">
        <v>1828</v>
      </c>
      <c r="I18" s="6" t="s">
        <v>1828</v>
      </c>
      <c r="J18" s="6" t="s">
        <v>2144</v>
      </c>
      <c r="K18" s="22" t="s">
        <v>2361</v>
      </c>
      <c r="L18" s="6" t="s">
        <v>1874</v>
      </c>
      <c r="M18" s="6"/>
      <c r="N18" s="6" t="s">
        <v>6132</v>
      </c>
      <c r="O18" s="6"/>
      <c r="P18" s="6"/>
      <c r="Q18" s="6" t="s">
        <v>6092</v>
      </c>
      <c r="R18" s="54"/>
    </row>
    <row r="19" spans="1:18" ht="63.75">
      <c r="A19" s="6" t="s">
        <v>773</v>
      </c>
      <c r="B19" s="6" t="s">
        <v>61</v>
      </c>
      <c r="C19" s="6" t="s">
        <v>652</v>
      </c>
      <c r="D19" s="158"/>
      <c r="E19" s="6" t="s">
        <v>774</v>
      </c>
      <c r="F19" s="6" t="s">
        <v>775</v>
      </c>
      <c r="G19" s="6" t="s">
        <v>2362</v>
      </c>
      <c r="H19" s="6" t="s">
        <v>2363</v>
      </c>
      <c r="I19" s="6" t="s">
        <v>1828</v>
      </c>
      <c r="J19" s="6" t="s">
        <v>2144</v>
      </c>
      <c r="K19" s="22" t="s">
        <v>2364</v>
      </c>
      <c r="L19" s="6" t="s">
        <v>1874</v>
      </c>
      <c r="M19" s="6"/>
      <c r="N19" s="6" t="s">
        <v>6132</v>
      </c>
      <c r="O19" s="6"/>
      <c r="P19" s="6"/>
      <c r="Q19" s="6" t="s">
        <v>6104</v>
      </c>
      <c r="R19" s="54"/>
    </row>
    <row r="20" spans="1:18" ht="127.5">
      <c r="A20" s="6" t="s">
        <v>1561</v>
      </c>
      <c r="B20" s="6" t="s">
        <v>61</v>
      </c>
      <c r="C20" s="6" t="s">
        <v>1462</v>
      </c>
      <c r="D20" s="158"/>
      <c r="E20" s="6" t="s">
        <v>1562</v>
      </c>
      <c r="F20" s="6" t="s">
        <v>2365</v>
      </c>
      <c r="G20" s="8">
        <v>200000</v>
      </c>
      <c r="H20" s="6" t="s">
        <v>575</v>
      </c>
      <c r="I20" s="6" t="s">
        <v>1828</v>
      </c>
      <c r="J20" s="6" t="s">
        <v>1824</v>
      </c>
      <c r="K20" s="22" t="s">
        <v>2366</v>
      </c>
      <c r="L20" s="6" t="s">
        <v>82</v>
      </c>
      <c r="M20" s="6"/>
      <c r="N20" s="475" t="s">
        <v>1808</v>
      </c>
      <c r="O20" s="6"/>
      <c r="P20" s="6"/>
      <c r="Q20" s="6" t="s">
        <v>6064</v>
      </c>
      <c r="R20" s="54"/>
    </row>
    <row r="21" spans="1:18" ht="38.25">
      <c r="A21" s="6" t="s">
        <v>776</v>
      </c>
      <c r="B21" s="6" t="s">
        <v>61</v>
      </c>
      <c r="C21" s="6" t="s">
        <v>652</v>
      </c>
      <c r="D21" s="158"/>
      <c r="E21" s="6" t="s">
        <v>2367</v>
      </c>
      <c r="F21" s="6" t="s">
        <v>778</v>
      </c>
      <c r="G21" s="8">
        <v>350000</v>
      </c>
      <c r="H21" s="6" t="s">
        <v>2368</v>
      </c>
      <c r="I21" s="6" t="s">
        <v>1855</v>
      </c>
      <c r="J21" s="6" t="s">
        <v>2144</v>
      </c>
      <c r="K21" s="22" t="s">
        <v>2369</v>
      </c>
      <c r="L21" s="6" t="s">
        <v>1874</v>
      </c>
      <c r="M21" s="6"/>
      <c r="N21" s="6" t="s">
        <v>6132</v>
      </c>
      <c r="O21" s="6"/>
      <c r="P21" s="6"/>
      <c r="Q21" s="6" t="s">
        <v>6092</v>
      </c>
      <c r="R21" s="54"/>
    </row>
    <row r="22" spans="1:18" ht="76.5">
      <c r="A22" s="6" t="s">
        <v>67</v>
      </c>
      <c r="B22" s="6" t="s">
        <v>61</v>
      </c>
      <c r="C22" s="6" t="s">
        <v>68</v>
      </c>
      <c r="D22" s="158"/>
      <c r="E22" s="6" t="s">
        <v>69</v>
      </c>
      <c r="F22" s="6" t="s">
        <v>70</v>
      </c>
      <c r="G22" s="8">
        <v>409314</v>
      </c>
      <c r="H22" s="6" t="s">
        <v>2370</v>
      </c>
      <c r="I22" s="6" t="s">
        <v>1855</v>
      </c>
      <c r="J22" s="6" t="s">
        <v>2144</v>
      </c>
      <c r="K22" s="22" t="s">
        <v>2371</v>
      </c>
      <c r="L22" s="6" t="s">
        <v>1874</v>
      </c>
      <c r="M22" s="6"/>
      <c r="N22" s="6" t="s">
        <v>6132</v>
      </c>
      <c r="O22" s="6"/>
      <c r="P22" s="6"/>
      <c r="Q22" s="6" t="s">
        <v>6092</v>
      </c>
      <c r="R22" s="54"/>
    </row>
    <row r="23" spans="1:18" ht="89.25">
      <c r="A23" s="6" t="s">
        <v>779</v>
      </c>
      <c r="B23" s="6" t="s">
        <v>61</v>
      </c>
      <c r="C23" s="6" t="s">
        <v>68</v>
      </c>
      <c r="D23" s="158"/>
      <c r="E23" s="6" t="s">
        <v>780</v>
      </c>
      <c r="F23" s="6" t="s">
        <v>781</v>
      </c>
      <c r="G23" s="8">
        <v>156902.65</v>
      </c>
      <c r="H23" s="6" t="s">
        <v>2372</v>
      </c>
      <c r="I23" s="6" t="s">
        <v>1886</v>
      </c>
      <c r="J23" s="6" t="s">
        <v>6440</v>
      </c>
      <c r="K23" s="22" t="s">
        <v>2373</v>
      </c>
      <c r="L23" s="6" t="s">
        <v>1874</v>
      </c>
      <c r="M23" s="6"/>
      <c r="N23" s="6" t="s">
        <v>6132</v>
      </c>
      <c r="O23" s="6"/>
      <c r="P23" s="6"/>
      <c r="Q23" s="6" t="s">
        <v>6441</v>
      </c>
      <c r="R23" s="54"/>
    </row>
    <row r="24" spans="1:18" ht="51">
      <c r="A24" s="6" t="s">
        <v>1168</v>
      </c>
      <c r="B24" s="6" t="s">
        <v>61</v>
      </c>
      <c r="C24" s="6" t="s">
        <v>62</v>
      </c>
      <c r="D24" s="158"/>
      <c r="E24" s="6" t="s">
        <v>2374</v>
      </c>
      <c r="F24" s="6" t="s">
        <v>1170</v>
      </c>
      <c r="G24" s="8">
        <v>140032</v>
      </c>
      <c r="H24" s="6" t="s">
        <v>2375</v>
      </c>
      <c r="I24" s="6" t="s">
        <v>1828</v>
      </c>
      <c r="J24" s="6" t="s">
        <v>6356</v>
      </c>
      <c r="K24" s="22" t="s">
        <v>2376</v>
      </c>
      <c r="L24" s="6" t="s">
        <v>1904</v>
      </c>
      <c r="M24" s="6"/>
      <c r="N24" s="6" t="s">
        <v>6132</v>
      </c>
      <c r="O24" s="6"/>
      <c r="P24" s="6"/>
      <c r="Q24" s="6" t="s">
        <v>6442</v>
      </c>
      <c r="R24" s="54"/>
    </row>
    <row r="25" spans="1:18" ht="114.75">
      <c r="A25" s="6" t="s">
        <v>782</v>
      </c>
      <c r="B25" s="6" t="s">
        <v>61</v>
      </c>
      <c r="C25" s="6" t="s">
        <v>68</v>
      </c>
      <c r="D25" s="158"/>
      <c r="E25" s="6" t="s">
        <v>2377</v>
      </c>
      <c r="F25" s="6" t="s">
        <v>784</v>
      </c>
      <c r="G25" s="8">
        <v>308708.2</v>
      </c>
      <c r="H25" s="6" t="s">
        <v>2378</v>
      </c>
      <c r="I25" s="6" t="s">
        <v>1828</v>
      </c>
      <c r="J25" s="6" t="s">
        <v>2144</v>
      </c>
      <c r="K25" s="22" t="s">
        <v>2379</v>
      </c>
      <c r="L25" s="6" t="s">
        <v>1874</v>
      </c>
      <c r="M25" s="6"/>
      <c r="N25" s="6" t="s">
        <v>6132</v>
      </c>
      <c r="O25" s="6"/>
      <c r="P25" s="6"/>
      <c r="Q25" s="6" t="s">
        <v>6439</v>
      </c>
      <c r="R25" s="54"/>
    </row>
    <row r="26" spans="1:18" ht="127.5">
      <c r="A26" s="6" t="s">
        <v>785</v>
      </c>
      <c r="B26" s="6" t="s">
        <v>61</v>
      </c>
      <c r="C26" s="6" t="s">
        <v>125</v>
      </c>
      <c r="D26" s="158"/>
      <c r="E26" s="158" t="s">
        <v>786</v>
      </c>
      <c r="F26" s="6" t="s">
        <v>787</v>
      </c>
      <c r="G26" s="8">
        <v>500000</v>
      </c>
      <c r="H26" s="6" t="s">
        <v>2298</v>
      </c>
      <c r="I26" s="6" t="s">
        <v>1828</v>
      </c>
      <c r="J26" s="6" t="s">
        <v>1824</v>
      </c>
      <c r="K26" s="22" t="s">
        <v>2380</v>
      </c>
      <c r="L26" s="6" t="s">
        <v>1874</v>
      </c>
      <c r="M26" s="158"/>
      <c r="N26" s="6"/>
      <c r="O26" s="158"/>
      <c r="P26" s="485" t="s">
        <v>6443</v>
      </c>
      <c r="Q26" s="6" t="s">
        <v>6064</v>
      </c>
      <c r="R26" s="54"/>
    </row>
    <row r="27" spans="1:18" ht="204">
      <c r="A27" s="6" t="s">
        <v>1171</v>
      </c>
      <c r="B27" s="6" t="s">
        <v>61</v>
      </c>
      <c r="C27" s="6" t="s">
        <v>62</v>
      </c>
      <c r="D27" s="158"/>
      <c r="E27" s="6" t="s">
        <v>2382</v>
      </c>
      <c r="F27" s="6" t="s">
        <v>1173</v>
      </c>
      <c r="G27" s="8">
        <v>453820</v>
      </c>
      <c r="H27" s="6" t="s">
        <v>2383</v>
      </c>
      <c r="I27" s="6" t="s">
        <v>1899</v>
      </c>
      <c r="J27" s="6" t="s">
        <v>6426</v>
      </c>
      <c r="K27" s="22" t="s">
        <v>2384</v>
      </c>
      <c r="L27" s="6" t="s">
        <v>1904</v>
      </c>
      <c r="M27" s="6"/>
      <c r="N27" s="6" t="s">
        <v>6132</v>
      </c>
      <c r="O27" s="6"/>
      <c r="P27" s="468" t="s">
        <v>6444</v>
      </c>
      <c r="Q27" s="6" t="s">
        <v>6445</v>
      </c>
      <c r="R27" s="54"/>
    </row>
    <row r="28" spans="1:18" ht="161.25" customHeight="1">
      <c r="A28" s="6" t="s">
        <v>1564</v>
      </c>
      <c r="B28" s="6" t="s">
        <v>61</v>
      </c>
      <c r="C28" s="6" t="s">
        <v>1549</v>
      </c>
      <c r="D28" s="158"/>
      <c r="E28" s="6" t="s">
        <v>1565</v>
      </c>
      <c r="F28" s="6" t="s">
        <v>1566</v>
      </c>
      <c r="G28" s="8">
        <v>1000000</v>
      </c>
      <c r="H28" s="6" t="s">
        <v>2298</v>
      </c>
      <c r="I28" s="6" t="s">
        <v>1828</v>
      </c>
      <c r="J28" s="6" t="s">
        <v>1824</v>
      </c>
      <c r="K28" s="22" t="s">
        <v>2385</v>
      </c>
      <c r="L28" s="6" t="s">
        <v>82</v>
      </c>
      <c r="M28" s="6"/>
      <c r="N28" s="475" t="s">
        <v>1808</v>
      </c>
      <c r="O28" s="6"/>
      <c r="P28" s="468" t="s">
        <v>6446</v>
      </c>
      <c r="Q28" s="6" t="s">
        <v>6064</v>
      </c>
      <c r="R28" s="54"/>
    </row>
    <row r="29" spans="1:18" ht="89.25">
      <c r="A29" s="6" t="s">
        <v>2386</v>
      </c>
      <c r="B29" s="6" t="s">
        <v>61</v>
      </c>
      <c r="C29" s="6" t="s">
        <v>2391</v>
      </c>
      <c r="D29" s="158"/>
      <c r="E29" s="6" t="s">
        <v>2387</v>
      </c>
      <c r="F29" s="6" t="s">
        <v>2388</v>
      </c>
      <c r="G29" s="8">
        <v>500000</v>
      </c>
      <c r="H29" s="6" t="s">
        <v>2389</v>
      </c>
      <c r="I29" s="6" t="s">
        <v>1886</v>
      </c>
      <c r="J29" s="6" t="s">
        <v>6356</v>
      </c>
      <c r="K29" s="165" t="s">
        <v>2390</v>
      </c>
      <c r="L29" s="6" t="s">
        <v>1904</v>
      </c>
      <c r="M29" s="6"/>
      <c r="N29" s="6" t="s">
        <v>6132</v>
      </c>
      <c r="O29" s="6"/>
      <c r="P29" s="468" t="s">
        <v>6447</v>
      </c>
      <c r="Q29" s="6" t="s">
        <v>6448</v>
      </c>
      <c r="R29" s="54"/>
    </row>
    <row r="30" spans="1:18" ht="89.25">
      <c r="A30" s="6" t="s">
        <v>788</v>
      </c>
      <c r="B30" s="6" t="s">
        <v>61</v>
      </c>
      <c r="C30" s="6" t="s">
        <v>789</v>
      </c>
      <c r="D30" s="158"/>
      <c r="E30" s="6" t="s">
        <v>790</v>
      </c>
      <c r="F30" s="6" t="s">
        <v>791</v>
      </c>
      <c r="G30" s="8">
        <v>324750</v>
      </c>
      <c r="H30" s="6" t="s">
        <v>2392</v>
      </c>
      <c r="I30" s="6" t="s">
        <v>1828</v>
      </c>
      <c r="J30" s="6" t="s">
        <v>2144</v>
      </c>
      <c r="K30" s="22" t="s">
        <v>2393</v>
      </c>
      <c r="L30" s="6" t="s">
        <v>1904</v>
      </c>
      <c r="M30" s="6"/>
      <c r="N30" s="6" t="s">
        <v>6132</v>
      </c>
      <c r="O30" s="6"/>
      <c r="P30" s="468" t="s">
        <v>6449</v>
      </c>
      <c r="Q30" s="6" t="s">
        <v>6092</v>
      </c>
      <c r="R30" s="54"/>
    </row>
    <row r="31" spans="1:18" ht="89.25">
      <c r="A31" s="6" t="s">
        <v>792</v>
      </c>
      <c r="B31" s="6" t="s">
        <v>61</v>
      </c>
      <c r="C31" s="6" t="s">
        <v>652</v>
      </c>
      <c r="D31" s="158"/>
      <c r="E31" s="6" t="s">
        <v>793</v>
      </c>
      <c r="F31" s="6" t="s">
        <v>794</v>
      </c>
      <c r="G31" s="8">
        <v>284446.84000000003</v>
      </c>
      <c r="H31" s="6" t="s">
        <v>2394</v>
      </c>
      <c r="I31" s="6" t="s">
        <v>1828</v>
      </c>
      <c r="J31" s="6" t="s">
        <v>2144</v>
      </c>
      <c r="K31" s="22" t="s">
        <v>2395</v>
      </c>
      <c r="L31" s="6" t="s">
        <v>1874</v>
      </c>
      <c r="M31" s="6"/>
      <c r="N31" s="6" t="s">
        <v>6132</v>
      </c>
      <c r="O31" s="6"/>
      <c r="P31" s="468" t="s">
        <v>6450</v>
      </c>
      <c r="Q31" s="6" t="s">
        <v>6092</v>
      </c>
      <c r="R31" s="54"/>
    </row>
    <row r="32" spans="1:18" ht="89.25">
      <c r="A32" s="6" t="s">
        <v>1174</v>
      </c>
      <c r="B32" s="6" t="s">
        <v>61</v>
      </c>
      <c r="C32" s="6" t="s">
        <v>62</v>
      </c>
      <c r="D32" s="158"/>
      <c r="E32" s="6" t="s">
        <v>1175</v>
      </c>
      <c r="F32" s="6" t="s">
        <v>1176</v>
      </c>
      <c r="G32" s="8">
        <v>418714.15</v>
      </c>
      <c r="H32" s="6" t="s">
        <v>2396</v>
      </c>
      <c r="I32" s="6" t="s">
        <v>1828</v>
      </c>
      <c r="J32" s="6" t="s">
        <v>6356</v>
      </c>
      <c r="K32" s="22" t="s">
        <v>2397</v>
      </c>
      <c r="L32" s="6" t="s">
        <v>1904</v>
      </c>
      <c r="M32" s="6"/>
      <c r="N32" s="6" t="s">
        <v>6179</v>
      </c>
      <c r="O32" s="6"/>
      <c r="P32" s="468" t="s">
        <v>6451</v>
      </c>
      <c r="Q32" s="6" t="s">
        <v>6452</v>
      </c>
      <c r="R32" s="54"/>
    </row>
    <row r="33" spans="1:18" ht="51">
      <c r="A33" s="6" t="s">
        <v>2398</v>
      </c>
      <c r="B33" s="6" t="s">
        <v>1823</v>
      </c>
      <c r="C33" s="6" t="s">
        <v>113</v>
      </c>
      <c r="D33" s="158"/>
      <c r="E33" s="6" t="s">
        <v>2400</v>
      </c>
      <c r="F33" s="6" t="s">
        <v>611</v>
      </c>
      <c r="G33" s="6" t="s">
        <v>2399</v>
      </c>
      <c r="H33" s="6" t="s">
        <v>575</v>
      </c>
      <c r="I33" s="6"/>
      <c r="J33" s="6"/>
      <c r="K33" s="22" t="s">
        <v>2401</v>
      </c>
      <c r="L33" s="6" t="s">
        <v>611</v>
      </c>
      <c r="M33" s="6"/>
      <c r="N33" s="475" t="s">
        <v>1808</v>
      </c>
      <c r="O33" s="6"/>
      <c r="P33" s="468" t="s">
        <v>6453</v>
      </c>
      <c r="Q33" s="6" t="s">
        <v>6189</v>
      </c>
      <c r="R33" s="54"/>
    </row>
    <row r="34" spans="1:18" ht="51">
      <c r="A34" s="6" t="s">
        <v>2402</v>
      </c>
      <c r="B34" s="6" t="s">
        <v>1823</v>
      </c>
      <c r="C34" s="6" t="s">
        <v>611</v>
      </c>
      <c r="D34" s="158"/>
      <c r="E34" s="6" t="s">
        <v>2404</v>
      </c>
      <c r="F34" s="6" t="s">
        <v>611</v>
      </c>
      <c r="G34" s="6" t="s">
        <v>2403</v>
      </c>
      <c r="H34" s="6" t="s">
        <v>575</v>
      </c>
      <c r="I34" s="6"/>
      <c r="J34" s="6"/>
      <c r="K34" s="22" t="s">
        <v>2405</v>
      </c>
      <c r="L34" s="6"/>
      <c r="M34" s="6"/>
      <c r="N34" s="475" t="s">
        <v>1808</v>
      </c>
      <c r="O34" s="6"/>
      <c r="P34" s="468" t="s">
        <v>6454</v>
      </c>
      <c r="Q34" s="6" t="s">
        <v>6189</v>
      </c>
      <c r="R34" s="54"/>
    </row>
    <row r="35" spans="1:18" ht="102">
      <c r="A35" s="6" t="s">
        <v>1177</v>
      </c>
      <c r="B35" s="6" t="s">
        <v>61</v>
      </c>
      <c r="C35" s="6" t="s">
        <v>62</v>
      </c>
      <c r="D35" s="158"/>
      <c r="E35" s="6" t="s">
        <v>2407</v>
      </c>
      <c r="F35" s="6" t="s">
        <v>1179</v>
      </c>
      <c r="G35" s="8">
        <v>1240490</v>
      </c>
      <c r="H35" s="6" t="s">
        <v>2408</v>
      </c>
      <c r="I35" s="6" t="s">
        <v>1828</v>
      </c>
      <c r="J35" s="6" t="s">
        <v>6356</v>
      </c>
      <c r="K35" s="22" t="s">
        <v>2409</v>
      </c>
      <c r="L35" s="6" t="s">
        <v>1904</v>
      </c>
      <c r="M35" s="6"/>
      <c r="N35" s="6" t="s">
        <v>6179</v>
      </c>
      <c r="O35" s="6"/>
      <c r="P35" s="468" t="s">
        <v>6455</v>
      </c>
      <c r="Q35" s="6" t="s">
        <v>6456</v>
      </c>
      <c r="R35" s="54"/>
    </row>
    <row r="36" spans="1:18" ht="51">
      <c r="A36" s="6" t="s">
        <v>2410</v>
      </c>
      <c r="B36" s="6" t="s">
        <v>1823</v>
      </c>
      <c r="C36" s="6" t="s">
        <v>1383</v>
      </c>
      <c r="D36" s="158"/>
      <c r="E36" s="6" t="s">
        <v>2411</v>
      </c>
      <c r="F36" s="6" t="s">
        <v>2412</v>
      </c>
      <c r="G36" s="6"/>
      <c r="H36" s="6" t="s">
        <v>575</v>
      </c>
      <c r="I36" s="6"/>
      <c r="J36" s="6"/>
      <c r="K36" s="22" t="s">
        <v>2413</v>
      </c>
      <c r="L36" s="6"/>
      <c r="M36" s="6"/>
      <c r="N36" s="475" t="s">
        <v>1808</v>
      </c>
      <c r="O36" s="6"/>
      <c r="P36" s="468" t="s">
        <v>6457</v>
      </c>
      <c r="Q36" s="6" t="s">
        <v>6189</v>
      </c>
      <c r="R36" s="54"/>
    </row>
    <row r="37" spans="1:18" ht="127.5">
      <c r="A37" s="6" t="s">
        <v>1180</v>
      </c>
      <c r="B37" s="6" t="s">
        <v>61</v>
      </c>
      <c r="C37" s="6" t="s">
        <v>62</v>
      </c>
      <c r="D37" s="158"/>
      <c r="E37" s="6" t="s">
        <v>1181</v>
      </c>
      <c r="F37" s="6" t="s">
        <v>1182</v>
      </c>
      <c r="G37" s="8">
        <v>495000</v>
      </c>
      <c r="H37" s="6" t="s">
        <v>2414</v>
      </c>
      <c r="I37" s="6" t="s">
        <v>2656</v>
      </c>
      <c r="J37" s="6" t="s">
        <v>2144</v>
      </c>
      <c r="K37" s="136" t="s">
        <v>2415</v>
      </c>
      <c r="L37" s="6" t="s">
        <v>1904</v>
      </c>
      <c r="M37" s="6"/>
      <c r="N37" s="6" t="s">
        <v>6132</v>
      </c>
      <c r="O37" s="6"/>
      <c r="P37" s="468" t="s">
        <v>6458</v>
      </c>
      <c r="Q37" s="6" t="s">
        <v>6459</v>
      </c>
      <c r="R37" s="54"/>
    </row>
    <row r="38" spans="1:18" ht="63.75">
      <c r="A38" s="6" t="s">
        <v>2416</v>
      </c>
      <c r="B38" s="6" t="s">
        <v>1823</v>
      </c>
      <c r="C38" s="6" t="s">
        <v>62</v>
      </c>
      <c r="D38" s="158"/>
      <c r="E38" s="6" t="s">
        <v>2417</v>
      </c>
      <c r="F38" s="6" t="s">
        <v>1231</v>
      </c>
      <c r="G38" s="6"/>
      <c r="H38" s="6" t="s">
        <v>2418</v>
      </c>
      <c r="I38" s="6"/>
      <c r="J38" s="6"/>
      <c r="K38" s="22" t="s">
        <v>2419</v>
      </c>
      <c r="L38" s="6"/>
      <c r="M38" s="6"/>
      <c r="N38" s="475" t="s">
        <v>1808</v>
      </c>
      <c r="O38" s="6"/>
      <c r="P38" s="468" t="s">
        <v>6460</v>
      </c>
      <c r="Q38" s="6" t="s">
        <v>6189</v>
      </c>
      <c r="R38" s="54"/>
    </row>
    <row r="39" spans="1:18" ht="186" customHeight="1">
      <c r="A39" s="6" t="s">
        <v>1183</v>
      </c>
      <c r="B39" s="6" t="s">
        <v>61</v>
      </c>
      <c r="C39" s="6" t="s">
        <v>62</v>
      </c>
      <c r="D39" s="158"/>
      <c r="E39" s="6" t="s">
        <v>1184</v>
      </c>
      <c r="F39" s="6" t="s">
        <v>1185</v>
      </c>
      <c r="G39" s="8">
        <v>819000</v>
      </c>
      <c r="H39" s="6" t="s">
        <v>2420</v>
      </c>
      <c r="I39" s="6" t="s">
        <v>1828</v>
      </c>
      <c r="J39" s="6" t="s">
        <v>6356</v>
      </c>
      <c r="K39" s="22" t="s">
        <v>2421</v>
      </c>
      <c r="L39" s="6" t="s">
        <v>1904</v>
      </c>
      <c r="M39" s="6"/>
      <c r="N39" s="6" t="s">
        <v>6132</v>
      </c>
      <c r="O39" s="6"/>
      <c r="P39" s="468" t="s">
        <v>6443</v>
      </c>
      <c r="Q39" s="6" t="s">
        <v>6461</v>
      </c>
      <c r="R39" s="54"/>
    </row>
    <row r="40" spans="1:18" ht="51">
      <c r="A40" s="6" t="s">
        <v>2422</v>
      </c>
      <c r="B40" s="6" t="s">
        <v>1823</v>
      </c>
      <c r="C40" s="6" t="s">
        <v>611</v>
      </c>
      <c r="D40" s="158"/>
      <c r="E40" s="6" t="s">
        <v>2423</v>
      </c>
      <c r="F40" s="6" t="s">
        <v>611</v>
      </c>
      <c r="G40" s="6"/>
      <c r="H40" s="6" t="s">
        <v>2326</v>
      </c>
      <c r="I40" s="6"/>
      <c r="J40" s="6"/>
      <c r="K40" s="22" t="s">
        <v>2424</v>
      </c>
      <c r="L40" s="6"/>
      <c r="M40" s="6"/>
      <c r="N40" s="475" t="s">
        <v>1808</v>
      </c>
      <c r="O40" s="6"/>
      <c r="P40" s="468" t="s">
        <v>6462</v>
      </c>
      <c r="Q40" s="6" t="s">
        <v>6189</v>
      </c>
      <c r="R40" s="54"/>
    </row>
    <row r="41" spans="1:18" ht="38.25">
      <c r="A41" s="6" t="s">
        <v>2425</v>
      </c>
      <c r="B41" s="6" t="s">
        <v>1823</v>
      </c>
      <c r="C41" s="6" t="s">
        <v>2412</v>
      </c>
      <c r="D41" s="158"/>
      <c r="E41" s="6" t="s">
        <v>2426</v>
      </c>
      <c r="F41" s="6" t="s">
        <v>2412</v>
      </c>
      <c r="G41" s="6"/>
      <c r="H41" s="6" t="s">
        <v>2326</v>
      </c>
      <c r="I41" s="6"/>
      <c r="J41" s="6"/>
      <c r="K41" s="22" t="s">
        <v>2427</v>
      </c>
      <c r="L41" s="6"/>
      <c r="M41" s="6"/>
      <c r="N41" s="475" t="s">
        <v>1808</v>
      </c>
      <c r="O41" s="6"/>
      <c r="P41" s="468" t="s">
        <v>6463</v>
      </c>
      <c r="Q41" s="6" t="s">
        <v>6189</v>
      </c>
      <c r="R41" s="54"/>
    </row>
    <row r="42" spans="1:18" ht="114.75">
      <c r="A42" s="6" t="s">
        <v>1186</v>
      </c>
      <c r="B42" s="6" t="s">
        <v>61</v>
      </c>
      <c r="C42" s="6" t="s">
        <v>62</v>
      </c>
      <c r="D42" s="158"/>
      <c r="E42" s="6" t="s">
        <v>1187</v>
      </c>
      <c r="F42" s="6" t="s">
        <v>1188</v>
      </c>
      <c r="G42" s="8">
        <v>453346.5</v>
      </c>
      <c r="H42" s="6" t="s">
        <v>2428</v>
      </c>
      <c r="I42" s="6" t="s">
        <v>2656</v>
      </c>
      <c r="J42" s="6" t="s">
        <v>6356</v>
      </c>
      <c r="K42" s="22" t="s">
        <v>2429</v>
      </c>
      <c r="L42" s="6" t="s">
        <v>1904</v>
      </c>
      <c r="M42" s="6"/>
      <c r="N42" s="6" t="s">
        <v>6179</v>
      </c>
      <c r="O42" s="6"/>
      <c r="P42" s="468" t="s">
        <v>6464</v>
      </c>
      <c r="Q42" s="6" t="s">
        <v>6465</v>
      </c>
      <c r="R42" s="54"/>
    </row>
    <row r="43" spans="1:18" ht="89.25">
      <c r="A43" s="6" t="s">
        <v>795</v>
      </c>
      <c r="B43" s="6" t="s">
        <v>61</v>
      </c>
      <c r="C43" s="6" t="s">
        <v>652</v>
      </c>
      <c r="D43" s="158"/>
      <c r="E43" s="6" t="s">
        <v>796</v>
      </c>
      <c r="F43" s="6" t="s">
        <v>520</v>
      </c>
      <c r="G43" s="8">
        <v>349930</v>
      </c>
      <c r="H43" s="6" t="s">
        <v>2430</v>
      </c>
      <c r="I43" s="6" t="s">
        <v>1879</v>
      </c>
      <c r="J43" s="6" t="s">
        <v>6309</v>
      </c>
      <c r="K43" s="22" t="s">
        <v>2431</v>
      </c>
      <c r="L43" s="6" t="s">
        <v>1874</v>
      </c>
      <c r="M43" s="6"/>
      <c r="N43" s="6" t="s">
        <v>6132</v>
      </c>
      <c r="O43" s="6"/>
      <c r="P43" s="468" t="s">
        <v>6466</v>
      </c>
      <c r="Q43" s="6" t="s">
        <v>6092</v>
      </c>
      <c r="R43" s="54"/>
    </row>
    <row r="44" spans="1:18" ht="89.25">
      <c r="A44" s="6" t="s">
        <v>797</v>
      </c>
      <c r="B44" s="6" t="s">
        <v>61</v>
      </c>
      <c r="C44" s="6" t="s">
        <v>652</v>
      </c>
      <c r="D44" s="158"/>
      <c r="E44" s="6" t="s">
        <v>798</v>
      </c>
      <c r="F44" s="6" t="s">
        <v>799</v>
      </c>
      <c r="G44" s="8">
        <v>350000</v>
      </c>
      <c r="H44" s="6" t="s">
        <v>2432</v>
      </c>
      <c r="I44" s="6" t="s">
        <v>5712</v>
      </c>
      <c r="J44" s="6" t="s">
        <v>2144</v>
      </c>
      <c r="K44" s="22" t="s">
        <v>2433</v>
      </c>
      <c r="L44" s="6" t="s">
        <v>1874</v>
      </c>
      <c r="M44" s="6"/>
      <c r="N44" s="6" t="s">
        <v>6132</v>
      </c>
      <c r="O44" s="6"/>
      <c r="P44" s="468" t="s">
        <v>6467</v>
      </c>
      <c r="Q44" s="6" t="s">
        <v>6092</v>
      </c>
      <c r="R44" s="54"/>
    </row>
    <row r="45" spans="1:18" ht="102">
      <c r="A45" s="6" t="s">
        <v>1189</v>
      </c>
      <c r="B45" s="6" t="s">
        <v>61</v>
      </c>
      <c r="C45" s="6" t="s">
        <v>1141</v>
      </c>
      <c r="D45" s="158"/>
      <c r="E45" s="6" t="s">
        <v>1190</v>
      </c>
      <c r="F45" s="6" t="s">
        <v>1139</v>
      </c>
      <c r="G45" s="8">
        <v>87475</v>
      </c>
      <c r="H45" s="6" t="s">
        <v>2434</v>
      </c>
      <c r="I45" s="6" t="s">
        <v>6370</v>
      </c>
      <c r="J45" s="6" t="s">
        <v>6373</v>
      </c>
      <c r="K45" s="22" t="s">
        <v>2435</v>
      </c>
      <c r="L45" s="6" t="s">
        <v>1904</v>
      </c>
      <c r="M45" s="6"/>
      <c r="N45" s="475" t="s">
        <v>1808</v>
      </c>
      <c r="O45" s="6"/>
      <c r="P45" s="468" t="s">
        <v>6468</v>
      </c>
      <c r="Q45" s="6" t="s">
        <v>6137</v>
      </c>
      <c r="R45" s="54"/>
    </row>
    <row r="46" spans="1:18" ht="38.25">
      <c r="A46" s="6" t="s">
        <v>1191</v>
      </c>
      <c r="B46" s="6" t="s">
        <v>61</v>
      </c>
      <c r="C46" s="6" t="s">
        <v>1141</v>
      </c>
      <c r="D46" s="158"/>
      <c r="E46" s="6" t="s">
        <v>1192</v>
      </c>
      <c r="F46" s="6" t="s">
        <v>1139</v>
      </c>
      <c r="G46" s="8">
        <v>122475</v>
      </c>
      <c r="H46" s="6" t="s">
        <v>2434</v>
      </c>
      <c r="I46" s="6" t="s">
        <v>6370</v>
      </c>
      <c r="J46" s="6" t="s">
        <v>6373</v>
      </c>
      <c r="K46" s="22"/>
      <c r="L46" s="6" t="s">
        <v>1904</v>
      </c>
      <c r="M46" s="6"/>
      <c r="N46" s="475" t="s">
        <v>1808</v>
      </c>
      <c r="O46" s="6"/>
      <c r="P46" s="479"/>
      <c r="Q46" s="6" t="s">
        <v>6469</v>
      </c>
      <c r="R46" s="54"/>
    </row>
    <row r="47" spans="1:18" ht="89.25">
      <c r="A47" s="6" t="s">
        <v>1193</v>
      </c>
      <c r="B47" s="6" t="s">
        <v>61</v>
      </c>
      <c r="C47" s="6" t="s">
        <v>1141</v>
      </c>
      <c r="D47" s="158"/>
      <c r="E47" s="6" t="s">
        <v>1194</v>
      </c>
      <c r="F47" s="6" t="s">
        <v>1139</v>
      </c>
      <c r="G47" s="8">
        <v>156860</v>
      </c>
      <c r="H47" s="6" t="s">
        <v>2434</v>
      </c>
      <c r="I47" s="6" t="s">
        <v>6370</v>
      </c>
      <c r="J47" s="6" t="s">
        <v>6373</v>
      </c>
      <c r="K47" s="22" t="s">
        <v>2436</v>
      </c>
      <c r="L47" s="6" t="s">
        <v>1904</v>
      </c>
      <c r="M47" s="6"/>
      <c r="N47" s="475" t="s">
        <v>1808</v>
      </c>
      <c r="O47" s="6"/>
      <c r="P47" s="468" t="s">
        <v>6470</v>
      </c>
      <c r="Q47" s="6" t="s">
        <v>6469</v>
      </c>
      <c r="R47" s="54"/>
    </row>
    <row r="48" spans="1:18" ht="89.25">
      <c r="A48" s="6" t="s">
        <v>1195</v>
      </c>
      <c r="B48" s="6" t="s">
        <v>61</v>
      </c>
      <c r="C48" s="6" t="s">
        <v>1141</v>
      </c>
      <c r="D48" s="158"/>
      <c r="E48" s="6" t="s">
        <v>1196</v>
      </c>
      <c r="F48" s="6" t="s">
        <v>1139</v>
      </c>
      <c r="G48" s="8">
        <v>119440</v>
      </c>
      <c r="H48" s="6" t="s">
        <v>2434</v>
      </c>
      <c r="I48" s="6" t="s">
        <v>6370</v>
      </c>
      <c r="J48" s="6" t="s">
        <v>6373</v>
      </c>
      <c r="K48" s="22" t="s">
        <v>2437</v>
      </c>
      <c r="L48" s="6" t="s">
        <v>1904</v>
      </c>
      <c r="M48" s="6"/>
      <c r="N48" s="475" t="s">
        <v>1808</v>
      </c>
      <c r="O48" s="6"/>
      <c r="P48" s="479"/>
      <c r="Q48" s="6" t="s">
        <v>6137</v>
      </c>
      <c r="R48" s="54"/>
    </row>
    <row r="49" spans="1:18" ht="89.25">
      <c r="A49" s="6" t="s">
        <v>1197</v>
      </c>
      <c r="B49" s="6" t="s">
        <v>61</v>
      </c>
      <c r="C49" s="6" t="s">
        <v>1141</v>
      </c>
      <c r="D49" s="158"/>
      <c r="E49" s="6" t="s">
        <v>1198</v>
      </c>
      <c r="F49" s="6" t="s">
        <v>1139</v>
      </c>
      <c r="G49" s="8">
        <v>153850</v>
      </c>
      <c r="H49" s="6" t="s">
        <v>2434</v>
      </c>
      <c r="I49" s="6" t="s">
        <v>6370</v>
      </c>
      <c r="J49" s="6" t="s">
        <v>6373</v>
      </c>
      <c r="K49" s="22" t="s">
        <v>2438</v>
      </c>
      <c r="L49" s="6" t="s">
        <v>1904</v>
      </c>
      <c r="M49" s="6"/>
      <c r="N49" s="475" t="s">
        <v>1808</v>
      </c>
      <c r="O49" s="6"/>
      <c r="P49" s="6"/>
      <c r="Q49" s="6" t="s">
        <v>6137</v>
      </c>
      <c r="R49" s="54"/>
    </row>
    <row r="50" spans="1:18" ht="12.75">
      <c r="A50" s="6"/>
      <c r="B50" s="6"/>
      <c r="C50" s="6"/>
      <c r="D50" s="158"/>
      <c r="E50" s="6"/>
      <c r="F50" s="6"/>
      <c r="G50" s="6"/>
      <c r="H50" s="6"/>
      <c r="I50" s="6"/>
      <c r="J50" s="6"/>
      <c r="K50" s="22"/>
      <c r="L50" s="6"/>
      <c r="M50" s="6"/>
      <c r="N50" s="6"/>
      <c r="O50" s="6"/>
      <c r="P50" s="6"/>
      <c r="Q50" s="6"/>
      <c r="R50" s="54"/>
    </row>
    <row r="51" spans="1:18" ht="12.75">
      <c r="A51" s="6"/>
      <c r="B51" s="6"/>
      <c r="C51" s="6"/>
      <c r="D51" s="158"/>
      <c r="E51" s="6"/>
      <c r="F51" s="6"/>
      <c r="G51" s="6"/>
      <c r="H51" s="6"/>
      <c r="I51" s="6"/>
      <c r="J51" s="6"/>
      <c r="K51" s="22"/>
      <c r="L51" s="6"/>
      <c r="M51" s="6"/>
      <c r="N51" s="6"/>
      <c r="O51" s="6"/>
      <c r="P51" s="6"/>
      <c r="Q51" s="6"/>
      <c r="R51" s="54"/>
    </row>
    <row r="52" spans="1:18" ht="12.75">
      <c r="A52" s="6"/>
      <c r="B52" s="6"/>
      <c r="C52" s="6"/>
      <c r="D52" s="158"/>
      <c r="E52" s="6"/>
      <c r="F52" s="6"/>
      <c r="G52" s="6"/>
      <c r="H52" s="6"/>
      <c r="I52" s="6"/>
      <c r="J52" s="6"/>
      <c r="K52" s="22"/>
      <c r="L52" s="6"/>
      <c r="M52" s="6"/>
      <c r="N52" s="6"/>
      <c r="O52" s="6"/>
      <c r="P52" s="6"/>
      <c r="Q52" s="6"/>
      <c r="R52" s="54"/>
    </row>
    <row r="53" spans="1:18" ht="12.75">
      <c r="A53" s="6"/>
      <c r="B53" s="6"/>
      <c r="C53" s="6"/>
      <c r="D53" s="158"/>
      <c r="E53" s="6"/>
      <c r="F53" s="6"/>
      <c r="G53" s="6"/>
      <c r="H53" s="6"/>
      <c r="I53" s="6"/>
      <c r="J53" s="6"/>
      <c r="K53" s="22"/>
      <c r="L53" s="6"/>
      <c r="M53" s="6"/>
      <c r="N53" s="6"/>
      <c r="O53" s="6"/>
      <c r="P53" s="6"/>
      <c r="Q53" s="6"/>
      <c r="R53" s="54"/>
    </row>
    <row r="54" spans="1:18" ht="12.75">
      <c r="A54" s="6"/>
      <c r="B54" s="6"/>
      <c r="C54" s="6"/>
      <c r="D54" s="158"/>
      <c r="E54" s="6"/>
      <c r="F54" s="6"/>
      <c r="G54" s="6"/>
      <c r="H54" s="6"/>
      <c r="I54" s="6"/>
      <c r="J54" s="6"/>
      <c r="K54" s="22"/>
      <c r="L54" s="6"/>
      <c r="M54" s="6"/>
      <c r="N54" s="6"/>
      <c r="O54" s="6"/>
      <c r="P54" s="6"/>
      <c r="Q54" s="6"/>
      <c r="R54" s="54"/>
    </row>
    <row r="55" spans="1:18" ht="12.75">
      <c r="A55" s="6"/>
      <c r="B55" s="6"/>
      <c r="C55" s="6"/>
      <c r="D55" s="158"/>
      <c r="E55" s="6"/>
      <c r="F55" s="6"/>
      <c r="G55" s="6"/>
      <c r="H55" s="6"/>
      <c r="I55" s="6"/>
      <c r="J55" s="6"/>
      <c r="K55" s="22"/>
      <c r="L55" s="6"/>
      <c r="M55" s="6"/>
      <c r="N55" s="6"/>
      <c r="O55" s="6"/>
      <c r="P55" s="6"/>
      <c r="Q55" s="6"/>
      <c r="R55" s="54"/>
    </row>
    <row r="56" spans="1:18" ht="12.75">
      <c r="A56" s="6"/>
      <c r="B56" s="6"/>
      <c r="C56" s="6"/>
      <c r="D56" s="158"/>
      <c r="E56" s="6"/>
      <c r="F56" s="6"/>
      <c r="G56" s="6"/>
      <c r="H56" s="6"/>
      <c r="I56" s="6"/>
      <c r="J56" s="6"/>
      <c r="K56" s="22"/>
      <c r="L56" s="6"/>
      <c r="M56" s="6"/>
      <c r="N56" s="6"/>
      <c r="O56" s="6"/>
      <c r="P56" s="6"/>
      <c r="Q56" s="6"/>
      <c r="R56" s="54"/>
    </row>
    <row r="57" spans="1:18" ht="12.75">
      <c r="A57" s="6"/>
      <c r="B57" s="6"/>
      <c r="C57" s="6"/>
      <c r="D57" s="158"/>
      <c r="E57" s="6"/>
      <c r="F57" s="6"/>
      <c r="G57" s="6"/>
      <c r="H57" s="6"/>
      <c r="I57" s="6"/>
      <c r="J57" s="6"/>
      <c r="K57" s="22"/>
      <c r="L57" s="6"/>
      <c r="M57" s="6"/>
      <c r="N57" s="6"/>
      <c r="O57" s="6"/>
      <c r="P57" s="6"/>
      <c r="Q57" s="6"/>
      <c r="R57" s="54"/>
    </row>
    <row r="58" spans="1:18" ht="12.75">
      <c r="A58" s="6"/>
      <c r="B58" s="6"/>
      <c r="C58" s="6"/>
      <c r="D58" s="158"/>
      <c r="E58" s="6"/>
      <c r="F58" s="6"/>
      <c r="G58" s="6"/>
      <c r="H58" s="6"/>
      <c r="I58" s="6"/>
      <c r="J58" s="6"/>
      <c r="K58" s="22"/>
      <c r="L58" s="6"/>
      <c r="M58" s="6"/>
      <c r="N58" s="6"/>
      <c r="O58" s="6"/>
      <c r="P58" s="6"/>
      <c r="Q58" s="6"/>
      <c r="R58" s="54"/>
    </row>
    <row r="59" spans="1:18" ht="12.75">
      <c r="A59" s="6"/>
      <c r="B59" s="6"/>
      <c r="C59" s="6"/>
      <c r="D59" s="158"/>
      <c r="E59" s="6"/>
      <c r="F59" s="6"/>
      <c r="G59" s="6"/>
      <c r="H59" s="6"/>
      <c r="I59" s="6"/>
      <c r="J59" s="6"/>
      <c r="K59" s="22"/>
      <c r="L59" s="6"/>
      <c r="M59" s="6"/>
      <c r="N59" s="6"/>
      <c r="O59" s="6"/>
      <c r="P59" s="6"/>
      <c r="Q59" s="6"/>
      <c r="R59" s="54"/>
    </row>
    <row r="60" spans="1:18" ht="12.75">
      <c r="A60" s="6"/>
      <c r="B60" s="6"/>
      <c r="C60" s="6"/>
      <c r="D60" s="158"/>
      <c r="E60" s="6"/>
      <c r="F60" s="6"/>
      <c r="G60" s="6"/>
      <c r="H60" s="6"/>
      <c r="I60" s="6"/>
      <c r="J60" s="6"/>
      <c r="K60" s="22"/>
      <c r="L60" s="6"/>
      <c r="M60" s="6"/>
      <c r="N60" s="6"/>
      <c r="O60" s="6"/>
      <c r="P60" s="6"/>
      <c r="Q60" s="6"/>
      <c r="R60" s="54"/>
    </row>
    <row r="61" spans="1:18" ht="12.75">
      <c r="A61" s="6"/>
      <c r="B61" s="6"/>
      <c r="C61" s="6"/>
      <c r="D61" s="158"/>
      <c r="E61" s="6"/>
      <c r="F61" s="6"/>
      <c r="G61" s="6"/>
      <c r="H61" s="6"/>
      <c r="I61" s="6"/>
      <c r="J61" s="6"/>
      <c r="K61" s="22"/>
      <c r="L61" s="6"/>
      <c r="M61" s="6"/>
      <c r="N61" s="6"/>
      <c r="O61" s="6"/>
      <c r="P61" s="6"/>
      <c r="Q61" s="6"/>
      <c r="R61" s="54"/>
    </row>
    <row r="62" spans="1:18" ht="12.75">
      <c r="A62" s="6"/>
      <c r="B62" s="6"/>
      <c r="C62" s="6"/>
      <c r="D62" s="158"/>
      <c r="E62" s="6"/>
      <c r="F62" s="6"/>
      <c r="G62" s="6"/>
      <c r="H62" s="6"/>
      <c r="I62" s="6"/>
      <c r="J62" s="6"/>
      <c r="K62" s="22"/>
      <c r="L62" s="6"/>
      <c r="M62" s="6"/>
      <c r="N62" s="6"/>
      <c r="O62" s="6"/>
      <c r="P62" s="6"/>
      <c r="Q62" s="6"/>
      <c r="R62" s="54"/>
    </row>
    <row r="63" spans="1:18" ht="12.75">
      <c r="A63" s="6"/>
      <c r="B63" s="6"/>
      <c r="C63" s="6"/>
      <c r="D63" s="158"/>
      <c r="E63" s="6"/>
      <c r="F63" s="6"/>
      <c r="G63" s="6"/>
      <c r="H63" s="6"/>
      <c r="I63" s="6"/>
      <c r="J63" s="6"/>
      <c r="K63" s="22"/>
      <c r="L63" s="6"/>
      <c r="M63" s="6"/>
      <c r="N63" s="6"/>
      <c r="O63" s="6"/>
      <c r="P63" s="6"/>
      <c r="Q63" s="6"/>
      <c r="R63" s="54"/>
    </row>
    <row r="64" spans="1:18" ht="12.75">
      <c r="A64" s="6"/>
      <c r="B64" s="6"/>
      <c r="C64" s="6"/>
      <c r="D64" s="6"/>
      <c r="E64" s="6"/>
      <c r="F64" s="6"/>
      <c r="G64" s="6"/>
      <c r="H64" s="6"/>
      <c r="I64" s="6"/>
      <c r="J64" s="6"/>
      <c r="K64" s="22"/>
      <c r="L64" s="6"/>
      <c r="M64" s="6"/>
      <c r="N64" s="6"/>
      <c r="O64" s="6"/>
      <c r="P64" s="6"/>
      <c r="Q64" s="6"/>
      <c r="R64" s="54"/>
    </row>
    <row r="65" spans="1:18" ht="12.75">
      <c r="A65" s="6"/>
      <c r="B65" s="6"/>
      <c r="C65" s="6"/>
      <c r="D65" s="158"/>
      <c r="E65" s="6"/>
      <c r="F65" s="6"/>
      <c r="G65" s="6"/>
      <c r="H65" s="6"/>
      <c r="I65" s="6"/>
      <c r="J65" s="6"/>
      <c r="K65" s="22"/>
      <c r="L65" s="6"/>
      <c r="M65" s="6"/>
      <c r="N65" s="6"/>
      <c r="O65" s="6"/>
      <c r="P65" s="6"/>
      <c r="Q65" s="6"/>
      <c r="R65" s="54"/>
    </row>
    <row r="66" spans="1:18" ht="12.75">
      <c r="A66" s="6"/>
      <c r="B66" s="6"/>
      <c r="C66" s="6"/>
      <c r="D66" s="158"/>
      <c r="E66" s="6"/>
      <c r="F66" s="6"/>
      <c r="G66" s="6"/>
      <c r="H66" s="6"/>
      <c r="I66" s="6"/>
      <c r="J66" s="6"/>
      <c r="K66" s="22"/>
      <c r="L66" s="6"/>
      <c r="M66" s="6"/>
      <c r="N66" s="6"/>
      <c r="O66" s="6"/>
      <c r="P66" s="6"/>
      <c r="Q66" s="6"/>
      <c r="R66" s="54"/>
    </row>
    <row r="67" spans="1:18" ht="12.75">
      <c r="A67" s="6"/>
      <c r="B67" s="6"/>
      <c r="C67" s="6"/>
      <c r="D67" s="158"/>
      <c r="E67" s="6"/>
      <c r="F67" s="6"/>
      <c r="G67" s="6"/>
      <c r="H67" s="6"/>
      <c r="I67" s="6"/>
      <c r="J67" s="6"/>
      <c r="K67" s="22"/>
      <c r="L67" s="6"/>
      <c r="M67" s="6"/>
      <c r="N67" s="6"/>
      <c r="O67" s="6"/>
      <c r="P67" s="6"/>
      <c r="Q67" s="6"/>
      <c r="R67" s="54"/>
    </row>
    <row r="68" spans="1:18" ht="12.75">
      <c r="A68" s="6"/>
      <c r="B68" s="6"/>
      <c r="C68" s="6"/>
      <c r="D68" s="158"/>
      <c r="E68" s="6"/>
      <c r="F68" s="6"/>
      <c r="G68" s="6"/>
      <c r="H68" s="6"/>
      <c r="I68" s="6"/>
      <c r="J68" s="6"/>
      <c r="K68" s="22"/>
      <c r="L68" s="6"/>
      <c r="M68" s="6"/>
      <c r="N68" s="6"/>
      <c r="O68" s="6"/>
      <c r="P68" s="6"/>
      <c r="Q68" s="6"/>
      <c r="R68" s="54"/>
    </row>
    <row r="69" spans="1:18" ht="12.75">
      <c r="A69" s="6"/>
      <c r="B69" s="6"/>
      <c r="C69" s="6"/>
      <c r="D69" s="158"/>
      <c r="E69" s="6"/>
      <c r="F69" s="6"/>
      <c r="G69" s="6"/>
      <c r="H69" s="6"/>
      <c r="I69" s="6"/>
      <c r="J69" s="6"/>
      <c r="K69" s="22"/>
      <c r="L69" s="6"/>
      <c r="M69" s="6"/>
      <c r="N69" s="6"/>
      <c r="O69" s="6"/>
      <c r="P69" s="6"/>
      <c r="Q69" s="6"/>
      <c r="R69" s="54"/>
    </row>
    <row r="70" spans="1:18" ht="12.75">
      <c r="A70" s="6"/>
      <c r="B70" s="6"/>
      <c r="C70" s="6"/>
      <c r="D70" s="158"/>
      <c r="E70" s="6"/>
      <c r="F70" s="6"/>
      <c r="G70" s="6"/>
      <c r="H70" s="6"/>
      <c r="I70" s="6"/>
      <c r="J70" s="6"/>
      <c r="K70" s="22"/>
      <c r="L70" s="6"/>
      <c r="M70" s="6"/>
      <c r="N70" s="6"/>
      <c r="O70" s="6"/>
      <c r="P70" s="6"/>
      <c r="Q70" s="6"/>
      <c r="R70" s="54"/>
    </row>
    <row r="71" spans="1:18" ht="12.75">
      <c r="A71" s="6"/>
      <c r="B71" s="6"/>
      <c r="C71" s="6"/>
      <c r="D71" s="158"/>
      <c r="E71" s="6"/>
      <c r="F71" s="6"/>
      <c r="G71" s="6"/>
      <c r="H71" s="6"/>
      <c r="I71" s="6"/>
      <c r="J71" s="6"/>
      <c r="K71" s="22"/>
      <c r="L71" s="6"/>
      <c r="M71" s="6"/>
      <c r="N71" s="6"/>
      <c r="O71" s="6"/>
      <c r="P71" s="6"/>
      <c r="Q71" s="6"/>
      <c r="R71" s="54"/>
    </row>
    <row r="72" spans="1:18" ht="12.75">
      <c r="A72" s="6"/>
      <c r="B72" s="6"/>
      <c r="C72" s="6"/>
      <c r="D72" s="6"/>
      <c r="E72" s="6"/>
      <c r="F72" s="6"/>
      <c r="G72" s="6"/>
      <c r="H72" s="6"/>
      <c r="I72" s="6"/>
      <c r="J72" s="6"/>
      <c r="K72" s="22"/>
      <c r="L72" s="6"/>
      <c r="M72" s="6"/>
      <c r="N72" s="6"/>
      <c r="O72" s="6"/>
      <c r="P72" s="6"/>
      <c r="Q72" s="6"/>
      <c r="R72" s="54"/>
    </row>
    <row r="73" spans="1:18" ht="12.75">
      <c r="A73" s="6"/>
      <c r="B73" s="6"/>
      <c r="C73" s="6"/>
      <c r="D73" s="6"/>
      <c r="E73" s="6"/>
      <c r="F73" s="6"/>
      <c r="G73" s="6"/>
      <c r="H73" s="6"/>
      <c r="I73" s="6"/>
      <c r="J73" s="6"/>
      <c r="K73" s="22"/>
      <c r="L73" s="6"/>
      <c r="M73" s="6"/>
      <c r="N73" s="6"/>
      <c r="O73" s="6"/>
      <c r="P73" s="6"/>
      <c r="Q73" s="6"/>
      <c r="R73" s="54"/>
    </row>
    <row r="74" spans="1:18" ht="12.75">
      <c r="A74" s="6"/>
      <c r="B74" s="6"/>
      <c r="C74" s="6"/>
      <c r="D74" s="6"/>
      <c r="E74" s="6"/>
      <c r="F74" s="6"/>
      <c r="G74" s="6"/>
      <c r="H74" s="6"/>
      <c r="I74" s="6"/>
      <c r="J74" s="6"/>
      <c r="K74" s="22"/>
      <c r="L74" s="6"/>
      <c r="M74" s="6"/>
      <c r="N74" s="6"/>
      <c r="O74" s="6"/>
      <c r="P74" s="6"/>
      <c r="Q74" s="6"/>
      <c r="R74" s="54"/>
    </row>
    <row r="75" spans="1:18" ht="12.75">
      <c r="A75" s="6"/>
      <c r="B75" s="6"/>
      <c r="C75" s="6"/>
      <c r="D75" s="6"/>
      <c r="E75" s="6"/>
      <c r="F75" s="6"/>
      <c r="G75" s="6"/>
      <c r="H75" s="6"/>
      <c r="I75" s="6"/>
      <c r="J75" s="6"/>
      <c r="K75" s="22"/>
      <c r="L75" s="6"/>
      <c r="M75" s="6"/>
      <c r="N75" s="6"/>
      <c r="O75" s="6"/>
      <c r="P75" s="6"/>
      <c r="Q75" s="6"/>
      <c r="R75" s="54"/>
    </row>
    <row r="76" spans="1:18" ht="12.75">
      <c r="A76" s="6"/>
      <c r="B76" s="6"/>
      <c r="C76" s="6"/>
      <c r="D76" s="6"/>
      <c r="E76" s="6"/>
      <c r="F76" s="6"/>
      <c r="G76" s="6"/>
      <c r="H76" s="6"/>
      <c r="I76" s="6"/>
      <c r="J76" s="6"/>
      <c r="K76" s="22"/>
      <c r="L76" s="6"/>
      <c r="M76" s="6"/>
      <c r="N76" s="6"/>
      <c r="O76" s="6"/>
      <c r="P76" s="6"/>
      <c r="Q76" s="6"/>
      <c r="R76" s="54"/>
    </row>
    <row r="77" spans="1:18" ht="12.75">
      <c r="A77" s="6"/>
      <c r="B77" s="6"/>
      <c r="C77" s="6"/>
      <c r="D77" s="6"/>
      <c r="E77" s="6"/>
      <c r="F77" s="6"/>
      <c r="G77" s="6"/>
      <c r="H77" s="6"/>
      <c r="I77" s="6"/>
      <c r="J77" s="6"/>
      <c r="K77" s="22"/>
      <c r="L77" s="6"/>
      <c r="M77" s="6"/>
      <c r="N77" s="6"/>
      <c r="O77" s="6"/>
      <c r="P77" s="6"/>
      <c r="Q77" s="6"/>
      <c r="R77" s="54"/>
    </row>
    <row r="78" spans="1:18" ht="12.75">
      <c r="A78" s="6"/>
      <c r="B78" s="6"/>
      <c r="C78" s="6"/>
      <c r="D78" s="6"/>
      <c r="E78" s="6"/>
      <c r="F78" s="6"/>
      <c r="G78" s="6"/>
      <c r="H78" s="6"/>
      <c r="I78" s="6"/>
      <c r="J78" s="6"/>
      <c r="K78" s="22"/>
      <c r="L78" s="6"/>
      <c r="M78" s="6"/>
      <c r="N78" s="6"/>
      <c r="O78" s="6"/>
      <c r="P78" s="6"/>
      <c r="Q78" s="6"/>
      <c r="R78" s="54"/>
    </row>
    <row r="79" spans="1:18" ht="12.75">
      <c r="A79" s="6"/>
      <c r="B79" s="6"/>
      <c r="C79" s="6"/>
      <c r="D79" s="6"/>
      <c r="E79" s="6"/>
      <c r="F79" s="6"/>
      <c r="G79" s="6"/>
      <c r="H79" s="6"/>
      <c r="I79" s="6"/>
      <c r="J79" s="6"/>
      <c r="K79" s="22"/>
      <c r="L79" s="6"/>
      <c r="M79" s="6"/>
      <c r="N79" s="6"/>
      <c r="O79" s="6"/>
      <c r="P79" s="6"/>
      <c r="Q79" s="6"/>
      <c r="R79" s="54"/>
    </row>
    <row r="80" spans="1:18" ht="12.75">
      <c r="A80" s="6"/>
      <c r="B80" s="6"/>
      <c r="C80" s="6"/>
      <c r="D80" s="6"/>
      <c r="E80" s="6"/>
      <c r="F80" s="6"/>
      <c r="G80" s="6"/>
      <c r="H80" s="6"/>
      <c r="I80" s="6"/>
      <c r="J80" s="6"/>
      <c r="K80" s="22"/>
      <c r="L80" s="6"/>
      <c r="M80" s="6"/>
      <c r="N80" s="6"/>
      <c r="O80" s="6"/>
      <c r="P80" s="6"/>
      <c r="Q80" s="6"/>
      <c r="R80" s="54"/>
    </row>
    <row r="81" spans="1:18" ht="12.75">
      <c r="A81" s="6"/>
      <c r="B81" s="6"/>
      <c r="C81" s="6"/>
      <c r="D81" s="6"/>
      <c r="E81" s="6"/>
      <c r="F81" s="6"/>
      <c r="G81" s="6"/>
      <c r="H81" s="6"/>
      <c r="I81" s="6"/>
      <c r="J81" s="6"/>
      <c r="K81" s="22"/>
      <c r="L81" s="6"/>
      <c r="M81" s="6"/>
      <c r="N81" s="6"/>
      <c r="O81" s="6"/>
      <c r="P81" s="6"/>
      <c r="Q81" s="6"/>
      <c r="R81" s="54"/>
    </row>
    <row r="82" spans="1:18" ht="12.75">
      <c r="A82" s="6"/>
      <c r="B82" s="6"/>
      <c r="C82" s="6"/>
      <c r="D82" s="6"/>
      <c r="E82" s="6"/>
      <c r="F82" s="6"/>
      <c r="G82" s="6"/>
      <c r="H82" s="6"/>
      <c r="I82" s="6"/>
      <c r="J82" s="6"/>
      <c r="K82" s="22"/>
      <c r="L82" s="6"/>
      <c r="M82" s="6"/>
      <c r="N82" s="6"/>
      <c r="O82" s="6"/>
      <c r="P82" s="6"/>
      <c r="Q82" s="6"/>
      <c r="R82" s="54"/>
    </row>
    <row r="83" spans="1:18" ht="12.75">
      <c r="A83" s="6"/>
      <c r="B83" s="6"/>
      <c r="C83" s="6"/>
      <c r="D83" s="6"/>
      <c r="E83" s="6"/>
      <c r="F83" s="6"/>
      <c r="G83" s="6"/>
      <c r="H83" s="6"/>
      <c r="I83" s="6"/>
      <c r="J83" s="6"/>
      <c r="K83" s="22"/>
      <c r="L83" s="6"/>
      <c r="M83" s="6"/>
      <c r="N83" s="6"/>
      <c r="O83" s="6"/>
      <c r="P83" s="6"/>
      <c r="Q83" s="6"/>
      <c r="R83" s="54"/>
    </row>
    <row r="84" spans="1:18" ht="12.75">
      <c r="A84" s="6"/>
      <c r="B84" s="6"/>
      <c r="C84" s="6"/>
      <c r="D84" s="6"/>
      <c r="E84" s="6"/>
      <c r="F84" s="6"/>
      <c r="G84" s="6"/>
      <c r="H84" s="6"/>
      <c r="I84" s="6"/>
      <c r="J84" s="6"/>
      <c r="K84" s="22"/>
      <c r="L84" s="6"/>
      <c r="M84" s="6"/>
      <c r="N84" s="6"/>
      <c r="O84" s="6"/>
      <c r="P84" s="6"/>
      <c r="Q84" s="6"/>
      <c r="R84" s="54"/>
    </row>
    <row r="85" spans="1:18" ht="12.75">
      <c r="A85" s="6"/>
      <c r="B85" s="6"/>
      <c r="C85" s="6"/>
      <c r="D85" s="6"/>
      <c r="E85" s="6"/>
      <c r="F85" s="6"/>
      <c r="G85" s="6"/>
      <c r="H85" s="6"/>
      <c r="I85" s="6"/>
      <c r="J85" s="6"/>
      <c r="K85" s="22"/>
      <c r="L85" s="6"/>
      <c r="M85" s="6"/>
      <c r="N85" s="6"/>
      <c r="O85" s="6"/>
      <c r="P85" s="6"/>
      <c r="Q85" s="6"/>
      <c r="R85" s="54"/>
    </row>
    <row r="86" spans="1:18" ht="12.75">
      <c r="A86" s="6"/>
      <c r="B86" s="6"/>
      <c r="C86" s="6"/>
      <c r="D86" s="6"/>
      <c r="E86" s="6"/>
      <c r="F86" s="6"/>
      <c r="G86" s="6"/>
      <c r="H86" s="6"/>
      <c r="I86" s="6"/>
      <c r="J86" s="6"/>
      <c r="K86" s="22"/>
      <c r="L86" s="6"/>
      <c r="M86" s="6"/>
      <c r="N86" s="6"/>
      <c r="O86" s="6"/>
      <c r="P86" s="6"/>
      <c r="Q86" s="6"/>
      <c r="R86" s="54"/>
    </row>
    <row r="87" spans="1:18" ht="12.75">
      <c r="A87" s="6"/>
      <c r="B87" s="6"/>
      <c r="C87" s="6"/>
      <c r="D87" s="6"/>
      <c r="E87" s="6"/>
      <c r="F87" s="6"/>
      <c r="G87" s="6"/>
      <c r="H87" s="6"/>
      <c r="I87" s="6"/>
      <c r="J87" s="6"/>
      <c r="K87" s="22"/>
      <c r="L87" s="6"/>
      <c r="M87" s="6"/>
      <c r="N87" s="6"/>
      <c r="O87" s="6"/>
      <c r="P87" s="6"/>
      <c r="Q87" s="6"/>
      <c r="R87" s="54"/>
    </row>
    <row r="88" spans="1:18" ht="12.75">
      <c r="A88" s="6"/>
      <c r="B88" s="6"/>
      <c r="C88" s="6"/>
      <c r="D88" s="6"/>
      <c r="E88" s="6"/>
      <c r="F88" s="6"/>
      <c r="G88" s="6"/>
      <c r="H88" s="6"/>
      <c r="I88" s="6"/>
      <c r="J88" s="6"/>
      <c r="K88" s="22"/>
      <c r="L88" s="6"/>
      <c r="M88" s="6"/>
      <c r="N88" s="6"/>
      <c r="O88" s="6"/>
      <c r="P88" s="6"/>
      <c r="Q88" s="6"/>
      <c r="R88" s="54"/>
    </row>
    <row r="89" spans="1:18" ht="12.75">
      <c r="A89" s="6"/>
      <c r="B89" s="6"/>
      <c r="C89" s="6"/>
      <c r="D89" s="6"/>
      <c r="E89" s="6"/>
      <c r="F89" s="6"/>
      <c r="G89" s="6"/>
      <c r="H89" s="6"/>
      <c r="I89" s="6"/>
      <c r="J89" s="6"/>
      <c r="K89" s="22"/>
      <c r="L89" s="6"/>
      <c r="M89" s="6"/>
      <c r="N89" s="6"/>
      <c r="O89" s="6"/>
      <c r="P89" s="6"/>
      <c r="Q89" s="6"/>
      <c r="R89" s="54"/>
    </row>
    <row r="90" spans="1:18" ht="12.75">
      <c r="A90" s="6"/>
      <c r="B90" s="6"/>
      <c r="C90" s="6"/>
      <c r="D90" s="6"/>
      <c r="E90" s="6"/>
      <c r="F90" s="6"/>
      <c r="G90" s="6"/>
      <c r="H90" s="6"/>
      <c r="I90" s="6"/>
      <c r="J90" s="6"/>
      <c r="K90" s="22"/>
      <c r="L90" s="6"/>
      <c r="M90" s="6"/>
      <c r="N90" s="6"/>
      <c r="O90" s="6"/>
      <c r="P90" s="6"/>
      <c r="Q90" s="6"/>
      <c r="R90" s="54"/>
    </row>
    <row r="91" spans="1:18" ht="12.75">
      <c r="A91" s="6"/>
      <c r="B91" s="6"/>
      <c r="C91" s="6"/>
      <c r="D91" s="6"/>
      <c r="E91" s="6"/>
      <c r="F91" s="6"/>
      <c r="G91" s="6"/>
      <c r="H91" s="6"/>
      <c r="I91" s="6"/>
      <c r="J91" s="6"/>
      <c r="K91" s="22"/>
      <c r="L91" s="6"/>
      <c r="M91" s="6"/>
      <c r="N91" s="6"/>
      <c r="O91" s="6"/>
      <c r="P91" s="6"/>
      <c r="Q91" s="6"/>
      <c r="R91" s="54"/>
    </row>
    <row r="92" spans="1:18" ht="12.75">
      <c r="A92" s="6"/>
      <c r="B92" s="6"/>
      <c r="C92" s="6"/>
      <c r="D92" s="6"/>
      <c r="E92" s="6"/>
      <c r="F92" s="6"/>
      <c r="G92" s="6"/>
      <c r="H92" s="6"/>
      <c r="I92" s="6"/>
      <c r="J92" s="6"/>
      <c r="K92" s="22"/>
      <c r="L92" s="6"/>
      <c r="M92" s="6"/>
      <c r="N92" s="6"/>
      <c r="O92" s="6"/>
      <c r="P92" s="6"/>
      <c r="Q92" s="6"/>
      <c r="R92" s="54"/>
    </row>
    <row r="93" spans="1:18" ht="12.75">
      <c r="A93" s="6"/>
      <c r="B93" s="6"/>
      <c r="C93" s="6"/>
      <c r="D93" s="6"/>
      <c r="E93" s="6"/>
      <c r="F93" s="6"/>
      <c r="G93" s="6"/>
      <c r="H93" s="6"/>
      <c r="I93" s="6"/>
      <c r="J93" s="6"/>
      <c r="K93" s="22"/>
      <c r="L93" s="6"/>
      <c r="M93" s="6"/>
      <c r="N93" s="6"/>
      <c r="O93" s="6"/>
      <c r="P93" s="6"/>
      <c r="Q93" s="6"/>
      <c r="R93" s="54"/>
    </row>
    <row r="94" spans="1:18" ht="12.75">
      <c r="A94" s="6"/>
      <c r="B94" s="6"/>
      <c r="C94" s="6"/>
      <c r="D94" s="6"/>
      <c r="E94" s="6"/>
      <c r="F94" s="6"/>
      <c r="G94" s="6"/>
      <c r="H94" s="6"/>
      <c r="I94" s="6"/>
      <c r="J94" s="6"/>
      <c r="K94" s="22"/>
      <c r="L94" s="6"/>
      <c r="M94" s="6"/>
      <c r="N94" s="6"/>
      <c r="O94" s="6"/>
      <c r="P94" s="6"/>
      <c r="Q94" s="6"/>
      <c r="R94" s="54"/>
    </row>
    <row r="95" spans="1:18" ht="12.75">
      <c r="A95" s="6"/>
      <c r="B95" s="6"/>
      <c r="C95" s="6"/>
      <c r="D95" s="6"/>
      <c r="E95" s="6"/>
      <c r="F95" s="6"/>
      <c r="G95" s="6"/>
      <c r="H95" s="6"/>
      <c r="I95" s="6"/>
      <c r="J95" s="6"/>
      <c r="K95" s="22"/>
      <c r="L95" s="6"/>
      <c r="M95" s="6"/>
      <c r="N95" s="6"/>
      <c r="O95" s="6"/>
      <c r="P95" s="6"/>
      <c r="Q95" s="6"/>
      <c r="R95" s="54"/>
    </row>
    <row r="96" spans="1:18" ht="12.75">
      <c r="A96" s="6"/>
      <c r="B96" s="6"/>
      <c r="C96" s="6"/>
      <c r="D96" s="6"/>
      <c r="E96" s="6"/>
      <c r="F96" s="6"/>
      <c r="G96" s="6"/>
      <c r="H96" s="6"/>
      <c r="I96" s="6"/>
      <c r="J96" s="6"/>
      <c r="K96" s="22"/>
      <c r="L96" s="6"/>
      <c r="M96" s="6"/>
      <c r="N96" s="6"/>
      <c r="O96" s="6"/>
      <c r="P96" s="6"/>
      <c r="Q96" s="6"/>
      <c r="R96" s="54"/>
    </row>
    <row r="97" spans="1:18" ht="12.75">
      <c r="A97" s="6"/>
      <c r="B97" s="6"/>
      <c r="C97" s="6"/>
      <c r="D97" s="6"/>
      <c r="E97" s="6"/>
      <c r="F97" s="6"/>
      <c r="G97" s="6"/>
      <c r="H97" s="6"/>
      <c r="I97" s="6"/>
      <c r="J97" s="6"/>
      <c r="K97" s="22"/>
      <c r="L97" s="6"/>
      <c r="M97" s="6"/>
      <c r="N97" s="6"/>
      <c r="O97" s="6"/>
      <c r="P97" s="6"/>
      <c r="Q97" s="6"/>
      <c r="R97" s="54"/>
    </row>
    <row r="98" spans="1:18" ht="12.75">
      <c r="A98" s="6"/>
      <c r="B98" s="6"/>
      <c r="C98" s="6"/>
      <c r="D98" s="6"/>
      <c r="E98" s="6"/>
      <c r="F98" s="6"/>
      <c r="G98" s="6"/>
      <c r="H98" s="6"/>
      <c r="I98" s="6"/>
      <c r="J98" s="6"/>
      <c r="K98" s="22"/>
      <c r="L98" s="6"/>
      <c r="M98" s="6"/>
      <c r="N98" s="6"/>
      <c r="O98" s="6"/>
      <c r="P98" s="6"/>
      <c r="Q98" s="6"/>
      <c r="R98" s="54"/>
    </row>
    <row r="99" spans="1:18" ht="12.75">
      <c r="A99" s="6"/>
      <c r="B99" s="6"/>
      <c r="C99" s="6"/>
      <c r="D99" s="6"/>
      <c r="E99" s="6"/>
      <c r="F99" s="6"/>
      <c r="G99" s="6"/>
      <c r="H99" s="6"/>
      <c r="I99" s="6"/>
      <c r="J99" s="6"/>
      <c r="K99" s="22"/>
      <c r="L99" s="6"/>
      <c r="M99" s="6"/>
      <c r="N99" s="6"/>
      <c r="O99" s="6"/>
      <c r="P99" s="6"/>
      <c r="Q99" s="6"/>
      <c r="R99" s="54"/>
    </row>
    <row r="100" spans="1:18" ht="12.75">
      <c r="A100" s="6"/>
      <c r="B100" s="6"/>
      <c r="C100" s="6"/>
      <c r="D100" s="6"/>
      <c r="E100" s="6"/>
      <c r="F100" s="6"/>
      <c r="G100" s="6"/>
      <c r="H100" s="6"/>
      <c r="I100" s="6"/>
      <c r="J100" s="6"/>
      <c r="K100" s="22"/>
      <c r="L100" s="6"/>
      <c r="M100" s="6"/>
      <c r="N100" s="6"/>
      <c r="O100" s="6"/>
      <c r="P100" s="6"/>
      <c r="Q100" s="6"/>
      <c r="R100" s="54"/>
    </row>
    <row r="101" spans="1:18" ht="12.75">
      <c r="A101" s="6"/>
      <c r="B101" s="6"/>
      <c r="C101" s="6"/>
      <c r="D101" s="6"/>
      <c r="E101" s="6"/>
      <c r="F101" s="6"/>
      <c r="G101" s="6"/>
      <c r="H101" s="6"/>
      <c r="I101" s="6"/>
      <c r="J101" s="6"/>
      <c r="K101" s="22"/>
      <c r="L101" s="6"/>
      <c r="M101" s="6"/>
      <c r="N101" s="6"/>
      <c r="O101" s="6"/>
      <c r="P101" s="6"/>
      <c r="Q101" s="6"/>
      <c r="R101" s="54"/>
    </row>
    <row r="102" spans="1:18" ht="12.75">
      <c r="A102" s="6"/>
      <c r="B102" s="6"/>
      <c r="C102" s="6"/>
      <c r="D102" s="6"/>
      <c r="E102" s="6"/>
      <c r="F102" s="6"/>
      <c r="G102" s="6"/>
      <c r="H102" s="6"/>
      <c r="I102" s="6"/>
      <c r="J102" s="6"/>
      <c r="K102" s="22"/>
      <c r="L102" s="6"/>
      <c r="M102" s="6"/>
      <c r="N102" s="6"/>
      <c r="O102" s="6"/>
      <c r="P102" s="6"/>
      <c r="Q102" s="6"/>
      <c r="R102" s="54"/>
    </row>
    <row r="103" spans="1:18" ht="12.75">
      <c r="A103" s="6"/>
      <c r="B103" s="6"/>
      <c r="C103" s="6"/>
      <c r="D103" s="6"/>
      <c r="E103" s="6"/>
      <c r="F103" s="6"/>
      <c r="G103" s="6"/>
      <c r="H103" s="6"/>
      <c r="I103" s="6"/>
      <c r="J103" s="6"/>
      <c r="K103" s="22"/>
      <c r="L103" s="6"/>
      <c r="M103" s="6"/>
      <c r="N103" s="6"/>
      <c r="O103" s="6"/>
      <c r="P103" s="6"/>
      <c r="Q103" s="6"/>
      <c r="R103" s="54"/>
    </row>
    <row r="104" spans="1:18" ht="12.75">
      <c r="A104" s="6"/>
      <c r="B104" s="6"/>
      <c r="C104" s="6"/>
      <c r="D104" s="6"/>
      <c r="E104" s="6"/>
      <c r="F104" s="6"/>
      <c r="G104" s="6"/>
      <c r="H104" s="6"/>
      <c r="I104" s="6"/>
      <c r="J104" s="6"/>
      <c r="K104" s="22"/>
      <c r="L104" s="6"/>
      <c r="M104" s="6"/>
      <c r="N104" s="6"/>
      <c r="O104" s="6"/>
      <c r="P104" s="6"/>
      <c r="Q104" s="6"/>
      <c r="R104" s="54"/>
    </row>
    <row r="105" spans="1:18" ht="12.75">
      <c r="A105" s="6"/>
      <c r="B105" s="6"/>
      <c r="C105" s="6"/>
      <c r="D105" s="6"/>
      <c r="E105" s="6"/>
      <c r="F105" s="6"/>
      <c r="G105" s="6"/>
      <c r="H105" s="6"/>
      <c r="I105" s="6"/>
      <c r="J105" s="6"/>
      <c r="K105" s="22"/>
      <c r="L105" s="6"/>
      <c r="M105" s="6"/>
      <c r="N105" s="6"/>
      <c r="O105" s="6"/>
      <c r="P105" s="6"/>
      <c r="Q105" s="6"/>
      <c r="R105" s="54"/>
    </row>
    <row r="106" spans="1:18" ht="12.75">
      <c r="A106" s="6"/>
      <c r="B106" s="6"/>
      <c r="C106" s="6"/>
      <c r="D106" s="6"/>
      <c r="E106" s="6"/>
      <c r="F106" s="6"/>
      <c r="G106" s="6"/>
      <c r="H106" s="6"/>
      <c r="I106" s="6"/>
      <c r="J106" s="6"/>
      <c r="K106" s="22"/>
      <c r="L106" s="6"/>
      <c r="M106" s="6"/>
      <c r="N106" s="6"/>
      <c r="O106" s="6"/>
      <c r="P106" s="6"/>
      <c r="Q106" s="6"/>
      <c r="R106" s="54"/>
    </row>
    <row r="107" spans="1:18" ht="12.75">
      <c r="A107" s="6"/>
      <c r="B107" s="6"/>
      <c r="C107" s="6"/>
      <c r="D107" s="6"/>
      <c r="E107" s="6"/>
      <c r="F107" s="6"/>
      <c r="G107" s="6"/>
      <c r="H107" s="6"/>
      <c r="I107" s="6"/>
      <c r="J107" s="6"/>
      <c r="K107" s="22"/>
      <c r="L107" s="6"/>
      <c r="M107" s="6"/>
      <c r="N107" s="6"/>
      <c r="O107" s="6"/>
      <c r="P107" s="6"/>
      <c r="Q107" s="6"/>
      <c r="R107" s="54"/>
    </row>
    <row r="108" spans="1:18" ht="12.75">
      <c r="A108" s="6"/>
      <c r="B108" s="6"/>
      <c r="C108" s="6"/>
      <c r="D108" s="6"/>
      <c r="E108" s="6"/>
      <c r="F108" s="6"/>
      <c r="G108" s="6"/>
      <c r="H108" s="6"/>
      <c r="I108" s="6"/>
      <c r="J108" s="6"/>
      <c r="K108" s="22"/>
      <c r="L108" s="6"/>
      <c r="M108" s="6"/>
      <c r="N108" s="6"/>
      <c r="O108" s="6"/>
      <c r="P108" s="6"/>
      <c r="Q108" s="6"/>
      <c r="R108" s="54"/>
    </row>
    <row r="109" spans="1:18" ht="12.75">
      <c r="A109" s="6"/>
      <c r="B109" s="6"/>
      <c r="C109" s="6"/>
      <c r="D109" s="6"/>
      <c r="E109" s="6"/>
      <c r="F109" s="6"/>
      <c r="G109" s="6"/>
      <c r="H109" s="6"/>
      <c r="I109" s="6"/>
      <c r="J109" s="6"/>
      <c r="K109" s="22"/>
      <c r="L109" s="6"/>
      <c r="M109" s="6"/>
      <c r="N109" s="6"/>
      <c r="O109" s="6"/>
      <c r="P109" s="6"/>
      <c r="Q109" s="6"/>
      <c r="R109" s="54"/>
    </row>
    <row r="110" spans="1:18" ht="12.75">
      <c r="A110" s="6"/>
      <c r="B110" s="6"/>
      <c r="C110" s="6"/>
      <c r="D110" s="6"/>
      <c r="E110" s="6"/>
      <c r="F110" s="6"/>
      <c r="G110" s="6"/>
      <c r="H110" s="6"/>
      <c r="I110" s="6"/>
      <c r="J110" s="6"/>
      <c r="K110" s="22"/>
      <c r="L110" s="6"/>
      <c r="M110" s="6"/>
      <c r="N110" s="6"/>
      <c r="O110" s="6"/>
      <c r="P110" s="6"/>
      <c r="Q110" s="6"/>
      <c r="R110" s="54"/>
    </row>
    <row r="111" spans="1:18" ht="12.75">
      <c r="A111" s="6"/>
      <c r="B111" s="6"/>
      <c r="C111" s="6"/>
      <c r="D111" s="6"/>
      <c r="E111" s="6"/>
      <c r="F111" s="6"/>
      <c r="G111" s="6"/>
      <c r="H111" s="6"/>
      <c r="I111" s="6"/>
      <c r="J111" s="6"/>
      <c r="K111" s="22"/>
      <c r="L111" s="6"/>
      <c r="M111" s="6"/>
      <c r="N111" s="6"/>
      <c r="O111" s="6"/>
      <c r="P111" s="6"/>
      <c r="Q111" s="6"/>
      <c r="R111" s="54"/>
    </row>
    <row r="112" spans="1:18" ht="12.75">
      <c r="A112" s="6"/>
      <c r="B112" s="6"/>
      <c r="C112" s="6"/>
      <c r="D112" s="6"/>
      <c r="E112" s="6"/>
      <c r="F112" s="6"/>
      <c r="G112" s="6"/>
      <c r="H112" s="6"/>
      <c r="I112" s="6"/>
      <c r="J112" s="6"/>
      <c r="K112" s="22"/>
      <c r="L112" s="6"/>
      <c r="M112" s="6"/>
      <c r="N112" s="6"/>
      <c r="O112" s="6"/>
      <c r="P112" s="6"/>
      <c r="Q112" s="6"/>
      <c r="R112" s="54"/>
    </row>
    <row r="113" spans="1:18" ht="12.75">
      <c r="A113" s="6"/>
      <c r="B113" s="6"/>
      <c r="C113" s="6"/>
      <c r="D113" s="6"/>
      <c r="E113" s="6"/>
      <c r="F113" s="6"/>
      <c r="G113" s="6"/>
      <c r="H113" s="6"/>
      <c r="I113" s="6"/>
      <c r="J113" s="6"/>
      <c r="K113" s="22"/>
      <c r="L113" s="6"/>
      <c r="M113" s="6"/>
      <c r="N113" s="6"/>
      <c r="O113" s="6"/>
      <c r="P113" s="6"/>
      <c r="Q113" s="6"/>
      <c r="R113" s="54"/>
    </row>
    <row r="114" spans="1:18" ht="12.75">
      <c r="A114" s="6"/>
      <c r="B114" s="6"/>
      <c r="C114" s="6"/>
      <c r="D114" s="6"/>
      <c r="E114" s="6"/>
      <c r="F114" s="6"/>
      <c r="G114" s="6"/>
      <c r="H114" s="6"/>
      <c r="I114" s="6"/>
      <c r="J114" s="6"/>
      <c r="K114" s="22"/>
      <c r="L114" s="6"/>
      <c r="M114" s="6"/>
      <c r="N114" s="6"/>
      <c r="O114" s="6"/>
      <c r="P114" s="6"/>
      <c r="Q114" s="6"/>
      <c r="R114" s="54"/>
    </row>
    <row r="115" spans="1:18" ht="12.75">
      <c r="A115" s="6"/>
      <c r="B115" s="6"/>
      <c r="C115" s="6"/>
      <c r="D115" s="6"/>
      <c r="E115" s="6"/>
      <c r="F115" s="6"/>
      <c r="G115" s="6"/>
      <c r="H115" s="6"/>
      <c r="I115" s="6"/>
      <c r="J115" s="6"/>
      <c r="K115" s="22"/>
      <c r="L115" s="6"/>
      <c r="M115" s="6"/>
      <c r="N115" s="6"/>
      <c r="O115" s="6"/>
      <c r="P115" s="6"/>
      <c r="Q115" s="6"/>
      <c r="R115" s="54"/>
    </row>
    <row r="116" spans="1:18" ht="12.75">
      <c r="A116" s="6"/>
      <c r="B116" s="6"/>
      <c r="C116" s="6"/>
      <c r="D116" s="6"/>
      <c r="E116" s="6"/>
      <c r="F116" s="6"/>
      <c r="G116" s="6"/>
      <c r="H116" s="6"/>
      <c r="I116" s="6"/>
      <c r="J116" s="6"/>
      <c r="K116" s="22"/>
      <c r="L116" s="6"/>
      <c r="M116" s="6"/>
      <c r="N116" s="6"/>
      <c r="O116" s="6"/>
      <c r="P116" s="6"/>
      <c r="Q116" s="6"/>
      <c r="R116" s="54"/>
    </row>
    <row r="117" spans="1:18" ht="12.75">
      <c r="A117" s="6"/>
      <c r="B117" s="6"/>
      <c r="C117" s="6"/>
      <c r="D117" s="6"/>
      <c r="E117" s="6"/>
      <c r="F117" s="6"/>
      <c r="G117" s="6"/>
      <c r="H117" s="6"/>
      <c r="I117" s="6"/>
      <c r="J117" s="6"/>
      <c r="K117" s="22"/>
      <c r="L117" s="6"/>
      <c r="M117" s="6"/>
      <c r="N117" s="6"/>
      <c r="O117" s="6"/>
      <c r="P117" s="6"/>
      <c r="Q117" s="6"/>
      <c r="R117" s="54"/>
    </row>
    <row r="118" spans="1:18" ht="12.75">
      <c r="A118" s="6"/>
      <c r="B118" s="6"/>
      <c r="C118" s="6"/>
      <c r="D118" s="6"/>
      <c r="E118" s="6"/>
      <c r="F118" s="6"/>
      <c r="G118" s="6"/>
      <c r="H118" s="6"/>
      <c r="I118" s="6"/>
      <c r="J118" s="6"/>
      <c r="K118" s="22"/>
      <c r="L118" s="6"/>
      <c r="M118" s="6"/>
      <c r="N118" s="6"/>
      <c r="O118" s="6"/>
      <c r="P118" s="6"/>
      <c r="Q118" s="6"/>
      <c r="R118" s="54"/>
    </row>
    <row r="119" spans="1:18" ht="12.75">
      <c r="A119" s="6"/>
      <c r="B119" s="6"/>
      <c r="C119" s="6"/>
      <c r="D119" s="6"/>
      <c r="E119" s="6"/>
      <c r="F119" s="6"/>
      <c r="G119" s="6"/>
      <c r="H119" s="6"/>
      <c r="I119" s="6"/>
      <c r="J119" s="6"/>
      <c r="K119" s="22"/>
      <c r="L119" s="6"/>
      <c r="M119" s="6"/>
      <c r="N119" s="6"/>
      <c r="O119" s="6"/>
      <c r="P119" s="6"/>
      <c r="Q119" s="6"/>
      <c r="R119" s="54"/>
    </row>
    <row r="120" spans="1:18" ht="12.75">
      <c r="A120" s="6"/>
      <c r="B120" s="6"/>
      <c r="C120" s="6"/>
      <c r="D120" s="6"/>
      <c r="E120" s="6"/>
      <c r="F120" s="6"/>
      <c r="G120" s="6"/>
      <c r="H120" s="6"/>
      <c r="I120" s="6"/>
      <c r="J120" s="6"/>
      <c r="K120" s="22"/>
      <c r="L120" s="6"/>
      <c r="M120" s="6"/>
      <c r="N120" s="6"/>
      <c r="O120" s="6"/>
      <c r="P120" s="6"/>
      <c r="Q120" s="6"/>
      <c r="R120" s="54"/>
    </row>
    <row r="121" spans="1:18" ht="12.75">
      <c r="A121" s="6"/>
      <c r="B121" s="6"/>
      <c r="C121" s="6"/>
      <c r="D121" s="6"/>
      <c r="E121" s="6"/>
      <c r="F121" s="6"/>
      <c r="G121" s="6"/>
      <c r="H121" s="6"/>
      <c r="I121" s="6"/>
      <c r="J121" s="6"/>
      <c r="K121" s="22"/>
      <c r="L121" s="6"/>
      <c r="M121" s="6"/>
      <c r="N121" s="6"/>
      <c r="O121" s="6"/>
      <c r="P121" s="6"/>
      <c r="Q121" s="6"/>
      <c r="R121" s="54"/>
    </row>
    <row r="122" spans="1:18" ht="12.75">
      <c r="A122" s="6"/>
      <c r="B122" s="6"/>
      <c r="C122" s="6"/>
      <c r="D122" s="6"/>
      <c r="E122" s="6"/>
      <c r="F122" s="6"/>
      <c r="G122" s="6"/>
      <c r="H122" s="6"/>
      <c r="I122" s="6"/>
      <c r="J122" s="6"/>
      <c r="K122" s="22"/>
      <c r="L122" s="6"/>
      <c r="M122" s="6"/>
      <c r="N122" s="6"/>
      <c r="O122" s="6"/>
      <c r="P122" s="6"/>
      <c r="Q122" s="6"/>
      <c r="R122" s="54"/>
    </row>
    <row r="123" spans="1:18" ht="12.75">
      <c r="A123" s="6"/>
      <c r="B123" s="6"/>
      <c r="C123" s="6"/>
      <c r="D123" s="6"/>
      <c r="E123" s="6"/>
      <c r="F123" s="6"/>
      <c r="G123" s="6"/>
      <c r="H123" s="6"/>
      <c r="I123" s="6"/>
      <c r="J123" s="6"/>
      <c r="K123" s="22"/>
      <c r="L123" s="6"/>
      <c r="M123" s="6"/>
      <c r="N123" s="6"/>
      <c r="O123" s="6"/>
      <c r="P123" s="6"/>
      <c r="Q123" s="6"/>
      <c r="R123" s="54"/>
    </row>
    <row r="124" spans="1:18" ht="12.75">
      <c r="A124" s="6"/>
      <c r="B124" s="6"/>
      <c r="C124" s="6"/>
      <c r="D124" s="6"/>
      <c r="E124" s="6"/>
      <c r="F124" s="6"/>
      <c r="G124" s="6"/>
      <c r="H124" s="6"/>
      <c r="I124" s="6"/>
      <c r="J124" s="6"/>
      <c r="K124" s="22"/>
      <c r="L124" s="6"/>
      <c r="M124" s="6"/>
      <c r="N124" s="6"/>
      <c r="O124" s="6"/>
      <c r="P124" s="6"/>
      <c r="Q124" s="6"/>
      <c r="R124" s="54"/>
    </row>
    <row r="125" spans="1:18" ht="12.75">
      <c r="A125" s="6"/>
      <c r="B125" s="6"/>
      <c r="C125" s="6"/>
      <c r="D125" s="6"/>
      <c r="E125" s="6"/>
      <c r="F125" s="6"/>
      <c r="G125" s="6"/>
      <c r="H125" s="6"/>
      <c r="I125" s="6"/>
      <c r="J125" s="6"/>
      <c r="K125" s="22"/>
      <c r="L125" s="6"/>
      <c r="M125" s="6"/>
      <c r="N125" s="6"/>
      <c r="O125" s="6"/>
      <c r="P125" s="6"/>
      <c r="Q125" s="6"/>
      <c r="R125" s="54"/>
    </row>
    <row r="126" spans="1:18" ht="12.75">
      <c r="A126" s="6"/>
      <c r="B126" s="6"/>
      <c r="C126" s="6"/>
      <c r="D126" s="6"/>
      <c r="E126" s="6"/>
      <c r="F126" s="6"/>
      <c r="G126" s="6"/>
      <c r="H126" s="6"/>
      <c r="I126" s="6"/>
      <c r="J126" s="6"/>
      <c r="K126" s="22"/>
      <c r="L126" s="6"/>
      <c r="M126" s="6"/>
      <c r="N126" s="6"/>
      <c r="O126" s="6"/>
      <c r="P126" s="6"/>
      <c r="Q126" s="6"/>
      <c r="R126" s="54"/>
    </row>
    <row r="127" spans="1:18" ht="12.75">
      <c r="A127" s="6"/>
      <c r="B127" s="6"/>
      <c r="C127" s="6"/>
      <c r="D127" s="6"/>
      <c r="E127" s="6"/>
      <c r="F127" s="6"/>
      <c r="G127" s="6"/>
      <c r="H127" s="6"/>
      <c r="I127" s="6"/>
      <c r="J127" s="6"/>
      <c r="K127" s="22"/>
      <c r="L127" s="6"/>
      <c r="M127" s="6"/>
      <c r="N127" s="6"/>
      <c r="O127" s="6"/>
      <c r="P127" s="6"/>
      <c r="Q127" s="6"/>
      <c r="R127" s="54"/>
    </row>
    <row r="128" spans="1:18" ht="12.75">
      <c r="A128" s="6"/>
      <c r="B128" s="6"/>
      <c r="C128" s="6"/>
      <c r="D128" s="6"/>
      <c r="E128" s="6"/>
      <c r="F128" s="6"/>
      <c r="G128" s="6"/>
      <c r="H128" s="6"/>
      <c r="I128" s="6"/>
      <c r="J128" s="6"/>
      <c r="K128" s="22"/>
      <c r="L128" s="6"/>
      <c r="M128" s="6"/>
      <c r="N128" s="6"/>
      <c r="O128" s="6"/>
      <c r="P128" s="6"/>
      <c r="Q128" s="6"/>
      <c r="R128" s="54"/>
    </row>
    <row r="129" spans="1:18" ht="12.75">
      <c r="A129" s="6"/>
      <c r="B129" s="6"/>
      <c r="C129" s="6"/>
      <c r="D129" s="6"/>
      <c r="E129" s="6"/>
      <c r="F129" s="6"/>
      <c r="G129" s="6"/>
      <c r="H129" s="6"/>
      <c r="I129" s="6"/>
      <c r="J129" s="6"/>
      <c r="K129" s="22"/>
      <c r="L129" s="6"/>
      <c r="M129" s="6"/>
      <c r="N129" s="6"/>
      <c r="O129" s="6"/>
      <c r="P129" s="6"/>
      <c r="Q129" s="6"/>
      <c r="R129" s="54"/>
    </row>
    <row r="130" spans="1:18" ht="12.75">
      <c r="A130" s="6"/>
      <c r="B130" s="6"/>
      <c r="C130" s="6"/>
      <c r="D130" s="6"/>
      <c r="E130" s="6"/>
      <c r="F130" s="6"/>
      <c r="G130" s="6"/>
      <c r="H130" s="6"/>
      <c r="I130" s="6"/>
      <c r="J130" s="6"/>
      <c r="K130" s="22"/>
      <c r="L130" s="6"/>
      <c r="M130" s="6"/>
      <c r="N130" s="6"/>
      <c r="O130" s="6"/>
      <c r="P130" s="6"/>
      <c r="Q130" s="6"/>
      <c r="R130" s="54"/>
    </row>
    <row r="131" spans="1:18" ht="12.75">
      <c r="A131" s="6"/>
      <c r="B131" s="6"/>
      <c r="C131" s="6"/>
      <c r="D131" s="6"/>
      <c r="E131" s="6"/>
      <c r="F131" s="6"/>
      <c r="G131" s="6"/>
      <c r="H131" s="6"/>
      <c r="I131" s="6"/>
      <c r="J131" s="6"/>
      <c r="K131" s="22"/>
      <c r="L131" s="6"/>
      <c r="M131" s="6"/>
      <c r="N131" s="6"/>
      <c r="O131" s="6"/>
      <c r="P131" s="6"/>
      <c r="Q131" s="6"/>
      <c r="R131" s="54"/>
    </row>
    <row r="132" spans="1:18" ht="12.75">
      <c r="A132" s="6"/>
      <c r="B132" s="6"/>
      <c r="C132" s="6"/>
      <c r="D132" s="6"/>
      <c r="E132" s="6"/>
      <c r="F132" s="6"/>
      <c r="G132" s="6"/>
      <c r="H132" s="6"/>
      <c r="I132" s="6"/>
      <c r="J132" s="6"/>
      <c r="K132" s="22"/>
      <c r="L132" s="6"/>
      <c r="M132" s="6"/>
      <c r="N132" s="6"/>
      <c r="O132" s="6"/>
      <c r="P132" s="6"/>
      <c r="Q132" s="6"/>
      <c r="R132" s="54"/>
    </row>
    <row r="133" spans="1:18" ht="12.75">
      <c r="A133" s="6"/>
      <c r="B133" s="6"/>
      <c r="C133" s="6"/>
      <c r="D133" s="6"/>
      <c r="E133" s="6"/>
      <c r="F133" s="6"/>
      <c r="G133" s="6"/>
      <c r="H133" s="6"/>
      <c r="I133" s="6"/>
      <c r="J133" s="6"/>
      <c r="K133" s="22"/>
      <c r="L133" s="6"/>
      <c r="M133" s="6"/>
      <c r="N133" s="6"/>
      <c r="O133" s="6"/>
      <c r="P133" s="6"/>
      <c r="Q133" s="6"/>
      <c r="R133" s="54"/>
    </row>
    <row r="134" spans="1:18" ht="12.75">
      <c r="A134" s="6"/>
      <c r="B134" s="6"/>
      <c r="C134" s="6"/>
      <c r="D134" s="6"/>
      <c r="E134" s="6"/>
      <c r="F134" s="6"/>
      <c r="G134" s="6"/>
      <c r="H134" s="6"/>
      <c r="I134" s="6"/>
      <c r="J134" s="6"/>
      <c r="K134" s="22"/>
      <c r="L134" s="6"/>
      <c r="M134" s="6"/>
      <c r="N134" s="6"/>
      <c r="O134" s="6"/>
      <c r="P134" s="6"/>
      <c r="Q134" s="6"/>
      <c r="R134" s="54"/>
    </row>
    <row r="135" spans="1:18" ht="12.75">
      <c r="A135" s="6"/>
      <c r="B135" s="6"/>
      <c r="C135" s="6"/>
      <c r="D135" s="6"/>
      <c r="E135" s="6"/>
      <c r="F135" s="6"/>
      <c r="G135" s="6"/>
      <c r="H135" s="6"/>
      <c r="I135" s="6"/>
      <c r="J135" s="6"/>
      <c r="K135" s="22"/>
      <c r="L135" s="6"/>
      <c r="M135" s="6"/>
      <c r="N135" s="6"/>
      <c r="O135" s="6"/>
      <c r="P135" s="6"/>
      <c r="Q135" s="6"/>
      <c r="R135" s="54"/>
    </row>
    <row r="136" spans="1:18" ht="12.75">
      <c r="A136" s="6"/>
      <c r="B136" s="6"/>
      <c r="C136" s="6"/>
      <c r="D136" s="6"/>
      <c r="E136" s="6"/>
      <c r="F136" s="6"/>
      <c r="G136" s="6"/>
      <c r="H136" s="6"/>
      <c r="I136" s="6"/>
      <c r="J136" s="6"/>
      <c r="K136" s="22"/>
      <c r="L136" s="6"/>
      <c r="M136" s="6"/>
      <c r="N136" s="6"/>
      <c r="O136" s="6"/>
      <c r="P136" s="6"/>
      <c r="Q136" s="6"/>
      <c r="R136" s="54"/>
    </row>
    <row r="137" spans="1:18" ht="12.75">
      <c r="A137" s="6"/>
      <c r="B137" s="6"/>
      <c r="C137" s="6"/>
      <c r="D137" s="6"/>
      <c r="E137" s="6"/>
      <c r="F137" s="6"/>
      <c r="G137" s="6"/>
      <c r="H137" s="6"/>
      <c r="I137" s="6"/>
      <c r="J137" s="6"/>
      <c r="K137" s="22"/>
      <c r="L137" s="6"/>
      <c r="M137" s="6"/>
      <c r="N137" s="6"/>
      <c r="O137" s="6"/>
      <c r="P137" s="6"/>
      <c r="Q137" s="6"/>
      <c r="R137" s="54"/>
    </row>
    <row r="138" spans="1:18" ht="12.75">
      <c r="A138" s="6"/>
      <c r="B138" s="6"/>
      <c r="C138" s="6"/>
      <c r="D138" s="6"/>
      <c r="E138" s="6"/>
      <c r="F138" s="6"/>
      <c r="G138" s="6"/>
      <c r="H138" s="6"/>
      <c r="I138" s="6"/>
      <c r="J138" s="6"/>
      <c r="K138" s="22"/>
      <c r="L138" s="6"/>
      <c r="M138" s="6"/>
      <c r="N138" s="6"/>
      <c r="O138" s="6"/>
      <c r="P138" s="6"/>
      <c r="Q138" s="6"/>
      <c r="R138" s="54"/>
    </row>
    <row r="139" spans="1:18" ht="12.75">
      <c r="A139" s="6"/>
      <c r="B139" s="6"/>
      <c r="C139" s="6"/>
      <c r="D139" s="6"/>
      <c r="E139" s="6"/>
      <c r="F139" s="6"/>
      <c r="G139" s="6"/>
      <c r="H139" s="6"/>
      <c r="I139" s="6"/>
      <c r="J139" s="6"/>
      <c r="K139" s="22"/>
      <c r="L139" s="6"/>
      <c r="M139" s="6"/>
      <c r="N139" s="6"/>
      <c r="O139" s="6"/>
      <c r="P139" s="6"/>
      <c r="Q139" s="6"/>
      <c r="R139" s="54"/>
    </row>
    <row r="140" spans="1:18" ht="12.75">
      <c r="A140" s="6"/>
      <c r="B140" s="6"/>
      <c r="C140" s="6"/>
      <c r="D140" s="6"/>
      <c r="E140" s="6"/>
      <c r="F140" s="6"/>
      <c r="G140" s="6"/>
      <c r="H140" s="6"/>
      <c r="I140" s="6"/>
      <c r="J140" s="6"/>
      <c r="K140" s="22"/>
      <c r="L140" s="6"/>
      <c r="M140" s="6"/>
      <c r="N140" s="6"/>
      <c r="O140" s="6"/>
      <c r="P140" s="6"/>
      <c r="Q140" s="6"/>
      <c r="R140" s="54"/>
    </row>
    <row r="141" spans="1:18" ht="12.75">
      <c r="A141" s="6"/>
      <c r="B141" s="6"/>
      <c r="C141" s="6"/>
      <c r="D141" s="6"/>
      <c r="E141" s="6"/>
      <c r="F141" s="6"/>
      <c r="G141" s="6"/>
      <c r="H141" s="6"/>
      <c r="I141" s="6"/>
      <c r="J141" s="6"/>
      <c r="K141" s="22"/>
      <c r="L141" s="6"/>
      <c r="M141" s="6"/>
      <c r="N141" s="6"/>
      <c r="O141" s="6"/>
      <c r="P141" s="6"/>
      <c r="Q141" s="6"/>
      <c r="R141" s="54"/>
    </row>
    <row r="142" spans="1:18" ht="12.75">
      <c r="A142" s="6"/>
      <c r="B142" s="6"/>
      <c r="C142" s="6"/>
      <c r="D142" s="6"/>
      <c r="E142" s="6"/>
      <c r="F142" s="6"/>
      <c r="G142" s="6"/>
      <c r="H142" s="6"/>
      <c r="I142" s="6"/>
      <c r="J142" s="6"/>
      <c r="K142" s="22"/>
      <c r="L142" s="6"/>
      <c r="M142" s="6"/>
      <c r="N142" s="6"/>
      <c r="O142" s="6"/>
      <c r="P142" s="6"/>
      <c r="Q142" s="6"/>
      <c r="R142" s="54"/>
    </row>
    <row r="143" spans="1:18" ht="12.75">
      <c r="A143" s="6"/>
      <c r="B143" s="6"/>
      <c r="C143" s="6"/>
      <c r="D143" s="6"/>
      <c r="E143" s="6"/>
      <c r="F143" s="6"/>
      <c r="G143" s="6"/>
      <c r="H143" s="6"/>
      <c r="I143" s="6"/>
      <c r="J143" s="6"/>
      <c r="K143" s="22"/>
      <c r="L143" s="6"/>
      <c r="M143" s="6"/>
      <c r="N143" s="6"/>
      <c r="O143" s="6"/>
      <c r="P143" s="6"/>
      <c r="Q143" s="6"/>
      <c r="R143" s="54"/>
    </row>
    <row r="144" spans="1:18" ht="12.75">
      <c r="A144" s="6"/>
      <c r="B144" s="6"/>
      <c r="C144" s="6"/>
      <c r="D144" s="6"/>
      <c r="E144" s="6"/>
      <c r="F144" s="6"/>
      <c r="G144" s="6"/>
      <c r="H144" s="6"/>
      <c r="I144" s="6"/>
      <c r="J144" s="6"/>
      <c r="K144" s="22"/>
      <c r="L144" s="6"/>
      <c r="M144" s="6"/>
      <c r="N144" s="6"/>
      <c r="O144" s="6"/>
      <c r="P144" s="6"/>
      <c r="Q144" s="6"/>
      <c r="R144" s="54"/>
    </row>
    <row r="145" spans="1:18" ht="12.75">
      <c r="A145" s="6"/>
      <c r="B145" s="6"/>
      <c r="C145" s="6"/>
      <c r="D145" s="6"/>
      <c r="E145" s="6"/>
      <c r="F145" s="6"/>
      <c r="G145" s="6"/>
      <c r="H145" s="6"/>
      <c r="I145" s="6"/>
      <c r="J145" s="6"/>
      <c r="K145" s="22"/>
      <c r="L145" s="6"/>
      <c r="M145" s="6"/>
      <c r="N145" s="6"/>
      <c r="O145" s="6"/>
      <c r="P145" s="6"/>
      <c r="Q145" s="6"/>
      <c r="R145" s="54"/>
    </row>
    <row r="146" spans="1:18" ht="12.75">
      <c r="A146" s="6"/>
      <c r="B146" s="6"/>
      <c r="C146" s="6"/>
      <c r="D146" s="6"/>
      <c r="E146" s="6"/>
      <c r="F146" s="6"/>
      <c r="G146" s="6"/>
      <c r="H146" s="6"/>
      <c r="I146" s="6"/>
      <c r="J146" s="6"/>
      <c r="K146" s="22"/>
      <c r="L146" s="6"/>
      <c r="M146" s="6"/>
      <c r="N146" s="6"/>
      <c r="O146" s="6"/>
      <c r="P146" s="6"/>
      <c r="Q146" s="6"/>
      <c r="R146" s="54"/>
    </row>
    <row r="147" spans="1:18" ht="12.75">
      <c r="A147" s="6"/>
      <c r="B147" s="6"/>
      <c r="C147" s="6"/>
      <c r="D147" s="6"/>
      <c r="E147" s="6"/>
      <c r="F147" s="6"/>
      <c r="G147" s="6"/>
      <c r="H147" s="6"/>
      <c r="I147" s="6"/>
      <c r="J147" s="6"/>
      <c r="K147" s="22"/>
      <c r="L147" s="6"/>
      <c r="M147" s="6"/>
      <c r="N147" s="6"/>
      <c r="O147" s="6"/>
      <c r="P147" s="6"/>
      <c r="Q147" s="6"/>
      <c r="R147" s="54"/>
    </row>
    <row r="148" spans="1:18" ht="12.75">
      <c r="A148" s="6"/>
      <c r="B148" s="6"/>
      <c r="C148" s="6"/>
      <c r="D148" s="6"/>
      <c r="E148" s="6"/>
      <c r="F148" s="6"/>
      <c r="G148" s="6"/>
      <c r="H148" s="6"/>
      <c r="I148" s="6"/>
      <c r="J148" s="6"/>
      <c r="K148" s="22"/>
      <c r="L148" s="6"/>
      <c r="M148" s="6"/>
      <c r="N148" s="6"/>
      <c r="O148" s="6"/>
      <c r="P148" s="6"/>
      <c r="Q148" s="6"/>
      <c r="R148" s="54"/>
    </row>
    <row r="149" spans="1:18" ht="12.75">
      <c r="A149" s="6"/>
      <c r="B149" s="6"/>
      <c r="C149" s="6"/>
      <c r="D149" s="6"/>
      <c r="E149" s="6"/>
      <c r="F149" s="6"/>
      <c r="G149" s="6"/>
      <c r="H149" s="6"/>
      <c r="I149" s="6"/>
      <c r="J149" s="6"/>
      <c r="K149" s="22"/>
      <c r="L149" s="6"/>
      <c r="M149" s="6"/>
      <c r="N149" s="6"/>
      <c r="O149" s="6"/>
      <c r="P149" s="6"/>
      <c r="Q149" s="6"/>
      <c r="R149" s="54"/>
    </row>
    <row r="150" spans="1:18" ht="12.75">
      <c r="A150" s="6"/>
      <c r="B150" s="6"/>
      <c r="C150" s="6"/>
      <c r="D150" s="6"/>
      <c r="E150" s="6"/>
      <c r="F150" s="6"/>
      <c r="G150" s="6"/>
      <c r="H150" s="6"/>
      <c r="I150" s="6"/>
      <c r="J150" s="6"/>
      <c r="K150" s="22"/>
      <c r="L150" s="6"/>
      <c r="M150" s="6"/>
      <c r="N150" s="6"/>
      <c r="O150" s="6"/>
      <c r="P150" s="6"/>
      <c r="Q150" s="6"/>
      <c r="R150" s="54"/>
    </row>
    <row r="151" spans="1:18" ht="12.75">
      <c r="A151" s="6"/>
      <c r="B151" s="6"/>
      <c r="C151" s="6"/>
      <c r="D151" s="6"/>
      <c r="E151" s="6"/>
      <c r="F151" s="6"/>
      <c r="G151" s="6"/>
      <c r="H151" s="6"/>
      <c r="I151" s="6"/>
      <c r="J151" s="6"/>
      <c r="K151" s="22"/>
      <c r="L151" s="6"/>
      <c r="M151" s="6"/>
      <c r="N151" s="6"/>
      <c r="O151" s="6"/>
      <c r="P151" s="6"/>
      <c r="Q151" s="6"/>
      <c r="R151" s="54"/>
    </row>
    <row r="152" spans="1:18" ht="12.75">
      <c r="A152" s="6"/>
      <c r="B152" s="6"/>
      <c r="C152" s="6"/>
      <c r="D152" s="6"/>
      <c r="E152" s="6"/>
      <c r="F152" s="6"/>
      <c r="G152" s="6"/>
      <c r="H152" s="6"/>
      <c r="I152" s="6"/>
      <c r="J152" s="6"/>
      <c r="K152" s="22"/>
      <c r="L152" s="6"/>
      <c r="M152" s="6"/>
      <c r="N152" s="6"/>
      <c r="O152" s="6"/>
      <c r="P152" s="6"/>
      <c r="Q152" s="6"/>
      <c r="R152" s="54"/>
    </row>
    <row r="153" spans="1:18" ht="12.75">
      <c r="A153" s="6"/>
      <c r="B153" s="6"/>
      <c r="C153" s="6"/>
      <c r="D153" s="6"/>
      <c r="E153" s="6"/>
      <c r="F153" s="6"/>
      <c r="G153" s="6"/>
      <c r="H153" s="6"/>
      <c r="I153" s="6"/>
      <c r="J153" s="6"/>
      <c r="K153" s="22"/>
      <c r="L153" s="6"/>
      <c r="M153" s="6"/>
      <c r="N153" s="6"/>
      <c r="O153" s="6"/>
      <c r="P153" s="6"/>
      <c r="Q153" s="6"/>
      <c r="R153" s="54"/>
    </row>
    <row r="154" spans="1:18" ht="12.75">
      <c r="A154" s="6"/>
      <c r="B154" s="6"/>
      <c r="C154" s="6"/>
      <c r="D154" s="6"/>
      <c r="E154" s="6"/>
      <c r="F154" s="6"/>
      <c r="G154" s="6"/>
      <c r="H154" s="6"/>
      <c r="I154" s="6"/>
      <c r="J154" s="6"/>
      <c r="K154" s="22"/>
      <c r="L154" s="6"/>
      <c r="M154" s="6"/>
      <c r="N154" s="6"/>
      <c r="O154" s="6"/>
      <c r="P154" s="6"/>
      <c r="Q154" s="6"/>
      <c r="R154" s="54"/>
    </row>
    <row r="155" spans="1:18" ht="12.75">
      <c r="A155" s="6"/>
      <c r="B155" s="6"/>
      <c r="C155" s="6"/>
      <c r="D155" s="6"/>
      <c r="E155" s="6"/>
      <c r="F155" s="6"/>
      <c r="G155" s="6"/>
      <c r="H155" s="6"/>
      <c r="I155" s="6"/>
      <c r="J155" s="6"/>
      <c r="K155" s="22"/>
      <c r="L155" s="6"/>
      <c r="M155" s="6"/>
      <c r="N155" s="6"/>
      <c r="O155" s="6"/>
      <c r="P155" s="6"/>
      <c r="Q155" s="6"/>
      <c r="R155" s="54"/>
    </row>
    <row r="156" spans="1:18" ht="12.75">
      <c r="A156" s="6"/>
      <c r="B156" s="6"/>
      <c r="C156" s="6"/>
      <c r="D156" s="6"/>
      <c r="E156" s="6"/>
      <c r="F156" s="6"/>
      <c r="G156" s="6"/>
      <c r="H156" s="6"/>
      <c r="I156" s="6"/>
      <c r="J156" s="6"/>
      <c r="K156" s="22"/>
      <c r="L156" s="6"/>
      <c r="M156" s="6"/>
      <c r="N156" s="6"/>
      <c r="O156" s="6"/>
      <c r="P156" s="6"/>
      <c r="Q156" s="6"/>
      <c r="R156" s="54"/>
    </row>
    <row r="157" spans="1:18" ht="12.75">
      <c r="A157" s="6"/>
      <c r="B157" s="6"/>
      <c r="C157" s="6"/>
      <c r="D157" s="6"/>
      <c r="E157" s="6"/>
      <c r="F157" s="6"/>
      <c r="G157" s="6"/>
      <c r="H157" s="6"/>
      <c r="I157" s="6"/>
      <c r="J157" s="6"/>
      <c r="K157" s="22"/>
      <c r="L157" s="6"/>
      <c r="M157" s="6"/>
      <c r="N157" s="6"/>
      <c r="O157" s="6"/>
      <c r="P157" s="6"/>
      <c r="Q157" s="6"/>
      <c r="R157" s="54"/>
    </row>
    <row r="158" spans="1:18" ht="12.75">
      <c r="A158" s="6"/>
      <c r="B158" s="6"/>
      <c r="C158" s="6"/>
      <c r="D158" s="6"/>
      <c r="E158" s="6"/>
      <c r="F158" s="6"/>
      <c r="G158" s="6"/>
      <c r="H158" s="6"/>
      <c r="I158" s="6"/>
      <c r="J158" s="6"/>
      <c r="K158" s="22"/>
      <c r="L158" s="6"/>
      <c r="M158" s="6"/>
      <c r="N158" s="6"/>
      <c r="O158" s="6"/>
      <c r="P158" s="6"/>
      <c r="Q158" s="6"/>
      <c r="R158" s="54"/>
    </row>
    <row r="159" spans="1:18" ht="12.75">
      <c r="A159" s="6"/>
      <c r="B159" s="6"/>
      <c r="C159" s="6"/>
      <c r="D159" s="6"/>
      <c r="E159" s="6"/>
      <c r="F159" s="6"/>
      <c r="G159" s="6"/>
      <c r="H159" s="6"/>
      <c r="I159" s="6"/>
      <c r="J159" s="6"/>
      <c r="K159" s="22"/>
      <c r="L159" s="6"/>
      <c r="M159" s="6"/>
      <c r="N159" s="6"/>
      <c r="O159" s="6"/>
      <c r="P159" s="6"/>
      <c r="Q159" s="6"/>
      <c r="R159" s="54"/>
    </row>
    <row r="160" spans="1:18" ht="12.75">
      <c r="A160" s="6"/>
      <c r="B160" s="6"/>
      <c r="C160" s="6"/>
      <c r="D160" s="6"/>
      <c r="E160" s="6"/>
      <c r="F160" s="6"/>
      <c r="G160" s="6"/>
      <c r="H160" s="6"/>
      <c r="I160" s="6"/>
      <c r="J160" s="6"/>
      <c r="K160" s="22"/>
      <c r="L160" s="6"/>
      <c r="M160" s="6"/>
      <c r="N160" s="6"/>
      <c r="O160" s="6"/>
      <c r="P160" s="6"/>
      <c r="Q160" s="6"/>
      <c r="R160" s="54"/>
    </row>
    <row r="161" spans="1:18" ht="12.75">
      <c r="A161" s="6"/>
      <c r="B161" s="6"/>
      <c r="C161" s="6"/>
      <c r="D161" s="6"/>
      <c r="E161" s="6"/>
      <c r="F161" s="6"/>
      <c r="G161" s="6"/>
      <c r="H161" s="6"/>
      <c r="I161" s="6"/>
      <c r="J161" s="6"/>
      <c r="K161" s="22"/>
      <c r="L161" s="6"/>
      <c r="M161" s="6"/>
      <c r="N161" s="6"/>
      <c r="O161" s="6"/>
      <c r="P161" s="6"/>
      <c r="Q161" s="6"/>
      <c r="R161" s="54"/>
    </row>
    <row r="162" spans="1:18" ht="12.75">
      <c r="A162" s="6"/>
      <c r="B162" s="6"/>
      <c r="C162" s="6"/>
      <c r="D162" s="6"/>
      <c r="E162" s="6"/>
      <c r="F162" s="6"/>
      <c r="G162" s="6"/>
      <c r="H162" s="6"/>
      <c r="I162" s="6"/>
      <c r="J162" s="6"/>
      <c r="K162" s="22"/>
      <c r="L162" s="6"/>
      <c r="M162" s="6"/>
      <c r="N162" s="6"/>
      <c r="O162" s="6"/>
      <c r="P162" s="6"/>
      <c r="Q162" s="6"/>
      <c r="R162" s="54"/>
    </row>
    <row r="163" spans="1:18" ht="12.75">
      <c r="A163" s="6"/>
      <c r="B163" s="6"/>
      <c r="C163" s="6"/>
      <c r="D163" s="6"/>
      <c r="E163" s="6"/>
      <c r="F163" s="6"/>
      <c r="G163" s="6"/>
      <c r="H163" s="6"/>
      <c r="I163" s="6"/>
      <c r="J163" s="6"/>
      <c r="K163" s="22"/>
      <c r="L163" s="6"/>
      <c r="M163" s="6"/>
      <c r="N163" s="6"/>
      <c r="O163" s="6"/>
      <c r="P163" s="6"/>
      <c r="Q163" s="6"/>
      <c r="R163" s="54"/>
    </row>
    <row r="164" spans="1:18" ht="12.75">
      <c r="A164" s="6"/>
      <c r="B164" s="6"/>
      <c r="C164" s="6"/>
      <c r="D164" s="6"/>
      <c r="E164" s="6"/>
      <c r="F164" s="6"/>
      <c r="G164" s="6"/>
      <c r="H164" s="6"/>
      <c r="I164" s="6"/>
      <c r="J164" s="6"/>
      <c r="K164" s="22"/>
      <c r="L164" s="6"/>
      <c r="M164" s="6"/>
      <c r="N164" s="6"/>
      <c r="O164" s="6"/>
      <c r="P164" s="6"/>
      <c r="Q164" s="6"/>
      <c r="R164" s="54"/>
    </row>
    <row r="165" spans="1:18" ht="12.75">
      <c r="A165" s="6"/>
      <c r="B165" s="6"/>
      <c r="C165" s="6"/>
      <c r="D165" s="6"/>
      <c r="E165" s="6"/>
      <c r="F165" s="6"/>
      <c r="G165" s="6"/>
      <c r="H165" s="6"/>
      <c r="I165" s="6"/>
      <c r="J165" s="6"/>
      <c r="K165" s="22"/>
      <c r="L165" s="6"/>
      <c r="M165" s="6"/>
      <c r="N165" s="6"/>
      <c r="O165" s="6"/>
      <c r="P165" s="6"/>
      <c r="Q165" s="6"/>
      <c r="R165" s="54"/>
    </row>
    <row r="166" spans="1:18" ht="12.75">
      <c r="A166" s="6"/>
      <c r="B166" s="6"/>
      <c r="C166" s="6"/>
      <c r="D166" s="6"/>
      <c r="E166" s="6"/>
      <c r="F166" s="6"/>
      <c r="G166" s="6"/>
      <c r="H166" s="6"/>
      <c r="I166" s="6"/>
      <c r="J166" s="6"/>
      <c r="K166" s="22"/>
      <c r="L166" s="6"/>
      <c r="M166" s="6"/>
      <c r="N166" s="6"/>
      <c r="O166" s="6"/>
      <c r="P166" s="6"/>
      <c r="Q166" s="6"/>
      <c r="R166" s="54"/>
    </row>
    <row r="167" spans="1:18" ht="12.75">
      <c r="A167" s="6"/>
      <c r="B167" s="6"/>
      <c r="C167" s="6"/>
      <c r="D167" s="6"/>
      <c r="E167" s="6"/>
      <c r="F167" s="6"/>
      <c r="G167" s="6"/>
      <c r="H167" s="6"/>
      <c r="I167" s="6"/>
      <c r="J167" s="6"/>
      <c r="K167" s="22"/>
      <c r="L167" s="6"/>
      <c r="M167" s="6"/>
      <c r="N167" s="6"/>
      <c r="O167" s="6"/>
      <c r="P167" s="6"/>
      <c r="Q167" s="6"/>
      <c r="R167" s="54"/>
    </row>
    <row r="168" spans="1:18" ht="12.75">
      <c r="A168" s="6"/>
      <c r="B168" s="6"/>
      <c r="C168" s="6"/>
      <c r="D168" s="6"/>
      <c r="E168" s="6"/>
      <c r="F168" s="6"/>
      <c r="G168" s="6"/>
      <c r="H168" s="6"/>
      <c r="I168" s="6"/>
      <c r="J168" s="6"/>
      <c r="K168" s="22"/>
      <c r="L168" s="6"/>
      <c r="M168" s="6"/>
      <c r="N168" s="6"/>
      <c r="O168" s="6"/>
      <c r="P168" s="6"/>
      <c r="Q168" s="6"/>
      <c r="R168" s="54"/>
    </row>
    <row r="169" spans="1:18" ht="12.75">
      <c r="A169" s="6"/>
      <c r="B169" s="6"/>
      <c r="C169" s="6"/>
      <c r="D169" s="6"/>
      <c r="E169" s="6"/>
      <c r="F169" s="6"/>
      <c r="G169" s="6"/>
      <c r="H169" s="6"/>
      <c r="I169" s="6"/>
      <c r="J169" s="6"/>
      <c r="K169" s="22"/>
      <c r="L169" s="6"/>
      <c r="M169" s="6"/>
      <c r="N169" s="6"/>
      <c r="O169" s="6"/>
      <c r="P169" s="6"/>
      <c r="Q169" s="6"/>
      <c r="R169" s="54"/>
    </row>
    <row r="170" spans="1:18" ht="12.75">
      <c r="A170" s="6"/>
      <c r="B170" s="6"/>
      <c r="C170" s="6"/>
      <c r="D170" s="6"/>
      <c r="E170" s="6"/>
      <c r="F170" s="6"/>
      <c r="G170" s="6"/>
      <c r="H170" s="6"/>
      <c r="I170" s="6"/>
      <c r="J170" s="6"/>
      <c r="K170" s="22"/>
      <c r="L170" s="6"/>
      <c r="M170" s="6"/>
      <c r="N170" s="6"/>
      <c r="O170" s="6"/>
      <c r="P170" s="6"/>
      <c r="Q170" s="6"/>
      <c r="R170" s="54"/>
    </row>
    <row r="171" spans="1:18" ht="12.75">
      <c r="A171" s="6"/>
      <c r="B171" s="6"/>
      <c r="C171" s="6"/>
      <c r="D171" s="6"/>
      <c r="E171" s="6"/>
      <c r="F171" s="6"/>
      <c r="G171" s="6"/>
      <c r="H171" s="6"/>
      <c r="I171" s="6"/>
      <c r="J171" s="6"/>
      <c r="K171" s="22"/>
      <c r="L171" s="6"/>
      <c r="M171" s="6"/>
      <c r="N171" s="6"/>
      <c r="O171" s="6"/>
      <c r="P171" s="6"/>
      <c r="Q171" s="6"/>
      <c r="R171" s="54"/>
    </row>
    <row r="172" spans="1:18" ht="12.75">
      <c r="A172" s="6"/>
      <c r="B172" s="6"/>
      <c r="C172" s="6"/>
      <c r="D172" s="6"/>
      <c r="E172" s="6"/>
      <c r="F172" s="6"/>
      <c r="G172" s="6"/>
      <c r="H172" s="6"/>
      <c r="I172" s="6"/>
      <c r="J172" s="6"/>
      <c r="K172" s="22"/>
      <c r="L172" s="6"/>
      <c r="M172" s="6"/>
      <c r="N172" s="6"/>
      <c r="O172" s="6"/>
      <c r="P172" s="6"/>
      <c r="Q172" s="6"/>
      <c r="R172" s="54"/>
    </row>
    <row r="173" spans="1:18" ht="12.75">
      <c r="A173" s="6"/>
      <c r="B173" s="6"/>
      <c r="C173" s="6"/>
      <c r="D173" s="6"/>
      <c r="E173" s="6"/>
      <c r="F173" s="6"/>
      <c r="G173" s="6"/>
      <c r="H173" s="6"/>
      <c r="I173" s="6"/>
      <c r="J173" s="6"/>
      <c r="K173" s="22"/>
      <c r="L173" s="6"/>
      <c r="M173" s="6"/>
      <c r="N173" s="6"/>
      <c r="O173" s="6"/>
      <c r="P173" s="6"/>
      <c r="Q173" s="6"/>
      <c r="R173" s="54"/>
    </row>
    <row r="174" spans="1:18" ht="12.75">
      <c r="A174" s="6"/>
      <c r="B174" s="6"/>
      <c r="C174" s="6"/>
      <c r="D174" s="6"/>
      <c r="E174" s="6"/>
      <c r="F174" s="6"/>
      <c r="G174" s="6"/>
      <c r="H174" s="6"/>
      <c r="I174" s="6"/>
      <c r="J174" s="6"/>
      <c r="K174" s="22"/>
      <c r="L174" s="6"/>
      <c r="M174" s="6"/>
      <c r="N174" s="6"/>
      <c r="O174" s="6"/>
      <c r="P174" s="6"/>
      <c r="Q174" s="6"/>
      <c r="R174" s="54"/>
    </row>
    <row r="175" spans="1:18" ht="12.75">
      <c r="A175" s="6"/>
      <c r="B175" s="6"/>
      <c r="C175" s="6"/>
      <c r="D175" s="6"/>
      <c r="E175" s="6"/>
      <c r="F175" s="6"/>
      <c r="G175" s="6"/>
      <c r="H175" s="6"/>
      <c r="I175" s="6"/>
      <c r="J175" s="6"/>
      <c r="K175" s="22"/>
      <c r="L175" s="6"/>
      <c r="M175" s="6"/>
      <c r="N175" s="6"/>
      <c r="O175" s="6"/>
      <c r="P175" s="6"/>
      <c r="Q175" s="6"/>
      <c r="R175" s="54"/>
    </row>
    <row r="176" spans="1:18" ht="12.75">
      <c r="A176" s="6"/>
      <c r="B176" s="6"/>
      <c r="C176" s="6"/>
      <c r="D176" s="6"/>
      <c r="E176" s="6"/>
      <c r="F176" s="6"/>
      <c r="G176" s="6"/>
      <c r="H176" s="6"/>
      <c r="I176" s="6"/>
      <c r="J176" s="6"/>
      <c r="K176" s="22"/>
      <c r="L176" s="6"/>
      <c r="M176" s="6"/>
      <c r="N176" s="6"/>
      <c r="O176" s="6"/>
      <c r="P176" s="6"/>
      <c r="Q176" s="6"/>
      <c r="R176" s="54"/>
    </row>
    <row r="177" spans="1:18" ht="12.75">
      <c r="A177" s="6"/>
      <c r="B177" s="6"/>
      <c r="C177" s="6"/>
      <c r="D177" s="6"/>
      <c r="E177" s="6"/>
      <c r="F177" s="6"/>
      <c r="G177" s="6"/>
      <c r="H177" s="6"/>
      <c r="I177" s="6"/>
      <c r="J177" s="6"/>
      <c r="K177" s="22"/>
      <c r="L177" s="6"/>
      <c r="M177" s="6"/>
      <c r="N177" s="6"/>
      <c r="O177" s="6"/>
      <c r="P177" s="6"/>
      <c r="Q177" s="6"/>
      <c r="R177" s="54"/>
    </row>
    <row r="178" spans="1:18" ht="12.75">
      <c r="A178" s="6"/>
      <c r="B178" s="6"/>
      <c r="C178" s="6"/>
      <c r="D178" s="6"/>
      <c r="E178" s="6"/>
      <c r="F178" s="6"/>
      <c r="G178" s="6"/>
      <c r="H178" s="6"/>
      <c r="I178" s="6"/>
      <c r="J178" s="6"/>
      <c r="K178" s="22"/>
      <c r="L178" s="6"/>
      <c r="M178" s="6"/>
      <c r="N178" s="6"/>
      <c r="O178" s="6"/>
      <c r="P178" s="6"/>
      <c r="Q178" s="6"/>
      <c r="R178" s="54"/>
    </row>
    <row r="179" spans="1:18" ht="12.75">
      <c r="A179" s="6"/>
      <c r="B179" s="6"/>
      <c r="C179" s="6"/>
      <c r="D179" s="6"/>
      <c r="E179" s="6"/>
      <c r="F179" s="6"/>
      <c r="G179" s="6"/>
      <c r="H179" s="6"/>
      <c r="I179" s="6"/>
      <c r="J179" s="6"/>
      <c r="K179" s="22"/>
      <c r="L179" s="6"/>
      <c r="M179" s="6"/>
      <c r="N179" s="6"/>
      <c r="O179" s="6"/>
      <c r="P179" s="6"/>
      <c r="Q179" s="6"/>
      <c r="R179" s="54"/>
    </row>
    <row r="180" spans="1:18" ht="12.75">
      <c r="A180" s="6"/>
      <c r="B180" s="6"/>
      <c r="C180" s="6"/>
      <c r="D180" s="6"/>
      <c r="E180" s="6"/>
      <c r="F180" s="6"/>
      <c r="G180" s="6"/>
      <c r="H180" s="6"/>
      <c r="I180" s="6"/>
      <c r="J180" s="6"/>
      <c r="K180" s="22"/>
      <c r="L180" s="6"/>
      <c r="M180" s="6"/>
      <c r="N180" s="6"/>
      <c r="O180" s="6"/>
      <c r="P180" s="6"/>
      <c r="Q180" s="6"/>
      <c r="R180" s="54"/>
    </row>
    <row r="181" spans="1:18" ht="12.75">
      <c r="A181" s="6"/>
      <c r="B181" s="6"/>
      <c r="C181" s="6"/>
      <c r="D181" s="6"/>
      <c r="E181" s="6"/>
      <c r="F181" s="6"/>
      <c r="G181" s="6"/>
      <c r="H181" s="6"/>
      <c r="I181" s="6"/>
      <c r="J181" s="6"/>
      <c r="K181" s="22"/>
      <c r="L181" s="6"/>
      <c r="M181" s="6"/>
      <c r="N181" s="6"/>
      <c r="O181" s="6"/>
      <c r="P181" s="6"/>
      <c r="Q181" s="6"/>
      <c r="R181" s="54"/>
    </row>
    <row r="182" spans="1:18" ht="12.75">
      <c r="A182" s="6"/>
      <c r="B182" s="6"/>
      <c r="C182" s="6"/>
      <c r="D182" s="6"/>
      <c r="E182" s="6"/>
      <c r="F182" s="6"/>
      <c r="G182" s="6"/>
      <c r="H182" s="6"/>
      <c r="I182" s="6"/>
      <c r="J182" s="6"/>
      <c r="K182" s="22"/>
      <c r="L182" s="6"/>
      <c r="M182" s="6"/>
      <c r="N182" s="6"/>
      <c r="O182" s="6"/>
      <c r="P182" s="6"/>
      <c r="Q182" s="6"/>
      <c r="R182" s="54"/>
    </row>
    <row r="183" spans="1:18" ht="12.75">
      <c r="A183" s="6"/>
      <c r="B183" s="6"/>
      <c r="C183" s="6"/>
      <c r="D183" s="6"/>
      <c r="E183" s="6"/>
      <c r="F183" s="6"/>
      <c r="G183" s="6"/>
      <c r="H183" s="6"/>
      <c r="I183" s="6"/>
      <c r="J183" s="6"/>
      <c r="K183" s="22"/>
      <c r="L183" s="6"/>
      <c r="M183" s="6"/>
      <c r="N183" s="6"/>
      <c r="O183" s="6"/>
      <c r="P183" s="6"/>
      <c r="Q183" s="6"/>
      <c r="R183" s="54"/>
    </row>
    <row r="184" spans="1:18" ht="12.75">
      <c r="A184" s="6"/>
      <c r="B184" s="6"/>
      <c r="C184" s="6"/>
      <c r="D184" s="6"/>
      <c r="E184" s="6"/>
      <c r="F184" s="6"/>
      <c r="G184" s="6"/>
      <c r="H184" s="6"/>
      <c r="I184" s="6"/>
      <c r="J184" s="6"/>
      <c r="K184" s="22"/>
      <c r="L184" s="6"/>
      <c r="M184" s="6"/>
      <c r="N184" s="6"/>
      <c r="O184" s="6"/>
      <c r="P184" s="6"/>
      <c r="Q184" s="6"/>
      <c r="R184" s="54"/>
    </row>
    <row r="185" spans="1:18" ht="12.75">
      <c r="A185" s="6"/>
      <c r="B185" s="6"/>
      <c r="C185" s="6"/>
      <c r="D185" s="6"/>
      <c r="E185" s="6"/>
      <c r="F185" s="6"/>
      <c r="G185" s="6"/>
      <c r="H185" s="6"/>
      <c r="I185" s="6"/>
      <c r="J185" s="6"/>
      <c r="K185" s="22"/>
      <c r="L185" s="6"/>
      <c r="M185" s="6"/>
      <c r="N185" s="6"/>
      <c r="O185" s="6"/>
      <c r="P185" s="6"/>
      <c r="Q185" s="6"/>
      <c r="R185" s="54"/>
    </row>
    <row r="186" spans="1:18" ht="12.75">
      <c r="A186" s="6"/>
      <c r="B186" s="6"/>
      <c r="C186" s="6"/>
      <c r="D186" s="6"/>
      <c r="E186" s="6"/>
      <c r="F186" s="6"/>
      <c r="G186" s="6"/>
      <c r="H186" s="6"/>
      <c r="I186" s="6"/>
      <c r="J186" s="6"/>
      <c r="K186" s="22"/>
      <c r="L186" s="6"/>
      <c r="M186" s="6"/>
      <c r="N186" s="6"/>
      <c r="O186" s="6"/>
      <c r="P186" s="6"/>
      <c r="Q186" s="6"/>
      <c r="R186" s="54"/>
    </row>
    <row r="187" spans="1:18" ht="12.75">
      <c r="A187" s="6"/>
      <c r="B187" s="6"/>
      <c r="C187" s="6"/>
      <c r="D187" s="6"/>
      <c r="E187" s="6"/>
      <c r="F187" s="6"/>
      <c r="G187" s="6"/>
      <c r="H187" s="6"/>
      <c r="I187" s="6"/>
      <c r="J187" s="6"/>
      <c r="K187" s="22"/>
      <c r="L187" s="6"/>
      <c r="M187" s="6"/>
      <c r="N187" s="6"/>
      <c r="O187" s="6"/>
      <c r="P187" s="6"/>
      <c r="Q187" s="6"/>
      <c r="R187" s="54"/>
    </row>
    <row r="188" spans="1:18" ht="12.75">
      <c r="A188" s="6"/>
      <c r="B188" s="6"/>
      <c r="C188" s="6"/>
      <c r="D188" s="6"/>
      <c r="E188" s="6"/>
      <c r="F188" s="6"/>
      <c r="G188" s="6"/>
      <c r="H188" s="6"/>
      <c r="I188" s="6"/>
      <c r="J188" s="6"/>
      <c r="K188" s="22"/>
      <c r="L188" s="6"/>
      <c r="M188" s="6"/>
      <c r="N188" s="6"/>
      <c r="O188" s="6"/>
      <c r="P188" s="6"/>
      <c r="Q188" s="6"/>
      <c r="R188" s="54"/>
    </row>
    <row r="189" spans="1:18" ht="12.75">
      <c r="A189" s="6"/>
      <c r="B189" s="6"/>
      <c r="C189" s="6"/>
      <c r="D189" s="6"/>
      <c r="E189" s="6"/>
      <c r="F189" s="6"/>
      <c r="G189" s="6"/>
      <c r="H189" s="6"/>
      <c r="I189" s="6"/>
      <c r="J189" s="6"/>
      <c r="K189" s="22"/>
      <c r="L189" s="6"/>
      <c r="M189" s="6"/>
      <c r="N189" s="6"/>
      <c r="O189" s="6"/>
      <c r="P189" s="6"/>
      <c r="Q189" s="6"/>
      <c r="R189" s="54"/>
    </row>
    <row r="190" spans="1:18" ht="12.75">
      <c r="A190" s="6"/>
      <c r="B190" s="6"/>
      <c r="C190" s="6"/>
      <c r="D190" s="6"/>
      <c r="E190" s="6"/>
      <c r="F190" s="6"/>
      <c r="G190" s="6"/>
      <c r="H190" s="6"/>
      <c r="I190" s="6"/>
      <c r="J190" s="6"/>
      <c r="K190" s="22"/>
      <c r="L190" s="6"/>
      <c r="M190" s="6"/>
      <c r="N190" s="6"/>
      <c r="O190" s="6"/>
      <c r="P190" s="6"/>
      <c r="Q190" s="6"/>
      <c r="R190" s="54"/>
    </row>
    <row r="191" spans="1:18" ht="12.75">
      <c r="A191" s="6"/>
      <c r="B191" s="6"/>
      <c r="C191" s="6"/>
      <c r="D191" s="6"/>
      <c r="E191" s="6"/>
      <c r="F191" s="6"/>
      <c r="G191" s="6"/>
      <c r="H191" s="6"/>
      <c r="I191" s="6"/>
      <c r="J191" s="6"/>
      <c r="K191" s="22"/>
      <c r="L191" s="6"/>
      <c r="M191" s="6"/>
      <c r="N191" s="6"/>
      <c r="O191" s="6"/>
      <c r="P191" s="6"/>
      <c r="Q191" s="6"/>
      <c r="R191" s="54"/>
    </row>
    <row r="192" spans="1:18" ht="12.75">
      <c r="A192" s="6"/>
      <c r="B192" s="6"/>
      <c r="C192" s="6"/>
      <c r="D192" s="6"/>
      <c r="E192" s="6"/>
      <c r="F192" s="6"/>
      <c r="G192" s="6"/>
      <c r="H192" s="6"/>
      <c r="I192" s="6"/>
      <c r="J192" s="6"/>
      <c r="K192" s="22"/>
      <c r="L192" s="6"/>
      <c r="M192" s="6"/>
      <c r="N192" s="6"/>
      <c r="O192" s="6"/>
      <c r="P192" s="6"/>
      <c r="Q192" s="6"/>
      <c r="R192" s="54"/>
    </row>
    <row r="193" spans="1:18" ht="12.75">
      <c r="A193" s="6"/>
      <c r="B193" s="6"/>
      <c r="C193" s="6"/>
      <c r="D193" s="6"/>
      <c r="E193" s="6"/>
      <c r="F193" s="6"/>
      <c r="G193" s="6"/>
      <c r="H193" s="6"/>
      <c r="I193" s="6"/>
      <c r="J193" s="6"/>
      <c r="K193" s="22"/>
      <c r="L193" s="6"/>
      <c r="M193" s="6"/>
      <c r="N193" s="6"/>
      <c r="O193" s="6"/>
      <c r="P193" s="6"/>
      <c r="Q193" s="6"/>
      <c r="R193" s="54"/>
    </row>
    <row r="194" spans="1:18" ht="12.75">
      <c r="A194" s="6"/>
      <c r="B194" s="6"/>
      <c r="C194" s="6"/>
      <c r="D194" s="6"/>
      <c r="E194" s="6"/>
      <c r="F194" s="6"/>
      <c r="G194" s="6"/>
      <c r="H194" s="6"/>
      <c r="I194" s="6"/>
      <c r="J194" s="6"/>
      <c r="K194" s="22"/>
      <c r="L194" s="6"/>
      <c r="M194" s="6"/>
      <c r="N194" s="6"/>
      <c r="O194" s="6"/>
      <c r="P194" s="6"/>
      <c r="Q194" s="6"/>
      <c r="R194" s="54"/>
    </row>
    <row r="195" spans="1:18" ht="12.75">
      <c r="A195" s="6"/>
      <c r="B195" s="6"/>
      <c r="C195" s="6"/>
      <c r="D195" s="6"/>
      <c r="E195" s="6"/>
      <c r="F195" s="6"/>
      <c r="G195" s="6"/>
      <c r="H195" s="6"/>
      <c r="I195" s="6"/>
      <c r="J195" s="6"/>
      <c r="K195" s="22"/>
      <c r="L195" s="6"/>
      <c r="M195" s="6"/>
      <c r="N195" s="6"/>
      <c r="O195" s="6"/>
      <c r="P195" s="6"/>
      <c r="Q195" s="6"/>
      <c r="R195" s="54"/>
    </row>
    <row r="196" spans="1:18" ht="12.75">
      <c r="A196" s="6"/>
      <c r="B196" s="6"/>
      <c r="C196" s="6"/>
      <c r="D196" s="6"/>
      <c r="E196" s="6"/>
      <c r="F196" s="6"/>
      <c r="G196" s="6"/>
      <c r="H196" s="6"/>
      <c r="I196" s="6"/>
      <c r="J196" s="6"/>
      <c r="K196" s="22"/>
      <c r="L196" s="6"/>
      <c r="M196" s="6"/>
      <c r="N196" s="6"/>
      <c r="O196" s="6"/>
      <c r="P196" s="6"/>
      <c r="Q196" s="6"/>
      <c r="R196" s="54"/>
    </row>
    <row r="197" spans="1:18" ht="12.75">
      <c r="A197" s="6"/>
      <c r="B197" s="6"/>
      <c r="C197" s="6"/>
      <c r="D197" s="6"/>
      <c r="E197" s="6"/>
      <c r="F197" s="6"/>
      <c r="G197" s="6"/>
      <c r="H197" s="6"/>
      <c r="I197" s="6"/>
      <c r="J197" s="6"/>
      <c r="K197" s="22"/>
      <c r="L197" s="6"/>
      <c r="M197" s="6"/>
      <c r="N197" s="6"/>
      <c r="O197" s="6"/>
      <c r="P197" s="6"/>
      <c r="Q197" s="6"/>
      <c r="R197" s="54"/>
    </row>
    <row r="198" spans="1:18" ht="12.75">
      <c r="A198" s="6"/>
      <c r="B198" s="6"/>
      <c r="C198" s="6"/>
      <c r="D198" s="6"/>
      <c r="E198" s="6"/>
      <c r="F198" s="6"/>
      <c r="G198" s="6"/>
      <c r="H198" s="6"/>
      <c r="I198" s="6"/>
      <c r="J198" s="6"/>
      <c r="K198" s="22"/>
      <c r="L198" s="6"/>
      <c r="M198" s="6"/>
      <c r="N198" s="6"/>
      <c r="O198" s="6"/>
      <c r="P198" s="6"/>
      <c r="Q198" s="6"/>
      <c r="R198" s="54"/>
    </row>
    <row r="199" spans="1:18" ht="12.75">
      <c r="A199" s="6"/>
      <c r="B199" s="6"/>
      <c r="C199" s="6"/>
      <c r="D199" s="6"/>
      <c r="E199" s="6"/>
      <c r="F199" s="6"/>
      <c r="G199" s="6"/>
      <c r="H199" s="6"/>
      <c r="I199" s="6"/>
      <c r="J199" s="6"/>
      <c r="K199" s="22"/>
      <c r="L199" s="6"/>
      <c r="M199" s="6"/>
      <c r="N199" s="6"/>
      <c r="O199" s="6"/>
      <c r="P199" s="6"/>
      <c r="Q199" s="6"/>
      <c r="R199" s="54"/>
    </row>
    <row r="200" spans="1:18" ht="12.75">
      <c r="A200" s="6"/>
      <c r="B200" s="6"/>
      <c r="C200" s="6"/>
      <c r="D200" s="6"/>
      <c r="E200" s="6"/>
      <c r="F200" s="6"/>
      <c r="G200" s="6"/>
      <c r="H200" s="6"/>
      <c r="I200" s="6"/>
      <c r="J200" s="6"/>
      <c r="K200" s="22"/>
      <c r="L200" s="6"/>
      <c r="M200" s="6"/>
      <c r="N200" s="6"/>
      <c r="O200" s="6"/>
      <c r="P200" s="6"/>
      <c r="Q200" s="6"/>
      <c r="R200" s="54"/>
    </row>
    <row r="201" spans="1:18" ht="12.75">
      <c r="A201" s="6"/>
      <c r="B201" s="6"/>
      <c r="C201" s="6"/>
      <c r="D201" s="6"/>
      <c r="E201" s="6"/>
      <c r="F201" s="6"/>
      <c r="G201" s="6"/>
      <c r="H201" s="6"/>
      <c r="I201" s="6"/>
      <c r="J201" s="6"/>
      <c r="K201" s="22"/>
      <c r="L201" s="6"/>
      <c r="M201" s="6"/>
      <c r="N201" s="6"/>
      <c r="O201" s="6"/>
      <c r="P201" s="6"/>
      <c r="Q201" s="6"/>
      <c r="R201" s="54"/>
    </row>
    <row r="202" spans="1:18" ht="12.75">
      <c r="A202" s="6"/>
      <c r="B202" s="6"/>
      <c r="C202" s="6"/>
      <c r="D202" s="6"/>
      <c r="E202" s="6"/>
      <c r="F202" s="6"/>
      <c r="G202" s="6"/>
      <c r="H202" s="6"/>
      <c r="I202" s="6"/>
      <c r="J202" s="6"/>
      <c r="K202" s="22"/>
      <c r="L202" s="6"/>
      <c r="M202" s="6"/>
      <c r="N202" s="6"/>
      <c r="O202" s="6"/>
      <c r="P202" s="6"/>
      <c r="Q202" s="6"/>
      <c r="R202" s="54"/>
    </row>
    <row r="203" spans="1:18" ht="12.75">
      <c r="A203" s="6"/>
      <c r="B203" s="6"/>
      <c r="C203" s="6"/>
      <c r="D203" s="6"/>
      <c r="E203" s="6"/>
      <c r="F203" s="6"/>
      <c r="G203" s="6"/>
      <c r="H203" s="6"/>
      <c r="I203" s="6"/>
      <c r="J203" s="6"/>
      <c r="K203" s="22"/>
      <c r="L203" s="6"/>
      <c r="M203" s="6"/>
      <c r="N203" s="6"/>
      <c r="O203" s="6"/>
      <c r="P203" s="6"/>
      <c r="Q203" s="6"/>
      <c r="R203" s="54"/>
    </row>
    <row r="204" spans="1:18" ht="12.75">
      <c r="A204" s="6"/>
      <c r="B204" s="6"/>
      <c r="C204" s="6"/>
      <c r="D204" s="6"/>
      <c r="E204" s="6"/>
      <c r="F204" s="6"/>
      <c r="G204" s="6"/>
      <c r="H204" s="6"/>
      <c r="I204" s="6"/>
      <c r="J204" s="6"/>
      <c r="K204" s="22"/>
      <c r="L204" s="6"/>
      <c r="M204" s="6"/>
      <c r="N204" s="6"/>
      <c r="O204" s="6"/>
      <c r="P204" s="6"/>
      <c r="Q204" s="6"/>
      <c r="R204" s="54"/>
    </row>
    <row r="205" spans="1:18" ht="12.75">
      <c r="A205" s="6"/>
      <c r="B205" s="6"/>
      <c r="C205" s="6"/>
      <c r="D205" s="6"/>
      <c r="E205" s="6"/>
      <c r="F205" s="6"/>
      <c r="G205" s="6"/>
      <c r="H205" s="6"/>
      <c r="I205" s="6"/>
      <c r="J205" s="6"/>
      <c r="K205" s="22"/>
      <c r="L205" s="6"/>
      <c r="M205" s="6"/>
      <c r="N205" s="6"/>
      <c r="O205" s="6"/>
      <c r="P205" s="6"/>
      <c r="Q205" s="6"/>
      <c r="R205" s="54"/>
    </row>
    <row r="206" spans="1:18" ht="12.75">
      <c r="A206" s="6"/>
      <c r="B206" s="6"/>
      <c r="C206" s="6"/>
      <c r="D206" s="6"/>
      <c r="E206" s="6"/>
      <c r="F206" s="6"/>
      <c r="G206" s="6"/>
      <c r="H206" s="6"/>
      <c r="I206" s="6"/>
      <c r="J206" s="6"/>
      <c r="K206" s="22"/>
      <c r="L206" s="6"/>
      <c r="M206" s="6"/>
      <c r="N206" s="6"/>
      <c r="O206" s="6"/>
      <c r="P206" s="6"/>
      <c r="Q206" s="6"/>
      <c r="R206" s="54"/>
    </row>
    <row r="207" spans="1:18" ht="12.75">
      <c r="A207" s="6"/>
      <c r="B207" s="6"/>
      <c r="C207" s="6"/>
      <c r="D207" s="6"/>
      <c r="E207" s="6"/>
      <c r="F207" s="6"/>
      <c r="G207" s="6"/>
      <c r="H207" s="6"/>
      <c r="I207" s="6"/>
      <c r="J207" s="6"/>
      <c r="K207" s="22"/>
      <c r="L207" s="6"/>
      <c r="M207" s="6"/>
      <c r="N207" s="6"/>
      <c r="O207" s="6"/>
      <c r="P207" s="6"/>
      <c r="Q207" s="6"/>
      <c r="R207" s="54"/>
    </row>
    <row r="208" spans="1:18" ht="12.75">
      <c r="A208" s="6"/>
      <c r="B208" s="6"/>
      <c r="C208" s="6"/>
      <c r="D208" s="6"/>
      <c r="E208" s="6"/>
      <c r="F208" s="6"/>
      <c r="G208" s="6"/>
      <c r="H208" s="6"/>
      <c r="I208" s="6"/>
      <c r="J208" s="6"/>
      <c r="K208" s="22"/>
      <c r="L208" s="6"/>
      <c r="M208" s="6"/>
      <c r="N208" s="6"/>
      <c r="O208" s="6"/>
      <c r="P208" s="6"/>
      <c r="Q208" s="6"/>
      <c r="R208" s="54"/>
    </row>
    <row r="209" spans="1:18" ht="12.75">
      <c r="A209" s="6"/>
      <c r="B209" s="6"/>
      <c r="C209" s="6"/>
      <c r="D209" s="6"/>
      <c r="E209" s="6"/>
      <c r="F209" s="6"/>
      <c r="G209" s="6"/>
      <c r="H209" s="6"/>
      <c r="I209" s="6"/>
      <c r="J209" s="6"/>
      <c r="K209" s="22"/>
      <c r="L209" s="6"/>
      <c r="M209" s="6"/>
      <c r="N209" s="6"/>
      <c r="O209" s="6"/>
      <c r="P209" s="6"/>
      <c r="Q209" s="6"/>
      <c r="R209" s="54"/>
    </row>
    <row r="210" spans="1:18" ht="12.75">
      <c r="A210" s="6"/>
      <c r="B210" s="6"/>
      <c r="C210" s="6"/>
      <c r="D210" s="6"/>
      <c r="E210" s="6"/>
      <c r="F210" s="6"/>
      <c r="G210" s="6"/>
      <c r="H210" s="6"/>
      <c r="I210" s="6"/>
      <c r="J210" s="6"/>
      <c r="K210" s="22"/>
      <c r="L210" s="6"/>
      <c r="M210" s="6"/>
      <c r="N210" s="6"/>
      <c r="O210" s="6"/>
      <c r="P210" s="6"/>
      <c r="Q210" s="6"/>
      <c r="R210" s="54"/>
    </row>
    <row r="211" spans="1:18" ht="12.75">
      <c r="A211" s="6"/>
      <c r="B211" s="6"/>
      <c r="C211" s="6"/>
      <c r="D211" s="6"/>
      <c r="E211" s="6"/>
      <c r="F211" s="6"/>
      <c r="G211" s="6"/>
      <c r="H211" s="6"/>
      <c r="I211" s="6"/>
      <c r="J211" s="6"/>
      <c r="K211" s="22"/>
      <c r="L211" s="6"/>
      <c r="M211" s="6"/>
      <c r="N211" s="6"/>
      <c r="O211" s="6"/>
      <c r="P211" s="6"/>
      <c r="Q211" s="6"/>
      <c r="R211" s="54"/>
    </row>
    <row r="212" spans="1:18" ht="12.75">
      <c r="A212" s="6"/>
      <c r="B212" s="6"/>
      <c r="C212" s="6"/>
      <c r="D212" s="6"/>
      <c r="E212" s="6"/>
      <c r="F212" s="6"/>
      <c r="G212" s="6"/>
      <c r="H212" s="6"/>
      <c r="I212" s="6"/>
      <c r="J212" s="6"/>
      <c r="K212" s="22"/>
      <c r="L212" s="6"/>
      <c r="M212" s="6"/>
      <c r="N212" s="6"/>
      <c r="O212" s="6"/>
      <c r="P212" s="6"/>
      <c r="Q212" s="6"/>
      <c r="R212" s="54"/>
    </row>
    <row r="213" spans="1:18" ht="12.75">
      <c r="A213" s="6"/>
      <c r="B213" s="6"/>
      <c r="C213" s="6"/>
      <c r="D213" s="6"/>
      <c r="E213" s="6"/>
      <c r="F213" s="6"/>
      <c r="G213" s="6"/>
      <c r="H213" s="6"/>
      <c r="I213" s="6"/>
      <c r="J213" s="6"/>
      <c r="K213" s="22"/>
      <c r="L213" s="6"/>
      <c r="M213" s="6"/>
      <c r="N213" s="6"/>
      <c r="O213" s="6"/>
      <c r="P213" s="6"/>
      <c r="Q213" s="6"/>
      <c r="R213" s="54"/>
    </row>
    <row r="214" spans="1:18" ht="12.75">
      <c r="A214" s="6"/>
      <c r="B214" s="6"/>
      <c r="C214" s="6"/>
      <c r="D214" s="6"/>
      <c r="E214" s="6"/>
      <c r="F214" s="6"/>
      <c r="G214" s="6"/>
      <c r="H214" s="6"/>
      <c r="I214" s="6"/>
      <c r="J214" s="6"/>
      <c r="K214" s="22"/>
      <c r="L214" s="6"/>
      <c r="M214" s="6"/>
      <c r="N214" s="6"/>
      <c r="O214" s="6"/>
      <c r="P214" s="6"/>
      <c r="Q214" s="6"/>
      <c r="R214" s="54"/>
    </row>
    <row r="215" spans="1:18" ht="12.75">
      <c r="A215" s="6"/>
      <c r="B215" s="6"/>
      <c r="C215" s="6"/>
      <c r="D215" s="6"/>
      <c r="E215" s="6"/>
      <c r="F215" s="6"/>
      <c r="G215" s="6"/>
      <c r="H215" s="6"/>
      <c r="I215" s="6"/>
      <c r="J215" s="6"/>
      <c r="K215" s="22"/>
      <c r="L215" s="6"/>
      <c r="M215" s="6"/>
      <c r="N215" s="6"/>
      <c r="O215" s="6"/>
      <c r="P215" s="6"/>
      <c r="Q215" s="6"/>
      <c r="R215" s="54"/>
    </row>
    <row r="216" spans="1:18" ht="12.75">
      <c r="A216" s="6"/>
      <c r="B216" s="6"/>
      <c r="C216" s="6"/>
      <c r="D216" s="6"/>
      <c r="E216" s="6"/>
      <c r="F216" s="6"/>
      <c r="G216" s="6"/>
      <c r="H216" s="6"/>
      <c r="I216" s="6"/>
      <c r="J216" s="6"/>
      <c r="K216" s="22"/>
      <c r="L216" s="6"/>
      <c r="M216" s="6"/>
      <c r="N216" s="6"/>
      <c r="O216" s="6"/>
      <c r="P216" s="6"/>
      <c r="Q216" s="6"/>
      <c r="R216" s="54"/>
    </row>
    <row r="217" spans="1:18" ht="12.75">
      <c r="A217" s="6"/>
      <c r="B217" s="6"/>
      <c r="C217" s="6"/>
      <c r="D217" s="6"/>
      <c r="E217" s="6"/>
      <c r="F217" s="6"/>
      <c r="G217" s="6"/>
      <c r="H217" s="6"/>
      <c r="I217" s="6"/>
      <c r="J217" s="6"/>
      <c r="K217" s="22"/>
      <c r="L217" s="6"/>
      <c r="M217" s="6"/>
      <c r="N217" s="6"/>
      <c r="O217" s="6"/>
      <c r="P217" s="6"/>
      <c r="Q217" s="6"/>
      <c r="R217" s="54"/>
    </row>
    <row r="218" spans="1:18" ht="12.75">
      <c r="A218" s="6"/>
      <c r="B218" s="6"/>
      <c r="C218" s="6"/>
      <c r="D218" s="6"/>
      <c r="E218" s="6"/>
      <c r="F218" s="6"/>
      <c r="G218" s="6"/>
      <c r="H218" s="6"/>
      <c r="I218" s="6"/>
      <c r="J218" s="6"/>
      <c r="K218" s="22"/>
      <c r="L218" s="6"/>
      <c r="M218" s="6"/>
      <c r="N218" s="6"/>
      <c r="O218" s="6"/>
      <c r="P218" s="6"/>
      <c r="Q218" s="6"/>
      <c r="R218" s="54"/>
    </row>
    <row r="219" spans="1:18" ht="12.75">
      <c r="A219" s="6"/>
      <c r="B219" s="6"/>
      <c r="C219" s="6"/>
      <c r="D219" s="6"/>
      <c r="E219" s="6"/>
      <c r="F219" s="6"/>
      <c r="G219" s="6"/>
      <c r="H219" s="6"/>
      <c r="I219" s="6"/>
      <c r="J219" s="6"/>
      <c r="K219" s="22"/>
      <c r="L219" s="6"/>
      <c r="M219" s="6"/>
      <c r="N219" s="6"/>
      <c r="O219" s="6"/>
      <c r="P219" s="6"/>
      <c r="Q219" s="6"/>
      <c r="R219" s="54"/>
    </row>
    <row r="220" spans="1:18" ht="12.75">
      <c r="A220" s="6"/>
      <c r="B220" s="6"/>
      <c r="C220" s="6"/>
      <c r="D220" s="6"/>
      <c r="E220" s="6"/>
      <c r="F220" s="6"/>
      <c r="G220" s="6"/>
      <c r="H220" s="6"/>
      <c r="I220" s="6"/>
      <c r="J220" s="6"/>
      <c r="K220" s="22"/>
      <c r="L220" s="6"/>
      <c r="M220" s="6"/>
      <c r="N220" s="6"/>
      <c r="O220" s="6"/>
      <c r="P220" s="6"/>
      <c r="Q220" s="6"/>
      <c r="R220" s="54"/>
    </row>
    <row r="221" spans="1:18" ht="12.75">
      <c r="A221" s="6"/>
      <c r="B221" s="6"/>
      <c r="C221" s="6"/>
      <c r="D221" s="6"/>
      <c r="E221" s="6"/>
      <c r="F221" s="6"/>
      <c r="G221" s="6"/>
      <c r="H221" s="6"/>
      <c r="I221" s="6"/>
      <c r="J221" s="6"/>
      <c r="K221" s="22"/>
      <c r="L221" s="6"/>
      <c r="M221" s="6"/>
      <c r="N221" s="6"/>
      <c r="O221" s="6"/>
      <c r="P221" s="6"/>
      <c r="Q221" s="6"/>
      <c r="R221" s="54"/>
    </row>
    <row r="222" spans="1:18" ht="12.75">
      <c r="A222" s="6"/>
      <c r="B222" s="6"/>
      <c r="C222" s="6"/>
      <c r="D222" s="6"/>
      <c r="E222" s="6"/>
      <c r="F222" s="6"/>
      <c r="G222" s="6"/>
      <c r="H222" s="6"/>
      <c r="I222" s="6"/>
      <c r="J222" s="6"/>
      <c r="K222" s="22"/>
      <c r="L222" s="6"/>
      <c r="M222" s="6"/>
      <c r="N222" s="6"/>
      <c r="O222" s="6"/>
      <c r="P222" s="6"/>
      <c r="Q222" s="6"/>
      <c r="R222" s="54"/>
    </row>
    <row r="223" spans="1:18" ht="12.75">
      <c r="A223" s="6"/>
      <c r="B223" s="6"/>
      <c r="C223" s="6"/>
      <c r="D223" s="6"/>
      <c r="E223" s="6"/>
      <c r="F223" s="6"/>
      <c r="G223" s="6"/>
      <c r="H223" s="6"/>
      <c r="I223" s="6"/>
      <c r="J223" s="6"/>
      <c r="K223" s="22"/>
      <c r="L223" s="6"/>
      <c r="M223" s="6"/>
      <c r="N223" s="6"/>
      <c r="O223" s="6"/>
      <c r="P223" s="6"/>
      <c r="Q223" s="6"/>
      <c r="R223" s="54"/>
    </row>
    <row r="224" spans="1:18" ht="12.75">
      <c r="A224" s="6"/>
      <c r="B224" s="6"/>
      <c r="C224" s="6"/>
      <c r="D224" s="6"/>
      <c r="E224" s="6"/>
      <c r="F224" s="6"/>
      <c r="G224" s="6"/>
      <c r="H224" s="6"/>
      <c r="I224" s="6"/>
      <c r="J224" s="6"/>
      <c r="K224" s="22"/>
      <c r="L224" s="6"/>
      <c r="M224" s="6"/>
      <c r="N224" s="6"/>
      <c r="O224" s="6"/>
      <c r="P224" s="6"/>
      <c r="Q224" s="6"/>
      <c r="R224" s="54"/>
    </row>
    <row r="225" spans="1:18" ht="12.75">
      <c r="A225" s="6"/>
      <c r="B225" s="6"/>
      <c r="C225" s="6"/>
      <c r="D225" s="6"/>
      <c r="E225" s="6"/>
      <c r="F225" s="6"/>
      <c r="G225" s="6"/>
      <c r="H225" s="6"/>
      <c r="I225" s="6"/>
      <c r="J225" s="6"/>
      <c r="K225" s="22"/>
      <c r="L225" s="6"/>
      <c r="M225" s="6"/>
      <c r="N225" s="6"/>
      <c r="O225" s="6"/>
      <c r="P225" s="6"/>
      <c r="Q225" s="6"/>
      <c r="R225" s="54"/>
    </row>
    <row r="226" spans="1:18" ht="12.75">
      <c r="A226" s="6"/>
      <c r="B226" s="6"/>
      <c r="C226" s="6"/>
      <c r="D226" s="6"/>
      <c r="E226" s="6"/>
      <c r="F226" s="6"/>
      <c r="G226" s="6"/>
      <c r="H226" s="6"/>
      <c r="I226" s="6"/>
      <c r="J226" s="6"/>
      <c r="K226" s="22"/>
      <c r="L226" s="6"/>
      <c r="M226" s="6"/>
      <c r="N226" s="6"/>
      <c r="O226" s="6"/>
      <c r="P226" s="6"/>
      <c r="Q226" s="6"/>
      <c r="R226" s="54"/>
    </row>
    <row r="227" spans="1:18" ht="12.75">
      <c r="A227" s="6"/>
      <c r="B227" s="6"/>
      <c r="C227" s="6"/>
      <c r="D227" s="6"/>
      <c r="E227" s="6"/>
      <c r="F227" s="6"/>
      <c r="G227" s="6"/>
      <c r="H227" s="6"/>
      <c r="I227" s="6"/>
      <c r="J227" s="6"/>
      <c r="K227" s="22"/>
      <c r="L227" s="6"/>
      <c r="M227" s="6"/>
      <c r="N227" s="6"/>
      <c r="O227" s="6"/>
      <c r="P227" s="6"/>
      <c r="Q227" s="6"/>
      <c r="R227" s="54"/>
    </row>
    <row r="228" spans="1:18" ht="12.75">
      <c r="A228" s="6"/>
      <c r="B228" s="6"/>
      <c r="C228" s="6"/>
      <c r="D228" s="6"/>
      <c r="E228" s="6"/>
      <c r="F228" s="6"/>
      <c r="G228" s="6"/>
      <c r="H228" s="6"/>
      <c r="I228" s="6"/>
      <c r="J228" s="6"/>
      <c r="K228" s="22"/>
      <c r="L228" s="6"/>
      <c r="M228" s="6"/>
      <c r="N228" s="6"/>
      <c r="O228" s="6"/>
      <c r="P228" s="6"/>
      <c r="Q228" s="6"/>
      <c r="R228" s="54"/>
    </row>
    <row r="229" spans="1:18" ht="12.75">
      <c r="A229" s="6"/>
      <c r="B229" s="6"/>
      <c r="C229" s="6"/>
      <c r="D229" s="6"/>
      <c r="E229" s="6"/>
      <c r="F229" s="6"/>
      <c r="G229" s="6"/>
      <c r="H229" s="6"/>
      <c r="I229" s="6"/>
      <c r="J229" s="6"/>
      <c r="K229" s="22"/>
      <c r="L229" s="6"/>
      <c r="M229" s="6"/>
      <c r="N229" s="6"/>
      <c r="O229" s="6"/>
      <c r="P229" s="6"/>
      <c r="Q229" s="6"/>
      <c r="R229" s="54"/>
    </row>
    <row r="230" spans="1:18" ht="12.75">
      <c r="A230" s="6"/>
      <c r="B230" s="6"/>
      <c r="C230" s="6"/>
      <c r="D230" s="6"/>
      <c r="E230" s="6"/>
      <c r="F230" s="6"/>
      <c r="G230" s="6"/>
      <c r="H230" s="6"/>
      <c r="I230" s="6"/>
      <c r="J230" s="6"/>
      <c r="K230" s="22"/>
      <c r="L230" s="6"/>
      <c r="M230" s="6"/>
      <c r="N230" s="6"/>
      <c r="O230" s="6"/>
      <c r="P230" s="6"/>
      <c r="Q230" s="6"/>
      <c r="R230" s="54"/>
    </row>
    <row r="231" spans="1:18" ht="12.75">
      <c r="A231" s="6"/>
      <c r="B231" s="6"/>
      <c r="C231" s="6"/>
      <c r="D231" s="6"/>
      <c r="E231" s="6"/>
      <c r="F231" s="6"/>
      <c r="G231" s="6"/>
      <c r="H231" s="6"/>
      <c r="I231" s="6"/>
      <c r="J231" s="6"/>
      <c r="K231" s="22"/>
      <c r="L231" s="6"/>
      <c r="M231" s="6"/>
      <c r="N231" s="6"/>
      <c r="O231" s="6"/>
      <c r="P231" s="6"/>
      <c r="Q231" s="6"/>
      <c r="R231" s="54"/>
    </row>
    <row r="232" spans="1:18" ht="12.75">
      <c r="A232" s="6"/>
      <c r="B232" s="6"/>
      <c r="C232" s="6"/>
      <c r="D232" s="6"/>
      <c r="E232" s="6"/>
      <c r="F232" s="6"/>
      <c r="G232" s="6"/>
      <c r="H232" s="6"/>
      <c r="I232" s="6"/>
      <c r="J232" s="6"/>
      <c r="K232" s="22"/>
      <c r="L232" s="6"/>
      <c r="M232" s="6"/>
      <c r="N232" s="6"/>
      <c r="O232" s="6"/>
      <c r="P232" s="6"/>
      <c r="Q232" s="6"/>
      <c r="R232" s="54"/>
    </row>
    <row r="233" spans="1:18" ht="12.75">
      <c r="A233" s="6"/>
      <c r="B233" s="6"/>
      <c r="C233" s="6"/>
      <c r="D233" s="6"/>
      <c r="E233" s="6"/>
      <c r="F233" s="6"/>
      <c r="G233" s="6"/>
      <c r="H233" s="6"/>
      <c r="I233" s="6"/>
      <c r="J233" s="6"/>
      <c r="K233" s="22"/>
      <c r="L233" s="6"/>
      <c r="M233" s="6"/>
      <c r="N233" s="6"/>
      <c r="O233" s="6"/>
      <c r="P233" s="6"/>
      <c r="Q233" s="6"/>
      <c r="R233" s="54"/>
    </row>
    <row r="234" spans="1:18" ht="12.75">
      <c r="A234" s="6"/>
      <c r="B234" s="6"/>
      <c r="C234" s="6"/>
      <c r="D234" s="6"/>
      <c r="E234" s="6"/>
      <c r="F234" s="6"/>
      <c r="G234" s="6"/>
      <c r="H234" s="6"/>
      <c r="I234" s="6"/>
      <c r="J234" s="6"/>
      <c r="K234" s="22"/>
      <c r="L234" s="6"/>
      <c r="M234" s="6"/>
      <c r="N234" s="6"/>
      <c r="O234" s="6"/>
      <c r="P234" s="6"/>
      <c r="Q234" s="6"/>
      <c r="R234" s="54"/>
    </row>
    <row r="235" spans="1:18" ht="12.75">
      <c r="A235" s="6"/>
      <c r="B235" s="6"/>
      <c r="C235" s="6"/>
      <c r="D235" s="6"/>
      <c r="E235" s="6"/>
      <c r="F235" s="6"/>
      <c r="G235" s="6"/>
      <c r="H235" s="6"/>
      <c r="I235" s="6"/>
      <c r="J235" s="6"/>
      <c r="K235" s="22"/>
      <c r="L235" s="6"/>
      <c r="M235" s="6"/>
      <c r="N235" s="6"/>
      <c r="O235" s="6"/>
      <c r="P235" s="6"/>
      <c r="Q235" s="6"/>
      <c r="R235" s="54"/>
    </row>
    <row r="236" spans="1:18" ht="12.75">
      <c r="A236" s="6"/>
      <c r="B236" s="6"/>
      <c r="C236" s="6"/>
      <c r="D236" s="6"/>
      <c r="E236" s="6"/>
      <c r="F236" s="6"/>
      <c r="G236" s="6"/>
      <c r="H236" s="6"/>
      <c r="I236" s="6"/>
      <c r="J236" s="6"/>
      <c r="K236" s="22"/>
      <c r="L236" s="6"/>
      <c r="M236" s="6"/>
      <c r="N236" s="6"/>
      <c r="O236" s="6"/>
      <c r="P236" s="6"/>
      <c r="Q236" s="6"/>
      <c r="R236" s="54"/>
    </row>
    <row r="237" spans="1:18" ht="12.75">
      <c r="A237" s="6"/>
      <c r="B237" s="6"/>
      <c r="C237" s="6"/>
      <c r="D237" s="6"/>
      <c r="E237" s="6"/>
      <c r="F237" s="6"/>
      <c r="G237" s="6"/>
      <c r="H237" s="6"/>
      <c r="I237" s="6"/>
      <c r="J237" s="6"/>
      <c r="K237" s="22"/>
      <c r="L237" s="6"/>
      <c r="M237" s="6"/>
      <c r="N237" s="6"/>
      <c r="O237" s="6"/>
      <c r="P237" s="6"/>
      <c r="Q237" s="6"/>
      <c r="R237" s="54"/>
    </row>
    <row r="238" spans="1:18" ht="12.75">
      <c r="A238" s="6"/>
      <c r="B238" s="6"/>
      <c r="C238" s="6"/>
      <c r="D238" s="6"/>
      <c r="E238" s="6"/>
      <c r="F238" s="6"/>
      <c r="G238" s="6"/>
      <c r="H238" s="6"/>
      <c r="I238" s="6"/>
      <c r="J238" s="6"/>
      <c r="K238" s="22"/>
      <c r="L238" s="6"/>
      <c r="M238" s="6"/>
      <c r="N238" s="6"/>
      <c r="O238" s="6"/>
      <c r="P238" s="6"/>
      <c r="Q238" s="6"/>
      <c r="R238" s="54"/>
    </row>
    <row r="239" spans="1:18" ht="12.75">
      <c r="A239" s="6"/>
      <c r="B239" s="6"/>
      <c r="C239" s="6"/>
      <c r="D239" s="6"/>
      <c r="E239" s="6"/>
      <c r="F239" s="6"/>
      <c r="G239" s="6"/>
      <c r="H239" s="6"/>
      <c r="I239" s="6"/>
      <c r="J239" s="6"/>
      <c r="K239" s="22"/>
      <c r="L239" s="6"/>
      <c r="M239" s="6"/>
      <c r="N239" s="6"/>
      <c r="O239" s="6"/>
      <c r="P239" s="6"/>
      <c r="Q239" s="6"/>
      <c r="R239" s="54"/>
    </row>
    <row r="240" spans="1:18" ht="12.75">
      <c r="A240" s="6"/>
      <c r="B240" s="6"/>
      <c r="C240" s="6"/>
      <c r="D240" s="6"/>
      <c r="E240" s="6"/>
      <c r="F240" s="6"/>
      <c r="G240" s="6"/>
      <c r="H240" s="6"/>
      <c r="I240" s="6"/>
      <c r="J240" s="6"/>
      <c r="K240" s="22"/>
      <c r="L240" s="6"/>
      <c r="M240" s="6"/>
      <c r="N240" s="6"/>
      <c r="O240" s="6"/>
      <c r="P240" s="6"/>
      <c r="Q240" s="6"/>
      <c r="R240" s="54"/>
    </row>
    <row r="241" spans="1:18" ht="12.75">
      <c r="A241" s="6"/>
      <c r="B241" s="6"/>
      <c r="C241" s="6"/>
      <c r="D241" s="6"/>
      <c r="E241" s="6"/>
      <c r="F241" s="6"/>
      <c r="G241" s="6"/>
      <c r="H241" s="6"/>
      <c r="I241" s="6"/>
      <c r="J241" s="6"/>
      <c r="K241" s="22"/>
      <c r="L241" s="6"/>
      <c r="M241" s="6"/>
      <c r="N241" s="6"/>
      <c r="O241" s="6"/>
      <c r="P241" s="6"/>
      <c r="Q241" s="6"/>
      <c r="R241" s="54"/>
    </row>
    <row r="242" spans="1:18" ht="12.75">
      <c r="A242" s="6"/>
      <c r="B242" s="6"/>
      <c r="C242" s="6"/>
      <c r="D242" s="6"/>
      <c r="E242" s="6"/>
      <c r="F242" s="6"/>
      <c r="G242" s="6"/>
      <c r="H242" s="6"/>
      <c r="I242" s="6"/>
      <c r="J242" s="6"/>
      <c r="K242" s="22"/>
      <c r="L242" s="6"/>
      <c r="M242" s="6"/>
      <c r="N242" s="6"/>
      <c r="O242" s="6"/>
      <c r="P242" s="6"/>
      <c r="Q242" s="6"/>
      <c r="R242" s="54"/>
    </row>
    <row r="243" spans="1:18" ht="12.75">
      <c r="A243" s="6"/>
      <c r="B243" s="6"/>
      <c r="C243" s="6"/>
      <c r="D243" s="6"/>
      <c r="E243" s="6"/>
      <c r="F243" s="6"/>
      <c r="G243" s="6"/>
      <c r="H243" s="6"/>
      <c r="I243" s="6"/>
      <c r="J243" s="6"/>
      <c r="K243" s="22"/>
      <c r="L243" s="6"/>
      <c r="M243" s="6"/>
      <c r="N243" s="6"/>
      <c r="O243" s="6"/>
      <c r="P243" s="6"/>
      <c r="Q243" s="6"/>
      <c r="R243" s="54"/>
    </row>
    <row r="244" spans="1:18" ht="12.75">
      <c r="A244" s="6"/>
      <c r="B244" s="6"/>
      <c r="C244" s="6"/>
      <c r="D244" s="6"/>
      <c r="E244" s="6"/>
      <c r="F244" s="6"/>
      <c r="G244" s="6"/>
      <c r="H244" s="6"/>
      <c r="I244" s="6"/>
      <c r="J244" s="6"/>
      <c r="K244" s="22"/>
      <c r="L244" s="6"/>
      <c r="M244" s="6"/>
      <c r="N244" s="6"/>
      <c r="O244" s="6"/>
      <c r="P244" s="6"/>
      <c r="Q244" s="6"/>
      <c r="R244" s="54"/>
    </row>
    <row r="245" spans="1:18" ht="12.75">
      <c r="A245" s="6"/>
      <c r="B245" s="6"/>
      <c r="C245" s="6"/>
      <c r="D245" s="6"/>
      <c r="E245" s="6"/>
      <c r="F245" s="6"/>
      <c r="G245" s="6"/>
      <c r="H245" s="6"/>
      <c r="I245" s="6"/>
      <c r="J245" s="6"/>
      <c r="K245" s="22"/>
      <c r="L245" s="6"/>
      <c r="M245" s="6"/>
      <c r="N245" s="6"/>
      <c r="O245" s="6"/>
      <c r="P245" s="6"/>
      <c r="Q245" s="6"/>
      <c r="R245" s="54"/>
    </row>
    <row r="246" spans="1:18" ht="12.75">
      <c r="A246" s="6"/>
      <c r="B246" s="6"/>
      <c r="C246" s="6"/>
      <c r="D246" s="6"/>
      <c r="E246" s="6"/>
      <c r="F246" s="6"/>
      <c r="G246" s="6"/>
      <c r="H246" s="6"/>
      <c r="I246" s="6"/>
      <c r="J246" s="6"/>
      <c r="K246" s="22"/>
      <c r="L246" s="6"/>
      <c r="M246" s="6"/>
      <c r="N246" s="6"/>
      <c r="O246" s="6"/>
      <c r="P246" s="6"/>
      <c r="Q246" s="6"/>
      <c r="R246" s="54"/>
    </row>
    <row r="247" spans="1:18" ht="12.75">
      <c r="A247" s="6"/>
      <c r="B247" s="6"/>
      <c r="C247" s="6"/>
      <c r="D247" s="6"/>
      <c r="E247" s="6"/>
      <c r="F247" s="6"/>
      <c r="G247" s="6"/>
      <c r="H247" s="6"/>
      <c r="I247" s="6"/>
      <c r="J247" s="6"/>
      <c r="K247" s="22"/>
      <c r="L247" s="6"/>
      <c r="M247" s="6"/>
      <c r="N247" s="6"/>
      <c r="O247" s="6"/>
      <c r="P247" s="6"/>
      <c r="Q247" s="6"/>
      <c r="R247" s="54"/>
    </row>
    <row r="248" spans="1:18" ht="12.75">
      <c r="A248" s="6"/>
      <c r="B248" s="6"/>
      <c r="C248" s="6"/>
      <c r="D248" s="6"/>
      <c r="E248" s="6"/>
      <c r="F248" s="6"/>
      <c r="G248" s="6"/>
      <c r="H248" s="6"/>
      <c r="I248" s="6"/>
      <c r="J248" s="6"/>
      <c r="K248" s="22"/>
      <c r="L248" s="6"/>
      <c r="M248" s="6"/>
      <c r="N248" s="6"/>
      <c r="O248" s="6"/>
      <c r="P248" s="6"/>
      <c r="Q248" s="6"/>
      <c r="R248" s="54"/>
    </row>
    <row r="249" spans="1:18" ht="12.75">
      <c r="A249" s="6"/>
      <c r="B249" s="6"/>
      <c r="C249" s="6"/>
      <c r="D249" s="6"/>
      <c r="E249" s="6"/>
      <c r="F249" s="6"/>
      <c r="G249" s="6"/>
      <c r="H249" s="6"/>
      <c r="I249" s="6"/>
      <c r="J249" s="6"/>
      <c r="K249" s="22"/>
      <c r="L249" s="6"/>
      <c r="M249" s="6"/>
      <c r="N249" s="6"/>
      <c r="O249" s="6"/>
      <c r="P249" s="6"/>
      <c r="Q249" s="6"/>
      <c r="R249" s="54"/>
    </row>
    <row r="250" spans="1:18" ht="12.75">
      <c r="A250" s="6"/>
      <c r="B250" s="6"/>
      <c r="C250" s="6"/>
      <c r="D250" s="6"/>
      <c r="E250" s="6"/>
      <c r="F250" s="6"/>
      <c r="G250" s="6"/>
      <c r="H250" s="6"/>
      <c r="I250" s="6"/>
      <c r="J250" s="6"/>
      <c r="K250" s="22"/>
      <c r="L250" s="6"/>
      <c r="M250" s="6"/>
      <c r="N250" s="6"/>
      <c r="O250" s="6"/>
      <c r="P250" s="6"/>
      <c r="Q250" s="6"/>
      <c r="R250" s="54"/>
    </row>
    <row r="251" spans="1:18" ht="12.75">
      <c r="A251" s="6"/>
      <c r="B251" s="6"/>
      <c r="C251" s="6"/>
      <c r="D251" s="6"/>
      <c r="E251" s="6"/>
      <c r="F251" s="6"/>
      <c r="G251" s="6"/>
      <c r="H251" s="6"/>
      <c r="I251" s="6"/>
      <c r="J251" s="6"/>
      <c r="K251" s="22"/>
      <c r="L251" s="6"/>
      <c r="M251" s="6"/>
      <c r="N251" s="6"/>
      <c r="O251" s="6"/>
      <c r="P251" s="6"/>
      <c r="Q251" s="6"/>
      <c r="R251" s="54"/>
    </row>
    <row r="252" spans="1:18" ht="12.75">
      <c r="A252" s="6"/>
      <c r="B252" s="6"/>
      <c r="C252" s="6"/>
      <c r="D252" s="6"/>
      <c r="E252" s="6"/>
      <c r="F252" s="6"/>
      <c r="G252" s="6"/>
      <c r="H252" s="6"/>
      <c r="I252" s="6"/>
      <c r="J252" s="6"/>
      <c r="K252" s="22"/>
      <c r="L252" s="6"/>
      <c r="M252" s="6"/>
      <c r="N252" s="6"/>
      <c r="O252" s="6"/>
      <c r="P252" s="6"/>
      <c r="Q252" s="6"/>
      <c r="R252" s="54"/>
    </row>
    <row r="253" spans="1:18" ht="12.75">
      <c r="A253" s="6"/>
      <c r="B253" s="6"/>
      <c r="C253" s="6"/>
      <c r="D253" s="6"/>
      <c r="E253" s="6"/>
      <c r="F253" s="6"/>
      <c r="G253" s="6"/>
      <c r="H253" s="6"/>
      <c r="I253" s="6"/>
      <c r="J253" s="6"/>
      <c r="K253" s="22"/>
      <c r="L253" s="6"/>
      <c r="M253" s="6"/>
      <c r="N253" s="6"/>
      <c r="O253" s="6"/>
      <c r="P253" s="6"/>
      <c r="Q253" s="6"/>
      <c r="R253" s="54"/>
    </row>
    <row r="254" spans="1:18" ht="12.75">
      <c r="A254" s="6"/>
      <c r="B254" s="6"/>
      <c r="C254" s="6"/>
      <c r="D254" s="6"/>
      <c r="E254" s="6"/>
      <c r="F254" s="6"/>
      <c r="G254" s="6"/>
      <c r="H254" s="6"/>
      <c r="I254" s="6"/>
      <c r="J254" s="6"/>
      <c r="K254" s="22"/>
      <c r="L254" s="6"/>
      <c r="M254" s="6"/>
      <c r="N254" s="6"/>
      <c r="O254" s="6"/>
      <c r="P254" s="6"/>
      <c r="Q254" s="6"/>
      <c r="R254" s="54"/>
    </row>
    <row r="255" spans="1:18" ht="12.75">
      <c r="A255" s="6"/>
      <c r="B255" s="6"/>
      <c r="C255" s="6"/>
      <c r="D255" s="6"/>
      <c r="E255" s="6"/>
      <c r="F255" s="6"/>
      <c r="G255" s="6"/>
      <c r="H255" s="6"/>
      <c r="I255" s="6"/>
      <c r="J255" s="6"/>
      <c r="K255" s="22"/>
      <c r="L255" s="6"/>
      <c r="M255" s="6"/>
      <c r="N255" s="6"/>
      <c r="O255" s="6"/>
      <c r="P255" s="6"/>
      <c r="Q255" s="6"/>
      <c r="R255" s="54"/>
    </row>
    <row r="256" spans="1:18" ht="12.75">
      <c r="A256" s="6"/>
      <c r="B256" s="6"/>
      <c r="C256" s="6"/>
      <c r="D256" s="6"/>
      <c r="E256" s="6"/>
      <c r="F256" s="6"/>
      <c r="G256" s="6"/>
      <c r="H256" s="6"/>
      <c r="I256" s="6"/>
      <c r="J256" s="6"/>
      <c r="K256" s="22"/>
      <c r="L256" s="6"/>
      <c r="M256" s="6"/>
      <c r="N256" s="6"/>
      <c r="O256" s="6"/>
      <c r="P256" s="6"/>
      <c r="Q256" s="6"/>
      <c r="R256" s="54"/>
    </row>
    <row r="257" spans="1:18" ht="12.75">
      <c r="A257" s="6"/>
      <c r="B257" s="6"/>
      <c r="C257" s="6"/>
      <c r="D257" s="6"/>
      <c r="E257" s="6"/>
      <c r="F257" s="6"/>
      <c r="G257" s="6"/>
      <c r="H257" s="6"/>
      <c r="I257" s="6"/>
      <c r="J257" s="6"/>
      <c r="K257" s="22"/>
      <c r="L257" s="6"/>
      <c r="M257" s="6"/>
      <c r="N257" s="6"/>
      <c r="O257" s="6"/>
      <c r="P257" s="6"/>
      <c r="Q257" s="6"/>
      <c r="R257" s="54"/>
    </row>
    <row r="258" spans="1:18" ht="12.75">
      <c r="A258" s="6"/>
      <c r="B258" s="6"/>
      <c r="C258" s="6"/>
      <c r="D258" s="6"/>
      <c r="E258" s="6"/>
      <c r="F258" s="6"/>
      <c r="G258" s="6"/>
      <c r="H258" s="6"/>
      <c r="I258" s="6"/>
      <c r="J258" s="6"/>
      <c r="K258" s="22"/>
      <c r="L258" s="6"/>
      <c r="M258" s="6"/>
      <c r="N258" s="6"/>
      <c r="O258" s="6"/>
      <c r="P258" s="6"/>
      <c r="Q258" s="6"/>
      <c r="R258" s="54"/>
    </row>
    <row r="259" spans="1:18" ht="12.75">
      <c r="A259" s="6"/>
      <c r="B259" s="6"/>
      <c r="C259" s="6"/>
      <c r="D259" s="6"/>
      <c r="E259" s="6"/>
      <c r="F259" s="6"/>
      <c r="G259" s="6"/>
      <c r="H259" s="6"/>
      <c r="I259" s="6"/>
      <c r="J259" s="6"/>
      <c r="K259" s="22"/>
      <c r="L259" s="6"/>
      <c r="M259" s="6"/>
      <c r="N259" s="6"/>
      <c r="O259" s="6"/>
      <c r="P259" s="6"/>
      <c r="Q259" s="6"/>
      <c r="R259" s="54"/>
    </row>
    <row r="260" spans="1:18" ht="12.75">
      <c r="A260" s="6"/>
      <c r="B260" s="6"/>
      <c r="C260" s="6"/>
      <c r="D260" s="6"/>
      <c r="E260" s="6"/>
      <c r="F260" s="6"/>
      <c r="G260" s="6"/>
      <c r="H260" s="6"/>
      <c r="I260" s="6"/>
      <c r="J260" s="6"/>
      <c r="K260" s="22"/>
      <c r="L260" s="6"/>
      <c r="M260" s="6"/>
      <c r="N260" s="6"/>
      <c r="O260" s="6"/>
      <c r="P260" s="6"/>
      <c r="Q260" s="6"/>
      <c r="R260" s="54"/>
    </row>
    <row r="261" spans="1:18" ht="12.75">
      <c r="A261" s="6"/>
      <c r="B261" s="6"/>
      <c r="C261" s="6"/>
      <c r="D261" s="6"/>
      <c r="E261" s="6"/>
      <c r="F261" s="6"/>
      <c r="G261" s="6"/>
      <c r="H261" s="6"/>
      <c r="I261" s="6"/>
      <c r="J261" s="6"/>
      <c r="K261" s="22"/>
      <c r="L261" s="6"/>
      <c r="M261" s="6"/>
      <c r="N261" s="6"/>
      <c r="O261" s="6"/>
      <c r="P261" s="6"/>
      <c r="Q261" s="6"/>
      <c r="R261" s="54"/>
    </row>
    <row r="262" spans="1:18" ht="12.75">
      <c r="A262" s="6"/>
      <c r="B262" s="6"/>
      <c r="C262" s="6"/>
      <c r="D262" s="6"/>
      <c r="E262" s="6"/>
      <c r="F262" s="6"/>
      <c r="G262" s="6"/>
      <c r="H262" s="6"/>
      <c r="I262" s="6"/>
      <c r="J262" s="6"/>
      <c r="K262" s="22"/>
      <c r="L262" s="6"/>
      <c r="M262" s="6"/>
      <c r="N262" s="6"/>
      <c r="O262" s="6"/>
      <c r="P262" s="6"/>
      <c r="Q262" s="6"/>
      <c r="R262" s="54"/>
    </row>
    <row r="263" spans="1:18" ht="12.75">
      <c r="A263" s="6"/>
      <c r="B263" s="6"/>
      <c r="C263" s="6"/>
      <c r="D263" s="6"/>
      <c r="E263" s="6"/>
      <c r="F263" s="6"/>
      <c r="G263" s="6"/>
      <c r="H263" s="6"/>
      <c r="I263" s="6"/>
      <c r="J263" s="6"/>
      <c r="K263" s="22"/>
      <c r="L263" s="6"/>
      <c r="M263" s="6"/>
      <c r="N263" s="6"/>
      <c r="O263" s="6"/>
      <c r="P263" s="6"/>
      <c r="Q263" s="6"/>
      <c r="R263" s="54"/>
    </row>
    <row r="264" spans="1:18" ht="12.75">
      <c r="A264" s="6"/>
      <c r="B264" s="6"/>
      <c r="C264" s="6"/>
      <c r="D264" s="6"/>
      <c r="E264" s="6"/>
      <c r="F264" s="6"/>
      <c r="G264" s="6"/>
      <c r="H264" s="6"/>
      <c r="I264" s="6"/>
      <c r="J264" s="6"/>
      <c r="K264" s="22"/>
      <c r="L264" s="6"/>
      <c r="M264" s="6"/>
      <c r="N264" s="6"/>
      <c r="O264" s="6"/>
      <c r="P264" s="6"/>
      <c r="Q264" s="6"/>
      <c r="R264" s="54"/>
    </row>
    <row r="265" spans="1:18" ht="12.75">
      <c r="A265" s="6"/>
      <c r="B265" s="6"/>
      <c r="C265" s="6"/>
      <c r="D265" s="6"/>
      <c r="E265" s="6"/>
      <c r="F265" s="6"/>
      <c r="G265" s="6"/>
      <c r="H265" s="6"/>
      <c r="I265" s="6"/>
      <c r="J265" s="6"/>
      <c r="K265" s="22"/>
      <c r="L265" s="6"/>
      <c r="M265" s="6"/>
      <c r="N265" s="6"/>
      <c r="O265" s="6"/>
      <c r="P265" s="6"/>
      <c r="Q265" s="6"/>
      <c r="R265" s="54"/>
    </row>
    <row r="266" spans="1:18" ht="12.75">
      <c r="A266" s="6"/>
      <c r="B266" s="6"/>
      <c r="C266" s="6"/>
      <c r="D266" s="6"/>
      <c r="E266" s="6"/>
      <c r="F266" s="6"/>
      <c r="G266" s="6"/>
      <c r="H266" s="6"/>
      <c r="I266" s="6"/>
      <c r="J266" s="6"/>
      <c r="K266" s="22"/>
      <c r="L266" s="6"/>
      <c r="M266" s="6"/>
      <c r="N266" s="6"/>
      <c r="O266" s="6"/>
      <c r="P266" s="6"/>
      <c r="Q266" s="6"/>
      <c r="R266" s="54"/>
    </row>
    <row r="267" spans="1:18" ht="12.75">
      <c r="A267" s="6"/>
      <c r="B267" s="6"/>
      <c r="C267" s="6"/>
      <c r="D267" s="6"/>
      <c r="E267" s="6"/>
      <c r="F267" s="6"/>
      <c r="G267" s="6"/>
      <c r="H267" s="6"/>
      <c r="I267" s="6"/>
      <c r="J267" s="6"/>
      <c r="K267" s="22"/>
      <c r="L267" s="6"/>
      <c r="M267" s="6"/>
      <c r="N267" s="6"/>
      <c r="O267" s="6"/>
      <c r="P267" s="6"/>
      <c r="Q267" s="6"/>
      <c r="R267" s="54"/>
    </row>
    <row r="268" spans="1:18" ht="12.75">
      <c r="A268" s="6"/>
      <c r="B268" s="6"/>
      <c r="C268" s="6"/>
      <c r="D268" s="6"/>
      <c r="E268" s="6"/>
      <c r="F268" s="6"/>
      <c r="G268" s="6"/>
      <c r="H268" s="6"/>
      <c r="I268" s="6"/>
      <c r="J268" s="6"/>
      <c r="K268" s="22"/>
      <c r="L268" s="6"/>
      <c r="M268" s="6"/>
      <c r="N268" s="6"/>
      <c r="O268" s="6"/>
      <c r="P268" s="6"/>
      <c r="Q268" s="6"/>
      <c r="R268" s="54"/>
    </row>
    <row r="269" spans="1:18" ht="12.75">
      <c r="A269" s="6"/>
      <c r="B269" s="6"/>
      <c r="C269" s="6"/>
      <c r="D269" s="6"/>
      <c r="E269" s="6"/>
      <c r="F269" s="6"/>
      <c r="G269" s="6"/>
      <c r="H269" s="6"/>
      <c r="I269" s="6"/>
      <c r="J269" s="6"/>
      <c r="K269" s="22"/>
      <c r="L269" s="6"/>
      <c r="M269" s="6"/>
      <c r="N269" s="6"/>
      <c r="O269" s="6"/>
      <c r="P269" s="6"/>
      <c r="Q269" s="6"/>
      <c r="R269" s="54"/>
    </row>
    <row r="270" spans="1:18" ht="12.75">
      <c r="A270" s="6"/>
      <c r="B270" s="6"/>
      <c r="C270" s="6"/>
      <c r="D270" s="6"/>
      <c r="E270" s="6"/>
      <c r="F270" s="6"/>
      <c r="G270" s="6"/>
      <c r="H270" s="6"/>
      <c r="I270" s="6"/>
      <c r="J270" s="6"/>
      <c r="K270" s="22"/>
      <c r="L270" s="6"/>
      <c r="M270" s="6"/>
      <c r="N270" s="6"/>
      <c r="O270" s="6"/>
      <c r="P270" s="6"/>
      <c r="Q270" s="6"/>
      <c r="R270" s="54"/>
    </row>
    <row r="271" spans="1:18" ht="12.75">
      <c r="A271" s="6"/>
      <c r="B271" s="6"/>
      <c r="C271" s="6"/>
      <c r="D271" s="6"/>
      <c r="E271" s="6"/>
      <c r="F271" s="6"/>
      <c r="G271" s="6"/>
      <c r="H271" s="6"/>
      <c r="I271" s="6"/>
      <c r="J271" s="6"/>
      <c r="K271" s="22"/>
      <c r="L271" s="6"/>
      <c r="M271" s="6"/>
      <c r="N271" s="6"/>
      <c r="O271" s="6"/>
      <c r="P271" s="6"/>
      <c r="Q271" s="6"/>
      <c r="R271" s="54"/>
    </row>
    <row r="272" spans="1:18" ht="12.75">
      <c r="A272" s="6"/>
      <c r="B272" s="6"/>
      <c r="C272" s="6"/>
      <c r="D272" s="6"/>
      <c r="E272" s="6"/>
      <c r="F272" s="6"/>
      <c r="G272" s="6"/>
      <c r="H272" s="6"/>
      <c r="I272" s="6"/>
      <c r="J272" s="6"/>
      <c r="K272" s="22"/>
      <c r="L272" s="6"/>
      <c r="M272" s="6"/>
      <c r="N272" s="6"/>
      <c r="O272" s="6"/>
      <c r="P272" s="6"/>
      <c r="Q272" s="6"/>
      <c r="R272" s="54"/>
    </row>
    <row r="273" spans="1:18" ht="12.75">
      <c r="A273" s="6"/>
      <c r="B273" s="6"/>
      <c r="C273" s="6"/>
      <c r="D273" s="6"/>
      <c r="E273" s="6"/>
      <c r="F273" s="6"/>
      <c r="G273" s="6"/>
      <c r="H273" s="6"/>
      <c r="I273" s="6"/>
      <c r="J273" s="6"/>
      <c r="K273" s="22"/>
      <c r="L273" s="6"/>
      <c r="M273" s="6"/>
      <c r="N273" s="6"/>
      <c r="O273" s="6"/>
      <c r="P273" s="6"/>
      <c r="Q273" s="6"/>
      <c r="R273" s="54"/>
    </row>
    <row r="274" spans="1:18" ht="12.75">
      <c r="A274" s="6"/>
      <c r="B274" s="6"/>
      <c r="C274" s="6"/>
      <c r="D274" s="6"/>
      <c r="E274" s="6"/>
      <c r="F274" s="6"/>
      <c r="G274" s="6"/>
      <c r="H274" s="6"/>
      <c r="I274" s="6"/>
      <c r="J274" s="6"/>
      <c r="K274" s="22"/>
      <c r="L274" s="6"/>
      <c r="M274" s="6"/>
      <c r="N274" s="6"/>
      <c r="O274" s="6"/>
      <c r="P274" s="6"/>
      <c r="Q274" s="6"/>
      <c r="R274" s="54"/>
    </row>
    <row r="275" spans="1:18" ht="12.75">
      <c r="A275" s="6"/>
      <c r="B275" s="6"/>
      <c r="C275" s="6"/>
      <c r="D275" s="6"/>
      <c r="E275" s="6"/>
      <c r="F275" s="6"/>
      <c r="G275" s="6"/>
      <c r="H275" s="6"/>
      <c r="I275" s="6"/>
      <c r="J275" s="6"/>
      <c r="K275" s="22"/>
      <c r="L275" s="6"/>
      <c r="M275" s="6"/>
      <c r="N275" s="6"/>
      <c r="O275" s="6"/>
      <c r="P275" s="6"/>
      <c r="Q275" s="6"/>
      <c r="R275" s="54"/>
    </row>
    <row r="276" spans="1:18" ht="12.75">
      <c r="A276" s="6"/>
      <c r="B276" s="6"/>
      <c r="C276" s="6"/>
      <c r="D276" s="6"/>
      <c r="E276" s="6"/>
      <c r="F276" s="6"/>
      <c r="G276" s="6"/>
      <c r="H276" s="6"/>
      <c r="I276" s="6"/>
      <c r="J276" s="6"/>
      <c r="K276" s="22"/>
      <c r="L276" s="6"/>
      <c r="M276" s="6"/>
      <c r="N276" s="6"/>
      <c r="O276" s="6"/>
      <c r="P276" s="6"/>
      <c r="Q276" s="6"/>
      <c r="R276" s="54"/>
    </row>
    <row r="277" spans="1:18" ht="12.75">
      <c r="A277" s="6"/>
      <c r="B277" s="6"/>
      <c r="C277" s="6"/>
      <c r="D277" s="6"/>
      <c r="E277" s="6"/>
      <c r="F277" s="6"/>
      <c r="G277" s="6"/>
      <c r="H277" s="6"/>
      <c r="I277" s="6"/>
      <c r="J277" s="6"/>
      <c r="K277" s="22"/>
      <c r="L277" s="6"/>
      <c r="M277" s="6"/>
      <c r="N277" s="6"/>
      <c r="O277" s="6"/>
      <c r="P277" s="6"/>
      <c r="Q277" s="6"/>
      <c r="R277" s="54"/>
    </row>
    <row r="278" spans="1:18" ht="12.75">
      <c r="A278" s="6"/>
      <c r="B278" s="6"/>
      <c r="C278" s="6"/>
      <c r="D278" s="6"/>
      <c r="E278" s="6"/>
      <c r="F278" s="6"/>
      <c r="G278" s="6"/>
      <c r="H278" s="6"/>
      <c r="I278" s="6"/>
      <c r="J278" s="6"/>
      <c r="K278" s="22"/>
      <c r="L278" s="6"/>
      <c r="M278" s="6"/>
      <c r="N278" s="6"/>
      <c r="O278" s="6"/>
      <c r="P278" s="6"/>
      <c r="Q278" s="6"/>
      <c r="R278" s="54"/>
    </row>
    <row r="279" spans="1:18" ht="12.75">
      <c r="A279" s="6"/>
      <c r="B279" s="6"/>
      <c r="C279" s="6"/>
      <c r="D279" s="6"/>
      <c r="E279" s="6"/>
      <c r="F279" s="6"/>
      <c r="G279" s="6"/>
      <c r="H279" s="6"/>
      <c r="I279" s="6"/>
      <c r="J279" s="6"/>
      <c r="K279" s="22"/>
      <c r="L279" s="6"/>
      <c r="M279" s="6"/>
      <c r="N279" s="6"/>
      <c r="O279" s="6"/>
      <c r="P279" s="6"/>
      <c r="Q279" s="6"/>
      <c r="R279" s="54"/>
    </row>
    <row r="280" spans="1:18" ht="12.75">
      <c r="A280" s="6"/>
      <c r="B280" s="6"/>
      <c r="C280" s="6"/>
      <c r="D280" s="6"/>
      <c r="E280" s="6"/>
      <c r="F280" s="6"/>
      <c r="G280" s="6"/>
      <c r="H280" s="6"/>
      <c r="I280" s="6"/>
      <c r="J280" s="6"/>
      <c r="K280" s="22"/>
      <c r="L280" s="6"/>
      <c r="M280" s="6"/>
      <c r="N280" s="6"/>
      <c r="O280" s="6"/>
      <c r="P280" s="6"/>
      <c r="Q280" s="6"/>
      <c r="R280" s="54"/>
    </row>
    <row r="281" spans="1:18" ht="12.75">
      <c r="A281" s="6"/>
      <c r="B281" s="6"/>
      <c r="C281" s="6"/>
      <c r="D281" s="6"/>
      <c r="E281" s="6"/>
      <c r="F281" s="6"/>
      <c r="G281" s="6"/>
      <c r="H281" s="6"/>
      <c r="I281" s="6"/>
      <c r="J281" s="6"/>
      <c r="K281" s="22"/>
      <c r="L281" s="6"/>
      <c r="M281" s="6"/>
      <c r="N281" s="6"/>
      <c r="O281" s="6"/>
      <c r="P281" s="6"/>
      <c r="Q281" s="6"/>
      <c r="R281" s="54"/>
    </row>
    <row r="282" spans="1:18" ht="12.75">
      <c r="A282" s="6"/>
      <c r="B282" s="6"/>
      <c r="C282" s="6"/>
      <c r="D282" s="6"/>
      <c r="E282" s="6"/>
      <c r="F282" s="6"/>
      <c r="G282" s="6"/>
      <c r="H282" s="6"/>
      <c r="I282" s="6"/>
      <c r="J282" s="6"/>
      <c r="K282" s="22"/>
      <c r="L282" s="6"/>
      <c r="M282" s="6"/>
      <c r="N282" s="6"/>
      <c r="O282" s="6"/>
      <c r="P282" s="6"/>
      <c r="Q282" s="6"/>
      <c r="R282" s="54"/>
    </row>
    <row r="283" spans="1:18" ht="12.75">
      <c r="A283" s="6"/>
      <c r="B283" s="6"/>
      <c r="C283" s="6"/>
      <c r="D283" s="6"/>
      <c r="E283" s="6"/>
      <c r="F283" s="6"/>
      <c r="G283" s="6"/>
      <c r="H283" s="6"/>
      <c r="I283" s="6"/>
      <c r="J283" s="6"/>
      <c r="K283" s="22"/>
      <c r="L283" s="6"/>
      <c r="M283" s="6"/>
      <c r="N283" s="6"/>
      <c r="O283" s="6"/>
      <c r="P283" s="6"/>
      <c r="Q283" s="6"/>
      <c r="R283" s="54"/>
    </row>
    <row r="284" spans="1:18" ht="12.75">
      <c r="A284" s="6"/>
      <c r="B284" s="6"/>
      <c r="C284" s="6"/>
      <c r="D284" s="6"/>
      <c r="E284" s="6"/>
      <c r="F284" s="6"/>
      <c r="G284" s="6"/>
      <c r="H284" s="6"/>
      <c r="I284" s="6"/>
      <c r="J284" s="6"/>
      <c r="K284" s="22"/>
      <c r="L284" s="6"/>
      <c r="M284" s="6"/>
      <c r="N284" s="6"/>
      <c r="O284" s="6"/>
      <c r="P284" s="6"/>
      <c r="Q284" s="6"/>
      <c r="R284" s="54"/>
    </row>
    <row r="285" spans="1:18" ht="12.75">
      <c r="A285" s="6"/>
      <c r="B285" s="6"/>
      <c r="C285" s="6"/>
      <c r="D285" s="6"/>
      <c r="E285" s="6"/>
      <c r="F285" s="6"/>
      <c r="G285" s="6"/>
      <c r="H285" s="6"/>
      <c r="I285" s="6"/>
      <c r="J285" s="6"/>
      <c r="K285" s="22"/>
      <c r="L285" s="6"/>
      <c r="M285" s="6"/>
      <c r="N285" s="6"/>
      <c r="O285" s="6"/>
      <c r="P285" s="6"/>
      <c r="Q285" s="6"/>
      <c r="R285" s="54"/>
    </row>
    <row r="286" spans="1:18" ht="12.75">
      <c r="A286" s="6"/>
      <c r="B286" s="6"/>
      <c r="C286" s="6"/>
      <c r="D286" s="6"/>
      <c r="E286" s="6"/>
      <c r="F286" s="6"/>
      <c r="G286" s="6"/>
      <c r="H286" s="6"/>
      <c r="I286" s="6"/>
      <c r="J286" s="6"/>
      <c r="K286" s="22"/>
      <c r="L286" s="6"/>
      <c r="M286" s="6"/>
      <c r="N286" s="6"/>
      <c r="O286" s="6"/>
      <c r="P286" s="6"/>
      <c r="Q286" s="6"/>
      <c r="R286" s="54"/>
    </row>
    <row r="287" spans="1:18" ht="12.75">
      <c r="A287" s="6"/>
      <c r="B287" s="6"/>
      <c r="C287" s="6"/>
      <c r="D287" s="6"/>
      <c r="E287" s="6"/>
      <c r="F287" s="6"/>
      <c r="G287" s="6"/>
      <c r="H287" s="6"/>
      <c r="I287" s="6"/>
      <c r="J287" s="6"/>
      <c r="K287" s="22"/>
      <c r="L287" s="6"/>
      <c r="M287" s="6"/>
      <c r="N287" s="6"/>
      <c r="O287" s="6"/>
      <c r="P287" s="6"/>
      <c r="Q287" s="6"/>
      <c r="R287" s="54"/>
    </row>
    <row r="288" spans="1:18" ht="12.75">
      <c r="A288" s="6"/>
      <c r="B288" s="6"/>
      <c r="C288" s="6"/>
      <c r="D288" s="6"/>
      <c r="E288" s="6"/>
      <c r="F288" s="6"/>
      <c r="G288" s="6"/>
      <c r="H288" s="6"/>
      <c r="I288" s="6"/>
      <c r="J288" s="6"/>
      <c r="K288" s="22"/>
      <c r="L288" s="6"/>
      <c r="M288" s="6"/>
      <c r="N288" s="6"/>
      <c r="O288" s="6"/>
      <c r="P288" s="6"/>
      <c r="Q288" s="6"/>
      <c r="R288" s="54"/>
    </row>
    <row r="289" spans="1:18" ht="12.75">
      <c r="A289" s="6"/>
      <c r="B289" s="6"/>
      <c r="C289" s="6"/>
      <c r="D289" s="6"/>
      <c r="E289" s="6"/>
      <c r="F289" s="6"/>
      <c r="G289" s="6"/>
      <c r="H289" s="6"/>
      <c r="I289" s="6"/>
      <c r="J289" s="6"/>
      <c r="K289" s="22"/>
      <c r="L289" s="6"/>
      <c r="M289" s="6"/>
      <c r="N289" s="6"/>
      <c r="O289" s="6"/>
      <c r="P289" s="6"/>
      <c r="Q289" s="6"/>
      <c r="R289" s="54"/>
    </row>
    <row r="290" spans="1:18" ht="12.75">
      <c r="A290" s="6"/>
      <c r="B290" s="6"/>
      <c r="C290" s="6"/>
      <c r="D290" s="6"/>
      <c r="E290" s="6"/>
      <c r="F290" s="6"/>
      <c r="G290" s="6"/>
      <c r="H290" s="6"/>
      <c r="I290" s="6"/>
      <c r="J290" s="6"/>
      <c r="K290" s="22"/>
      <c r="L290" s="6"/>
      <c r="M290" s="6"/>
      <c r="N290" s="6"/>
      <c r="O290" s="6"/>
      <c r="P290" s="6"/>
      <c r="Q290" s="6"/>
      <c r="R290" s="54"/>
    </row>
    <row r="291" spans="1:18" ht="12.75">
      <c r="A291" s="6"/>
      <c r="B291" s="6"/>
      <c r="C291" s="6"/>
      <c r="D291" s="6"/>
      <c r="E291" s="6"/>
      <c r="F291" s="6"/>
      <c r="G291" s="6"/>
      <c r="H291" s="6"/>
      <c r="I291" s="6"/>
      <c r="J291" s="6"/>
      <c r="K291" s="22"/>
      <c r="L291" s="6"/>
      <c r="M291" s="6"/>
      <c r="N291" s="6"/>
      <c r="O291" s="6"/>
      <c r="P291" s="6"/>
      <c r="Q291" s="6"/>
      <c r="R291" s="54"/>
    </row>
    <row r="292" spans="1:18" ht="12.75">
      <c r="A292" s="6"/>
      <c r="B292" s="6"/>
      <c r="C292" s="6"/>
      <c r="D292" s="6"/>
      <c r="E292" s="6"/>
      <c r="F292" s="6"/>
      <c r="G292" s="6"/>
      <c r="H292" s="6"/>
      <c r="I292" s="6"/>
      <c r="J292" s="6"/>
      <c r="K292" s="22"/>
      <c r="L292" s="6"/>
      <c r="M292" s="6"/>
      <c r="N292" s="6"/>
      <c r="O292" s="6"/>
      <c r="P292" s="6"/>
      <c r="Q292" s="6"/>
      <c r="R292" s="54"/>
    </row>
    <row r="293" spans="1:18" ht="12.75">
      <c r="A293" s="6"/>
      <c r="B293" s="6"/>
      <c r="C293" s="6"/>
      <c r="D293" s="6"/>
      <c r="E293" s="6"/>
      <c r="F293" s="6"/>
      <c r="G293" s="6"/>
      <c r="H293" s="6"/>
      <c r="I293" s="6"/>
      <c r="J293" s="6"/>
      <c r="K293" s="22"/>
      <c r="L293" s="6"/>
      <c r="M293" s="6"/>
      <c r="N293" s="6"/>
      <c r="O293" s="6"/>
      <c r="P293" s="6"/>
      <c r="Q293" s="6"/>
      <c r="R293" s="54"/>
    </row>
    <row r="294" spans="1:18" ht="12.75">
      <c r="A294" s="6"/>
      <c r="B294" s="6"/>
      <c r="C294" s="6"/>
      <c r="D294" s="6"/>
      <c r="E294" s="6"/>
      <c r="F294" s="6"/>
      <c r="G294" s="6"/>
      <c r="H294" s="6"/>
      <c r="I294" s="6"/>
      <c r="J294" s="6"/>
      <c r="K294" s="22"/>
      <c r="L294" s="6"/>
      <c r="M294" s="6"/>
      <c r="N294" s="6"/>
      <c r="O294" s="6"/>
      <c r="P294" s="6"/>
      <c r="Q294" s="6"/>
      <c r="R294" s="54"/>
    </row>
    <row r="295" spans="1:18" ht="12.75">
      <c r="A295" s="6"/>
      <c r="B295" s="6"/>
      <c r="C295" s="6"/>
      <c r="D295" s="6"/>
      <c r="E295" s="6"/>
      <c r="F295" s="6"/>
      <c r="G295" s="6"/>
      <c r="H295" s="6"/>
      <c r="I295" s="6"/>
      <c r="J295" s="6"/>
      <c r="K295" s="22"/>
      <c r="L295" s="6"/>
      <c r="M295" s="6"/>
      <c r="N295" s="6"/>
      <c r="O295" s="6"/>
      <c r="P295" s="6"/>
      <c r="Q295" s="6"/>
      <c r="R295" s="54"/>
    </row>
    <row r="296" spans="1:18" ht="12.75">
      <c r="A296" s="6"/>
      <c r="B296" s="6"/>
      <c r="C296" s="6"/>
      <c r="D296" s="6"/>
      <c r="E296" s="6"/>
      <c r="F296" s="6"/>
      <c r="G296" s="6"/>
      <c r="H296" s="6"/>
      <c r="I296" s="6"/>
      <c r="J296" s="6"/>
      <c r="K296" s="22"/>
      <c r="L296" s="6"/>
      <c r="M296" s="6"/>
      <c r="N296" s="6"/>
      <c r="O296" s="6"/>
      <c r="P296" s="6"/>
      <c r="Q296" s="6"/>
      <c r="R296" s="54"/>
    </row>
    <row r="297" spans="1:18" ht="12.75">
      <c r="A297" s="6"/>
      <c r="B297" s="6"/>
      <c r="C297" s="6"/>
      <c r="D297" s="6"/>
      <c r="E297" s="6"/>
      <c r="F297" s="6"/>
      <c r="G297" s="6"/>
      <c r="H297" s="6"/>
      <c r="I297" s="6"/>
      <c r="J297" s="6"/>
      <c r="K297" s="22"/>
      <c r="L297" s="6"/>
      <c r="M297" s="6"/>
      <c r="N297" s="6"/>
      <c r="O297" s="6"/>
      <c r="P297" s="6"/>
      <c r="Q297" s="6"/>
      <c r="R297" s="54"/>
    </row>
    <row r="298" spans="1:18" ht="12.75">
      <c r="A298" s="6"/>
      <c r="B298" s="6"/>
      <c r="C298" s="6"/>
      <c r="D298" s="6"/>
      <c r="E298" s="6"/>
      <c r="F298" s="6"/>
      <c r="G298" s="6"/>
      <c r="H298" s="6"/>
      <c r="I298" s="6"/>
      <c r="J298" s="6"/>
      <c r="K298" s="22"/>
      <c r="L298" s="6"/>
      <c r="M298" s="6"/>
      <c r="N298" s="6"/>
      <c r="O298" s="6"/>
      <c r="P298" s="6"/>
      <c r="Q298" s="6"/>
      <c r="R298" s="54"/>
    </row>
    <row r="299" spans="1:18" ht="12.75">
      <c r="A299" s="6"/>
      <c r="B299" s="6"/>
      <c r="C299" s="6"/>
      <c r="D299" s="6"/>
      <c r="E299" s="6"/>
      <c r="F299" s="6"/>
      <c r="G299" s="6"/>
      <c r="H299" s="6"/>
      <c r="I299" s="6"/>
      <c r="J299" s="6"/>
      <c r="K299" s="22"/>
      <c r="L299" s="6"/>
      <c r="M299" s="6"/>
      <c r="N299" s="6"/>
      <c r="O299" s="6"/>
      <c r="P299" s="6"/>
      <c r="Q299" s="6"/>
      <c r="R299" s="54"/>
    </row>
    <row r="300" spans="1:18" ht="12.75">
      <c r="A300" s="6"/>
      <c r="B300" s="6"/>
      <c r="C300" s="6"/>
      <c r="D300" s="6"/>
      <c r="E300" s="6"/>
      <c r="F300" s="6"/>
      <c r="G300" s="6"/>
      <c r="H300" s="6"/>
      <c r="I300" s="6"/>
      <c r="J300" s="6"/>
      <c r="K300" s="22"/>
      <c r="L300" s="6"/>
      <c r="M300" s="6"/>
      <c r="N300" s="6"/>
      <c r="O300" s="6"/>
      <c r="P300" s="6"/>
      <c r="Q300" s="6"/>
      <c r="R300" s="54"/>
    </row>
    <row r="301" spans="1:18" ht="12.75">
      <c r="A301" s="6"/>
      <c r="B301" s="6"/>
      <c r="C301" s="6"/>
      <c r="D301" s="6"/>
      <c r="E301" s="6"/>
      <c r="F301" s="6"/>
      <c r="G301" s="6"/>
      <c r="H301" s="6"/>
      <c r="I301" s="6"/>
      <c r="J301" s="6"/>
      <c r="K301" s="22"/>
      <c r="L301" s="6"/>
      <c r="M301" s="6"/>
      <c r="N301" s="6"/>
      <c r="O301" s="6"/>
      <c r="P301" s="6"/>
      <c r="Q301" s="6"/>
      <c r="R301" s="54"/>
    </row>
    <row r="302" spans="1:18" ht="12.75">
      <c r="A302" s="6"/>
      <c r="B302" s="6"/>
      <c r="C302" s="6"/>
      <c r="D302" s="6"/>
      <c r="E302" s="6"/>
      <c r="F302" s="6"/>
      <c r="G302" s="6"/>
      <c r="H302" s="6"/>
      <c r="I302" s="6"/>
      <c r="J302" s="6"/>
      <c r="K302" s="22"/>
      <c r="L302" s="6"/>
      <c r="M302" s="6"/>
      <c r="N302" s="6"/>
      <c r="O302" s="6"/>
      <c r="P302" s="6"/>
      <c r="Q302" s="6"/>
      <c r="R302" s="54"/>
    </row>
    <row r="303" spans="1:18" ht="12.75">
      <c r="A303" s="6"/>
      <c r="B303" s="6"/>
      <c r="C303" s="6"/>
      <c r="D303" s="6"/>
      <c r="E303" s="6"/>
      <c r="F303" s="6"/>
      <c r="G303" s="6"/>
      <c r="H303" s="6"/>
      <c r="I303" s="6"/>
      <c r="J303" s="6"/>
      <c r="K303" s="22"/>
      <c r="L303" s="6"/>
      <c r="M303" s="6"/>
      <c r="N303" s="6"/>
      <c r="O303" s="6"/>
      <c r="P303" s="6"/>
      <c r="Q303" s="6"/>
      <c r="R303" s="54"/>
    </row>
    <row r="304" spans="1:18" ht="12.75">
      <c r="A304" s="6"/>
      <c r="B304" s="6"/>
      <c r="C304" s="6"/>
      <c r="D304" s="6"/>
      <c r="E304" s="6"/>
      <c r="F304" s="6"/>
      <c r="G304" s="6"/>
      <c r="H304" s="6"/>
      <c r="I304" s="6"/>
      <c r="J304" s="6"/>
      <c r="K304" s="22"/>
      <c r="L304" s="6"/>
      <c r="M304" s="6"/>
      <c r="N304" s="6"/>
      <c r="O304" s="6"/>
      <c r="P304" s="6"/>
      <c r="Q304" s="6"/>
      <c r="R304" s="54"/>
    </row>
    <row r="305" spans="1:18" ht="12.75">
      <c r="A305" s="6"/>
      <c r="B305" s="6"/>
      <c r="C305" s="6"/>
      <c r="D305" s="6"/>
      <c r="E305" s="6"/>
      <c r="F305" s="6"/>
      <c r="G305" s="6"/>
      <c r="H305" s="6"/>
      <c r="I305" s="6"/>
      <c r="J305" s="6"/>
      <c r="K305" s="22"/>
      <c r="L305" s="6"/>
      <c r="M305" s="6"/>
      <c r="N305" s="6"/>
      <c r="O305" s="6"/>
      <c r="P305" s="6"/>
      <c r="Q305" s="6"/>
      <c r="R305" s="54"/>
    </row>
    <row r="306" spans="1:18" ht="12.75">
      <c r="A306" s="6"/>
      <c r="B306" s="6"/>
      <c r="C306" s="6"/>
      <c r="D306" s="6"/>
      <c r="E306" s="6"/>
      <c r="F306" s="6"/>
      <c r="G306" s="6"/>
      <c r="H306" s="6"/>
      <c r="I306" s="6"/>
      <c r="J306" s="6"/>
      <c r="K306" s="22"/>
      <c r="L306" s="6"/>
      <c r="M306" s="6"/>
      <c r="N306" s="6"/>
      <c r="O306" s="6"/>
      <c r="P306" s="6"/>
      <c r="Q306" s="6"/>
      <c r="R306" s="54"/>
    </row>
    <row r="307" spans="1:18" ht="12.75">
      <c r="A307" s="6"/>
      <c r="B307" s="6"/>
      <c r="C307" s="6"/>
      <c r="D307" s="6"/>
      <c r="E307" s="6"/>
      <c r="F307" s="6"/>
      <c r="G307" s="6"/>
      <c r="H307" s="6"/>
      <c r="I307" s="6"/>
      <c r="J307" s="6"/>
      <c r="K307" s="22"/>
      <c r="L307" s="6"/>
      <c r="M307" s="6"/>
      <c r="N307" s="6"/>
      <c r="O307" s="6"/>
      <c r="P307" s="6"/>
      <c r="Q307" s="6"/>
      <c r="R307" s="54"/>
    </row>
    <row r="308" spans="1:18" ht="12.75">
      <c r="A308" s="6"/>
      <c r="B308" s="6"/>
      <c r="C308" s="6"/>
      <c r="D308" s="6"/>
      <c r="E308" s="6"/>
      <c r="F308" s="6"/>
      <c r="G308" s="6"/>
      <c r="H308" s="6"/>
      <c r="I308" s="6"/>
      <c r="J308" s="6"/>
      <c r="K308" s="22"/>
      <c r="L308" s="6"/>
      <c r="M308" s="6"/>
      <c r="N308" s="6"/>
      <c r="O308" s="6"/>
      <c r="P308" s="6"/>
      <c r="Q308" s="6"/>
      <c r="R308" s="54"/>
    </row>
    <row r="309" spans="1:18" ht="12.75">
      <c r="A309" s="6"/>
      <c r="B309" s="6"/>
      <c r="C309" s="6"/>
      <c r="D309" s="6"/>
      <c r="E309" s="6"/>
      <c r="F309" s="6"/>
      <c r="G309" s="6"/>
      <c r="H309" s="6"/>
      <c r="I309" s="6"/>
      <c r="J309" s="6"/>
      <c r="K309" s="22"/>
      <c r="L309" s="6"/>
      <c r="M309" s="6"/>
      <c r="N309" s="6"/>
      <c r="O309" s="6"/>
      <c r="P309" s="6"/>
      <c r="Q309" s="6"/>
      <c r="R309" s="54"/>
    </row>
    <row r="310" spans="1:18" ht="12.75">
      <c r="A310" s="6"/>
      <c r="B310" s="6"/>
      <c r="C310" s="6"/>
      <c r="D310" s="6"/>
      <c r="E310" s="6"/>
      <c r="F310" s="6"/>
      <c r="G310" s="6"/>
      <c r="H310" s="6"/>
      <c r="I310" s="6"/>
      <c r="J310" s="6"/>
      <c r="K310" s="22"/>
      <c r="L310" s="6"/>
      <c r="M310" s="6"/>
      <c r="N310" s="6"/>
      <c r="O310" s="6"/>
      <c r="P310" s="6"/>
      <c r="Q310" s="6"/>
      <c r="R310" s="54"/>
    </row>
    <row r="311" spans="1:18" ht="12.75">
      <c r="A311" s="6"/>
      <c r="B311" s="6"/>
      <c r="C311" s="6"/>
      <c r="D311" s="6"/>
      <c r="E311" s="6"/>
      <c r="F311" s="6"/>
      <c r="G311" s="6"/>
      <c r="H311" s="6"/>
      <c r="I311" s="6"/>
      <c r="J311" s="6"/>
      <c r="K311" s="22"/>
      <c r="L311" s="6"/>
      <c r="M311" s="6"/>
      <c r="N311" s="6"/>
      <c r="O311" s="6"/>
      <c r="P311" s="6"/>
      <c r="Q311" s="6"/>
      <c r="R311" s="54"/>
    </row>
    <row r="312" spans="1:18" ht="12.75">
      <c r="A312" s="6"/>
      <c r="B312" s="6"/>
      <c r="C312" s="6"/>
      <c r="D312" s="6"/>
      <c r="E312" s="6"/>
      <c r="F312" s="6"/>
      <c r="G312" s="6"/>
      <c r="H312" s="6"/>
      <c r="I312" s="6"/>
      <c r="J312" s="6"/>
      <c r="K312" s="22"/>
      <c r="L312" s="6"/>
      <c r="M312" s="6"/>
      <c r="N312" s="6"/>
      <c r="O312" s="6"/>
      <c r="P312" s="6"/>
      <c r="Q312" s="6"/>
      <c r="R312" s="54"/>
    </row>
    <row r="313" spans="1:18" ht="12.75">
      <c r="A313" s="6"/>
      <c r="B313" s="6"/>
      <c r="C313" s="6"/>
      <c r="D313" s="6"/>
      <c r="E313" s="6"/>
      <c r="F313" s="6"/>
      <c r="G313" s="6"/>
      <c r="H313" s="6"/>
      <c r="I313" s="6"/>
      <c r="J313" s="6"/>
      <c r="K313" s="22"/>
      <c r="L313" s="6"/>
      <c r="M313" s="6"/>
      <c r="N313" s="6"/>
      <c r="O313" s="6"/>
      <c r="P313" s="6"/>
      <c r="Q313" s="6"/>
      <c r="R313" s="54"/>
    </row>
    <row r="314" spans="1:18" ht="12.75">
      <c r="A314" s="6"/>
      <c r="B314" s="6"/>
      <c r="C314" s="6"/>
      <c r="D314" s="6"/>
      <c r="E314" s="6"/>
      <c r="F314" s="6"/>
      <c r="G314" s="6"/>
      <c r="H314" s="6"/>
      <c r="I314" s="6"/>
      <c r="J314" s="6"/>
      <c r="K314" s="22"/>
      <c r="L314" s="6"/>
      <c r="M314" s="6"/>
      <c r="N314" s="6"/>
      <c r="O314" s="6"/>
      <c r="P314" s="6"/>
      <c r="Q314" s="6"/>
      <c r="R314" s="54"/>
    </row>
    <row r="315" spans="1:18" ht="12.75">
      <c r="A315" s="6"/>
      <c r="B315" s="6"/>
      <c r="C315" s="6"/>
      <c r="D315" s="6"/>
      <c r="E315" s="6"/>
      <c r="F315" s="6"/>
      <c r="G315" s="6"/>
      <c r="H315" s="6"/>
      <c r="I315" s="6"/>
      <c r="J315" s="6"/>
      <c r="K315" s="22"/>
      <c r="L315" s="6"/>
      <c r="M315" s="6"/>
      <c r="N315" s="6"/>
      <c r="O315" s="6"/>
      <c r="P315" s="6"/>
      <c r="Q315" s="6"/>
      <c r="R315" s="54"/>
    </row>
    <row r="316" spans="1:18" ht="12.75">
      <c r="A316" s="6"/>
      <c r="B316" s="6"/>
      <c r="C316" s="6"/>
      <c r="D316" s="6"/>
      <c r="E316" s="6"/>
      <c r="F316" s="6"/>
      <c r="G316" s="6"/>
      <c r="H316" s="6"/>
      <c r="I316" s="6"/>
      <c r="J316" s="6"/>
      <c r="K316" s="22"/>
      <c r="L316" s="6"/>
      <c r="M316" s="6"/>
      <c r="N316" s="6"/>
      <c r="O316" s="6"/>
      <c r="P316" s="6"/>
      <c r="Q316" s="6"/>
      <c r="R316" s="54"/>
    </row>
    <row r="317" spans="1:18" ht="12.75">
      <c r="A317" s="6"/>
      <c r="B317" s="6"/>
      <c r="C317" s="6"/>
      <c r="D317" s="6"/>
      <c r="E317" s="6"/>
      <c r="F317" s="6"/>
      <c r="G317" s="6"/>
      <c r="H317" s="6"/>
      <c r="I317" s="6"/>
      <c r="J317" s="6"/>
      <c r="K317" s="22"/>
      <c r="L317" s="6"/>
      <c r="M317" s="6"/>
      <c r="N317" s="6"/>
      <c r="O317" s="6"/>
      <c r="P317" s="6"/>
      <c r="Q317" s="6"/>
      <c r="R317" s="54"/>
    </row>
    <row r="318" spans="1:18" ht="12.75">
      <c r="A318" s="6"/>
      <c r="B318" s="6"/>
      <c r="C318" s="6"/>
      <c r="D318" s="6"/>
      <c r="E318" s="6"/>
      <c r="F318" s="6"/>
      <c r="G318" s="6"/>
      <c r="H318" s="6"/>
      <c r="I318" s="6"/>
      <c r="J318" s="6"/>
      <c r="K318" s="22"/>
      <c r="L318" s="6"/>
      <c r="M318" s="6"/>
      <c r="N318" s="6"/>
      <c r="O318" s="6"/>
      <c r="P318" s="6"/>
      <c r="Q318" s="6"/>
      <c r="R318" s="54"/>
    </row>
    <row r="319" spans="1:18" ht="12.75">
      <c r="A319" s="6"/>
      <c r="B319" s="6"/>
      <c r="C319" s="6"/>
      <c r="D319" s="6"/>
      <c r="E319" s="6"/>
      <c r="F319" s="6"/>
      <c r="G319" s="6"/>
      <c r="H319" s="6"/>
      <c r="I319" s="6"/>
      <c r="J319" s="6"/>
      <c r="K319" s="22"/>
      <c r="L319" s="6"/>
      <c r="M319" s="6"/>
      <c r="N319" s="6"/>
      <c r="O319" s="6"/>
      <c r="P319" s="6"/>
      <c r="Q319" s="6"/>
      <c r="R319" s="54"/>
    </row>
    <row r="320" spans="1:18" ht="12.75">
      <c r="A320" s="6"/>
      <c r="B320" s="6"/>
      <c r="C320" s="6"/>
      <c r="D320" s="6"/>
      <c r="E320" s="6"/>
      <c r="F320" s="6"/>
      <c r="G320" s="6"/>
      <c r="H320" s="6"/>
      <c r="I320" s="6"/>
      <c r="J320" s="6"/>
      <c r="K320" s="22"/>
      <c r="L320" s="6"/>
      <c r="M320" s="6"/>
      <c r="N320" s="6"/>
      <c r="O320" s="6"/>
      <c r="P320" s="6"/>
      <c r="Q320" s="6"/>
      <c r="R320" s="54"/>
    </row>
    <row r="321" spans="1:18" ht="12.75">
      <c r="A321" s="6"/>
      <c r="B321" s="6"/>
      <c r="C321" s="6"/>
      <c r="D321" s="6"/>
      <c r="E321" s="6"/>
      <c r="F321" s="6"/>
      <c r="G321" s="6"/>
      <c r="H321" s="6"/>
      <c r="I321" s="6"/>
      <c r="J321" s="6"/>
      <c r="K321" s="22"/>
      <c r="L321" s="6"/>
      <c r="M321" s="6"/>
      <c r="N321" s="6"/>
      <c r="O321" s="6"/>
      <c r="P321" s="6"/>
      <c r="Q321" s="6"/>
      <c r="R321" s="54"/>
    </row>
    <row r="322" spans="1:18" ht="12.75">
      <c r="A322" s="6"/>
      <c r="B322" s="6"/>
      <c r="C322" s="6"/>
      <c r="D322" s="6"/>
      <c r="E322" s="6"/>
      <c r="F322" s="6"/>
      <c r="G322" s="6"/>
      <c r="H322" s="6"/>
      <c r="I322" s="6"/>
      <c r="J322" s="6"/>
      <c r="K322" s="22"/>
      <c r="L322" s="6"/>
      <c r="M322" s="6"/>
      <c r="N322" s="6"/>
      <c r="O322" s="6"/>
      <c r="P322" s="6"/>
      <c r="Q322" s="6"/>
      <c r="R322" s="54"/>
    </row>
    <row r="323" spans="1:18" ht="12.75">
      <c r="A323" s="6"/>
      <c r="B323" s="6"/>
      <c r="C323" s="6"/>
      <c r="D323" s="6"/>
      <c r="E323" s="6"/>
      <c r="F323" s="6"/>
      <c r="G323" s="6"/>
      <c r="H323" s="6"/>
      <c r="I323" s="6"/>
      <c r="J323" s="6"/>
      <c r="K323" s="22"/>
      <c r="L323" s="6"/>
      <c r="M323" s="6"/>
      <c r="N323" s="6"/>
      <c r="O323" s="6"/>
      <c r="P323" s="6"/>
      <c r="Q323" s="6"/>
      <c r="R323" s="54"/>
    </row>
    <row r="324" spans="1:18" ht="12.75">
      <c r="A324" s="6"/>
      <c r="B324" s="6"/>
      <c r="C324" s="6"/>
      <c r="D324" s="6"/>
      <c r="E324" s="6"/>
      <c r="F324" s="6"/>
      <c r="G324" s="6"/>
      <c r="H324" s="6"/>
      <c r="I324" s="6"/>
      <c r="J324" s="6"/>
      <c r="K324" s="22"/>
      <c r="L324" s="6"/>
      <c r="M324" s="6"/>
      <c r="N324" s="6"/>
      <c r="O324" s="6"/>
      <c r="P324" s="6"/>
      <c r="Q324" s="6"/>
      <c r="R324" s="54"/>
    </row>
    <row r="325" spans="1:18" ht="12.75">
      <c r="A325" s="6"/>
      <c r="B325" s="6"/>
      <c r="C325" s="6"/>
      <c r="D325" s="6"/>
      <c r="E325" s="6"/>
      <c r="F325" s="6"/>
      <c r="G325" s="6"/>
      <c r="H325" s="6"/>
      <c r="I325" s="6"/>
      <c r="J325" s="6"/>
      <c r="K325" s="22"/>
      <c r="L325" s="6"/>
      <c r="M325" s="6"/>
      <c r="N325" s="6"/>
      <c r="O325" s="6"/>
      <c r="P325" s="6"/>
      <c r="Q325" s="6"/>
      <c r="R325" s="54"/>
    </row>
    <row r="326" spans="1:18" ht="12.75">
      <c r="A326" s="6"/>
      <c r="B326" s="6"/>
      <c r="C326" s="6"/>
      <c r="D326" s="6"/>
      <c r="E326" s="6"/>
      <c r="F326" s="6"/>
      <c r="G326" s="6"/>
      <c r="H326" s="6"/>
      <c r="I326" s="6"/>
      <c r="J326" s="6"/>
      <c r="K326" s="22"/>
      <c r="L326" s="6"/>
      <c r="M326" s="6"/>
      <c r="N326" s="6"/>
      <c r="O326" s="6"/>
      <c r="P326" s="6"/>
      <c r="Q326" s="6"/>
      <c r="R326" s="54"/>
    </row>
    <row r="327" spans="1:18" ht="12.75">
      <c r="A327" s="6"/>
      <c r="B327" s="6"/>
      <c r="C327" s="6"/>
      <c r="D327" s="6"/>
      <c r="E327" s="6"/>
      <c r="F327" s="6"/>
      <c r="G327" s="6"/>
      <c r="H327" s="6"/>
      <c r="I327" s="6"/>
      <c r="J327" s="6"/>
      <c r="K327" s="22"/>
      <c r="L327" s="6"/>
      <c r="M327" s="6"/>
      <c r="N327" s="6"/>
      <c r="O327" s="6"/>
      <c r="P327" s="6"/>
      <c r="Q327" s="6"/>
      <c r="R327" s="54"/>
    </row>
    <row r="328" spans="1:18" ht="12.75">
      <c r="A328" s="6"/>
      <c r="B328" s="6"/>
      <c r="C328" s="6"/>
      <c r="D328" s="6"/>
      <c r="E328" s="6"/>
      <c r="F328" s="6"/>
      <c r="G328" s="6"/>
      <c r="H328" s="6"/>
      <c r="I328" s="6"/>
      <c r="J328" s="6"/>
      <c r="K328" s="22"/>
      <c r="L328" s="6"/>
      <c r="M328" s="6"/>
      <c r="N328" s="6"/>
      <c r="O328" s="6"/>
      <c r="P328" s="6"/>
      <c r="Q328" s="6"/>
      <c r="R328" s="54"/>
    </row>
    <row r="329" spans="1:18" ht="12.75">
      <c r="A329" s="6"/>
      <c r="B329" s="6"/>
      <c r="C329" s="6"/>
      <c r="D329" s="6"/>
      <c r="E329" s="6"/>
      <c r="F329" s="6"/>
      <c r="G329" s="6"/>
      <c r="H329" s="6"/>
      <c r="I329" s="6"/>
      <c r="J329" s="6"/>
      <c r="K329" s="22"/>
      <c r="L329" s="6"/>
      <c r="M329" s="6"/>
      <c r="N329" s="6"/>
      <c r="O329" s="6"/>
      <c r="P329" s="6"/>
      <c r="Q329" s="6"/>
      <c r="R329" s="54"/>
    </row>
    <row r="330" spans="1:18" ht="12.75">
      <c r="A330" s="6"/>
      <c r="B330" s="6"/>
      <c r="C330" s="6"/>
      <c r="D330" s="6"/>
      <c r="E330" s="6"/>
      <c r="F330" s="6"/>
      <c r="G330" s="6"/>
      <c r="H330" s="6"/>
      <c r="I330" s="6"/>
      <c r="J330" s="6"/>
      <c r="K330" s="22"/>
      <c r="L330" s="6"/>
      <c r="M330" s="6"/>
      <c r="N330" s="6"/>
      <c r="O330" s="6"/>
      <c r="P330" s="6"/>
      <c r="Q330" s="6"/>
      <c r="R330" s="54"/>
    </row>
    <row r="331" spans="1:18" ht="12.75">
      <c r="A331" s="6"/>
      <c r="B331" s="6"/>
      <c r="C331" s="6"/>
      <c r="D331" s="6"/>
      <c r="E331" s="6"/>
      <c r="F331" s="6"/>
      <c r="G331" s="6"/>
      <c r="H331" s="6"/>
      <c r="I331" s="6"/>
      <c r="J331" s="6"/>
      <c r="K331" s="22"/>
      <c r="L331" s="6"/>
      <c r="M331" s="6"/>
      <c r="N331" s="6"/>
      <c r="O331" s="6"/>
      <c r="P331" s="6"/>
      <c r="Q331" s="6"/>
      <c r="R331" s="54"/>
    </row>
    <row r="332" spans="1:18" ht="12.75">
      <c r="A332" s="6"/>
      <c r="B332" s="6"/>
      <c r="C332" s="6"/>
      <c r="D332" s="6"/>
      <c r="E332" s="6"/>
      <c r="F332" s="6"/>
      <c r="G332" s="6"/>
      <c r="H332" s="6"/>
      <c r="I332" s="6"/>
      <c r="J332" s="6"/>
      <c r="K332" s="22"/>
      <c r="L332" s="6"/>
      <c r="M332" s="6"/>
      <c r="N332" s="6"/>
      <c r="O332" s="6"/>
      <c r="P332" s="6"/>
      <c r="Q332" s="6"/>
      <c r="R332" s="54"/>
    </row>
    <row r="333" spans="1:18" ht="12.75">
      <c r="A333" s="6"/>
      <c r="B333" s="6"/>
      <c r="C333" s="6"/>
      <c r="D333" s="6"/>
      <c r="E333" s="6"/>
      <c r="F333" s="6"/>
      <c r="G333" s="6"/>
      <c r="H333" s="6"/>
      <c r="I333" s="6"/>
      <c r="J333" s="6"/>
      <c r="K333" s="22"/>
      <c r="L333" s="6"/>
      <c r="M333" s="6"/>
      <c r="N333" s="6"/>
      <c r="O333" s="6"/>
      <c r="P333" s="6"/>
      <c r="Q333" s="6"/>
      <c r="R333" s="54"/>
    </row>
    <row r="334" spans="1:18" ht="12.75">
      <c r="A334" s="6"/>
      <c r="B334" s="6"/>
      <c r="C334" s="6"/>
      <c r="D334" s="6"/>
      <c r="E334" s="6"/>
      <c r="F334" s="6"/>
      <c r="G334" s="6"/>
      <c r="H334" s="6"/>
      <c r="I334" s="6"/>
      <c r="J334" s="6"/>
      <c r="K334" s="22"/>
      <c r="L334" s="6"/>
      <c r="M334" s="6"/>
      <c r="N334" s="6"/>
      <c r="O334" s="6"/>
      <c r="P334" s="6"/>
      <c r="Q334" s="6"/>
      <c r="R334" s="54"/>
    </row>
    <row r="335" spans="1:18" ht="12.75">
      <c r="A335" s="6"/>
      <c r="B335" s="6"/>
      <c r="C335" s="6"/>
      <c r="D335" s="6"/>
      <c r="E335" s="6"/>
      <c r="F335" s="6"/>
      <c r="G335" s="6"/>
      <c r="H335" s="6"/>
      <c r="I335" s="6"/>
      <c r="J335" s="6"/>
      <c r="K335" s="22"/>
      <c r="L335" s="6"/>
      <c r="M335" s="6"/>
      <c r="N335" s="6"/>
      <c r="O335" s="6"/>
      <c r="P335" s="6"/>
      <c r="Q335" s="6"/>
      <c r="R335" s="54"/>
    </row>
    <row r="336" spans="1:18" ht="12.75">
      <c r="A336" s="6"/>
      <c r="B336" s="6"/>
      <c r="C336" s="6"/>
      <c r="D336" s="6"/>
      <c r="E336" s="6"/>
      <c r="F336" s="6"/>
      <c r="G336" s="6"/>
      <c r="H336" s="6"/>
      <c r="I336" s="6"/>
      <c r="J336" s="6"/>
      <c r="K336" s="22"/>
      <c r="L336" s="6"/>
      <c r="M336" s="6"/>
      <c r="N336" s="6"/>
      <c r="O336" s="6"/>
      <c r="P336" s="6"/>
      <c r="Q336" s="6"/>
      <c r="R336" s="54"/>
    </row>
    <row r="337" spans="1:18" ht="12.75">
      <c r="A337" s="6"/>
      <c r="B337" s="6"/>
      <c r="C337" s="6"/>
      <c r="D337" s="6"/>
      <c r="E337" s="6"/>
      <c r="F337" s="6"/>
      <c r="G337" s="6"/>
      <c r="H337" s="6"/>
      <c r="I337" s="6"/>
      <c r="J337" s="6"/>
      <c r="K337" s="22"/>
      <c r="L337" s="6"/>
      <c r="M337" s="6"/>
      <c r="N337" s="6"/>
      <c r="O337" s="6"/>
      <c r="P337" s="6"/>
      <c r="Q337" s="6"/>
      <c r="R337" s="54"/>
    </row>
    <row r="338" spans="1:18" ht="12.75">
      <c r="A338" s="6"/>
      <c r="B338" s="6"/>
      <c r="C338" s="6"/>
      <c r="D338" s="6"/>
      <c r="E338" s="6"/>
      <c r="F338" s="6"/>
      <c r="G338" s="6"/>
      <c r="H338" s="6"/>
      <c r="I338" s="6"/>
      <c r="J338" s="6"/>
      <c r="K338" s="22"/>
      <c r="L338" s="6"/>
      <c r="M338" s="6"/>
      <c r="N338" s="6"/>
      <c r="O338" s="6"/>
      <c r="P338" s="6"/>
      <c r="Q338" s="6"/>
      <c r="R338" s="54"/>
    </row>
    <row r="339" spans="1:18" ht="12.75">
      <c r="A339" s="6"/>
      <c r="B339" s="6"/>
      <c r="C339" s="6"/>
      <c r="D339" s="6"/>
      <c r="E339" s="6"/>
      <c r="F339" s="6"/>
      <c r="G339" s="6"/>
      <c r="H339" s="6"/>
      <c r="I339" s="6"/>
      <c r="J339" s="6"/>
      <c r="K339" s="22"/>
      <c r="L339" s="6"/>
      <c r="M339" s="6"/>
      <c r="N339" s="6"/>
      <c r="O339" s="6"/>
      <c r="P339" s="6"/>
      <c r="Q339" s="6"/>
      <c r="R339" s="54"/>
    </row>
    <row r="340" spans="1:18" ht="12.75">
      <c r="A340" s="6"/>
      <c r="B340" s="6"/>
      <c r="C340" s="6"/>
      <c r="D340" s="6"/>
      <c r="E340" s="6"/>
      <c r="F340" s="6"/>
      <c r="G340" s="6"/>
      <c r="H340" s="6"/>
      <c r="I340" s="6"/>
      <c r="J340" s="6"/>
      <c r="K340" s="22"/>
      <c r="L340" s="6"/>
      <c r="M340" s="6"/>
      <c r="N340" s="6"/>
      <c r="O340" s="6"/>
      <c r="P340" s="6"/>
      <c r="Q340" s="6"/>
      <c r="R340" s="54"/>
    </row>
    <row r="341" spans="1:18" ht="12.75">
      <c r="A341" s="6"/>
      <c r="B341" s="6"/>
      <c r="C341" s="6"/>
      <c r="D341" s="6"/>
      <c r="E341" s="6"/>
      <c r="F341" s="6"/>
      <c r="G341" s="6"/>
      <c r="H341" s="6"/>
      <c r="I341" s="6"/>
      <c r="J341" s="6"/>
      <c r="K341" s="22"/>
      <c r="L341" s="6"/>
      <c r="M341" s="6"/>
      <c r="N341" s="6"/>
      <c r="O341" s="6"/>
      <c r="P341" s="6"/>
      <c r="Q341" s="6"/>
      <c r="R341" s="54"/>
    </row>
    <row r="342" spans="1:18" ht="12.75">
      <c r="A342" s="6"/>
      <c r="B342" s="6"/>
      <c r="C342" s="6"/>
      <c r="D342" s="6"/>
      <c r="E342" s="6"/>
      <c r="F342" s="6"/>
      <c r="G342" s="6"/>
      <c r="H342" s="6"/>
      <c r="I342" s="6"/>
      <c r="J342" s="6"/>
      <c r="K342" s="22"/>
      <c r="L342" s="6"/>
      <c r="M342" s="6"/>
      <c r="N342" s="6"/>
      <c r="O342" s="6"/>
      <c r="P342" s="6"/>
      <c r="Q342" s="6"/>
      <c r="R342" s="54"/>
    </row>
    <row r="343" spans="1:18" ht="12.75">
      <c r="A343" s="6"/>
      <c r="B343" s="6"/>
      <c r="C343" s="6"/>
      <c r="D343" s="6"/>
      <c r="E343" s="6"/>
      <c r="F343" s="6"/>
      <c r="G343" s="6"/>
      <c r="H343" s="6"/>
      <c r="I343" s="6"/>
      <c r="J343" s="6"/>
      <c r="K343" s="22"/>
      <c r="L343" s="6"/>
      <c r="M343" s="6"/>
      <c r="N343" s="6"/>
      <c r="O343" s="6"/>
      <c r="P343" s="6"/>
      <c r="Q343" s="6"/>
      <c r="R343" s="54"/>
    </row>
    <row r="344" spans="1:18" ht="12.75">
      <c r="A344" s="6"/>
      <c r="B344" s="6"/>
      <c r="C344" s="6"/>
      <c r="D344" s="6"/>
      <c r="E344" s="6"/>
      <c r="F344" s="6"/>
      <c r="G344" s="6"/>
      <c r="H344" s="6"/>
      <c r="I344" s="6"/>
      <c r="J344" s="6"/>
      <c r="K344" s="22"/>
      <c r="L344" s="6"/>
      <c r="M344" s="6"/>
      <c r="N344" s="6"/>
      <c r="O344" s="6"/>
      <c r="P344" s="6"/>
      <c r="Q344" s="6"/>
      <c r="R344" s="54"/>
    </row>
    <row r="345" spans="1:18" ht="12.75">
      <c r="A345" s="6"/>
      <c r="B345" s="6"/>
      <c r="C345" s="6"/>
      <c r="D345" s="6"/>
      <c r="E345" s="6"/>
      <c r="F345" s="6"/>
      <c r="G345" s="6"/>
      <c r="H345" s="6"/>
      <c r="I345" s="6"/>
      <c r="J345" s="6"/>
      <c r="K345" s="22"/>
      <c r="L345" s="6"/>
      <c r="M345" s="6"/>
      <c r="N345" s="6"/>
      <c r="O345" s="6"/>
      <c r="P345" s="6"/>
      <c r="Q345" s="6"/>
      <c r="R345" s="54"/>
    </row>
    <row r="346" spans="1:18" ht="12.75">
      <c r="A346" s="6"/>
      <c r="B346" s="6"/>
      <c r="C346" s="6"/>
      <c r="D346" s="6"/>
      <c r="E346" s="6"/>
      <c r="F346" s="6"/>
      <c r="G346" s="6"/>
      <c r="H346" s="6"/>
      <c r="I346" s="6"/>
      <c r="J346" s="6"/>
      <c r="K346" s="22"/>
      <c r="L346" s="6"/>
      <c r="M346" s="6"/>
      <c r="N346" s="6"/>
      <c r="O346" s="6"/>
      <c r="P346" s="6"/>
      <c r="Q346" s="6"/>
      <c r="R346" s="54"/>
    </row>
    <row r="347" spans="1:18" ht="12.75">
      <c r="A347" s="6"/>
      <c r="B347" s="6"/>
      <c r="C347" s="6"/>
      <c r="D347" s="6"/>
      <c r="E347" s="6"/>
      <c r="F347" s="6"/>
      <c r="G347" s="6"/>
      <c r="H347" s="6"/>
      <c r="I347" s="6"/>
      <c r="J347" s="6"/>
      <c r="K347" s="22"/>
      <c r="L347" s="6"/>
      <c r="M347" s="6"/>
      <c r="N347" s="6"/>
      <c r="O347" s="6"/>
      <c r="P347" s="6"/>
      <c r="Q347" s="6"/>
      <c r="R347" s="54"/>
    </row>
    <row r="348" spans="1:18" ht="12.75">
      <c r="A348" s="6"/>
      <c r="B348" s="6"/>
      <c r="C348" s="6"/>
      <c r="D348" s="6"/>
      <c r="E348" s="6"/>
      <c r="F348" s="6"/>
      <c r="G348" s="6"/>
      <c r="H348" s="6"/>
      <c r="I348" s="6"/>
      <c r="J348" s="6"/>
      <c r="K348" s="22"/>
      <c r="L348" s="6"/>
      <c r="M348" s="6"/>
      <c r="N348" s="6"/>
      <c r="O348" s="6"/>
      <c r="P348" s="6"/>
      <c r="Q348" s="6"/>
      <c r="R348" s="54"/>
    </row>
    <row r="349" spans="1:18" ht="12.75">
      <c r="A349" s="6"/>
      <c r="B349" s="6"/>
      <c r="C349" s="6"/>
      <c r="D349" s="6"/>
      <c r="E349" s="6"/>
      <c r="F349" s="6"/>
      <c r="G349" s="6"/>
      <c r="H349" s="6"/>
      <c r="I349" s="6"/>
      <c r="J349" s="6"/>
      <c r="K349" s="22"/>
      <c r="L349" s="6"/>
      <c r="M349" s="6"/>
      <c r="N349" s="6"/>
      <c r="O349" s="6"/>
      <c r="P349" s="6"/>
      <c r="Q349" s="6"/>
      <c r="R349" s="54"/>
    </row>
    <row r="350" spans="1:18" ht="12.75">
      <c r="A350" s="6"/>
      <c r="B350" s="6"/>
      <c r="C350" s="6"/>
      <c r="D350" s="6"/>
      <c r="E350" s="6"/>
      <c r="F350" s="6"/>
      <c r="G350" s="6"/>
      <c r="H350" s="6"/>
      <c r="I350" s="6"/>
      <c r="J350" s="6"/>
      <c r="K350" s="22"/>
      <c r="L350" s="6"/>
      <c r="M350" s="6"/>
      <c r="N350" s="6"/>
      <c r="O350" s="6"/>
      <c r="P350" s="6"/>
      <c r="Q350" s="6"/>
      <c r="R350" s="54"/>
    </row>
    <row r="351" spans="1:18" ht="12.75">
      <c r="A351" s="6"/>
      <c r="B351" s="6"/>
      <c r="C351" s="6"/>
      <c r="D351" s="6"/>
      <c r="E351" s="6"/>
      <c r="F351" s="6"/>
      <c r="G351" s="6"/>
      <c r="H351" s="6"/>
      <c r="I351" s="6"/>
      <c r="J351" s="6"/>
      <c r="K351" s="22"/>
      <c r="L351" s="6"/>
      <c r="M351" s="6"/>
      <c r="N351" s="6"/>
      <c r="O351" s="6"/>
      <c r="P351" s="6"/>
      <c r="Q351" s="6"/>
      <c r="R351" s="54"/>
    </row>
    <row r="352" spans="1:18" ht="12.75">
      <c r="A352" s="6"/>
      <c r="B352" s="6"/>
      <c r="C352" s="6"/>
      <c r="D352" s="6"/>
      <c r="E352" s="6"/>
      <c r="F352" s="6"/>
      <c r="G352" s="6"/>
      <c r="H352" s="6"/>
      <c r="I352" s="6"/>
      <c r="J352" s="6"/>
      <c r="K352" s="22"/>
      <c r="L352" s="6"/>
      <c r="M352" s="6"/>
      <c r="N352" s="6"/>
      <c r="O352" s="6"/>
      <c r="P352" s="6"/>
      <c r="Q352" s="6"/>
      <c r="R352" s="54"/>
    </row>
    <row r="353" spans="1:18" ht="12.75">
      <c r="A353" s="6"/>
      <c r="B353" s="6"/>
      <c r="C353" s="6"/>
      <c r="D353" s="6"/>
      <c r="E353" s="6"/>
      <c r="F353" s="6"/>
      <c r="G353" s="6"/>
      <c r="H353" s="6"/>
      <c r="I353" s="6"/>
      <c r="J353" s="6"/>
      <c r="K353" s="22"/>
      <c r="L353" s="6"/>
      <c r="M353" s="6"/>
      <c r="N353" s="6"/>
      <c r="O353" s="6"/>
      <c r="P353" s="6"/>
      <c r="Q353" s="6"/>
      <c r="R353" s="54"/>
    </row>
    <row r="354" spans="1:18" ht="12.75">
      <c r="A354" s="6"/>
      <c r="B354" s="6"/>
      <c r="C354" s="6"/>
      <c r="D354" s="6"/>
      <c r="E354" s="6"/>
      <c r="F354" s="6"/>
      <c r="G354" s="6"/>
      <c r="H354" s="6"/>
      <c r="I354" s="6"/>
      <c r="J354" s="6"/>
      <c r="K354" s="22"/>
      <c r="L354" s="6"/>
      <c r="M354" s="6"/>
      <c r="N354" s="6"/>
      <c r="O354" s="6"/>
      <c r="P354" s="6"/>
      <c r="Q354" s="6"/>
      <c r="R354" s="54"/>
    </row>
    <row r="355" spans="1:18" ht="12.75">
      <c r="A355" s="6"/>
      <c r="B355" s="6"/>
      <c r="C355" s="6"/>
      <c r="D355" s="6"/>
      <c r="E355" s="6"/>
      <c r="F355" s="6"/>
      <c r="G355" s="6"/>
      <c r="H355" s="6"/>
      <c r="I355" s="6"/>
      <c r="J355" s="6"/>
      <c r="K355" s="22"/>
      <c r="L355" s="6"/>
      <c r="M355" s="6"/>
      <c r="N355" s="6"/>
      <c r="O355" s="6"/>
      <c r="P355" s="6"/>
      <c r="Q355" s="6"/>
      <c r="R355" s="54"/>
    </row>
    <row r="356" spans="1:18" ht="12.75">
      <c r="A356" s="6"/>
      <c r="B356" s="6"/>
      <c r="C356" s="6"/>
      <c r="D356" s="6"/>
      <c r="E356" s="6"/>
      <c r="F356" s="6"/>
      <c r="G356" s="6"/>
      <c r="H356" s="6"/>
      <c r="I356" s="6"/>
      <c r="J356" s="6"/>
      <c r="K356" s="22"/>
      <c r="L356" s="6"/>
      <c r="M356" s="6"/>
      <c r="N356" s="6"/>
      <c r="O356" s="6"/>
      <c r="P356" s="6"/>
      <c r="Q356" s="6"/>
      <c r="R356" s="54"/>
    </row>
    <row r="357" spans="1:18" ht="12.75">
      <c r="A357" s="6"/>
      <c r="B357" s="6"/>
      <c r="C357" s="6"/>
      <c r="D357" s="6"/>
      <c r="E357" s="6"/>
      <c r="F357" s="6"/>
      <c r="G357" s="6"/>
      <c r="H357" s="6"/>
      <c r="I357" s="6"/>
      <c r="J357" s="6"/>
      <c r="K357" s="22"/>
      <c r="L357" s="6"/>
      <c r="M357" s="6"/>
      <c r="N357" s="6"/>
      <c r="O357" s="6"/>
      <c r="P357" s="6"/>
      <c r="Q357" s="6"/>
      <c r="R357" s="54"/>
    </row>
    <row r="358" spans="1:18" ht="12.75">
      <c r="A358" s="6"/>
      <c r="B358" s="6"/>
      <c r="C358" s="6"/>
      <c r="D358" s="6"/>
      <c r="E358" s="6"/>
      <c r="F358" s="6"/>
      <c r="G358" s="6"/>
      <c r="H358" s="6"/>
      <c r="I358" s="6"/>
      <c r="J358" s="6"/>
      <c r="K358" s="22"/>
      <c r="L358" s="6"/>
      <c r="M358" s="6"/>
      <c r="N358" s="6"/>
      <c r="O358" s="6"/>
      <c r="P358" s="6"/>
      <c r="Q358" s="6"/>
      <c r="R358" s="54"/>
    </row>
    <row r="359" spans="1:18" ht="12.75">
      <c r="A359" s="6"/>
      <c r="B359" s="6"/>
      <c r="C359" s="6"/>
      <c r="D359" s="6"/>
      <c r="E359" s="6"/>
      <c r="F359" s="6"/>
      <c r="G359" s="6"/>
      <c r="H359" s="6"/>
      <c r="I359" s="6"/>
      <c r="J359" s="6"/>
      <c r="K359" s="22"/>
      <c r="L359" s="6"/>
      <c r="M359" s="6"/>
      <c r="N359" s="6"/>
      <c r="O359" s="6"/>
      <c r="P359" s="6"/>
      <c r="Q359" s="6"/>
      <c r="R359" s="54"/>
    </row>
    <row r="360" spans="1:18" ht="12.75">
      <c r="A360" s="6"/>
      <c r="B360" s="6"/>
      <c r="C360" s="6"/>
      <c r="D360" s="6"/>
      <c r="E360" s="6"/>
      <c r="F360" s="6"/>
      <c r="G360" s="6"/>
      <c r="H360" s="6"/>
      <c r="I360" s="6"/>
      <c r="J360" s="6"/>
      <c r="K360" s="22"/>
      <c r="L360" s="6"/>
      <c r="M360" s="6"/>
      <c r="N360" s="6"/>
      <c r="O360" s="6"/>
      <c r="P360" s="6"/>
      <c r="Q360" s="6"/>
      <c r="R360" s="54"/>
    </row>
    <row r="361" spans="1:18" ht="12.75">
      <c r="A361" s="6"/>
      <c r="B361" s="6"/>
      <c r="C361" s="6"/>
      <c r="D361" s="6"/>
      <c r="E361" s="6"/>
      <c r="F361" s="6"/>
      <c r="G361" s="6"/>
      <c r="H361" s="6"/>
      <c r="I361" s="6"/>
      <c r="J361" s="6"/>
      <c r="K361" s="22"/>
      <c r="L361" s="6"/>
      <c r="M361" s="6"/>
      <c r="N361" s="6"/>
      <c r="O361" s="6"/>
      <c r="P361" s="6"/>
      <c r="Q361" s="6"/>
      <c r="R361" s="54"/>
    </row>
    <row r="362" spans="1:18" ht="12.75">
      <c r="A362" s="6"/>
      <c r="B362" s="6"/>
      <c r="C362" s="6"/>
      <c r="D362" s="6"/>
      <c r="E362" s="6"/>
      <c r="F362" s="6"/>
      <c r="G362" s="6"/>
      <c r="H362" s="6"/>
      <c r="I362" s="6"/>
      <c r="J362" s="6"/>
      <c r="K362" s="22"/>
      <c r="L362" s="6"/>
      <c r="M362" s="6"/>
      <c r="N362" s="6"/>
      <c r="O362" s="6"/>
      <c r="P362" s="6"/>
      <c r="Q362" s="6"/>
      <c r="R362" s="54"/>
    </row>
    <row r="363" spans="1:18" ht="12.75">
      <c r="A363" s="6"/>
      <c r="B363" s="6"/>
      <c r="C363" s="6"/>
      <c r="D363" s="6"/>
      <c r="E363" s="6"/>
      <c r="F363" s="6"/>
      <c r="G363" s="6"/>
      <c r="H363" s="6"/>
      <c r="I363" s="6"/>
      <c r="J363" s="6"/>
      <c r="K363" s="22"/>
      <c r="L363" s="6"/>
      <c r="M363" s="6"/>
      <c r="N363" s="6"/>
      <c r="O363" s="6"/>
      <c r="P363" s="6"/>
      <c r="Q363" s="6"/>
      <c r="R363" s="54"/>
    </row>
    <row r="364" spans="1:18" ht="12.75">
      <c r="A364" s="6"/>
      <c r="B364" s="6"/>
      <c r="C364" s="6"/>
      <c r="D364" s="6"/>
      <c r="E364" s="6"/>
      <c r="F364" s="6"/>
      <c r="G364" s="6"/>
      <c r="H364" s="6"/>
      <c r="I364" s="6"/>
      <c r="J364" s="6"/>
      <c r="K364" s="22"/>
      <c r="L364" s="6"/>
      <c r="M364" s="6"/>
      <c r="N364" s="6"/>
      <c r="O364" s="6"/>
      <c r="P364" s="6"/>
      <c r="Q364" s="6"/>
      <c r="R364" s="54"/>
    </row>
    <row r="365" spans="1:18" ht="12.75">
      <c r="A365" s="6"/>
      <c r="B365" s="6"/>
      <c r="C365" s="6"/>
      <c r="D365" s="6"/>
      <c r="E365" s="6"/>
      <c r="F365" s="6"/>
      <c r="G365" s="6"/>
      <c r="H365" s="6"/>
      <c r="I365" s="6"/>
      <c r="J365" s="6"/>
      <c r="K365" s="22"/>
      <c r="L365" s="6"/>
      <c r="M365" s="6"/>
      <c r="N365" s="6"/>
      <c r="O365" s="6"/>
      <c r="P365" s="6"/>
      <c r="Q365" s="6"/>
      <c r="R365" s="54"/>
    </row>
    <row r="366" spans="1:18" ht="12.75">
      <c r="A366" s="6"/>
      <c r="B366" s="6"/>
      <c r="C366" s="6"/>
      <c r="D366" s="6"/>
      <c r="E366" s="6"/>
      <c r="F366" s="6"/>
      <c r="G366" s="6"/>
      <c r="H366" s="6"/>
      <c r="I366" s="6"/>
      <c r="J366" s="6"/>
      <c r="K366" s="22"/>
      <c r="L366" s="6"/>
      <c r="M366" s="6"/>
      <c r="N366" s="6"/>
      <c r="O366" s="6"/>
      <c r="P366" s="6"/>
      <c r="Q366" s="6"/>
      <c r="R366" s="54"/>
    </row>
    <row r="367" spans="1:18" ht="12.75">
      <c r="A367" s="6"/>
      <c r="B367" s="6"/>
      <c r="C367" s="6"/>
      <c r="D367" s="6"/>
      <c r="E367" s="6"/>
      <c r="F367" s="6"/>
      <c r="G367" s="6"/>
      <c r="H367" s="6"/>
      <c r="I367" s="6"/>
      <c r="J367" s="6"/>
      <c r="K367" s="22"/>
      <c r="L367" s="6"/>
      <c r="M367" s="6"/>
      <c r="N367" s="6"/>
      <c r="O367" s="6"/>
      <c r="P367" s="6"/>
      <c r="Q367" s="6"/>
      <c r="R367" s="54"/>
    </row>
    <row r="368" spans="1:18" ht="12.75">
      <c r="A368" s="6"/>
      <c r="B368" s="6"/>
      <c r="C368" s="6"/>
      <c r="D368" s="6"/>
      <c r="E368" s="6"/>
      <c r="F368" s="6"/>
      <c r="G368" s="6"/>
      <c r="H368" s="6"/>
      <c r="I368" s="6"/>
      <c r="J368" s="6"/>
      <c r="K368" s="22"/>
      <c r="L368" s="6"/>
      <c r="M368" s="6"/>
      <c r="N368" s="6"/>
      <c r="O368" s="6"/>
      <c r="P368" s="6"/>
      <c r="Q368" s="6"/>
      <c r="R368" s="54"/>
    </row>
    <row r="369" spans="1:18" ht="12.75">
      <c r="A369" s="6"/>
      <c r="B369" s="6"/>
      <c r="C369" s="6"/>
      <c r="D369" s="6"/>
      <c r="E369" s="6"/>
      <c r="F369" s="6"/>
      <c r="G369" s="6"/>
      <c r="H369" s="6"/>
      <c r="I369" s="6"/>
      <c r="J369" s="6"/>
      <c r="K369" s="22"/>
      <c r="L369" s="6"/>
      <c r="M369" s="6"/>
      <c r="N369" s="6"/>
      <c r="O369" s="6"/>
      <c r="P369" s="6"/>
      <c r="Q369" s="6"/>
      <c r="R369" s="54"/>
    </row>
    <row r="370" spans="1:18" ht="12.75">
      <c r="A370" s="6"/>
      <c r="B370" s="6"/>
      <c r="C370" s="6"/>
      <c r="D370" s="6"/>
      <c r="E370" s="6"/>
      <c r="F370" s="6"/>
      <c r="G370" s="6"/>
      <c r="H370" s="6"/>
      <c r="I370" s="6"/>
      <c r="J370" s="6"/>
      <c r="K370" s="22"/>
      <c r="L370" s="6"/>
      <c r="M370" s="6"/>
      <c r="N370" s="6"/>
      <c r="O370" s="6"/>
      <c r="P370" s="6"/>
      <c r="Q370" s="6"/>
      <c r="R370" s="54"/>
    </row>
    <row r="371" spans="1:18" ht="12.75">
      <c r="A371" s="6"/>
      <c r="B371" s="6"/>
      <c r="C371" s="6"/>
      <c r="D371" s="6"/>
      <c r="E371" s="6"/>
      <c r="F371" s="6"/>
      <c r="G371" s="6"/>
      <c r="H371" s="6"/>
      <c r="I371" s="6"/>
      <c r="J371" s="6"/>
      <c r="K371" s="22"/>
      <c r="L371" s="6"/>
      <c r="M371" s="6"/>
      <c r="N371" s="6"/>
      <c r="O371" s="6"/>
      <c r="P371" s="6"/>
      <c r="Q371" s="6"/>
      <c r="R371" s="54"/>
    </row>
    <row r="372" spans="1:18" ht="12.75">
      <c r="A372" s="6"/>
      <c r="B372" s="6"/>
      <c r="C372" s="6"/>
      <c r="D372" s="6"/>
      <c r="E372" s="6"/>
      <c r="F372" s="6"/>
      <c r="G372" s="6"/>
      <c r="H372" s="6"/>
      <c r="I372" s="6"/>
      <c r="J372" s="6"/>
      <c r="K372" s="22"/>
      <c r="L372" s="6"/>
      <c r="M372" s="6"/>
      <c r="N372" s="6"/>
      <c r="O372" s="6"/>
      <c r="P372" s="6"/>
      <c r="Q372" s="6"/>
      <c r="R372" s="54"/>
    </row>
    <row r="373" spans="1:18" ht="12.75">
      <c r="A373" s="6"/>
      <c r="B373" s="6"/>
      <c r="C373" s="6"/>
      <c r="D373" s="6"/>
      <c r="E373" s="6"/>
      <c r="F373" s="6"/>
      <c r="G373" s="6"/>
      <c r="H373" s="6"/>
      <c r="I373" s="6"/>
      <c r="J373" s="6"/>
      <c r="K373" s="22"/>
      <c r="L373" s="6"/>
      <c r="M373" s="6"/>
      <c r="N373" s="6"/>
      <c r="O373" s="6"/>
      <c r="P373" s="6"/>
      <c r="Q373" s="6"/>
      <c r="R373" s="54"/>
    </row>
    <row r="374" spans="1:18" ht="12.75">
      <c r="A374" s="6"/>
      <c r="B374" s="6"/>
      <c r="C374" s="6"/>
      <c r="D374" s="6"/>
      <c r="E374" s="6"/>
      <c r="F374" s="6"/>
      <c r="G374" s="6"/>
      <c r="H374" s="6"/>
      <c r="I374" s="6"/>
      <c r="J374" s="6"/>
      <c r="K374" s="22"/>
      <c r="L374" s="6"/>
      <c r="M374" s="6"/>
      <c r="N374" s="6"/>
      <c r="O374" s="6"/>
      <c r="P374" s="6"/>
      <c r="Q374" s="6"/>
      <c r="R374" s="54"/>
    </row>
    <row r="375" spans="1:18" ht="12.75">
      <c r="A375" s="6"/>
      <c r="B375" s="6"/>
      <c r="C375" s="6"/>
      <c r="D375" s="6"/>
      <c r="E375" s="6"/>
      <c r="F375" s="6"/>
      <c r="G375" s="6"/>
      <c r="H375" s="6"/>
      <c r="I375" s="6"/>
      <c r="J375" s="6"/>
      <c r="K375" s="22"/>
      <c r="L375" s="6"/>
      <c r="M375" s="6"/>
      <c r="N375" s="6"/>
      <c r="O375" s="6"/>
      <c r="P375" s="6"/>
      <c r="Q375" s="6"/>
      <c r="R375" s="54"/>
    </row>
    <row r="376" spans="1:18" ht="12.75">
      <c r="A376" s="6"/>
      <c r="B376" s="6"/>
      <c r="C376" s="6"/>
      <c r="D376" s="6"/>
      <c r="E376" s="6"/>
      <c r="F376" s="6"/>
      <c r="G376" s="6"/>
      <c r="H376" s="6"/>
      <c r="I376" s="6"/>
      <c r="J376" s="6"/>
      <c r="K376" s="22"/>
      <c r="L376" s="6"/>
      <c r="M376" s="6"/>
      <c r="N376" s="6"/>
      <c r="O376" s="6"/>
      <c r="P376" s="6"/>
      <c r="Q376" s="6"/>
      <c r="R376" s="54"/>
    </row>
    <row r="377" spans="1:18" ht="12.75">
      <c r="A377" s="6"/>
      <c r="B377" s="6"/>
      <c r="C377" s="6"/>
      <c r="D377" s="6"/>
      <c r="E377" s="6"/>
      <c r="F377" s="6"/>
      <c r="G377" s="6"/>
      <c r="H377" s="6"/>
      <c r="I377" s="6"/>
      <c r="J377" s="6"/>
      <c r="K377" s="22"/>
      <c r="L377" s="6"/>
      <c r="M377" s="6"/>
      <c r="N377" s="6"/>
      <c r="O377" s="6"/>
      <c r="P377" s="6"/>
      <c r="Q377" s="6"/>
      <c r="R377" s="54"/>
    </row>
    <row r="378" spans="1:18" ht="12.75">
      <c r="A378" s="6"/>
      <c r="B378" s="6"/>
      <c r="C378" s="6"/>
      <c r="D378" s="6"/>
      <c r="E378" s="6"/>
      <c r="F378" s="6"/>
      <c r="G378" s="6"/>
      <c r="H378" s="6"/>
      <c r="I378" s="6"/>
      <c r="J378" s="6"/>
      <c r="K378" s="22"/>
      <c r="L378" s="6"/>
      <c r="M378" s="6"/>
      <c r="N378" s="6"/>
      <c r="O378" s="6"/>
      <c r="P378" s="6"/>
      <c r="Q378" s="6"/>
      <c r="R378" s="54"/>
    </row>
    <row r="379" spans="1:18" ht="12.75">
      <c r="A379" s="6"/>
      <c r="B379" s="6"/>
      <c r="C379" s="6"/>
      <c r="D379" s="6"/>
      <c r="E379" s="6"/>
      <c r="F379" s="6"/>
      <c r="G379" s="6"/>
      <c r="H379" s="6"/>
      <c r="I379" s="6"/>
      <c r="J379" s="6"/>
      <c r="K379" s="22"/>
      <c r="L379" s="6"/>
      <c r="M379" s="6"/>
      <c r="N379" s="6"/>
      <c r="O379" s="6"/>
      <c r="P379" s="6"/>
      <c r="Q379" s="6"/>
      <c r="R379" s="54"/>
    </row>
    <row r="380" spans="1:18" ht="12.75">
      <c r="A380" s="6"/>
      <c r="B380" s="6"/>
      <c r="C380" s="6"/>
      <c r="D380" s="6"/>
      <c r="E380" s="6"/>
      <c r="F380" s="6"/>
      <c r="G380" s="6"/>
      <c r="H380" s="6"/>
      <c r="I380" s="6"/>
      <c r="J380" s="6"/>
      <c r="K380" s="22"/>
      <c r="L380" s="6"/>
      <c r="M380" s="6"/>
      <c r="N380" s="6"/>
      <c r="O380" s="6"/>
      <c r="P380" s="6"/>
      <c r="Q380" s="6"/>
      <c r="R380" s="54"/>
    </row>
    <row r="381" spans="1:18" ht="12.75">
      <c r="A381" s="6"/>
      <c r="B381" s="6"/>
      <c r="C381" s="6"/>
      <c r="D381" s="6"/>
      <c r="E381" s="6"/>
      <c r="F381" s="6"/>
      <c r="G381" s="6"/>
      <c r="H381" s="6"/>
      <c r="I381" s="6"/>
      <c r="J381" s="6"/>
      <c r="K381" s="22"/>
      <c r="L381" s="6"/>
      <c r="M381" s="6"/>
      <c r="N381" s="6"/>
      <c r="O381" s="6"/>
      <c r="P381" s="6"/>
      <c r="Q381" s="6"/>
      <c r="R381" s="54"/>
    </row>
    <row r="382" spans="1:18" ht="12.75">
      <c r="A382" s="6"/>
      <c r="B382" s="6"/>
      <c r="C382" s="6"/>
      <c r="D382" s="6"/>
      <c r="E382" s="6"/>
      <c r="F382" s="6"/>
      <c r="G382" s="6"/>
      <c r="H382" s="6"/>
      <c r="I382" s="6"/>
      <c r="J382" s="6"/>
      <c r="K382" s="22"/>
      <c r="L382" s="6"/>
      <c r="M382" s="6"/>
      <c r="N382" s="6"/>
      <c r="O382" s="6"/>
      <c r="P382" s="6"/>
      <c r="Q382" s="6"/>
      <c r="R382" s="54"/>
    </row>
    <row r="383" spans="1:18" ht="12.75">
      <c r="A383" s="6"/>
      <c r="B383" s="6"/>
      <c r="C383" s="6"/>
      <c r="D383" s="6"/>
      <c r="E383" s="6"/>
      <c r="F383" s="6"/>
      <c r="G383" s="6"/>
      <c r="H383" s="6"/>
      <c r="I383" s="6"/>
      <c r="J383" s="6"/>
      <c r="K383" s="22"/>
      <c r="L383" s="6"/>
      <c r="M383" s="6"/>
      <c r="N383" s="6"/>
      <c r="O383" s="6"/>
      <c r="P383" s="6"/>
      <c r="Q383" s="6"/>
      <c r="R383" s="54"/>
    </row>
    <row r="384" spans="1:18" ht="12.75">
      <c r="A384" s="6"/>
      <c r="B384" s="6"/>
      <c r="C384" s="6"/>
      <c r="D384" s="6"/>
      <c r="E384" s="6"/>
      <c r="F384" s="6"/>
      <c r="G384" s="6"/>
      <c r="H384" s="6"/>
      <c r="I384" s="6"/>
      <c r="J384" s="6"/>
      <c r="K384" s="22"/>
      <c r="L384" s="6"/>
      <c r="M384" s="6"/>
      <c r="N384" s="6"/>
      <c r="O384" s="6"/>
      <c r="P384" s="6"/>
      <c r="Q384" s="6"/>
      <c r="R384" s="54"/>
    </row>
    <row r="385" spans="1:18" ht="12.75">
      <c r="A385" s="6"/>
      <c r="B385" s="6"/>
      <c r="C385" s="6"/>
      <c r="D385" s="6"/>
      <c r="E385" s="6"/>
      <c r="F385" s="6"/>
      <c r="G385" s="6"/>
      <c r="H385" s="6"/>
      <c r="I385" s="6"/>
      <c r="J385" s="6"/>
      <c r="K385" s="22"/>
      <c r="L385" s="6"/>
      <c r="M385" s="6"/>
      <c r="N385" s="6"/>
      <c r="O385" s="6"/>
      <c r="P385" s="6"/>
      <c r="Q385" s="6"/>
      <c r="R385" s="54"/>
    </row>
    <row r="386" spans="1:18" ht="12.75">
      <c r="A386" s="6"/>
      <c r="B386" s="6"/>
      <c r="C386" s="6"/>
      <c r="D386" s="6"/>
      <c r="E386" s="6"/>
      <c r="F386" s="6"/>
      <c r="G386" s="6"/>
      <c r="H386" s="6"/>
      <c r="I386" s="6"/>
      <c r="J386" s="6"/>
      <c r="K386" s="22"/>
      <c r="L386" s="6"/>
      <c r="M386" s="6"/>
      <c r="N386" s="6"/>
      <c r="O386" s="6"/>
      <c r="P386" s="6"/>
      <c r="Q386" s="6"/>
      <c r="R386" s="54"/>
    </row>
    <row r="387" spans="1:18" ht="12.75">
      <c r="A387" s="6"/>
      <c r="B387" s="6"/>
      <c r="C387" s="6"/>
      <c r="D387" s="6"/>
      <c r="E387" s="6"/>
      <c r="F387" s="6"/>
      <c r="G387" s="6"/>
      <c r="H387" s="6"/>
      <c r="I387" s="6"/>
      <c r="J387" s="6"/>
      <c r="K387" s="22"/>
      <c r="L387" s="6"/>
      <c r="M387" s="6"/>
      <c r="N387" s="6"/>
      <c r="O387" s="6"/>
      <c r="P387" s="6"/>
      <c r="Q387" s="6"/>
      <c r="R387" s="54"/>
    </row>
    <row r="388" spans="1:18" ht="12.75">
      <c r="A388" s="6"/>
      <c r="B388" s="6"/>
      <c r="C388" s="6"/>
      <c r="D388" s="6"/>
      <c r="E388" s="6"/>
      <c r="F388" s="6"/>
      <c r="G388" s="6"/>
      <c r="H388" s="6"/>
      <c r="I388" s="6"/>
      <c r="J388" s="6"/>
      <c r="K388" s="22"/>
      <c r="L388" s="6"/>
      <c r="M388" s="6"/>
      <c r="N388" s="6"/>
      <c r="O388" s="6"/>
      <c r="P388" s="6"/>
      <c r="Q388" s="6"/>
      <c r="R388" s="54"/>
    </row>
    <row r="389" spans="1:18" ht="12.75">
      <c r="A389" s="6"/>
      <c r="B389" s="6"/>
      <c r="C389" s="6"/>
      <c r="D389" s="6"/>
      <c r="E389" s="6"/>
      <c r="F389" s="6"/>
      <c r="G389" s="6"/>
      <c r="H389" s="6"/>
      <c r="I389" s="6"/>
      <c r="J389" s="6"/>
      <c r="K389" s="22"/>
      <c r="L389" s="6"/>
      <c r="M389" s="6"/>
      <c r="N389" s="6"/>
      <c r="O389" s="6"/>
      <c r="P389" s="6"/>
      <c r="Q389" s="6"/>
      <c r="R389" s="54"/>
    </row>
    <row r="390" spans="1:18" ht="12.75">
      <c r="A390" s="6"/>
      <c r="B390" s="6"/>
      <c r="C390" s="6"/>
      <c r="D390" s="6"/>
      <c r="E390" s="6"/>
      <c r="F390" s="6"/>
      <c r="G390" s="6"/>
      <c r="H390" s="6"/>
      <c r="I390" s="6"/>
      <c r="J390" s="6"/>
      <c r="K390" s="22"/>
      <c r="L390" s="6"/>
      <c r="M390" s="6"/>
      <c r="N390" s="6"/>
      <c r="O390" s="6"/>
      <c r="P390" s="6"/>
      <c r="Q390" s="6"/>
      <c r="R390" s="54"/>
    </row>
    <row r="391" spans="1:18" ht="12.75">
      <c r="A391" s="6"/>
      <c r="B391" s="6"/>
      <c r="C391" s="6"/>
      <c r="D391" s="6"/>
      <c r="E391" s="6"/>
      <c r="F391" s="6"/>
      <c r="G391" s="6"/>
      <c r="H391" s="6"/>
      <c r="I391" s="6"/>
      <c r="J391" s="6"/>
      <c r="K391" s="22"/>
      <c r="L391" s="6"/>
      <c r="M391" s="6"/>
      <c r="N391" s="6"/>
      <c r="O391" s="6"/>
      <c r="P391" s="6"/>
      <c r="Q391" s="6"/>
      <c r="R391" s="54"/>
    </row>
    <row r="392" spans="1:18" ht="12.75">
      <c r="A392" s="6"/>
      <c r="B392" s="6"/>
      <c r="C392" s="6"/>
      <c r="D392" s="6"/>
      <c r="E392" s="6"/>
      <c r="F392" s="6"/>
      <c r="G392" s="6"/>
      <c r="H392" s="6"/>
      <c r="I392" s="6"/>
      <c r="J392" s="6"/>
      <c r="K392" s="22"/>
      <c r="L392" s="6"/>
      <c r="M392" s="6"/>
      <c r="N392" s="6"/>
      <c r="O392" s="6"/>
      <c r="P392" s="6"/>
      <c r="Q392" s="6"/>
      <c r="R392" s="54"/>
    </row>
    <row r="393" spans="1:18" ht="12.75">
      <c r="A393" s="6"/>
      <c r="B393" s="6"/>
      <c r="C393" s="6"/>
      <c r="D393" s="6"/>
      <c r="E393" s="6"/>
      <c r="F393" s="6"/>
      <c r="G393" s="6"/>
      <c r="H393" s="6"/>
      <c r="I393" s="6"/>
      <c r="J393" s="6"/>
      <c r="K393" s="22"/>
      <c r="L393" s="6"/>
      <c r="M393" s="6"/>
      <c r="N393" s="6"/>
      <c r="O393" s="6"/>
      <c r="P393" s="6"/>
      <c r="Q393" s="6"/>
      <c r="R393" s="54"/>
    </row>
    <row r="394" spans="1:18" ht="12.75">
      <c r="A394" s="6"/>
      <c r="B394" s="6"/>
      <c r="C394" s="6"/>
      <c r="D394" s="6"/>
      <c r="E394" s="6"/>
      <c r="F394" s="6"/>
      <c r="G394" s="6"/>
      <c r="H394" s="6"/>
      <c r="I394" s="6"/>
      <c r="J394" s="6"/>
      <c r="K394" s="22"/>
      <c r="L394" s="6"/>
      <c r="M394" s="6"/>
      <c r="N394" s="6"/>
      <c r="O394" s="6"/>
      <c r="P394" s="6"/>
      <c r="Q394" s="6"/>
      <c r="R394" s="54"/>
    </row>
    <row r="395" spans="1:18" ht="12.75">
      <c r="A395" s="6"/>
      <c r="B395" s="6"/>
      <c r="C395" s="6"/>
      <c r="D395" s="6"/>
      <c r="E395" s="6"/>
      <c r="F395" s="6"/>
      <c r="G395" s="6"/>
      <c r="H395" s="6"/>
      <c r="I395" s="6"/>
      <c r="J395" s="6"/>
      <c r="K395" s="22"/>
      <c r="L395" s="6"/>
      <c r="M395" s="6"/>
      <c r="N395" s="6"/>
      <c r="O395" s="6"/>
      <c r="P395" s="6"/>
      <c r="Q395" s="6"/>
      <c r="R395" s="54"/>
    </row>
    <row r="396" spans="1:18" ht="12.75">
      <c r="A396" s="6"/>
      <c r="B396" s="6"/>
      <c r="C396" s="6"/>
      <c r="D396" s="6"/>
      <c r="E396" s="6"/>
      <c r="F396" s="6"/>
      <c r="G396" s="6"/>
      <c r="H396" s="6"/>
      <c r="I396" s="6"/>
      <c r="J396" s="6"/>
      <c r="K396" s="22"/>
      <c r="L396" s="6"/>
      <c r="M396" s="6"/>
      <c r="N396" s="6"/>
      <c r="O396" s="6"/>
      <c r="P396" s="6"/>
      <c r="Q396" s="6"/>
      <c r="R396" s="54"/>
    </row>
    <row r="397" spans="1:18" ht="12.75">
      <c r="A397" s="6"/>
      <c r="B397" s="6"/>
      <c r="C397" s="6"/>
      <c r="D397" s="6"/>
      <c r="E397" s="6"/>
      <c r="F397" s="6"/>
      <c r="G397" s="6"/>
      <c r="H397" s="6"/>
      <c r="I397" s="6"/>
      <c r="J397" s="6"/>
      <c r="K397" s="22"/>
      <c r="L397" s="6"/>
      <c r="M397" s="6"/>
      <c r="N397" s="6"/>
      <c r="O397" s="6"/>
      <c r="P397" s="6"/>
      <c r="Q397" s="6"/>
      <c r="R397" s="54"/>
    </row>
    <row r="398" spans="1:18" ht="12.75">
      <c r="A398" s="6"/>
      <c r="B398" s="6"/>
      <c r="C398" s="6"/>
      <c r="D398" s="6"/>
      <c r="E398" s="6"/>
      <c r="F398" s="6"/>
      <c r="G398" s="6"/>
      <c r="H398" s="6"/>
      <c r="I398" s="6"/>
      <c r="J398" s="6"/>
      <c r="K398" s="22"/>
      <c r="L398" s="6"/>
      <c r="M398" s="6"/>
      <c r="N398" s="6"/>
      <c r="O398" s="6"/>
      <c r="P398" s="6"/>
      <c r="Q398" s="6"/>
      <c r="R398" s="54"/>
    </row>
    <row r="399" spans="1:18" ht="12.75">
      <c r="A399" s="6"/>
      <c r="B399" s="6"/>
      <c r="C399" s="6"/>
      <c r="D399" s="6"/>
      <c r="E399" s="6"/>
      <c r="F399" s="6"/>
      <c r="G399" s="6"/>
      <c r="H399" s="6"/>
      <c r="I399" s="6"/>
      <c r="J399" s="6"/>
      <c r="K399" s="22"/>
      <c r="L399" s="6"/>
      <c r="M399" s="6"/>
      <c r="N399" s="6"/>
      <c r="O399" s="6"/>
      <c r="P399" s="6"/>
      <c r="Q399" s="6"/>
      <c r="R399" s="54"/>
    </row>
    <row r="400" spans="1:18" ht="12.75">
      <c r="A400" s="6"/>
      <c r="B400" s="6"/>
      <c r="C400" s="6"/>
      <c r="D400" s="6"/>
      <c r="E400" s="6"/>
      <c r="F400" s="6"/>
      <c r="G400" s="6"/>
      <c r="H400" s="6"/>
      <c r="I400" s="6"/>
      <c r="J400" s="6"/>
      <c r="K400" s="22"/>
      <c r="L400" s="6"/>
      <c r="M400" s="6"/>
      <c r="N400" s="6"/>
      <c r="O400" s="6"/>
      <c r="P400" s="6"/>
      <c r="Q400" s="6"/>
      <c r="R400" s="54"/>
    </row>
    <row r="401" spans="1:18" ht="12.75">
      <c r="A401" s="6"/>
      <c r="B401" s="6"/>
      <c r="C401" s="6"/>
      <c r="D401" s="6"/>
      <c r="E401" s="6"/>
      <c r="F401" s="6"/>
      <c r="G401" s="6"/>
      <c r="H401" s="6"/>
      <c r="I401" s="6"/>
      <c r="J401" s="6"/>
      <c r="K401" s="22"/>
      <c r="L401" s="6"/>
      <c r="M401" s="6"/>
      <c r="N401" s="6"/>
      <c r="O401" s="6"/>
      <c r="P401" s="6"/>
      <c r="Q401" s="6"/>
      <c r="R401" s="54"/>
    </row>
    <row r="402" spans="1:18" ht="12.75">
      <c r="A402" s="6"/>
      <c r="B402" s="6"/>
      <c r="C402" s="6"/>
      <c r="D402" s="6"/>
      <c r="E402" s="6"/>
      <c r="F402" s="6"/>
      <c r="G402" s="6"/>
      <c r="H402" s="6"/>
      <c r="I402" s="6"/>
      <c r="J402" s="6"/>
      <c r="K402" s="22"/>
      <c r="L402" s="6"/>
      <c r="M402" s="6"/>
      <c r="N402" s="6"/>
      <c r="O402" s="6"/>
      <c r="P402" s="6"/>
      <c r="Q402" s="6"/>
      <c r="R402" s="54"/>
    </row>
    <row r="403" spans="1:18" ht="12.75">
      <c r="A403" s="6"/>
      <c r="B403" s="6"/>
      <c r="C403" s="6"/>
      <c r="D403" s="6"/>
      <c r="E403" s="6"/>
      <c r="F403" s="6"/>
      <c r="G403" s="6"/>
      <c r="H403" s="6"/>
      <c r="I403" s="6"/>
      <c r="J403" s="6"/>
      <c r="K403" s="22"/>
      <c r="L403" s="6"/>
      <c r="M403" s="6"/>
      <c r="N403" s="6"/>
      <c r="O403" s="6"/>
      <c r="P403" s="6"/>
      <c r="Q403" s="6"/>
      <c r="R403" s="54"/>
    </row>
    <row r="404" spans="1:18" ht="12.75">
      <c r="A404" s="6"/>
      <c r="B404" s="6"/>
      <c r="C404" s="6"/>
      <c r="D404" s="6"/>
      <c r="E404" s="6"/>
      <c r="F404" s="6"/>
      <c r="G404" s="6"/>
      <c r="H404" s="6"/>
      <c r="I404" s="6"/>
      <c r="J404" s="6"/>
      <c r="K404" s="22"/>
      <c r="L404" s="6"/>
      <c r="M404" s="6"/>
      <c r="N404" s="6"/>
      <c r="O404" s="6"/>
      <c r="P404" s="6"/>
      <c r="Q404" s="6"/>
      <c r="R404" s="54"/>
    </row>
    <row r="405" spans="1:18" ht="12.75">
      <c r="A405" s="6"/>
      <c r="B405" s="6"/>
      <c r="C405" s="6"/>
      <c r="D405" s="6"/>
      <c r="E405" s="6"/>
      <c r="F405" s="6"/>
      <c r="G405" s="6"/>
      <c r="H405" s="6"/>
      <c r="I405" s="6"/>
      <c r="J405" s="6"/>
      <c r="K405" s="22"/>
      <c r="L405" s="6"/>
      <c r="M405" s="6"/>
      <c r="N405" s="6"/>
      <c r="O405" s="6"/>
      <c r="P405" s="6"/>
      <c r="Q405" s="6"/>
      <c r="R405" s="54"/>
    </row>
    <row r="406" spans="1:18" ht="12.75">
      <c r="A406" s="6"/>
      <c r="B406" s="6"/>
      <c r="C406" s="6"/>
      <c r="D406" s="6"/>
      <c r="E406" s="6"/>
      <c r="F406" s="6"/>
      <c r="G406" s="6"/>
      <c r="H406" s="6"/>
      <c r="I406" s="6"/>
      <c r="J406" s="6"/>
      <c r="K406" s="22"/>
      <c r="L406" s="6"/>
      <c r="M406" s="6"/>
      <c r="N406" s="6"/>
      <c r="O406" s="6"/>
      <c r="P406" s="6"/>
      <c r="Q406" s="6"/>
      <c r="R406" s="54"/>
    </row>
    <row r="407" spans="1:18" ht="12.75">
      <c r="A407" s="6"/>
      <c r="B407" s="6"/>
      <c r="C407" s="6"/>
      <c r="D407" s="6"/>
      <c r="E407" s="6"/>
      <c r="F407" s="6"/>
      <c r="G407" s="6"/>
      <c r="H407" s="6"/>
      <c r="I407" s="6"/>
      <c r="J407" s="6"/>
      <c r="K407" s="22"/>
      <c r="L407" s="6"/>
      <c r="M407" s="6"/>
      <c r="N407" s="6"/>
      <c r="O407" s="6"/>
      <c r="P407" s="6"/>
      <c r="Q407" s="6"/>
      <c r="R407" s="54"/>
    </row>
    <row r="408" spans="1:18" ht="12.75">
      <c r="A408" s="6"/>
      <c r="B408" s="6"/>
      <c r="C408" s="6"/>
      <c r="D408" s="6"/>
      <c r="E408" s="6"/>
      <c r="F408" s="6"/>
      <c r="G408" s="6"/>
      <c r="H408" s="6"/>
      <c r="I408" s="6"/>
      <c r="J408" s="6"/>
      <c r="K408" s="22"/>
      <c r="L408" s="6"/>
      <c r="M408" s="6"/>
      <c r="N408" s="6"/>
      <c r="O408" s="6"/>
      <c r="P408" s="6"/>
      <c r="Q408" s="6"/>
      <c r="R408" s="54"/>
    </row>
    <row r="409" spans="1:18" ht="12.75">
      <c r="A409" s="6"/>
      <c r="B409" s="6"/>
      <c r="C409" s="6"/>
      <c r="D409" s="6"/>
      <c r="E409" s="6"/>
      <c r="F409" s="6"/>
      <c r="G409" s="6"/>
      <c r="H409" s="6"/>
      <c r="I409" s="6"/>
      <c r="J409" s="6"/>
      <c r="K409" s="22"/>
      <c r="L409" s="6"/>
      <c r="M409" s="6"/>
      <c r="N409" s="6"/>
      <c r="O409" s="6"/>
      <c r="P409" s="6"/>
      <c r="Q409" s="6"/>
      <c r="R409" s="54"/>
    </row>
    <row r="410" spans="1:18" ht="12.75">
      <c r="A410" s="6"/>
      <c r="B410" s="6"/>
      <c r="C410" s="6"/>
      <c r="D410" s="6"/>
      <c r="E410" s="6"/>
      <c r="F410" s="6"/>
      <c r="G410" s="6"/>
      <c r="H410" s="6"/>
      <c r="I410" s="6"/>
      <c r="J410" s="6"/>
      <c r="K410" s="22"/>
      <c r="L410" s="6"/>
      <c r="M410" s="6"/>
      <c r="N410" s="6"/>
      <c r="O410" s="6"/>
      <c r="P410" s="6"/>
      <c r="Q410" s="6"/>
      <c r="R410" s="54"/>
    </row>
    <row r="411" spans="1:18" ht="12.75">
      <c r="A411" s="6"/>
      <c r="B411" s="6"/>
      <c r="C411" s="6"/>
      <c r="D411" s="6"/>
      <c r="E411" s="6"/>
      <c r="F411" s="6"/>
      <c r="G411" s="6"/>
      <c r="H411" s="6"/>
      <c r="I411" s="6"/>
      <c r="J411" s="6"/>
      <c r="K411" s="22"/>
      <c r="L411" s="6"/>
      <c r="M411" s="6"/>
      <c r="N411" s="6"/>
      <c r="O411" s="6"/>
      <c r="P411" s="6"/>
      <c r="Q411" s="6"/>
      <c r="R411" s="54"/>
    </row>
    <row r="412" spans="1:18" ht="12.75">
      <c r="A412" s="6"/>
      <c r="B412" s="6"/>
      <c r="C412" s="6"/>
      <c r="D412" s="6"/>
      <c r="E412" s="6"/>
      <c r="F412" s="6"/>
      <c r="G412" s="6"/>
      <c r="H412" s="6"/>
      <c r="I412" s="6"/>
      <c r="J412" s="6"/>
      <c r="K412" s="22"/>
      <c r="L412" s="6"/>
      <c r="M412" s="6"/>
      <c r="N412" s="6"/>
      <c r="O412" s="6"/>
      <c r="P412" s="6"/>
      <c r="Q412" s="6"/>
      <c r="R412" s="54"/>
    </row>
    <row r="413" spans="1:18" ht="12.75">
      <c r="A413" s="6"/>
      <c r="B413" s="6"/>
      <c r="C413" s="6"/>
      <c r="D413" s="6"/>
      <c r="E413" s="6"/>
      <c r="F413" s="6"/>
      <c r="G413" s="6"/>
      <c r="H413" s="6"/>
      <c r="I413" s="6"/>
      <c r="J413" s="6"/>
      <c r="K413" s="22"/>
      <c r="L413" s="6"/>
      <c r="M413" s="6"/>
      <c r="N413" s="6"/>
      <c r="O413" s="6"/>
      <c r="P413" s="6"/>
      <c r="Q413" s="6"/>
      <c r="R413" s="54"/>
    </row>
    <row r="414" spans="1:18" ht="12.75">
      <c r="A414" s="6"/>
      <c r="B414" s="6"/>
      <c r="C414" s="6"/>
      <c r="D414" s="6"/>
      <c r="E414" s="6"/>
      <c r="F414" s="6"/>
      <c r="G414" s="6"/>
      <c r="H414" s="6"/>
      <c r="I414" s="6"/>
      <c r="J414" s="6"/>
      <c r="K414" s="22"/>
      <c r="L414" s="6"/>
      <c r="M414" s="6"/>
      <c r="N414" s="6"/>
      <c r="O414" s="6"/>
      <c r="P414" s="6"/>
      <c r="Q414" s="6"/>
      <c r="R414" s="54"/>
    </row>
    <row r="415" spans="1:18" ht="12.75">
      <c r="A415" s="6"/>
      <c r="B415" s="6"/>
      <c r="C415" s="6"/>
      <c r="D415" s="6"/>
      <c r="E415" s="6"/>
      <c r="F415" s="6"/>
      <c r="G415" s="6"/>
      <c r="H415" s="6"/>
      <c r="I415" s="6"/>
      <c r="J415" s="6"/>
      <c r="K415" s="22"/>
      <c r="L415" s="6"/>
      <c r="M415" s="6"/>
      <c r="N415" s="6"/>
      <c r="O415" s="6"/>
      <c r="P415" s="6"/>
      <c r="Q415" s="6"/>
      <c r="R415" s="54"/>
    </row>
    <row r="416" spans="1:18" ht="12.75">
      <c r="A416" s="6"/>
      <c r="B416" s="6"/>
      <c r="C416" s="6"/>
      <c r="D416" s="6"/>
      <c r="E416" s="6"/>
      <c r="F416" s="6"/>
      <c r="G416" s="6"/>
      <c r="H416" s="6"/>
      <c r="I416" s="6"/>
      <c r="J416" s="6"/>
      <c r="K416" s="22"/>
      <c r="L416" s="6"/>
      <c r="M416" s="6"/>
      <c r="N416" s="6"/>
      <c r="O416" s="6"/>
      <c r="P416" s="6"/>
      <c r="Q416" s="6"/>
      <c r="R416" s="54"/>
    </row>
    <row r="417" spans="1:18" ht="12.75">
      <c r="A417" s="6"/>
      <c r="B417" s="6"/>
      <c r="C417" s="6"/>
      <c r="D417" s="6"/>
      <c r="E417" s="6"/>
      <c r="F417" s="6"/>
      <c r="G417" s="6"/>
      <c r="H417" s="6"/>
      <c r="I417" s="6"/>
      <c r="J417" s="6"/>
      <c r="K417" s="22"/>
      <c r="L417" s="6"/>
      <c r="M417" s="6"/>
      <c r="N417" s="6"/>
      <c r="O417" s="6"/>
      <c r="P417" s="6"/>
      <c r="Q417" s="6"/>
      <c r="R417" s="54"/>
    </row>
    <row r="418" spans="1:18" ht="12.75">
      <c r="A418" s="6"/>
      <c r="B418" s="6"/>
      <c r="C418" s="6"/>
      <c r="D418" s="6"/>
      <c r="E418" s="6"/>
      <c r="F418" s="6"/>
      <c r="G418" s="6"/>
      <c r="H418" s="6"/>
      <c r="I418" s="6"/>
      <c r="J418" s="6"/>
      <c r="K418" s="22"/>
      <c r="L418" s="6"/>
      <c r="M418" s="6"/>
      <c r="N418" s="6"/>
      <c r="O418" s="6"/>
      <c r="P418" s="6"/>
      <c r="Q418" s="6"/>
      <c r="R418" s="54"/>
    </row>
    <row r="419" spans="1:18" ht="12.75">
      <c r="A419" s="6"/>
      <c r="B419" s="6"/>
      <c r="C419" s="6"/>
      <c r="D419" s="6"/>
      <c r="E419" s="6"/>
      <c r="F419" s="6"/>
      <c r="G419" s="6"/>
      <c r="H419" s="6"/>
      <c r="I419" s="6"/>
      <c r="J419" s="6"/>
      <c r="K419" s="22"/>
      <c r="L419" s="6"/>
      <c r="M419" s="6"/>
      <c r="N419" s="6"/>
      <c r="O419" s="6"/>
      <c r="P419" s="6"/>
      <c r="Q419" s="6"/>
      <c r="R419" s="54"/>
    </row>
    <row r="420" spans="1:18" ht="12.75">
      <c r="A420" s="6"/>
      <c r="B420" s="6"/>
      <c r="C420" s="6"/>
      <c r="D420" s="6"/>
      <c r="E420" s="6"/>
      <c r="F420" s="6"/>
      <c r="G420" s="6"/>
      <c r="H420" s="6"/>
      <c r="I420" s="6"/>
      <c r="J420" s="6"/>
      <c r="K420" s="22"/>
      <c r="L420" s="6"/>
      <c r="M420" s="6"/>
      <c r="N420" s="6"/>
      <c r="O420" s="6"/>
      <c r="P420" s="6"/>
      <c r="Q420" s="6"/>
      <c r="R420" s="54"/>
    </row>
    <row r="421" spans="1:18" ht="12.75">
      <c r="A421" s="6"/>
      <c r="B421" s="6"/>
      <c r="C421" s="6"/>
      <c r="D421" s="6"/>
      <c r="E421" s="6"/>
      <c r="F421" s="6"/>
      <c r="G421" s="6"/>
      <c r="H421" s="6"/>
      <c r="I421" s="6"/>
      <c r="J421" s="6"/>
      <c r="K421" s="22"/>
      <c r="L421" s="6"/>
      <c r="M421" s="6"/>
      <c r="N421" s="6"/>
      <c r="O421" s="6"/>
      <c r="P421" s="6"/>
      <c r="Q421" s="6"/>
      <c r="R421" s="54"/>
    </row>
    <row r="422" spans="1:18" ht="12.75">
      <c r="A422" s="6"/>
      <c r="B422" s="6"/>
      <c r="C422" s="6"/>
      <c r="D422" s="6"/>
      <c r="E422" s="6"/>
      <c r="F422" s="6"/>
      <c r="G422" s="6"/>
      <c r="H422" s="6"/>
      <c r="I422" s="6"/>
      <c r="J422" s="6"/>
      <c r="K422" s="22"/>
      <c r="L422" s="6"/>
      <c r="M422" s="6"/>
      <c r="N422" s="6"/>
      <c r="O422" s="6"/>
      <c r="P422" s="6"/>
      <c r="Q422" s="6"/>
      <c r="R422" s="54"/>
    </row>
    <row r="423" spans="1:18" ht="12.75">
      <c r="A423" s="6"/>
      <c r="B423" s="6"/>
      <c r="C423" s="6"/>
      <c r="D423" s="6"/>
      <c r="E423" s="6"/>
      <c r="F423" s="6"/>
      <c r="G423" s="6"/>
      <c r="H423" s="6"/>
      <c r="I423" s="6"/>
      <c r="J423" s="6"/>
      <c r="K423" s="22"/>
      <c r="L423" s="6"/>
      <c r="M423" s="6"/>
      <c r="N423" s="6"/>
      <c r="O423" s="6"/>
      <c r="P423" s="6"/>
      <c r="Q423" s="6"/>
      <c r="R423" s="54"/>
    </row>
    <row r="424" spans="1:18" ht="12.75">
      <c r="A424" s="6"/>
      <c r="B424" s="6"/>
      <c r="C424" s="6"/>
      <c r="D424" s="6"/>
      <c r="E424" s="6"/>
      <c r="F424" s="6"/>
      <c r="G424" s="6"/>
      <c r="H424" s="6"/>
      <c r="I424" s="6"/>
      <c r="J424" s="6"/>
      <c r="K424" s="22"/>
      <c r="L424" s="6"/>
      <c r="M424" s="6"/>
      <c r="N424" s="6"/>
      <c r="O424" s="6"/>
      <c r="P424" s="6"/>
      <c r="Q424" s="6"/>
      <c r="R424" s="54"/>
    </row>
    <row r="425" spans="1:18" ht="12.75">
      <c r="A425" s="6"/>
      <c r="B425" s="6"/>
      <c r="C425" s="6"/>
      <c r="D425" s="6"/>
      <c r="E425" s="6"/>
      <c r="F425" s="6"/>
      <c r="G425" s="6"/>
      <c r="H425" s="6"/>
      <c r="I425" s="6"/>
      <c r="J425" s="6"/>
      <c r="K425" s="22"/>
      <c r="L425" s="6"/>
      <c r="M425" s="6"/>
      <c r="N425" s="6"/>
      <c r="O425" s="6"/>
      <c r="P425" s="6"/>
      <c r="Q425" s="6"/>
      <c r="R425" s="54"/>
    </row>
    <row r="426" spans="1:18" ht="12.75">
      <c r="A426" s="6"/>
      <c r="B426" s="6"/>
      <c r="C426" s="6"/>
      <c r="D426" s="6"/>
      <c r="E426" s="6"/>
      <c r="F426" s="6"/>
      <c r="G426" s="6"/>
      <c r="H426" s="6"/>
      <c r="I426" s="6"/>
      <c r="J426" s="6"/>
      <c r="K426" s="22"/>
      <c r="L426" s="6"/>
      <c r="M426" s="6"/>
      <c r="N426" s="6"/>
      <c r="O426" s="6"/>
      <c r="P426" s="6"/>
      <c r="Q426" s="6"/>
      <c r="R426" s="54"/>
    </row>
    <row r="427" spans="1:18" ht="12.75">
      <c r="A427" s="6"/>
      <c r="B427" s="6"/>
      <c r="C427" s="6"/>
      <c r="D427" s="6"/>
      <c r="E427" s="6"/>
      <c r="F427" s="6"/>
      <c r="G427" s="6"/>
      <c r="H427" s="6"/>
      <c r="I427" s="6"/>
      <c r="J427" s="6"/>
      <c r="K427" s="22"/>
      <c r="L427" s="6"/>
      <c r="M427" s="6"/>
      <c r="N427" s="6"/>
      <c r="O427" s="6"/>
      <c r="P427" s="6"/>
      <c r="Q427" s="6"/>
      <c r="R427" s="54"/>
    </row>
    <row r="428" spans="1:18" ht="12.75">
      <c r="A428" s="6"/>
      <c r="B428" s="6"/>
      <c r="C428" s="6"/>
      <c r="D428" s="6"/>
      <c r="E428" s="6"/>
      <c r="F428" s="6"/>
      <c r="G428" s="6"/>
      <c r="H428" s="6"/>
      <c r="I428" s="6"/>
      <c r="J428" s="6"/>
      <c r="K428" s="22"/>
      <c r="L428" s="6"/>
      <c r="M428" s="6"/>
      <c r="N428" s="6"/>
      <c r="O428" s="6"/>
      <c r="P428" s="6"/>
      <c r="Q428" s="6"/>
      <c r="R428" s="54"/>
    </row>
    <row r="429" spans="1:18" ht="12.75">
      <c r="A429" s="6"/>
      <c r="B429" s="6"/>
      <c r="C429" s="6"/>
      <c r="D429" s="6"/>
      <c r="E429" s="6"/>
      <c r="F429" s="6"/>
      <c r="G429" s="6"/>
      <c r="H429" s="6"/>
      <c r="I429" s="6"/>
      <c r="J429" s="6"/>
      <c r="K429" s="22"/>
      <c r="L429" s="6"/>
      <c r="M429" s="6"/>
      <c r="N429" s="6"/>
      <c r="O429" s="6"/>
      <c r="P429" s="6"/>
      <c r="Q429" s="6"/>
      <c r="R429" s="54"/>
    </row>
    <row r="430" spans="1:18" ht="12.75">
      <c r="A430" s="6"/>
      <c r="B430" s="6"/>
      <c r="C430" s="6"/>
      <c r="D430" s="6"/>
      <c r="E430" s="6"/>
      <c r="F430" s="6"/>
      <c r="G430" s="6"/>
      <c r="H430" s="6"/>
      <c r="I430" s="6"/>
      <c r="J430" s="6"/>
      <c r="K430" s="22"/>
      <c r="L430" s="6"/>
      <c r="M430" s="6"/>
      <c r="N430" s="6"/>
      <c r="O430" s="6"/>
      <c r="P430" s="6"/>
      <c r="Q430" s="6"/>
      <c r="R430" s="54"/>
    </row>
    <row r="431" spans="1:18" ht="12.75">
      <c r="A431" s="6"/>
      <c r="B431" s="6"/>
      <c r="C431" s="6"/>
      <c r="D431" s="6"/>
      <c r="E431" s="6"/>
      <c r="F431" s="6"/>
      <c r="G431" s="6"/>
      <c r="H431" s="6"/>
      <c r="I431" s="6"/>
      <c r="J431" s="6"/>
      <c r="K431" s="22"/>
      <c r="L431" s="6"/>
      <c r="M431" s="6"/>
      <c r="N431" s="6"/>
      <c r="O431" s="6"/>
      <c r="P431" s="6"/>
      <c r="Q431" s="6"/>
      <c r="R431" s="54"/>
    </row>
    <row r="432" spans="1:18" ht="12.75">
      <c r="A432" s="6"/>
      <c r="B432" s="6"/>
      <c r="C432" s="6"/>
      <c r="D432" s="6"/>
      <c r="E432" s="6"/>
      <c r="F432" s="6"/>
      <c r="G432" s="6"/>
      <c r="H432" s="6"/>
      <c r="I432" s="6"/>
      <c r="J432" s="6"/>
      <c r="K432" s="22"/>
      <c r="L432" s="6"/>
      <c r="M432" s="6"/>
      <c r="N432" s="6"/>
      <c r="O432" s="6"/>
      <c r="P432" s="6"/>
      <c r="Q432" s="6"/>
      <c r="R432" s="54"/>
    </row>
    <row r="433" spans="1:18" ht="12.75">
      <c r="A433" s="6"/>
      <c r="B433" s="6"/>
      <c r="C433" s="6"/>
      <c r="D433" s="6"/>
      <c r="E433" s="6"/>
      <c r="F433" s="6"/>
      <c r="G433" s="6"/>
      <c r="H433" s="6"/>
      <c r="I433" s="6"/>
      <c r="J433" s="6"/>
      <c r="K433" s="22"/>
      <c r="L433" s="6"/>
      <c r="M433" s="6"/>
      <c r="N433" s="6"/>
      <c r="O433" s="6"/>
      <c r="P433" s="6"/>
      <c r="Q433" s="6"/>
      <c r="R433" s="54"/>
    </row>
    <row r="434" spans="1:18" ht="12.75">
      <c r="A434" s="6"/>
      <c r="B434" s="6"/>
      <c r="C434" s="6"/>
      <c r="D434" s="6"/>
      <c r="E434" s="6"/>
      <c r="F434" s="6"/>
      <c r="G434" s="6"/>
      <c r="H434" s="6"/>
      <c r="I434" s="6"/>
      <c r="J434" s="6"/>
      <c r="K434" s="22"/>
      <c r="L434" s="6"/>
      <c r="M434" s="6"/>
      <c r="N434" s="6"/>
      <c r="O434" s="6"/>
      <c r="P434" s="6"/>
      <c r="Q434" s="6"/>
      <c r="R434" s="54"/>
    </row>
    <row r="435" spans="1:18" ht="12.75">
      <c r="A435" s="6"/>
      <c r="B435" s="6"/>
      <c r="C435" s="6"/>
      <c r="D435" s="6"/>
      <c r="E435" s="6"/>
      <c r="F435" s="6"/>
      <c r="G435" s="6"/>
      <c r="H435" s="6"/>
      <c r="I435" s="6"/>
      <c r="J435" s="6"/>
      <c r="K435" s="22"/>
      <c r="L435" s="6"/>
      <c r="M435" s="6"/>
      <c r="N435" s="6"/>
      <c r="O435" s="6"/>
      <c r="P435" s="6"/>
      <c r="Q435" s="6"/>
      <c r="R435" s="54"/>
    </row>
    <row r="436" spans="1:18" ht="12.75">
      <c r="A436" s="6"/>
      <c r="B436" s="6"/>
      <c r="C436" s="6"/>
      <c r="D436" s="6"/>
      <c r="E436" s="6"/>
      <c r="F436" s="6"/>
      <c r="G436" s="6"/>
      <c r="H436" s="6"/>
      <c r="I436" s="6"/>
      <c r="J436" s="6"/>
      <c r="K436" s="22"/>
      <c r="L436" s="6"/>
      <c r="M436" s="6"/>
      <c r="N436" s="6"/>
      <c r="O436" s="6"/>
      <c r="P436" s="6"/>
      <c r="Q436" s="6"/>
      <c r="R436" s="54"/>
    </row>
    <row r="437" spans="1:18" ht="12.75">
      <c r="A437" s="6"/>
      <c r="B437" s="6"/>
      <c r="C437" s="6"/>
      <c r="D437" s="6"/>
      <c r="E437" s="6"/>
      <c r="F437" s="6"/>
      <c r="G437" s="6"/>
      <c r="H437" s="6"/>
      <c r="I437" s="6"/>
      <c r="J437" s="6"/>
      <c r="K437" s="22"/>
      <c r="L437" s="6"/>
      <c r="M437" s="6"/>
      <c r="N437" s="6"/>
      <c r="O437" s="6"/>
      <c r="P437" s="6"/>
      <c r="Q437" s="6"/>
      <c r="R437" s="54"/>
    </row>
    <row r="438" spans="1:18" ht="12.75">
      <c r="A438" s="6"/>
      <c r="B438" s="6"/>
      <c r="C438" s="6"/>
      <c r="D438" s="6"/>
      <c r="E438" s="6"/>
      <c r="F438" s="6"/>
      <c r="G438" s="6"/>
      <c r="H438" s="6"/>
      <c r="I438" s="6"/>
      <c r="J438" s="6"/>
      <c r="K438" s="22"/>
      <c r="L438" s="6"/>
      <c r="M438" s="6"/>
      <c r="N438" s="6"/>
      <c r="O438" s="6"/>
      <c r="P438" s="6"/>
      <c r="Q438" s="6"/>
      <c r="R438" s="54"/>
    </row>
    <row r="439" spans="1:18" ht="12.75">
      <c r="A439" s="6"/>
      <c r="B439" s="6"/>
      <c r="C439" s="6"/>
      <c r="D439" s="6"/>
      <c r="E439" s="6"/>
      <c r="F439" s="6"/>
      <c r="G439" s="6"/>
      <c r="H439" s="6"/>
      <c r="I439" s="6"/>
      <c r="J439" s="6"/>
      <c r="K439" s="22"/>
      <c r="L439" s="6"/>
      <c r="M439" s="6"/>
      <c r="N439" s="6"/>
      <c r="O439" s="6"/>
      <c r="P439" s="6"/>
      <c r="Q439" s="6"/>
      <c r="R439" s="54"/>
    </row>
    <row r="440" spans="1:18" ht="12.75">
      <c r="A440" s="6"/>
      <c r="B440" s="6"/>
      <c r="C440" s="6"/>
      <c r="D440" s="6"/>
      <c r="E440" s="6"/>
      <c r="F440" s="6"/>
      <c r="G440" s="6"/>
      <c r="H440" s="6"/>
      <c r="I440" s="6"/>
      <c r="J440" s="6"/>
      <c r="K440" s="22"/>
      <c r="L440" s="6"/>
      <c r="M440" s="6"/>
      <c r="N440" s="6"/>
      <c r="O440" s="6"/>
      <c r="P440" s="6"/>
      <c r="Q440" s="6"/>
      <c r="R440" s="54"/>
    </row>
    <row r="441" spans="1:18" ht="12.75">
      <c r="A441" s="6"/>
      <c r="B441" s="6"/>
      <c r="C441" s="6"/>
      <c r="D441" s="6"/>
      <c r="E441" s="6"/>
      <c r="F441" s="6"/>
      <c r="G441" s="6"/>
      <c r="H441" s="6"/>
      <c r="I441" s="6"/>
      <c r="J441" s="6"/>
      <c r="K441" s="22"/>
      <c r="L441" s="6"/>
      <c r="M441" s="6"/>
      <c r="N441" s="6"/>
      <c r="O441" s="6"/>
      <c r="P441" s="6"/>
      <c r="Q441" s="6"/>
      <c r="R441" s="54"/>
    </row>
    <row r="442" spans="1:18" ht="12.75">
      <c r="A442" s="6"/>
      <c r="B442" s="6"/>
      <c r="C442" s="6"/>
      <c r="D442" s="6"/>
      <c r="E442" s="6"/>
      <c r="F442" s="6"/>
      <c r="G442" s="6"/>
      <c r="H442" s="6"/>
      <c r="I442" s="6"/>
      <c r="J442" s="6"/>
      <c r="K442" s="22"/>
      <c r="L442" s="6"/>
      <c r="M442" s="6"/>
      <c r="N442" s="6"/>
      <c r="O442" s="6"/>
      <c r="P442" s="6"/>
      <c r="Q442" s="6"/>
      <c r="R442" s="54"/>
    </row>
    <row r="443" spans="1:18" ht="12.75">
      <c r="A443" s="6"/>
      <c r="B443" s="6"/>
      <c r="C443" s="6"/>
      <c r="D443" s="6"/>
      <c r="E443" s="6"/>
      <c r="F443" s="6"/>
      <c r="G443" s="6"/>
      <c r="H443" s="6"/>
      <c r="I443" s="6"/>
      <c r="J443" s="6"/>
      <c r="K443" s="22"/>
      <c r="L443" s="6"/>
      <c r="M443" s="6"/>
      <c r="N443" s="6"/>
      <c r="O443" s="6"/>
      <c r="P443" s="6"/>
      <c r="Q443" s="6"/>
      <c r="R443" s="54"/>
    </row>
    <row r="444" spans="1:18" ht="12.75">
      <c r="A444" s="6"/>
      <c r="B444" s="6"/>
      <c r="C444" s="6"/>
      <c r="D444" s="6"/>
      <c r="E444" s="6"/>
      <c r="F444" s="6"/>
      <c r="G444" s="6"/>
      <c r="H444" s="6"/>
      <c r="I444" s="6"/>
      <c r="J444" s="6"/>
      <c r="K444" s="22"/>
      <c r="L444" s="6"/>
      <c r="M444" s="6"/>
      <c r="N444" s="6"/>
      <c r="O444" s="6"/>
      <c r="P444" s="6"/>
      <c r="Q444" s="6"/>
      <c r="R444" s="54"/>
    </row>
    <row r="445" spans="1:18" ht="12.75">
      <c r="A445" s="6"/>
      <c r="B445" s="6"/>
      <c r="C445" s="6"/>
      <c r="D445" s="6"/>
      <c r="E445" s="6"/>
      <c r="F445" s="6"/>
      <c r="G445" s="6"/>
      <c r="H445" s="6"/>
      <c r="I445" s="6"/>
      <c r="J445" s="6"/>
      <c r="K445" s="22"/>
      <c r="L445" s="6"/>
      <c r="M445" s="6"/>
      <c r="N445" s="6"/>
      <c r="O445" s="6"/>
      <c r="P445" s="6"/>
      <c r="Q445" s="6"/>
      <c r="R445" s="54"/>
    </row>
    <row r="446" spans="1:18" ht="12.75">
      <c r="A446" s="6"/>
      <c r="B446" s="6"/>
      <c r="C446" s="6"/>
      <c r="D446" s="6"/>
      <c r="E446" s="6"/>
      <c r="F446" s="6"/>
      <c r="G446" s="6"/>
      <c r="H446" s="6"/>
      <c r="I446" s="6"/>
      <c r="J446" s="6"/>
      <c r="K446" s="22"/>
      <c r="L446" s="6"/>
      <c r="M446" s="6"/>
      <c r="N446" s="6"/>
      <c r="O446" s="6"/>
      <c r="P446" s="6"/>
      <c r="Q446" s="6"/>
      <c r="R446" s="54"/>
    </row>
    <row r="447" spans="1:18" ht="12.75">
      <c r="A447" s="6"/>
      <c r="B447" s="6"/>
      <c r="C447" s="6"/>
      <c r="D447" s="6"/>
      <c r="E447" s="6"/>
      <c r="F447" s="6"/>
      <c r="G447" s="6"/>
      <c r="H447" s="6"/>
      <c r="I447" s="6"/>
      <c r="J447" s="6"/>
      <c r="K447" s="22"/>
      <c r="L447" s="6"/>
      <c r="M447" s="6"/>
      <c r="N447" s="6"/>
      <c r="O447" s="6"/>
      <c r="P447" s="6"/>
      <c r="Q447" s="6"/>
      <c r="R447" s="54"/>
    </row>
    <row r="448" spans="1:18" ht="12.75">
      <c r="A448" s="6"/>
      <c r="B448" s="6"/>
      <c r="C448" s="6"/>
      <c r="D448" s="6"/>
      <c r="E448" s="6"/>
      <c r="F448" s="6"/>
      <c r="G448" s="6"/>
      <c r="H448" s="6"/>
      <c r="I448" s="6"/>
      <c r="J448" s="6"/>
      <c r="K448" s="22"/>
      <c r="L448" s="6"/>
      <c r="M448" s="6"/>
      <c r="N448" s="6"/>
      <c r="O448" s="6"/>
      <c r="P448" s="6"/>
      <c r="Q448" s="6"/>
      <c r="R448" s="54"/>
    </row>
    <row r="449" spans="1:18" ht="12.75">
      <c r="A449" s="6"/>
      <c r="B449" s="6"/>
      <c r="C449" s="6"/>
      <c r="D449" s="6"/>
      <c r="E449" s="6"/>
      <c r="F449" s="6"/>
      <c r="G449" s="6"/>
      <c r="H449" s="6"/>
      <c r="I449" s="6"/>
      <c r="J449" s="6"/>
      <c r="K449" s="22"/>
      <c r="L449" s="6"/>
      <c r="M449" s="6"/>
      <c r="N449" s="6"/>
      <c r="O449" s="6"/>
      <c r="P449" s="6"/>
      <c r="Q449" s="6"/>
      <c r="R449" s="54"/>
    </row>
    <row r="450" spans="1:18" ht="12.75">
      <c r="A450" s="6"/>
      <c r="B450" s="6"/>
      <c r="C450" s="6"/>
      <c r="D450" s="6"/>
      <c r="E450" s="6"/>
      <c r="F450" s="6"/>
      <c r="G450" s="6"/>
      <c r="H450" s="6"/>
      <c r="I450" s="6"/>
      <c r="J450" s="6"/>
      <c r="K450" s="22"/>
      <c r="L450" s="6"/>
      <c r="M450" s="6"/>
      <c r="N450" s="6"/>
      <c r="O450" s="6"/>
      <c r="P450" s="6"/>
      <c r="Q450" s="6"/>
      <c r="R450" s="54"/>
    </row>
    <row r="451" spans="1:18" ht="12.75">
      <c r="A451" s="6"/>
      <c r="B451" s="6"/>
      <c r="C451" s="6"/>
      <c r="D451" s="6"/>
      <c r="E451" s="6"/>
      <c r="F451" s="6"/>
      <c r="G451" s="6"/>
      <c r="H451" s="6"/>
      <c r="I451" s="6"/>
      <c r="J451" s="6"/>
      <c r="K451" s="22"/>
      <c r="L451" s="6"/>
      <c r="M451" s="6"/>
      <c r="N451" s="6"/>
      <c r="O451" s="6"/>
      <c r="P451" s="6"/>
      <c r="Q451" s="6"/>
      <c r="R451" s="54"/>
    </row>
    <row r="452" spans="1:18" ht="12.75">
      <c r="A452" s="6"/>
      <c r="B452" s="6"/>
      <c r="C452" s="6"/>
      <c r="D452" s="6"/>
      <c r="E452" s="6"/>
      <c r="F452" s="6"/>
      <c r="G452" s="6"/>
      <c r="H452" s="6"/>
      <c r="I452" s="6"/>
      <c r="J452" s="6"/>
      <c r="K452" s="22"/>
      <c r="L452" s="6"/>
      <c r="M452" s="6"/>
      <c r="N452" s="6"/>
      <c r="O452" s="6"/>
      <c r="P452" s="6"/>
      <c r="Q452" s="6"/>
      <c r="R452" s="54"/>
    </row>
    <row r="453" spans="1:18" ht="12.75">
      <c r="A453" s="6"/>
      <c r="B453" s="6"/>
      <c r="C453" s="6"/>
      <c r="D453" s="6"/>
      <c r="E453" s="6"/>
      <c r="F453" s="6"/>
      <c r="G453" s="6"/>
      <c r="H453" s="6"/>
      <c r="I453" s="6"/>
      <c r="J453" s="6"/>
      <c r="K453" s="22"/>
      <c r="L453" s="6"/>
      <c r="M453" s="6"/>
      <c r="N453" s="6"/>
      <c r="O453" s="6"/>
      <c r="P453" s="6"/>
      <c r="Q453" s="6"/>
      <c r="R453" s="54"/>
    </row>
    <row r="454" spans="1:18" ht="12.75">
      <c r="A454" s="6"/>
      <c r="B454" s="6"/>
      <c r="C454" s="6"/>
      <c r="D454" s="6"/>
      <c r="E454" s="6"/>
      <c r="F454" s="6"/>
      <c r="G454" s="6"/>
      <c r="H454" s="6"/>
      <c r="I454" s="6"/>
      <c r="J454" s="6"/>
      <c r="K454" s="22"/>
      <c r="L454" s="6"/>
      <c r="M454" s="6"/>
      <c r="N454" s="6"/>
      <c r="O454" s="6"/>
      <c r="P454" s="6"/>
      <c r="Q454" s="6"/>
      <c r="R454" s="54"/>
    </row>
    <row r="455" spans="1:18" ht="12.75">
      <c r="A455" s="6"/>
      <c r="B455" s="6"/>
      <c r="C455" s="6"/>
      <c r="D455" s="6"/>
      <c r="E455" s="6"/>
      <c r="F455" s="6"/>
      <c r="G455" s="6"/>
      <c r="H455" s="6"/>
      <c r="I455" s="6"/>
      <c r="J455" s="6"/>
      <c r="K455" s="22"/>
      <c r="L455" s="6"/>
      <c r="M455" s="6"/>
      <c r="N455" s="6"/>
      <c r="O455" s="6"/>
      <c r="P455" s="6"/>
      <c r="Q455" s="6"/>
      <c r="R455" s="54"/>
    </row>
    <row r="456" spans="1:18" ht="12.75">
      <c r="A456" s="6"/>
      <c r="B456" s="6"/>
      <c r="C456" s="6"/>
      <c r="D456" s="6"/>
      <c r="E456" s="6"/>
      <c r="F456" s="6"/>
      <c r="G456" s="6"/>
      <c r="H456" s="6"/>
      <c r="I456" s="6"/>
      <c r="J456" s="6"/>
      <c r="K456" s="22"/>
      <c r="L456" s="6"/>
      <c r="M456" s="6"/>
      <c r="N456" s="6"/>
      <c r="O456" s="6"/>
      <c r="P456" s="6"/>
      <c r="Q456" s="6"/>
      <c r="R456" s="54"/>
    </row>
    <row r="457" spans="1:18" ht="12.75">
      <c r="A457" s="6"/>
      <c r="B457" s="6"/>
      <c r="C457" s="6"/>
      <c r="D457" s="6"/>
      <c r="E457" s="6"/>
      <c r="F457" s="6"/>
      <c r="G457" s="6"/>
      <c r="H457" s="6"/>
      <c r="I457" s="6"/>
      <c r="J457" s="6"/>
      <c r="K457" s="22"/>
      <c r="L457" s="6"/>
      <c r="M457" s="6"/>
      <c r="N457" s="6"/>
      <c r="O457" s="6"/>
      <c r="P457" s="6"/>
      <c r="Q457" s="6"/>
      <c r="R457" s="54"/>
    </row>
    <row r="458" spans="1:18" ht="12.75">
      <c r="A458" s="6"/>
      <c r="B458" s="6"/>
      <c r="C458" s="6"/>
      <c r="D458" s="6"/>
      <c r="E458" s="6"/>
      <c r="F458" s="6"/>
      <c r="G458" s="6"/>
      <c r="H458" s="6"/>
      <c r="I458" s="6"/>
      <c r="J458" s="6"/>
      <c r="K458" s="22"/>
      <c r="L458" s="6"/>
      <c r="M458" s="6"/>
      <c r="N458" s="6"/>
      <c r="O458" s="6"/>
      <c r="P458" s="6"/>
      <c r="Q458" s="6"/>
      <c r="R458" s="54"/>
    </row>
    <row r="459" spans="1:18" ht="12.75">
      <c r="A459" s="6"/>
      <c r="B459" s="6"/>
      <c r="C459" s="6"/>
      <c r="D459" s="6"/>
      <c r="E459" s="6"/>
      <c r="F459" s="6"/>
      <c r="G459" s="6"/>
      <c r="H459" s="6"/>
      <c r="I459" s="6"/>
      <c r="J459" s="6"/>
      <c r="K459" s="22"/>
      <c r="L459" s="6"/>
      <c r="M459" s="6"/>
      <c r="N459" s="6"/>
      <c r="O459" s="6"/>
      <c r="P459" s="6"/>
      <c r="Q459" s="6"/>
      <c r="R459" s="54"/>
    </row>
    <row r="460" spans="1:18" ht="12.75">
      <c r="A460" s="6"/>
      <c r="B460" s="6"/>
      <c r="C460" s="6"/>
      <c r="D460" s="6"/>
      <c r="E460" s="6"/>
      <c r="F460" s="6"/>
      <c r="G460" s="6"/>
      <c r="H460" s="6"/>
      <c r="I460" s="6"/>
      <c r="J460" s="6"/>
      <c r="K460" s="22"/>
      <c r="L460" s="6"/>
      <c r="M460" s="6"/>
      <c r="N460" s="6"/>
      <c r="O460" s="6"/>
      <c r="P460" s="6"/>
      <c r="Q460" s="6"/>
      <c r="R460" s="54"/>
    </row>
    <row r="461" spans="1:18" ht="12.75">
      <c r="A461" s="6"/>
      <c r="B461" s="6"/>
      <c r="C461" s="6"/>
      <c r="D461" s="6"/>
      <c r="E461" s="6"/>
      <c r="F461" s="6"/>
      <c r="G461" s="6"/>
      <c r="H461" s="6"/>
      <c r="I461" s="6"/>
      <c r="J461" s="6"/>
      <c r="K461" s="22"/>
      <c r="L461" s="6"/>
      <c r="M461" s="6"/>
      <c r="N461" s="6"/>
      <c r="O461" s="6"/>
      <c r="P461" s="6"/>
      <c r="Q461" s="6"/>
      <c r="R461" s="54"/>
    </row>
    <row r="462" spans="1:18" ht="12.75">
      <c r="A462" s="6"/>
      <c r="B462" s="6"/>
      <c r="C462" s="6"/>
      <c r="D462" s="6"/>
      <c r="E462" s="6"/>
      <c r="F462" s="6"/>
      <c r="G462" s="6"/>
      <c r="H462" s="6"/>
      <c r="I462" s="6"/>
      <c r="J462" s="6"/>
      <c r="K462" s="22"/>
      <c r="L462" s="6"/>
      <c r="M462" s="6"/>
      <c r="N462" s="6"/>
      <c r="O462" s="6"/>
      <c r="P462" s="6"/>
      <c r="Q462" s="6"/>
      <c r="R462" s="54"/>
    </row>
    <row r="463" spans="1:18" ht="12.75">
      <c r="A463" s="6"/>
      <c r="B463" s="6"/>
      <c r="C463" s="6"/>
      <c r="D463" s="6"/>
      <c r="E463" s="6"/>
      <c r="F463" s="6"/>
      <c r="G463" s="6"/>
      <c r="H463" s="6"/>
      <c r="I463" s="6"/>
      <c r="J463" s="6"/>
      <c r="K463" s="22"/>
      <c r="L463" s="6"/>
      <c r="M463" s="6"/>
      <c r="N463" s="6"/>
      <c r="O463" s="6"/>
      <c r="P463" s="6"/>
      <c r="Q463" s="6"/>
      <c r="R463" s="54"/>
    </row>
    <row r="464" spans="1:18" ht="12.75">
      <c r="A464" s="6"/>
      <c r="B464" s="6"/>
      <c r="C464" s="6"/>
      <c r="D464" s="6"/>
      <c r="E464" s="6"/>
      <c r="F464" s="6"/>
      <c r="G464" s="6"/>
      <c r="H464" s="6"/>
      <c r="I464" s="6"/>
      <c r="J464" s="6"/>
      <c r="K464" s="22"/>
      <c r="L464" s="6"/>
      <c r="M464" s="6"/>
      <c r="N464" s="6"/>
      <c r="O464" s="6"/>
      <c r="P464" s="6"/>
      <c r="Q464" s="6"/>
      <c r="R464" s="54"/>
    </row>
    <row r="465" spans="1:18" ht="12.75">
      <c r="A465" s="6"/>
      <c r="B465" s="6"/>
      <c r="C465" s="6"/>
      <c r="D465" s="6"/>
      <c r="E465" s="6"/>
      <c r="F465" s="6"/>
      <c r="G465" s="6"/>
      <c r="H465" s="6"/>
      <c r="I465" s="6"/>
      <c r="J465" s="6"/>
      <c r="K465" s="22"/>
      <c r="L465" s="6"/>
      <c r="M465" s="6"/>
      <c r="N465" s="6"/>
      <c r="O465" s="6"/>
      <c r="P465" s="6"/>
      <c r="Q465" s="6"/>
      <c r="R465" s="54"/>
    </row>
    <row r="466" spans="1:18" ht="12.75">
      <c r="A466" s="6"/>
      <c r="B466" s="6"/>
      <c r="C466" s="6"/>
      <c r="D466" s="6"/>
      <c r="E466" s="6"/>
      <c r="F466" s="6"/>
      <c r="G466" s="6"/>
      <c r="H466" s="6"/>
      <c r="I466" s="6"/>
      <c r="J466" s="6"/>
      <c r="K466" s="22"/>
      <c r="L466" s="6"/>
      <c r="M466" s="6"/>
      <c r="N466" s="6"/>
      <c r="O466" s="6"/>
      <c r="P466" s="6"/>
      <c r="Q466" s="6"/>
      <c r="R466" s="54"/>
    </row>
    <row r="467" spans="1:18" ht="12.75">
      <c r="A467" s="6"/>
      <c r="B467" s="6"/>
      <c r="C467" s="6"/>
      <c r="D467" s="6"/>
      <c r="E467" s="6"/>
      <c r="F467" s="6"/>
      <c r="G467" s="6"/>
      <c r="H467" s="6"/>
      <c r="I467" s="6"/>
      <c r="J467" s="6"/>
      <c r="K467" s="22"/>
      <c r="L467" s="6"/>
      <c r="M467" s="6"/>
      <c r="N467" s="6"/>
      <c r="O467" s="6"/>
      <c r="P467" s="6"/>
      <c r="Q467" s="6"/>
      <c r="R467" s="54"/>
    </row>
    <row r="468" spans="1:18" ht="12.75">
      <c r="A468" s="6"/>
      <c r="B468" s="6"/>
      <c r="C468" s="6"/>
      <c r="D468" s="6"/>
      <c r="E468" s="6"/>
      <c r="F468" s="6"/>
      <c r="G468" s="6"/>
      <c r="H468" s="6"/>
      <c r="I468" s="6"/>
      <c r="J468" s="6"/>
      <c r="K468" s="22"/>
      <c r="L468" s="6"/>
      <c r="M468" s="6"/>
      <c r="N468" s="6"/>
      <c r="O468" s="6"/>
      <c r="P468" s="6"/>
      <c r="Q468" s="6"/>
      <c r="R468" s="54"/>
    </row>
    <row r="469" spans="1:18" ht="12.75">
      <c r="A469" s="6"/>
      <c r="B469" s="6"/>
      <c r="C469" s="6"/>
      <c r="D469" s="6"/>
      <c r="E469" s="6"/>
      <c r="F469" s="6"/>
      <c r="G469" s="6"/>
      <c r="H469" s="6"/>
      <c r="I469" s="6"/>
      <c r="J469" s="6"/>
      <c r="K469" s="22"/>
      <c r="L469" s="6"/>
      <c r="M469" s="6"/>
      <c r="N469" s="6"/>
      <c r="O469" s="6"/>
      <c r="P469" s="6"/>
      <c r="Q469" s="6"/>
      <c r="R469" s="54"/>
    </row>
    <row r="470" spans="1:18" ht="12.75">
      <c r="A470" s="6"/>
      <c r="B470" s="6"/>
      <c r="C470" s="6"/>
      <c r="D470" s="6"/>
      <c r="E470" s="6"/>
      <c r="F470" s="6"/>
      <c r="G470" s="6"/>
      <c r="H470" s="6"/>
      <c r="I470" s="6"/>
      <c r="J470" s="6"/>
      <c r="K470" s="22"/>
      <c r="L470" s="6"/>
      <c r="M470" s="6"/>
      <c r="N470" s="6"/>
      <c r="O470" s="6"/>
      <c r="P470" s="6"/>
      <c r="Q470" s="6"/>
      <c r="R470" s="54"/>
    </row>
    <row r="471" spans="1:18" ht="12.75">
      <c r="A471" s="6"/>
      <c r="B471" s="6"/>
      <c r="C471" s="6"/>
      <c r="D471" s="6"/>
      <c r="E471" s="6"/>
      <c r="F471" s="6"/>
      <c r="G471" s="6"/>
      <c r="H471" s="6"/>
      <c r="I471" s="6"/>
      <c r="J471" s="6"/>
      <c r="K471" s="22"/>
      <c r="L471" s="6"/>
      <c r="M471" s="6"/>
      <c r="N471" s="6"/>
      <c r="O471" s="6"/>
      <c r="P471" s="6"/>
      <c r="Q471" s="6"/>
      <c r="R471" s="54"/>
    </row>
    <row r="472" spans="1:18" ht="12.75">
      <c r="A472" s="6"/>
      <c r="B472" s="6"/>
      <c r="C472" s="6"/>
      <c r="D472" s="6"/>
      <c r="E472" s="6"/>
      <c r="F472" s="6"/>
      <c r="G472" s="6"/>
      <c r="H472" s="6"/>
      <c r="I472" s="6"/>
      <c r="J472" s="6"/>
      <c r="K472" s="22"/>
      <c r="L472" s="6"/>
      <c r="M472" s="6"/>
      <c r="N472" s="6"/>
      <c r="O472" s="6"/>
      <c r="P472" s="6"/>
      <c r="Q472" s="6"/>
      <c r="R472" s="54"/>
    </row>
    <row r="473" spans="1:18" ht="12.75">
      <c r="A473" s="6"/>
      <c r="B473" s="6"/>
      <c r="C473" s="6"/>
      <c r="D473" s="6"/>
      <c r="E473" s="6"/>
      <c r="F473" s="6"/>
      <c r="G473" s="6"/>
      <c r="H473" s="6"/>
      <c r="I473" s="6"/>
      <c r="J473" s="6"/>
      <c r="K473" s="22"/>
      <c r="L473" s="6"/>
      <c r="M473" s="6"/>
      <c r="N473" s="6"/>
      <c r="O473" s="6"/>
      <c r="P473" s="6"/>
      <c r="Q473" s="6"/>
      <c r="R473" s="54"/>
    </row>
    <row r="474" spans="1:18" ht="12.75">
      <c r="A474" s="6"/>
      <c r="B474" s="6"/>
      <c r="C474" s="6"/>
      <c r="D474" s="6"/>
      <c r="E474" s="6"/>
      <c r="F474" s="6"/>
      <c r="G474" s="6"/>
      <c r="H474" s="6"/>
      <c r="I474" s="6"/>
      <c r="J474" s="6"/>
      <c r="K474" s="22"/>
      <c r="L474" s="6"/>
      <c r="M474" s="6"/>
      <c r="N474" s="6"/>
      <c r="O474" s="6"/>
      <c r="P474" s="6"/>
      <c r="Q474" s="6"/>
      <c r="R474" s="54"/>
    </row>
    <row r="475" spans="1:18" ht="12.75">
      <c r="A475" s="6"/>
      <c r="B475" s="6"/>
      <c r="C475" s="6"/>
      <c r="D475" s="6"/>
      <c r="E475" s="6"/>
      <c r="F475" s="6"/>
      <c r="G475" s="6"/>
      <c r="H475" s="6"/>
      <c r="I475" s="6"/>
      <c r="J475" s="6"/>
      <c r="K475" s="22"/>
      <c r="L475" s="6"/>
      <c r="M475" s="6"/>
      <c r="N475" s="6"/>
      <c r="O475" s="6"/>
      <c r="P475" s="6"/>
      <c r="Q475" s="6"/>
      <c r="R475" s="54"/>
    </row>
    <row r="476" spans="1:18" ht="12.75">
      <c r="A476" s="6"/>
      <c r="B476" s="6"/>
      <c r="C476" s="6"/>
      <c r="D476" s="6"/>
      <c r="E476" s="6"/>
      <c r="F476" s="6"/>
      <c r="G476" s="6"/>
      <c r="H476" s="6"/>
      <c r="I476" s="6"/>
      <c r="J476" s="6"/>
      <c r="K476" s="22"/>
      <c r="L476" s="6"/>
      <c r="M476" s="6"/>
      <c r="N476" s="6"/>
      <c r="O476" s="6"/>
      <c r="P476" s="6"/>
      <c r="Q476" s="6"/>
      <c r="R476" s="54"/>
    </row>
    <row r="477" spans="1:18" ht="12.75">
      <c r="A477" s="6"/>
      <c r="B477" s="6"/>
      <c r="C477" s="6"/>
      <c r="D477" s="6"/>
      <c r="E477" s="6"/>
      <c r="F477" s="6"/>
      <c r="G477" s="6"/>
      <c r="H477" s="6"/>
      <c r="I477" s="6"/>
      <c r="J477" s="6"/>
      <c r="K477" s="22"/>
      <c r="L477" s="6"/>
      <c r="M477" s="6"/>
      <c r="N477" s="6"/>
      <c r="O477" s="6"/>
      <c r="P477" s="6"/>
      <c r="Q477" s="6"/>
      <c r="R477" s="54"/>
    </row>
    <row r="478" spans="1:18" ht="12.75">
      <c r="A478" s="6"/>
      <c r="B478" s="6"/>
      <c r="C478" s="6"/>
      <c r="D478" s="6"/>
      <c r="E478" s="6"/>
      <c r="F478" s="6"/>
      <c r="G478" s="6"/>
      <c r="H478" s="6"/>
      <c r="I478" s="6"/>
      <c r="J478" s="6"/>
      <c r="K478" s="22"/>
      <c r="L478" s="6"/>
      <c r="M478" s="6"/>
      <c r="N478" s="6"/>
      <c r="O478" s="6"/>
      <c r="P478" s="6"/>
      <c r="Q478" s="6"/>
      <c r="R478" s="54"/>
    </row>
    <row r="479" spans="1:18" ht="12.75">
      <c r="A479" s="6"/>
      <c r="B479" s="6"/>
      <c r="C479" s="6"/>
      <c r="D479" s="6"/>
      <c r="E479" s="6"/>
      <c r="F479" s="6"/>
      <c r="G479" s="6"/>
      <c r="H479" s="6"/>
      <c r="I479" s="6"/>
      <c r="J479" s="6"/>
      <c r="K479" s="22"/>
      <c r="L479" s="6"/>
      <c r="M479" s="6"/>
      <c r="N479" s="6"/>
      <c r="O479" s="6"/>
      <c r="P479" s="6"/>
      <c r="Q479" s="6"/>
      <c r="R479" s="54"/>
    </row>
    <row r="480" spans="1:18" ht="12.75">
      <c r="A480" s="6"/>
      <c r="B480" s="6"/>
      <c r="C480" s="6"/>
      <c r="D480" s="6"/>
      <c r="E480" s="6"/>
      <c r="F480" s="6"/>
      <c r="G480" s="6"/>
      <c r="H480" s="6"/>
      <c r="I480" s="6"/>
      <c r="J480" s="6"/>
      <c r="K480" s="22"/>
      <c r="L480" s="6"/>
      <c r="M480" s="6"/>
      <c r="N480" s="6"/>
      <c r="O480" s="6"/>
      <c r="P480" s="6"/>
      <c r="Q480" s="6"/>
      <c r="R480" s="54"/>
    </row>
    <row r="481" spans="1:18" ht="12.75">
      <c r="A481" s="6"/>
      <c r="B481" s="6"/>
      <c r="C481" s="6"/>
      <c r="D481" s="6"/>
      <c r="E481" s="6"/>
      <c r="F481" s="6"/>
      <c r="G481" s="6"/>
      <c r="H481" s="6"/>
      <c r="I481" s="6"/>
      <c r="J481" s="6"/>
      <c r="K481" s="22"/>
      <c r="L481" s="6"/>
      <c r="M481" s="6"/>
      <c r="N481" s="6"/>
      <c r="O481" s="6"/>
      <c r="P481" s="6"/>
      <c r="Q481" s="6"/>
      <c r="R481" s="54"/>
    </row>
    <row r="482" spans="1:18" ht="12.75">
      <c r="A482" s="6"/>
      <c r="B482" s="6"/>
      <c r="C482" s="6"/>
      <c r="D482" s="6"/>
      <c r="E482" s="6"/>
      <c r="F482" s="6"/>
      <c r="G482" s="6"/>
      <c r="H482" s="6"/>
      <c r="I482" s="6"/>
      <c r="J482" s="6"/>
      <c r="K482" s="22"/>
      <c r="L482" s="6"/>
      <c r="M482" s="6"/>
      <c r="N482" s="6"/>
      <c r="O482" s="6"/>
      <c r="P482" s="6"/>
      <c r="Q482" s="6"/>
      <c r="R482" s="54"/>
    </row>
    <row r="483" spans="1:18" ht="12.75">
      <c r="A483" s="6"/>
      <c r="B483" s="6"/>
      <c r="C483" s="6"/>
      <c r="D483" s="6"/>
      <c r="E483" s="6"/>
      <c r="F483" s="6"/>
      <c r="G483" s="6"/>
      <c r="H483" s="6"/>
      <c r="I483" s="6"/>
      <c r="J483" s="6"/>
      <c r="K483" s="22"/>
      <c r="L483" s="6"/>
      <c r="M483" s="6"/>
      <c r="N483" s="6"/>
      <c r="O483" s="6"/>
      <c r="P483" s="6"/>
      <c r="Q483" s="6"/>
      <c r="R483" s="54"/>
    </row>
    <row r="484" spans="1:18" ht="12.75">
      <c r="A484" s="6"/>
      <c r="B484" s="6"/>
      <c r="C484" s="6"/>
      <c r="D484" s="6"/>
      <c r="E484" s="6"/>
      <c r="F484" s="6"/>
      <c r="G484" s="6"/>
      <c r="H484" s="6"/>
      <c r="I484" s="6"/>
      <c r="J484" s="6"/>
      <c r="K484" s="22"/>
      <c r="L484" s="6"/>
      <c r="M484" s="6"/>
      <c r="N484" s="6"/>
      <c r="O484" s="6"/>
      <c r="P484" s="6"/>
      <c r="Q484" s="6"/>
      <c r="R484" s="54"/>
    </row>
    <row r="485" spans="1:18" ht="12.75">
      <c r="A485" s="6"/>
      <c r="B485" s="6"/>
      <c r="C485" s="6"/>
      <c r="D485" s="6"/>
      <c r="E485" s="6"/>
      <c r="F485" s="6"/>
      <c r="G485" s="6"/>
      <c r="H485" s="6"/>
      <c r="I485" s="6"/>
      <c r="J485" s="6"/>
      <c r="K485" s="22"/>
      <c r="L485" s="6"/>
      <c r="M485" s="6"/>
      <c r="N485" s="6"/>
      <c r="O485" s="6"/>
      <c r="P485" s="6"/>
      <c r="Q485" s="6"/>
      <c r="R485" s="54"/>
    </row>
    <row r="486" spans="1:18" ht="12.75">
      <c r="A486" s="6"/>
      <c r="B486" s="6"/>
      <c r="C486" s="6"/>
      <c r="D486" s="6"/>
      <c r="E486" s="6"/>
      <c r="F486" s="6"/>
      <c r="G486" s="6"/>
      <c r="H486" s="6"/>
      <c r="I486" s="6"/>
      <c r="J486" s="6"/>
      <c r="K486" s="22"/>
      <c r="L486" s="6"/>
      <c r="M486" s="6"/>
      <c r="N486" s="6"/>
      <c r="O486" s="6"/>
      <c r="P486" s="6"/>
      <c r="Q486" s="6"/>
      <c r="R486" s="54"/>
    </row>
    <row r="487" spans="1:18" ht="12.75">
      <c r="A487" s="6"/>
      <c r="B487" s="6"/>
      <c r="C487" s="6"/>
      <c r="D487" s="6"/>
      <c r="E487" s="6"/>
      <c r="F487" s="6"/>
      <c r="G487" s="6"/>
      <c r="H487" s="6"/>
      <c r="I487" s="6"/>
      <c r="J487" s="6"/>
      <c r="K487" s="22"/>
      <c r="L487" s="6"/>
      <c r="M487" s="6"/>
      <c r="N487" s="6"/>
      <c r="O487" s="6"/>
      <c r="P487" s="6"/>
      <c r="Q487" s="6"/>
      <c r="R487" s="54"/>
    </row>
    <row r="488" spans="1:18" ht="12.75">
      <c r="A488" s="6"/>
      <c r="B488" s="6"/>
      <c r="C488" s="6"/>
      <c r="D488" s="6"/>
      <c r="E488" s="6"/>
      <c r="F488" s="6"/>
      <c r="G488" s="6"/>
      <c r="H488" s="6"/>
      <c r="I488" s="6"/>
      <c r="J488" s="6"/>
      <c r="K488" s="22"/>
      <c r="L488" s="6"/>
      <c r="M488" s="6"/>
      <c r="N488" s="6"/>
      <c r="O488" s="6"/>
      <c r="P488" s="6"/>
      <c r="Q488" s="6"/>
      <c r="R488" s="54"/>
    </row>
    <row r="489" spans="1:18" ht="12.75">
      <c r="A489" s="6"/>
      <c r="B489" s="6"/>
      <c r="C489" s="6"/>
      <c r="D489" s="6"/>
      <c r="E489" s="6"/>
      <c r="F489" s="6"/>
      <c r="G489" s="6"/>
      <c r="H489" s="6"/>
      <c r="I489" s="6"/>
      <c r="J489" s="6"/>
      <c r="K489" s="22"/>
      <c r="L489" s="6"/>
      <c r="M489" s="6"/>
      <c r="N489" s="6"/>
      <c r="O489" s="6"/>
      <c r="P489" s="6"/>
      <c r="Q489" s="6"/>
      <c r="R489" s="54"/>
    </row>
    <row r="490" spans="1:18" ht="12.75">
      <c r="A490" s="6"/>
      <c r="B490" s="6"/>
      <c r="C490" s="6"/>
      <c r="D490" s="6"/>
      <c r="E490" s="6"/>
      <c r="F490" s="6"/>
      <c r="G490" s="6"/>
      <c r="H490" s="6"/>
      <c r="I490" s="6"/>
      <c r="J490" s="6"/>
      <c r="K490" s="22"/>
      <c r="L490" s="6"/>
      <c r="M490" s="6"/>
      <c r="N490" s="6"/>
      <c r="O490" s="6"/>
      <c r="P490" s="6"/>
      <c r="Q490" s="6"/>
      <c r="R490" s="54"/>
    </row>
    <row r="491" spans="1:18" ht="12.75">
      <c r="A491" s="6"/>
      <c r="B491" s="6"/>
      <c r="C491" s="6"/>
      <c r="D491" s="6"/>
      <c r="E491" s="6"/>
      <c r="F491" s="6"/>
      <c r="G491" s="6"/>
      <c r="H491" s="6"/>
      <c r="I491" s="6"/>
      <c r="J491" s="6"/>
      <c r="K491" s="22"/>
      <c r="L491" s="6"/>
      <c r="M491" s="6"/>
      <c r="N491" s="6"/>
      <c r="O491" s="6"/>
      <c r="P491" s="6"/>
      <c r="Q491" s="6"/>
      <c r="R491" s="54"/>
    </row>
    <row r="492" spans="1:18" ht="12.75">
      <c r="A492" s="6"/>
      <c r="B492" s="6"/>
      <c r="C492" s="6"/>
      <c r="D492" s="6"/>
      <c r="E492" s="6"/>
      <c r="F492" s="6"/>
      <c r="G492" s="6"/>
      <c r="H492" s="6"/>
      <c r="I492" s="6"/>
      <c r="J492" s="6"/>
      <c r="K492" s="22"/>
      <c r="L492" s="6"/>
      <c r="M492" s="6"/>
      <c r="N492" s="6"/>
      <c r="O492" s="6"/>
      <c r="P492" s="6"/>
      <c r="Q492" s="6"/>
      <c r="R492" s="54"/>
    </row>
    <row r="493" spans="1:18" ht="12.75">
      <c r="A493" s="6"/>
      <c r="B493" s="6"/>
      <c r="C493" s="6"/>
      <c r="D493" s="6"/>
      <c r="E493" s="6"/>
      <c r="F493" s="6"/>
      <c r="G493" s="6"/>
      <c r="H493" s="6"/>
      <c r="I493" s="6"/>
      <c r="J493" s="6"/>
      <c r="K493" s="22"/>
      <c r="L493" s="6"/>
      <c r="M493" s="6"/>
      <c r="N493" s="6"/>
      <c r="O493" s="6"/>
      <c r="P493" s="6"/>
      <c r="Q493" s="6"/>
      <c r="R493" s="54"/>
    </row>
    <row r="494" spans="1:18" ht="12.75">
      <c r="A494" s="6"/>
      <c r="B494" s="6"/>
      <c r="C494" s="6"/>
      <c r="D494" s="6"/>
      <c r="E494" s="6"/>
      <c r="F494" s="6"/>
      <c r="G494" s="6"/>
      <c r="H494" s="6"/>
      <c r="I494" s="6"/>
      <c r="J494" s="6"/>
      <c r="K494" s="22"/>
      <c r="L494" s="6"/>
      <c r="M494" s="6"/>
      <c r="N494" s="6"/>
      <c r="O494" s="6"/>
      <c r="P494" s="6"/>
      <c r="Q494" s="6"/>
      <c r="R494" s="54"/>
    </row>
    <row r="495" spans="1:18" ht="12.75">
      <c r="A495" s="6"/>
      <c r="B495" s="6"/>
      <c r="C495" s="6"/>
      <c r="D495" s="6"/>
      <c r="E495" s="6"/>
      <c r="F495" s="6"/>
      <c r="G495" s="6"/>
      <c r="H495" s="6"/>
      <c r="I495" s="6"/>
      <c r="J495" s="6"/>
      <c r="K495" s="22"/>
      <c r="L495" s="6"/>
      <c r="M495" s="6"/>
      <c r="N495" s="6"/>
      <c r="O495" s="6"/>
      <c r="P495" s="6"/>
      <c r="Q495" s="6"/>
      <c r="R495" s="54"/>
    </row>
    <row r="496" spans="1:18" ht="12.75">
      <c r="A496" s="6"/>
      <c r="B496" s="6"/>
      <c r="C496" s="6"/>
      <c r="D496" s="6"/>
      <c r="E496" s="6"/>
      <c r="F496" s="6"/>
      <c r="G496" s="6"/>
      <c r="H496" s="6"/>
      <c r="I496" s="6"/>
      <c r="J496" s="6"/>
      <c r="K496" s="22"/>
      <c r="L496" s="6"/>
      <c r="M496" s="6"/>
      <c r="N496" s="6"/>
      <c r="O496" s="6"/>
      <c r="P496" s="6"/>
      <c r="Q496" s="6"/>
      <c r="R496" s="54"/>
    </row>
    <row r="497" spans="1:18" ht="12.75">
      <c r="A497" s="6"/>
      <c r="B497" s="6"/>
      <c r="C497" s="6"/>
      <c r="D497" s="6"/>
      <c r="E497" s="6"/>
      <c r="F497" s="6"/>
      <c r="G497" s="6"/>
      <c r="H497" s="6"/>
      <c r="I497" s="6"/>
      <c r="J497" s="6"/>
      <c r="K497" s="22"/>
      <c r="L497" s="6"/>
      <c r="M497" s="6"/>
      <c r="N497" s="6"/>
      <c r="O497" s="6"/>
      <c r="P497" s="6"/>
      <c r="Q497" s="6"/>
      <c r="R497" s="54"/>
    </row>
    <row r="498" spans="1:18" ht="12.75">
      <c r="A498" s="6"/>
      <c r="B498" s="6"/>
      <c r="C498" s="6"/>
      <c r="D498" s="6"/>
      <c r="E498" s="6"/>
      <c r="F498" s="6"/>
      <c r="G498" s="6"/>
      <c r="H498" s="6"/>
      <c r="I498" s="6"/>
      <c r="J498" s="6"/>
      <c r="K498" s="22"/>
      <c r="L498" s="6"/>
      <c r="M498" s="6"/>
      <c r="N498" s="6"/>
      <c r="O498" s="6"/>
      <c r="P498" s="6"/>
      <c r="Q498" s="6"/>
      <c r="R498" s="54"/>
    </row>
    <row r="499" spans="1:18" ht="12.75">
      <c r="A499" s="6"/>
      <c r="B499" s="6"/>
      <c r="C499" s="6"/>
      <c r="D499" s="6"/>
      <c r="E499" s="6"/>
      <c r="F499" s="6"/>
      <c r="G499" s="6"/>
      <c r="H499" s="6"/>
      <c r="I499" s="6"/>
      <c r="J499" s="6"/>
      <c r="K499" s="22"/>
      <c r="L499" s="6"/>
      <c r="M499" s="6"/>
      <c r="N499" s="6"/>
      <c r="O499" s="6"/>
      <c r="P499" s="6"/>
      <c r="Q499" s="6"/>
      <c r="R499" s="54"/>
    </row>
    <row r="500" spans="1:18" ht="12.75">
      <c r="A500" s="6"/>
      <c r="B500" s="6"/>
      <c r="C500" s="6"/>
      <c r="D500" s="6"/>
      <c r="E500" s="6"/>
      <c r="F500" s="6"/>
      <c r="G500" s="6"/>
      <c r="H500" s="6"/>
      <c r="I500" s="6"/>
      <c r="J500" s="6"/>
      <c r="K500" s="22"/>
      <c r="L500" s="6"/>
      <c r="M500" s="6"/>
      <c r="N500" s="6"/>
      <c r="O500" s="6"/>
      <c r="P500" s="6"/>
      <c r="Q500" s="6"/>
      <c r="R500" s="54"/>
    </row>
    <row r="501" spans="1:18" ht="12.75">
      <c r="A501" s="6"/>
      <c r="B501" s="6"/>
      <c r="C501" s="6"/>
      <c r="D501" s="6"/>
      <c r="E501" s="6"/>
      <c r="F501" s="6"/>
      <c r="G501" s="6"/>
      <c r="H501" s="6"/>
      <c r="I501" s="6"/>
      <c r="J501" s="6"/>
      <c r="K501" s="22"/>
      <c r="L501" s="6"/>
      <c r="M501" s="6"/>
      <c r="N501" s="6"/>
      <c r="O501" s="6"/>
      <c r="P501" s="6"/>
      <c r="Q501" s="6"/>
      <c r="R501" s="54"/>
    </row>
    <row r="502" spans="1:18" ht="12.75">
      <c r="A502" s="6"/>
      <c r="B502" s="6"/>
      <c r="C502" s="6"/>
      <c r="D502" s="6"/>
      <c r="E502" s="6"/>
      <c r="F502" s="6"/>
      <c r="G502" s="6"/>
      <c r="H502" s="6"/>
      <c r="I502" s="6"/>
      <c r="J502" s="6"/>
      <c r="K502" s="22"/>
      <c r="L502" s="6"/>
      <c r="M502" s="6"/>
      <c r="N502" s="6"/>
      <c r="O502" s="6"/>
      <c r="P502" s="6"/>
      <c r="Q502" s="6"/>
      <c r="R502" s="54"/>
    </row>
    <row r="503" spans="1:18" ht="12.75">
      <c r="A503" s="6"/>
      <c r="B503" s="6"/>
      <c r="C503" s="6"/>
      <c r="D503" s="6"/>
      <c r="E503" s="6"/>
      <c r="F503" s="6"/>
      <c r="G503" s="6"/>
      <c r="H503" s="6"/>
      <c r="I503" s="6"/>
      <c r="J503" s="6"/>
      <c r="K503" s="22"/>
      <c r="L503" s="6"/>
      <c r="M503" s="6"/>
      <c r="N503" s="6"/>
      <c r="O503" s="6"/>
      <c r="P503" s="6"/>
      <c r="Q503" s="6"/>
      <c r="R503" s="54"/>
    </row>
    <row r="504" spans="1:18" ht="12.75">
      <c r="A504" s="6"/>
      <c r="B504" s="6"/>
      <c r="C504" s="6"/>
      <c r="D504" s="6"/>
      <c r="E504" s="6"/>
      <c r="F504" s="6"/>
      <c r="G504" s="6"/>
      <c r="H504" s="6"/>
      <c r="I504" s="6"/>
      <c r="J504" s="6"/>
      <c r="K504" s="22"/>
      <c r="L504" s="6"/>
      <c r="M504" s="6"/>
      <c r="N504" s="6"/>
      <c r="O504" s="6"/>
      <c r="P504" s="6"/>
      <c r="Q504" s="6"/>
      <c r="R504" s="54"/>
    </row>
    <row r="505" spans="1:18" ht="12.75">
      <c r="A505" s="6"/>
      <c r="B505" s="6"/>
      <c r="C505" s="6"/>
      <c r="D505" s="6"/>
      <c r="E505" s="6"/>
      <c r="F505" s="6"/>
      <c r="G505" s="6"/>
      <c r="H505" s="6"/>
      <c r="I505" s="6"/>
      <c r="J505" s="6"/>
      <c r="K505" s="22"/>
      <c r="L505" s="6"/>
      <c r="M505" s="6"/>
      <c r="N505" s="6"/>
      <c r="O505" s="6"/>
      <c r="P505" s="6"/>
      <c r="Q505" s="6"/>
      <c r="R505" s="54"/>
    </row>
    <row r="506" spans="1:18" ht="12.75">
      <c r="A506" s="6"/>
      <c r="B506" s="6"/>
      <c r="C506" s="6"/>
      <c r="D506" s="6"/>
      <c r="E506" s="6"/>
      <c r="F506" s="6"/>
      <c r="G506" s="6"/>
      <c r="H506" s="6"/>
      <c r="I506" s="6"/>
      <c r="J506" s="6"/>
      <c r="K506" s="22"/>
      <c r="L506" s="6"/>
      <c r="M506" s="6"/>
      <c r="N506" s="6"/>
      <c r="O506" s="6"/>
      <c r="P506" s="6"/>
      <c r="Q506" s="6"/>
      <c r="R506" s="54"/>
    </row>
    <row r="507" spans="1:18" ht="12.75">
      <c r="A507" s="6"/>
      <c r="B507" s="6"/>
      <c r="C507" s="6"/>
      <c r="D507" s="6"/>
      <c r="E507" s="6"/>
      <c r="F507" s="6"/>
      <c r="G507" s="6"/>
      <c r="H507" s="6"/>
      <c r="I507" s="6"/>
      <c r="J507" s="6"/>
      <c r="K507" s="22"/>
      <c r="L507" s="6"/>
      <c r="M507" s="6"/>
      <c r="N507" s="6"/>
      <c r="O507" s="6"/>
      <c r="P507" s="6"/>
      <c r="Q507" s="6"/>
      <c r="R507" s="54"/>
    </row>
    <row r="508" spans="1:18" ht="12.75">
      <c r="A508" s="6"/>
      <c r="B508" s="6"/>
      <c r="C508" s="6"/>
      <c r="D508" s="6"/>
      <c r="E508" s="6"/>
      <c r="F508" s="6"/>
      <c r="G508" s="6"/>
      <c r="H508" s="6"/>
      <c r="I508" s="6"/>
      <c r="J508" s="6"/>
      <c r="K508" s="22"/>
      <c r="L508" s="6"/>
      <c r="M508" s="6"/>
      <c r="N508" s="6"/>
      <c r="O508" s="6"/>
      <c r="P508" s="6"/>
      <c r="Q508" s="6"/>
      <c r="R508" s="54"/>
    </row>
    <row r="509" spans="1:18" ht="12.75">
      <c r="A509" s="6"/>
      <c r="B509" s="6"/>
      <c r="C509" s="6"/>
      <c r="D509" s="6"/>
      <c r="E509" s="6"/>
      <c r="F509" s="6"/>
      <c r="G509" s="6"/>
      <c r="H509" s="6"/>
      <c r="I509" s="6"/>
      <c r="J509" s="6"/>
      <c r="K509" s="22"/>
      <c r="L509" s="6"/>
      <c r="M509" s="6"/>
      <c r="N509" s="6"/>
      <c r="O509" s="6"/>
      <c r="P509" s="6"/>
      <c r="Q509" s="6"/>
      <c r="R509" s="54"/>
    </row>
    <row r="510" spans="1:18" ht="12.75">
      <c r="A510" s="6"/>
      <c r="B510" s="6"/>
      <c r="C510" s="6"/>
      <c r="D510" s="6"/>
      <c r="E510" s="6"/>
      <c r="F510" s="6"/>
      <c r="G510" s="6"/>
      <c r="H510" s="6"/>
      <c r="I510" s="6"/>
      <c r="J510" s="6"/>
      <c r="K510" s="22"/>
      <c r="L510" s="6"/>
      <c r="M510" s="6"/>
      <c r="N510" s="6"/>
      <c r="O510" s="6"/>
      <c r="P510" s="6"/>
      <c r="Q510" s="6"/>
      <c r="R510" s="54"/>
    </row>
    <row r="511" spans="1:18" ht="12.75">
      <c r="A511" s="6"/>
      <c r="B511" s="6"/>
      <c r="C511" s="6"/>
      <c r="D511" s="6"/>
      <c r="E511" s="6"/>
      <c r="F511" s="6"/>
      <c r="G511" s="6"/>
      <c r="H511" s="6"/>
      <c r="I511" s="6"/>
      <c r="J511" s="6"/>
      <c r="K511" s="22"/>
      <c r="L511" s="6"/>
      <c r="M511" s="6"/>
      <c r="N511" s="6"/>
      <c r="O511" s="6"/>
      <c r="P511" s="6"/>
      <c r="Q511" s="6"/>
      <c r="R511" s="54"/>
    </row>
    <row r="512" spans="1:18" ht="12.75">
      <c r="A512" s="6"/>
      <c r="B512" s="6"/>
      <c r="C512" s="6"/>
      <c r="D512" s="6"/>
      <c r="E512" s="6"/>
      <c r="F512" s="6"/>
      <c r="G512" s="6"/>
      <c r="H512" s="6"/>
      <c r="I512" s="6"/>
      <c r="J512" s="6"/>
      <c r="K512" s="22"/>
      <c r="L512" s="6"/>
      <c r="M512" s="6"/>
      <c r="N512" s="6"/>
      <c r="O512" s="6"/>
      <c r="P512" s="6"/>
      <c r="Q512" s="6"/>
      <c r="R512" s="54"/>
    </row>
    <row r="513" spans="1:18" ht="12.75">
      <c r="A513" s="6"/>
      <c r="B513" s="6"/>
      <c r="C513" s="6"/>
      <c r="D513" s="6"/>
      <c r="E513" s="6"/>
      <c r="F513" s="6"/>
      <c r="G513" s="6"/>
      <c r="H513" s="6"/>
      <c r="I513" s="6"/>
      <c r="J513" s="6"/>
      <c r="K513" s="22"/>
      <c r="L513" s="6"/>
      <c r="M513" s="6"/>
      <c r="N513" s="6"/>
      <c r="O513" s="6"/>
      <c r="P513" s="6"/>
      <c r="Q513" s="6"/>
      <c r="R513" s="54"/>
    </row>
    <row r="514" spans="1:18" ht="12.75">
      <c r="A514" s="6"/>
      <c r="B514" s="6"/>
      <c r="C514" s="6"/>
      <c r="D514" s="6"/>
      <c r="E514" s="6"/>
      <c r="F514" s="6"/>
      <c r="G514" s="6"/>
      <c r="H514" s="6"/>
      <c r="I514" s="6"/>
      <c r="J514" s="6"/>
      <c r="K514" s="22"/>
      <c r="L514" s="6"/>
      <c r="M514" s="6"/>
      <c r="N514" s="6"/>
      <c r="O514" s="6"/>
      <c r="P514" s="6"/>
      <c r="Q514" s="6"/>
      <c r="R514" s="54"/>
    </row>
    <row r="515" spans="1:18" ht="12.75">
      <c r="A515" s="6"/>
      <c r="B515" s="6"/>
      <c r="C515" s="6"/>
      <c r="D515" s="6"/>
      <c r="E515" s="6"/>
      <c r="F515" s="6"/>
      <c r="G515" s="6"/>
      <c r="H515" s="6"/>
      <c r="I515" s="6"/>
      <c r="J515" s="6"/>
      <c r="K515" s="22"/>
      <c r="L515" s="6"/>
      <c r="M515" s="6"/>
      <c r="N515" s="6"/>
      <c r="O515" s="6"/>
      <c r="P515" s="6"/>
      <c r="Q515" s="6"/>
      <c r="R515" s="54"/>
    </row>
    <row r="516" spans="1:18" ht="12.75">
      <c r="A516" s="6"/>
      <c r="B516" s="6"/>
      <c r="C516" s="6"/>
      <c r="D516" s="6"/>
      <c r="E516" s="6"/>
      <c r="F516" s="6"/>
      <c r="G516" s="6"/>
      <c r="H516" s="6"/>
      <c r="I516" s="6"/>
      <c r="J516" s="6"/>
      <c r="K516" s="22"/>
      <c r="L516" s="6"/>
      <c r="M516" s="6"/>
      <c r="N516" s="6"/>
      <c r="O516" s="6"/>
      <c r="P516" s="6"/>
      <c r="Q516" s="6"/>
      <c r="R516" s="54"/>
    </row>
    <row r="517" spans="1:18" ht="12.75">
      <c r="A517" s="6"/>
      <c r="B517" s="6"/>
      <c r="C517" s="6"/>
      <c r="D517" s="6"/>
      <c r="E517" s="6"/>
      <c r="F517" s="6"/>
      <c r="G517" s="6"/>
      <c r="H517" s="6"/>
      <c r="I517" s="6"/>
      <c r="J517" s="6"/>
      <c r="K517" s="22"/>
      <c r="L517" s="6"/>
      <c r="M517" s="6"/>
      <c r="N517" s="6"/>
      <c r="O517" s="6"/>
      <c r="P517" s="6"/>
      <c r="Q517" s="6"/>
      <c r="R517" s="54"/>
    </row>
    <row r="518" spans="1:18" ht="12.75">
      <c r="A518" s="6"/>
      <c r="B518" s="6"/>
      <c r="C518" s="6"/>
      <c r="D518" s="6"/>
      <c r="E518" s="6"/>
      <c r="F518" s="6"/>
      <c r="G518" s="6"/>
      <c r="H518" s="6"/>
      <c r="I518" s="6"/>
      <c r="J518" s="6"/>
      <c r="K518" s="22"/>
      <c r="L518" s="6"/>
      <c r="M518" s="6"/>
      <c r="N518" s="6"/>
      <c r="O518" s="6"/>
      <c r="P518" s="6"/>
      <c r="Q518" s="6"/>
      <c r="R518" s="54"/>
    </row>
    <row r="519" spans="1:18" ht="12.75">
      <c r="A519" s="6"/>
      <c r="B519" s="6"/>
      <c r="C519" s="6"/>
      <c r="D519" s="6"/>
      <c r="E519" s="6"/>
      <c r="F519" s="6"/>
      <c r="G519" s="6"/>
      <c r="H519" s="6"/>
      <c r="I519" s="6"/>
      <c r="J519" s="6"/>
      <c r="K519" s="22"/>
      <c r="L519" s="6"/>
      <c r="M519" s="6"/>
      <c r="N519" s="6"/>
      <c r="O519" s="6"/>
      <c r="P519" s="6"/>
      <c r="Q519" s="6"/>
      <c r="R519" s="54"/>
    </row>
    <row r="520" spans="1:18" ht="12.75">
      <c r="A520" s="6"/>
      <c r="B520" s="6"/>
      <c r="C520" s="6"/>
      <c r="D520" s="6"/>
      <c r="E520" s="6"/>
      <c r="F520" s="6"/>
      <c r="G520" s="6"/>
      <c r="H520" s="6"/>
      <c r="I520" s="6"/>
      <c r="J520" s="6"/>
      <c r="K520" s="22"/>
      <c r="L520" s="6"/>
      <c r="M520" s="6"/>
      <c r="N520" s="6"/>
      <c r="O520" s="6"/>
      <c r="P520" s="6"/>
      <c r="Q520" s="6"/>
      <c r="R520" s="54"/>
    </row>
    <row r="521" spans="1:18" ht="12.75">
      <c r="A521" s="6"/>
      <c r="B521" s="6"/>
      <c r="C521" s="6"/>
      <c r="D521" s="6"/>
      <c r="E521" s="6"/>
      <c r="F521" s="6"/>
      <c r="G521" s="6"/>
      <c r="H521" s="6"/>
      <c r="I521" s="6"/>
      <c r="J521" s="6"/>
      <c r="K521" s="22"/>
      <c r="L521" s="6"/>
      <c r="M521" s="6"/>
      <c r="N521" s="6"/>
      <c r="O521" s="6"/>
      <c r="P521" s="6"/>
      <c r="Q521" s="6"/>
      <c r="R521" s="54"/>
    </row>
    <row r="522" spans="1:18" ht="12.75">
      <c r="A522" s="6"/>
      <c r="B522" s="6"/>
      <c r="C522" s="6"/>
      <c r="D522" s="6"/>
      <c r="E522" s="6"/>
      <c r="F522" s="6"/>
      <c r="G522" s="6"/>
      <c r="H522" s="6"/>
      <c r="I522" s="6"/>
      <c r="J522" s="6"/>
      <c r="K522" s="22"/>
      <c r="L522" s="6"/>
      <c r="M522" s="6"/>
      <c r="N522" s="6"/>
      <c r="O522" s="6"/>
      <c r="P522" s="6"/>
      <c r="Q522" s="6"/>
      <c r="R522" s="54"/>
    </row>
    <row r="523" spans="1:18" ht="12.75">
      <c r="A523" s="6"/>
      <c r="B523" s="6"/>
      <c r="C523" s="6"/>
      <c r="D523" s="6"/>
      <c r="E523" s="6"/>
      <c r="F523" s="6"/>
      <c r="G523" s="6"/>
      <c r="H523" s="6"/>
      <c r="I523" s="6"/>
      <c r="J523" s="6"/>
      <c r="K523" s="22"/>
      <c r="L523" s="6"/>
      <c r="M523" s="6"/>
      <c r="N523" s="6"/>
      <c r="O523" s="6"/>
      <c r="P523" s="6"/>
      <c r="Q523" s="6"/>
      <c r="R523" s="54"/>
    </row>
    <row r="524" spans="1:18" ht="12.75">
      <c r="A524" s="6"/>
      <c r="B524" s="6"/>
      <c r="C524" s="6"/>
      <c r="D524" s="6"/>
      <c r="E524" s="6"/>
      <c r="F524" s="6"/>
      <c r="G524" s="6"/>
      <c r="H524" s="6"/>
      <c r="I524" s="6"/>
      <c r="J524" s="6"/>
      <c r="K524" s="22"/>
      <c r="L524" s="6"/>
      <c r="M524" s="6"/>
      <c r="N524" s="6"/>
      <c r="O524" s="6"/>
      <c r="P524" s="6"/>
      <c r="Q524" s="6"/>
      <c r="R524" s="54"/>
    </row>
    <row r="525" spans="1:18" ht="12.75">
      <c r="A525" s="6"/>
      <c r="B525" s="6"/>
      <c r="C525" s="6"/>
      <c r="D525" s="6"/>
      <c r="E525" s="6"/>
      <c r="F525" s="6"/>
      <c r="G525" s="6"/>
      <c r="H525" s="6"/>
      <c r="I525" s="6"/>
      <c r="J525" s="6"/>
      <c r="K525" s="22"/>
      <c r="L525" s="6"/>
      <c r="M525" s="6"/>
      <c r="N525" s="6"/>
      <c r="O525" s="6"/>
      <c r="P525" s="6"/>
      <c r="Q525" s="6"/>
      <c r="R525" s="54"/>
    </row>
    <row r="526" spans="1:18" ht="12.75">
      <c r="A526" s="6"/>
      <c r="B526" s="6"/>
      <c r="C526" s="6"/>
      <c r="D526" s="6"/>
      <c r="E526" s="6"/>
      <c r="F526" s="6"/>
      <c r="G526" s="6"/>
      <c r="H526" s="6"/>
      <c r="I526" s="6"/>
      <c r="J526" s="6"/>
      <c r="K526" s="22"/>
      <c r="L526" s="6"/>
      <c r="M526" s="6"/>
      <c r="N526" s="6"/>
      <c r="O526" s="6"/>
      <c r="P526" s="6"/>
      <c r="Q526" s="6"/>
      <c r="R526" s="54"/>
    </row>
    <row r="527" spans="1:18" ht="12.75">
      <c r="A527" s="6"/>
      <c r="B527" s="6"/>
      <c r="C527" s="6"/>
      <c r="D527" s="6"/>
      <c r="E527" s="6"/>
      <c r="F527" s="6"/>
      <c r="G527" s="6"/>
      <c r="H527" s="6"/>
      <c r="I527" s="6"/>
      <c r="J527" s="6"/>
      <c r="K527" s="22"/>
      <c r="L527" s="6"/>
      <c r="M527" s="6"/>
      <c r="N527" s="6"/>
      <c r="O527" s="6"/>
      <c r="P527" s="6"/>
      <c r="Q527" s="6"/>
      <c r="R527" s="54"/>
    </row>
    <row r="528" spans="1:18" ht="12.75">
      <c r="A528" s="6"/>
      <c r="B528" s="6"/>
      <c r="C528" s="6"/>
      <c r="D528" s="6"/>
      <c r="E528" s="6"/>
      <c r="F528" s="6"/>
      <c r="G528" s="6"/>
      <c r="H528" s="6"/>
      <c r="I528" s="6"/>
      <c r="J528" s="6"/>
      <c r="K528" s="22"/>
      <c r="L528" s="6"/>
      <c r="M528" s="6"/>
      <c r="N528" s="6"/>
      <c r="O528" s="6"/>
      <c r="P528" s="6"/>
      <c r="Q528" s="6"/>
      <c r="R528" s="54"/>
    </row>
    <row r="529" spans="1:18" ht="12.75">
      <c r="A529" s="6"/>
      <c r="B529" s="6"/>
      <c r="C529" s="6"/>
      <c r="D529" s="6"/>
      <c r="E529" s="6"/>
      <c r="F529" s="6"/>
      <c r="G529" s="6"/>
      <c r="H529" s="6"/>
      <c r="I529" s="6"/>
      <c r="J529" s="6"/>
      <c r="K529" s="22"/>
      <c r="L529" s="6"/>
      <c r="M529" s="6"/>
      <c r="N529" s="6"/>
      <c r="O529" s="6"/>
      <c r="P529" s="6"/>
      <c r="Q529" s="6"/>
      <c r="R529" s="54"/>
    </row>
    <row r="530" spans="1:18" ht="12.75">
      <c r="A530" s="6"/>
      <c r="B530" s="6"/>
      <c r="C530" s="6"/>
      <c r="D530" s="6"/>
      <c r="E530" s="6"/>
      <c r="F530" s="6"/>
      <c r="G530" s="6"/>
      <c r="H530" s="6"/>
      <c r="I530" s="6"/>
      <c r="J530" s="6"/>
      <c r="K530" s="22"/>
      <c r="L530" s="6"/>
      <c r="M530" s="6"/>
      <c r="N530" s="6"/>
      <c r="O530" s="6"/>
      <c r="P530" s="6"/>
      <c r="Q530" s="6"/>
      <c r="R530" s="54"/>
    </row>
    <row r="531" spans="1:18" ht="12.75">
      <c r="A531" s="6"/>
      <c r="B531" s="6"/>
      <c r="C531" s="6"/>
      <c r="D531" s="6"/>
      <c r="E531" s="6"/>
      <c r="F531" s="6"/>
      <c r="G531" s="6"/>
      <c r="H531" s="6"/>
      <c r="I531" s="6"/>
      <c r="J531" s="6"/>
      <c r="K531" s="22"/>
      <c r="L531" s="6"/>
      <c r="M531" s="6"/>
      <c r="N531" s="6"/>
      <c r="O531" s="6"/>
      <c r="P531" s="6"/>
      <c r="Q531" s="6"/>
      <c r="R531" s="54"/>
    </row>
    <row r="532" spans="1:18" ht="12.75">
      <c r="A532" s="6"/>
      <c r="B532" s="6"/>
      <c r="C532" s="6"/>
      <c r="D532" s="6"/>
      <c r="E532" s="6"/>
      <c r="F532" s="6"/>
      <c r="G532" s="6"/>
      <c r="H532" s="6"/>
      <c r="I532" s="6"/>
      <c r="J532" s="6"/>
      <c r="K532" s="22"/>
      <c r="L532" s="6"/>
      <c r="M532" s="6"/>
      <c r="N532" s="6"/>
      <c r="O532" s="6"/>
      <c r="P532" s="6"/>
      <c r="Q532" s="6"/>
      <c r="R532" s="54"/>
    </row>
    <row r="533" spans="1:18" ht="12.75">
      <c r="A533" s="6"/>
      <c r="B533" s="6"/>
      <c r="C533" s="6"/>
      <c r="D533" s="6"/>
      <c r="E533" s="6"/>
      <c r="F533" s="6"/>
      <c r="G533" s="6"/>
      <c r="H533" s="6"/>
      <c r="I533" s="6"/>
      <c r="J533" s="6"/>
      <c r="K533" s="22"/>
      <c r="L533" s="6"/>
      <c r="M533" s="6"/>
      <c r="N533" s="6"/>
      <c r="O533" s="6"/>
      <c r="P533" s="6"/>
      <c r="Q533" s="6"/>
      <c r="R533" s="54"/>
    </row>
    <row r="534" spans="1:18" ht="12.75">
      <c r="A534" s="6"/>
      <c r="B534" s="6"/>
      <c r="C534" s="6"/>
      <c r="D534" s="6"/>
      <c r="E534" s="6"/>
      <c r="F534" s="6"/>
      <c r="G534" s="6"/>
      <c r="H534" s="6"/>
      <c r="I534" s="6"/>
      <c r="J534" s="6"/>
      <c r="K534" s="22"/>
      <c r="L534" s="6"/>
      <c r="M534" s="6"/>
      <c r="N534" s="6"/>
      <c r="O534" s="6"/>
      <c r="P534" s="6"/>
      <c r="Q534" s="6"/>
      <c r="R534" s="54"/>
    </row>
    <row r="535" spans="1:18" ht="12.75">
      <c r="A535" s="6"/>
      <c r="B535" s="6"/>
      <c r="C535" s="6"/>
      <c r="D535" s="6"/>
      <c r="E535" s="6"/>
      <c r="F535" s="6"/>
      <c r="G535" s="6"/>
      <c r="H535" s="6"/>
      <c r="I535" s="6"/>
      <c r="J535" s="6"/>
      <c r="K535" s="22"/>
      <c r="L535" s="6"/>
      <c r="M535" s="6"/>
      <c r="N535" s="6"/>
      <c r="O535" s="6"/>
      <c r="P535" s="6"/>
      <c r="Q535" s="6"/>
      <c r="R535" s="54"/>
    </row>
    <row r="536" spans="1:18" ht="12.75">
      <c r="A536" s="6"/>
      <c r="B536" s="6"/>
      <c r="C536" s="6"/>
      <c r="D536" s="6"/>
      <c r="E536" s="6"/>
      <c r="F536" s="6"/>
      <c r="G536" s="6"/>
      <c r="H536" s="6"/>
      <c r="I536" s="6"/>
      <c r="J536" s="6"/>
      <c r="K536" s="22"/>
      <c r="L536" s="6"/>
      <c r="M536" s="6"/>
      <c r="N536" s="6"/>
      <c r="O536" s="6"/>
      <c r="P536" s="6"/>
      <c r="Q536" s="6"/>
      <c r="R536" s="54"/>
    </row>
    <row r="537" spans="1:18" ht="12.75">
      <c r="A537" s="6"/>
      <c r="B537" s="6"/>
      <c r="C537" s="6"/>
      <c r="D537" s="6"/>
      <c r="E537" s="6"/>
      <c r="F537" s="6"/>
      <c r="G537" s="6"/>
      <c r="H537" s="6"/>
      <c r="I537" s="6"/>
      <c r="J537" s="6"/>
      <c r="K537" s="22"/>
      <c r="L537" s="6"/>
      <c r="M537" s="6"/>
      <c r="N537" s="6"/>
      <c r="O537" s="6"/>
      <c r="P537" s="6"/>
      <c r="Q537" s="6"/>
      <c r="R537" s="54"/>
    </row>
    <row r="538" spans="1:18" ht="12.75">
      <c r="A538" s="6"/>
      <c r="B538" s="6"/>
      <c r="C538" s="6"/>
      <c r="D538" s="6"/>
      <c r="E538" s="6"/>
      <c r="F538" s="6"/>
      <c r="G538" s="6"/>
      <c r="H538" s="6"/>
      <c r="I538" s="6"/>
      <c r="J538" s="6"/>
      <c r="K538" s="22"/>
      <c r="L538" s="6"/>
      <c r="M538" s="6"/>
      <c r="N538" s="6"/>
      <c r="O538" s="6"/>
      <c r="P538" s="6"/>
      <c r="Q538" s="6"/>
      <c r="R538" s="54"/>
    </row>
    <row r="539" spans="1:18" ht="12.75">
      <c r="A539" s="6"/>
      <c r="B539" s="6"/>
      <c r="C539" s="6"/>
      <c r="D539" s="6"/>
      <c r="E539" s="6"/>
      <c r="F539" s="6"/>
      <c r="G539" s="6"/>
      <c r="H539" s="6"/>
      <c r="I539" s="6"/>
      <c r="J539" s="6"/>
      <c r="K539" s="22"/>
      <c r="L539" s="6"/>
      <c r="M539" s="6"/>
      <c r="N539" s="6"/>
      <c r="O539" s="6"/>
      <c r="P539" s="6"/>
      <c r="Q539" s="6"/>
      <c r="R539" s="54"/>
    </row>
    <row r="540" spans="1:18" ht="12.75">
      <c r="A540" s="6"/>
      <c r="B540" s="6"/>
      <c r="C540" s="6"/>
      <c r="D540" s="6"/>
      <c r="E540" s="6"/>
      <c r="F540" s="6"/>
      <c r="G540" s="6"/>
      <c r="H540" s="6"/>
      <c r="I540" s="6"/>
      <c r="J540" s="6"/>
      <c r="K540" s="22"/>
      <c r="L540" s="6"/>
      <c r="M540" s="6"/>
      <c r="N540" s="6"/>
      <c r="O540" s="6"/>
      <c r="P540" s="6"/>
      <c r="Q540" s="6"/>
      <c r="R540" s="54"/>
    </row>
    <row r="541" spans="1:18" ht="12.75">
      <c r="A541" s="6"/>
      <c r="B541" s="6"/>
      <c r="C541" s="6"/>
      <c r="D541" s="6"/>
      <c r="E541" s="6"/>
      <c r="F541" s="6"/>
      <c r="G541" s="6"/>
      <c r="H541" s="6"/>
      <c r="I541" s="6"/>
      <c r="J541" s="6"/>
      <c r="K541" s="22"/>
      <c r="L541" s="6"/>
      <c r="M541" s="6"/>
      <c r="N541" s="6"/>
      <c r="O541" s="6"/>
      <c r="P541" s="6"/>
      <c r="Q541" s="6"/>
      <c r="R541" s="54"/>
    </row>
    <row r="542" spans="1:18" ht="12.75">
      <c r="A542" s="6"/>
      <c r="B542" s="6"/>
      <c r="C542" s="6"/>
      <c r="D542" s="6"/>
      <c r="E542" s="6"/>
      <c r="F542" s="6"/>
      <c r="G542" s="6"/>
      <c r="H542" s="6"/>
      <c r="I542" s="6"/>
      <c r="J542" s="6"/>
      <c r="K542" s="22"/>
      <c r="L542" s="6"/>
      <c r="M542" s="6"/>
      <c r="N542" s="6"/>
      <c r="O542" s="6"/>
      <c r="P542" s="6"/>
      <c r="Q542" s="6"/>
      <c r="R542" s="54"/>
    </row>
    <row r="543" spans="1:18" ht="12.75">
      <c r="A543" s="6"/>
      <c r="B543" s="6"/>
      <c r="C543" s="6"/>
      <c r="D543" s="6"/>
      <c r="E543" s="6"/>
      <c r="F543" s="6"/>
      <c r="G543" s="6"/>
      <c r="H543" s="6"/>
      <c r="I543" s="6"/>
      <c r="J543" s="6"/>
      <c r="K543" s="22"/>
      <c r="L543" s="6"/>
      <c r="M543" s="6"/>
      <c r="N543" s="6"/>
      <c r="O543" s="6"/>
      <c r="P543" s="6"/>
      <c r="Q543" s="6"/>
      <c r="R543" s="54"/>
    </row>
    <row r="544" spans="1:18" ht="12.75">
      <c r="A544" s="6"/>
      <c r="B544" s="6"/>
      <c r="C544" s="6"/>
      <c r="D544" s="6"/>
      <c r="E544" s="6"/>
      <c r="F544" s="6"/>
      <c r="G544" s="6"/>
      <c r="H544" s="6"/>
      <c r="I544" s="6"/>
      <c r="J544" s="6"/>
      <c r="K544" s="22"/>
      <c r="L544" s="6"/>
      <c r="M544" s="6"/>
      <c r="N544" s="6"/>
      <c r="O544" s="6"/>
      <c r="P544" s="6"/>
      <c r="Q544" s="6"/>
      <c r="R544" s="54"/>
    </row>
    <row r="545" spans="1:18" ht="12.75">
      <c r="A545" s="6"/>
      <c r="B545" s="6"/>
      <c r="C545" s="6"/>
      <c r="D545" s="6"/>
      <c r="E545" s="6"/>
      <c r="F545" s="6"/>
      <c r="G545" s="6"/>
      <c r="H545" s="6"/>
      <c r="I545" s="6"/>
      <c r="J545" s="6"/>
      <c r="K545" s="22"/>
      <c r="L545" s="6"/>
      <c r="M545" s="6"/>
      <c r="N545" s="6"/>
      <c r="O545" s="6"/>
      <c r="P545" s="6"/>
      <c r="Q545" s="6"/>
      <c r="R545" s="54"/>
    </row>
    <row r="546" spans="1:18" ht="12.75">
      <c r="A546" s="6"/>
      <c r="B546" s="6"/>
      <c r="C546" s="6"/>
      <c r="D546" s="6"/>
      <c r="E546" s="6"/>
      <c r="F546" s="6"/>
      <c r="G546" s="6"/>
      <c r="H546" s="6"/>
      <c r="I546" s="6"/>
      <c r="J546" s="6"/>
      <c r="K546" s="22"/>
      <c r="L546" s="6"/>
      <c r="M546" s="6"/>
      <c r="N546" s="6"/>
      <c r="O546" s="6"/>
      <c r="P546" s="6"/>
      <c r="Q546" s="6"/>
      <c r="R546" s="54"/>
    </row>
    <row r="547" spans="1:18" ht="12.75">
      <c r="A547" s="6"/>
      <c r="B547" s="6"/>
      <c r="C547" s="6"/>
      <c r="D547" s="6"/>
      <c r="E547" s="6"/>
      <c r="F547" s="6"/>
      <c r="G547" s="6"/>
      <c r="H547" s="6"/>
      <c r="I547" s="6"/>
      <c r="J547" s="6"/>
      <c r="K547" s="22"/>
      <c r="L547" s="6"/>
      <c r="M547" s="6"/>
      <c r="N547" s="6"/>
      <c r="O547" s="6"/>
      <c r="P547" s="6"/>
      <c r="Q547" s="6"/>
      <c r="R547" s="54"/>
    </row>
    <row r="548" spans="1:18" ht="12.75">
      <c r="A548" s="6"/>
      <c r="B548" s="6"/>
      <c r="C548" s="6"/>
      <c r="D548" s="6"/>
      <c r="E548" s="6"/>
      <c r="F548" s="6"/>
      <c r="G548" s="6"/>
      <c r="H548" s="6"/>
      <c r="I548" s="6"/>
      <c r="J548" s="6"/>
      <c r="K548" s="22"/>
      <c r="L548" s="6"/>
      <c r="M548" s="6"/>
      <c r="N548" s="6"/>
      <c r="O548" s="6"/>
      <c r="P548" s="6"/>
      <c r="Q548" s="6"/>
      <c r="R548" s="54"/>
    </row>
    <row r="549" spans="1:18" ht="12.75">
      <c r="A549" s="6"/>
      <c r="B549" s="6"/>
      <c r="C549" s="6"/>
      <c r="D549" s="6"/>
      <c r="E549" s="6"/>
      <c r="F549" s="6"/>
      <c r="G549" s="6"/>
      <c r="H549" s="6"/>
      <c r="I549" s="6"/>
      <c r="J549" s="6"/>
      <c r="K549" s="22"/>
      <c r="L549" s="6"/>
      <c r="M549" s="6"/>
      <c r="N549" s="6"/>
      <c r="O549" s="6"/>
      <c r="P549" s="6"/>
      <c r="Q549" s="6"/>
      <c r="R549" s="54"/>
    </row>
    <row r="550" spans="1:18" ht="12.75">
      <c r="A550" s="6"/>
      <c r="B550" s="6"/>
      <c r="C550" s="6"/>
      <c r="D550" s="6"/>
      <c r="E550" s="6"/>
      <c r="F550" s="6"/>
      <c r="G550" s="6"/>
      <c r="H550" s="6"/>
      <c r="I550" s="6"/>
      <c r="J550" s="6"/>
      <c r="K550" s="22"/>
      <c r="L550" s="6"/>
      <c r="M550" s="6"/>
      <c r="N550" s="6"/>
      <c r="O550" s="6"/>
      <c r="P550" s="6"/>
      <c r="Q550" s="6"/>
      <c r="R550" s="54"/>
    </row>
    <row r="551" spans="1:18" ht="12.75">
      <c r="A551" s="6"/>
      <c r="B551" s="6"/>
      <c r="C551" s="6"/>
      <c r="D551" s="6"/>
      <c r="E551" s="6"/>
      <c r="F551" s="6"/>
      <c r="G551" s="6"/>
      <c r="H551" s="6"/>
      <c r="I551" s="6"/>
      <c r="J551" s="6"/>
      <c r="K551" s="22"/>
      <c r="L551" s="6"/>
      <c r="M551" s="6"/>
      <c r="N551" s="6"/>
      <c r="O551" s="6"/>
      <c r="P551" s="6"/>
      <c r="Q551" s="6"/>
      <c r="R551" s="54"/>
    </row>
    <row r="552" spans="1:18" ht="12.75">
      <c r="A552" s="6"/>
      <c r="B552" s="6"/>
      <c r="C552" s="6"/>
      <c r="D552" s="6"/>
      <c r="E552" s="6"/>
      <c r="F552" s="6"/>
      <c r="G552" s="6"/>
      <c r="H552" s="6"/>
      <c r="I552" s="6"/>
      <c r="J552" s="6"/>
      <c r="K552" s="22"/>
      <c r="L552" s="6"/>
      <c r="M552" s="6"/>
      <c r="N552" s="6"/>
      <c r="O552" s="6"/>
      <c r="P552" s="6"/>
      <c r="Q552" s="6"/>
      <c r="R552" s="54"/>
    </row>
    <row r="553" spans="1:18" ht="12.75">
      <c r="A553" s="6"/>
      <c r="B553" s="6"/>
      <c r="C553" s="6"/>
      <c r="D553" s="6"/>
      <c r="E553" s="6"/>
      <c r="F553" s="6"/>
      <c r="G553" s="6"/>
      <c r="H553" s="6"/>
      <c r="I553" s="6"/>
      <c r="J553" s="6"/>
      <c r="K553" s="22"/>
      <c r="L553" s="6"/>
      <c r="M553" s="6"/>
      <c r="N553" s="6"/>
      <c r="O553" s="6"/>
      <c r="P553" s="6"/>
      <c r="Q553" s="6"/>
      <c r="R553" s="54"/>
    </row>
    <row r="554" spans="1:18" ht="12.75">
      <c r="A554" s="6"/>
      <c r="B554" s="6"/>
      <c r="C554" s="6"/>
      <c r="D554" s="6"/>
      <c r="E554" s="6"/>
      <c r="F554" s="6"/>
      <c r="G554" s="6"/>
      <c r="H554" s="6"/>
      <c r="I554" s="6"/>
      <c r="J554" s="6"/>
      <c r="K554" s="22"/>
      <c r="L554" s="6"/>
      <c r="M554" s="6"/>
      <c r="N554" s="6"/>
      <c r="O554" s="6"/>
      <c r="P554" s="6"/>
      <c r="Q554" s="6"/>
      <c r="R554" s="54"/>
    </row>
    <row r="555" spans="1:18" ht="12.75">
      <c r="A555" s="6"/>
      <c r="B555" s="6"/>
      <c r="C555" s="6"/>
      <c r="D555" s="6"/>
      <c r="E555" s="6"/>
      <c r="F555" s="6"/>
      <c r="G555" s="6"/>
      <c r="H555" s="6"/>
      <c r="I555" s="6"/>
      <c r="J555" s="6"/>
      <c r="K555" s="22"/>
      <c r="L555" s="6"/>
      <c r="M555" s="6"/>
      <c r="N555" s="6"/>
      <c r="O555" s="6"/>
      <c r="P555" s="6"/>
      <c r="Q555" s="6"/>
      <c r="R555" s="54"/>
    </row>
    <row r="556" spans="1:18" ht="12.75">
      <c r="A556" s="6"/>
      <c r="B556" s="6"/>
      <c r="C556" s="6"/>
      <c r="D556" s="6"/>
      <c r="E556" s="6"/>
      <c r="F556" s="6"/>
      <c r="G556" s="6"/>
      <c r="H556" s="6"/>
      <c r="I556" s="6"/>
      <c r="J556" s="6"/>
      <c r="K556" s="22"/>
      <c r="L556" s="6"/>
      <c r="M556" s="6"/>
      <c r="N556" s="6"/>
      <c r="O556" s="6"/>
      <c r="P556" s="6"/>
      <c r="Q556" s="6"/>
      <c r="R556" s="54"/>
    </row>
    <row r="557" spans="1:18" ht="12.75">
      <c r="A557" s="6"/>
      <c r="B557" s="6"/>
      <c r="C557" s="6"/>
      <c r="D557" s="6"/>
      <c r="E557" s="6"/>
      <c r="F557" s="6"/>
      <c r="G557" s="6"/>
      <c r="H557" s="6"/>
      <c r="I557" s="6"/>
      <c r="J557" s="6"/>
      <c r="K557" s="22"/>
      <c r="L557" s="6"/>
      <c r="M557" s="6"/>
      <c r="N557" s="6"/>
      <c r="O557" s="6"/>
      <c r="P557" s="6"/>
      <c r="Q557" s="6"/>
      <c r="R557" s="54"/>
    </row>
    <row r="558" spans="1:18" ht="12.75">
      <c r="A558" s="6"/>
      <c r="B558" s="6"/>
      <c r="C558" s="6"/>
      <c r="D558" s="6"/>
      <c r="E558" s="6"/>
      <c r="F558" s="6"/>
      <c r="G558" s="6"/>
      <c r="H558" s="6"/>
      <c r="I558" s="6"/>
      <c r="J558" s="6"/>
      <c r="K558" s="22"/>
      <c r="L558" s="6"/>
      <c r="M558" s="6"/>
      <c r="N558" s="6"/>
      <c r="O558" s="6"/>
      <c r="P558" s="6"/>
      <c r="Q558" s="6"/>
      <c r="R558" s="54"/>
    </row>
    <row r="559" spans="1:18" ht="12.75">
      <c r="A559" s="6"/>
      <c r="B559" s="6"/>
      <c r="C559" s="6"/>
      <c r="D559" s="6"/>
      <c r="E559" s="6"/>
      <c r="F559" s="6"/>
      <c r="G559" s="6"/>
      <c r="H559" s="6"/>
      <c r="I559" s="6"/>
      <c r="J559" s="6"/>
      <c r="K559" s="22"/>
      <c r="L559" s="6"/>
      <c r="M559" s="6"/>
      <c r="N559" s="6"/>
      <c r="O559" s="6"/>
      <c r="P559" s="6"/>
      <c r="Q559" s="6"/>
      <c r="R559" s="54"/>
    </row>
    <row r="560" spans="1:18" ht="12.75">
      <c r="A560" s="6"/>
      <c r="B560" s="6"/>
      <c r="C560" s="6"/>
      <c r="D560" s="6"/>
      <c r="E560" s="6"/>
      <c r="F560" s="6"/>
      <c r="G560" s="6"/>
      <c r="H560" s="6"/>
      <c r="I560" s="6"/>
      <c r="J560" s="6"/>
      <c r="K560" s="22"/>
      <c r="L560" s="6"/>
      <c r="M560" s="6"/>
      <c r="N560" s="6"/>
      <c r="O560" s="6"/>
      <c r="P560" s="6"/>
      <c r="Q560" s="6"/>
      <c r="R560" s="54"/>
    </row>
    <row r="561" spans="1:18" ht="12.75">
      <c r="A561" s="6"/>
      <c r="B561" s="6"/>
      <c r="C561" s="6"/>
      <c r="D561" s="6"/>
      <c r="E561" s="6"/>
      <c r="F561" s="6"/>
      <c r="G561" s="6"/>
      <c r="H561" s="6"/>
      <c r="I561" s="6"/>
      <c r="J561" s="6"/>
      <c r="K561" s="22"/>
      <c r="L561" s="6"/>
      <c r="M561" s="6"/>
      <c r="N561" s="6"/>
      <c r="O561" s="6"/>
      <c r="P561" s="6"/>
      <c r="Q561" s="6"/>
      <c r="R561" s="54"/>
    </row>
    <row r="562" spans="1:18" ht="12.75">
      <c r="A562" s="6"/>
      <c r="B562" s="6"/>
      <c r="C562" s="6"/>
      <c r="D562" s="6"/>
      <c r="E562" s="6"/>
      <c r="F562" s="6"/>
      <c r="G562" s="6"/>
      <c r="H562" s="6"/>
      <c r="I562" s="6"/>
      <c r="J562" s="6"/>
      <c r="K562" s="22"/>
      <c r="L562" s="6"/>
      <c r="M562" s="6"/>
      <c r="N562" s="6"/>
      <c r="O562" s="6"/>
      <c r="P562" s="6"/>
      <c r="Q562" s="6"/>
      <c r="R562" s="54"/>
    </row>
    <row r="563" spans="1:18" ht="12.75">
      <c r="A563" s="6"/>
      <c r="B563" s="6"/>
      <c r="C563" s="6"/>
      <c r="D563" s="6"/>
      <c r="E563" s="6"/>
      <c r="F563" s="6"/>
      <c r="G563" s="6"/>
      <c r="H563" s="6"/>
      <c r="I563" s="6"/>
      <c r="J563" s="6"/>
      <c r="K563" s="22"/>
      <c r="L563" s="6"/>
      <c r="M563" s="6"/>
      <c r="N563" s="6"/>
      <c r="O563" s="6"/>
      <c r="P563" s="6"/>
      <c r="Q563" s="6"/>
      <c r="R563" s="54"/>
    </row>
    <row r="564" spans="1:18" ht="12.75">
      <c r="A564" s="6"/>
      <c r="B564" s="6"/>
      <c r="C564" s="6"/>
      <c r="D564" s="6"/>
      <c r="E564" s="6"/>
      <c r="F564" s="6"/>
      <c r="G564" s="6"/>
      <c r="H564" s="6"/>
      <c r="I564" s="6"/>
      <c r="J564" s="6"/>
      <c r="K564" s="22"/>
      <c r="L564" s="6"/>
      <c r="M564" s="6"/>
      <c r="N564" s="6"/>
      <c r="O564" s="6"/>
      <c r="P564" s="6"/>
      <c r="Q564" s="6"/>
      <c r="R564" s="54"/>
    </row>
    <row r="565" spans="1:18" ht="12.75">
      <c r="A565" s="6"/>
      <c r="B565" s="6"/>
      <c r="C565" s="6"/>
      <c r="D565" s="6"/>
      <c r="E565" s="6"/>
      <c r="F565" s="6"/>
      <c r="G565" s="6"/>
      <c r="H565" s="6"/>
      <c r="I565" s="6"/>
      <c r="J565" s="6"/>
      <c r="K565" s="22"/>
      <c r="L565" s="6"/>
      <c r="M565" s="6"/>
      <c r="N565" s="6"/>
      <c r="O565" s="6"/>
      <c r="P565" s="6"/>
      <c r="Q565" s="6"/>
      <c r="R565" s="54"/>
    </row>
    <row r="566" spans="1:18" ht="12.75">
      <c r="A566" s="6"/>
      <c r="B566" s="6"/>
      <c r="C566" s="6"/>
      <c r="D566" s="6"/>
      <c r="E566" s="6"/>
      <c r="F566" s="6"/>
      <c r="G566" s="6"/>
      <c r="H566" s="6"/>
      <c r="I566" s="6"/>
      <c r="J566" s="6"/>
      <c r="K566" s="22"/>
      <c r="L566" s="6"/>
      <c r="M566" s="6"/>
      <c r="N566" s="6"/>
      <c r="O566" s="6"/>
      <c r="P566" s="6"/>
      <c r="Q566" s="6"/>
      <c r="R566" s="54"/>
    </row>
    <row r="567" spans="1:18" ht="12.75">
      <c r="A567" s="6"/>
      <c r="B567" s="6"/>
      <c r="C567" s="6"/>
      <c r="D567" s="6"/>
      <c r="E567" s="6"/>
      <c r="F567" s="6"/>
      <c r="G567" s="6"/>
      <c r="H567" s="6"/>
      <c r="I567" s="6"/>
      <c r="J567" s="6"/>
      <c r="K567" s="22"/>
      <c r="L567" s="6"/>
      <c r="M567" s="6"/>
      <c r="N567" s="6"/>
      <c r="O567" s="6"/>
      <c r="P567" s="6"/>
      <c r="Q567" s="6"/>
      <c r="R567" s="54"/>
    </row>
    <row r="568" spans="1:18" ht="12.75">
      <c r="A568" s="6"/>
      <c r="B568" s="6"/>
      <c r="C568" s="6"/>
      <c r="D568" s="6"/>
      <c r="E568" s="6"/>
      <c r="F568" s="6"/>
      <c r="G568" s="6"/>
      <c r="H568" s="6"/>
      <c r="I568" s="6"/>
      <c r="J568" s="6"/>
      <c r="K568" s="22"/>
      <c r="L568" s="6"/>
      <c r="M568" s="6"/>
      <c r="N568" s="6"/>
      <c r="O568" s="6"/>
      <c r="P568" s="6"/>
      <c r="Q568" s="6"/>
      <c r="R568" s="54"/>
    </row>
    <row r="569" spans="1:18" ht="12.75">
      <c r="A569" s="6"/>
      <c r="B569" s="6"/>
      <c r="C569" s="6"/>
      <c r="D569" s="6"/>
      <c r="E569" s="6"/>
      <c r="F569" s="6"/>
      <c r="G569" s="6"/>
      <c r="H569" s="6"/>
      <c r="I569" s="6"/>
      <c r="J569" s="6"/>
      <c r="K569" s="22"/>
      <c r="L569" s="6"/>
      <c r="M569" s="6"/>
      <c r="N569" s="6"/>
      <c r="O569" s="6"/>
      <c r="P569" s="6"/>
      <c r="Q569" s="6"/>
      <c r="R569" s="54"/>
    </row>
    <row r="570" spans="1:18" ht="12.75">
      <c r="A570" s="6"/>
      <c r="B570" s="6"/>
      <c r="C570" s="6"/>
      <c r="D570" s="6"/>
      <c r="E570" s="6"/>
      <c r="F570" s="6"/>
      <c r="G570" s="6"/>
      <c r="H570" s="6"/>
      <c r="I570" s="6"/>
      <c r="J570" s="6"/>
      <c r="K570" s="22"/>
      <c r="L570" s="6"/>
      <c r="M570" s="6"/>
      <c r="N570" s="6"/>
      <c r="O570" s="6"/>
      <c r="P570" s="6"/>
      <c r="Q570" s="6"/>
      <c r="R570" s="54"/>
    </row>
    <row r="571" spans="1:18" ht="12.75">
      <c r="A571" s="6"/>
      <c r="B571" s="6"/>
      <c r="C571" s="6"/>
      <c r="D571" s="6"/>
      <c r="E571" s="6"/>
      <c r="F571" s="6"/>
      <c r="G571" s="6"/>
      <c r="H571" s="6"/>
      <c r="I571" s="6"/>
      <c r="J571" s="6"/>
      <c r="K571" s="22"/>
      <c r="L571" s="6"/>
      <c r="M571" s="6"/>
      <c r="N571" s="6"/>
      <c r="O571" s="6"/>
      <c r="P571" s="6"/>
      <c r="Q571" s="6"/>
      <c r="R571" s="54"/>
    </row>
    <row r="572" spans="1:18" ht="12.75">
      <c r="A572" s="6"/>
      <c r="B572" s="6"/>
      <c r="C572" s="6"/>
      <c r="D572" s="6"/>
      <c r="E572" s="6"/>
      <c r="F572" s="6"/>
      <c r="G572" s="6"/>
      <c r="H572" s="6"/>
      <c r="I572" s="6"/>
      <c r="J572" s="6"/>
      <c r="K572" s="22"/>
      <c r="L572" s="6"/>
      <c r="M572" s="6"/>
      <c r="N572" s="6"/>
      <c r="O572" s="6"/>
      <c r="P572" s="6"/>
      <c r="Q572" s="6"/>
      <c r="R572" s="54"/>
    </row>
    <row r="573" spans="1:18" ht="12.75">
      <c r="A573" s="6"/>
      <c r="B573" s="6"/>
      <c r="C573" s="6"/>
      <c r="D573" s="6"/>
      <c r="E573" s="6"/>
      <c r="F573" s="6"/>
      <c r="G573" s="6"/>
      <c r="H573" s="6"/>
      <c r="I573" s="6"/>
      <c r="J573" s="6"/>
      <c r="K573" s="22"/>
      <c r="L573" s="6"/>
      <c r="M573" s="6"/>
      <c r="N573" s="6"/>
      <c r="O573" s="6"/>
      <c r="P573" s="6"/>
      <c r="Q573" s="6"/>
      <c r="R573" s="54"/>
    </row>
    <row r="574" spans="1:18" ht="12.75">
      <c r="A574" s="6"/>
      <c r="B574" s="6"/>
      <c r="C574" s="6"/>
      <c r="D574" s="6"/>
      <c r="E574" s="6"/>
      <c r="F574" s="6"/>
      <c r="G574" s="6"/>
      <c r="H574" s="6"/>
      <c r="I574" s="6"/>
      <c r="J574" s="6"/>
      <c r="K574" s="22"/>
      <c r="L574" s="6"/>
      <c r="M574" s="6"/>
      <c r="N574" s="6"/>
      <c r="O574" s="6"/>
      <c r="P574" s="6"/>
      <c r="Q574" s="6"/>
      <c r="R574" s="54"/>
    </row>
    <row r="575" spans="1:18" ht="12.75">
      <c r="A575" s="6"/>
      <c r="B575" s="6"/>
      <c r="C575" s="6"/>
      <c r="D575" s="6"/>
      <c r="E575" s="6"/>
      <c r="F575" s="6"/>
      <c r="G575" s="6"/>
      <c r="H575" s="6"/>
      <c r="I575" s="6"/>
      <c r="J575" s="6"/>
      <c r="K575" s="22"/>
      <c r="L575" s="6"/>
      <c r="M575" s="6"/>
      <c r="N575" s="6"/>
      <c r="O575" s="6"/>
      <c r="P575" s="6"/>
      <c r="Q575" s="6"/>
      <c r="R575" s="54"/>
    </row>
    <row r="576" spans="1:18" ht="12.75">
      <c r="A576" s="6"/>
      <c r="B576" s="6"/>
      <c r="C576" s="6"/>
      <c r="D576" s="6"/>
      <c r="E576" s="6"/>
      <c r="F576" s="6"/>
      <c r="G576" s="6"/>
      <c r="H576" s="6"/>
      <c r="I576" s="6"/>
      <c r="J576" s="6"/>
      <c r="K576" s="22"/>
      <c r="L576" s="6"/>
      <c r="M576" s="6"/>
      <c r="N576" s="6"/>
      <c r="O576" s="6"/>
      <c r="P576" s="6"/>
      <c r="Q576" s="6"/>
      <c r="R576" s="54"/>
    </row>
    <row r="577" spans="1:18" ht="12.75">
      <c r="A577" s="6"/>
      <c r="B577" s="6"/>
      <c r="C577" s="6"/>
      <c r="D577" s="6"/>
      <c r="E577" s="6"/>
      <c r="F577" s="6"/>
      <c r="G577" s="6"/>
      <c r="H577" s="6"/>
      <c r="I577" s="6"/>
      <c r="J577" s="6"/>
      <c r="K577" s="22"/>
      <c r="L577" s="6"/>
      <c r="M577" s="6"/>
      <c r="N577" s="6"/>
      <c r="O577" s="6"/>
      <c r="P577" s="6"/>
      <c r="Q577" s="6"/>
      <c r="R577" s="54"/>
    </row>
    <row r="578" spans="1:18" ht="12.75">
      <c r="A578" s="6"/>
      <c r="B578" s="6"/>
      <c r="C578" s="6"/>
      <c r="D578" s="6"/>
      <c r="E578" s="6"/>
      <c r="F578" s="6"/>
      <c r="G578" s="6"/>
      <c r="H578" s="6"/>
      <c r="I578" s="6"/>
      <c r="J578" s="6"/>
      <c r="K578" s="22"/>
      <c r="L578" s="6"/>
      <c r="M578" s="6"/>
      <c r="N578" s="6"/>
      <c r="O578" s="6"/>
      <c r="P578" s="6"/>
      <c r="Q578" s="6"/>
      <c r="R578" s="54"/>
    </row>
    <row r="579" spans="1:18" ht="12.75">
      <c r="A579" s="6"/>
      <c r="B579" s="6"/>
      <c r="C579" s="6"/>
      <c r="D579" s="6"/>
      <c r="E579" s="6"/>
      <c r="F579" s="6"/>
      <c r="G579" s="6"/>
      <c r="H579" s="6"/>
      <c r="I579" s="6"/>
      <c r="J579" s="6"/>
      <c r="K579" s="22"/>
      <c r="L579" s="6"/>
      <c r="M579" s="6"/>
      <c r="N579" s="6"/>
      <c r="O579" s="6"/>
      <c r="P579" s="6"/>
      <c r="Q579" s="6"/>
      <c r="R579" s="54"/>
    </row>
    <row r="580" spans="1:18" ht="12.75">
      <c r="A580" s="6"/>
      <c r="B580" s="6"/>
      <c r="C580" s="6"/>
      <c r="D580" s="6"/>
      <c r="E580" s="6"/>
      <c r="F580" s="6"/>
      <c r="G580" s="6"/>
      <c r="H580" s="6"/>
      <c r="I580" s="6"/>
      <c r="J580" s="6"/>
      <c r="K580" s="22"/>
      <c r="L580" s="6"/>
      <c r="M580" s="6"/>
      <c r="N580" s="6"/>
      <c r="O580" s="6"/>
      <c r="P580" s="6"/>
      <c r="Q580" s="6"/>
      <c r="R580" s="54"/>
    </row>
    <row r="581" spans="1:18" ht="12.75">
      <c r="A581" s="6"/>
      <c r="B581" s="6"/>
      <c r="C581" s="6"/>
      <c r="D581" s="6"/>
      <c r="E581" s="6"/>
      <c r="F581" s="6"/>
      <c r="G581" s="6"/>
      <c r="H581" s="6"/>
      <c r="I581" s="6"/>
      <c r="J581" s="6"/>
      <c r="K581" s="22"/>
      <c r="L581" s="6"/>
      <c r="M581" s="6"/>
      <c r="N581" s="6"/>
      <c r="O581" s="6"/>
      <c r="P581" s="6"/>
      <c r="Q581" s="6"/>
      <c r="R581" s="54"/>
    </row>
    <row r="582" spans="1:18" ht="12.75">
      <c r="A582" s="6"/>
      <c r="B582" s="6"/>
      <c r="C582" s="6"/>
      <c r="D582" s="6"/>
      <c r="E582" s="6"/>
      <c r="F582" s="6"/>
      <c r="G582" s="6"/>
      <c r="H582" s="6"/>
      <c r="I582" s="6"/>
      <c r="J582" s="6"/>
      <c r="K582" s="22"/>
      <c r="L582" s="6"/>
      <c r="M582" s="6"/>
      <c r="N582" s="6"/>
      <c r="O582" s="6"/>
      <c r="P582" s="6"/>
      <c r="Q582" s="6"/>
      <c r="R582" s="54"/>
    </row>
    <row r="583" spans="1:18" ht="12.75">
      <c r="A583" s="6"/>
      <c r="B583" s="6"/>
      <c r="C583" s="6"/>
      <c r="D583" s="6"/>
      <c r="E583" s="6"/>
      <c r="F583" s="6"/>
      <c r="G583" s="6"/>
      <c r="H583" s="6"/>
      <c r="I583" s="6"/>
      <c r="J583" s="6"/>
      <c r="K583" s="22"/>
      <c r="L583" s="6"/>
      <c r="M583" s="6"/>
      <c r="N583" s="6"/>
      <c r="O583" s="6"/>
      <c r="P583" s="6"/>
      <c r="Q583" s="6"/>
      <c r="R583" s="54"/>
    </row>
    <row r="584" spans="1:18" ht="12.75">
      <c r="A584" s="6"/>
      <c r="B584" s="6"/>
      <c r="C584" s="6"/>
      <c r="D584" s="6"/>
      <c r="E584" s="6"/>
      <c r="F584" s="6"/>
      <c r="G584" s="6"/>
      <c r="H584" s="6"/>
      <c r="I584" s="6"/>
      <c r="J584" s="6"/>
      <c r="K584" s="22"/>
      <c r="L584" s="6"/>
      <c r="M584" s="6"/>
      <c r="N584" s="6"/>
      <c r="O584" s="6"/>
      <c r="P584" s="6"/>
      <c r="Q584" s="6"/>
      <c r="R584" s="54"/>
    </row>
    <row r="585" spans="1:18" ht="12.75">
      <c r="A585" s="6"/>
      <c r="B585" s="6"/>
      <c r="C585" s="6"/>
      <c r="D585" s="6"/>
      <c r="E585" s="6"/>
      <c r="F585" s="6"/>
      <c r="G585" s="6"/>
      <c r="H585" s="6"/>
      <c r="I585" s="6"/>
      <c r="J585" s="6"/>
      <c r="K585" s="22"/>
      <c r="L585" s="6"/>
      <c r="M585" s="6"/>
      <c r="N585" s="6"/>
      <c r="O585" s="6"/>
      <c r="P585" s="6"/>
      <c r="Q585" s="6"/>
      <c r="R585" s="54"/>
    </row>
    <row r="586" spans="1:18" ht="12.75">
      <c r="A586" s="6"/>
      <c r="B586" s="6"/>
      <c r="C586" s="6"/>
      <c r="D586" s="6"/>
      <c r="E586" s="6"/>
      <c r="F586" s="6"/>
      <c r="G586" s="6"/>
      <c r="H586" s="6"/>
      <c r="I586" s="6"/>
      <c r="J586" s="6"/>
      <c r="K586" s="22"/>
      <c r="L586" s="6"/>
      <c r="M586" s="6"/>
      <c r="N586" s="6"/>
      <c r="O586" s="6"/>
      <c r="P586" s="6"/>
      <c r="Q586" s="6"/>
      <c r="R586" s="54"/>
    </row>
    <row r="587" spans="1:18" ht="12.75">
      <c r="A587" s="6"/>
      <c r="B587" s="6"/>
      <c r="C587" s="6"/>
      <c r="D587" s="6"/>
      <c r="E587" s="6"/>
      <c r="F587" s="6"/>
      <c r="G587" s="6"/>
      <c r="H587" s="6"/>
      <c r="I587" s="6"/>
      <c r="J587" s="6"/>
      <c r="K587" s="22"/>
      <c r="L587" s="6"/>
      <c r="M587" s="6"/>
      <c r="N587" s="6"/>
      <c r="O587" s="6"/>
      <c r="P587" s="6"/>
      <c r="Q587" s="6"/>
      <c r="R587" s="54"/>
    </row>
    <row r="588" spans="1:18" ht="12.75">
      <c r="A588" s="6"/>
      <c r="B588" s="6"/>
      <c r="C588" s="6"/>
      <c r="D588" s="6"/>
      <c r="E588" s="6"/>
      <c r="F588" s="6"/>
      <c r="G588" s="6"/>
      <c r="H588" s="6"/>
      <c r="I588" s="6"/>
      <c r="J588" s="6"/>
      <c r="K588" s="22"/>
      <c r="L588" s="6"/>
      <c r="M588" s="6"/>
      <c r="N588" s="6"/>
      <c r="O588" s="6"/>
      <c r="P588" s="6"/>
      <c r="Q588" s="6"/>
      <c r="R588" s="54"/>
    </row>
    <row r="589" spans="1:18" ht="12.75">
      <c r="A589" s="6"/>
      <c r="B589" s="6"/>
      <c r="C589" s="6"/>
      <c r="D589" s="6"/>
      <c r="E589" s="6"/>
      <c r="F589" s="6"/>
      <c r="G589" s="6"/>
      <c r="H589" s="6"/>
      <c r="I589" s="6"/>
      <c r="J589" s="6"/>
      <c r="K589" s="22"/>
      <c r="L589" s="6"/>
      <c r="M589" s="6"/>
      <c r="N589" s="6"/>
      <c r="O589" s="6"/>
      <c r="P589" s="6"/>
      <c r="Q589" s="6"/>
      <c r="R589" s="54"/>
    </row>
    <row r="590" spans="1:18" ht="12.75">
      <c r="A590" s="6"/>
      <c r="B590" s="6"/>
      <c r="C590" s="6"/>
      <c r="D590" s="6"/>
      <c r="E590" s="6"/>
      <c r="F590" s="6"/>
      <c r="G590" s="6"/>
      <c r="H590" s="6"/>
      <c r="I590" s="6"/>
      <c r="J590" s="6"/>
      <c r="K590" s="22"/>
      <c r="L590" s="6"/>
      <c r="M590" s="6"/>
      <c r="N590" s="6"/>
      <c r="O590" s="6"/>
      <c r="P590" s="6"/>
      <c r="Q590" s="6"/>
      <c r="R590" s="54"/>
    </row>
    <row r="591" spans="1:18" ht="12.75">
      <c r="A591" s="6"/>
      <c r="B591" s="6"/>
      <c r="C591" s="6"/>
      <c r="D591" s="6"/>
      <c r="E591" s="6"/>
      <c r="F591" s="6"/>
      <c r="G591" s="6"/>
      <c r="H591" s="6"/>
      <c r="I591" s="6"/>
      <c r="J591" s="6"/>
      <c r="K591" s="22"/>
      <c r="L591" s="6"/>
      <c r="M591" s="6"/>
      <c r="N591" s="6"/>
      <c r="O591" s="6"/>
      <c r="P591" s="6"/>
      <c r="Q591" s="6"/>
      <c r="R591" s="54"/>
    </row>
    <row r="592" spans="1:18" ht="12.75">
      <c r="A592" s="6"/>
      <c r="B592" s="6"/>
      <c r="C592" s="6"/>
      <c r="D592" s="6"/>
      <c r="E592" s="6"/>
      <c r="F592" s="6"/>
      <c r="G592" s="6"/>
      <c r="H592" s="6"/>
      <c r="I592" s="6"/>
      <c r="J592" s="6"/>
      <c r="K592" s="22"/>
      <c r="L592" s="6"/>
      <c r="M592" s="6"/>
      <c r="N592" s="6"/>
      <c r="O592" s="6"/>
      <c r="P592" s="6"/>
      <c r="Q592" s="6"/>
      <c r="R592" s="54"/>
    </row>
    <row r="593" spans="1:18" ht="12.75">
      <c r="A593" s="6"/>
      <c r="B593" s="6"/>
      <c r="C593" s="6"/>
      <c r="D593" s="6"/>
      <c r="E593" s="6"/>
      <c r="F593" s="6"/>
      <c r="G593" s="6"/>
      <c r="H593" s="6"/>
      <c r="I593" s="6"/>
      <c r="J593" s="6"/>
      <c r="K593" s="22"/>
      <c r="L593" s="6"/>
      <c r="M593" s="6"/>
      <c r="N593" s="6"/>
      <c r="O593" s="6"/>
      <c r="P593" s="6"/>
      <c r="Q593" s="6"/>
      <c r="R593" s="54"/>
    </row>
    <row r="594" spans="1:18" ht="12.75">
      <c r="A594" s="6"/>
      <c r="B594" s="6"/>
      <c r="C594" s="6"/>
      <c r="D594" s="6"/>
      <c r="E594" s="6"/>
      <c r="F594" s="6"/>
      <c r="G594" s="6"/>
      <c r="H594" s="6"/>
      <c r="I594" s="6"/>
      <c r="J594" s="6"/>
      <c r="K594" s="22"/>
      <c r="L594" s="6"/>
      <c r="M594" s="6"/>
      <c r="N594" s="6"/>
      <c r="O594" s="6"/>
      <c r="P594" s="6"/>
      <c r="Q594" s="6"/>
      <c r="R594" s="54"/>
    </row>
    <row r="595" spans="1:18" ht="12.75">
      <c r="A595" s="6"/>
      <c r="B595" s="6"/>
      <c r="C595" s="6"/>
      <c r="D595" s="6"/>
      <c r="E595" s="6"/>
      <c r="F595" s="6"/>
      <c r="G595" s="6"/>
      <c r="H595" s="6"/>
      <c r="I595" s="6"/>
      <c r="J595" s="6"/>
      <c r="K595" s="22"/>
      <c r="L595" s="6"/>
      <c r="M595" s="6"/>
      <c r="N595" s="6"/>
      <c r="O595" s="6"/>
      <c r="P595" s="6"/>
      <c r="Q595" s="6"/>
      <c r="R595" s="54"/>
    </row>
    <row r="596" spans="1:18" ht="12.75">
      <c r="A596" s="6"/>
      <c r="B596" s="6"/>
      <c r="C596" s="6"/>
      <c r="D596" s="6"/>
      <c r="E596" s="6"/>
      <c r="F596" s="6"/>
      <c r="G596" s="6"/>
      <c r="H596" s="6"/>
      <c r="I596" s="6"/>
      <c r="J596" s="6"/>
      <c r="K596" s="22"/>
      <c r="L596" s="6"/>
      <c r="M596" s="6"/>
      <c r="N596" s="6"/>
      <c r="O596" s="6"/>
      <c r="P596" s="6"/>
      <c r="Q596" s="6"/>
      <c r="R596" s="54"/>
    </row>
    <row r="597" spans="1:18" ht="12.75">
      <c r="A597" s="6"/>
      <c r="B597" s="6"/>
      <c r="C597" s="6"/>
      <c r="D597" s="6"/>
      <c r="E597" s="6"/>
      <c r="F597" s="6"/>
      <c r="G597" s="6"/>
      <c r="H597" s="6"/>
      <c r="I597" s="6"/>
      <c r="J597" s="6"/>
      <c r="K597" s="22"/>
      <c r="L597" s="6"/>
      <c r="M597" s="6"/>
      <c r="N597" s="6"/>
      <c r="O597" s="6"/>
      <c r="P597" s="6"/>
      <c r="Q597" s="6"/>
      <c r="R597" s="54"/>
    </row>
    <row r="598" spans="1:18" ht="12.75">
      <c r="A598" s="6"/>
      <c r="B598" s="6"/>
      <c r="C598" s="6"/>
      <c r="D598" s="6"/>
      <c r="E598" s="6"/>
      <c r="F598" s="6"/>
      <c r="G598" s="6"/>
      <c r="H598" s="6"/>
      <c r="I598" s="6"/>
      <c r="J598" s="6"/>
      <c r="K598" s="22"/>
      <c r="L598" s="6"/>
      <c r="M598" s="6"/>
      <c r="N598" s="6"/>
      <c r="O598" s="6"/>
      <c r="P598" s="6"/>
      <c r="Q598" s="6"/>
      <c r="R598" s="54"/>
    </row>
    <row r="599" spans="1:18" ht="12.75">
      <c r="A599" s="6"/>
      <c r="B599" s="6"/>
      <c r="C599" s="6"/>
      <c r="D599" s="6"/>
      <c r="E599" s="6"/>
      <c r="F599" s="6"/>
      <c r="G599" s="6"/>
      <c r="H599" s="6"/>
      <c r="I599" s="6"/>
      <c r="J599" s="6"/>
      <c r="K599" s="22"/>
      <c r="L599" s="6"/>
      <c r="M599" s="6"/>
      <c r="N599" s="6"/>
      <c r="O599" s="6"/>
      <c r="P599" s="6"/>
      <c r="Q599" s="6"/>
      <c r="R599" s="54"/>
    </row>
    <row r="600" spans="1:18" ht="12.75">
      <c r="A600" s="6"/>
      <c r="B600" s="6"/>
      <c r="C600" s="6"/>
      <c r="D600" s="6"/>
      <c r="E600" s="6"/>
      <c r="F600" s="6"/>
      <c r="G600" s="6"/>
      <c r="H600" s="6"/>
      <c r="I600" s="6"/>
      <c r="J600" s="6"/>
      <c r="K600" s="22"/>
      <c r="L600" s="6"/>
      <c r="M600" s="6"/>
      <c r="N600" s="6"/>
      <c r="O600" s="6"/>
      <c r="P600" s="6"/>
      <c r="Q600" s="6"/>
      <c r="R600" s="54"/>
    </row>
    <row r="601" spans="1:18" ht="12.75">
      <c r="A601" s="6"/>
      <c r="B601" s="6"/>
      <c r="C601" s="6"/>
      <c r="D601" s="6"/>
      <c r="E601" s="6"/>
      <c r="F601" s="6"/>
      <c r="G601" s="6"/>
      <c r="H601" s="6"/>
      <c r="I601" s="6"/>
      <c r="J601" s="6"/>
      <c r="K601" s="22"/>
      <c r="L601" s="6"/>
      <c r="M601" s="6"/>
      <c r="N601" s="6"/>
      <c r="O601" s="6"/>
      <c r="P601" s="6"/>
      <c r="Q601" s="6"/>
      <c r="R601" s="54"/>
    </row>
    <row r="602" spans="1:18" ht="12.75">
      <c r="A602" s="6"/>
      <c r="B602" s="6"/>
      <c r="C602" s="6"/>
      <c r="D602" s="6"/>
      <c r="E602" s="6"/>
      <c r="F602" s="6"/>
      <c r="G602" s="6"/>
      <c r="H602" s="6"/>
      <c r="I602" s="6"/>
      <c r="J602" s="6"/>
      <c r="K602" s="22"/>
      <c r="L602" s="6"/>
      <c r="M602" s="6"/>
      <c r="N602" s="6"/>
      <c r="O602" s="6"/>
      <c r="P602" s="6"/>
      <c r="Q602" s="6"/>
      <c r="R602" s="54"/>
    </row>
    <row r="603" spans="1:18" ht="12.75">
      <c r="A603" s="6"/>
      <c r="B603" s="6"/>
      <c r="C603" s="6"/>
      <c r="D603" s="6"/>
      <c r="E603" s="6"/>
      <c r="F603" s="6"/>
      <c r="G603" s="6"/>
      <c r="H603" s="6"/>
      <c r="I603" s="6"/>
      <c r="J603" s="6"/>
      <c r="K603" s="22"/>
      <c r="L603" s="6"/>
      <c r="M603" s="6"/>
      <c r="N603" s="6"/>
      <c r="O603" s="6"/>
      <c r="P603" s="6"/>
      <c r="Q603" s="6"/>
      <c r="R603" s="54"/>
    </row>
    <row r="604" spans="1:18" ht="12.75">
      <c r="A604" s="6"/>
      <c r="B604" s="6"/>
      <c r="C604" s="6"/>
      <c r="D604" s="6"/>
      <c r="E604" s="6"/>
      <c r="F604" s="6"/>
      <c r="G604" s="6"/>
      <c r="H604" s="6"/>
      <c r="I604" s="6"/>
      <c r="J604" s="6"/>
      <c r="K604" s="22"/>
      <c r="L604" s="6"/>
      <c r="M604" s="6"/>
      <c r="N604" s="6"/>
      <c r="O604" s="6"/>
      <c r="P604" s="6"/>
      <c r="Q604" s="6"/>
      <c r="R604" s="54"/>
    </row>
    <row r="605" spans="1:18" ht="12.75">
      <c r="A605" s="6"/>
      <c r="B605" s="6"/>
      <c r="C605" s="6"/>
      <c r="D605" s="6"/>
      <c r="E605" s="6"/>
      <c r="F605" s="6"/>
      <c r="G605" s="6"/>
      <c r="H605" s="6"/>
      <c r="I605" s="6"/>
      <c r="J605" s="6"/>
      <c r="K605" s="22"/>
      <c r="L605" s="6"/>
      <c r="M605" s="6"/>
      <c r="N605" s="6"/>
      <c r="O605" s="6"/>
      <c r="P605" s="6"/>
      <c r="Q605" s="6"/>
      <c r="R605" s="54"/>
    </row>
    <row r="606" spans="1:18" ht="12.75">
      <c r="A606" s="6"/>
      <c r="B606" s="6"/>
      <c r="C606" s="6"/>
      <c r="D606" s="6"/>
      <c r="E606" s="6"/>
      <c r="F606" s="6"/>
      <c r="G606" s="6"/>
      <c r="H606" s="6"/>
      <c r="I606" s="6"/>
      <c r="J606" s="6"/>
      <c r="K606" s="22"/>
      <c r="L606" s="6"/>
      <c r="M606" s="6"/>
      <c r="N606" s="6"/>
      <c r="O606" s="6"/>
      <c r="P606" s="6"/>
      <c r="Q606" s="6"/>
      <c r="R606" s="54"/>
    </row>
    <row r="607" spans="1:18" ht="12.75">
      <c r="A607" s="6"/>
      <c r="B607" s="6"/>
      <c r="C607" s="6"/>
      <c r="D607" s="6"/>
      <c r="E607" s="6"/>
      <c r="F607" s="6"/>
      <c r="G607" s="6"/>
      <c r="H607" s="6"/>
      <c r="I607" s="6"/>
      <c r="J607" s="6"/>
      <c r="K607" s="22"/>
      <c r="L607" s="6"/>
      <c r="M607" s="6"/>
      <c r="N607" s="6"/>
      <c r="O607" s="6"/>
      <c r="P607" s="6"/>
      <c r="Q607" s="6"/>
      <c r="R607" s="54"/>
    </row>
    <row r="608" spans="1:18" ht="12.75">
      <c r="A608" s="6"/>
      <c r="B608" s="6"/>
      <c r="C608" s="6"/>
      <c r="D608" s="6"/>
      <c r="E608" s="6"/>
      <c r="F608" s="6"/>
      <c r="G608" s="6"/>
      <c r="H608" s="6"/>
      <c r="I608" s="6"/>
      <c r="J608" s="6"/>
      <c r="K608" s="22"/>
      <c r="L608" s="6"/>
      <c r="M608" s="6"/>
      <c r="N608" s="6"/>
      <c r="O608" s="6"/>
      <c r="P608" s="6"/>
      <c r="Q608" s="6"/>
      <c r="R608" s="54"/>
    </row>
    <row r="609" spans="1:18" ht="12.75">
      <c r="A609" s="6"/>
      <c r="B609" s="6"/>
      <c r="C609" s="6"/>
      <c r="D609" s="6"/>
      <c r="E609" s="6"/>
      <c r="F609" s="6"/>
      <c r="G609" s="6"/>
      <c r="H609" s="6"/>
      <c r="I609" s="6"/>
      <c r="J609" s="6"/>
      <c r="K609" s="22"/>
      <c r="L609" s="6"/>
      <c r="M609" s="6"/>
      <c r="N609" s="6"/>
      <c r="O609" s="6"/>
      <c r="P609" s="6"/>
      <c r="Q609" s="6"/>
      <c r="R609" s="54"/>
    </row>
    <row r="610" spans="1:18" ht="12.75">
      <c r="A610" s="6"/>
      <c r="B610" s="6"/>
      <c r="C610" s="6"/>
      <c r="D610" s="6"/>
      <c r="E610" s="6"/>
      <c r="F610" s="6"/>
      <c r="G610" s="6"/>
      <c r="H610" s="6"/>
      <c r="I610" s="6"/>
      <c r="J610" s="6"/>
      <c r="K610" s="22"/>
      <c r="L610" s="6"/>
      <c r="M610" s="6"/>
      <c r="N610" s="6"/>
      <c r="O610" s="6"/>
      <c r="P610" s="6"/>
      <c r="Q610" s="6"/>
      <c r="R610" s="54"/>
    </row>
    <row r="611" spans="1:18" ht="12.75">
      <c r="A611" s="6"/>
      <c r="B611" s="6"/>
      <c r="C611" s="6"/>
      <c r="D611" s="6"/>
      <c r="E611" s="6"/>
      <c r="F611" s="6"/>
      <c r="G611" s="6"/>
      <c r="H611" s="6"/>
      <c r="I611" s="6"/>
      <c r="J611" s="6"/>
      <c r="K611" s="22"/>
      <c r="L611" s="6"/>
      <c r="M611" s="6"/>
      <c r="N611" s="6"/>
      <c r="O611" s="6"/>
      <c r="P611" s="6"/>
      <c r="Q611" s="6"/>
      <c r="R611" s="54"/>
    </row>
    <row r="612" spans="1:18" ht="12.75">
      <c r="A612" s="6"/>
      <c r="B612" s="6"/>
      <c r="C612" s="6"/>
      <c r="D612" s="6"/>
      <c r="E612" s="6"/>
      <c r="F612" s="6"/>
      <c r="G612" s="6"/>
      <c r="H612" s="6"/>
      <c r="I612" s="6"/>
      <c r="J612" s="6"/>
      <c r="K612" s="22"/>
      <c r="L612" s="6"/>
      <c r="M612" s="6"/>
      <c r="N612" s="6"/>
      <c r="O612" s="6"/>
      <c r="P612" s="6"/>
      <c r="Q612" s="6"/>
      <c r="R612" s="54"/>
    </row>
    <row r="613" spans="1:18" ht="12.75">
      <c r="A613" s="6"/>
      <c r="B613" s="6"/>
      <c r="C613" s="6"/>
      <c r="D613" s="6"/>
      <c r="E613" s="6"/>
      <c r="F613" s="6"/>
      <c r="G613" s="6"/>
      <c r="H613" s="6"/>
      <c r="I613" s="6"/>
      <c r="J613" s="6"/>
      <c r="K613" s="22"/>
      <c r="L613" s="6"/>
      <c r="M613" s="6"/>
      <c r="N613" s="6"/>
      <c r="O613" s="6"/>
      <c r="P613" s="6"/>
      <c r="Q613" s="6"/>
      <c r="R613" s="54"/>
    </row>
    <row r="614" spans="1:18" ht="12.75">
      <c r="A614" s="6"/>
      <c r="B614" s="6"/>
      <c r="C614" s="6"/>
      <c r="D614" s="6"/>
      <c r="E614" s="6"/>
      <c r="F614" s="6"/>
      <c r="G614" s="6"/>
      <c r="H614" s="6"/>
      <c r="I614" s="6"/>
      <c r="J614" s="6"/>
      <c r="K614" s="22"/>
      <c r="L614" s="6"/>
      <c r="M614" s="6"/>
      <c r="N614" s="6"/>
      <c r="O614" s="6"/>
      <c r="P614" s="6"/>
      <c r="Q614" s="6"/>
      <c r="R614" s="54"/>
    </row>
    <row r="615" spans="1:18" ht="12.75">
      <c r="A615" s="6"/>
      <c r="B615" s="6"/>
      <c r="C615" s="6"/>
      <c r="D615" s="6"/>
      <c r="E615" s="6"/>
      <c r="F615" s="6"/>
      <c r="G615" s="6"/>
      <c r="H615" s="6"/>
      <c r="I615" s="6"/>
      <c r="J615" s="6"/>
      <c r="K615" s="22"/>
      <c r="L615" s="6"/>
      <c r="M615" s="6"/>
      <c r="N615" s="6"/>
      <c r="O615" s="6"/>
      <c r="P615" s="6"/>
      <c r="Q615" s="6"/>
      <c r="R615" s="54"/>
    </row>
    <row r="616" spans="1:18" ht="12.75">
      <c r="A616" s="6"/>
      <c r="B616" s="6"/>
      <c r="C616" s="6"/>
      <c r="D616" s="6"/>
      <c r="E616" s="6"/>
      <c r="F616" s="6"/>
      <c r="G616" s="6"/>
      <c r="H616" s="6"/>
      <c r="I616" s="6"/>
      <c r="J616" s="6"/>
      <c r="K616" s="22"/>
      <c r="L616" s="6"/>
      <c r="M616" s="6"/>
      <c r="N616" s="6"/>
      <c r="O616" s="6"/>
      <c r="P616" s="6"/>
      <c r="Q616" s="6"/>
      <c r="R616" s="54"/>
    </row>
    <row r="617" spans="1:18" ht="12.75">
      <c r="A617" s="6"/>
      <c r="B617" s="6"/>
      <c r="C617" s="6"/>
      <c r="D617" s="6"/>
      <c r="E617" s="6"/>
      <c r="F617" s="6"/>
      <c r="G617" s="6"/>
      <c r="H617" s="6"/>
      <c r="I617" s="6"/>
      <c r="J617" s="6"/>
      <c r="K617" s="22"/>
      <c r="L617" s="6"/>
      <c r="M617" s="6"/>
      <c r="N617" s="6"/>
      <c r="O617" s="6"/>
      <c r="P617" s="6"/>
      <c r="Q617" s="6"/>
      <c r="R617" s="54"/>
    </row>
    <row r="618" spans="1:18" ht="12.75">
      <c r="A618" s="6"/>
      <c r="B618" s="6"/>
      <c r="C618" s="6"/>
      <c r="D618" s="6"/>
      <c r="E618" s="6"/>
      <c r="F618" s="6"/>
      <c r="G618" s="6"/>
      <c r="H618" s="6"/>
      <c r="I618" s="6"/>
      <c r="J618" s="6"/>
      <c r="K618" s="22"/>
      <c r="L618" s="6"/>
      <c r="M618" s="6"/>
      <c r="N618" s="6"/>
      <c r="O618" s="6"/>
      <c r="P618" s="6"/>
      <c r="Q618" s="6"/>
      <c r="R618" s="54"/>
    </row>
    <row r="619" spans="1:18" ht="12.75">
      <c r="A619" s="6"/>
      <c r="B619" s="6"/>
      <c r="C619" s="6"/>
      <c r="D619" s="6"/>
      <c r="E619" s="6"/>
      <c r="F619" s="6"/>
      <c r="G619" s="6"/>
      <c r="H619" s="6"/>
      <c r="I619" s="6"/>
      <c r="J619" s="6"/>
      <c r="K619" s="22"/>
      <c r="L619" s="6"/>
      <c r="M619" s="6"/>
      <c r="N619" s="6"/>
      <c r="O619" s="6"/>
      <c r="P619" s="6"/>
      <c r="Q619" s="6"/>
      <c r="R619" s="54"/>
    </row>
    <row r="620" spans="1:18" ht="12.75">
      <c r="A620" s="6"/>
      <c r="B620" s="6"/>
      <c r="C620" s="6"/>
      <c r="D620" s="6"/>
      <c r="E620" s="6"/>
      <c r="F620" s="6"/>
      <c r="G620" s="6"/>
      <c r="H620" s="6"/>
      <c r="I620" s="6"/>
      <c r="J620" s="6"/>
      <c r="K620" s="22"/>
      <c r="L620" s="6"/>
      <c r="M620" s="6"/>
      <c r="N620" s="6"/>
      <c r="O620" s="6"/>
      <c r="P620" s="6"/>
      <c r="Q620" s="6"/>
      <c r="R620" s="54"/>
    </row>
    <row r="621" spans="1:18" ht="12.75">
      <c r="A621" s="6"/>
      <c r="B621" s="6"/>
      <c r="C621" s="6"/>
      <c r="D621" s="6"/>
      <c r="E621" s="6"/>
      <c r="F621" s="6"/>
      <c r="G621" s="6"/>
      <c r="H621" s="6"/>
      <c r="I621" s="6"/>
      <c r="J621" s="6"/>
      <c r="K621" s="22"/>
      <c r="L621" s="6"/>
      <c r="M621" s="6"/>
      <c r="N621" s="6"/>
      <c r="O621" s="6"/>
      <c r="P621" s="6"/>
      <c r="Q621" s="6"/>
      <c r="R621" s="54"/>
    </row>
    <row r="622" spans="1:18" ht="12.75">
      <c r="A622" s="6"/>
      <c r="B622" s="6"/>
      <c r="C622" s="6"/>
      <c r="D622" s="6"/>
      <c r="E622" s="6"/>
      <c r="F622" s="6"/>
      <c r="G622" s="6"/>
      <c r="H622" s="6"/>
      <c r="I622" s="6"/>
      <c r="J622" s="6"/>
      <c r="K622" s="22"/>
      <c r="L622" s="6"/>
      <c r="M622" s="6"/>
      <c r="N622" s="6"/>
      <c r="O622" s="6"/>
      <c r="P622" s="6"/>
      <c r="Q622" s="6"/>
      <c r="R622" s="54"/>
    </row>
    <row r="623" spans="1:18" ht="12.75">
      <c r="A623" s="6"/>
      <c r="B623" s="6"/>
      <c r="C623" s="6"/>
      <c r="D623" s="6"/>
      <c r="E623" s="6"/>
      <c r="F623" s="6"/>
      <c r="G623" s="6"/>
      <c r="H623" s="6"/>
      <c r="I623" s="6"/>
      <c r="J623" s="6"/>
      <c r="K623" s="22"/>
      <c r="L623" s="6"/>
      <c r="M623" s="6"/>
      <c r="N623" s="6"/>
      <c r="O623" s="6"/>
      <c r="P623" s="6"/>
      <c r="Q623" s="6"/>
      <c r="R623" s="54"/>
    </row>
    <row r="624" spans="1:18" ht="12.75">
      <c r="A624" s="6"/>
      <c r="B624" s="6"/>
      <c r="C624" s="6"/>
      <c r="D624" s="6"/>
      <c r="E624" s="6"/>
      <c r="F624" s="6"/>
      <c r="G624" s="6"/>
      <c r="H624" s="6"/>
      <c r="I624" s="6"/>
      <c r="J624" s="6"/>
      <c r="K624" s="22"/>
      <c r="L624" s="6"/>
      <c r="M624" s="6"/>
      <c r="N624" s="6"/>
      <c r="O624" s="6"/>
      <c r="P624" s="6"/>
      <c r="Q624" s="6"/>
      <c r="R624" s="54"/>
    </row>
    <row r="625" spans="1:18" ht="12.75">
      <c r="A625" s="6"/>
      <c r="B625" s="6"/>
      <c r="C625" s="6"/>
      <c r="D625" s="6"/>
      <c r="E625" s="6"/>
      <c r="F625" s="6"/>
      <c r="G625" s="6"/>
      <c r="H625" s="6"/>
      <c r="I625" s="6"/>
      <c r="J625" s="6"/>
      <c r="K625" s="22"/>
      <c r="L625" s="6"/>
      <c r="M625" s="6"/>
      <c r="N625" s="6"/>
      <c r="O625" s="6"/>
      <c r="P625" s="6"/>
      <c r="Q625" s="6"/>
      <c r="R625" s="54"/>
    </row>
    <row r="626" spans="1:18" ht="12.75">
      <c r="A626" s="6"/>
      <c r="B626" s="6"/>
      <c r="C626" s="6"/>
      <c r="D626" s="6"/>
      <c r="E626" s="6"/>
      <c r="F626" s="6"/>
      <c r="G626" s="6"/>
      <c r="H626" s="6"/>
      <c r="I626" s="6"/>
      <c r="J626" s="6"/>
      <c r="K626" s="22"/>
      <c r="L626" s="6"/>
      <c r="M626" s="6"/>
      <c r="N626" s="6"/>
      <c r="O626" s="6"/>
      <c r="P626" s="6"/>
      <c r="Q626" s="6"/>
      <c r="R626" s="54"/>
    </row>
    <row r="627" spans="1:18" ht="12.75">
      <c r="A627" s="6"/>
      <c r="B627" s="6"/>
      <c r="C627" s="6"/>
      <c r="D627" s="6"/>
      <c r="E627" s="6"/>
      <c r="F627" s="6"/>
      <c r="G627" s="6"/>
      <c r="H627" s="6"/>
      <c r="I627" s="6"/>
      <c r="J627" s="6"/>
      <c r="K627" s="22"/>
      <c r="L627" s="6"/>
      <c r="M627" s="6"/>
      <c r="N627" s="6"/>
      <c r="O627" s="6"/>
      <c r="P627" s="6"/>
      <c r="Q627" s="6"/>
      <c r="R627" s="54"/>
    </row>
    <row r="628" spans="1:18" ht="12.75">
      <c r="A628" s="6"/>
      <c r="B628" s="6"/>
      <c r="C628" s="6"/>
      <c r="D628" s="6"/>
      <c r="E628" s="6"/>
      <c r="F628" s="6"/>
      <c r="G628" s="6"/>
      <c r="H628" s="6"/>
      <c r="I628" s="6"/>
      <c r="J628" s="6"/>
      <c r="K628" s="22"/>
      <c r="L628" s="6"/>
      <c r="M628" s="6"/>
      <c r="N628" s="6"/>
      <c r="O628" s="6"/>
      <c r="P628" s="6"/>
      <c r="Q628" s="6"/>
      <c r="R628" s="54"/>
    </row>
    <row r="629" spans="1:18" ht="12.75">
      <c r="A629" s="6"/>
      <c r="B629" s="6"/>
      <c r="C629" s="6"/>
      <c r="D629" s="6"/>
      <c r="E629" s="6"/>
      <c r="F629" s="6"/>
      <c r="G629" s="6"/>
      <c r="H629" s="6"/>
      <c r="I629" s="6"/>
      <c r="J629" s="6"/>
      <c r="K629" s="22"/>
      <c r="L629" s="6"/>
      <c r="M629" s="6"/>
      <c r="N629" s="6"/>
      <c r="O629" s="6"/>
      <c r="P629" s="6"/>
      <c r="Q629" s="6"/>
      <c r="R629" s="54"/>
    </row>
    <row r="630" spans="1:18" ht="12.75">
      <c r="A630" s="6"/>
      <c r="B630" s="6"/>
      <c r="C630" s="6"/>
      <c r="D630" s="6"/>
      <c r="E630" s="6"/>
      <c r="F630" s="6"/>
      <c r="G630" s="6"/>
      <c r="H630" s="6"/>
      <c r="I630" s="6"/>
      <c r="J630" s="6"/>
      <c r="K630" s="22"/>
      <c r="L630" s="6"/>
      <c r="M630" s="6"/>
      <c r="N630" s="6"/>
      <c r="O630" s="6"/>
      <c r="P630" s="6"/>
      <c r="Q630" s="6"/>
      <c r="R630" s="54"/>
    </row>
    <row r="631" spans="1:18" ht="12.75">
      <c r="A631" s="6"/>
      <c r="B631" s="6"/>
      <c r="C631" s="6"/>
      <c r="D631" s="6"/>
      <c r="E631" s="6"/>
      <c r="F631" s="6"/>
      <c r="G631" s="6"/>
      <c r="H631" s="6"/>
      <c r="I631" s="6"/>
      <c r="J631" s="6"/>
      <c r="K631" s="22"/>
      <c r="L631" s="6"/>
      <c r="M631" s="6"/>
      <c r="N631" s="6"/>
      <c r="O631" s="6"/>
      <c r="P631" s="6"/>
      <c r="Q631" s="6"/>
      <c r="R631" s="54"/>
    </row>
    <row r="632" spans="1:18" ht="12.75">
      <c r="A632" s="6"/>
      <c r="B632" s="6"/>
      <c r="C632" s="6"/>
      <c r="D632" s="6"/>
      <c r="E632" s="6"/>
      <c r="F632" s="6"/>
      <c r="G632" s="6"/>
      <c r="H632" s="6"/>
      <c r="I632" s="6"/>
      <c r="J632" s="6"/>
      <c r="K632" s="22"/>
      <c r="L632" s="6"/>
      <c r="M632" s="6"/>
      <c r="N632" s="6"/>
      <c r="O632" s="6"/>
      <c r="P632" s="6"/>
      <c r="Q632" s="6"/>
      <c r="R632" s="54"/>
    </row>
    <row r="633" spans="1:18" ht="12.75">
      <c r="A633" s="6"/>
      <c r="B633" s="6"/>
      <c r="C633" s="6"/>
      <c r="D633" s="6"/>
      <c r="E633" s="6"/>
      <c r="F633" s="6"/>
      <c r="G633" s="6"/>
      <c r="H633" s="6"/>
      <c r="I633" s="6"/>
      <c r="J633" s="6"/>
      <c r="K633" s="22"/>
      <c r="L633" s="6"/>
      <c r="M633" s="6"/>
      <c r="N633" s="6"/>
      <c r="O633" s="6"/>
      <c r="P633" s="6"/>
      <c r="Q633" s="6"/>
      <c r="R633" s="54"/>
    </row>
    <row r="634" spans="1:18" ht="12.75">
      <c r="A634" s="6"/>
      <c r="B634" s="6"/>
      <c r="C634" s="6"/>
      <c r="D634" s="6"/>
      <c r="E634" s="6"/>
      <c r="F634" s="6"/>
      <c r="G634" s="6"/>
      <c r="H634" s="6"/>
      <c r="I634" s="6"/>
      <c r="J634" s="6"/>
      <c r="K634" s="22"/>
      <c r="L634" s="6"/>
      <c r="M634" s="6"/>
      <c r="N634" s="6"/>
      <c r="O634" s="6"/>
      <c r="P634" s="6"/>
      <c r="Q634" s="6"/>
      <c r="R634" s="54"/>
    </row>
    <row r="635" spans="1:18" ht="12.75">
      <c r="A635" s="6"/>
      <c r="B635" s="6"/>
      <c r="C635" s="6"/>
      <c r="D635" s="6"/>
      <c r="E635" s="6"/>
      <c r="F635" s="6"/>
      <c r="G635" s="6"/>
      <c r="H635" s="6"/>
      <c r="I635" s="6"/>
      <c r="J635" s="6"/>
      <c r="K635" s="22"/>
      <c r="L635" s="6"/>
      <c r="M635" s="6"/>
      <c r="N635" s="6"/>
      <c r="O635" s="6"/>
      <c r="P635" s="6"/>
      <c r="Q635" s="6"/>
      <c r="R635" s="54"/>
    </row>
    <row r="636" spans="1:18" ht="12.75">
      <c r="A636" s="6"/>
      <c r="B636" s="6"/>
      <c r="C636" s="6"/>
      <c r="D636" s="6"/>
      <c r="E636" s="6"/>
      <c r="F636" s="6"/>
      <c r="G636" s="6"/>
      <c r="H636" s="6"/>
      <c r="I636" s="6"/>
      <c r="J636" s="6"/>
      <c r="K636" s="22"/>
      <c r="L636" s="6"/>
      <c r="M636" s="6"/>
      <c r="N636" s="6"/>
      <c r="O636" s="6"/>
      <c r="P636" s="6"/>
      <c r="Q636" s="6"/>
      <c r="R636" s="54"/>
    </row>
    <row r="637" spans="1:18" ht="12.75">
      <c r="A637" s="6"/>
      <c r="B637" s="6"/>
      <c r="C637" s="6"/>
      <c r="D637" s="6"/>
      <c r="E637" s="6"/>
      <c r="F637" s="6"/>
      <c r="G637" s="6"/>
      <c r="H637" s="6"/>
      <c r="I637" s="6"/>
      <c r="J637" s="6"/>
      <c r="K637" s="22"/>
      <c r="L637" s="6"/>
      <c r="M637" s="6"/>
      <c r="N637" s="6"/>
      <c r="O637" s="6"/>
      <c r="P637" s="6"/>
      <c r="Q637" s="6"/>
      <c r="R637" s="54"/>
    </row>
    <row r="638" spans="1:18" ht="12.75">
      <c r="A638" s="6"/>
      <c r="B638" s="6"/>
      <c r="C638" s="6"/>
      <c r="D638" s="6"/>
      <c r="E638" s="6"/>
      <c r="F638" s="6"/>
      <c r="G638" s="6"/>
      <c r="H638" s="6"/>
      <c r="I638" s="6"/>
      <c r="J638" s="6"/>
      <c r="K638" s="22"/>
      <c r="L638" s="6"/>
      <c r="M638" s="6"/>
      <c r="N638" s="6"/>
      <c r="O638" s="6"/>
      <c r="P638" s="6"/>
      <c r="Q638" s="6"/>
      <c r="R638" s="54"/>
    </row>
    <row r="639" spans="1:18" ht="12.75">
      <c r="A639" s="6"/>
      <c r="B639" s="6"/>
      <c r="C639" s="6"/>
      <c r="D639" s="6"/>
      <c r="E639" s="6"/>
      <c r="F639" s="6"/>
      <c r="G639" s="6"/>
      <c r="H639" s="6"/>
      <c r="I639" s="6"/>
      <c r="J639" s="6"/>
      <c r="K639" s="22"/>
      <c r="L639" s="6"/>
      <c r="M639" s="6"/>
      <c r="N639" s="6"/>
      <c r="O639" s="6"/>
      <c r="P639" s="6"/>
      <c r="Q639" s="6"/>
      <c r="R639" s="54"/>
    </row>
    <row r="640" spans="1:18" ht="12.75">
      <c r="A640" s="6"/>
      <c r="B640" s="6"/>
      <c r="C640" s="6"/>
      <c r="D640" s="6"/>
      <c r="E640" s="6"/>
      <c r="F640" s="6"/>
      <c r="G640" s="6"/>
      <c r="H640" s="6"/>
      <c r="I640" s="6"/>
      <c r="J640" s="6"/>
      <c r="K640" s="22"/>
      <c r="L640" s="6"/>
      <c r="M640" s="6"/>
      <c r="N640" s="6"/>
      <c r="O640" s="6"/>
      <c r="P640" s="6"/>
      <c r="Q640" s="6"/>
      <c r="R640" s="54"/>
    </row>
    <row r="641" spans="1:18" ht="12.75">
      <c r="A641" s="6"/>
      <c r="B641" s="6"/>
      <c r="C641" s="6"/>
      <c r="D641" s="6"/>
      <c r="E641" s="6"/>
      <c r="F641" s="6"/>
      <c r="G641" s="6"/>
      <c r="H641" s="6"/>
      <c r="I641" s="6"/>
      <c r="J641" s="6"/>
      <c r="K641" s="22"/>
      <c r="L641" s="6"/>
      <c r="M641" s="6"/>
      <c r="N641" s="6"/>
      <c r="O641" s="6"/>
      <c r="P641" s="6"/>
      <c r="Q641" s="6"/>
      <c r="R641" s="54"/>
    </row>
    <row r="642" spans="1:18" ht="12.75">
      <c r="A642" s="6"/>
      <c r="B642" s="6"/>
      <c r="C642" s="6"/>
      <c r="D642" s="6"/>
      <c r="E642" s="6"/>
      <c r="F642" s="6"/>
      <c r="G642" s="6"/>
      <c r="H642" s="6"/>
      <c r="I642" s="6"/>
      <c r="J642" s="6"/>
      <c r="K642" s="22"/>
      <c r="L642" s="6"/>
      <c r="M642" s="6"/>
      <c r="N642" s="6"/>
      <c r="O642" s="6"/>
      <c r="P642" s="6"/>
      <c r="Q642" s="6"/>
      <c r="R642" s="54"/>
    </row>
    <row r="643" spans="1:18" ht="12.75">
      <c r="A643" s="6"/>
      <c r="B643" s="6"/>
      <c r="C643" s="6"/>
      <c r="D643" s="6"/>
      <c r="E643" s="6"/>
      <c r="F643" s="6"/>
      <c r="G643" s="6"/>
      <c r="H643" s="6"/>
      <c r="I643" s="6"/>
      <c r="J643" s="6"/>
      <c r="K643" s="22"/>
      <c r="L643" s="6"/>
      <c r="M643" s="6"/>
      <c r="N643" s="6"/>
      <c r="O643" s="6"/>
      <c r="P643" s="6"/>
      <c r="Q643" s="6"/>
      <c r="R643" s="54"/>
    </row>
    <row r="644" spans="1:18" ht="12.75">
      <c r="A644" s="6"/>
      <c r="B644" s="6"/>
      <c r="C644" s="6"/>
      <c r="D644" s="6"/>
      <c r="E644" s="6"/>
      <c r="F644" s="6"/>
      <c r="G644" s="6"/>
      <c r="H644" s="6"/>
      <c r="I644" s="6"/>
      <c r="J644" s="6"/>
      <c r="K644" s="22"/>
      <c r="L644" s="6"/>
      <c r="M644" s="6"/>
      <c r="N644" s="6"/>
      <c r="O644" s="6"/>
      <c r="P644" s="6"/>
      <c r="Q644" s="6"/>
      <c r="R644" s="54"/>
    </row>
    <row r="645" spans="1:18" ht="12.75">
      <c r="A645" s="6"/>
      <c r="B645" s="6"/>
      <c r="C645" s="6"/>
      <c r="D645" s="6"/>
      <c r="E645" s="6"/>
      <c r="F645" s="6"/>
      <c r="G645" s="6"/>
      <c r="H645" s="6"/>
      <c r="I645" s="6"/>
      <c r="J645" s="6"/>
      <c r="K645" s="22"/>
      <c r="L645" s="6"/>
      <c r="M645" s="6"/>
      <c r="N645" s="6"/>
      <c r="O645" s="6"/>
      <c r="P645" s="6"/>
      <c r="Q645" s="6"/>
      <c r="R645" s="54"/>
    </row>
    <row r="646" spans="1:18" ht="12.75">
      <c r="A646" s="6"/>
      <c r="B646" s="6"/>
      <c r="C646" s="6"/>
      <c r="D646" s="6"/>
      <c r="E646" s="6"/>
      <c r="F646" s="6"/>
      <c r="G646" s="6"/>
      <c r="H646" s="6"/>
      <c r="I646" s="6"/>
      <c r="J646" s="6"/>
      <c r="K646" s="22"/>
      <c r="L646" s="6"/>
      <c r="M646" s="6"/>
      <c r="N646" s="6"/>
      <c r="O646" s="6"/>
      <c r="P646" s="6"/>
      <c r="Q646" s="6"/>
      <c r="R646" s="54"/>
    </row>
    <row r="647" spans="1:18" ht="12.75">
      <c r="A647" s="6"/>
      <c r="B647" s="6"/>
      <c r="C647" s="6"/>
      <c r="D647" s="6"/>
      <c r="E647" s="6"/>
      <c r="F647" s="6"/>
      <c r="G647" s="6"/>
      <c r="H647" s="6"/>
      <c r="I647" s="6"/>
      <c r="J647" s="6"/>
      <c r="K647" s="22"/>
      <c r="L647" s="6"/>
      <c r="M647" s="6"/>
      <c r="N647" s="6"/>
      <c r="O647" s="6"/>
      <c r="P647" s="6"/>
      <c r="Q647" s="6"/>
      <c r="R647" s="54"/>
    </row>
    <row r="648" spans="1:18" ht="12.75">
      <c r="A648" s="6"/>
      <c r="B648" s="6"/>
      <c r="C648" s="6"/>
      <c r="D648" s="6"/>
      <c r="E648" s="6"/>
      <c r="F648" s="6"/>
      <c r="G648" s="6"/>
      <c r="H648" s="6"/>
      <c r="I648" s="6"/>
      <c r="J648" s="6"/>
      <c r="K648" s="22"/>
      <c r="L648" s="6"/>
      <c r="M648" s="6"/>
      <c r="N648" s="6"/>
      <c r="O648" s="6"/>
      <c r="P648" s="6"/>
      <c r="Q648" s="6"/>
      <c r="R648" s="54"/>
    </row>
    <row r="649" spans="1:18" ht="12.75">
      <c r="A649" s="6"/>
      <c r="B649" s="6"/>
      <c r="C649" s="6"/>
      <c r="D649" s="6"/>
      <c r="E649" s="6"/>
      <c r="F649" s="6"/>
      <c r="G649" s="6"/>
      <c r="H649" s="6"/>
      <c r="I649" s="6"/>
      <c r="J649" s="6"/>
      <c r="K649" s="22"/>
      <c r="L649" s="6"/>
      <c r="M649" s="6"/>
      <c r="N649" s="6"/>
      <c r="O649" s="6"/>
      <c r="P649" s="6"/>
      <c r="Q649" s="6"/>
      <c r="R649" s="54"/>
    </row>
    <row r="650" spans="1:18" ht="12.75">
      <c r="A650" s="6"/>
      <c r="B650" s="6"/>
      <c r="C650" s="6"/>
      <c r="D650" s="6"/>
      <c r="E650" s="6"/>
      <c r="F650" s="6"/>
      <c r="G650" s="6"/>
      <c r="H650" s="6"/>
      <c r="I650" s="6"/>
      <c r="J650" s="6"/>
      <c r="K650" s="22"/>
      <c r="L650" s="6"/>
      <c r="M650" s="6"/>
      <c r="N650" s="6"/>
      <c r="O650" s="6"/>
      <c r="P650" s="6"/>
      <c r="Q650" s="6"/>
      <c r="R650" s="54"/>
    </row>
    <row r="651" spans="1:18" ht="12.75">
      <c r="A651" s="6"/>
      <c r="B651" s="6"/>
      <c r="C651" s="6"/>
      <c r="D651" s="6"/>
      <c r="E651" s="6"/>
      <c r="F651" s="6"/>
      <c r="G651" s="6"/>
      <c r="H651" s="6"/>
      <c r="I651" s="6"/>
      <c r="J651" s="6"/>
      <c r="K651" s="22"/>
      <c r="L651" s="6"/>
      <c r="M651" s="6"/>
      <c r="N651" s="6"/>
      <c r="O651" s="6"/>
      <c r="P651" s="6"/>
      <c r="Q651" s="6"/>
      <c r="R651" s="54"/>
    </row>
    <row r="652" spans="1:18" ht="12.75">
      <c r="A652" s="6"/>
      <c r="B652" s="6"/>
      <c r="C652" s="6"/>
      <c r="D652" s="6"/>
      <c r="E652" s="6"/>
      <c r="F652" s="6"/>
      <c r="G652" s="6"/>
      <c r="H652" s="6"/>
      <c r="I652" s="6"/>
      <c r="J652" s="6"/>
      <c r="K652" s="22"/>
      <c r="L652" s="6"/>
      <c r="M652" s="6"/>
      <c r="N652" s="6"/>
      <c r="O652" s="6"/>
      <c r="P652" s="6"/>
      <c r="Q652" s="6"/>
      <c r="R652" s="54"/>
    </row>
    <row r="653" spans="1:18" ht="12.75">
      <c r="A653" s="6"/>
      <c r="B653" s="6"/>
      <c r="C653" s="6"/>
      <c r="D653" s="6"/>
      <c r="E653" s="6"/>
      <c r="F653" s="6"/>
      <c r="G653" s="6"/>
      <c r="H653" s="6"/>
      <c r="I653" s="6"/>
      <c r="J653" s="6"/>
      <c r="K653" s="22"/>
      <c r="L653" s="6"/>
      <c r="M653" s="6"/>
      <c r="N653" s="6"/>
      <c r="O653" s="6"/>
      <c r="P653" s="6"/>
      <c r="Q653" s="6"/>
      <c r="R653" s="54"/>
    </row>
    <row r="654" spans="1:18" ht="12.75">
      <c r="A654" s="6"/>
      <c r="B654" s="6"/>
      <c r="C654" s="6"/>
      <c r="D654" s="6"/>
      <c r="E654" s="6"/>
      <c r="F654" s="6"/>
      <c r="G654" s="6"/>
      <c r="H654" s="6"/>
      <c r="I654" s="6"/>
      <c r="J654" s="6"/>
      <c r="K654" s="22"/>
      <c r="L654" s="6"/>
      <c r="M654" s="6"/>
      <c r="N654" s="6"/>
      <c r="O654" s="6"/>
      <c r="P654" s="6"/>
      <c r="Q654" s="6"/>
      <c r="R654" s="54"/>
    </row>
    <row r="655" spans="1:18" ht="12.75">
      <c r="A655" s="6"/>
      <c r="B655" s="6"/>
      <c r="C655" s="6"/>
      <c r="D655" s="6"/>
      <c r="E655" s="6"/>
      <c r="F655" s="6"/>
      <c r="G655" s="6"/>
      <c r="H655" s="6"/>
      <c r="I655" s="6"/>
      <c r="J655" s="6"/>
      <c r="K655" s="22"/>
      <c r="L655" s="6"/>
      <c r="M655" s="6"/>
      <c r="N655" s="6"/>
      <c r="O655" s="6"/>
      <c r="P655" s="6"/>
      <c r="Q655" s="6"/>
      <c r="R655" s="54"/>
    </row>
    <row r="656" spans="1:18" ht="12.75">
      <c r="A656" s="6"/>
      <c r="B656" s="6"/>
      <c r="C656" s="6"/>
      <c r="D656" s="6"/>
      <c r="E656" s="6"/>
      <c r="F656" s="6"/>
      <c r="G656" s="6"/>
      <c r="H656" s="6"/>
      <c r="I656" s="6"/>
      <c r="J656" s="6"/>
      <c r="K656" s="22"/>
      <c r="L656" s="6"/>
      <c r="M656" s="6"/>
      <c r="N656" s="6"/>
      <c r="O656" s="6"/>
      <c r="P656" s="6"/>
      <c r="Q656" s="6"/>
      <c r="R656" s="54"/>
    </row>
    <row r="657" spans="1:18" ht="12.75">
      <c r="A657" s="6"/>
      <c r="B657" s="6"/>
      <c r="C657" s="6"/>
      <c r="D657" s="6"/>
      <c r="E657" s="6"/>
      <c r="F657" s="6"/>
      <c r="G657" s="6"/>
      <c r="H657" s="6"/>
      <c r="I657" s="6"/>
      <c r="J657" s="6"/>
      <c r="K657" s="22"/>
      <c r="L657" s="6"/>
      <c r="M657" s="6"/>
      <c r="N657" s="6"/>
      <c r="O657" s="6"/>
      <c r="P657" s="6"/>
      <c r="Q657" s="6"/>
      <c r="R657" s="54"/>
    </row>
    <row r="658" spans="1:18" ht="12.75">
      <c r="A658" s="6"/>
      <c r="B658" s="6"/>
      <c r="C658" s="6"/>
      <c r="D658" s="6"/>
      <c r="E658" s="6"/>
      <c r="F658" s="6"/>
      <c r="G658" s="6"/>
      <c r="H658" s="6"/>
      <c r="I658" s="6"/>
      <c r="J658" s="6"/>
      <c r="K658" s="22"/>
      <c r="L658" s="6"/>
      <c r="M658" s="6"/>
      <c r="N658" s="6"/>
      <c r="O658" s="6"/>
      <c r="P658" s="6"/>
      <c r="Q658" s="6"/>
      <c r="R658" s="54"/>
    </row>
    <row r="659" spans="1:18" ht="12.75">
      <c r="A659" s="6"/>
      <c r="B659" s="6"/>
      <c r="C659" s="6"/>
      <c r="D659" s="6"/>
      <c r="E659" s="6"/>
      <c r="F659" s="6"/>
      <c r="G659" s="6"/>
      <c r="H659" s="6"/>
      <c r="I659" s="6"/>
      <c r="J659" s="6"/>
      <c r="K659" s="22"/>
      <c r="L659" s="6"/>
      <c r="M659" s="6"/>
      <c r="N659" s="6"/>
      <c r="O659" s="6"/>
      <c r="P659" s="6"/>
      <c r="Q659" s="6"/>
      <c r="R659" s="54"/>
    </row>
    <row r="660" spans="1:18" ht="12.75">
      <c r="A660" s="6"/>
      <c r="B660" s="6"/>
      <c r="C660" s="6"/>
      <c r="D660" s="6"/>
      <c r="E660" s="6"/>
      <c r="F660" s="6"/>
      <c r="G660" s="6"/>
      <c r="H660" s="6"/>
      <c r="I660" s="6"/>
      <c r="J660" s="6"/>
      <c r="K660" s="22"/>
      <c r="L660" s="6"/>
      <c r="M660" s="6"/>
      <c r="N660" s="6"/>
      <c r="O660" s="6"/>
      <c r="P660" s="6"/>
      <c r="Q660" s="6"/>
      <c r="R660" s="54"/>
    </row>
    <row r="661" spans="1:18" ht="12.75">
      <c r="A661" s="6"/>
      <c r="B661" s="6"/>
      <c r="C661" s="6"/>
      <c r="D661" s="6"/>
      <c r="E661" s="6"/>
      <c r="F661" s="6"/>
      <c r="G661" s="6"/>
      <c r="H661" s="6"/>
      <c r="I661" s="6"/>
      <c r="J661" s="6"/>
      <c r="K661" s="22"/>
      <c r="L661" s="6"/>
      <c r="M661" s="6"/>
      <c r="N661" s="6"/>
      <c r="O661" s="6"/>
      <c r="P661" s="6"/>
      <c r="Q661" s="6"/>
      <c r="R661" s="54"/>
    </row>
    <row r="662" spans="1:18" ht="12.75">
      <c r="A662" s="6"/>
      <c r="B662" s="6"/>
      <c r="C662" s="6"/>
      <c r="D662" s="6"/>
      <c r="E662" s="6"/>
      <c r="F662" s="6"/>
      <c r="G662" s="6"/>
      <c r="H662" s="6"/>
      <c r="I662" s="6"/>
      <c r="J662" s="6"/>
      <c r="K662" s="22"/>
      <c r="L662" s="6"/>
      <c r="M662" s="6"/>
      <c r="N662" s="6"/>
      <c r="O662" s="6"/>
      <c r="P662" s="6"/>
      <c r="Q662" s="6"/>
      <c r="R662" s="54"/>
    </row>
    <row r="663" spans="1:18" ht="12.75">
      <c r="A663" s="6"/>
      <c r="B663" s="6"/>
      <c r="C663" s="6"/>
      <c r="D663" s="6"/>
      <c r="E663" s="6"/>
      <c r="F663" s="6"/>
      <c r="G663" s="6"/>
      <c r="H663" s="6"/>
      <c r="I663" s="6"/>
      <c r="J663" s="6"/>
      <c r="K663" s="22"/>
      <c r="L663" s="6"/>
      <c r="M663" s="6"/>
      <c r="N663" s="6"/>
      <c r="O663" s="6"/>
      <c r="P663" s="6"/>
      <c r="Q663" s="6"/>
      <c r="R663" s="54"/>
    </row>
    <row r="664" spans="1:18" ht="12.75">
      <c r="A664" s="6"/>
      <c r="B664" s="6"/>
      <c r="C664" s="6"/>
      <c r="D664" s="6"/>
      <c r="E664" s="6"/>
      <c r="F664" s="6"/>
      <c r="G664" s="6"/>
      <c r="H664" s="6"/>
      <c r="I664" s="6"/>
      <c r="J664" s="6"/>
      <c r="K664" s="22"/>
      <c r="L664" s="6"/>
      <c r="M664" s="6"/>
      <c r="N664" s="6"/>
      <c r="O664" s="6"/>
      <c r="P664" s="6"/>
      <c r="Q664" s="6"/>
      <c r="R664" s="54"/>
    </row>
    <row r="665" spans="1:18" ht="12.75">
      <c r="A665" s="6"/>
      <c r="B665" s="6"/>
      <c r="C665" s="6"/>
      <c r="D665" s="6"/>
      <c r="E665" s="6"/>
      <c r="F665" s="6"/>
      <c r="G665" s="6"/>
      <c r="H665" s="6"/>
      <c r="I665" s="6"/>
      <c r="J665" s="6"/>
      <c r="K665" s="22"/>
      <c r="L665" s="6"/>
      <c r="M665" s="6"/>
      <c r="N665" s="6"/>
      <c r="O665" s="6"/>
      <c r="P665" s="6"/>
      <c r="Q665" s="6"/>
      <c r="R665" s="54"/>
    </row>
    <row r="666" spans="1:18" ht="12.75">
      <c r="A666" s="6"/>
      <c r="B666" s="6"/>
      <c r="C666" s="6"/>
      <c r="D666" s="6"/>
      <c r="E666" s="6"/>
      <c r="F666" s="6"/>
      <c r="G666" s="6"/>
      <c r="H666" s="6"/>
      <c r="I666" s="6"/>
      <c r="J666" s="6"/>
      <c r="K666" s="22"/>
      <c r="L666" s="6"/>
      <c r="M666" s="6"/>
      <c r="N666" s="6"/>
      <c r="O666" s="6"/>
      <c r="P666" s="6"/>
      <c r="Q666" s="6"/>
      <c r="R666" s="54"/>
    </row>
    <row r="667" spans="1:18" ht="12.75">
      <c r="A667" s="6"/>
      <c r="B667" s="6"/>
      <c r="C667" s="6"/>
      <c r="D667" s="6"/>
      <c r="E667" s="6"/>
      <c r="F667" s="6"/>
      <c r="G667" s="6"/>
      <c r="H667" s="6"/>
      <c r="I667" s="6"/>
      <c r="J667" s="6"/>
      <c r="K667" s="22"/>
      <c r="L667" s="6"/>
      <c r="M667" s="6"/>
      <c r="N667" s="6"/>
      <c r="O667" s="6"/>
      <c r="P667" s="6"/>
      <c r="Q667" s="6"/>
      <c r="R667" s="54"/>
    </row>
    <row r="668" spans="1:18" ht="12.75">
      <c r="A668" s="6"/>
      <c r="B668" s="6"/>
      <c r="C668" s="6"/>
      <c r="D668" s="6"/>
      <c r="E668" s="6"/>
      <c r="F668" s="6"/>
      <c r="G668" s="6"/>
      <c r="H668" s="6"/>
      <c r="I668" s="6"/>
      <c r="J668" s="6"/>
      <c r="K668" s="22"/>
      <c r="L668" s="6"/>
      <c r="M668" s="6"/>
      <c r="N668" s="6"/>
      <c r="O668" s="6"/>
      <c r="P668" s="6"/>
      <c r="Q668" s="6"/>
      <c r="R668" s="54"/>
    </row>
    <row r="669" spans="1:18" ht="12.75">
      <c r="A669" s="6"/>
      <c r="B669" s="6"/>
      <c r="C669" s="6"/>
      <c r="D669" s="6"/>
      <c r="E669" s="6"/>
      <c r="F669" s="6"/>
      <c r="G669" s="6"/>
      <c r="H669" s="6"/>
      <c r="I669" s="6"/>
      <c r="J669" s="6"/>
      <c r="K669" s="22"/>
      <c r="L669" s="6"/>
      <c r="M669" s="6"/>
      <c r="N669" s="6"/>
      <c r="O669" s="6"/>
      <c r="P669" s="6"/>
      <c r="Q669" s="6"/>
      <c r="R669" s="54"/>
    </row>
    <row r="670" spans="1:18" ht="12.75">
      <c r="A670" s="6"/>
      <c r="B670" s="6"/>
      <c r="C670" s="6"/>
      <c r="D670" s="6"/>
      <c r="E670" s="6"/>
      <c r="F670" s="6"/>
      <c r="G670" s="6"/>
      <c r="H670" s="6"/>
      <c r="I670" s="6"/>
      <c r="J670" s="6"/>
      <c r="K670" s="22"/>
      <c r="L670" s="6"/>
      <c r="M670" s="6"/>
      <c r="N670" s="6"/>
      <c r="O670" s="6"/>
      <c r="P670" s="6"/>
      <c r="Q670" s="6"/>
      <c r="R670" s="54"/>
    </row>
    <row r="671" spans="1:18" ht="12.75">
      <c r="A671" s="6"/>
      <c r="B671" s="6"/>
      <c r="C671" s="6"/>
      <c r="D671" s="6"/>
      <c r="E671" s="6"/>
      <c r="F671" s="6"/>
      <c r="G671" s="6"/>
      <c r="H671" s="6"/>
      <c r="I671" s="6"/>
      <c r="J671" s="6"/>
      <c r="K671" s="22"/>
      <c r="L671" s="6"/>
      <c r="M671" s="6"/>
      <c r="N671" s="6"/>
      <c r="O671" s="6"/>
      <c r="P671" s="6"/>
      <c r="Q671" s="6"/>
      <c r="R671" s="54"/>
    </row>
    <row r="672" spans="1:18" ht="12.75">
      <c r="A672" s="6"/>
      <c r="B672" s="6"/>
      <c r="C672" s="6"/>
      <c r="D672" s="6"/>
      <c r="E672" s="6"/>
      <c r="F672" s="6"/>
      <c r="G672" s="6"/>
      <c r="H672" s="6"/>
      <c r="I672" s="6"/>
      <c r="J672" s="6"/>
      <c r="K672" s="22"/>
      <c r="L672" s="6"/>
      <c r="M672" s="6"/>
      <c r="N672" s="6"/>
      <c r="O672" s="6"/>
      <c r="P672" s="6"/>
      <c r="Q672" s="6"/>
      <c r="R672" s="54"/>
    </row>
    <row r="673" spans="1:18" ht="12.75">
      <c r="A673" s="6"/>
      <c r="B673" s="6"/>
      <c r="C673" s="6"/>
      <c r="D673" s="6"/>
      <c r="E673" s="6"/>
      <c r="F673" s="6"/>
      <c r="G673" s="6"/>
      <c r="H673" s="6"/>
      <c r="I673" s="6"/>
      <c r="J673" s="6"/>
      <c r="K673" s="22"/>
      <c r="L673" s="6"/>
      <c r="M673" s="6"/>
      <c r="N673" s="6"/>
      <c r="O673" s="6"/>
      <c r="P673" s="6"/>
      <c r="Q673" s="6"/>
      <c r="R673" s="54"/>
    </row>
    <row r="674" spans="1:18" ht="12.75">
      <c r="A674" s="6"/>
      <c r="B674" s="6"/>
      <c r="C674" s="6"/>
      <c r="D674" s="6"/>
      <c r="E674" s="6"/>
      <c r="F674" s="6"/>
      <c r="G674" s="6"/>
      <c r="H674" s="6"/>
      <c r="I674" s="6"/>
      <c r="J674" s="6"/>
      <c r="K674" s="22"/>
      <c r="L674" s="6"/>
      <c r="M674" s="6"/>
      <c r="N674" s="6"/>
      <c r="O674" s="6"/>
      <c r="P674" s="6"/>
      <c r="Q674" s="6"/>
      <c r="R674" s="54"/>
    </row>
    <row r="675" spans="1:18" ht="12.75">
      <c r="A675" s="6"/>
      <c r="B675" s="6"/>
      <c r="C675" s="6"/>
      <c r="D675" s="6"/>
      <c r="E675" s="6"/>
      <c r="F675" s="6"/>
      <c r="G675" s="6"/>
      <c r="H675" s="6"/>
      <c r="I675" s="6"/>
      <c r="J675" s="6"/>
      <c r="K675" s="22"/>
      <c r="L675" s="6"/>
      <c r="M675" s="6"/>
      <c r="N675" s="6"/>
      <c r="O675" s="6"/>
      <c r="P675" s="6"/>
      <c r="Q675" s="6"/>
      <c r="R675" s="54"/>
    </row>
    <row r="676" spans="1:18" ht="12.75">
      <c r="A676" s="6"/>
      <c r="B676" s="6"/>
      <c r="C676" s="6"/>
      <c r="D676" s="6"/>
      <c r="E676" s="6"/>
      <c r="F676" s="6"/>
      <c r="G676" s="6"/>
      <c r="H676" s="6"/>
      <c r="I676" s="6"/>
      <c r="J676" s="6"/>
      <c r="K676" s="22"/>
      <c r="L676" s="6"/>
      <c r="M676" s="6"/>
      <c r="N676" s="6"/>
      <c r="O676" s="6"/>
      <c r="P676" s="6"/>
      <c r="Q676" s="6"/>
      <c r="R676" s="54"/>
    </row>
    <row r="677" spans="1:18" ht="12.75">
      <c r="A677" s="6"/>
      <c r="B677" s="6"/>
      <c r="C677" s="6"/>
      <c r="D677" s="6"/>
      <c r="E677" s="6"/>
      <c r="F677" s="6"/>
      <c r="G677" s="6"/>
      <c r="H677" s="6"/>
      <c r="I677" s="6"/>
      <c r="J677" s="6"/>
      <c r="K677" s="22"/>
      <c r="L677" s="6"/>
      <c r="M677" s="6"/>
      <c r="N677" s="6"/>
      <c r="O677" s="6"/>
      <c r="P677" s="6"/>
      <c r="Q677" s="6"/>
      <c r="R677" s="54"/>
    </row>
    <row r="678" spans="1:18" ht="12.75">
      <c r="A678" s="6"/>
      <c r="B678" s="6"/>
      <c r="C678" s="6"/>
      <c r="D678" s="6"/>
      <c r="E678" s="6"/>
      <c r="F678" s="6"/>
      <c r="G678" s="6"/>
      <c r="H678" s="6"/>
      <c r="I678" s="6"/>
      <c r="J678" s="6"/>
      <c r="K678" s="22"/>
      <c r="L678" s="6"/>
      <c r="M678" s="6"/>
      <c r="N678" s="6"/>
      <c r="O678" s="6"/>
      <c r="P678" s="6"/>
      <c r="Q678" s="6"/>
      <c r="R678" s="54"/>
    </row>
    <row r="679" spans="1:18" ht="12.75">
      <c r="A679" s="6"/>
      <c r="B679" s="6"/>
      <c r="C679" s="6"/>
      <c r="D679" s="6"/>
      <c r="E679" s="6"/>
      <c r="F679" s="6"/>
      <c r="G679" s="6"/>
      <c r="H679" s="6"/>
      <c r="I679" s="6"/>
      <c r="J679" s="6"/>
      <c r="K679" s="22"/>
      <c r="L679" s="6"/>
      <c r="M679" s="6"/>
      <c r="N679" s="6"/>
      <c r="O679" s="6"/>
      <c r="P679" s="6"/>
      <c r="Q679" s="6"/>
      <c r="R679" s="54"/>
    </row>
    <row r="680" spans="1:18" ht="12.75">
      <c r="A680" s="6"/>
      <c r="B680" s="6"/>
      <c r="C680" s="6"/>
      <c r="D680" s="6"/>
      <c r="E680" s="6"/>
      <c r="F680" s="6"/>
      <c r="G680" s="6"/>
      <c r="H680" s="6"/>
      <c r="I680" s="6"/>
      <c r="J680" s="6"/>
      <c r="K680" s="22"/>
      <c r="L680" s="6"/>
      <c r="M680" s="6"/>
      <c r="N680" s="6"/>
      <c r="O680" s="6"/>
      <c r="P680" s="6"/>
      <c r="Q680" s="6"/>
      <c r="R680" s="54"/>
    </row>
    <row r="681" spans="1:18" ht="12.75">
      <c r="A681" s="6"/>
      <c r="B681" s="6"/>
      <c r="C681" s="6"/>
      <c r="D681" s="6"/>
      <c r="E681" s="6"/>
      <c r="F681" s="6"/>
      <c r="G681" s="6"/>
      <c r="H681" s="6"/>
      <c r="I681" s="6"/>
      <c r="J681" s="6"/>
      <c r="K681" s="22"/>
      <c r="L681" s="6"/>
      <c r="M681" s="6"/>
      <c r="N681" s="6"/>
      <c r="O681" s="6"/>
      <c r="P681" s="6"/>
      <c r="Q681" s="6"/>
      <c r="R681" s="54"/>
    </row>
    <row r="682" spans="1:18" ht="12.75">
      <c r="A682" s="6"/>
      <c r="B682" s="6"/>
      <c r="C682" s="6"/>
      <c r="D682" s="6"/>
      <c r="E682" s="6"/>
      <c r="F682" s="6"/>
      <c r="G682" s="6"/>
      <c r="H682" s="6"/>
      <c r="I682" s="6"/>
      <c r="J682" s="6"/>
      <c r="K682" s="22"/>
      <c r="L682" s="6"/>
      <c r="M682" s="6"/>
      <c r="N682" s="6"/>
      <c r="O682" s="6"/>
      <c r="P682" s="6"/>
      <c r="Q682" s="6"/>
      <c r="R682" s="54"/>
    </row>
    <row r="683" spans="1:18" ht="12.75">
      <c r="A683" s="6"/>
      <c r="B683" s="6"/>
      <c r="C683" s="6"/>
      <c r="D683" s="6"/>
      <c r="E683" s="6"/>
      <c r="F683" s="6"/>
      <c r="G683" s="6"/>
      <c r="H683" s="6"/>
      <c r="I683" s="6"/>
      <c r="J683" s="6"/>
      <c r="K683" s="22"/>
      <c r="L683" s="6"/>
      <c r="M683" s="6"/>
      <c r="N683" s="6"/>
      <c r="O683" s="6"/>
      <c r="P683" s="6"/>
      <c r="Q683" s="6"/>
      <c r="R683" s="54"/>
    </row>
    <row r="684" spans="1:18" ht="12.75">
      <c r="A684" s="6"/>
      <c r="B684" s="6"/>
      <c r="C684" s="6"/>
      <c r="D684" s="6"/>
      <c r="E684" s="6"/>
      <c r="F684" s="6"/>
      <c r="G684" s="6"/>
      <c r="H684" s="6"/>
      <c r="I684" s="6"/>
      <c r="J684" s="6"/>
      <c r="K684" s="22"/>
      <c r="L684" s="6"/>
      <c r="M684" s="6"/>
      <c r="N684" s="6"/>
      <c r="O684" s="6"/>
      <c r="P684" s="6"/>
      <c r="Q684" s="6"/>
      <c r="R684" s="54"/>
    </row>
    <row r="685" spans="1:18" ht="12.75">
      <c r="A685" s="6"/>
      <c r="B685" s="6"/>
      <c r="C685" s="6"/>
      <c r="D685" s="6"/>
      <c r="E685" s="6"/>
      <c r="F685" s="6"/>
      <c r="G685" s="6"/>
      <c r="H685" s="6"/>
      <c r="I685" s="6"/>
      <c r="J685" s="6"/>
      <c r="K685" s="22"/>
      <c r="L685" s="6"/>
      <c r="M685" s="6"/>
      <c r="N685" s="6"/>
      <c r="O685" s="6"/>
      <c r="P685" s="6"/>
      <c r="Q685" s="6"/>
      <c r="R685" s="54"/>
    </row>
    <row r="686" spans="1:18" ht="12.75">
      <c r="A686" s="6"/>
      <c r="B686" s="6"/>
      <c r="C686" s="6"/>
      <c r="D686" s="6"/>
      <c r="E686" s="6"/>
      <c r="F686" s="6"/>
      <c r="G686" s="6"/>
      <c r="H686" s="6"/>
      <c r="I686" s="6"/>
      <c r="J686" s="6"/>
      <c r="K686" s="22"/>
      <c r="L686" s="6"/>
      <c r="M686" s="6"/>
      <c r="N686" s="6"/>
      <c r="O686" s="6"/>
      <c r="P686" s="6"/>
      <c r="Q686" s="6"/>
      <c r="R686" s="54"/>
    </row>
    <row r="687" spans="1:18" ht="12.75">
      <c r="A687" s="6"/>
      <c r="B687" s="6"/>
      <c r="C687" s="6"/>
      <c r="D687" s="6"/>
      <c r="E687" s="6"/>
      <c r="F687" s="6"/>
      <c r="G687" s="6"/>
      <c r="H687" s="6"/>
      <c r="I687" s="6"/>
      <c r="J687" s="6"/>
      <c r="K687" s="22"/>
      <c r="L687" s="6"/>
      <c r="M687" s="6"/>
      <c r="N687" s="6"/>
      <c r="O687" s="6"/>
      <c r="P687" s="6"/>
      <c r="Q687" s="6"/>
      <c r="R687" s="54"/>
    </row>
    <row r="688" spans="1:18" ht="12.75">
      <c r="A688" s="6"/>
      <c r="B688" s="6"/>
      <c r="C688" s="6"/>
      <c r="D688" s="6"/>
      <c r="E688" s="6"/>
      <c r="F688" s="6"/>
      <c r="G688" s="6"/>
      <c r="H688" s="6"/>
      <c r="I688" s="6"/>
      <c r="J688" s="6"/>
      <c r="K688" s="22"/>
      <c r="L688" s="6"/>
      <c r="M688" s="6"/>
      <c r="N688" s="6"/>
      <c r="O688" s="6"/>
      <c r="P688" s="6"/>
      <c r="Q688" s="6"/>
      <c r="R688" s="54"/>
    </row>
    <row r="689" spans="1:18" ht="12.75">
      <c r="A689" s="6"/>
      <c r="B689" s="6"/>
      <c r="C689" s="6"/>
      <c r="D689" s="6"/>
      <c r="E689" s="6"/>
      <c r="F689" s="6"/>
      <c r="G689" s="6"/>
      <c r="H689" s="6"/>
      <c r="I689" s="6"/>
      <c r="J689" s="6"/>
      <c r="K689" s="22"/>
      <c r="L689" s="6"/>
      <c r="M689" s="6"/>
      <c r="N689" s="6"/>
      <c r="O689" s="6"/>
      <c r="P689" s="6"/>
      <c r="Q689" s="6"/>
      <c r="R689" s="54"/>
    </row>
    <row r="690" spans="1:18" ht="12.75">
      <c r="A690" s="6"/>
      <c r="B690" s="6"/>
      <c r="C690" s="6"/>
      <c r="D690" s="6"/>
      <c r="E690" s="6"/>
      <c r="F690" s="6"/>
      <c r="G690" s="6"/>
      <c r="H690" s="6"/>
      <c r="I690" s="6"/>
      <c r="J690" s="6"/>
      <c r="K690" s="22"/>
      <c r="L690" s="6"/>
      <c r="M690" s="6"/>
      <c r="N690" s="6"/>
      <c r="O690" s="6"/>
      <c r="P690" s="6"/>
      <c r="Q690" s="6"/>
      <c r="R690" s="54"/>
    </row>
    <row r="691" spans="1:18" ht="12.75">
      <c r="A691" s="6"/>
      <c r="B691" s="6"/>
      <c r="C691" s="6"/>
      <c r="D691" s="6"/>
      <c r="E691" s="6"/>
      <c r="F691" s="6"/>
      <c r="G691" s="6"/>
      <c r="H691" s="6"/>
      <c r="I691" s="6"/>
      <c r="J691" s="6"/>
      <c r="K691" s="22"/>
      <c r="L691" s="6"/>
      <c r="M691" s="6"/>
      <c r="N691" s="6"/>
      <c r="O691" s="6"/>
      <c r="P691" s="6"/>
      <c r="Q691" s="6"/>
      <c r="R691" s="54"/>
    </row>
    <row r="692" spans="1:18" ht="12.75">
      <c r="A692" s="6"/>
      <c r="B692" s="6"/>
      <c r="C692" s="6"/>
      <c r="D692" s="6"/>
      <c r="E692" s="6"/>
      <c r="F692" s="6"/>
      <c r="G692" s="6"/>
      <c r="H692" s="6"/>
      <c r="I692" s="6"/>
      <c r="J692" s="6"/>
      <c r="K692" s="22"/>
      <c r="L692" s="6"/>
      <c r="M692" s="6"/>
      <c r="N692" s="6"/>
      <c r="O692" s="6"/>
      <c r="P692" s="6"/>
      <c r="Q692" s="6"/>
      <c r="R692" s="54"/>
    </row>
    <row r="693" spans="1:18" ht="12.75">
      <c r="A693" s="6"/>
      <c r="B693" s="6"/>
      <c r="C693" s="6"/>
      <c r="D693" s="6"/>
      <c r="E693" s="6"/>
      <c r="F693" s="6"/>
      <c r="G693" s="6"/>
      <c r="H693" s="6"/>
      <c r="I693" s="6"/>
      <c r="J693" s="6"/>
      <c r="K693" s="22"/>
      <c r="L693" s="6"/>
      <c r="M693" s="6"/>
      <c r="N693" s="6"/>
      <c r="O693" s="6"/>
      <c r="P693" s="6"/>
      <c r="Q693" s="6"/>
      <c r="R693" s="54"/>
    </row>
    <row r="694" spans="1:18" ht="12.75">
      <c r="A694" s="6"/>
      <c r="B694" s="6"/>
      <c r="C694" s="6"/>
      <c r="D694" s="6"/>
      <c r="E694" s="6"/>
      <c r="F694" s="6"/>
      <c r="G694" s="6"/>
      <c r="H694" s="6"/>
      <c r="I694" s="6"/>
      <c r="J694" s="6"/>
      <c r="K694" s="22"/>
      <c r="L694" s="6"/>
      <c r="M694" s="6"/>
      <c r="N694" s="6"/>
      <c r="O694" s="6"/>
      <c r="P694" s="6"/>
      <c r="Q694" s="6"/>
      <c r="R694" s="54"/>
    </row>
    <row r="695" spans="1:18" ht="12.75">
      <c r="A695" s="6"/>
      <c r="B695" s="6"/>
      <c r="C695" s="6"/>
      <c r="D695" s="6"/>
      <c r="E695" s="6"/>
      <c r="F695" s="6"/>
      <c r="G695" s="6"/>
      <c r="H695" s="6"/>
      <c r="I695" s="6"/>
      <c r="J695" s="6"/>
      <c r="K695" s="22"/>
      <c r="L695" s="6"/>
      <c r="M695" s="6"/>
      <c r="N695" s="6"/>
      <c r="O695" s="6"/>
      <c r="P695" s="6"/>
      <c r="Q695" s="6"/>
      <c r="R695" s="54"/>
    </row>
    <row r="696" spans="1:18" ht="12.75">
      <c r="A696" s="6"/>
      <c r="B696" s="6"/>
      <c r="C696" s="6"/>
      <c r="D696" s="6"/>
      <c r="E696" s="6"/>
      <c r="F696" s="6"/>
      <c r="G696" s="6"/>
      <c r="H696" s="6"/>
      <c r="I696" s="6"/>
      <c r="J696" s="6"/>
      <c r="K696" s="22"/>
      <c r="L696" s="6"/>
      <c r="M696" s="6"/>
      <c r="N696" s="6"/>
      <c r="O696" s="6"/>
      <c r="P696" s="6"/>
      <c r="Q696" s="6"/>
      <c r="R696" s="54"/>
    </row>
    <row r="697" spans="1:18" ht="12.75">
      <c r="A697" s="6"/>
      <c r="B697" s="6"/>
      <c r="C697" s="6"/>
      <c r="D697" s="6"/>
      <c r="E697" s="6"/>
      <c r="F697" s="6"/>
      <c r="G697" s="6"/>
      <c r="H697" s="6"/>
      <c r="I697" s="6"/>
      <c r="J697" s="6"/>
      <c r="K697" s="22"/>
      <c r="L697" s="6"/>
      <c r="M697" s="6"/>
      <c r="N697" s="6"/>
      <c r="O697" s="6"/>
      <c r="P697" s="6"/>
      <c r="Q697" s="6"/>
      <c r="R697" s="54"/>
    </row>
    <row r="698" spans="1:18" ht="12.75">
      <c r="A698" s="6"/>
      <c r="B698" s="6"/>
      <c r="C698" s="6"/>
      <c r="D698" s="6"/>
      <c r="E698" s="6"/>
      <c r="F698" s="6"/>
      <c r="G698" s="6"/>
      <c r="H698" s="6"/>
      <c r="I698" s="6"/>
      <c r="J698" s="6"/>
      <c r="K698" s="22"/>
      <c r="L698" s="6"/>
      <c r="M698" s="6"/>
      <c r="N698" s="6"/>
      <c r="O698" s="6"/>
      <c r="P698" s="6"/>
      <c r="Q698" s="6"/>
      <c r="R698" s="54"/>
    </row>
    <row r="699" spans="1:18" ht="12.75">
      <c r="A699" s="6"/>
      <c r="B699" s="6"/>
      <c r="C699" s="6"/>
      <c r="D699" s="6"/>
      <c r="E699" s="6"/>
      <c r="F699" s="6"/>
      <c r="G699" s="6"/>
      <c r="H699" s="6"/>
      <c r="I699" s="6"/>
      <c r="J699" s="6"/>
      <c r="K699" s="22"/>
      <c r="L699" s="6"/>
      <c r="M699" s="6"/>
      <c r="N699" s="6"/>
      <c r="O699" s="6"/>
      <c r="P699" s="6"/>
      <c r="Q699" s="6"/>
      <c r="R699" s="54"/>
    </row>
    <row r="700" spans="1:18" ht="12.75">
      <c r="A700" s="6"/>
      <c r="B700" s="6"/>
      <c r="C700" s="6"/>
      <c r="D700" s="6"/>
      <c r="E700" s="6"/>
      <c r="F700" s="6"/>
      <c r="G700" s="6"/>
      <c r="H700" s="6"/>
      <c r="I700" s="6"/>
      <c r="J700" s="6"/>
      <c r="K700" s="22"/>
      <c r="L700" s="6"/>
      <c r="M700" s="6"/>
      <c r="N700" s="6"/>
      <c r="O700" s="6"/>
      <c r="P700" s="6"/>
      <c r="Q700" s="6"/>
      <c r="R700" s="54"/>
    </row>
    <row r="701" spans="1:18" ht="12.75">
      <c r="A701" s="6"/>
      <c r="B701" s="6"/>
      <c r="C701" s="6"/>
      <c r="D701" s="6"/>
      <c r="E701" s="6"/>
      <c r="F701" s="6"/>
      <c r="G701" s="6"/>
      <c r="H701" s="6"/>
      <c r="I701" s="6"/>
      <c r="J701" s="6"/>
      <c r="K701" s="22"/>
      <c r="L701" s="6"/>
      <c r="M701" s="6"/>
      <c r="N701" s="6"/>
      <c r="O701" s="6"/>
      <c r="P701" s="6"/>
      <c r="Q701" s="6"/>
      <c r="R701" s="54"/>
    </row>
    <row r="702" spans="1:18" ht="12.75">
      <c r="A702" s="6"/>
      <c r="B702" s="6"/>
      <c r="C702" s="6"/>
      <c r="D702" s="6"/>
      <c r="E702" s="6"/>
      <c r="F702" s="6"/>
      <c r="G702" s="6"/>
      <c r="H702" s="6"/>
      <c r="I702" s="6"/>
      <c r="J702" s="6"/>
      <c r="K702" s="22"/>
      <c r="L702" s="6"/>
      <c r="M702" s="6"/>
      <c r="N702" s="6"/>
      <c r="O702" s="6"/>
      <c r="P702" s="6"/>
      <c r="Q702" s="6"/>
      <c r="R702" s="54"/>
    </row>
    <row r="703" spans="1:18" ht="12.75">
      <c r="A703" s="6"/>
      <c r="B703" s="6"/>
      <c r="C703" s="6"/>
      <c r="D703" s="6"/>
      <c r="E703" s="6"/>
      <c r="F703" s="6"/>
      <c r="G703" s="6"/>
      <c r="H703" s="6"/>
      <c r="I703" s="6"/>
      <c r="J703" s="6"/>
      <c r="K703" s="22"/>
      <c r="L703" s="6"/>
      <c r="M703" s="6"/>
      <c r="N703" s="6"/>
      <c r="O703" s="6"/>
      <c r="P703" s="6"/>
      <c r="Q703" s="6"/>
      <c r="R703" s="54"/>
    </row>
    <row r="704" spans="1:18" ht="12.75">
      <c r="A704" s="6"/>
      <c r="B704" s="6"/>
      <c r="C704" s="6"/>
      <c r="D704" s="6"/>
      <c r="E704" s="6"/>
      <c r="F704" s="6"/>
      <c r="G704" s="6"/>
      <c r="H704" s="6"/>
      <c r="I704" s="6"/>
      <c r="J704" s="6"/>
      <c r="K704" s="22"/>
      <c r="L704" s="6"/>
      <c r="M704" s="6"/>
      <c r="N704" s="6"/>
      <c r="O704" s="6"/>
      <c r="P704" s="6"/>
      <c r="Q704" s="6"/>
      <c r="R704" s="54"/>
    </row>
    <row r="705" spans="1:18" ht="12.75">
      <c r="A705" s="6"/>
      <c r="B705" s="6"/>
      <c r="C705" s="6"/>
      <c r="D705" s="6"/>
      <c r="E705" s="6"/>
      <c r="F705" s="6"/>
      <c r="G705" s="6"/>
      <c r="H705" s="6"/>
      <c r="I705" s="6"/>
      <c r="J705" s="6"/>
      <c r="K705" s="22"/>
      <c r="L705" s="6"/>
      <c r="M705" s="6"/>
      <c r="N705" s="6"/>
      <c r="O705" s="6"/>
      <c r="P705" s="6"/>
      <c r="Q705" s="6"/>
      <c r="R705" s="54"/>
    </row>
    <row r="706" spans="1:18" ht="12.75">
      <c r="A706" s="6"/>
      <c r="B706" s="6"/>
      <c r="C706" s="6"/>
      <c r="D706" s="6"/>
      <c r="E706" s="6"/>
      <c r="F706" s="6"/>
      <c r="G706" s="6"/>
      <c r="H706" s="6"/>
      <c r="I706" s="6"/>
      <c r="J706" s="6"/>
      <c r="K706" s="22"/>
      <c r="L706" s="6"/>
      <c r="M706" s="6"/>
      <c r="N706" s="6"/>
      <c r="O706" s="6"/>
      <c r="P706" s="6"/>
      <c r="Q706" s="6"/>
      <c r="R706" s="54"/>
    </row>
    <row r="707" spans="1:18" ht="12.75">
      <c r="A707" s="6"/>
      <c r="B707" s="6"/>
      <c r="C707" s="6"/>
      <c r="D707" s="6"/>
      <c r="E707" s="6"/>
      <c r="F707" s="6"/>
      <c r="G707" s="6"/>
      <c r="H707" s="6"/>
      <c r="I707" s="6"/>
      <c r="J707" s="6"/>
      <c r="K707" s="22"/>
      <c r="L707" s="6"/>
      <c r="M707" s="6"/>
      <c r="N707" s="6"/>
      <c r="O707" s="6"/>
      <c r="P707" s="6"/>
      <c r="Q707" s="6"/>
      <c r="R707" s="54"/>
    </row>
    <row r="708" spans="1:18" ht="12.75">
      <c r="A708" s="6"/>
      <c r="B708" s="6"/>
      <c r="C708" s="6"/>
      <c r="D708" s="6"/>
      <c r="E708" s="6"/>
      <c r="F708" s="6"/>
      <c r="G708" s="6"/>
      <c r="H708" s="6"/>
      <c r="I708" s="6"/>
      <c r="J708" s="6"/>
      <c r="K708" s="22"/>
      <c r="L708" s="6"/>
      <c r="M708" s="6"/>
      <c r="N708" s="6"/>
      <c r="O708" s="6"/>
      <c r="P708" s="6"/>
      <c r="Q708" s="6"/>
      <c r="R708" s="54"/>
    </row>
    <row r="709" spans="1:18" ht="12.75">
      <c r="A709" s="6"/>
      <c r="B709" s="6"/>
      <c r="C709" s="6"/>
      <c r="D709" s="6"/>
      <c r="E709" s="6"/>
      <c r="F709" s="6"/>
      <c r="G709" s="6"/>
      <c r="H709" s="6"/>
      <c r="I709" s="6"/>
      <c r="J709" s="6"/>
      <c r="K709" s="22"/>
      <c r="L709" s="6"/>
      <c r="M709" s="6"/>
      <c r="N709" s="6"/>
      <c r="O709" s="6"/>
      <c r="P709" s="6"/>
      <c r="Q709" s="6"/>
      <c r="R709" s="54"/>
    </row>
    <row r="710" spans="1:18" ht="12.75">
      <c r="A710" s="6"/>
      <c r="B710" s="6"/>
      <c r="C710" s="6"/>
      <c r="D710" s="6"/>
      <c r="E710" s="6"/>
      <c r="F710" s="6"/>
      <c r="G710" s="6"/>
      <c r="H710" s="6"/>
      <c r="I710" s="6"/>
      <c r="J710" s="6"/>
      <c r="K710" s="22"/>
      <c r="L710" s="6"/>
      <c r="M710" s="6"/>
      <c r="N710" s="6"/>
      <c r="O710" s="6"/>
      <c r="P710" s="6"/>
      <c r="Q710" s="6"/>
      <c r="R710" s="54"/>
    </row>
    <row r="711" spans="1:18" ht="12.75">
      <c r="A711" s="6"/>
      <c r="B711" s="6"/>
      <c r="C711" s="6"/>
      <c r="D711" s="6"/>
      <c r="E711" s="6"/>
      <c r="F711" s="6"/>
      <c r="G711" s="6"/>
      <c r="H711" s="6"/>
      <c r="I711" s="6"/>
      <c r="J711" s="6"/>
      <c r="K711" s="22"/>
      <c r="L711" s="6"/>
      <c r="M711" s="6"/>
      <c r="N711" s="6"/>
      <c r="O711" s="6"/>
      <c r="P711" s="6"/>
      <c r="Q711" s="6"/>
      <c r="R711" s="54"/>
    </row>
    <row r="712" spans="1:18" ht="12.75">
      <c r="A712" s="6"/>
      <c r="B712" s="6"/>
      <c r="C712" s="6"/>
      <c r="D712" s="6"/>
      <c r="E712" s="6"/>
      <c r="F712" s="6"/>
      <c r="G712" s="6"/>
      <c r="H712" s="6"/>
      <c r="I712" s="6"/>
      <c r="J712" s="6"/>
      <c r="K712" s="22"/>
      <c r="L712" s="6"/>
      <c r="M712" s="6"/>
      <c r="N712" s="6"/>
      <c r="O712" s="6"/>
      <c r="P712" s="6"/>
      <c r="Q712" s="6"/>
      <c r="R712" s="54"/>
    </row>
    <row r="713" spans="1:18" ht="12.75">
      <c r="A713" s="6"/>
      <c r="B713" s="6"/>
      <c r="C713" s="6"/>
      <c r="D713" s="6"/>
      <c r="E713" s="6"/>
      <c r="F713" s="6"/>
      <c r="G713" s="6"/>
      <c r="H713" s="6"/>
      <c r="I713" s="6"/>
      <c r="J713" s="6"/>
      <c r="K713" s="22"/>
      <c r="L713" s="6"/>
      <c r="M713" s="6"/>
      <c r="N713" s="6"/>
      <c r="O713" s="6"/>
      <c r="P713" s="6"/>
      <c r="Q713" s="6"/>
      <c r="R713" s="54"/>
    </row>
    <row r="714" spans="1:18" ht="12.75">
      <c r="A714" s="6"/>
      <c r="B714" s="6"/>
      <c r="C714" s="6"/>
      <c r="D714" s="6"/>
      <c r="E714" s="6"/>
      <c r="F714" s="6"/>
      <c r="G714" s="6"/>
      <c r="H714" s="6"/>
      <c r="I714" s="6"/>
      <c r="J714" s="6"/>
      <c r="K714" s="22"/>
      <c r="L714" s="6"/>
      <c r="M714" s="6"/>
      <c r="N714" s="6"/>
      <c r="O714" s="6"/>
      <c r="P714" s="6"/>
      <c r="Q714" s="6"/>
      <c r="R714" s="54"/>
    </row>
    <row r="715" spans="1:18" ht="12.75">
      <c r="A715" s="6"/>
      <c r="B715" s="6"/>
      <c r="C715" s="6"/>
      <c r="D715" s="6"/>
      <c r="E715" s="6"/>
      <c r="F715" s="6"/>
      <c r="G715" s="6"/>
      <c r="H715" s="6"/>
      <c r="I715" s="6"/>
      <c r="J715" s="6"/>
      <c r="K715" s="22"/>
      <c r="L715" s="6"/>
      <c r="M715" s="6"/>
      <c r="N715" s="6"/>
      <c r="O715" s="6"/>
      <c r="P715" s="6"/>
      <c r="Q715" s="6"/>
      <c r="R715" s="54"/>
    </row>
    <row r="716" spans="1:18" ht="12.75">
      <c r="A716" s="6"/>
      <c r="B716" s="6"/>
      <c r="C716" s="6"/>
      <c r="D716" s="6"/>
      <c r="E716" s="6"/>
      <c r="F716" s="6"/>
      <c r="G716" s="6"/>
      <c r="H716" s="6"/>
      <c r="I716" s="6"/>
      <c r="J716" s="6"/>
      <c r="K716" s="22"/>
      <c r="L716" s="6"/>
      <c r="M716" s="6"/>
      <c r="N716" s="6"/>
      <c r="O716" s="6"/>
      <c r="P716" s="6"/>
      <c r="Q716" s="6"/>
      <c r="R716" s="54"/>
    </row>
    <row r="717" spans="1:18" ht="12.75">
      <c r="A717" s="6"/>
      <c r="B717" s="6"/>
      <c r="C717" s="6"/>
      <c r="D717" s="6"/>
      <c r="E717" s="6"/>
      <c r="F717" s="6"/>
      <c r="G717" s="6"/>
      <c r="H717" s="6"/>
      <c r="I717" s="6"/>
      <c r="J717" s="6"/>
      <c r="K717" s="22"/>
      <c r="L717" s="6"/>
      <c r="M717" s="6"/>
      <c r="N717" s="6"/>
      <c r="O717" s="6"/>
      <c r="P717" s="6"/>
      <c r="Q717" s="6"/>
      <c r="R717" s="54"/>
    </row>
    <row r="718" spans="1:18" ht="12.75">
      <c r="A718" s="6"/>
      <c r="B718" s="6"/>
      <c r="C718" s="6"/>
      <c r="D718" s="6"/>
      <c r="E718" s="6"/>
      <c r="F718" s="6"/>
      <c r="G718" s="6"/>
      <c r="H718" s="6"/>
      <c r="I718" s="6"/>
      <c r="J718" s="6"/>
      <c r="K718" s="22"/>
      <c r="L718" s="6"/>
      <c r="M718" s="6"/>
      <c r="N718" s="6"/>
      <c r="O718" s="6"/>
      <c r="P718" s="6"/>
      <c r="Q718" s="6"/>
      <c r="R718" s="54"/>
    </row>
    <row r="719" spans="1:18" ht="12.75">
      <c r="A719" s="6"/>
      <c r="B719" s="6"/>
      <c r="C719" s="6"/>
      <c r="D719" s="6"/>
      <c r="E719" s="6"/>
      <c r="F719" s="6"/>
      <c r="G719" s="6"/>
      <c r="H719" s="6"/>
      <c r="I719" s="6"/>
      <c r="J719" s="6"/>
      <c r="K719" s="22"/>
      <c r="L719" s="6"/>
      <c r="M719" s="6"/>
      <c r="N719" s="6"/>
      <c r="O719" s="6"/>
      <c r="P719" s="6"/>
      <c r="Q719" s="6"/>
      <c r="R719" s="54"/>
    </row>
    <row r="720" spans="1:18" ht="12.75">
      <c r="A720" s="6"/>
      <c r="B720" s="6"/>
      <c r="C720" s="6"/>
      <c r="D720" s="6"/>
      <c r="E720" s="6"/>
      <c r="F720" s="6"/>
      <c r="G720" s="6"/>
      <c r="H720" s="6"/>
      <c r="I720" s="6"/>
      <c r="J720" s="6"/>
      <c r="K720" s="22"/>
      <c r="L720" s="6"/>
      <c r="M720" s="6"/>
      <c r="N720" s="6"/>
      <c r="O720" s="6"/>
      <c r="P720" s="6"/>
      <c r="Q720" s="6"/>
      <c r="R720" s="54"/>
    </row>
    <row r="721" spans="1:18" ht="12.75">
      <c r="A721" s="6"/>
      <c r="B721" s="6"/>
      <c r="C721" s="6"/>
      <c r="D721" s="6"/>
      <c r="E721" s="6"/>
      <c r="F721" s="6"/>
      <c r="G721" s="6"/>
      <c r="H721" s="6"/>
      <c r="I721" s="6"/>
      <c r="J721" s="6"/>
      <c r="K721" s="22"/>
      <c r="L721" s="6"/>
      <c r="M721" s="6"/>
      <c r="N721" s="6"/>
      <c r="O721" s="6"/>
      <c r="P721" s="6"/>
      <c r="Q721" s="6"/>
      <c r="R721" s="54"/>
    </row>
    <row r="722" spans="1:18" ht="12.75">
      <c r="A722" s="6"/>
      <c r="B722" s="6"/>
      <c r="C722" s="6"/>
      <c r="D722" s="6"/>
      <c r="E722" s="6"/>
      <c r="F722" s="6"/>
      <c r="G722" s="6"/>
      <c r="H722" s="6"/>
      <c r="I722" s="6"/>
      <c r="J722" s="6"/>
      <c r="K722" s="22"/>
      <c r="L722" s="6"/>
      <c r="M722" s="6"/>
      <c r="N722" s="6"/>
      <c r="O722" s="6"/>
      <c r="P722" s="6"/>
      <c r="Q722" s="6"/>
      <c r="R722" s="54"/>
    </row>
    <row r="723" spans="1:18" ht="12.75">
      <c r="A723" s="6"/>
      <c r="B723" s="6"/>
      <c r="C723" s="6"/>
      <c r="D723" s="6"/>
      <c r="E723" s="6"/>
      <c r="F723" s="6"/>
      <c r="G723" s="6"/>
      <c r="H723" s="6"/>
      <c r="I723" s="6"/>
      <c r="J723" s="6"/>
      <c r="K723" s="22"/>
      <c r="L723" s="6"/>
      <c r="M723" s="6"/>
      <c r="N723" s="6"/>
      <c r="O723" s="6"/>
      <c r="P723" s="6"/>
      <c r="Q723" s="6"/>
      <c r="R723" s="54"/>
    </row>
    <row r="724" spans="1:18" ht="12.75">
      <c r="A724" s="6"/>
      <c r="B724" s="6"/>
      <c r="C724" s="6"/>
      <c r="D724" s="6"/>
      <c r="E724" s="6"/>
      <c r="F724" s="6"/>
      <c r="G724" s="6"/>
      <c r="H724" s="6"/>
      <c r="I724" s="6"/>
      <c r="J724" s="6"/>
      <c r="K724" s="22"/>
      <c r="L724" s="6"/>
      <c r="M724" s="6"/>
      <c r="N724" s="6"/>
      <c r="O724" s="6"/>
      <c r="P724" s="6"/>
      <c r="Q724" s="6"/>
      <c r="R724" s="54"/>
    </row>
    <row r="725" spans="1:18" ht="12.75">
      <c r="A725" s="6"/>
      <c r="B725" s="6"/>
      <c r="C725" s="6"/>
      <c r="D725" s="6"/>
      <c r="E725" s="6"/>
      <c r="F725" s="6"/>
      <c r="G725" s="6"/>
      <c r="H725" s="6"/>
      <c r="I725" s="6"/>
      <c r="J725" s="6"/>
      <c r="K725" s="22"/>
      <c r="L725" s="6"/>
      <c r="M725" s="6"/>
      <c r="N725" s="6"/>
      <c r="O725" s="6"/>
      <c r="P725" s="6"/>
      <c r="Q725" s="6"/>
      <c r="R725" s="54"/>
    </row>
    <row r="726" spans="1:18" ht="12.75">
      <c r="A726" s="6"/>
      <c r="B726" s="6"/>
      <c r="C726" s="6"/>
      <c r="D726" s="6"/>
      <c r="E726" s="6"/>
      <c r="F726" s="6"/>
      <c r="G726" s="6"/>
      <c r="H726" s="6"/>
      <c r="I726" s="6"/>
      <c r="J726" s="6"/>
      <c r="K726" s="22"/>
      <c r="L726" s="6"/>
      <c r="M726" s="6"/>
      <c r="N726" s="6"/>
      <c r="O726" s="6"/>
      <c r="P726" s="6"/>
      <c r="Q726" s="6"/>
      <c r="R726" s="54"/>
    </row>
    <row r="727" spans="1:18" ht="12.75">
      <c r="A727" s="6"/>
      <c r="B727" s="6"/>
      <c r="C727" s="6"/>
      <c r="D727" s="6"/>
      <c r="E727" s="6"/>
      <c r="F727" s="6"/>
      <c r="G727" s="6"/>
      <c r="H727" s="6"/>
      <c r="I727" s="6"/>
      <c r="J727" s="6"/>
      <c r="K727" s="22"/>
      <c r="L727" s="6"/>
      <c r="M727" s="6"/>
      <c r="N727" s="6"/>
      <c r="O727" s="6"/>
      <c r="P727" s="6"/>
      <c r="Q727" s="6"/>
      <c r="R727" s="54"/>
    </row>
    <row r="728" spans="1:18" ht="12.75">
      <c r="A728" s="6"/>
      <c r="B728" s="6"/>
      <c r="C728" s="6"/>
      <c r="D728" s="6"/>
      <c r="E728" s="6"/>
      <c r="F728" s="6"/>
      <c r="G728" s="6"/>
      <c r="H728" s="6"/>
      <c r="I728" s="6"/>
      <c r="J728" s="6"/>
      <c r="K728" s="22"/>
      <c r="L728" s="6"/>
      <c r="M728" s="6"/>
      <c r="N728" s="6"/>
      <c r="O728" s="6"/>
      <c r="P728" s="6"/>
      <c r="Q728" s="6"/>
      <c r="R728" s="54"/>
    </row>
    <row r="729" spans="1:18" ht="12.75">
      <c r="A729" s="6"/>
      <c r="B729" s="6"/>
      <c r="C729" s="6"/>
      <c r="D729" s="6"/>
      <c r="E729" s="6"/>
      <c r="F729" s="6"/>
      <c r="G729" s="6"/>
      <c r="H729" s="6"/>
      <c r="I729" s="6"/>
      <c r="J729" s="6"/>
      <c r="K729" s="22"/>
      <c r="L729" s="6"/>
      <c r="M729" s="6"/>
      <c r="N729" s="6"/>
      <c r="O729" s="6"/>
      <c r="P729" s="6"/>
      <c r="Q729" s="6"/>
      <c r="R729" s="54"/>
    </row>
    <row r="730" spans="1:18" ht="12.75">
      <c r="A730" s="6"/>
      <c r="B730" s="6"/>
      <c r="C730" s="6"/>
      <c r="D730" s="6"/>
      <c r="E730" s="6"/>
      <c r="F730" s="6"/>
      <c r="G730" s="6"/>
      <c r="H730" s="6"/>
      <c r="I730" s="6"/>
      <c r="J730" s="6"/>
      <c r="K730" s="22"/>
      <c r="L730" s="6"/>
      <c r="M730" s="6"/>
      <c r="N730" s="6"/>
      <c r="O730" s="6"/>
      <c r="P730" s="6"/>
      <c r="Q730" s="6"/>
      <c r="R730" s="54"/>
    </row>
    <row r="731" spans="1:18" ht="12.75">
      <c r="A731" s="6"/>
      <c r="B731" s="6"/>
      <c r="C731" s="6"/>
      <c r="D731" s="6"/>
      <c r="E731" s="6"/>
      <c r="F731" s="6"/>
      <c r="G731" s="6"/>
      <c r="H731" s="6"/>
      <c r="I731" s="6"/>
      <c r="J731" s="6"/>
      <c r="K731" s="22"/>
      <c r="L731" s="6"/>
      <c r="M731" s="6"/>
      <c r="N731" s="6"/>
      <c r="O731" s="6"/>
      <c r="P731" s="6"/>
      <c r="Q731" s="6"/>
      <c r="R731" s="54"/>
    </row>
    <row r="732" spans="1:18" ht="12.75">
      <c r="A732" s="6"/>
      <c r="B732" s="6"/>
      <c r="C732" s="6"/>
      <c r="D732" s="6"/>
      <c r="E732" s="6"/>
      <c r="F732" s="6"/>
      <c r="G732" s="6"/>
      <c r="H732" s="6"/>
      <c r="I732" s="6"/>
      <c r="J732" s="6"/>
      <c r="K732" s="22"/>
      <c r="L732" s="6"/>
      <c r="M732" s="6"/>
      <c r="N732" s="6"/>
      <c r="O732" s="6"/>
      <c r="P732" s="6"/>
      <c r="Q732" s="6"/>
      <c r="R732" s="54"/>
    </row>
    <row r="733" spans="1:18" ht="12.75">
      <c r="A733" s="6"/>
      <c r="B733" s="6"/>
      <c r="C733" s="6"/>
      <c r="D733" s="6"/>
      <c r="E733" s="6"/>
      <c r="F733" s="6"/>
      <c r="G733" s="6"/>
      <c r="H733" s="6"/>
      <c r="I733" s="6"/>
      <c r="J733" s="6"/>
      <c r="K733" s="22"/>
      <c r="L733" s="6"/>
      <c r="M733" s="6"/>
      <c r="N733" s="6"/>
      <c r="O733" s="6"/>
      <c r="P733" s="6"/>
      <c r="Q733" s="6"/>
      <c r="R733" s="54"/>
    </row>
    <row r="734" spans="1:18" ht="12.75">
      <c r="A734" s="6"/>
      <c r="B734" s="6"/>
      <c r="C734" s="6"/>
      <c r="D734" s="6"/>
      <c r="E734" s="6"/>
      <c r="F734" s="6"/>
      <c r="G734" s="6"/>
      <c r="H734" s="6"/>
      <c r="I734" s="6"/>
      <c r="J734" s="6"/>
      <c r="K734" s="22"/>
      <c r="L734" s="6"/>
      <c r="M734" s="6"/>
      <c r="N734" s="6"/>
      <c r="O734" s="6"/>
      <c r="P734" s="6"/>
      <c r="Q734" s="6"/>
      <c r="R734" s="54"/>
    </row>
    <row r="735" spans="1:18" ht="12.75">
      <c r="A735" s="6"/>
      <c r="B735" s="6"/>
      <c r="C735" s="6"/>
      <c r="D735" s="6"/>
      <c r="E735" s="6"/>
      <c r="F735" s="6"/>
      <c r="G735" s="6"/>
      <c r="H735" s="6"/>
      <c r="I735" s="6"/>
      <c r="J735" s="6"/>
      <c r="K735" s="22"/>
      <c r="L735" s="6"/>
      <c r="M735" s="6"/>
      <c r="N735" s="6"/>
      <c r="O735" s="6"/>
      <c r="P735" s="6"/>
      <c r="Q735" s="6"/>
      <c r="R735" s="54"/>
    </row>
    <row r="736" spans="1:18" ht="12.75">
      <c r="A736" s="6"/>
      <c r="B736" s="6"/>
      <c r="C736" s="6"/>
      <c r="D736" s="6"/>
      <c r="E736" s="6"/>
      <c r="F736" s="6"/>
      <c r="G736" s="6"/>
      <c r="H736" s="6"/>
      <c r="I736" s="6"/>
      <c r="J736" s="6"/>
      <c r="K736" s="22"/>
      <c r="L736" s="6"/>
      <c r="M736" s="6"/>
      <c r="N736" s="6"/>
      <c r="O736" s="6"/>
      <c r="P736" s="6"/>
      <c r="Q736" s="6"/>
      <c r="R736" s="54"/>
    </row>
    <row r="737" spans="1:18" ht="12.75">
      <c r="A737" s="6"/>
      <c r="B737" s="6"/>
      <c r="C737" s="6"/>
      <c r="D737" s="6"/>
      <c r="E737" s="6"/>
      <c r="F737" s="6"/>
      <c r="G737" s="6"/>
      <c r="H737" s="6"/>
      <c r="I737" s="6"/>
      <c r="J737" s="6"/>
      <c r="K737" s="22"/>
      <c r="L737" s="6"/>
      <c r="M737" s="6"/>
      <c r="N737" s="6"/>
      <c r="O737" s="6"/>
      <c r="P737" s="6"/>
      <c r="Q737" s="6"/>
      <c r="R737" s="54"/>
    </row>
    <row r="738" spans="1:18" ht="12.75">
      <c r="A738" s="6"/>
      <c r="B738" s="6"/>
      <c r="C738" s="6"/>
      <c r="D738" s="6"/>
      <c r="E738" s="6"/>
      <c r="F738" s="6"/>
      <c r="G738" s="6"/>
      <c r="H738" s="6"/>
      <c r="I738" s="6"/>
      <c r="J738" s="6"/>
      <c r="K738" s="22"/>
      <c r="L738" s="6"/>
      <c r="M738" s="6"/>
      <c r="N738" s="6"/>
      <c r="O738" s="6"/>
      <c r="P738" s="6"/>
      <c r="Q738" s="6"/>
      <c r="R738" s="54"/>
    </row>
    <row r="739" spans="1:18" ht="12.75">
      <c r="A739" s="6"/>
      <c r="B739" s="6"/>
      <c r="C739" s="6"/>
      <c r="D739" s="6"/>
      <c r="E739" s="6"/>
      <c r="F739" s="6"/>
      <c r="G739" s="6"/>
      <c r="H739" s="6"/>
      <c r="I739" s="6"/>
      <c r="J739" s="6"/>
      <c r="K739" s="22"/>
      <c r="L739" s="6"/>
      <c r="M739" s="6"/>
      <c r="N739" s="6"/>
      <c r="O739" s="6"/>
      <c r="P739" s="6"/>
      <c r="Q739" s="6"/>
      <c r="R739" s="54"/>
    </row>
    <row r="740" spans="1:18" ht="12.75">
      <c r="A740" s="6"/>
      <c r="B740" s="6"/>
      <c r="C740" s="6"/>
      <c r="D740" s="6"/>
      <c r="E740" s="6"/>
      <c r="F740" s="6"/>
      <c r="G740" s="6"/>
      <c r="H740" s="6"/>
      <c r="I740" s="6"/>
      <c r="J740" s="6"/>
      <c r="K740" s="22"/>
      <c r="L740" s="6"/>
      <c r="M740" s="6"/>
      <c r="N740" s="6"/>
      <c r="O740" s="6"/>
      <c r="P740" s="6"/>
      <c r="Q740" s="6"/>
      <c r="R740" s="54"/>
    </row>
    <row r="741" spans="1:18" ht="12.75">
      <c r="A741" s="6"/>
      <c r="B741" s="6"/>
      <c r="C741" s="6"/>
      <c r="D741" s="6"/>
      <c r="E741" s="6"/>
      <c r="F741" s="6"/>
      <c r="G741" s="6"/>
      <c r="H741" s="6"/>
      <c r="I741" s="6"/>
      <c r="J741" s="6"/>
      <c r="K741" s="22"/>
      <c r="L741" s="6"/>
      <c r="M741" s="6"/>
      <c r="N741" s="6"/>
      <c r="O741" s="6"/>
      <c r="P741" s="6"/>
      <c r="Q741" s="6"/>
      <c r="R741" s="54"/>
    </row>
    <row r="742" spans="1:18" ht="12.75">
      <c r="A742" s="6"/>
      <c r="B742" s="6"/>
      <c r="C742" s="6"/>
      <c r="D742" s="6"/>
      <c r="E742" s="6"/>
      <c r="F742" s="6"/>
      <c r="G742" s="6"/>
      <c r="H742" s="6"/>
      <c r="I742" s="6"/>
      <c r="J742" s="6"/>
      <c r="K742" s="22"/>
      <c r="L742" s="6"/>
      <c r="M742" s="6"/>
      <c r="N742" s="6"/>
      <c r="O742" s="6"/>
      <c r="P742" s="6"/>
      <c r="Q742" s="6"/>
      <c r="R742" s="54"/>
    </row>
    <row r="743" spans="1:18" ht="12.75">
      <c r="A743" s="6"/>
      <c r="B743" s="6"/>
      <c r="C743" s="6"/>
      <c r="D743" s="6"/>
      <c r="E743" s="6"/>
      <c r="F743" s="6"/>
      <c r="G743" s="6"/>
      <c r="H743" s="6"/>
      <c r="I743" s="6"/>
      <c r="J743" s="6"/>
      <c r="K743" s="22"/>
      <c r="L743" s="6"/>
      <c r="M743" s="6"/>
      <c r="N743" s="6"/>
      <c r="O743" s="6"/>
      <c r="P743" s="6"/>
      <c r="Q743" s="6"/>
      <c r="R743" s="54"/>
    </row>
    <row r="744" spans="1:18" ht="12.75">
      <c r="A744" s="6"/>
      <c r="B744" s="6"/>
      <c r="C744" s="6"/>
      <c r="D744" s="6"/>
      <c r="E744" s="6"/>
      <c r="F744" s="6"/>
      <c r="G744" s="6"/>
      <c r="H744" s="6"/>
      <c r="I744" s="6"/>
      <c r="J744" s="6"/>
      <c r="K744" s="22"/>
      <c r="L744" s="6"/>
      <c r="M744" s="6"/>
      <c r="N744" s="6"/>
      <c r="O744" s="6"/>
      <c r="P744" s="6"/>
      <c r="Q744" s="6"/>
      <c r="R744" s="54"/>
    </row>
    <row r="745" spans="1:18" ht="12.75">
      <c r="A745" s="6"/>
      <c r="B745" s="6"/>
      <c r="C745" s="6"/>
      <c r="D745" s="6"/>
      <c r="E745" s="6"/>
      <c r="F745" s="6"/>
      <c r="G745" s="6"/>
      <c r="H745" s="6"/>
      <c r="I745" s="6"/>
      <c r="J745" s="6"/>
      <c r="K745" s="22"/>
      <c r="L745" s="6"/>
      <c r="M745" s="6"/>
      <c r="N745" s="6"/>
      <c r="O745" s="6"/>
      <c r="P745" s="6"/>
      <c r="Q745" s="6"/>
      <c r="R745" s="54"/>
    </row>
    <row r="746" spans="1:18" ht="12.75">
      <c r="A746" s="6"/>
      <c r="B746" s="6"/>
      <c r="C746" s="6"/>
      <c r="D746" s="6"/>
      <c r="E746" s="6"/>
      <c r="F746" s="6"/>
      <c r="G746" s="6"/>
      <c r="H746" s="6"/>
      <c r="I746" s="6"/>
      <c r="J746" s="6"/>
      <c r="K746" s="22"/>
      <c r="L746" s="6"/>
      <c r="M746" s="6"/>
      <c r="N746" s="6"/>
      <c r="O746" s="6"/>
      <c r="P746" s="6"/>
      <c r="Q746" s="6"/>
      <c r="R746" s="54"/>
    </row>
    <row r="747" spans="1:18" ht="12.75">
      <c r="A747" s="6"/>
      <c r="B747" s="6"/>
      <c r="C747" s="6"/>
      <c r="D747" s="6"/>
      <c r="E747" s="6"/>
      <c r="F747" s="6"/>
      <c r="G747" s="6"/>
      <c r="H747" s="6"/>
      <c r="I747" s="6"/>
      <c r="J747" s="6"/>
      <c r="K747" s="22"/>
      <c r="L747" s="6"/>
      <c r="M747" s="6"/>
      <c r="N747" s="6"/>
      <c r="O747" s="6"/>
      <c r="P747" s="6"/>
      <c r="Q747" s="6"/>
      <c r="R747" s="54"/>
    </row>
    <row r="748" spans="1:18" ht="12.75">
      <c r="A748" s="6"/>
      <c r="B748" s="6"/>
      <c r="C748" s="6"/>
      <c r="D748" s="6"/>
      <c r="E748" s="6"/>
      <c r="F748" s="6"/>
      <c r="G748" s="6"/>
      <c r="H748" s="6"/>
      <c r="I748" s="6"/>
      <c r="J748" s="6"/>
      <c r="K748" s="22"/>
      <c r="L748" s="6"/>
      <c r="M748" s="6"/>
      <c r="N748" s="6"/>
      <c r="O748" s="6"/>
      <c r="P748" s="6"/>
      <c r="Q748" s="6"/>
      <c r="R748" s="54"/>
    </row>
    <row r="749" spans="1:18" ht="12.75">
      <c r="A749" s="6"/>
      <c r="B749" s="6"/>
      <c r="C749" s="6"/>
      <c r="D749" s="6"/>
      <c r="E749" s="6"/>
      <c r="F749" s="6"/>
      <c r="G749" s="6"/>
      <c r="H749" s="6"/>
      <c r="I749" s="6"/>
      <c r="J749" s="6"/>
      <c r="K749" s="22"/>
      <c r="L749" s="6"/>
      <c r="M749" s="6"/>
      <c r="N749" s="6"/>
      <c r="O749" s="6"/>
      <c r="P749" s="6"/>
      <c r="Q749" s="6"/>
      <c r="R749" s="54"/>
    </row>
    <row r="750" spans="1:18" ht="12.75">
      <c r="A750" s="6"/>
      <c r="B750" s="6"/>
      <c r="C750" s="6"/>
      <c r="D750" s="6"/>
      <c r="E750" s="6"/>
      <c r="F750" s="6"/>
      <c r="G750" s="6"/>
      <c r="H750" s="6"/>
      <c r="I750" s="6"/>
      <c r="J750" s="6"/>
      <c r="K750" s="22"/>
      <c r="L750" s="6"/>
      <c r="M750" s="6"/>
      <c r="N750" s="6"/>
      <c r="O750" s="6"/>
      <c r="P750" s="6"/>
      <c r="Q750" s="6"/>
      <c r="R750" s="54"/>
    </row>
    <row r="751" spans="1:18" ht="12.75">
      <c r="A751" s="6"/>
      <c r="B751" s="6"/>
      <c r="C751" s="6"/>
      <c r="D751" s="6"/>
      <c r="E751" s="6"/>
      <c r="F751" s="6"/>
      <c r="G751" s="6"/>
      <c r="H751" s="6"/>
      <c r="I751" s="6"/>
      <c r="J751" s="6"/>
      <c r="K751" s="22"/>
      <c r="L751" s="6"/>
      <c r="M751" s="6"/>
      <c r="N751" s="6"/>
      <c r="O751" s="6"/>
      <c r="P751" s="6"/>
      <c r="Q751" s="6"/>
      <c r="R751" s="54"/>
    </row>
    <row r="752" spans="1:18" ht="12.75">
      <c r="A752" s="6"/>
      <c r="B752" s="6"/>
      <c r="C752" s="6"/>
      <c r="D752" s="6"/>
      <c r="E752" s="6"/>
      <c r="F752" s="6"/>
      <c r="G752" s="6"/>
      <c r="H752" s="6"/>
      <c r="I752" s="6"/>
      <c r="J752" s="6"/>
      <c r="K752" s="22"/>
      <c r="L752" s="6"/>
      <c r="M752" s="6"/>
      <c r="N752" s="6"/>
      <c r="O752" s="6"/>
      <c r="P752" s="6"/>
      <c r="Q752" s="6"/>
      <c r="R752" s="54"/>
    </row>
    <row r="753" spans="1:18" ht="12.75">
      <c r="A753" s="6"/>
      <c r="B753" s="6"/>
      <c r="C753" s="6"/>
      <c r="D753" s="6"/>
      <c r="E753" s="6"/>
      <c r="F753" s="6"/>
      <c r="G753" s="6"/>
      <c r="H753" s="6"/>
      <c r="I753" s="6"/>
      <c r="J753" s="6"/>
      <c r="K753" s="22"/>
      <c r="L753" s="6"/>
      <c r="M753" s="6"/>
      <c r="N753" s="6"/>
      <c r="O753" s="6"/>
      <c r="P753" s="6"/>
      <c r="Q753" s="6"/>
      <c r="R753" s="54"/>
    </row>
    <row r="754" spans="1:18" ht="12.75">
      <c r="A754" s="6"/>
      <c r="B754" s="6"/>
      <c r="C754" s="6"/>
      <c r="D754" s="6"/>
      <c r="E754" s="6"/>
      <c r="F754" s="6"/>
      <c r="G754" s="6"/>
      <c r="H754" s="6"/>
      <c r="I754" s="6"/>
      <c r="J754" s="6"/>
      <c r="K754" s="22"/>
      <c r="L754" s="6"/>
      <c r="M754" s="6"/>
      <c r="N754" s="6"/>
      <c r="O754" s="6"/>
      <c r="P754" s="6"/>
      <c r="Q754" s="6"/>
      <c r="R754" s="54"/>
    </row>
    <row r="755" spans="1:18" ht="12.75">
      <c r="A755" s="6"/>
      <c r="B755" s="6"/>
      <c r="C755" s="6"/>
      <c r="D755" s="6"/>
      <c r="E755" s="6"/>
      <c r="F755" s="6"/>
      <c r="G755" s="6"/>
      <c r="H755" s="6"/>
      <c r="I755" s="6"/>
      <c r="J755" s="6"/>
      <c r="K755" s="22"/>
      <c r="L755" s="6"/>
      <c r="M755" s="6"/>
      <c r="N755" s="6"/>
      <c r="O755" s="6"/>
      <c r="P755" s="6"/>
      <c r="Q755" s="6"/>
      <c r="R755" s="54"/>
    </row>
    <row r="756" spans="1:18" ht="12.75">
      <c r="A756" s="6"/>
      <c r="B756" s="6"/>
      <c r="C756" s="6"/>
      <c r="D756" s="6"/>
      <c r="E756" s="6"/>
      <c r="F756" s="6"/>
      <c r="G756" s="6"/>
      <c r="H756" s="6"/>
      <c r="I756" s="6"/>
      <c r="J756" s="6"/>
      <c r="K756" s="22"/>
      <c r="L756" s="6"/>
      <c r="M756" s="6"/>
      <c r="N756" s="6"/>
      <c r="O756" s="6"/>
      <c r="P756" s="6"/>
      <c r="Q756" s="6"/>
      <c r="R756" s="54"/>
    </row>
    <row r="757" spans="1:18" ht="12.75">
      <c r="A757" s="6"/>
      <c r="B757" s="6"/>
      <c r="C757" s="6"/>
      <c r="D757" s="6"/>
      <c r="E757" s="6"/>
      <c r="F757" s="6"/>
      <c r="G757" s="6"/>
      <c r="H757" s="6"/>
      <c r="I757" s="6"/>
      <c r="J757" s="6"/>
      <c r="K757" s="22"/>
      <c r="L757" s="6"/>
      <c r="M757" s="6"/>
      <c r="N757" s="6"/>
      <c r="O757" s="6"/>
      <c r="P757" s="6"/>
      <c r="Q757" s="6"/>
      <c r="R757" s="54"/>
    </row>
    <row r="758" spans="1:18" ht="12.75">
      <c r="A758" s="6"/>
      <c r="B758" s="6"/>
      <c r="C758" s="6"/>
      <c r="D758" s="6"/>
      <c r="E758" s="6"/>
      <c r="F758" s="6"/>
      <c r="G758" s="6"/>
      <c r="H758" s="6"/>
      <c r="I758" s="6"/>
      <c r="J758" s="6"/>
      <c r="K758" s="22"/>
      <c r="L758" s="6"/>
      <c r="M758" s="6"/>
      <c r="N758" s="6"/>
      <c r="O758" s="6"/>
      <c r="P758" s="6"/>
      <c r="Q758" s="6"/>
      <c r="R758" s="54"/>
    </row>
    <row r="759" spans="1:18" ht="12.75">
      <c r="A759" s="6"/>
      <c r="B759" s="6"/>
      <c r="C759" s="6"/>
      <c r="D759" s="6"/>
      <c r="E759" s="6"/>
      <c r="F759" s="6"/>
      <c r="G759" s="6"/>
      <c r="H759" s="6"/>
      <c r="I759" s="6"/>
      <c r="J759" s="6"/>
      <c r="K759" s="22"/>
      <c r="L759" s="6"/>
      <c r="M759" s="6"/>
      <c r="N759" s="6"/>
      <c r="O759" s="6"/>
      <c r="P759" s="6"/>
      <c r="Q759" s="6"/>
      <c r="R759" s="54"/>
    </row>
    <row r="760" spans="1:18" ht="12.75">
      <c r="A760" s="6"/>
      <c r="B760" s="6"/>
      <c r="C760" s="6"/>
      <c r="D760" s="6"/>
      <c r="E760" s="6"/>
      <c r="F760" s="6"/>
      <c r="G760" s="6"/>
      <c r="H760" s="6"/>
      <c r="I760" s="6"/>
      <c r="J760" s="6"/>
      <c r="K760" s="22"/>
      <c r="L760" s="6"/>
      <c r="M760" s="6"/>
      <c r="N760" s="6"/>
      <c r="O760" s="6"/>
      <c r="P760" s="6"/>
      <c r="Q760" s="6"/>
      <c r="R760" s="54"/>
    </row>
    <row r="761" spans="1:18" ht="12.75">
      <c r="A761" s="6"/>
      <c r="B761" s="6"/>
      <c r="C761" s="6"/>
      <c r="D761" s="6"/>
      <c r="E761" s="6"/>
      <c r="F761" s="6"/>
      <c r="G761" s="6"/>
      <c r="H761" s="6"/>
      <c r="I761" s="6"/>
      <c r="J761" s="6"/>
      <c r="K761" s="22"/>
      <c r="L761" s="6"/>
      <c r="M761" s="6"/>
      <c r="N761" s="6"/>
      <c r="O761" s="6"/>
      <c r="P761" s="6"/>
      <c r="Q761" s="6"/>
      <c r="R761" s="54"/>
    </row>
    <row r="762" spans="1:18" ht="12.75">
      <c r="A762" s="6"/>
      <c r="B762" s="6"/>
      <c r="C762" s="6"/>
      <c r="D762" s="6"/>
      <c r="E762" s="6"/>
      <c r="F762" s="6"/>
      <c r="G762" s="6"/>
      <c r="H762" s="6"/>
      <c r="I762" s="6"/>
      <c r="J762" s="6"/>
      <c r="K762" s="22"/>
      <c r="L762" s="6"/>
      <c r="M762" s="6"/>
      <c r="N762" s="6"/>
      <c r="O762" s="6"/>
      <c r="P762" s="6"/>
      <c r="Q762" s="6"/>
      <c r="R762" s="54"/>
    </row>
    <row r="763" spans="1:18" ht="12.75">
      <c r="A763" s="6"/>
      <c r="B763" s="6"/>
      <c r="C763" s="6"/>
      <c r="D763" s="6"/>
      <c r="E763" s="6"/>
      <c r="F763" s="6"/>
      <c r="G763" s="6"/>
      <c r="H763" s="6"/>
      <c r="I763" s="6"/>
      <c r="J763" s="6"/>
      <c r="K763" s="22"/>
      <c r="L763" s="6"/>
      <c r="M763" s="6"/>
      <c r="N763" s="6"/>
      <c r="O763" s="6"/>
      <c r="P763" s="6"/>
      <c r="Q763" s="6"/>
      <c r="R763" s="54"/>
    </row>
    <row r="764" spans="1:18" ht="12.75">
      <c r="A764" s="6"/>
      <c r="B764" s="6"/>
      <c r="C764" s="6"/>
      <c r="D764" s="6"/>
      <c r="E764" s="6"/>
      <c r="F764" s="6"/>
      <c r="G764" s="6"/>
      <c r="H764" s="6"/>
      <c r="I764" s="6"/>
      <c r="J764" s="6"/>
      <c r="K764" s="22"/>
      <c r="L764" s="6"/>
      <c r="M764" s="6"/>
      <c r="N764" s="6"/>
      <c r="O764" s="6"/>
      <c r="P764" s="6"/>
      <c r="Q764" s="6"/>
      <c r="R764" s="54"/>
    </row>
    <row r="765" spans="1:18" ht="12.75">
      <c r="A765" s="6"/>
      <c r="B765" s="6"/>
      <c r="C765" s="6"/>
      <c r="D765" s="6"/>
      <c r="E765" s="6"/>
      <c r="F765" s="6"/>
      <c r="G765" s="6"/>
      <c r="H765" s="6"/>
      <c r="I765" s="6"/>
      <c r="J765" s="6"/>
      <c r="K765" s="22"/>
      <c r="L765" s="6"/>
      <c r="M765" s="6"/>
      <c r="N765" s="6"/>
      <c r="O765" s="6"/>
      <c r="P765" s="6"/>
      <c r="Q765" s="6"/>
      <c r="R765" s="54"/>
    </row>
    <row r="766" spans="1:18" ht="12.75">
      <c r="A766" s="6"/>
      <c r="B766" s="6"/>
      <c r="C766" s="6"/>
      <c r="D766" s="6"/>
      <c r="E766" s="6"/>
      <c r="F766" s="6"/>
      <c r="G766" s="6"/>
      <c r="H766" s="6"/>
      <c r="I766" s="6"/>
      <c r="J766" s="6"/>
      <c r="K766" s="22"/>
      <c r="L766" s="6"/>
      <c r="M766" s="6"/>
      <c r="N766" s="6"/>
      <c r="O766" s="6"/>
      <c r="P766" s="6"/>
      <c r="Q766" s="6"/>
      <c r="R766" s="54"/>
    </row>
    <row r="767" spans="1:18" ht="12.75">
      <c r="A767" s="6"/>
      <c r="B767" s="6"/>
      <c r="C767" s="6"/>
      <c r="D767" s="6"/>
      <c r="E767" s="6"/>
      <c r="F767" s="6"/>
      <c r="G767" s="6"/>
      <c r="H767" s="6"/>
      <c r="I767" s="6"/>
      <c r="J767" s="6"/>
      <c r="K767" s="22"/>
      <c r="L767" s="6"/>
      <c r="M767" s="6"/>
      <c r="N767" s="6"/>
      <c r="O767" s="6"/>
      <c r="P767" s="6"/>
      <c r="Q767" s="6"/>
      <c r="R767" s="54"/>
    </row>
    <row r="768" spans="1:18" ht="12.75">
      <c r="A768" s="6"/>
      <c r="B768" s="6"/>
      <c r="C768" s="6"/>
      <c r="D768" s="6"/>
      <c r="E768" s="6"/>
      <c r="F768" s="6"/>
      <c r="G768" s="6"/>
      <c r="H768" s="6"/>
      <c r="I768" s="6"/>
      <c r="J768" s="6"/>
      <c r="K768" s="22"/>
      <c r="L768" s="6"/>
      <c r="M768" s="6"/>
      <c r="N768" s="6"/>
      <c r="O768" s="6"/>
      <c r="P768" s="6"/>
      <c r="Q768" s="6"/>
      <c r="R768" s="54"/>
    </row>
    <row r="769" spans="1:18" ht="12.75">
      <c r="A769" s="6"/>
      <c r="B769" s="6"/>
      <c r="C769" s="6"/>
      <c r="D769" s="6"/>
      <c r="E769" s="6"/>
      <c r="F769" s="6"/>
      <c r="G769" s="6"/>
      <c r="H769" s="6"/>
      <c r="I769" s="6"/>
      <c r="J769" s="6"/>
      <c r="K769" s="22"/>
      <c r="L769" s="6"/>
      <c r="M769" s="6"/>
      <c r="N769" s="6"/>
      <c r="O769" s="6"/>
      <c r="P769" s="6"/>
      <c r="Q769" s="6"/>
      <c r="R769" s="54"/>
    </row>
    <row r="770" spans="1:18" ht="12.75">
      <c r="A770" s="6"/>
      <c r="B770" s="6"/>
      <c r="C770" s="6"/>
      <c r="D770" s="6"/>
      <c r="E770" s="6"/>
      <c r="F770" s="6"/>
      <c r="G770" s="6"/>
      <c r="H770" s="6"/>
      <c r="I770" s="6"/>
      <c r="J770" s="6"/>
      <c r="K770" s="22"/>
      <c r="L770" s="6"/>
      <c r="M770" s="6"/>
      <c r="N770" s="6"/>
      <c r="O770" s="6"/>
      <c r="P770" s="6"/>
      <c r="Q770" s="6"/>
      <c r="R770" s="54"/>
    </row>
    <row r="771" spans="1:18" ht="12.75">
      <c r="A771" s="6"/>
      <c r="B771" s="6"/>
      <c r="C771" s="6"/>
      <c r="D771" s="6"/>
      <c r="E771" s="6"/>
      <c r="F771" s="6"/>
      <c r="G771" s="6"/>
      <c r="H771" s="6"/>
      <c r="I771" s="6"/>
      <c r="J771" s="6"/>
      <c r="K771" s="22"/>
      <c r="L771" s="6"/>
      <c r="M771" s="6"/>
      <c r="N771" s="6"/>
      <c r="O771" s="6"/>
      <c r="P771" s="6"/>
      <c r="Q771" s="6"/>
      <c r="R771" s="54"/>
    </row>
    <row r="772" spans="1:18" ht="12.75">
      <c r="A772" s="6"/>
      <c r="B772" s="6"/>
      <c r="C772" s="6"/>
      <c r="D772" s="6"/>
      <c r="E772" s="6"/>
      <c r="F772" s="6"/>
      <c r="G772" s="6"/>
      <c r="H772" s="6"/>
      <c r="I772" s="6"/>
      <c r="J772" s="6"/>
      <c r="K772" s="22"/>
      <c r="L772" s="6"/>
      <c r="M772" s="6"/>
      <c r="N772" s="6"/>
      <c r="O772" s="6"/>
      <c r="P772" s="6"/>
      <c r="Q772" s="6"/>
      <c r="R772" s="54"/>
    </row>
    <row r="773" spans="1:18" ht="12.75">
      <c r="A773" s="6"/>
      <c r="B773" s="6"/>
      <c r="C773" s="6"/>
      <c r="D773" s="6"/>
      <c r="E773" s="6"/>
      <c r="F773" s="6"/>
      <c r="G773" s="6"/>
      <c r="H773" s="6"/>
      <c r="I773" s="6"/>
      <c r="J773" s="6"/>
      <c r="K773" s="22"/>
      <c r="L773" s="6"/>
      <c r="M773" s="6"/>
      <c r="N773" s="6"/>
      <c r="O773" s="6"/>
      <c r="P773" s="6"/>
      <c r="Q773" s="6"/>
      <c r="R773" s="54"/>
    </row>
    <row r="774" spans="1:18" ht="12.75">
      <c r="A774" s="6"/>
      <c r="B774" s="6"/>
      <c r="C774" s="6"/>
      <c r="D774" s="6"/>
      <c r="E774" s="6"/>
      <c r="F774" s="6"/>
      <c r="G774" s="6"/>
      <c r="H774" s="6"/>
      <c r="I774" s="6"/>
      <c r="J774" s="6"/>
      <c r="K774" s="22"/>
      <c r="L774" s="6"/>
      <c r="M774" s="6"/>
      <c r="N774" s="6"/>
      <c r="O774" s="6"/>
      <c r="P774" s="6"/>
      <c r="Q774" s="6"/>
      <c r="R774" s="54"/>
    </row>
    <row r="775" spans="1:18" ht="12.75">
      <c r="A775" s="6"/>
      <c r="B775" s="6"/>
      <c r="C775" s="6"/>
      <c r="D775" s="6"/>
      <c r="E775" s="6"/>
      <c r="F775" s="6"/>
      <c r="G775" s="6"/>
      <c r="H775" s="6"/>
      <c r="I775" s="6"/>
      <c r="J775" s="6"/>
      <c r="K775" s="22"/>
      <c r="L775" s="6"/>
      <c r="M775" s="6"/>
      <c r="N775" s="6"/>
      <c r="O775" s="6"/>
      <c r="P775" s="6"/>
      <c r="Q775" s="6"/>
      <c r="R775" s="54"/>
    </row>
    <row r="776" spans="1:18" ht="12.75">
      <c r="A776" s="6"/>
      <c r="B776" s="6"/>
      <c r="C776" s="6"/>
      <c r="D776" s="6"/>
      <c r="E776" s="6"/>
      <c r="F776" s="6"/>
      <c r="G776" s="6"/>
      <c r="H776" s="6"/>
      <c r="I776" s="6"/>
      <c r="J776" s="6"/>
      <c r="K776" s="22"/>
      <c r="L776" s="6"/>
      <c r="M776" s="6"/>
      <c r="N776" s="6"/>
      <c r="O776" s="6"/>
      <c r="P776" s="6"/>
      <c r="Q776" s="6"/>
      <c r="R776" s="54"/>
    </row>
    <row r="777" spans="1:18" ht="12.75">
      <c r="A777" s="6"/>
      <c r="B777" s="6"/>
      <c r="C777" s="6"/>
      <c r="D777" s="6"/>
      <c r="E777" s="6"/>
      <c r="F777" s="6"/>
      <c r="G777" s="6"/>
      <c r="H777" s="6"/>
      <c r="I777" s="6"/>
      <c r="J777" s="6"/>
      <c r="K777" s="22"/>
      <c r="L777" s="6"/>
      <c r="M777" s="6"/>
      <c r="N777" s="6"/>
      <c r="O777" s="6"/>
      <c r="P777" s="6"/>
      <c r="Q777" s="6"/>
      <c r="R777" s="54"/>
    </row>
    <row r="778" spans="1:18" ht="12.75">
      <c r="A778" s="6"/>
      <c r="B778" s="6"/>
      <c r="C778" s="6"/>
      <c r="D778" s="6"/>
      <c r="E778" s="6"/>
      <c r="F778" s="6"/>
      <c r="G778" s="6"/>
      <c r="H778" s="6"/>
      <c r="I778" s="6"/>
      <c r="J778" s="6"/>
      <c r="K778" s="22"/>
      <c r="L778" s="6"/>
      <c r="M778" s="6"/>
      <c r="N778" s="6"/>
      <c r="O778" s="6"/>
      <c r="P778" s="6"/>
      <c r="Q778" s="6"/>
      <c r="R778" s="54"/>
    </row>
    <row r="779" spans="1:18" ht="12.75">
      <c r="A779" s="6"/>
      <c r="B779" s="6"/>
      <c r="C779" s="6"/>
      <c r="D779" s="6"/>
      <c r="E779" s="6"/>
      <c r="F779" s="6"/>
      <c r="G779" s="6"/>
      <c r="H779" s="6"/>
      <c r="I779" s="6"/>
      <c r="J779" s="6"/>
      <c r="K779" s="22"/>
      <c r="L779" s="6"/>
      <c r="M779" s="6"/>
      <c r="N779" s="6"/>
      <c r="O779" s="6"/>
      <c r="P779" s="6"/>
      <c r="Q779" s="6"/>
      <c r="R779" s="54"/>
    </row>
    <row r="780" spans="1:18" ht="12.75">
      <c r="A780" s="6"/>
      <c r="B780" s="6"/>
      <c r="C780" s="6"/>
      <c r="D780" s="6"/>
      <c r="E780" s="6"/>
      <c r="F780" s="6"/>
      <c r="G780" s="6"/>
      <c r="H780" s="6"/>
      <c r="I780" s="6"/>
      <c r="J780" s="6"/>
      <c r="K780" s="22"/>
      <c r="L780" s="6"/>
      <c r="M780" s="6"/>
      <c r="N780" s="6"/>
      <c r="O780" s="6"/>
      <c r="P780" s="6"/>
      <c r="Q780" s="6"/>
      <c r="R780" s="54"/>
    </row>
    <row r="781" spans="1:18" ht="12.75">
      <c r="A781" s="6"/>
      <c r="B781" s="6"/>
      <c r="C781" s="6"/>
      <c r="D781" s="6"/>
      <c r="E781" s="6"/>
      <c r="F781" s="6"/>
      <c r="G781" s="6"/>
      <c r="H781" s="6"/>
      <c r="I781" s="6"/>
      <c r="J781" s="6"/>
      <c r="K781" s="22"/>
      <c r="L781" s="6"/>
      <c r="M781" s="6"/>
      <c r="N781" s="6"/>
      <c r="O781" s="6"/>
      <c r="P781" s="6"/>
      <c r="Q781" s="6"/>
      <c r="R781" s="54"/>
    </row>
    <row r="782" spans="1:18" ht="12.75">
      <c r="A782" s="6"/>
      <c r="B782" s="6"/>
      <c r="C782" s="6"/>
      <c r="D782" s="6"/>
      <c r="E782" s="6"/>
      <c r="F782" s="6"/>
      <c r="G782" s="6"/>
      <c r="H782" s="6"/>
      <c r="I782" s="6"/>
      <c r="J782" s="6"/>
      <c r="K782" s="22"/>
      <c r="L782" s="6"/>
      <c r="M782" s="6"/>
      <c r="N782" s="6"/>
      <c r="O782" s="6"/>
      <c r="P782" s="6"/>
      <c r="Q782" s="6"/>
      <c r="R782" s="54"/>
    </row>
    <row r="783" spans="1:18" ht="12.75">
      <c r="A783" s="6"/>
      <c r="B783" s="6"/>
      <c r="C783" s="6"/>
      <c r="D783" s="6"/>
      <c r="E783" s="6"/>
      <c r="F783" s="6"/>
      <c r="G783" s="6"/>
      <c r="H783" s="6"/>
      <c r="I783" s="6"/>
      <c r="J783" s="6"/>
      <c r="K783" s="22"/>
      <c r="L783" s="6"/>
      <c r="M783" s="6"/>
      <c r="N783" s="6"/>
      <c r="O783" s="6"/>
      <c r="P783" s="6"/>
      <c r="Q783" s="6"/>
      <c r="R783" s="54"/>
    </row>
    <row r="784" spans="1:18" ht="12.75">
      <c r="A784" s="6"/>
      <c r="B784" s="6"/>
      <c r="C784" s="6"/>
      <c r="D784" s="6"/>
      <c r="E784" s="6"/>
      <c r="F784" s="6"/>
      <c r="G784" s="6"/>
      <c r="H784" s="6"/>
      <c r="I784" s="6"/>
      <c r="J784" s="6"/>
      <c r="K784" s="22"/>
      <c r="L784" s="6"/>
      <c r="M784" s="6"/>
      <c r="N784" s="6"/>
      <c r="O784" s="6"/>
      <c r="P784" s="6"/>
      <c r="Q784" s="6"/>
      <c r="R784" s="54"/>
    </row>
    <row r="785" spans="1:18" ht="12.75">
      <c r="A785" s="6"/>
      <c r="B785" s="6"/>
      <c r="C785" s="6"/>
      <c r="D785" s="6"/>
      <c r="E785" s="6"/>
      <c r="F785" s="6"/>
      <c r="G785" s="6"/>
      <c r="H785" s="6"/>
      <c r="I785" s="6"/>
      <c r="J785" s="6"/>
      <c r="K785" s="22"/>
      <c r="L785" s="6"/>
      <c r="M785" s="6"/>
      <c r="N785" s="6"/>
      <c r="O785" s="6"/>
      <c r="P785" s="6"/>
      <c r="Q785" s="6"/>
      <c r="R785" s="54"/>
    </row>
    <row r="786" spans="1:18" ht="12.75">
      <c r="A786" s="6"/>
      <c r="B786" s="6"/>
      <c r="C786" s="6"/>
      <c r="D786" s="6"/>
      <c r="E786" s="6"/>
      <c r="F786" s="6"/>
      <c r="G786" s="6"/>
      <c r="H786" s="6"/>
      <c r="I786" s="6"/>
      <c r="J786" s="6"/>
      <c r="K786" s="22"/>
      <c r="L786" s="6"/>
      <c r="M786" s="6"/>
      <c r="N786" s="6"/>
      <c r="O786" s="6"/>
      <c r="P786" s="6"/>
      <c r="Q786" s="6"/>
      <c r="R786" s="54"/>
    </row>
    <row r="787" spans="1:18" ht="12.75">
      <c r="A787" s="6"/>
      <c r="B787" s="6"/>
      <c r="C787" s="6"/>
      <c r="D787" s="6"/>
      <c r="E787" s="6"/>
      <c r="F787" s="6"/>
      <c r="G787" s="6"/>
      <c r="H787" s="6"/>
      <c r="I787" s="6"/>
      <c r="J787" s="6"/>
      <c r="K787" s="22"/>
      <c r="L787" s="6"/>
      <c r="M787" s="6"/>
      <c r="N787" s="6"/>
      <c r="O787" s="6"/>
      <c r="P787" s="6"/>
      <c r="Q787" s="6"/>
      <c r="R787" s="54"/>
    </row>
    <row r="788" spans="1:18" ht="12.75">
      <c r="A788" s="6"/>
      <c r="B788" s="6"/>
      <c r="C788" s="6"/>
      <c r="D788" s="6"/>
      <c r="E788" s="6"/>
      <c r="F788" s="6"/>
      <c r="G788" s="6"/>
      <c r="H788" s="6"/>
      <c r="I788" s="6"/>
      <c r="J788" s="6"/>
      <c r="K788" s="22"/>
      <c r="L788" s="6"/>
      <c r="M788" s="6"/>
      <c r="N788" s="6"/>
      <c r="O788" s="6"/>
      <c r="P788" s="6"/>
      <c r="Q788" s="6"/>
      <c r="R788" s="54"/>
    </row>
    <row r="789" spans="1:18" ht="12.75">
      <c r="A789" s="6"/>
      <c r="B789" s="6"/>
      <c r="C789" s="6"/>
      <c r="D789" s="6"/>
      <c r="E789" s="6"/>
      <c r="F789" s="6"/>
      <c r="G789" s="6"/>
      <c r="H789" s="6"/>
      <c r="I789" s="6"/>
      <c r="J789" s="6"/>
      <c r="K789" s="22"/>
      <c r="L789" s="6"/>
      <c r="M789" s="6"/>
      <c r="N789" s="6"/>
      <c r="O789" s="6"/>
      <c r="P789" s="6"/>
      <c r="Q789" s="6"/>
      <c r="R789" s="54"/>
    </row>
    <row r="790" spans="1:18" ht="12.75">
      <c r="A790" s="6"/>
      <c r="B790" s="6"/>
      <c r="C790" s="6"/>
      <c r="D790" s="6"/>
      <c r="E790" s="6"/>
      <c r="F790" s="6"/>
      <c r="G790" s="6"/>
      <c r="H790" s="6"/>
      <c r="I790" s="6"/>
      <c r="J790" s="6"/>
      <c r="K790" s="22"/>
      <c r="L790" s="6"/>
      <c r="M790" s="6"/>
      <c r="N790" s="6"/>
      <c r="O790" s="6"/>
      <c r="P790" s="6"/>
      <c r="Q790" s="6"/>
      <c r="R790" s="54"/>
    </row>
    <row r="791" spans="1:18" ht="12.75">
      <c r="A791" s="6"/>
      <c r="B791" s="6"/>
      <c r="C791" s="6"/>
      <c r="D791" s="6"/>
      <c r="E791" s="6"/>
      <c r="F791" s="6"/>
      <c r="G791" s="6"/>
      <c r="H791" s="6"/>
      <c r="I791" s="6"/>
      <c r="J791" s="6"/>
      <c r="K791" s="22"/>
      <c r="L791" s="6"/>
      <c r="M791" s="6"/>
      <c r="N791" s="6"/>
      <c r="O791" s="6"/>
      <c r="P791" s="6"/>
      <c r="Q791" s="6"/>
      <c r="R791" s="54"/>
    </row>
    <row r="792" spans="1:18" ht="12.75">
      <c r="A792" s="6"/>
      <c r="B792" s="6"/>
      <c r="C792" s="6"/>
      <c r="D792" s="6"/>
      <c r="E792" s="6"/>
      <c r="F792" s="6"/>
      <c r="G792" s="6"/>
      <c r="H792" s="6"/>
      <c r="I792" s="6"/>
      <c r="J792" s="6"/>
      <c r="K792" s="22"/>
      <c r="L792" s="6"/>
      <c r="M792" s="6"/>
      <c r="N792" s="6"/>
      <c r="O792" s="6"/>
      <c r="P792" s="6"/>
      <c r="Q792" s="6"/>
      <c r="R792" s="54"/>
    </row>
    <row r="793" spans="1:18" ht="12.75">
      <c r="A793" s="6"/>
      <c r="B793" s="6"/>
      <c r="C793" s="6"/>
      <c r="D793" s="6"/>
      <c r="E793" s="6"/>
      <c r="F793" s="6"/>
      <c r="G793" s="6"/>
      <c r="H793" s="6"/>
      <c r="I793" s="6"/>
      <c r="J793" s="6"/>
      <c r="K793" s="22"/>
      <c r="L793" s="6"/>
      <c r="M793" s="6"/>
      <c r="N793" s="6"/>
      <c r="O793" s="6"/>
      <c r="P793" s="6"/>
      <c r="Q793" s="6"/>
      <c r="R793" s="54"/>
    </row>
    <row r="794" spans="1:18" ht="12.75">
      <c r="A794" s="6"/>
      <c r="B794" s="6"/>
      <c r="C794" s="6"/>
      <c r="D794" s="6"/>
      <c r="E794" s="6"/>
      <c r="F794" s="6"/>
      <c r="G794" s="6"/>
      <c r="H794" s="6"/>
      <c r="I794" s="6"/>
      <c r="J794" s="6"/>
      <c r="K794" s="22"/>
      <c r="L794" s="6"/>
      <c r="M794" s="6"/>
      <c r="N794" s="6"/>
      <c r="O794" s="6"/>
      <c r="P794" s="6"/>
      <c r="Q794" s="6"/>
      <c r="R794" s="54"/>
    </row>
    <row r="795" spans="1:18" ht="12.75">
      <c r="A795" s="6"/>
      <c r="B795" s="6"/>
      <c r="C795" s="6"/>
      <c r="D795" s="6"/>
      <c r="E795" s="6"/>
      <c r="F795" s="6"/>
      <c r="G795" s="6"/>
      <c r="H795" s="6"/>
      <c r="I795" s="6"/>
      <c r="J795" s="6"/>
      <c r="K795" s="22"/>
      <c r="L795" s="6"/>
      <c r="M795" s="6"/>
      <c r="N795" s="6"/>
      <c r="O795" s="6"/>
      <c r="P795" s="6"/>
      <c r="Q795" s="6"/>
      <c r="R795" s="54"/>
    </row>
    <row r="796" spans="1:18" ht="12.75">
      <c r="A796" s="6"/>
      <c r="B796" s="6"/>
      <c r="C796" s="6"/>
      <c r="D796" s="6"/>
      <c r="E796" s="6"/>
      <c r="F796" s="6"/>
      <c r="G796" s="6"/>
      <c r="H796" s="6"/>
      <c r="I796" s="6"/>
      <c r="J796" s="6"/>
      <c r="K796" s="22"/>
      <c r="L796" s="6"/>
      <c r="M796" s="6"/>
      <c r="N796" s="6"/>
      <c r="O796" s="6"/>
      <c r="P796" s="6"/>
      <c r="Q796" s="6"/>
      <c r="R796" s="54"/>
    </row>
    <row r="797" spans="1:18" ht="12.75">
      <c r="A797" s="6"/>
      <c r="B797" s="6"/>
      <c r="C797" s="6"/>
      <c r="D797" s="6"/>
      <c r="E797" s="6"/>
      <c r="F797" s="6"/>
      <c r="G797" s="6"/>
      <c r="H797" s="6"/>
      <c r="I797" s="6"/>
      <c r="J797" s="6"/>
      <c r="K797" s="22"/>
      <c r="L797" s="6"/>
      <c r="M797" s="6"/>
      <c r="N797" s="6"/>
      <c r="O797" s="6"/>
      <c r="P797" s="6"/>
      <c r="Q797" s="6"/>
      <c r="R797" s="54"/>
    </row>
    <row r="798" spans="1:18" ht="12.75">
      <c r="A798" s="6"/>
      <c r="B798" s="6"/>
      <c r="C798" s="6"/>
      <c r="D798" s="6"/>
      <c r="E798" s="6"/>
      <c r="F798" s="6"/>
      <c r="G798" s="6"/>
      <c r="H798" s="6"/>
      <c r="I798" s="6"/>
      <c r="J798" s="6"/>
      <c r="K798" s="22"/>
      <c r="L798" s="6"/>
      <c r="M798" s="6"/>
      <c r="N798" s="6"/>
      <c r="O798" s="6"/>
      <c r="P798" s="6"/>
      <c r="Q798" s="6"/>
      <c r="R798" s="54"/>
    </row>
    <row r="799" spans="1:18" ht="12.75">
      <c r="A799" s="6"/>
      <c r="B799" s="6"/>
      <c r="C799" s="6"/>
      <c r="D799" s="6"/>
      <c r="E799" s="6"/>
      <c r="F799" s="6"/>
      <c r="G799" s="6"/>
      <c r="H799" s="6"/>
      <c r="I799" s="6"/>
      <c r="J799" s="6"/>
      <c r="K799" s="22"/>
      <c r="L799" s="6"/>
      <c r="M799" s="6"/>
      <c r="N799" s="6"/>
      <c r="O799" s="6"/>
      <c r="P799" s="6"/>
      <c r="Q799" s="6"/>
      <c r="R799" s="54"/>
    </row>
    <row r="800" spans="1:18" ht="12.75">
      <c r="A800" s="6"/>
      <c r="B800" s="6"/>
      <c r="C800" s="6"/>
      <c r="D800" s="6"/>
      <c r="E800" s="6"/>
      <c r="F800" s="6"/>
      <c r="G800" s="6"/>
      <c r="H800" s="6"/>
      <c r="I800" s="6"/>
      <c r="J800" s="6"/>
      <c r="K800" s="22"/>
      <c r="L800" s="6"/>
      <c r="M800" s="6"/>
      <c r="N800" s="6"/>
      <c r="O800" s="6"/>
      <c r="P800" s="6"/>
      <c r="Q800" s="6"/>
      <c r="R800" s="54"/>
    </row>
    <row r="801" spans="1:18" ht="12.75">
      <c r="A801" s="6"/>
      <c r="B801" s="6"/>
      <c r="C801" s="6"/>
      <c r="D801" s="6"/>
      <c r="E801" s="6"/>
      <c r="F801" s="6"/>
      <c r="G801" s="6"/>
      <c r="H801" s="6"/>
      <c r="I801" s="6"/>
      <c r="J801" s="6"/>
      <c r="K801" s="22"/>
      <c r="L801" s="6"/>
      <c r="M801" s="6"/>
      <c r="N801" s="6"/>
      <c r="O801" s="6"/>
      <c r="P801" s="6"/>
      <c r="Q801" s="6"/>
      <c r="R801" s="54"/>
    </row>
    <row r="802" spans="1:18" ht="12.75">
      <c r="A802" s="6"/>
      <c r="B802" s="6"/>
      <c r="C802" s="6"/>
      <c r="D802" s="6"/>
      <c r="E802" s="6"/>
      <c r="F802" s="6"/>
      <c r="G802" s="6"/>
      <c r="H802" s="6"/>
      <c r="I802" s="6"/>
      <c r="J802" s="6"/>
      <c r="K802" s="22"/>
      <c r="L802" s="6"/>
      <c r="M802" s="6"/>
      <c r="N802" s="6"/>
      <c r="O802" s="6"/>
      <c r="P802" s="6"/>
      <c r="Q802" s="6"/>
      <c r="R802" s="54"/>
    </row>
    <row r="803" spans="1:18" ht="12.75">
      <c r="A803" s="6"/>
      <c r="B803" s="6"/>
      <c r="C803" s="6"/>
      <c r="D803" s="6"/>
      <c r="E803" s="6"/>
      <c r="F803" s="6"/>
      <c r="G803" s="6"/>
      <c r="H803" s="6"/>
      <c r="I803" s="6"/>
      <c r="J803" s="6"/>
      <c r="K803" s="22"/>
      <c r="L803" s="6"/>
      <c r="M803" s="6"/>
      <c r="N803" s="6"/>
      <c r="O803" s="6"/>
      <c r="P803" s="6"/>
      <c r="Q803" s="6"/>
      <c r="R803" s="54"/>
    </row>
    <row r="804" spans="1:18" ht="12.75">
      <c r="A804" s="6"/>
      <c r="B804" s="6"/>
      <c r="C804" s="6"/>
      <c r="D804" s="6"/>
      <c r="E804" s="6"/>
      <c r="F804" s="6"/>
      <c r="G804" s="6"/>
      <c r="H804" s="6"/>
      <c r="I804" s="6"/>
      <c r="J804" s="6"/>
      <c r="K804" s="22"/>
      <c r="L804" s="6"/>
      <c r="M804" s="6"/>
      <c r="N804" s="6"/>
      <c r="O804" s="6"/>
      <c r="P804" s="6"/>
      <c r="Q804" s="6"/>
      <c r="R804" s="54"/>
    </row>
    <row r="805" spans="1:18" ht="12.75">
      <c r="A805" s="6"/>
      <c r="B805" s="6"/>
      <c r="C805" s="6"/>
      <c r="D805" s="6"/>
      <c r="E805" s="6"/>
      <c r="F805" s="6"/>
      <c r="G805" s="6"/>
      <c r="H805" s="6"/>
      <c r="I805" s="6"/>
      <c r="J805" s="6"/>
      <c r="K805" s="22"/>
      <c r="L805" s="6"/>
      <c r="M805" s="6"/>
      <c r="N805" s="6"/>
      <c r="O805" s="6"/>
      <c r="P805" s="6"/>
      <c r="Q805" s="6"/>
      <c r="R805" s="54"/>
    </row>
    <row r="806" spans="1:18" ht="12.75">
      <c r="A806" s="6"/>
      <c r="B806" s="6"/>
      <c r="C806" s="6"/>
      <c r="D806" s="6"/>
      <c r="E806" s="6"/>
      <c r="F806" s="6"/>
      <c r="G806" s="6"/>
      <c r="H806" s="6"/>
      <c r="I806" s="6"/>
      <c r="J806" s="6"/>
      <c r="K806" s="22"/>
      <c r="L806" s="6"/>
      <c r="M806" s="6"/>
      <c r="N806" s="6"/>
      <c r="O806" s="6"/>
      <c r="P806" s="6"/>
      <c r="Q806" s="6"/>
      <c r="R806" s="54"/>
    </row>
    <row r="807" spans="1:18" ht="12.75">
      <c r="A807" s="6"/>
      <c r="B807" s="6"/>
      <c r="C807" s="6"/>
      <c r="D807" s="6"/>
      <c r="E807" s="6"/>
      <c r="F807" s="6"/>
      <c r="G807" s="6"/>
      <c r="H807" s="6"/>
      <c r="I807" s="6"/>
      <c r="J807" s="6"/>
      <c r="K807" s="22"/>
      <c r="L807" s="6"/>
      <c r="M807" s="6"/>
      <c r="N807" s="6"/>
      <c r="O807" s="6"/>
      <c r="P807" s="6"/>
      <c r="Q807" s="6"/>
      <c r="R807" s="54"/>
    </row>
    <row r="808" spans="1:18" ht="12.75">
      <c r="A808" s="6"/>
      <c r="B808" s="6"/>
      <c r="C808" s="6"/>
      <c r="D808" s="6"/>
      <c r="E808" s="6"/>
      <c r="F808" s="6"/>
      <c r="G808" s="6"/>
      <c r="H808" s="6"/>
      <c r="I808" s="6"/>
      <c r="J808" s="6"/>
      <c r="K808" s="22"/>
      <c r="L808" s="6"/>
      <c r="M808" s="6"/>
      <c r="N808" s="6"/>
      <c r="O808" s="6"/>
      <c r="P808" s="6"/>
      <c r="Q808" s="6"/>
      <c r="R808" s="54"/>
    </row>
    <row r="809" spans="1:18" ht="12.75">
      <c r="A809" s="6"/>
      <c r="B809" s="6"/>
      <c r="C809" s="6"/>
      <c r="D809" s="6"/>
      <c r="E809" s="6"/>
      <c r="F809" s="6"/>
      <c r="G809" s="6"/>
      <c r="H809" s="6"/>
      <c r="I809" s="6"/>
      <c r="J809" s="6"/>
      <c r="K809" s="22"/>
      <c r="L809" s="6"/>
      <c r="M809" s="6"/>
      <c r="N809" s="6"/>
      <c r="O809" s="6"/>
      <c r="P809" s="6"/>
      <c r="Q809" s="6"/>
      <c r="R809" s="54"/>
    </row>
    <row r="810" spans="1:18" ht="12.75">
      <c r="A810" s="6"/>
      <c r="B810" s="6"/>
      <c r="C810" s="6"/>
      <c r="D810" s="6"/>
      <c r="E810" s="6"/>
      <c r="F810" s="6"/>
      <c r="G810" s="6"/>
      <c r="H810" s="6"/>
      <c r="I810" s="6"/>
      <c r="J810" s="6"/>
      <c r="K810" s="22"/>
      <c r="L810" s="6"/>
      <c r="M810" s="6"/>
      <c r="N810" s="6"/>
      <c r="O810" s="6"/>
      <c r="P810" s="6"/>
      <c r="Q810" s="6"/>
      <c r="R810" s="54"/>
    </row>
    <row r="811" spans="1:18" ht="12.75">
      <c r="A811" s="6"/>
      <c r="B811" s="6"/>
      <c r="C811" s="6"/>
      <c r="D811" s="6"/>
      <c r="E811" s="6"/>
      <c r="F811" s="6"/>
      <c r="G811" s="6"/>
      <c r="H811" s="6"/>
      <c r="I811" s="6"/>
      <c r="J811" s="6"/>
      <c r="K811" s="22"/>
      <c r="L811" s="6"/>
      <c r="M811" s="6"/>
      <c r="N811" s="6"/>
      <c r="O811" s="6"/>
      <c r="P811" s="6"/>
      <c r="Q811" s="6"/>
      <c r="R811" s="54"/>
    </row>
    <row r="812" spans="1:18" ht="12.75">
      <c r="A812" s="6"/>
      <c r="B812" s="6"/>
      <c r="C812" s="6"/>
      <c r="D812" s="6"/>
      <c r="E812" s="6"/>
      <c r="F812" s="6"/>
      <c r="G812" s="6"/>
      <c r="H812" s="6"/>
      <c r="I812" s="6"/>
      <c r="J812" s="6"/>
      <c r="K812" s="22"/>
      <c r="L812" s="6"/>
      <c r="M812" s="6"/>
      <c r="N812" s="6"/>
      <c r="O812" s="6"/>
      <c r="P812" s="6"/>
      <c r="Q812" s="6"/>
      <c r="R812" s="54"/>
    </row>
    <row r="813" spans="1:18" ht="12.75">
      <c r="A813" s="6"/>
      <c r="B813" s="6"/>
      <c r="C813" s="6"/>
      <c r="D813" s="6"/>
      <c r="E813" s="6"/>
      <c r="F813" s="6"/>
      <c r="G813" s="6"/>
      <c r="H813" s="6"/>
      <c r="I813" s="6"/>
      <c r="J813" s="6"/>
      <c r="K813" s="22"/>
      <c r="L813" s="6"/>
      <c r="M813" s="6"/>
      <c r="N813" s="6"/>
      <c r="O813" s="6"/>
      <c r="P813" s="6"/>
      <c r="Q813" s="6"/>
      <c r="R813" s="54"/>
    </row>
    <row r="814" spans="1:18" ht="12.75">
      <c r="A814" s="6"/>
      <c r="B814" s="6"/>
      <c r="C814" s="6"/>
      <c r="D814" s="6"/>
      <c r="E814" s="6"/>
      <c r="F814" s="6"/>
      <c r="G814" s="6"/>
      <c r="H814" s="6"/>
      <c r="I814" s="6"/>
      <c r="J814" s="6"/>
      <c r="K814" s="22"/>
      <c r="L814" s="6"/>
      <c r="M814" s="6"/>
      <c r="N814" s="6"/>
      <c r="O814" s="6"/>
      <c r="P814" s="6"/>
      <c r="Q814" s="6"/>
      <c r="R814" s="54"/>
    </row>
    <row r="815" spans="1:18" ht="12.75">
      <c r="A815" s="6"/>
      <c r="B815" s="6"/>
      <c r="C815" s="6"/>
      <c r="D815" s="6"/>
      <c r="E815" s="6"/>
      <c r="F815" s="6"/>
      <c r="G815" s="6"/>
      <c r="H815" s="6"/>
      <c r="I815" s="6"/>
      <c r="J815" s="6"/>
      <c r="K815" s="22"/>
      <c r="L815" s="6"/>
      <c r="M815" s="6"/>
      <c r="N815" s="6"/>
      <c r="O815" s="6"/>
      <c r="P815" s="6"/>
      <c r="Q815" s="6"/>
      <c r="R815" s="54"/>
    </row>
    <row r="816" spans="1:18" ht="12.75">
      <c r="A816" s="6"/>
      <c r="B816" s="6"/>
      <c r="C816" s="6"/>
      <c r="D816" s="6"/>
      <c r="E816" s="6"/>
      <c r="F816" s="6"/>
      <c r="G816" s="6"/>
      <c r="H816" s="6"/>
      <c r="I816" s="6"/>
      <c r="J816" s="6"/>
      <c r="K816" s="22"/>
      <c r="L816" s="6"/>
      <c r="M816" s="6"/>
      <c r="N816" s="6"/>
      <c r="O816" s="6"/>
      <c r="P816" s="6"/>
      <c r="Q816" s="6"/>
      <c r="R816" s="54"/>
    </row>
    <row r="817" spans="1:18" ht="12.75">
      <c r="A817" s="6"/>
      <c r="B817" s="6"/>
      <c r="C817" s="6"/>
      <c r="D817" s="6"/>
      <c r="E817" s="6"/>
      <c r="F817" s="6"/>
      <c r="G817" s="6"/>
      <c r="H817" s="6"/>
      <c r="I817" s="6"/>
      <c r="J817" s="6"/>
      <c r="K817" s="22"/>
      <c r="L817" s="6"/>
      <c r="M817" s="6"/>
      <c r="N817" s="6"/>
      <c r="O817" s="6"/>
      <c r="P817" s="6"/>
      <c r="Q817" s="6"/>
      <c r="R817" s="54"/>
    </row>
    <row r="818" spans="1:18" ht="12.75">
      <c r="A818" s="6"/>
      <c r="B818" s="6"/>
      <c r="C818" s="6"/>
      <c r="D818" s="6"/>
      <c r="E818" s="6"/>
      <c r="F818" s="6"/>
      <c r="G818" s="6"/>
      <c r="H818" s="6"/>
      <c r="I818" s="6"/>
      <c r="J818" s="6"/>
      <c r="K818" s="22"/>
      <c r="L818" s="6"/>
      <c r="M818" s="6"/>
      <c r="N818" s="6"/>
      <c r="O818" s="6"/>
      <c r="P818" s="6"/>
      <c r="Q818" s="6"/>
      <c r="R818" s="54"/>
    </row>
    <row r="819" spans="1:18" ht="12.75">
      <c r="A819" s="6"/>
      <c r="B819" s="6"/>
      <c r="C819" s="6"/>
      <c r="D819" s="6"/>
      <c r="E819" s="6"/>
      <c r="F819" s="6"/>
      <c r="G819" s="6"/>
      <c r="H819" s="6"/>
      <c r="I819" s="6"/>
      <c r="J819" s="6"/>
      <c r="K819" s="22"/>
      <c r="L819" s="6"/>
      <c r="M819" s="6"/>
      <c r="N819" s="6"/>
      <c r="O819" s="6"/>
      <c r="P819" s="6"/>
      <c r="Q819" s="6"/>
      <c r="R819" s="54"/>
    </row>
    <row r="820" spans="1:18" ht="12.75">
      <c r="A820" s="6"/>
      <c r="B820" s="6"/>
      <c r="C820" s="6"/>
      <c r="D820" s="6"/>
      <c r="E820" s="6"/>
      <c r="F820" s="6"/>
      <c r="G820" s="6"/>
      <c r="H820" s="6"/>
      <c r="I820" s="6"/>
      <c r="J820" s="6"/>
      <c r="K820" s="22"/>
      <c r="L820" s="6"/>
      <c r="M820" s="6"/>
      <c r="N820" s="6"/>
      <c r="O820" s="6"/>
      <c r="P820" s="6"/>
      <c r="Q820" s="6"/>
      <c r="R820" s="54"/>
    </row>
    <row r="821" spans="1:18" ht="12.75">
      <c r="A821" s="6"/>
      <c r="B821" s="6"/>
      <c r="C821" s="6"/>
      <c r="D821" s="6"/>
      <c r="E821" s="6"/>
      <c r="F821" s="6"/>
      <c r="G821" s="6"/>
      <c r="H821" s="6"/>
      <c r="I821" s="6"/>
      <c r="J821" s="6"/>
      <c r="K821" s="22"/>
      <c r="L821" s="6"/>
      <c r="M821" s="6"/>
      <c r="N821" s="6"/>
      <c r="O821" s="6"/>
      <c r="P821" s="6"/>
      <c r="Q821" s="6"/>
      <c r="R821" s="54"/>
    </row>
    <row r="822" spans="1:18" ht="12.75">
      <c r="A822" s="6"/>
      <c r="B822" s="6"/>
      <c r="C822" s="6"/>
      <c r="D822" s="6"/>
      <c r="E822" s="6"/>
      <c r="F822" s="6"/>
      <c r="G822" s="6"/>
      <c r="H822" s="6"/>
      <c r="I822" s="6"/>
      <c r="J822" s="6"/>
      <c r="K822" s="22"/>
      <c r="L822" s="6"/>
      <c r="M822" s="6"/>
      <c r="N822" s="6"/>
      <c r="O822" s="6"/>
      <c r="P822" s="6"/>
      <c r="Q822" s="6"/>
      <c r="R822" s="54"/>
    </row>
    <row r="823" spans="1:18" ht="12.75">
      <c r="A823" s="6"/>
      <c r="B823" s="6"/>
      <c r="C823" s="6"/>
      <c r="D823" s="6"/>
      <c r="E823" s="6"/>
      <c r="F823" s="6"/>
      <c r="G823" s="6"/>
      <c r="H823" s="6"/>
      <c r="I823" s="6"/>
      <c r="J823" s="6"/>
      <c r="K823" s="22"/>
      <c r="L823" s="6"/>
      <c r="M823" s="6"/>
      <c r="N823" s="6"/>
      <c r="O823" s="6"/>
      <c r="P823" s="6"/>
      <c r="Q823" s="6"/>
      <c r="R823" s="54"/>
    </row>
    <row r="824" spans="1:18" ht="12.75">
      <c r="A824" s="6"/>
      <c r="B824" s="6"/>
      <c r="C824" s="6"/>
      <c r="D824" s="6"/>
      <c r="E824" s="6"/>
      <c r="F824" s="6"/>
      <c r="G824" s="6"/>
      <c r="H824" s="6"/>
      <c r="I824" s="6"/>
      <c r="J824" s="6"/>
      <c r="K824" s="22"/>
      <c r="L824" s="6"/>
      <c r="M824" s="6"/>
      <c r="N824" s="6"/>
      <c r="O824" s="6"/>
      <c r="P824" s="6"/>
      <c r="Q824" s="6"/>
      <c r="R824" s="54"/>
    </row>
    <row r="825" spans="1:18" ht="12.75">
      <c r="A825" s="6"/>
      <c r="B825" s="6"/>
      <c r="C825" s="6"/>
      <c r="D825" s="6"/>
      <c r="E825" s="6"/>
      <c r="F825" s="6"/>
      <c r="G825" s="6"/>
      <c r="H825" s="6"/>
      <c r="I825" s="6"/>
      <c r="J825" s="6"/>
      <c r="K825" s="22"/>
      <c r="L825" s="6"/>
      <c r="M825" s="6"/>
      <c r="N825" s="6"/>
      <c r="O825" s="6"/>
      <c r="P825" s="6"/>
      <c r="Q825" s="6"/>
      <c r="R825" s="54"/>
    </row>
    <row r="826" spans="1:18" ht="12.75">
      <c r="A826" s="6"/>
      <c r="B826" s="6"/>
      <c r="C826" s="6"/>
      <c r="D826" s="6"/>
      <c r="E826" s="6"/>
      <c r="F826" s="6"/>
      <c r="G826" s="6"/>
      <c r="H826" s="6"/>
      <c r="I826" s="6"/>
      <c r="J826" s="6"/>
      <c r="K826" s="22"/>
      <c r="L826" s="6"/>
      <c r="M826" s="6"/>
      <c r="N826" s="6"/>
      <c r="O826" s="6"/>
      <c r="P826" s="6"/>
      <c r="Q826" s="6"/>
      <c r="R826" s="54"/>
    </row>
    <row r="827" spans="1:18" ht="12.75">
      <c r="A827" s="6"/>
      <c r="B827" s="6"/>
      <c r="C827" s="6"/>
      <c r="D827" s="6"/>
      <c r="E827" s="6"/>
      <c r="F827" s="6"/>
      <c r="G827" s="6"/>
      <c r="H827" s="6"/>
      <c r="I827" s="6"/>
      <c r="J827" s="6"/>
      <c r="K827" s="22"/>
      <c r="L827" s="6"/>
      <c r="M827" s="6"/>
      <c r="N827" s="6"/>
      <c r="O827" s="6"/>
      <c r="P827" s="6"/>
      <c r="Q827" s="6"/>
      <c r="R827" s="54"/>
    </row>
    <row r="828" spans="1:18" ht="12.75">
      <c r="A828" s="6"/>
      <c r="B828" s="6"/>
      <c r="C828" s="6"/>
      <c r="D828" s="6"/>
      <c r="E828" s="6"/>
      <c r="F828" s="6"/>
      <c r="G828" s="6"/>
      <c r="H828" s="6"/>
      <c r="I828" s="6"/>
      <c r="J828" s="6"/>
      <c r="K828" s="22"/>
      <c r="L828" s="6"/>
      <c r="M828" s="6"/>
      <c r="N828" s="6"/>
      <c r="O828" s="6"/>
      <c r="P828" s="6"/>
      <c r="Q828" s="6"/>
      <c r="R828" s="54"/>
    </row>
    <row r="829" spans="1:18" ht="12.75">
      <c r="A829" s="6"/>
      <c r="B829" s="6"/>
      <c r="C829" s="6"/>
      <c r="D829" s="6"/>
      <c r="E829" s="6"/>
      <c r="F829" s="6"/>
      <c r="G829" s="6"/>
      <c r="H829" s="6"/>
      <c r="I829" s="6"/>
      <c r="J829" s="6"/>
      <c r="K829" s="22"/>
      <c r="L829" s="6"/>
      <c r="M829" s="6"/>
      <c r="N829" s="6"/>
      <c r="O829" s="6"/>
      <c r="P829" s="6"/>
      <c r="Q829" s="6"/>
      <c r="R829" s="54"/>
    </row>
    <row r="830" spans="1:18" ht="12.75">
      <c r="A830" s="6"/>
      <c r="B830" s="6"/>
      <c r="C830" s="6"/>
      <c r="D830" s="6"/>
      <c r="E830" s="6"/>
      <c r="F830" s="6"/>
      <c r="G830" s="6"/>
      <c r="H830" s="6"/>
      <c r="I830" s="6"/>
      <c r="J830" s="6"/>
      <c r="K830" s="22"/>
      <c r="L830" s="6"/>
      <c r="M830" s="6"/>
      <c r="N830" s="6"/>
      <c r="O830" s="6"/>
      <c r="P830" s="6"/>
      <c r="Q830" s="6"/>
      <c r="R830" s="54"/>
    </row>
    <row r="831" spans="1:18" ht="12.75">
      <c r="A831" s="6"/>
      <c r="B831" s="6"/>
      <c r="C831" s="6"/>
      <c r="D831" s="6"/>
      <c r="E831" s="6"/>
      <c r="F831" s="6"/>
      <c r="G831" s="6"/>
      <c r="H831" s="6"/>
      <c r="I831" s="6"/>
      <c r="J831" s="6"/>
      <c r="K831" s="22"/>
      <c r="L831" s="6"/>
      <c r="M831" s="6"/>
      <c r="N831" s="6"/>
      <c r="O831" s="6"/>
      <c r="P831" s="6"/>
      <c r="Q831" s="6"/>
      <c r="R831" s="54"/>
    </row>
    <row r="832" spans="1:18" ht="12.75">
      <c r="A832" s="6"/>
      <c r="B832" s="6"/>
      <c r="C832" s="6"/>
      <c r="D832" s="6"/>
      <c r="E832" s="6"/>
      <c r="F832" s="6"/>
      <c r="G832" s="6"/>
      <c r="H832" s="6"/>
      <c r="I832" s="6"/>
      <c r="J832" s="6"/>
      <c r="K832" s="22"/>
      <c r="L832" s="6"/>
      <c r="M832" s="6"/>
      <c r="N832" s="6"/>
      <c r="O832" s="6"/>
      <c r="P832" s="6"/>
      <c r="Q832" s="6"/>
      <c r="R832" s="54"/>
    </row>
    <row r="833" spans="1:18" ht="12.75">
      <c r="A833" s="6"/>
      <c r="B833" s="6"/>
      <c r="C833" s="6"/>
      <c r="D833" s="6"/>
      <c r="E833" s="6"/>
      <c r="F833" s="6"/>
      <c r="G833" s="6"/>
      <c r="H833" s="6"/>
      <c r="I833" s="6"/>
      <c r="J833" s="6"/>
      <c r="K833" s="22"/>
      <c r="L833" s="6"/>
      <c r="M833" s="6"/>
      <c r="N833" s="6"/>
      <c r="O833" s="6"/>
      <c r="P833" s="6"/>
      <c r="Q833" s="6"/>
      <c r="R833" s="54"/>
    </row>
    <row r="834" spans="1:18" ht="12.75">
      <c r="A834" s="6"/>
      <c r="B834" s="6"/>
      <c r="C834" s="6"/>
      <c r="D834" s="6"/>
      <c r="E834" s="6"/>
      <c r="F834" s="6"/>
      <c r="G834" s="6"/>
      <c r="H834" s="6"/>
      <c r="I834" s="6"/>
      <c r="J834" s="6"/>
      <c r="K834" s="22"/>
      <c r="L834" s="6"/>
      <c r="M834" s="6"/>
      <c r="N834" s="6"/>
      <c r="O834" s="6"/>
      <c r="P834" s="6"/>
      <c r="Q834" s="6"/>
      <c r="R834" s="54"/>
    </row>
    <row r="835" spans="1:18" ht="12.75">
      <c r="A835" s="6"/>
      <c r="B835" s="6"/>
      <c r="C835" s="6"/>
      <c r="D835" s="6"/>
      <c r="E835" s="6"/>
      <c r="F835" s="6"/>
      <c r="G835" s="6"/>
      <c r="H835" s="6"/>
      <c r="I835" s="6"/>
      <c r="J835" s="6"/>
      <c r="K835" s="22"/>
      <c r="L835" s="6"/>
      <c r="M835" s="6"/>
      <c r="N835" s="6"/>
      <c r="O835" s="6"/>
      <c r="P835" s="6"/>
      <c r="Q835" s="6"/>
      <c r="R835" s="54"/>
    </row>
    <row r="836" spans="1:18" ht="12.75">
      <c r="A836" s="6"/>
      <c r="B836" s="6"/>
      <c r="C836" s="6"/>
      <c r="D836" s="6"/>
      <c r="E836" s="6"/>
      <c r="F836" s="6"/>
      <c r="G836" s="6"/>
      <c r="H836" s="6"/>
      <c r="I836" s="6"/>
      <c r="J836" s="6"/>
      <c r="K836" s="22"/>
      <c r="L836" s="6"/>
      <c r="M836" s="6"/>
      <c r="N836" s="6"/>
      <c r="O836" s="6"/>
      <c r="P836" s="6"/>
      <c r="Q836" s="6"/>
      <c r="R836" s="54"/>
    </row>
    <row r="837" spans="1:18" ht="12.75">
      <c r="A837" s="6"/>
      <c r="B837" s="6"/>
      <c r="C837" s="6"/>
      <c r="D837" s="6"/>
      <c r="E837" s="6"/>
      <c r="F837" s="6"/>
      <c r="G837" s="6"/>
      <c r="H837" s="6"/>
      <c r="I837" s="6"/>
      <c r="J837" s="6"/>
      <c r="K837" s="22"/>
      <c r="L837" s="6"/>
      <c r="M837" s="6"/>
      <c r="N837" s="6"/>
      <c r="O837" s="6"/>
      <c r="P837" s="6"/>
      <c r="Q837" s="6"/>
      <c r="R837" s="54"/>
    </row>
    <row r="838" spans="1:18" ht="12.75">
      <c r="A838" s="6"/>
      <c r="B838" s="6"/>
      <c r="C838" s="6"/>
      <c r="D838" s="6"/>
      <c r="E838" s="6"/>
      <c r="F838" s="6"/>
      <c r="G838" s="6"/>
      <c r="H838" s="6"/>
      <c r="I838" s="6"/>
      <c r="J838" s="6"/>
      <c r="K838" s="22"/>
      <c r="L838" s="6"/>
      <c r="M838" s="6"/>
      <c r="N838" s="6"/>
      <c r="O838" s="6"/>
      <c r="P838" s="6"/>
      <c r="Q838" s="6"/>
      <c r="R838" s="54"/>
    </row>
    <row r="839" spans="1:18" ht="12.75">
      <c r="A839" s="6"/>
      <c r="B839" s="6"/>
      <c r="C839" s="6"/>
      <c r="D839" s="6"/>
      <c r="E839" s="6"/>
      <c r="F839" s="6"/>
      <c r="G839" s="6"/>
      <c r="H839" s="6"/>
      <c r="I839" s="6"/>
      <c r="J839" s="6"/>
      <c r="K839" s="22"/>
      <c r="L839" s="6"/>
      <c r="M839" s="6"/>
      <c r="N839" s="6"/>
      <c r="O839" s="6"/>
      <c r="P839" s="6"/>
      <c r="Q839" s="6"/>
      <c r="R839" s="54"/>
    </row>
    <row r="840" spans="1:18" ht="12.75">
      <c r="A840" s="6"/>
      <c r="B840" s="6"/>
      <c r="C840" s="6"/>
      <c r="D840" s="6"/>
      <c r="E840" s="6"/>
      <c r="F840" s="6"/>
      <c r="G840" s="6"/>
      <c r="H840" s="6"/>
      <c r="I840" s="6"/>
      <c r="J840" s="6"/>
      <c r="K840" s="22"/>
      <c r="L840" s="6"/>
      <c r="M840" s="6"/>
      <c r="N840" s="6"/>
      <c r="O840" s="6"/>
      <c r="P840" s="6"/>
      <c r="Q840" s="6"/>
      <c r="R840" s="54"/>
    </row>
    <row r="841" spans="1:18" ht="12.75">
      <c r="A841" s="6"/>
      <c r="B841" s="6"/>
      <c r="C841" s="6"/>
      <c r="D841" s="6"/>
      <c r="E841" s="6"/>
      <c r="F841" s="6"/>
      <c r="G841" s="6"/>
      <c r="H841" s="6"/>
      <c r="I841" s="6"/>
      <c r="J841" s="6"/>
      <c r="K841" s="22"/>
      <c r="L841" s="6"/>
      <c r="M841" s="6"/>
      <c r="N841" s="6"/>
      <c r="O841" s="6"/>
      <c r="P841" s="6"/>
      <c r="Q841" s="6"/>
      <c r="R841" s="54"/>
    </row>
    <row r="842" spans="1:18" ht="12.75">
      <c r="A842" s="6"/>
      <c r="B842" s="6"/>
      <c r="C842" s="6"/>
      <c r="D842" s="6"/>
      <c r="E842" s="6"/>
      <c r="F842" s="6"/>
      <c r="G842" s="6"/>
      <c r="H842" s="6"/>
      <c r="I842" s="6"/>
      <c r="J842" s="6"/>
      <c r="K842" s="22"/>
      <c r="L842" s="6"/>
      <c r="M842" s="6"/>
      <c r="N842" s="6"/>
      <c r="O842" s="6"/>
      <c r="P842" s="6"/>
      <c r="Q842" s="6"/>
      <c r="R842" s="54"/>
    </row>
    <row r="843" spans="1:18" ht="12.75">
      <c r="A843" s="6"/>
      <c r="B843" s="6"/>
      <c r="C843" s="6"/>
      <c r="D843" s="6"/>
      <c r="E843" s="6"/>
      <c r="F843" s="6"/>
      <c r="G843" s="6"/>
      <c r="H843" s="6"/>
      <c r="I843" s="6"/>
      <c r="J843" s="6"/>
      <c r="K843" s="22"/>
      <c r="L843" s="6"/>
      <c r="M843" s="6"/>
      <c r="N843" s="6"/>
      <c r="O843" s="6"/>
      <c r="P843" s="6"/>
      <c r="Q843" s="6"/>
      <c r="R843" s="54"/>
    </row>
    <row r="844" spans="1:18" ht="12.75">
      <c r="A844" s="6"/>
      <c r="B844" s="6"/>
      <c r="C844" s="6"/>
      <c r="D844" s="6"/>
      <c r="E844" s="6"/>
      <c r="F844" s="6"/>
      <c r="G844" s="6"/>
      <c r="H844" s="6"/>
      <c r="I844" s="6"/>
      <c r="J844" s="6"/>
      <c r="K844" s="22"/>
      <c r="L844" s="6"/>
      <c r="M844" s="6"/>
      <c r="N844" s="6"/>
      <c r="O844" s="6"/>
      <c r="P844" s="6"/>
      <c r="Q844" s="6"/>
      <c r="R844" s="54"/>
    </row>
    <row r="845" spans="1:18" ht="12.75">
      <c r="A845" s="6"/>
      <c r="B845" s="6"/>
      <c r="C845" s="6"/>
      <c r="D845" s="6"/>
      <c r="E845" s="6"/>
      <c r="F845" s="6"/>
      <c r="G845" s="6"/>
      <c r="H845" s="6"/>
      <c r="I845" s="6"/>
      <c r="J845" s="6"/>
      <c r="K845" s="22"/>
      <c r="L845" s="6"/>
      <c r="M845" s="6"/>
      <c r="N845" s="6"/>
      <c r="O845" s="6"/>
      <c r="P845" s="6"/>
      <c r="Q845" s="6"/>
      <c r="R845" s="54"/>
    </row>
    <row r="846" spans="1:18" ht="12.75">
      <c r="A846" s="6"/>
      <c r="B846" s="6"/>
      <c r="C846" s="6"/>
      <c r="D846" s="6"/>
      <c r="E846" s="6"/>
      <c r="F846" s="6"/>
      <c r="G846" s="6"/>
      <c r="H846" s="6"/>
      <c r="I846" s="6"/>
      <c r="J846" s="6"/>
      <c r="K846" s="22"/>
      <c r="L846" s="6"/>
      <c r="M846" s="6"/>
      <c r="N846" s="6"/>
      <c r="O846" s="6"/>
      <c r="P846" s="6"/>
      <c r="Q846" s="6"/>
      <c r="R846" s="54"/>
    </row>
    <row r="847" spans="1:18" ht="12.75">
      <c r="A847" s="6"/>
      <c r="B847" s="6"/>
      <c r="C847" s="6"/>
      <c r="D847" s="6"/>
      <c r="E847" s="6"/>
      <c r="F847" s="6"/>
      <c r="G847" s="6"/>
      <c r="H847" s="6"/>
      <c r="I847" s="6"/>
      <c r="J847" s="6"/>
      <c r="K847" s="22"/>
      <c r="L847" s="6"/>
      <c r="M847" s="6"/>
      <c r="N847" s="6"/>
      <c r="O847" s="6"/>
      <c r="P847" s="6"/>
      <c r="Q847" s="6"/>
      <c r="R847" s="54"/>
    </row>
    <row r="848" spans="1:18" ht="12.75">
      <c r="A848" s="6"/>
      <c r="B848" s="6"/>
      <c r="C848" s="6"/>
      <c r="D848" s="6"/>
      <c r="E848" s="6"/>
      <c r="F848" s="6"/>
      <c r="G848" s="6"/>
      <c r="H848" s="6"/>
      <c r="I848" s="6"/>
      <c r="J848" s="6"/>
      <c r="K848" s="22"/>
      <c r="L848" s="6"/>
      <c r="M848" s="6"/>
      <c r="N848" s="6"/>
      <c r="O848" s="6"/>
      <c r="P848" s="6"/>
      <c r="Q848" s="6"/>
      <c r="R848" s="54"/>
    </row>
    <row r="849" spans="1:18" ht="12.75">
      <c r="A849" s="6"/>
      <c r="B849" s="6"/>
      <c r="C849" s="6"/>
      <c r="D849" s="6"/>
      <c r="E849" s="6"/>
      <c r="F849" s="6"/>
      <c r="G849" s="6"/>
      <c r="H849" s="6"/>
      <c r="I849" s="6"/>
      <c r="J849" s="6"/>
      <c r="K849" s="22"/>
      <c r="L849" s="6"/>
      <c r="M849" s="6"/>
      <c r="N849" s="6"/>
      <c r="O849" s="6"/>
      <c r="P849" s="6"/>
      <c r="Q849" s="6"/>
      <c r="R849" s="54"/>
    </row>
    <row r="850" spans="1:18" ht="12.75">
      <c r="A850" s="6"/>
      <c r="B850" s="6"/>
      <c r="C850" s="6"/>
      <c r="D850" s="6"/>
      <c r="E850" s="6"/>
      <c r="F850" s="6"/>
      <c r="G850" s="6"/>
      <c r="H850" s="6"/>
      <c r="I850" s="6"/>
      <c r="J850" s="6"/>
      <c r="K850" s="22"/>
      <c r="L850" s="6"/>
      <c r="M850" s="6"/>
      <c r="N850" s="6"/>
      <c r="O850" s="6"/>
      <c r="P850" s="6"/>
      <c r="Q850" s="6"/>
      <c r="R850" s="54"/>
    </row>
    <row r="851" spans="1:18" ht="12.75">
      <c r="A851" s="6"/>
      <c r="B851" s="6"/>
      <c r="C851" s="6"/>
      <c r="D851" s="6"/>
      <c r="E851" s="6"/>
      <c r="F851" s="6"/>
      <c r="G851" s="6"/>
      <c r="H851" s="6"/>
      <c r="I851" s="6"/>
      <c r="J851" s="6"/>
      <c r="K851" s="22"/>
      <c r="L851" s="6"/>
      <c r="M851" s="6"/>
      <c r="N851" s="6"/>
      <c r="O851" s="6"/>
      <c r="P851" s="6"/>
      <c r="Q851" s="6"/>
      <c r="R851" s="54"/>
    </row>
    <row r="852" spans="1:18" ht="12.75">
      <c r="A852" s="6"/>
      <c r="B852" s="6"/>
      <c r="C852" s="6"/>
      <c r="D852" s="6"/>
      <c r="E852" s="6"/>
      <c r="F852" s="6"/>
      <c r="G852" s="6"/>
      <c r="H852" s="6"/>
      <c r="I852" s="6"/>
      <c r="J852" s="6"/>
      <c r="K852" s="22"/>
      <c r="L852" s="6"/>
      <c r="M852" s="6"/>
      <c r="N852" s="6"/>
      <c r="O852" s="6"/>
      <c r="P852" s="6"/>
      <c r="Q852" s="6"/>
      <c r="R852" s="54"/>
    </row>
    <row r="853" spans="1:18" ht="12.75">
      <c r="A853" s="6"/>
      <c r="B853" s="6"/>
      <c r="C853" s="6"/>
      <c r="D853" s="6"/>
      <c r="E853" s="6"/>
      <c r="F853" s="6"/>
      <c r="G853" s="6"/>
      <c r="H853" s="6"/>
      <c r="I853" s="6"/>
      <c r="J853" s="6"/>
      <c r="K853" s="22"/>
      <c r="L853" s="6"/>
      <c r="M853" s="6"/>
      <c r="N853" s="6"/>
      <c r="O853" s="6"/>
      <c r="P853" s="6"/>
      <c r="Q853" s="6"/>
      <c r="R853" s="54"/>
    </row>
    <row r="854" spans="1:18" ht="12.75">
      <c r="A854" s="6"/>
      <c r="B854" s="6"/>
      <c r="C854" s="6"/>
      <c r="D854" s="6"/>
      <c r="E854" s="6"/>
      <c r="F854" s="6"/>
      <c r="G854" s="6"/>
      <c r="H854" s="6"/>
      <c r="I854" s="6"/>
      <c r="J854" s="6"/>
      <c r="K854" s="22"/>
      <c r="L854" s="6"/>
      <c r="M854" s="6"/>
      <c r="N854" s="6"/>
      <c r="O854" s="6"/>
      <c r="P854" s="6"/>
      <c r="Q854" s="6"/>
      <c r="R854" s="54"/>
    </row>
    <row r="855" spans="1:18" ht="12.75">
      <c r="A855" s="6"/>
      <c r="B855" s="6"/>
      <c r="C855" s="6"/>
      <c r="D855" s="6"/>
      <c r="E855" s="6"/>
      <c r="F855" s="6"/>
      <c r="G855" s="6"/>
      <c r="H855" s="6"/>
      <c r="I855" s="6"/>
      <c r="J855" s="6"/>
      <c r="K855" s="22"/>
      <c r="L855" s="6"/>
      <c r="M855" s="6"/>
      <c r="N855" s="6"/>
      <c r="O855" s="6"/>
      <c r="P855" s="6"/>
      <c r="Q855" s="6"/>
      <c r="R855" s="54"/>
    </row>
    <row r="856" spans="1:18" ht="12.75">
      <c r="A856" s="6"/>
      <c r="B856" s="6"/>
      <c r="C856" s="6"/>
      <c r="D856" s="6"/>
      <c r="E856" s="6"/>
      <c r="F856" s="6"/>
      <c r="G856" s="6"/>
      <c r="H856" s="6"/>
      <c r="I856" s="6"/>
      <c r="J856" s="6"/>
      <c r="K856" s="22"/>
      <c r="L856" s="6"/>
      <c r="M856" s="6"/>
      <c r="N856" s="6"/>
      <c r="O856" s="6"/>
      <c r="P856" s="6"/>
      <c r="Q856" s="6"/>
      <c r="R856" s="54"/>
    </row>
    <row r="857" spans="1:18" ht="12.75">
      <c r="A857" s="6"/>
      <c r="B857" s="6"/>
      <c r="C857" s="6"/>
      <c r="D857" s="6"/>
      <c r="E857" s="6"/>
      <c r="F857" s="6"/>
      <c r="G857" s="6"/>
      <c r="H857" s="6"/>
      <c r="I857" s="6"/>
      <c r="J857" s="6"/>
      <c r="K857" s="22"/>
      <c r="L857" s="6"/>
      <c r="M857" s="6"/>
      <c r="N857" s="6"/>
      <c r="O857" s="6"/>
      <c r="P857" s="6"/>
      <c r="Q857" s="6"/>
      <c r="R857" s="54"/>
    </row>
    <row r="858" spans="1:18" ht="12.75">
      <c r="A858" s="6"/>
      <c r="B858" s="6"/>
      <c r="C858" s="6"/>
      <c r="D858" s="6"/>
      <c r="E858" s="6"/>
      <c r="F858" s="6"/>
      <c r="G858" s="6"/>
      <c r="H858" s="6"/>
      <c r="I858" s="6"/>
      <c r="J858" s="6"/>
      <c r="K858" s="22"/>
      <c r="L858" s="6"/>
      <c r="M858" s="6"/>
      <c r="N858" s="6"/>
      <c r="O858" s="6"/>
      <c r="P858" s="6"/>
      <c r="Q858" s="6"/>
      <c r="R858" s="54"/>
    </row>
    <row r="859" spans="1:18" ht="12.75">
      <c r="A859" s="6"/>
      <c r="B859" s="6"/>
      <c r="C859" s="6"/>
      <c r="D859" s="6"/>
      <c r="E859" s="6"/>
      <c r="F859" s="6"/>
      <c r="G859" s="6"/>
      <c r="H859" s="6"/>
      <c r="I859" s="6"/>
      <c r="J859" s="6"/>
      <c r="K859" s="22"/>
      <c r="L859" s="6"/>
      <c r="M859" s="6"/>
      <c r="N859" s="6"/>
      <c r="O859" s="6"/>
      <c r="P859" s="6"/>
      <c r="Q859" s="6"/>
      <c r="R859" s="54"/>
    </row>
    <row r="860" spans="1:18" ht="12.75">
      <c r="A860" s="6"/>
      <c r="B860" s="6"/>
      <c r="C860" s="6"/>
      <c r="D860" s="6"/>
      <c r="E860" s="6"/>
      <c r="F860" s="6"/>
      <c r="G860" s="6"/>
      <c r="H860" s="6"/>
      <c r="I860" s="6"/>
      <c r="J860" s="6"/>
      <c r="K860" s="22"/>
      <c r="L860" s="6"/>
      <c r="M860" s="6"/>
      <c r="N860" s="6"/>
      <c r="O860" s="6"/>
      <c r="P860" s="6"/>
      <c r="Q860" s="6"/>
      <c r="R860" s="54"/>
    </row>
    <row r="861" spans="1:18" ht="12.75">
      <c r="A861" s="6"/>
      <c r="B861" s="6"/>
      <c r="C861" s="6"/>
      <c r="D861" s="6"/>
      <c r="E861" s="6"/>
      <c r="F861" s="6"/>
      <c r="G861" s="6"/>
      <c r="H861" s="6"/>
      <c r="I861" s="6"/>
      <c r="J861" s="6"/>
      <c r="K861" s="22"/>
      <c r="L861" s="6"/>
      <c r="M861" s="6"/>
      <c r="N861" s="6"/>
      <c r="O861" s="6"/>
      <c r="P861" s="6"/>
      <c r="Q861" s="6"/>
      <c r="R861" s="54"/>
    </row>
    <row r="862" spans="1:18" ht="12.75">
      <c r="A862" s="6"/>
      <c r="B862" s="6"/>
      <c r="C862" s="6"/>
      <c r="D862" s="6"/>
      <c r="E862" s="6"/>
      <c r="F862" s="6"/>
      <c r="G862" s="6"/>
      <c r="H862" s="6"/>
      <c r="I862" s="6"/>
      <c r="J862" s="6"/>
      <c r="K862" s="22"/>
      <c r="L862" s="6"/>
      <c r="M862" s="6"/>
      <c r="N862" s="6"/>
      <c r="O862" s="6"/>
      <c r="P862" s="6"/>
      <c r="Q862" s="6"/>
      <c r="R862" s="54"/>
    </row>
    <row r="863" spans="1:18" ht="12.75">
      <c r="A863" s="6"/>
      <c r="B863" s="6"/>
      <c r="C863" s="6"/>
      <c r="D863" s="6"/>
      <c r="E863" s="6"/>
      <c r="F863" s="6"/>
      <c r="G863" s="6"/>
      <c r="H863" s="6"/>
      <c r="I863" s="6"/>
      <c r="J863" s="6"/>
      <c r="K863" s="22"/>
      <c r="L863" s="6"/>
      <c r="M863" s="6"/>
      <c r="N863" s="6"/>
      <c r="O863" s="6"/>
      <c r="P863" s="6"/>
      <c r="Q863" s="6"/>
      <c r="R863" s="54"/>
    </row>
    <row r="864" spans="1:18" ht="12.75">
      <c r="A864" s="6"/>
      <c r="B864" s="6"/>
      <c r="C864" s="6"/>
      <c r="D864" s="6"/>
      <c r="E864" s="6"/>
      <c r="F864" s="6"/>
      <c r="G864" s="6"/>
      <c r="H864" s="6"/>
      <c r="I864" s="6"/>
      <c r="J864" s="6"/>
      <c r="K864" s="22"/>
      <c r="L864" s="6"/>
      <c r="M864" s="6"/>
      <c r="N864" s="6"/>
      <c r="O864" s="6"/>
      <c r="P864" s="6"/>
      <c r="Q864" s="6"/>
      <c r="R864" s="54"/>
    </row>
    <row r="865" spans="1:18" ht="12.75">
      <c r="A865" s="6"/>
      <c r="B865" s="6"/>
      <c r="C865" s="6"/>
      <c r="D865" s="6"/>
      <c r="E865" s="6"/>
      <c r="F865" s="6"/>
      <c r="G865" s="6"/>
      <c r="H865" s="6"/>
      <c r="I865" s="6"/>
      <c r="J865" s="6"/>
      <c r="K865" s="22"/>
      <c r="L865" s="6"/>
      <c r="M865" s="6"/>
      <c r="N865" s="6"/>
      <c r="O865" s="6"/>
      <c r="P865" s="6"/>
      <c r="Q865" s="6"/>
      <c r="R865" s="54"/>
    </row>
    <row r="866" spans="1:18" ht="12.75">
      <c r="A866" s="6"/>
      <c r="B866" s="6"/>
      <c r="C866" s="6"/>
      <c r="D866" s="6"/>
      <c r="E866" s="6"/>
      <c r="F866" s="6"/>
      <c r="G866" s="6"/>
      <c r="H866" s="6"/>
      <c r="I866" s="6"/>
      <c r="J866" s="6"/>
      <c r="K866" s="22"/>
      <c r="L866" s="6"/>
      <c r="M866" s="6"/>
      <c r="N866" s="6"/>
      <c r="O866" s="6"/>
      <c r="P866" s="6"/>
      <c r="Q866" s="6"/>
      <c r="R866" s="54"/>
    </row>
    <row r="867" spans="1:18" ht="12.75">
      <c r="A867" s="6"/>
      <c r="B867" s="6"/>
      <c r="C867" s="6"/>
      <c r="D867" s="6"/>
      <c r="E867" s="6"/>
      <c r="F867" s="6"/>
      <c r="G867" s="6"/>
      <c r="H867" s="6"/>
      <c r="I867" s="6"/>
      <c r="J867" s="6"/>
      <c r="K867" s="22"/>
      <c r="L867" s="6"/>
      <c r="M867" s="6"/>
      <c r="N867" s="6"/>
      <c r="O867" s="6"/>
      <c r="P867" s="6"/>
      <c r="Q867" s="6"/>
      <c r="R867" s="54"/>
    </row>
    <row r="868" spans="1:18" ht="12.75">
      <c r="A868" s="6"/>
      <c r="B868" s="6"/>
      <c r="C868" s="6"/>
      <c r="D868" s="6"/>
      <c r="E868" s="6"/>
      <c r="F868" s="6"/>
      <c r="G868" s="6"/>
      <c r="H868" s="6"/>
      <c r="I868" s="6"/>
      <c r="J868" s="6"/>
      <c r="K868" s="22"/>
      <c r="L868" s="6"/>
      <c r="M868" s="6"/>
      <c r="N868" s="6"/>
      <c r="O868" s="6"/>
      <c r="P868" s="6"/>
      <c r="Q868" s="6"/>
      <c r="R868" s="54"/>
    </row>
    <row r="869" spans="1:18" ht="12.75">
      <c r="A869" s="6"/>
      <c r="B869" s="6"/>
      <c r="C869" s="6"/>
      <c r="D869" s="6"/>
      <c r="E869" s="6"/>
      <c r="F869" s="6"/>
      <c r="G869" s="6"/>
      <c r="H869" s="6"/>
      <c r="I869" s="6"/>
      <c r="J869" s="6"/>
      <c r="K869" s="22"/>
      <c r="L869" s="6"/>
      <c r="M869" s="6"/>
      <c r="N869" s="6"/>
      <c r="O869" s="6"/>
      <c r="P869" s="6"/>
      <c r="Q869" s="6"/>
      <c r="R869" s="54"/>
    </row>
    <row r="870" spans="1:18" ht="12.75">
      <c r="A870" s="6"/>
      <c r="B870" s="6"/>
      <c r="C870" s="6"/>
      <c r="D870" s="6"/>
      <c r="E870" s="6"/>
      <c r="F870" s="6"/>
      <c r="G870" s="6"/>
      <c r="H870" s="6"/>
      <c r="I870" s="6"/>
      <c r="J870" s="6"/>
      <c r="K870" s="22"/>
      <c r="L870" s="6"/>
      <c r="M870" s="6"/>
      <c r="N870" s="6"/>
      <c r="O870" s="6"/>
      <c r="P870" s="6"/>
      <c r="Q870" s="6"/>
      <c r="R870" s="54"/>
    </row>
    <row r="871" spans="1:18" ht="12.75">
      <c r="A871" s="6"/>
      <c r="B871" s="6"/>
      <c r="C871" s="6"/>
      <c r="D871" s="6"/>
      <c r="E871" s="6"/>
      <c r="F871" s="6"/>
      <c r="G871" s="6"/>
      <c r="H871" s="6"/>
      <c r="I871" s="6"/>
      <c r="J871" s="6"/>
      <c r="K871" s="22"/>
      <c r="L871" s="6"/>
      <c r="M871" s="6"/>
      <c r="N871" s="6"/>
      <c r="O871" s="6"/>
      <c r="P871" s="6"/>
      <c r="Q871" s="6"/>
      <c r="R871" s="54"/>
    </row>
    <row r="872" spans="1:18" ht="12.75">
      <c r="A872" s="6"/>
      <c r="B872" s="6"/>
      <c r="C872" s="6"/>
      <c r="D872" s="6"/>
      <c r="E872" s="6"/>
      <c r="F872" s="6"/>
      <c r="G872" s="6"/>
      <c r="H872" s="6"/>
      <c r="I872" s="6"/>
      <c r="J872" s="6"/>
      <c r="K872" s="22"/>
      <c r="L872" s="6"/>
      <c r="M872" s="6"/>
      <c r="N872" s="6"/>
      <c r="O872" s="6"/>
      <c r="P872" s="6"/>
      <c r="Q872" s="6"/>
      <c r="R872" s="54"/>
    </row>
    <row r="873" spans="1:18" ht="12.75">
      <c r="A873" s="6"/>
      <c r="B873" s="6"/>
      <c r="C873" s="6"/>
      <c r="D873" s="6"/>
      <c r="E873" s="6"/>
      <c r="F873" s="6"/>
      <c r="G873" s="6"/>
      <c r="H873" s="6"/>
      <c r="I873" s="6"/>
      <c r="J873" s="6"/>
      <c r="K873" s="22"/>
      <c r="L873" s="6"/>
      <c r="M873" s="6"/>
      <c r="N873" s="6"/>
      <c r="O873" s="6"/>
      <c r="P873" s="6"/>
      <c r="Q873" s="6"/>
      <c r="R873" s="54"/>
    </row>
    <row r="874" spans="1:18" ht="12.75">
      <c r="A874" s="6"/>
      <c r="B874" s="6"/>
      <c r="C874" s="6"/>
      <c r="D874" s="6"/>
      <c r="E874" s="6"/>
      <c r="F874" s="6"/>
      <c r="G874" s="6"/>
      <c r="H874" s="6"/>
      <c r="I874" s="6"/>
      <c r="J874" s="6"/>
      <c r="K874" s="22"/>
      <c r="L874" s="6"/>
      <c r="M874" s="6"/>
      <c r="N874" s="6"/>
      <c r="O874" s="6"/>
      <c r="P874" s="6"/>
      <c r="Q874" s="6"/>
      <c r="R874" s="54"/>
    </row>
    <row r="875" spans="1:18" ht="12.75">
      <c r="A875" s="6"/>
      <c r="B875" s="6"/>
      <c r="C875" s="6"/>
      <c r="D875" s="6"/>
      <c r="E875" s="6"/>
      <c r="F875" s="6"/>
      <c r="G875" s="6"/>
      <c r="H875" s="6"/>
      <c r="I875" s="6"/>
      <c r="J875" s="6"/>
      <c r="K875" s="22"/>
      <c r="L875" s="6"/>
      <c r="M875" s="6"/>
      <c r="N875" s="6"/>
      <c r="O875" s="6"/>
      <c r="P875" s="6"/>
      <c r="Q875" s="6"/>
      <c r="R875" s="54"/>
    </row>
    <row r="876" spans="1:18" ht="12.75">
      <c r="A876" s="6"/>
      <c r="B876" s="6"/>
      <c r="C876" s="6"/>
      <c r="D876" s="6"/>
      <c r="E876" s="6"/>
      <c r="F876" s="6"/>
      <c r="G876" s="6"/>
      <c r="H876" s="6"/>
      <c r="I876" s="6"/>
      <c r="J876" s="6"/>
      <c r="K876" s="22"/>
      <c r="L876" s="6"/>
      <c r="M876" s="6"/>
      <c r="N876" s="6"/>
      <c r="O876" s="6"/>
      <c r="P876" s="6"/>
      <c r="Q876" s="6"/>
      <c r="R876" s="54"/>
    </row>
    <row r="877" spans="1:18" ht="12.75">
      <c r="A877" s="6"/>
      <c r="B877" s="6"/>
      <c r="C877" s="6"/>
      <c r="D877" s="6"/>
      <c r="E877" s="6"/>
      <c r="F877" s="6"/>
      <c r="G877" s="6"/>
      <c r="H877" s="6"/>
      <c r="I877" s="6"/>
      <c r="J877" s="6"/>
      <c r="K877" s="22"/>
      <c r="L877" s="6"/>
      <c r="M877" s="6"/>
      <c r="N877" s="6"/>
      <c r="O877" s="6"/>
      <c r="P877" s="6"/>
      <c r="Q877" s="6"/>
      <c r="R877" s="54"/>
    </row>
    <row r="878" spans="1:18" ht="12.75">
      <c r="A878" s="6"/>
      <c r="B878" s="6"/>
      <c r="C878" s="6"/>
      <c r="D878" s="6"/>
      <c r="E878" s="6"/>
      <c r="F878" s="6"/>
      <c r="G878" s="6"/>
      <c r="H878" s="6"/>
      <c r="I878" s="6"/>
      <c r="J878" s="6"/>
      <c r="K878" s="22"/>
      <c r="L878" s="6"/>
      <c r="M878" s="6"/>
      <c r="N878" s="6"/>
      <c r="O878" s="6"/>
      <c r="P878" s="6"/>
      <c r="Q878" s="6"/>
      <c r="R878" s="54"/>
    </row>
    <row r="879" spans="1:18" ht="12.75">
      <c r="A879" s="6"/>
      <c r="B879" s="6"/>
      <c r="C879" s="6"/>
      <c r="D879" s="6"/>
      <c r="E879" s="6"/>
      <c r="F879" s="6"/>
      <c r="G879" s="6"/>
      <c r="H879" s="6"/>
      <c r="I879" s="6"/>
      <c r="J879" s="6"/>
      <c r="K879" s="22"/>
      <c r="L879" s="6"/>
      <c r="M879" s="6"/>
      <c r="N879" s="6"/>
      <c r="O879" s="6"/>
      <c r="P879" s="6"/>
      <c r="Q879" s="6"/>
      <c r="R879" s="54"/>
    </row>
    <row r="880" spans="1:18" ht="12.75">
      <c r="A880" s="6"/>
      <c r="B880" s="6"/>
      <c r="C880" s="6"/>
      <c r="D880" s="6"/>
      <c r="E880" s="6"/>
      <c r="F880" s="6"/>
      <c r="G880" s="6"/>
      <c r="H880" s="6"/>
      <c r="I880" s="6"/>
      <c r="J880" s="6"/>
      <c r="K880" s="22"/>
      <c r="L880" s="6"/>
      <c r="M880" s="6"/>
      <c r="N880" s="6"/>
      <c r="O880" s="6"/>
      <c r="P880" s="6"/>
      <c r="Q880" s="6"/>
      <c r="R880" s="54"/>
    </row>
    <row r="881" spans="1:18" ht="12.75">
      <c r="A881" s="6"/>
      <c r="B881" s="6"/>
      <c r="C881" s="6"/>
      <c r="D881" s="6"/>
      <c r="E881" s="6"/>
      <c r="F881" s="6"/>
      <c r="G881" s="6"/>
      <c r="H881" s="6"/>
      <c r="I881" s="6"/>
      <c r="J881" s="6"/>
      <c r="K881" s="22"/>
      <c r="L881" s="6"/>
      <c r="M881" s="6"/>
      <c r="N881" s="6"/>
      <c r="O881" s="6"/>
      <c r="P881" s="6"/>
      <c r="Q881" s="6"/>
      <c r="R881" s="54"/>
    </row>
    <row r="882" spans="1:18" ht="12.75">
      <c r="A882" s="6"/>
      <c r="B882" s="6"/>
      <c r="C882" s="6"/>
      <c r="D882" s="6"/>
      <c r="E882" s="6"/>
      <c r="F882" s="6"/>
      <c r="G882" s="6"/>
      <c r="H882" s="6"/>
      <c r="I882" s="6"/>
      <c r="J882" s="6"/>
      <c r="K882" s="22"/>
      <c r="L882" s="6"/>
      <c r="M882" s="6"/>
      <c r="N882" s="6"/>
      <c r="O882" s="6"/>
      <c r="P882" s="6"/>
      <c r="Q882" s="6"/>
      <c r="R882" s="54"/>
    </row>
    <row r="883" spans="1:18" ht="12.75">
      <c r="A883" s="6"/>
      <c r="B883" s="6"/>
      <c r="C883" s="6"/>
      <c r="D883" s="6"/>
      <c r="E883" s="6"/>
      <c r="F883" s="6"/>
      <c r="G883" s="6"/>
      <c r="H883" s="6"/>
      <c r="I883" s="6"/>
      <c r="J883" s="6"/>
      <c r="K883" s="22"/>
      <c r="L883" s="6"/>
      <c r="M883" s="6"/>
      <c r="N883" s="6"/>
      <c r="O883" s="6"/>
      <c r="P883" s="6"/>
      <c r="Q883" s="6"/>
      <c r="R883" s="54"/>
    </row>
    <row r="884" spans="1:18" ht="12.75">
      <c r="A884" s="6"/>
      <c r="B884" s="6"/>
      <c r="C884" s="6"/>
      <c r="D884" s="6"/>
      <c r="E884" s="6"/>
      <c r="F884" s="6"/>
      <c r="G884" s="6"/>
      <c r="H884" s="6"/>
      <c r="I884" s="6"/>
      <c r="J884" s="6"/>
      <c r="K884" s="22"/>
      <c r="L884" s="6"/>
      <c r="M884" s="6"/>
      <c r="N884" s="6"/>
      <c r="O884" s="6"/>
      <c r="P884" s="6"/>
      <c r="Q884" s="6"/>
      <c r="R884" s="54"/>
    </row>
    <row r="885" spans="1:18" ht="12.75">
      <c r="A885" s="6"/>
      <c r="B885" s="6"/>
      <c r="C885" s="6"/>
      <c r="D885" s="6"/>
      <c r="E885" s="6"/>
      <c r="F885" s="6"/>
      <c r="G885" s="6"/>
      <c r="H885" s="6"/>
      <c r="I885" s="6"/>
      <c r="J885" s="6"/>
      <c r="K885" s="22"/>
      <c r="L885" s="6"/>
      <c r="M885" s="6"/>
      <c r="N885" s="6"/>
      <c r="O885" s="6"/>
      <c r="P885" s="6"/>
      <c r="Q885" s="6"/>
      <c r="R885" s="54"/>
    </row>
    <row r="886" spans="1:18" ht="12.75">
      <c r="A886" s="6"/>
      <c r="B886" s="6"/>
      <c r="C886" s="6"/>
      <c r="D886" s="6"/>
      <c r="E886" s="6"/>
      <c r="F886" s="6"/>
      <c r="G886" s="6"/>
      <c r="H886" s="6"/>
      <c r="I886" s="6"/>
      <c r="J886" s="6"/>
      <c r="K886" s="22"/>
      <c r="L886" s="6"/>
      <c r="M886" s="6"/>
      <c r="N886" s="6"/>
      <c r="O886" s="6"/>
      <c r="P886" s="6"/>
      <c r="Q886" s="6"/>
      <c r="R886" s="54"/>
    </row>
    <row r="887" spans="1:18" ht="12.75">
      <c r="A887" s="6"/>
      <c r="B887" s="6"/>
      <c r="C887" s="6"/>
      <c r="D887" s="6"/>
      <c r="E887" s="6"/>
      <c r="F887" s="6"/>
      <c r="G887" s="6"/>
      <c r="H887" s="6"/>
      <c r="I887" s="6"/>
      <c r="J887" s="6"/>
      <c r="K887" s="22"/>
      <c r="L887" s="6"/>
      <c r="M887" s="6"/>
      <c r="N887" s="6"/>
      <c r="O887" s="6"/>
      <c r="P887" s="6"/>
      <c r="Q887" s="6"/>
      <c r="R887" s="54"/>
    </row>
    <row r="888" spans="1:18" ht="12.75">
      <c r="A888" s="6"/>
      <c r="B888" s="6"/>
      <c r="C888" s="6"/>
      <c r="D888" s="6"/>
      <c r="E888" s="6"/>
      <c r="F888" s="6"/>
      <c r="G888" s="6"/>
      <c r="H888" s="6"/>
      <c r="I888" s="6"/>
      <c r="J888" s="6"/>
      <c r="K888" s="22"/>
      <c r="L888" s="6"/>
      <c r="M888" s="6"/>
      <c r="N888" s="6"/>
      <c r="O888" s="6"/>
      <c r="P888" s="6"/>
      <c r="Q888" s="6"/>
      <c r="R888" s="54"/>
    </row>
    <row r="889" spans="1:18" ht="12.75">
      <c r="A889" s="6"/>
      <c r="B889" s="6"/>
      <c r="C889" s="6"/>
      <c r="D889" s="6"/>
      <c r="E889" s="6"/>
      <c r="F889" s="6"/>
      <c r="G889" s="6"/>
      <c r="H889" s="6"/>
      <c r="I889" s="6"/>
      <c r="J889" s="6"/>
      <c r="K889" s="22"/>
      <c r="L889" s="6"/>
      <c r="M889" s="6"/>
      <c r="N889" s="6"/>
      <c r="O889" s="6"/>
      <c r="P889" s="6"/>
      <c r="Q889" s="6"/>
      <c r="R889" s="54"/>
    </row>
    <row r="890" spans="1:18" ht="12.75">
      <c r="A890" s="6"/>
      <c r="B890" s="6"/>
      <c r="C890" s="6"/>
      <c r="D890" s="6"/>
      <c r="E890" s="6"/>
      <c r="F890" s="6"/>
      <c r="G890" s="6"/>
      <c r="H890" s="6"/>
      <c r="I890" s="6"/>
      <c r="J890" s="6"/>
      <c r="K890" s="22"/>
      <c r="L890" s="6"/>
      <c r="M890" s="6"/>
      <c r="N890" s="6"/>
      <c r="O890" s="6"/>
      <c r="P890" s="6"/>
      <c r="Q890" s="6"/>
      <c r="R890" s="54"/>
    </row>
    <row r="891" spans="1:18" ht="12.75">
      <c r="A891" s="6"/>
      <c r="B891" s="6"/>
      <c r="C891" s="6"/>
      <c r="D891" s="6"/>
      <c r="E891" s="6"/>
      <c r="F891" s="6"/>
      <c r="G891" s="6"/>
      <c r="H891" s="6"/>
      <c r="I891" s="6"/>
      <c r="J891" s="6"/>
      <c r="K891" s="22"/>
      <c r="L891" s="6"/>
      <c r="M891" s="6"/>
      <c r="N891" s="6"/>
      <c r="O891" s="6"/>
      <c r="P891" s="6"/>
      <c r="Q891" s="6"/>
      <c r="R891" s="54"/>
    </row>
    <row r="892" spans="1:18" ht="12.75">
      <c r="A892" s="6"/>
      <c r="B892" s="6"/>
      <c r="C892" s="6"/>
      <c r="D892" s="6"/>
      <c r="E892" s="6"/>
      <c r="F892" s="6"/>
      <c r="G892" s="6"/>
      <c r="H892" s="6"/>
      <c r="I892" s="6"/>
      <c r="J892" s="6"/>
      <c r="K892" s="22"/>
      <c r="L892" s="6"/>
      <c r="M892" s="6"/>
      <c r="N892" s="6"/>
      <c r="O892" s="6"/>
      <c r="P892" s="6"/>
      <c r="Q892" s="6"/>
      <c r="R892" s="54"/>
    </row>
    <row r="893" spans="1:18" ht="12.75">
      <c r="A893" s="6"/>
      <c r="B893" s="6"/>
      <c r="C893" s="6"/>
      <c r="D893" s="6"/>
      <c r="E893" s="6"/>
      <c r="F893" s="6"/>
      <c r="G893" s="6"/>
      <c r="H893" s="6"/>
      <c r="I893" s="6"/>
      <c r="J893" s="6"/>
      <c r="K893" s="22"/>
      <c r="L893" s="6"/>
      <c r="M893" s="6"/>
      <c r="N893" s="6"/>
      <c r="O893" s="6"/>
      <c r="P893" s="6"/>
      <c r="Q893" s="6"/>
      <c r="R893" s="54"/>
    </row>
    <row r="894" spans="1:18" ht="12.75">
      <c r="A894" s="6"/>
      <c r="B894" s="6"/>
      <c r="C894" s="6"/>
      <c r="D894" s="6"/>
      <c r="E894" s="6"/>
      <c r="F894" s="6"/>
      <c r="G894" s="6"/>
      <c r="H894" s="6"/>
      <c r="I894" s="6"/>
      <c r="J894" s="6"/>
      <c r="K894" s="22"/>
      <c r="L894" s="6"/>
      <c r="M894" s="6"/>
      <c r="N894" s="6"/>
      <c r="O894" s="6"/>
      <c r="P894" s="6"/>
      <c r="Q894" s="6"/>
      <c r="R894" s="54"/>
    </row>
    <row r="895" spans="1:18" ht="12.75">
      <c r="A895" s="6"/>
      <c r="B895" s="6"/>
      <c r="C895" s="6"/>
      <c r="D895" s="6"/>
      <c r="E895" s="6"/>
      <c r="F895" s="6"/>
      <c r="G895" s="6"/>
      <c r="H895" s="6"/>
      <c r="I895" s="6"/>
      <c r="J895" s="6"/>
      <c r="K895" s="22"/>
      <c r="L895" s="6"/>
      <c r="M895" s="6"/>
      <c r="N895" s="6"/>
      <c r="O895" s="6"/>
      <c r="P895" s="6"/>
      <c r="Q895" s="6"/>
      <c r="R895" s="54"/>
    </row>
    <row r="896" spans="1:18" ht="12.75">
      <c r="A896" s="6"/>
      <c r="B896" s="6"/>
      <c r="C896" s="6"/>
      <c r="D896" s="6"/>
      <c r="E896" s="6"/>
      <c r="F896" s="6"/>
      <c r="G896" s="6"/>
      <c r="H896" s="6"/>
      <c r="I896" s="6"/>
      <c r="J896" s="6"/>
      <c r="K896" s="22"/>
      <c r="L896" s="6"/>
      <c r="M896" s="6"/>
      <c r="N896" s="6"/>
      <c r="O896" s="6"/>
      <c r="P896" s="6"/>
      <c r="Q896" s="6"/>
      <c r="R896" s="54"/>
    </row>
    <row r="897" spans="1:18" ht="12.75">
      <c r="A897" s="6"/>
      <c r="B897" s="6"/>
      <c r="C897" s="6"/>
      <c r="D897" s="6"/>
      <c r="E897" s="6"/>
      <c r="F897" s="6"/>
      <c r="G897" s="6"/>
      <c r="H897" s="6"/>
      <c r="I897" s="6"/>
      <c r="J897" s="6"/>
      <c r="K897" s="22"/>
      <c r="L897" s="6"/>
      <c r="M897" s="6"/>
      <c r="N897" s="6"/>
      <c r="O897" s="6"/>
      <c r="P897" s="6"/>
      <c r="Q897" s="6"/>
      <c r="R897" s="54"/>
    </row>
    <row r="898" spans="1:18" ht="12.75">
      <c r="A898" s="6"/>
      <c r="B898" s="6"/>
      <c r="C898" s="6"/>
      <c r="D898" s="6"/>
      <c r="E898" s="6"/>
      <c r="F898" s="6"/>
      <c r="G898" s="6"/>
      <c r="H898" s="6"/>
      <c r="I898" s="6"/>
      <c r="J898" s="6"/>
      <c r="K898" s="22"/>
      <c r="L898" s="6"/>
      <c r="M898" s="6"/>
      <c r="N898" s="6"/>
      <c r="O898" s="6"/>
      <c r="P898" s="6"/>
      <c r="Q898" s="6"/>
      <c r="R898" s="54"/>
    </row>
    <row r="899" spans="1:18" ht="12.75">
      <c r="A899" s="6"/>
      <c r="B899" s="6"/>
      <c r="C899" s="6"/>
      <c r="D899" s="6"/>
      <c r="E899" s="6"/>
      <c r="F899" s="6"/>
      <c r="G899" s="6"/>
      <c r="H899" s="6"/>
      <c r="I899" s="6"/>
      <c r="J899" s="6"/>
      <c r="K899" s="22"/>
      <c r="L899" s="6"/>
      <c r="M899" s="6"/>
      <c r="N899" s="6"/>
      <c r="O899" s="6"/>
      <c r="P899" s="6"/>
      <c r="Q899" s="6"/>
      <c r="R899" s="54"/>
    </row>
    <row r="900" spans="1:18" ht="12.75">
      <c r="A900" s="6"/>
      <c r="B900" s="6"/>
      <c r="C900" s="6"/>
      <c r="D900" s="6"/>
      <c r="E900" s="6"/>
      <c r="F900" s="6"/>
      <c r="G900" s="6"/>
      <c r="H900" s="6"/>
      <c r="I900" s="6"/>
      <c r="J900" s="6"/>
      <c r="K900" s="22"/>
      <c r="L900" s="6"/>
      <c r="M900" s="6"/>
      <c r="N900" s="6"/>
      <c r="O900" s="6"/>
      <c r="P900" s="6"/>
      <c r="Q900" s="6"/>
      <c r="R900" s="54"/>
    </row>
    <row r="901" spans="1:18" ht="12.75">
      <c r="A901" s="6"/>
      <c r="B901" s="6"/>
      <c r="C901" s="6"/>
      <c r="D901" s="6"/>
      <c r="E901" s="6"/>
      <c r="F901" s="6"/>
      <c r="G901" s="6"/>
      <c r="H901" s="6"/>
      <c r="I901" s="6"/>
      <c r="J901" s="6"/>
      <c r="K901" s="22"/>
      <c r="L901" s="6"/>
      <c r="M901" s="6"/>
      <c r="N901" s="6"/>
      <c r="O901" s="6"/>
      <c r="P901" s="6"/>
      <c r="Q901" s="6"/>
      <c r="R901" s="54"/>
    </row>
    <row r="902" spans="1:18" ht="12.75">
      <c r="A902" s="6"/>
      <c r="B902" s="6"/>
      <c r="C902" s="6"/>
      <c r="D902" s="6"/>
      <c r="E902" s="6"/>
      <c r="F902" s="6"/>
      <c r="G902" s="6"/>
      <c r="H902" s="6"/>
      <c r="I902" s="6"/>
      <c r="J902" s="6"/>
      <c r="K902" s="22"/>
      <c r="L902" s="6"/>
      <c r="M902" s="6"/>
      <c r="N902" s="6"/>
      <c r="O902" s="6"/>
      <c r="P902" s="6"/>
      <c r="Q902" s="6"/>
      <c r="R902" s="54"/>
    </row>
    <row r="903" spans="1:18" ht="12.75">
      <c r="A903" s="6"/>
      <c r="B903" s="6"/>
      <c r="C903" s="6"/>
      <c r="D903" s="6"/>
      <c r="E903" s="6"/>
      <c r="F903" s="6"/>
      <c r="G903" s="6"/>
      <c r="H903" s="6"/>
      <c r="I903" s="6"/>
      <c r="J903" s="6"/>
      <c r="K903" s="22"/>
      <c r="L903" s="6"/>
      <c r="M903" s="6"/>
      <c r="N903" s="6"/>
      <c r="O903" s="6"/>
      <c r="P903" s="6"/>
      <c r="Q903" s="6"/>
      <c r="R903" s="54"/>
    </row>
    <row r="904" spans="1:18" ht="12.75">
      <c r="A904" s="6"/>
      <c r="B904" s="6"/>
      <c r="C904" s="6"/>
      <c r="D904" s="6"/>
      <c r="E904" s="6"/>
      <c r="F904" s="6"/>
      <c r="G904" s="6"/>
      <c r="H904" s="6"/>
      <c r="I904" s="6"/>
      <c r="J904" s="6"/>
      <c r="K904" s="22"/>
      <c r="L904" s="6"/>
      <c r="M904" s="6"/>
      <c r="N904" s="6"/>
      <c r="O904" s="6"/>
      <c r="P904" s="6"/>
      <c r="Q904" s="6"/>
      <c r="R904" s="54"/>
    </row>
    <row r="905" spans="1:18" ht="12.75">
      <c r="A905" s="6"/>
      <c r="B905" s="6"/>
      <c r="C905" s="6"/>
      <c r="D905" s="6"/>
      <c r="E905" s="6"/>
      <c r="F905" s="6"/>
      <c r="G905" s="6"/>
      <c r="H905" s="6"/>
      <c r="I905" s="6"/>
      <c r="J905" s="6"/>
      <c r="K905" s="22"/>
      <c r="L905" s="6"/>
      <c r="M905" s="6"/>
      <c r="N905" s="6"/>
      <c r="O905" s="6"/>
      <c r="P905" s="6"/>
      <c r="Q905" s="6"/>
      <c r="R905" s="54"/>
    </row>
    <row r="906" spans="1:18" ht="12.75">
      <c r="A906" s="6"/>
      <c r="B906" s="6"/>
      <c r="C906" s="6"/>
      <c r="D906" s="6"/>
      <c r="E906" s="6"/>
      <c r="F906" s="6"/>
      <c r="G906" s="6"/>
      <c r="H906" s="6"/>
      <c r="I906" s="6"/>
      <c r="J906" s="6"/>
      <c r="K906" s="22"/>
      <c r="L906" s="6"/>
      <c r="M906" s="6"/>
      <c r="N906" s="6"/>
      <c r="O906" s="6"/>
      <c r="P906" s="6"/>
      <c r="Q906" s="6"/>
      <c r="R906" s="54"/>
    </row>
    <row r="907" spans="1:18" ht="12.75">
      <c r="A907" s="6"/>
      <c r="B907" s="6"/>
      <c r="C907" s="6"/>
      <c r="D907" s="6"/>
      <c r="E907" s="6"/>
      <c r="F907" s="6"/>
      <c r="G907" s="6"/>
      <c r="H907" s="6"/>
      <c r="I907" s="6"/>
      <c r="J907" s="6"/>
      <c r="K907" s="22"/>
      <c r="L907" s="6"/>
      <c r="M907" s="6"/>
      <c r="N907" s="6"/>
      <c r="O907" s="6"/>
      <c r="P907" s="6"/>
      <c r="Q907" s="6"/>
      <c r="R907" s="54"/>
    </row>
    <row r="908" spans="1:18" ht="12.75">
      <c r="A908" s="6"/>
      <c r="B908" s="6"/>
      <c r="C908" s="6"/>
      <c r="D908" s="6"/>
      <c r="E908" s="6"/>
      <c r="F908" s="6"/>
      <c r="G908" s="6"/>
      <c r="H908" s="6"/>
      <c r="I908" s="6"/>
      <c r="J908" s="6"/>
      <c r="K908" s="22"/>
      <c r="L908" s="6"/>
      <c r="M908" s="6"/>
      <c r="N908" s="6"/>
      <c r="O908" s="6"/>
      <c r="P908" s="6"/>
      <c r="Q908" s="6"/>
      <c r="R908" s="54"/>
    </row>
    <row r="909" spans="1:18" ht="12.75">
      <c r="A909" s="6"/>
      <c r="B909" s="6"/>
      <c r="C909" s="6"/>
      <c r="D909" s="6"/>
      <c r="E909" s="6"/>
      <c r="F909" s="6"/>
      <c r="G909" s="6"/>
      <c r="H909" s="6"/>
      <c r="I909" s="6"/>
      <c r="J909" s="6"/>
      <c r="K909" s="22"/>
      <c r="L909" s="6"/>
      <c r="M909" s="6"/>
      <c r="N909" s="6"/>
      <c r="O909" s="6"/>
      <c r="P909" s="6"/>
      <c r="Q909" s="6"/>
      <c r="R909" s="54"/>
    </row>
    <row r="910" spans="1:18" ht="12.75">
      <c r="A910" s="6"/>
      <c r="B910" s="6"/>
      <c r="C910" s="6"/>
      <c r="D910" s="6"/>
      <c r="E910" s="6"/>
      <c r="F910" s="6"/>
      <c r="G910" s="6"/>
      <c r="H910" s="6"/>
      <c r="I910" s="6"/>
      <c r="J910" s="6"/>
      <c r="K910" s="22"/>
      <c r="L910" s="6"/>
      <c r="M910" s="6"/>
      <c r="N910" s="6"/>
      <c r="O910" s="6"/>
      <c r="P910" s="6"/>
      <c r="Q910" s="6"/>
      <c r="R910" s="54"/>
    </row>
    <row r="911" spans="1:18" ht="12.75">
      <c r="A911" s="6"/>
      <c r="B911" s="6"/>
      <c r="C911" s="6"/>
      <c r="D911" s="6"/>
      <c r="E911" s="6"/>
      <c r="F911" s="6"/>
      <c r="G911" s="6"/>
      <c r="H911" s="6"/>
      <c r="I911" s="6"/>
      <c r="J911" s="6"/>
      <c r="K911" s="22"/>
      <c r="L911" s="6"/>
      <c r="M911" s="6"/>
      <c r="N911" s="6"/>
      <c r="O911" s="6"/>
      <c r="P911" s="6"/>
      <c r="Q911" s="6"/>
      <c r="R911" s="54"/>
    </row>
    <row r="912" spans="1:18" ht="12.75">
      <c r="A912" s="6"/>
      <c r="B912" s="6"/>
      <c r="C912" s="6"/>
      <c r="D912" s="6"/>
      <c r="E912" s="6"/>
      <c r="F912" s="6"/>
      <c r="G912" s="6"/>
      <c r="H912" s="6"/>
      <c r="I912" s="6"/>
      <c r="J912" s="6"/>
      <c r="K912" s="22"/>
      <c r="L912" s="6"/>
      <c r="M912" s="6"/>
      <c r="N912" s="6"/>
      <c r="O912" s="6"/>
      <c r="P912" s="6"/>
      <c r="Q912" s="6"/>
      <c r="R912" s="54"/>
    </row>
    <row r="913" spans="1:18" ht="12.75">
      <c r="A913" s="6"/>
      <c r="B913" s="6"/>
      <c r="C913" s="6"/>
      <c r="D913" s="6"/>
      <c r="E913" s="6"/>
      <c r="F913" s="6"/>
      <c r="G913" s="6"/>
      <c r="H913" s="6"/>
      <c r="I913" s="6"/>
      <c r="J913" s="6"/>
      <c r="K913" s="22"/>
      <c r="L913" s="6"/>
      <c r="M913" s="6"/>
      <c r="N913" s="6"/>
      <c r="O913" s="6"/>
      <c r="P913" s="6"/>
      <c r="Q913" s="6"/>
      <c r="R913" s="54"/>
    </row>
    <row r="914" spans="1:18" ht="12.75">
      <c r="A914" s="6"/>
      <c r="B914" s="6"/>
      <c r="C914" s="6"/>
      <c r="D914" s="6"/>
      <c r="E914" s="6"/>
      <c r="F914" s="6"/>
      <c r="G914" s="6"/>
      <c r="H914" s="6"/>
      <c r="I914" s="6"/>
      <c r="J914" s="6"/>
      <c r="K914" s="22"/>
      <c r="L914" s="6"/>
      <c r="M914" s="6"/>
      <c r="N914" s="6"/>
      <c r="O914" s="6"/>
      <c r="P914" s="6"/>
      <c r="Q914" s="6"/>
      <c r="R914" s="54"/>
    </row>
    <row r="915" spans="1:18" ht="12.75">
      <c r="A915" s="6"/>
      <c r="B915" s="6"/>
      <c r="C915" s="6"/>
      <c r="D915" s="6"/>
      <c r="E915" s="6"/>
      <c r="F915" s="6"/>
      <c r="G915" s="6"/>
      <c r="H915" s="6"/>
      <c r="I915" s="6"/>
      <c r="J915" s="6"/>
      <c r="K915" s="22"/>
      <c r="L915" s="6"/>
      <c r="M915" s="6"/>
      <c r="N915" s="6"/>
      <c r="O915" s="6"/>
      <c r="P915" s="6"/>
      <c r="Q915" s="6"/>
      <c r="R915" s="54"/>
    </row>
    <row r="916" spans="1:18" ht="12.75">
      <c r="A916" s="6"/>
      <c r="B916" s="6"/>
      <c r="C916" s="6"/>
      <c r="D916" s="6"/>
      <c r="E916" s="6"/>
      <c r="F916" s="6"/>
      <c r="G916" s="6"/>
      <c r="H916" s="6"/>
      <c r="I916" s="6"/>
      <c r="J916" s="6"/>
      <c r="K916" s="22"/>
      <c r="L916" s="6"/>
      <c r="M916" s="6"/>
      <c r="N916" s="6"/>
      <c r="O916" s="6"/>
      <c r="P916" s="6"/>
      <c r="Q916" s="6"/>
      <c r="R916" s="54"/>
    </row>
    <row r="917" spans="1:18" ht="12.75">
      <c r="A917" s="6"/>
      <c r="B917" s="6"/>
      <c r="C917" s="6"/>
      <c r="D917" s="6"/>
      <c r="E917" s="6"/>
      <c r="F917" s="6"/>
      <c r="G917" s="6"/>
      <c r="H917" s="6"/>
      <c r="I917" s="6"/>
      <c r="J917" s="6"/>
      <c r="K917" s="22"/>
      <c r="L917" s="6"/>
      <c r="M917" s="6"/>
      <c r="N917" s="6"/>
      <c r="O917" s="6"/>
      <c r="P917" s="6"/>
      <c r="Q917" s="6"/>
      <c r="R917" s="54"/>
    </row>
    <row r="918" spans="1:18" ht="12.75">
      <c r="A918" s="6"/>
      <c r="B918" s="6"/>
      <c r="C918" s="6"/>
      <c r="D918" s="6"/>
      <c r="E918" s="6"/>
      <c r="F918" s="6"/>
      <c r="G918" s="6"/>
      <c r="H918" s="6"/>
      <c r="I918" s="6"/>
      <c r="J918" s="6"/>
      <c r="K918" s="22"/>
      <c r="L918" s="6"/>
      <c r="M918" s="6"/>
      <c r="N918" s="6"/>
      <c r="O918" s="6"/>
      <c r="P918" s="6"/>
      <c r="Q918" s="6"/>
      <c r="R918" s="54"/>
    </row>
    <row r="919" spans="1:18" ht="12.75">
      <c r="A919" s="6"/>
      <c r="B919" s="6"/>
      <c r="C919" s="6"/>
      <c r="D919" s="6"/>
      <c r="E919" s="6"/>
      <c r="F919" s="6"/>
      <c r="G919" s="6"/>
      <c r="H919" s="6"/>
      <c r="I919" s="6"/>
      <c r="J919" s="6"/>
      <c r="K919" s="22"/>
      <c r="L919" s="6"/>
      <c r="M919" s="6"/>
      <c r="N919" s="6"/>
      <c r="O919" s="6"/>
      <c r="P919" s="6"/>
      <c r="Q919" s="6"/>
      <c r="R919" s="54"/>
    </row>
    <row r="920" spans="1:18" ht="12.75">
      <c r="A920" s="6"/>
      <c r="B920" s="6"/>
      <c r="C920" s="6"/>
      <c r="D920" s="6"/>
      <c r="E920" s="6"/>
      <c r="F920" s="6"/>
      <c r="G920" s="6"/>
      <c r="H920" s="6"/>
      <c r="I920" s="6"/>
      <c r="J920" s="6"/>
      <c r="K920" s="22"/>
      <c r="L920" s="6"/>
      <c r="M920" s="6"/>
      <c r="N920" s="6"/>
      <c r="O920" s="6"/>
      <c r="P920" s="6"/>
      <c r="Q920" s="6"/>
      <c r="R920" s="54"/>
    </row>
    <row r="921" spans="1:18" ht="12.75">
      <c r="A921" s="6"/>
      <c r="B921" s="6"/>
      <c r="C921" s="6"/>
      <c r="D921" s="6"/>
      <c r="E921" s="6"/>
      <c r="F921" s="6"/>
      <c r="G921" s="6"/>
      <c r="H921" s="6"/>
      <c r="I921" s="6"/>
      <c r="J921" s="6"/>
      <c r="K921" s="22"/>
      <c r="L921" s="6"/>
      <c r="M921" s="6"/>
      <c r="N921" s="6"/>
      <c r="O921" s="6"/>
      <c r="P921" s="6"/>
      <c r="Q921" s="6"/>
      <c r="R921" s="54"/>
    </row>
    <row r="922" spans="1:18" ht="12.75">
      <c r="A922" s="6"/>
      <c r="B922" s="6"/>
      <c r="C922" s="6"/>
      <c r="D922" s="6"/>
      <c r="E922" s="6"/>
      <c r="F922" s="6"/>
      <c r="G922" s="6"/>
      <c r="H922" s="6"/>
      <c r="I922" s="6"/>
      <c r="J922" s="6"/>
      <c r="K922" s="22"/>
      <c r="L922" s="6"/>
      <c r="M922" s="6"/>
      <c r="N922" s="6"/>
      <c r="O922" s="6"/>
      <c r="P922" s="6"/>
      <c r="Q922" s="6"/>
      <c r="R922" s="54"/>
    </row>
    <row r="923" spans="1:18" ht="12.75">
      <c r="A923" s="6"/>
      <c r="B923" s="6"/>
      <c r="C923" s="6"/>
      <c r="D923" s="6"/>
      <c r="E923" s="6"/>
      <c r="F923" s="6"/>
      <c r="G923" s="6"/>
      <c r="H923" s="6"/>
      <c r="I923" s="6"/>
      <c r="J923" s="6"/>
      <c r="K923" s="22"/>
      <c r="L923" s="6"/>
      <c r="M923" s="6"/>
      <c r="N923" s="6"/>
      <c r="O923" s="6"/>
      <c r="P923" s="6"/>
      <c r="Q923" s="6"/>
      <c r="R923" s="54"/>
    </row>
    <row r="924" spans="1:18" ht="12.75">
      <c r="A924" s="6"/>
      <c r="B924" s="6"/>
      <c r="C924" s="6"/>
      <c r="D924" s="6"/>
      <c r="E924" s="6"/>
      <c r="F924" s="6"/>
      <c r="G924" s="6"/>
      <c r="H924" s="6"/>
      <c r="I924" s="6"/>
      <c r="J924" s="6"/>
      <c r="K924" s="22"/>
      <c r="L924" s="6"/>
      <c r="M924" s="6"/>
      <c r="N924" s="6"/>
      <c r="O924" s="6"/>
      <c r="P924" s="6"/>
      <c r="Q924" s="6"/>
      <c r="R924" s="54"/>
    </row>
    <row r="925" spans="1:18" ht="12.75">
      <c r="A925" s="6"/>
      <c r="B925" s="6"/>
      <c r="C925" s="6"/>
      <c r="D925" s="6"/>
      <c r="E925" s="6"/>
      <c r="F925" s="6"/>
      <c r="G925" s="6"/>
      <c r="H925" s="6"/>
      <c r="I925" s="6"/>
      <c r="J925" s="6"/>
      <c r="K925" s="22"/>
      <c r="L925" s="6"/>
      <c r="M925" s="6"/>
      <c r="N925" s="6"/>
      <c r="O925" s="6"/>
      <c r="P925" s="6"/>
      <c r="Q925" s="6"/>
      <c r="R925" s="54"/>
    </row>
    <row r="926" spans="1:18" ht="12.75">
      <c r="A926" s="6"/>
      <c r="B926" s="6"/>
      <c r="C926" s="6"/>
      <c r="D926" s="6"/>
      <c r="E926" s="6"/>
      <c r="F926" s="6"/>
      <c r="G926" s="6"/>
      <c r="H926" s="6"/>
      <c r="I926" s="6"/>
      <c r="J926" s="6"/>
      <c r="K926" s="22"/>
      <c r="L926" s="6"/>
      <c r="M926" s="6"/>
      <c r="N926" s="6"/>
      <c r="O926" s="6"/>
      <c r="P926" s="6"/>
      <c r="Q926" s="6"/>
      <c r="R926" s="54"/>
    </row>
    <row r="927" spans="1:18" ht="12.75">
      <c r="A927" s="6"/>
      <c r="B927" s="6"/>
      <c r="C927" s="6"/>
      <c r="D927" s="6"/>
      <c r="E927" s="6"/>
      <c r="F927" s="6"/>
      <c r="G927" s="6"/>
      <c r="H927" s="6"/>
      <c r="I927" s="6"/>
      <c r="J927" s="6"/>
      <c r="K927" s="22"/>
      <c r="L927" s="6"/>
      <c r="M927" s="6"/>
      <c r="N927" s="6"/>
      <c r="O927" s="6"/>
      <c r="P927" s="6"/>
      <c r="Q927" s="6"/>
      <c r="R927" s="54"/>
    </row>
    <row r="928" spans="1:18" ht="12.75">
      <c r="A928" s="6"/>
      <c r="B928" s="6"/>
      <c r="C928" s="6"/>
      <c r="D928" s="6"/>
      <c r="E928" s="6"/>
      <c r="F928" s="6"/>
      <c r="G928" s="6"/>
      <c r="H928" s="6"/>
      <c r="I928" s="6"/>
      <c r="J928" s="6"/>
      <c r="K928" s="22"/>
      <c r="L928" s="6"/>
      <c r="M928" s="6"/>
      <c r="N928" s="6"/>
      <c r="O928" s="6"/>
      <c r="P928" s="6"/>
      <c r="Q928" s="6"/>
      <c r="R928" s="54"/>
    </row>
    <row r="929" spans="1:18" ht="12.75">
      <c r="A929" s="6"/>
      <c r="B929" s="6"/>
      <c r="C929" s="6"/>
      <c r="D929" s="6"/>
      <c r="E929" s="6"/>
      <c r="F929" s="6"/>
      <c r="G929" s="6"/>
      <c r="H929" s="6"/>
      <c r="I929" s="6"/>
      <c r="J929" s="6"/>
      <c r="K929" s="22"/>
      <c r="L929" s="6"/>
      <c r="M929" s="6"/>
      <c r="N929" s="6"/>
      <c r="O929" s="6"/>
      <c r="P929" s="6"/>
      <c r="Q929" s="6"/>
      <c r="R929" s="54"/>
    </row>
    <row r="930" spans="1:18" ht="12.75">
      <c r="A930" s="6"/>
      <c r="B930" s="6"/>
      <c r="C930" s="6"/>
      <c r="D930" s="6"/>
      <c r="E930" s="6"/>
      <c r="F930" s="6"/>
      <c r="G930" s="6"/>
      <c r="H930" s="6"/>
      <c r="I930" s="6"/>
      <c r="J930" s="6"/>
      <c r="K930" s="22"/>
      <c r="L930" s="6"/>
      <c r="M930" s="6"/>
      <c r="N930" s="6"/>
      <c r="O930" s="6"/>
      <c r="P930" s="6"/>
      <c r="Q930" s="6"/>
      <c r="R930" s="54"/>
    </row>
    <row r="931" spans="1:18" ht="12.75">
      <c r="A931" s="6"/>
      <c r="B931" s="6"/>
      <c r="C931" s="6"/>
      <c r="D931" s="6"/>
      <c r="E931" s="6"/>
      <c r="F931" s="6"/>
      <c r="G931" s="6"/>
      <c r="H931" s="6"/>
      <c r="I931" s="6"/>
      <c r="J931" s="6"/>
      <c r="K931" s="22"/>
      <c r="L931" s="6"/>
      <c r="M931" s="6"/>
      <c r="N931" s="6"/>
      <c r="O931" s="6"/>
      <c r="P931" s="6"/>
      <c r="Q931" s="6"/>
      <c r="R931" s="54"/>
    </row>
    <row r="932" spans="1:18" ht="12.75">
      <c r="A932" s="6"/>
      <c r="B932" s="6"/>
      <c r="C932" s="6"/>
      <c r="D932" s="6"/>
      <c r="E932" s="6"/>
      <c r="F932" s="6"/>
      <c r="G932" s="6"/>
      <c r="H932" s="6"/>
      <c r="I932" s="6"/>
      <c r="J932" s="6"/>
      <c r="K932" s="22"/>
      <c r="L932" s="6"/>
      <c r="M932" s="6"/>
      <c r="N932" s="6"/>
      <c r="O932" s="6"/>
      <c r="P932" s="6"/>
      <c r="Q932" s="6"/>
      <c r="R932" s="54"/>
    </row>
    <row r="933" spans="1:18" ht="12.75">
      <c r="A933" s="6"/>
      <c r="B933" s="6"/>
      <c r="C933" s="6"/>
      <c r="D933" s="6"/>
      <c r="E933" s="6"/>
      <c r="F933" s="6"/>
      <c r="G933" s="6"/>
      <c r="H933" s="6"/>
      <c r="I933" s="6"/>
      <c r="J933" s="6"/>
      <c r="K933" s="22"/>
      <c r="L933" s="6"/>
      <c r="M933" s="6"/>
      <c r="N933" s="6"/>
      <c r="O933" s="6"/>
      <c r="P933" s="6"/>
      <c r="Q933" s="6"/>
      <c r="R933" s="54"/>
    </row>
    <row r="934" spans="1:18" ht="12.75">
      <c r="A934" s="6"/>
      <c r="B934" s="6"/>
      <c r="C934" s="6"/>
      <c r="D934" s="6"/>
      <c r="E934" s="6"/>
      <c r="F934" s="6"/>
      <c r="G934" s="6"/>
      <c r="H934" s="6"/>
      <c r="I934" s="6"/>
      <c r="J934" s="6"/>
      <c r="K934" s="22"/>
      <c r="L934" s="6"/>
      <c r="M934" s="6"/>
      <c r="N934" s="6"/>
      <c r="O934" s="6"/>
      <c r="P934" s="6"/>
      <c r="Q934" s="6"/>
      <c r="R934" s="54"/>
    </row>
    <row r="935" spans="1:18" ht="12.75">
      <c r="A935" s="6"/>
      <c r="B935" s="6"/>
      <c r="C935" s="6"/>
      <c r="D935" s="6"/>
      <c r="E935" s="6"/>
      <c r="F935" s="6"/>
      <c r="G935" s="6"/>
      <c r="H935" s="6"/>
      <c r="I935" s="6"/>
      <c r="J935" s="6"/>
      <c r="K935" s="22"/>
      <c r="L935" s="6"/>
      <c r="M935" s="6"/>
      <c r="N935" s="6"/>
      <c r="O935" s="6"/>
      <c r="P935" s="6"/>
      <c r="Q935" s="6"/>
      <c r="R935" s="54"/>
    </row>
    <row r="936" spans="1:18" ht="12.75">
      <c r="A936" s="6"/>
      <c r="B936" s="6"/>
      <c r="C936" s="6"/>
      <c r="D936" s="6"/>
      <c r="E936" s="6"/>
      <c r="F936" s="6"/>
      <c r="G936" s="6"/>
      <c r="H936" s="6"/>
      <c r="I936" s="6"/>
      <c r="J936" s="6"/>
      <c r="K936" s="22"/>
      <c r="L936" s="6"/>
      <c r="M936" s="6"/>
      <c r="N936" s="6"/>
      <c r="O936" s="6"/>
      <c r="P936" s="6"/>
      <c r="Q936" s="6"/>
      <c r="R936" s="54"/>
    </row>
    <row r="937" spans="1:18" ht="12.75">
      <c r="A937" s="6"/>
      <c r="B937" s="6"/>
      <c r="C937" s="6"/>
      <c r="D937" s="6"/>
      <c r="E937" s="6"/>
      <c r="F937" s="6"/>
      <c r="G937" s="6"/>
      <c r="H937" s="6"/>
      <c r="I937" s="6"/>
      <c r="J937" s="6"/>
      <c r="K937" s="22"/>
      <c r="L937" s="6"/>
      <c r="M937" s="6"/>
      <c r="N937" s="6"/>
      <c r="O937" s="6"/>
      <c r="P937" s="6"/>
      <c r="Q937" s="6"/>
      <c r="R937" s="54"/>
    </row>
    <row r="938" spans="1:18" ht="12.75">
      <c r="A938" s="6"/>
      <c r="B938" s="6"/>
      <c r="C938" s="6"/>
      <c r="D938" s="6"/>
      <c r="E938" s="6"/>
      <c r="F938" s="6"/>
      <c r="G938" s="6"/>
      <c r="H938" s="6"/>
      <c r="I938" s="6"/>
      <c r="J938" s="6"/>
      <c r="K938" s="22"/>
      <c r="L938" s="6"/>
      <c r="M938" s="6"/>
      <c r="N938" s="6"/>
      <c r="O938" s="6"/>
      <c r="P938" s="6"/>
      <c r="Q938" s="6"/>
      <c r="R938" s="54"/>
    </row>
    <row r="939" spans="1:18" ht="12.75">
      <c r="A939" s="6"/>
      <c r="B939" s="6"/>
      <c r="C939" s="6"/>
      <c r="D939" s="6"/>
      <c r="E939" s="6"/>
      <c r="F939" s="6"/>
      <c r="G939" s="6"/>
      <c r="H939" s="6"/>
      <c r="I939" s="6"/>
      <c r="J939" s="6"/>
      <c r="K939" s="22"/>
      <c r="L939" s="6"/>
      <c r="M939" s="6"/>
      <c r="N939" s="6"/>
      <c r="O939" s="6"/>
      <c r="P939" s="6"/>
      <c r="Q939" s="6"/>
      <c r="R939" s="54"/>
    </row>
    <row r="940" spans="1:18" ht="12.75">
      <c r="A940" s="6"/>
      <c r="B940" s="6"/>
      <c r="C940" s="6"/>
      <c r="D940" s="6"/>
      <c r="E940" s="6"/>
      <c r="F940" s="6"/>
      <c r="G940" s="6"/>
      <c r="H940" s="6"/>
      <c r="I940" s="6"/>
      <c r="J940" s="6"/>
      <c r="K940" s="22"/>
      <c r="L940" s="6"/>
      <c r="M940" s="6"/>
      <c r="N940" s="6"/>
      <c r="O940" s="6"/>
      <c r="P940" s="6"/>
      <c r="Q940" s="6"/>
      <c r="R940" s="54"/>
    </row>
    <row r="941" spans="1:18" ht="12.75">
      <c r="A941" s="6"/>
      <c r="B941" s="6"/>
      <c r="C941" s="6"/>
      <c r="D941" s="6"/>
      <c r="E941" s="6"/>
      <c r="F941" s="6"/>
      <c r="G941" s="6"/>
      <c r="H941" s="6"/>
      <c r="I941" s="6"/>
      <c r="J941" s="6"/>
      <c r="K941" s="22"/>
      <c r="L941" s="6"/>
      <c r="M941" s="6"/>
      <c r="N941" s="6"/>
      <c r="O941" s="6"/>
      <c r="P941" s="6"/>
      <c r="Q941" s="6"/>
      <c r="R941" s="54"/>
    </row>
    <row r="942" spans="1:18" ht="12.75">
      <c r="A942" s="6"/>
      <c r="B942" s="6"/>
      <c r="C942" s="6"/>
      <c r="D942" s="6"/>
      <c r="E942" s="6"/>
      <c r="F942" s="6"/>
      <c r="G942" s="6"/>
      <c r="H942" s="6"/>
      <c r="I942" s="6"/>
      <c r="J942" s="6"/>
      <c r="K942" s="22"/>
      <c r="L942" s="6"/>
      <c r="M942" s="6"/>
      <c r="N942" s="6"/>
      <c r="O942" s="6"/>
      <c r="P942" s="6"/>
      <c r="Q942" s="6"/>
      <c r="R942" s="54"/>
    </row>
    <row r="943" spans="1:18" ht="12.75">
      <c r="A943" s="6"/>
      <c r="B943" s="6"/>
      <c r="C943" s="6"/>
      <c r="D943" s="6"/>
      <c r="E943" s="6"/>
      <c r="F943" s="6"/>
      <c r="G943" s="6"/>
      <c r="H943" s="6"/>
      <c r="I943" s="6"/>
      <c r="J943" s="6"/>
      <c r="K943" s="22"/>
      <c r="L943" s="6"/>
      <c r="M943" s="6"/>
      <c r="N943" s="6"/>
      <c r="O943" s="6"/>
      <c r="P943" s="6"/>
      <c r="Q943" s="6"/>
      <c r="R943" s="54"/>
    </row>
    <row r="944" spans="1:18" ht="12.75">
      <c r="A944" s="6"/>
      <c r="B944" s="6"/>
      <c r="C944" s="6"/>
      <c r="D944" s="6"/>
      <c r="E944" s="6"/>
      <c r="F944" s="6"/>
      <c r="G944" s="6"/>
      <c r="H944" s="6"/>
      <c r="I944" s="6"/>
      <c r="J944" s="6"/>
      <c r="K944" s="22"/>
      <c r="L944" s="6"/>
      <c r="M944" s="6"/>
      <c r="N944" s="6"/>
      <c r="O944" s="6"/>
      <c r="P944" s="6"/>
      <c r="Q944" s="6"/>
      <c r="R944" s="54"/>
    </row>
    <row r="945" spans="1:18" ht="12.75">
      <c r="A945" s="6"/>
      <c r="B945" s="6"/>
      <c r="C945" s="6"/>
      <c r="D945" s="6"/>
      <c r="E945" s="6"/>
      <c r="F945" s="6"/>
      <c r="G945" s="6"/>
      <c r="H945" s="6"/>
      <c r="I945" s="6"/>
      <c r="J945" s="6"/>
      <c r="K945" s="22"/>
      <c r="L945" s="6"/>
      <c r="M945" s="6"/>
      <c r="N945" s="6"/>
      <c r="O945" s="6"/>
      <c r="P945" s="6"/>
      <c r="Q945" s="6"/>
      <c r="R945" s="54"/>
    </row>
    <row r="946" spans="1:18" ht="12.75">
      <c r="A946" s="6"/>
      <c r="B946" s="6"/>
      <c r="C946" s="6"/>
      <c r="D946" s="6"/>
      <c r="E946" s="6"/>
      <c r="F946" s="6"/>
      <c r="G946" s="6"/>
      <c r="H946" s="6"/>
      <c r="I946" s="6"/>
      <c r="J946" s="6"/>
      <c r="K946" s="22"/>
      <c r="L946" s="6"/>
      <c r="M946" s="6"/>
      <c r="N946" s="6"/>
      <c r="O946" s="6"/>
      <c r="P946" s="6"/>
      <c r="Q946" s="6"/>
      <c r="R946" s="54"/>
    </row>
    <row r="947" spans="1:18" ht="12.75">
      <c r="A947" s="6"/>
      <c r="B947" s="6"/>
      <c r="C947" s="6"/>
      <c r="D947" s="6"/>
      <c r="E947" s="6"/>
      <c r="F947" s="6"/>
      <c r="G947" s="6"/>
      <c r="H947" s="6"/>
      <c r="I947" s="6"/>
      <c r="J947" s="6"/>
      <c r="K947" s="22"/>
      <c r="L947" s="6"/>
      <c r="M947" s="6"/>
      <c r="N947" s="6"/>
      <c r="O947" s="6"/>
      <c r="P947" s="6"/>
      <c r="Q947" s="6"/>
      <c r="R947" s="54"/>
    </row>
    <row r="948" spans="1:18" ht="12.75">
      <c r="A948" s="6"/>
      <c r="B948" s="6"/>
      <c r="C948" s="6"/>
      <c r="D948" s="6"/>
      <c r="E948" s="6"/>
      <c r="F948" s="6"/>
      <c r="G948" s="6"/>
      <c r="H948" s="6"/>
      <c r="I948" s="6"/>
      <c r="J948" s="6"/>
      <c r="K948" s="22"/>
      <c r="L948" s="6"/>
      <c r="M948" s="6"/>
      <c r="N948" s="6"/>
      <c r="O948" s="6"/>
      <c r="P948" s="6"/>
      <c r="Q948" s="6"/>
      <c r="R948" s="54"/>
    </row>
    <row r="949" spans="1:18" ht="12.75">
      <c r="A949" s="6"/>
      <c r="B949" s="6"/>
      <c r="C949" s="6"/>
      <c r="D949" s="6"/>
      <c r="E949" s="6"/>
      <c r="F949" s="6"/>
      <c r="G949" s="6"/>
      <c r="H949" s="6"/>
      <c r="I949" s="6"/>
      <c r="J949" s="6"/>
      <c r="K949" s="22"/>
      <c r="L949" s="6"/>
      <c r="M949" s="6"/>
      <c r="N949" s="6"/>
      <c r="O949" s="6"/>
      <c r="P949" s="6"/>
      <c r="Q949" s="6"/>
      <c r="R949" s="54"/>
    </row>
    <row r="950" spans="1:18" ht="12.75">
      <c r="A950" s="6"/>
      <c r="B950" s="6"/>
      <c r="C950" s="6"/>
      <c r="D950" s="6"/>
      <c r="E950" s="6"/>
      <c r="F950" s="6"/>
      <c r="G950" s="6"/>
      <c r="H950" s="6"/>
      <c r="I950" s="6"/>
      <c r="J950" s="6"/>
      <c r="K950" s="22"/>
      <c r="L950" s="6"/>
      <c r="M950" s="6"/>
      <c r="N950" s="6"/>
      <c r="O950" s="6"/>
      <c r="P950" s="6"/>
      <c r="Q950" s="6"/>
      <c r="R950" s="54"/>
    </row>
    <row r="951" spans="1:18" ht="12.75">
      <c r="A951" s="6"/>
      <c r="B951" s="6"/>
      <c r="C951" s="6"/>
      <c r="D951" s="6"/>
      <c r="E951" s="6"/>
      <c r="F951" s="6"/>
      <c r="G951" s="6"/>
      <c r="H951" s="6"/>
      <c r="I951" s="6"/>
      <c r="J951" s="6"/>
      <c r="K951" s="22"/>
      <c r="L951" s="6"/>
      <c r="M951" s="6"/>
      <c r="N951" s="6"/>
      <c r="O951" s="6"/>
      <c r="P951" s="6"/>
      <c r="Q951" s="6"/>
      <c r="R951" s="54"/>
    </row>
    <row r="952" spans="1:18" ht="12.75">
      <c r="A952" s="6"/>
      <c r="B952" s="6"/>
      <c r="C952" s="6"/>
      <c r="D952" s="6"/>
      <c r="E952" s="6"/>
      <c r="F952" s="6"/>
      <c r="G952" s="6"/>
      <c r="H952" s="6"/>
      <c r="I952" s="6"/>
      <c r="J952" s="6"/>
      <c r="K952" s="22"/>
      <c r="L952" s="6"/>
      <c r="M952" s="6"/>
      <c r="N952" s="6"/>
      <c r="O952" s="6"/>
      <c r="P952" s="6"/>
      <c r="Q952" s="6"/>
      <c r="R952" s="54"/>
    </row>
    <row r="953" spans="1:18" ht="12.75">
      <c r="A953" s="6"/>
      <c r="B953" s="6"/>
      <c r="C953" s="6"/>
      <c r="D953" s="6"/>
      <c r="E953" s="6"/>
      <c r="F953" s="6"/>
      <c r="G953" s="6"/>
      <c r="H953" s="6"/>
      <c r="I953" s="6"/>
      <c r="J953" s="6"/>
      <c r="K953" s="22"/>
      <c r="L953" s="6"/>
      <c r="M953" s="6"/>
      <c r="N953" s="6"/>
      <c r="O953" s="6"/>
      <c r="P953" s="6"/>
      <c r="Q953" s="6"/>
      <c r="R953" s="54"/>
    </row>
    <row r="954" spans="1:18" ht="12.75">
      <c r="A954" s="6"/>
      <c r="B954" s="6"/>
      <c r="C954" s="6"/>
      <c r="D954" s="6"/>
      <c r="E954" s="6"/>
      <c r="F954" s="6"/>
      <c r="G954" s="6"/>
      <c r="H954" s="6"/>
      <c r="I954" s="6"/>
      <c r="J954" s="6"/>
      <c r="K954" s="22"/>
      <c r="L954" s="6"/>
      <c r="M954" s="6"/>
      <c r="N954" s="6"/>
      <c r="O954" s="6"/>
      <c r="P954" s="6"/>
      <c r="Q954" s="6"/>
      <c r="R954" s="54"/>
    </row>
    <row r="955" spans="1:18" ht="12.75">
      <c r="A955" s="6"/>
      <c r="B955" s="6"/>
      <c r="C955" s="6"/>
      <c r="D955" s="6"/>
      <c r="E955" s="6"/>
      <c r="F955" s="6"/>
      <c r="G955" s="6"/>
      <c r="H955" s="6"/>
      <c r="I955" s="6"/>
      <c r="J955" s="6"/>
      <c r="K955" s="22"/>
      <c r="L955" s="6"/>
      <c r="M955" s="6"/>
      <c r="N955" s="6"/>
      <c r="O955" s="6"/>
      <c r="P955" s="6"/>
      <c r="Q955" s="6"/>
      <c r="R955" s="54"/>
    </row>
    <row r="956" spans="1:18" ht="12.75">
      <c r="A956" s="6"/>
      <c r="B956" s="6"/>
      <c r="C956" s="6"/>
      <c r="D956" s="6"/>
      <c r="E956" s="6"/>
      <c r="F956" s="6"/>
      <c r="G956" s="6"/>
      <c r="H956" s="6"/>
      <c r="I956" s="6"/>
      <c r="J956" s="6"/>
      <c r="K956" s="22"/>
      <c r="L956" s="6"/>
      <c r="M956" s="6"/>
      <c r="N956" s="6"/>
      <c r="O956" s="6"/>
      <c r="P956" s="6"/>
      <c r="Q956" s="6"/>
      <c r="R956" s="54"/>
    </row>
    <row r="957" spans="1:18" ht="12.75">
      <c r="A957" s="6"/>
      <c r="B957" s="6"/>
      <c r="C957" s="6"/>
      <c r="D957" s="6"/>
      <c r="E957" s="6"/>
      <c r="F957" s="6"/>
      <c r="G957" s="6"/>
      <c r="H957" s="6"/>
      <c r="I957" s="6"/>
      <c r="J957" s="6"/>
      <c r="K957" s="22"/>
      <c r="L957" s="6"/>
      <c r="M957" s="6"/>
      <c r="N957" s="6"/>
      <c r="O957" s="6"/>
      <c r="P957" s="6"/>
      <c r="Q957" s="6"/>
      <c r="R957" s="54"/>
    </row>
    <row r="958" spans="1:18" ht="12.75">
      <c r="A958" s="6"/>
      <c r="B958" s="6"/>
      <c r="C958" s="6"/>
      <c r="D958" s="6"/>
      <c r="E958" s="6"/>
      <c r="F958" s="6"/>
      <c r="G958" s="6"/>
      <c r="H958" s="6"/>
      <c r="I958" s="6"/>
      <c r="J958" s="6"/>
      <c r="K958" s="22"/>
      <c r="L958" s="6"/>
      <c r="M958" s="6"/>
      <c r="N958" s="6"/>
      <c r="O958" s="6"/>
      <c r="P958" s="6"/>
      <c r="Q958" s="6"/>
      <c r="R958" s="54"/>
    </row>
    <row r="959" spans="1:18" ht="12.75">
      <c r="A959" s="6"/>
      <c r="B959" s="6"/>
      <c r="C959" s="6"/>
      <c r="D959" s="6"/>
      <c r="E959" s="6"/>
      <c r="F959" s="6"/>
      <c r="G959" s="6"/>
      <c r="H959" s="6"/>
      <c r="I959" s="6"/>
      <c r="J959" s="6"/>
      <c r="K959" s="22"/>
      <c r="L959" s="6"/>
      <c r="M959" s="6"/>
      <c r="N959" s="6"/>
      <c r="O959" s="6"/>
      <c r="P959" s="6"/>
      <c r="Q959" s="6"/>
      <c r="R959" s="54"/>
    </row>
    <row r="960" spans="1:18" ht="12.75">
      <c r="A960" s="6"/>
      <c r="B960" s="6"/>
      <c r="C960" s="6"/>
      <c r="D960" s="6"/>
      <c r="E960" s="6"/>
      <c r="F960" s="6"/>
      <c r="G960" s="6"/>
      <c r="H960" s="6"/>
      <c r="I960" s="6"/>
      <c r="J960" s="6"/>
      <c r="K960" s="22"/>
      <c r="L960" s="6"/>
      <c r="M960" s="6"/>
      <c r="N960" s="6"/>
      <c r="O960" s="6"/>
      <c r="P960" s="6"/>
      <c r="Q960" s="6"/>
      <c r="R960" s="54"/>
    </row>
    <row r="961" spans="1:18" ht="12.75">
      <c r="A961" s="6"/>
      <c r="B961" s="6"/>
      <c r="C961" s="6"/>
      <c r="D961" s="6"/>
      <c r="E961" s="6"/>
      <c r="F961" s="6"/>
      <c r="G961" s="6"/>
      <c r="H961" s="6"/>
      <c r="I961" s="6"/>
      <c r="J961" s="6"/>
      <c r="K961" s="22"/>
      <c r="L961" s="6"/>
      <c r="M961" s="6"/>
      <c r="N961" s="6"/>
      <c r="O961" s="6"/>
      <c r="P961" s="6"/>
      <c r="Q961" s="6"/>
      <c r="R961" s="54"/>
    </row>
    <row r="962" spans="1:18" ht="12.75">
      <c r="A962" s="6"/>
      <c r="B962" s="6"/>
      <c r="C962" s="6"/>
      <c r="D962" s="6"/>
      <c r="E962" s="6"/>
      <c r="F962" s="6"/>
      <c r="G962" s="6"/>
      <c r="H962" s="6"/>
      <c r="I962" s="6"/>
      <c r="J962" s="6"/>
      <c r="K962" s="22"/>
      <c r="L962" s="6"/>
      <c r="M962" s="6"/>
      <c r="N962" s="6"/>
      <c r="O962" s="6"/>
      <c r="P962" s="6"/>
      <c r="Q962" s="6"/>
      <c r="R962" s="54"/>
    </row>
    <row r="963" spans="1:18" ht="12.75">
      <c r="A963" s="6"/>
      <c r="B963" s="6"/>
      <c r="C963" s="6"/>
      <c r="D963" s="6"/>
      <c r="E963" s="6"/>
      <c r="F963" s="6"/>
      <c r="G963" s="6"/>
      <c r="H963" s="6"/>
      <c r="I963" s="6"/>
      <c r="J963" s="6"/>
      <c r="K963" s="22"/>
      <c r="L963" s="6"/>
      <c r="M963" s="6"/>
      <c r="N963" s="6"/>
      <c r="O963" s="6"/>
      <c r="P963" s="6"/>
      <c r="Q963" s="6"/>
      <c r="R963" s="54"/>
    </row>
    <row r="964" spans="1:18" ht="12.75">
      <c r="A964" s="6"/>
      <c r="B964" s="6"/>
      <c r="C964" s="6"/>
      <c r="D964" s="6"/>
      <c r="E964" s="6"/>
      <c r="F964" s="6"/>
      <c r="G964" s="6"/>
      <c r="H964" s="6"/>
      <c r="I964" s="6"/>
      <c r="J964" s="6"/>
      <c r="K964" s="22"/>
      <c r="L964" s="6"/>
      <c r="M964" s="6"/>
      <c r="N964" s="6"/>
      <c r="O964" s="6"/>
      <c r="P964" s="6"/>
      <c r="Q964" s="6"/>
      <c r="R964" s="54"/>
    </row>
    <row r="965" spans="1:18" ht="12.75">
      <c r="A965" s="6"/>
      <c r="B965" s="6"/>
      <c r="C965" s="6"/>
      <c r="D965" s="6"/>
      <c r="E965" s="6"/>
      <c r="F965" s="6"/>
      <c r="G965" s="6"/>
      <c r="H965" s="6"/>
      <c r="I965" s="6"/>
      <c r="J965" s="6"/>
      <c r="K965" s="22"/>
      <c r="L965" s="6"/>
      <c r="M965" s="6"/>
      <c r="N965" s="6"/>
      <c r="O965" s="6"/>
      <c r="P965" s="6"/>
      <c r="Q965" s="6"/>
      <c r="R965" s="54"/>
    </row>
    <row r="966" spans="1:18" ht="12.75">
      <c r="A966" s="6"/>
      <c r="B966" s="6"/>
      <c r="C966" s="6"/>
      <c r="D966" s="6"/>
      <c r="E966" s="6"/>
      <c r="F966" s="6"/>
      <c r="G966" s="6"/>
      <c r="H966" s="6"/>
      <c r="I966" s="6"/>
      <c r="J966" s="6"/>
      <c r="K966" s="22"/>
      <c r="L966" s="6"/>
      <c r="M966" s="6"/>
      <c r="N966" s="6"/>
      <c r="O966" s="6"/>
      <c r="P966" s="6"/>
      <c r="Q966" s="6"/>
      <c r="R966" s="54"/>
    </row>
    <row r="967" spans="1:18" ht="12.75">
      <c r="A967" s="6"/>
      <c r="B967" s="6"/>
      <c r="C967" s="6"/>
      <c r="D967" s="6"/>
      <c r="E967" s="6"/>
      <c r="F967" s="6"/>
      <c r="G967" s="6"/>
      <c r="H967" s="6"/>
      <c r="I967" s="6"/>
      <c r="J967" s="6"/>
      <c r="K967" s="22"/>
      <c r="L967" s="6"/>
      <c r="M967" s="6"/>
      <c r="N967" s="6"/>
      <c r="O967" s="6"/>
      <c r="P967" s="6"/>
      <c r="Q967" s="6"/>
      <c r="R967" s="54"/>
    </row>
    <row r="968" spans="1:18" ht="12.75">
      <c r="A968" s="6"/>
      <c r="B968" s="6"/>
      <c r="C968" s="6"/>
      <c r="D968" s="6"/>
      <c r="E968" s="6"/>
      <c r="F968" s="6"/>
      <c r="G968" s="6"/>
      <c r="H968" s="6"/>
      <c r="I968" s="6"/>
      <c r="J968" s="6"/>
      <c r="K968" s="22"/>
      <c r="L968" s="6"/>
      <c r="M968" s="6"/>
      <c r="N968" s="6"/>
      <c r="O968" s="6"/>
      <c r="P968" s="6"/>
      <c r="Q968" s="6"/>
      <c r="R968" s="54"/>
    </row>
    <row r="969" spans="1:18" ht="12.75">
      <c r="A969" s="6"/>
      <c r="B969" s="6"/>
      <c r="C969" s="6"/>
      <c r="D969" s="6"/>
      <c r="E969" s="6"/>
      <c r="F969" s="6"/>
      <c r="G969" s="6"/>
      <c r="H969" s="6"/>
      <c r="I969" s="6"/>
      <c r="J969" s="6"/>
      <c r="K969" s="22"/>
      <c r="L969" s="6"/>
      <c r="M969" s="6"/>
      <c r="N969" s="6"/>
      <c r="O969" s="6"/>
      <c r="P969" s="6"/>
      <c r="Q969" s="6"/>
      <c r="R969" s="54"/>
    </row>
    <row r="970" spans="1:18" ht="12.75">
      <c r="A970" s="6"/>
      <c r="B970" s="6"/>
      <c r="C970" s="6"/>
      <c r="D970" s="6"/>
      <c r="E970" s="6"/>
      <c r="F970" s="6"/>
      <c r="G970" s="6"/>
      <c r="H970" s="6"/>
      <c r="I970" s="6"/>
      <c r="J970" s="6"/>
      <c r="K970" s="22"/>
      <c r="L970" s="6"/>
      <c r="M970" s="6"/>
      <c r="N970" s="6"/>
      <c r="O970" s="6"/>
      <c r="P970" s="6"/>
      <c r="Q970" s="6"/>
      <c r="R970" s="54"/>
    </row>
    <row r="971" spans="1:18" ht="12.75">
      <c r="A971" s="6"/>
      <c r="B971" s="6"/>
      <c r="C971" s="6"/>
      <c r="D971" s="6"/>
      <c r="E971" s="6"/>
      <c r="F971" s="6"/>
      <c r="G971" s="6"/>
      <c r="H971" s="6"/>
      <c r="I971" s="6"/>
      <c r="J971" s="6"/>
      <c r="K971" s="22"/>
      <c r="L971" s="6"/>
      <c r="M971" s="6"/>
      <c r="N971" s="6"/>
      <c r="O971" s="6"/>
      <c r="P971" s="6"/>
      <c r="Q971" s="6"/>
      <c r="R971" s="54"/>
    </row>
    <row r="972" spans="1:18" ht="12.75">
      <c r="A972" s="6"/>
      <c r="B972" s="6"/>
      <c r="C972" s="6"/>
      <c r="D972" s="6"/>
      <c r="E972" s="6"/>
      <c r="F972" s="6"/>
      <c r="G972" s="6"/>
      <c r="H972" s="6"/>
      <c r="I972" s="6"/>
      <c r="J972" s="6"/>
      <c r="K972" s="22"/>
      <c r="L972" s="6"/>
      <c r="M972" s="6"/>
      <c r="N972" s="6"/>
      <c r="O972" s="6"/>
      <c r="P972" s="6"/>
      <c r="Q972" s="6"/>
      <c r="R972" s="54"/>
    </row>
    <row r="973" spans="1:18" ht="12.75">
      <c r="A973" s="6"/>
      <c r="B973" s="6"/>
      <c r="C973" s="6"/>
      <c r="D973" s="6"/>
      <c r="E973" s="6"/>
      <c r="F973" s="6"/>
      <c r="G973" s="6"/>
      <c r="H973" s="6"/>
      <c r="I973" s="6"/>
      <c r="J973" s="6"/>
      <c r="K973" s="22"/>
      <c r="L973" s="6"/>
      <c r="M973" s="6"/>
      <c r="N973" s="6"/>
      <c r="O973" s="6"/>
      <c r="P973" s="6"/>
      <c r="Q973" s="6"/>
      <c r="R973" s="54"/>
    </row>
    <row r="974" spans="1:18" ht="12.75">
      <c r="A974" s="6"/>
      <c r="B974" s="6"/>
      <c r="C974" s="6"/>
      <c r="D974" s="6"/>
      <c r="E974" s="6"/>
      <c r="F974" s="6"/>
      <c r="G974" s="6"/>
      <c r="H974" s="6"/>
      <c r="I974" s="6"/>
      <c r="J974" s="6"/>
      <c r="K974" s="22"/>
      <c r="L974" s="6"/>
      <c r="M974" s="6"/>
      <c r="N974" s="6"/>
      <c r="O974" s="6"/>
      <c r="P974" s="6"/>
      <c r="Q974" s="6"/>
      <c r="R974" s="54"/>
    </row>
    <row r="975" spans="1:18" ht="12.75">
      <c r="A975" s="6"/>
      <c r="B975" s="6"/>
      <c r="C975" s="6"/>
      <c r="D975" s="6"/>
      <c r="E975" s="6"/>
      <c r="F975" s="6"/>
      <c r="G975" s="6"/>
      <c r="H975" s="6"/>
      <c r="I975" s="6"/>
      <c r="J975" s="6"/>
      <c r="K975" s="22"/>
      <c r="L975" s="6"/>
      <c r="M975" s="6"/>
      <c r="N975" s="6"/>
      <c r="O975" s="6"/>
      <c r="P975" s="6"/>
      <c r="Q975" s="6"/>
      <c r="R975" s="54"/>
    </row>
    <row r="976" spans="1:18" ht="12.75">
      <c r="A976" s="6"/>
      <c r="B976" s="6"/>
      <c r="C976" s="6"/>
      <c r="D976" s="6"/>
      <c r="E976" s="6"/>
      <c r="F976" s="6"/>
      <c r="G976" s="6"/>
      <c r="H976" s="6"/>
      <c r="I976" s="6"/>
      <c r="J976" s="6"/>
      <c r="K976" s="22"/>
      <c r="L976" s="6"/>
      <c r="M976" s="6"/>
      <c r="N976" s="6"/>
      <c r="O976" s="6"/>
      <c r="P976" s="6"/>
      <c r="Q976" s="6"/>
      <c r="R976" s="54"/>
    </row>
    <row r="977" spans="1:18" ht="12.75">
      <c r="A977" s="6"/>
      <c r="B977" s="6"/>
      <c r="C977" s="6"/>
      <c r="D977" s="6"/>
      <c r="E977" s="6"/>
      <c r="F977" s="6"/>
      <c r="G977" s="6"/>
      <c r="H977" s="6"/>
      <c r="I977" s="6"/>
      <c r="J977" s="6"/>
      <c r="K977" s="22"/>
      <c r="L977" s="6"/>
      <c r="M977" s="6"/>
      <c r="N977" s="6"/>
      <c r="O977" s="6"/>
      <c r="P977" s="6"/>
      <c r="Q977" s="6"/>
      <c r="R977" s="54"/>
    </row>
    <row r="978" spans="1:18" ht="12.75">
      <c r="A978" s="6"/>
      <c r="B978" s="6"/>
      <c r="C978" s="6"/>
      <c r="D978" s="6"/>
      <c r="E978" s="6"/>
      <c r="F978" s="6"/>
      <c r="G978" s="6"/>
      <c r="H978" s="6"/>
      <c r="I978" s="6"/>
      <c r="J978" s="6"/>
      <c r="K978" s="22"/>
      <c r="L978" s="6"/>
      <c r="M978" s="6"/>
      <c r="N978" s="6"/>
      <c r="O978" s="6"/>
      <c r="P978" s="6"/>
      <c r="Q978" s="6"/>
      <c r="R978" s="54"/>
    </row>
    <row r="979" spans="1:18" ht="12.75">
      <c r="A979" s="6"/>
      <c r="B979" s="6"/>
      <c r="C979" s="6"/>
      <c r="D979" s="6"/>
      <c r="E979" s="6"/>
      <c r="F979" s="6"/>
      <c r="G979" s="6"/>
      <c r="H979" s="6"/>
      <c r="I979" s="6"/>
      <c r="J979" s="6"/>
      <c r="K979" s="22"/>
      <c r="L979" s="6"/>
      <c r="M979" s="6"/>
      <c r="N979" s="6"/>
      <c r="O979" s="6"/>
      <c r="P979" s="6"/>
      <c r="Q979" s="6"/>
      <c r="R979" s="54"/>
    </row>
    <row r="980" spans="1:18" ht="12.75">
      <c r="A980" s="6"/>
      <c r="B980" s="6"/>
      <c r="C980" s="6"/>
      <c r="D980" s="6"/>
      <c r="E980" s="6"/>
      <c r="F980" s="6"/>
      <c r="G980" s="6"/>
      <c r="H980" s="6"/>
      <c r="I980" s="6"/>
      <c r="J980" s="6"/>
      <c r="K980" s="22"/>
      <c r="L980" s="6"/>
      <c r="M980" s="6"/>
      <c r="N980" s="6"/>
      <c r="O980" s="6"/>
      <c r="P980" s="6"/>
      <c r="Q980" s="6"/>
      <c r="R980" s="54"/>
    </row>
    <row r="981" spans="1:18" ht="12.75">
      <c r="A981" s="6"/>
      <c r="B981" s="6"/>
      <c r="C981" s="6"/>
      <c r="D981" s="6"/>
      <c r="E981" s="6"/>
      <c r="F981" s="6"/>
      <c r="G981" s="6"/>
      <c r="H981" s="6"/>
      <c r="I981" s="6"/>
      <c r="J981" s="6"/>
      <c r="K981" s="22"/>
      <c r="L981" s="6"/>
      <c r="M981" s="6"/>
      <c r="N981" s="6"/>
      <c r="O981" s="6"/>
      <c r="P981" s="6"/>
      <c r="Q981" s="6"/>
      <c r="R981" s="54"/>
    </row>
    <row r="982" spans="1:18" ht="12.75">
      <c r="A982" s="6"/>
      <c r="B982" s="6"/>
      <c r="C982" s="6"/>
      <c r="D982" s="6"/>
      <c r="E982" s="6"/>
      <c r="F982" s="6"/>
      <c r="G982" s="6"/>
      <c r="H982" s="6"/>
      <c r="I982" s="6"/>
      <c r="J982" s="6"/>
      <c r="K982" s="22"/>
      <c r="L982" s="6"/>
      <c r="M982" s="6"/>
      <c r="N982" s="6"/>
      <c r="O982" s="6"/>
      <c r="P982" s="6"/>
      <c r="Q982" s="6"/>
      <c r="R982" s="54"/>
    </row>
    <row r="983" spans="1:18" ht="12.75">
      <c r="A983" s="6"/>
      <c r="B983" s="6"/>
      <c r="C983" s="6"/>
      <c r="D983" s="6"/>
      <c r="E983" s="6"/>
      <c r="F983" s="6"/>
      <c r="G983" s="6"/>
      <c r="H983" s="6"/>
      <c r="I983" s="6"/>
      <c r="J983" s="6"/>
      <c r="K983" s="22"/>
      <c r="L983" s="6"/>
      <c r="M983" s="6"/>
      <c r="N983" s="6"/>
      <c r="O983" s="6"/>
      <c r="P983" s="6"/>
      <c r="Q983" s="6"/>
      <c r="R983" s="54"/>
    </row>
    <row r="984" spans="1:18" ht="12.75">
      <c r="A984" s="6"/>
      <c r="B984" s="6"/>
      <c r="C984" s="6"/>
      <c r="D984" s="6"/>
      <c r="E984" s="6"/>
      <c r="F984" s="6"/>
      <c r="G984" s="6"/>
      <c r="H984" s="6"/>
      <c r="I984" s="6"/>
      <c r="J984" s="6"/>
      <c r="K984" s="22"/>
      <c r="L984" s="6"/>
      <c r="M984" s="6"/>
      <c r="N984" s="6"/>
      <c r="O984" s="6"/>
      <c r="P984" s="6"/>
      <c r="Q984" s="6"/>
      <c r="R984" s="54"/>
    </row>
    <row r="985" spans="1:18" ht="12.75">
      <c r="A985" s="6"/>
      <c r="B985" s="6"/>
      <c r="C985" s="6"/>
      <c r="D985" s="6"/>
      <c r="E985" s="6"/>
      <c r="F985" s="6"/>
      <c r="G985" s="6"/>
      <c r="H985" s="6"/>
      <c r="I985" s="6"/>
      <c r="J985" s="6"/>
      <c r="K985" s="22"/>
      <c r="L985" s="6"/>
      <c r="M985" s="6"/>
      <c r="N985" s="6"/>
      <c r="O985" s="6"/>
      <c r="P985" s="6"/>
      <c r="Q985" s="6"/>
      <c r="R985" s="54"/>
    </row>
    <row r="986" spans="1:18" ht="12.75">
      <c r="A986" s="6"/>
      <c r="B986" s="6"/>
      <c r="C986" s="6"/>
      <c r="D986" s="6"/>
      <c r="E986" s="6"/>
      <c r="F986" s="6"/>
      <c r="G986" s="6"/>
      <c r="H986" s="6"/>
      <c r="I986" s="6"/>
      <c r="J986" s="6"/>
      <c r="K986" s="22"/>
      <c r="L986" s="6"/>
      <c r="M986" s="6"/>
      <c r="N986" s="6"/>
      <c r="O986" s="6"/>
      <c r="P986" s="6"/>
      <c r="Q986" s="6"/>
      <c r="R986" s="54"/>
    </row>
    <row r="987" spans="1:18" ht="12.75">
      <c r="A987" s="6"/>
      <c r="B987" s="6"/>
      <c r="C987" s="6"/>
      <c r="D987" s="6"/>
      <c r="E987" s="6"/>
      <c r="F987" s="6"/>
      <c r="G987" s="6"/>
      <c r="H987" s="6"/>
      <c r="I987" s="6"/>
      <c r="J987" s="6"/>
      <c r="K987" s="22"/>
      <c r="L987" s="6"/>
      <c r="M987" s="6"/>
      <c r="N987" s="6"/>
      <c r="O987" s="6"/>
      <c r="P987" s="6"/>
      <c r="Q987" s="6"/>
      <c r="R987" s="54"/>
    </row>
    <row r="988" spans="1:18" ht="12.75">
      <c r="A988" s="6"/>
      <c r="B988" s="6"/>
      <c r="C988" s="6"/>
      <c r="D988" s="6"/>
      <c r="E988" s="6"/>
      <c r="F988" s="6"/>
      <c r="G988" s="6"/>
      <c r="H988" s="6"/>
      <c r="I988" s="6"/>
      <c r="J988" s="6"/>
      <c r="K988" s="22"/>
      <c r="L988" s="6"/>
      <c r="M988" s="6"/>
      <c r="N988" s="6"/>
      <c r="O988" s="6"/>
      <c r="P988" s="6"/>
      <c r="Q988" s="6"/>
      <c r="R988" s="54"/>
    </row>
    <row r="989" spans="1:18" ht="12.75">
      <c r="A989" s="6"/>
      <c r="B989" s="6"/>
      <c r="C989" s="6"/>
      <c r="D989" s="6"/>
      <c r="E989" s="6"/>
      <c r="F989" s="6"/>
      <c r="G989" s="6"/>
      <c r="H989" s="6"/>
      <c r="I989" s="6"/>
      <c r="J989" s="6"/>
      <c r="K989" s="22"/>
      <c r="L989" s="6"/>
      <c r="M989" s="6"/>
      <c r="N989" s="6"/>
      <c r="O989" s="6"/>
      <c r="P989" s="6"/>
      <c r="Q989" s="6"/>
      <c r="R989" s="54"/>
    </row>
    <row r="990" spans="1:18" ht="12.75">
      <c r="A990" s="6"/>
      <c r="B990" s="6"/>
      <c r="C990" s="6"/>
      <c r="D990" s="6"/>
      <c r="E990" s="6"/>
      <c r="F990" s="6"/>
      <c r="G990" s="6"/>
      <c r="H990" s="6"/>
      <c r="I990" s="6"/>
      <c r="J990" s="6"/>
      <c r="K990" s="22"/>
      <c r="L990" s="6"/>
      <c r="M990" s="6"/>
      <c r="N990" s="6"/>
      <c r="O990" s="6"/>
      <c r="P990" s="6"/>
      <c r="Q990" s="6"/>
      <c r="R990" s="54"/>
    </row>
    <row r="991" spans="1:18" ht="12.75">
      <c r="A991" s="6"/>
      <c r="B991" s="6"/>
      <c r="C991" s="6"/>
      <c r="D991" s="6"/>
      <c r="E991" s="6"/>
      <c r="F991" s="6"/>
      <c r="G991" s="6"/>
      <c r="H991" s="6"/>
      <c r="I991" s="6"/>
      <c r="J991" s="6"/>
      <c r="K991" s="22"/>
      <c r="L991" s="6"/>
      <c r="M991" s="6"/>
      <c r="N991" s="6"/>
      <c r="O991" s="6"/>
      <c r="P991" s="6"/>
      <c r="Q991" s="6"/>
      <c r="R991" s="54"/>
    </row>
    <row r="992" spans="1:18" ht="12.75">
      <c r="A992" s="6"/>
      <c r="B992" s="6"/>
      <c r="C992" s="6"/>
      <c r="D992" s="6"/>
      <c r="E992" s="6"/>
      <c r="F992" s="6"/>
      <c r="G992" s="6"/>
      <c r="H992" s="6"/>
      <c r="I992" s="6"/>
      <c r="J992" s="6"/>
      <c r="K992" s="22"/>
      <c r="L992" s="6"/>
      <c r="M992" s="6"/>
      <c r="N992" s="6"/>
      <c r="O992" s="6"/>
      <c r="P992" s="6"/>
      <c r="Q992" s="6"/>
      <c r="R992" s="54"/>
    </row>
    <row r="993" spans="1:18" ht="12.75">
      <c r="A993" s="6"/>
      <c r="B993" s="6"/>
      <c r="C993" s="6"/>
      <c r="D993" s="6"/>
      <c r="E993" s="6"/>
      <c r="F993" s="6"/>
      <c r="G993" s="6"/>
      <c r="H993" s="6"/>
      <c r="I993" s="6"/>
      <c r="J993" s="6"/>
      <c r="K993" s="22"/>
      <c r="L993" s="6"/>
      <c r="M993" s="6"/>
      <c r="N993" s="6"/>
      <c r="O993" s="6"/>
      <c r="P993" s="6"/>
      <c r="Q993" s="6"/>
      <c r="R993" s="54"/>
    </row>
    <row r="994" spans="1:18" ht="12.75">
      <c r="A994" s="6"/>
      <c r="B994" s="6"/>
      <c r="C994" s="6"/>
      <c r="D994" s="6"/>
      <c r="E994" s="6"/>
      <c r="F994" s="6"/>
      <c r="G994" s="6"/>
      <c r="H994" s="6"/>
      <c r="I994" s="6"/>
      <c r="J994" s="6"/>
      <c r="K994" s="22"/>
      <c r="L994" s="6"/>
      <c r="M994" s="6"/>
      <c r="N994" s="6"/>
      <c r="O994" s="6"/>
      <c r="P994" s="6"/>
      <c r="Q994" s="6"/>
      <c r="R994" s="54"/>
    </row>
    <row r="995" spans="1:18" ht="12.75">
      <c r="A995" s="6"/>
      <c r="B995" s="6"/>
      <c r="C995" s="6"/>
      <c r="D995" s="6"/>
      <c r="E995" s="6"/>
      <c r="F995" s="6"/>
      <c r="G995" s="6"/>
      <c r="H995" s="6"/>
      <c r="I995" s="6"/>
      <c r="J995" s="6"/>
      <c r="K995" s="22"/>
      <c r="L995" s="6"/>
      <c r="M995" s="6"/>
      <c r="N995" s="6"/>
      <c r="O995" s="6"/>
      <c r="P995" s="6"/>
      <c r="Q995" s="6"/>
      <c r="R995" s="54"/>
    </row>
    <row r="996" spans="1:18" ht="12.75">
      <c r="A996" s="6"/>
      <c r="B996" s="6"/>
      <c r="C996" s="6"/>
      <c r="D996" s="6"/>
      <c r="E996" s="6"/>
      <c r="F996" s="6"/>
      <c r="G996" s="6"/>
      <c r="H996" s="6"/>
      <c r="I996" s="6"/>
      <c r="J996" s="6"/>
      <c r="K996" s="22"/>
      <c r="L996" s="6"/>
      <c r="M996" s="6"/>
      <c r="N996" s="6"/>
      <c r="O996" s="6"/>
      <c r="P996" s="6"/>
      <c r="Q996" s="6"/>
      <c r="R996" s="54"/>
    </row>
    <row r="997" spans="1:18" ht="12.75">
      <c r="A997" s="6"/>
      <c r="B997" s="6"/>
      <c r="C997" s="6"/>
      <c r="D997" s="6"/>
      <c r="E997" s="6"/>
      <c r="F997" s="6"/>
      <c r="G997" s="6"/>
      <c r="H997" s="6"/>
      <c r="I997" s="6"/>
      <c r="J997" s="6"/>
      <c r="K997" s="22"/>
      <c r="L997" s="6"/>
      <c r="M997" s="6"/>
      <c r="N997" s="6"/>
      <c r="O997" s="6"/>
      <c r="P997" s="6"/>
      <c r="Q997" s="6"/>
      <c r="R997" s="54"/>
    </row>
    <row r="998" spans="1:18" ht="12.75">
      <c r="A998" s="6"/>
      <c r="B998" s="6"/>
      <c r="C998" s="6"/>
      <c r="D998" s="6"/>
      <c r="E998" s="6"/>
      <c r="F998" s="6"/>
      <c r="G998" s="6"/>
      <c r="H998" s="6"/>
      <c r="I998" s="6"/>
      <c r="J998" s="6"/>
      <c r="K998" s="22"/>
      <c r="L998" s="6"/>
      <c r="M998" s="6"/>
      <c r="N998" s="6"/>
      <c r="O998" s="6"/>
      <c r="P998" s="6"/>
      <c r="Q998" s="6"/>
      <c r="R998" s="54"/>
    </row>
    <row r="999" spans="1:18" ht="12.75">
      <c r="A999" s="6"/>
      <c r="B999" s="6"/>
      <c r="C999" s="6"/>
      <c r="D999" s="6"/>
      <c r="E999" s="6"/>
      <c r="F999" s="6"/>
      <c r="G999" s="6"/>
      <c r="H999" s="6"/>
      <c r="I999" s="6"/>
      <c r="J999" s="6"/>
      <c r="K999" s="22"/>
      <c r="L999" s="6"/>
      <c r="M999" s="6"/>
      <c r="N999" s="6"/>
      <c r="O999" s="6"/>
      <c r="P999" s="6"/>
      <c r="Q999" s="6"/>
      <c r="R999" s="54"/>
    </row>
    <row r="1000" spans="1:18" ht="12.75">
      <c r="A1000" s="6"/>
      <c r="B1000" s="6"/>
      <c r="C1000" s="6"/>
      <c r="D1000" s="6"/>
      <c r="E1000" s="6"/>
      <c r="F1000" s="6"/>
      <c r="G1000" s="6"/>
      <c r="H1000" s="6"/>
      <c r="I1000" s="6"/>
      <c r="J1000" s="6"/>
      <c r="K1000" s="22"/>
      <c r="L1000" s="6"/>
      <c r="M1000" s="6"/>
      <c r="N1000" s="6"/>
      <c r="O1000" s="6"/>
      <c r="P1000" s="6"/>
      <c r="Q1000" s="6"/>
      <c r="R1000" s="54"/>
    </row>
  </sheetData>
  <autoFilter ref="A1:R49" xr:uid="{00000000-0009-0000-0000-000012000000}"/>
  <hyperlinks>
    <hyperlink ref="P2" r:id="rId1" xr:uid="{00000000-0004-0000-1200-000000000000}"/>
    <hyperlink ref="P3" r:id="rId2" xr:uid="{00000000-0004-0000-1200-000001000000}"/>
    <hyperlink ref="P4" r:id="rId3" xr:uid="{00000000-0004-0000-1200-000002000000}"/>
    <hyperlink ref="P5" r:id="rId4" xr:uid="{00000000-0004-0000-1200-000003000000}"/>
    <hyperlink ref="P6" r:id="rId5" xr:uid="{00000000-0004-0000-1200-000004000000}"/>
    <hyperlink ref="P7" r:id="rId6" xr:uid="{00000000-0004-0000-1200-000005000000}"/>
    <hyperlink ref="P8" r:id="rId7" xr:uid="{00000000-0004-0000-1200-000006000000}"/>
    <hyperlink ref="P9" r:id="rId8" xr:uid="{00000000-0004-0000-1200-000007000000}"/>
    <hyperlink ref="P10" r:id="rId9" xr:uid="{00000000-0004-0000-1200-000008000000}"/>
    <hyperlink ref="P11" r:id="rId10" xr:uid="{00000000-0004-0000-1200-000009000000}"/>
    <hyperlink ref="P12" r:id="rId11" xr:uid="{00000000-0004-0000-1200-00000A000000}"/>
    <hyperlink ref="P13" r:id="rId12" xr:uid="{00000000-0004-0000-1200-00000B000000}"/>
    <hyperlink ref="P14" r:id="rId13" xr:uid="{00000000-0004-0000-1200-00000C000000}"/>
    <hyperlink ref="P15" r:id="rId14" xr:uid="{00000000-0004-0000-1200-00000D000000}"/>
    <hyperlink ref="P26" r:id="rId15" xr:uid="{00000000-0004-0000-1200-00000E000000}"/>
    <hyperlink ref="P27" r:id="rId16" xr:uid="{00000000-0004-0000-1200-00000F000000}"/>
    <hyperlink ref="P28" r:id="rId17" xr:uid="{00000000-0004-0000-1200-000010000000}"/>
    <hyperlink ref="P29" r:id="rId18" xr:uid="{00000000-0004-0000-1200-000011000000}"/>
    <hyperlink ref="P30" r:id="rId19" xr:uid="{00000000-0004-0000-1200-000012000000}"/>
    <hyperlink ref="P31" r:id="rId20" xr:uid="{00000000-0004-0000-1200-000013000000}"/>
    <hyperlink ref="P32" r:id="rId21" xr:uid="{00000000-0004-0000-1200-000014000000}"/>
    <hyperlink ref="P33" r:id="rId22" xr:uid="{00000000-0004-0000-1200-000015000000}"/>
    <hyperlink ref="P34" r:id="rId23" xr:uid="{00000000-0004-0000-1200-000016000000}"/>
    <hyperlink ref="P35" r:id="rId24" xr:uid="{00000000-0004-0000-1200-000017000000}"/>
    <hyperlink ref="P36" r:id="rId25" xr:uid="{00000000-0004-0000-1200-000018000000}"/>
    <hyperlink ref="P37" r:id="rId26" xr:uid="{00000000-0004-0000-1200-000019000000}"/>
    <hyperlink ref="P38" r:id="rId27" xr:uid="{00000000-0004-0000-1200-00001A000000}"/>
    <hyperlink ref="P39" r:id="rId28" xr:uid="{00000000-0004-0000-1200-00001B000000}"/>
    <hyperlink ref="P40" r:id="rId29" xr:uid="{00000000-0004-0000-1200-00001C000000}"/>
    <hyperlink ref="P41" r:id="rId30" xr:uid="{00000000-0004-0000-1200-00001D000000}"/>
    <hyperlink ref="P42" r:id="rId31" xr:uid="{00000000-0004-0000-1200-00001E000000}"/>
    <hyperlink ref="P43" r:id="rId32" xr:uid="{00000000-0004-0000-1200-00001F000000}"/>
    <hyperlink ref="P44" r:id="rId33" xr:uid="{00000000-0004-0000-1200-000020000000}"/>
    <hyperlink ref="P45" r:id="rId34" xr:uid="{00000000-0004-0000-1200-000021000000}"/>
    <hyperlink ref="P47" r:id="rId35" xr:uid="{00000000-0004-0000-1200-00002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S14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4" max="4" width="13.7109375" customWidth="1"/>
    <col min="5" max="5" width="62.5703125" customWidth="1"/>
    <col min="6" max="6" width="48.7109375" customWidth="1"/>
    <col min="7" max="7" width="25.85546875" customWidth="1"/>
    <col min="8" max="8" width="29" customWidth="1"/>
    <col min="11" max="11" width="57.5703125" customWidth="1"/>
    <col min="14" max="14" width="22.42578125" customWidth="1"/>
    <col min="15" max="15" width="31.42578125" customWidth="1"/>
    <col min="16" max="16" width="35.140625" customWidth="1"/>
  </cols>
  <sheetData>
    <row r="1" spans="1:19" ht="39.75" customHeight="1">
      <c r="A1" s="486" t="s">
        <v>6259</v>
      </c>
      <c r="B1" s="319" t="s">
        <v>389</v>
      </c>
      <c r="C1" s="486" t="s">
        <v>4</v>
      </c>
      <c r="D1" s="486" t="s">
        <v>5</v>
      </c>
      <c r="E1" s="486" t="s">
        <v>6</v>
      </c>
      <c r="F1" s="486" t="s">
        <v>7</v>
      </c>
      <c r="G1" s="486" t="s">
        <v>5627</v>
      </c>
      <c r="H1" s="486" t="s">
        <v>8</v>
      </c>
      <c r="I1" s="319" t="s">
        <v>1821</v>
      </c>
      <c r="J1" s="319" t="s">
        <v>1818</v>
      </c>
      <c r="K1" s="486" t="s">
        <v>1822</v>
      </c>
      <c r="L1" s="319" t="s">
        <v>5633</v>
      </c>
      <c r="M1" s="466" t="s">
        <v>5631</v>
      </c>
      <c r="N1" s="319" t="s">
        <v>5632</v>
      </c>
      <c r="O1" s="319" t="s">
        <v>6261</v>
      </c>
      <c r="P1" s="466" t="s">
        <v>6471</v>
      </c>
      <c r="Q1" s="486" t="s">
        <v>6060</v>
      </c>
      <c r="R1" s="319" t="s">
        <v>5305</v>
      </c>
      <c r="S1" s="487"/>
    </row>
    <row r="2" spans="1:19" ht="25.5">
      <c r="A2" s="61">
        <v>43525</v>
      </c>
      <c r="B2" s="9" t="s">
        <v>2439</v>
      </c>
      <c r="C2" s="6" t="s">
        <v>2172</v>
      </c>
      <c r="D2" s="6"/>
      <c r="E2" s="6" t="s">
        <v>2440</v>
      </c>
      <c r="F2" s="6" t="s">
        <v>2441</v>
      </c>
      <c r="G2" s="8">
        <v>9000000</v>
      </c>
      <c r="H2" s="6" t="s">
        <v>1938</v>
      </c>
      <c r="I2" s="9" t="s">
        <v>1828</v>
      </c>
      <c r="J2" s="9" t="s">
        <v>1824</v>
      </c>
      <c r="K2" s="6"/>
      <c r="L2" s="9" t="s">
        <v>82</v>
      </c>
      <c r="M2" s="52"/>
      <c r="N2" s="9"/>
      <c r="O2" s="488" t="s">
        <v>6472</v>
      </c>
      <c r="P2" s="489" t="s">
        <v>6473</v>
      </c>
      <c r="Q2" s="6" t="s">
        <v>6064</v>
      </c>
      <c r="R2" s="52"/>
      <c r="S2" s="52"/>
    </row>
    <row r="3" spans="1:19" ht="35.25" customHeight="1">
      <c r="A3" s="61">
        <v>43556</v>
      </c>
      <c r="B3" s="9" t="s">
        <v>61</v>
      </c>
      <c r="C3" s="6" t="s">
        <v>652</v>
      </c>
      <c r="D3" s="6"/>
      <c r="E3" s="6" t="s">
        <v>800</v>
      </c>
      <c r="F3" s="6" t="s">
        <v>2442</v>
      </c>
      <c r="G3" s="8">
        <v>99860</v>
      </c>
      <c r="H3" s="160" t="s">
        <v>2443</v>
      </c>
      <c r="I3" s="9" t="s">
        <v>1828</v>
      </c>
      <c r="J3" s="9" t="s">
        <v>6474</v>
      </c>
      <c r="K3" s="6"/>
      <c r="L3" s="9" t="s">
        <v>1874</v>
      </c>
      <c r="M3" s="52"/>
      <c r="N3" s="9" t="s">
        <v>6132</v>
      </c>
      <c r="O3" s="490" t="s">
        <v>6475</v>
      </c>
      <c r="P3" s="489" t="s">
        <v>6476</v>
      </c>
      <c r="Q3" s="6" t="s">
        <v>6092</v>
      </c>
      <c r="R3" s="52"/>
      <c r="S3" s="52"/>
    </row>
    <row r="4" spans="1:19" ht="51">
      <c r="A4" s="61">
        <v>43586</v>
      </c>
      <c r="B4" s="9" t="s">
        <v>61</v>
      </c>
      <c r="C4" s="6" t="s">
        <v>652</v>
      </c>
      <c r="D4" s="6"/>
      <c r="E4" s="6" t="s">
        <v>802</v>
      </c>
      <c r="F4" s="6" t="s">
        <v>2444</v>
      </c>
      <c r="G4" s="8">
        <v>149860</v>
      </c>
      <c r="H4" s="160" t="s">
        <v>2445</v>
      </c>
      <c r="I4" s="9" t="s">
        <v>1886</v>
      </c>
      <c r="J4" s="9" t="s">
        <v>2144</v>
      </c>
      <c r="K4" s="6"/>
      <c r="L4" s="9" t="s">
        <v>1874</v>
      </c>
      <c r="M4" s="52"/>
      <c r="N4" s="9" t="s">
        <v>6132</v>
      </c>
      <c r="O4" s="490" t="s">
        <v>6477</v>
      </c>
      <c r="P4" s="489" t="s">
        <v>6478</v>
      </c>
      <c r="Q4" s="6" t="s">
        <v>6279</v>
      </c>
      <c r="R4" s="52"/>
      <c r="S4" s="52"/>
    </row>
    <row r="5" spans="1:19" ht="39" customHeight="1">
      <c r="A5" s="61">
        <v>43617</v>
      </c>
      <c r="B5" s="9" t="s">
        <v>61</v>
      </c>
      <c r="C5" s="6" t="s">
        <v>1838</v>
      </c>
      <c r="D5" s="6"/>
      <c r="E5" s="6" t="s">
        <v>2446</v>
      </c>
      <c r="F5" s="6" t="s">
        <v>811</v>
      </c>
      <c r="G5" s="8">
        <v>119500</v>
      </c>
      <c r="H5" s="6" t="s">
        <v>1938</v>
      </c>
      <c r="I5" s="9" t="s">
        <v>1828</v>
      </c>
      <c r="J5" s="9" t="s">
        <v>1824</v>
      </c>
      <c r="K5" s="6"/>
      <c r="L5" s="9" t="s">
        <v>6345</v>
      </c>
      <c r="M5" s="52"/>
      <c r="N5" s="9"/>
      <c r="O5" s="488" t="s">
        <v>6479</v>
      </c>
      <c r="P5" s="489" t="s">
        <v>6480</v>
      </c>
      <c r="Q5" s="6" t="s">
        <v>1838</v>
      </c>
      <c r="R5" s="52"/>
      <c r="S5" s="52"/>
    </row>
    <row r="6" spans="1:19" ht="35.25" customHeight="1">
      <c r="A6" s="61">
        <v>43647</v>
      </c>
      <c r="B6" s="9" t="s">
        <v>61</v>
      </c>
      <c r="C6" s="6" t="s">
        <v>1383</v>
      </c>
      <c r="D6" s="6"/>
      <c r="E6" s="6" t="s">
        <v>1567</v>
      </c>
      <c r="F6" s="6" t="s">
        <v>2447</v>
      </c>
      <c r="G6" s="8">
        <v>200000</v>
      </c>
      <c r="H6" s="6" t="s">
        <v>2448</v>
      </c>
      <c r="I6" s="9" t="s">
        <v>1855</v>
      </c>
      <c r="J6" s="9" t="s">
        <v>1824</v>
      </c>
      <c r="K6" s="6"/>
      <c r="L6" s="9" t="s">
        <v>82</v>
      </c>
      <c r="M6" s="52"/>
      <c r="N6" s="9"/>
      <c r="O6" s="488" t="s">
        <v>6481</v>
      </c>
      <c r="P6" s="489" t="s">
        <v>6482</v>
      </c>
      <c r="Q6" s="6" t="s">
        <v>6064</v>
      </c>
      <c r="R6" s="52"/>
      <c r="S6" s="52"/>
    </row>
    <row r="7" spans="1:19" ht="38.25">
      <c r="A7" s="61">
        <v>43678</v>
      </c>
      <c r="B7" s="9" t="s">
        <v>61</v>
      </c>
      <c r="C7" s="6" t="s">
        <v>1383</v>
      </c>
      <c r="D7" s="6"/>
      <c r="E7" s="6" t="s">
        <v>1568</v>
      </c>
      <c r="F7" s="6" t="s">
        <v>1569</v>
      </c>
      <c r="G7" s="8">
        <v>200000</v>
      </c>
      <c r="H7" s="160" t="s">
        <v>1569</v>
      </c>
      <c r="I7" s="9" t="s">
        <v>1828</v>
      </c>
      <c r="J7" s="9" t="s">
        <v>1824</v>
      </c>
      <c r="K7" s="6"/>
      <c r="L7" s="9" t="s">
        <v>82</v>
      </c>
      <c r="M7" s="52"/>
      <c r="N7" s="9"/>
      <c r="O7" s="490" t="s">
        <v>6483</v>
      </c>
      <c r="P7" s="489" t="s">
        <v>6484</v>
      </c>
      <c r="Q7" s="6" t="s">
        <v>6064</v>
      </c>
      <c r="R7" s="52"/>
      <c r="S7" s="52"/>
    </row>
    <row r="8" spans="1:19" ht="51">
      <c r="A8" s="62">
        <v>43709</v>
      </c>
      <c r="B8" s="9" t="s">
        <v>61</v>
      </c>
      <c r="C8" s="6" t="s">
        <v>1383</v>
      </c>
      <c r="D8" s="6"/>
      <c r="E8" s="6" t="s">
        <v>1570</v>
      </c>
      <c r="F8" s="6" t="s">
        <v>1502</v>
      </c>
      <c r="G8" s="8">
        <v>200000</v>
      </c>
      <c r="H8" s="6" t="s">
        <v>2449</v>
      </c>
      <c r="I8" s="9" t="s">
        <v>2051</v>
      </c>
      <c r="J8" s="9" t="s">
        <v>1824</v>
      </c>
      <c r="K8" s="6"/>
      <c r="L8" s="9" t="s">
        <v>82</v>
      </c>
      <c r="M8" s="52"/>
      <c r="N8" s="9"/>
      <c r="O8" s="490" t="s">
        <v>6485</v>
      </c>
      <c r="P8" s="489" t="s">
        <v>6486</v>
      </c>
      <c r="Q8" s="6" t="s">
        <v>6064</v>
      </c>
      <c r="R8" s="52"/>
      <c r="S8" s="52"/>
    </row>
    <row r="9" spans="1:19" ht="25.5">
      <c r="A9" s="61">
        <v>43739</v>
      </c>
      <c r="B9" s="9" t="s">
        <v>61</v>
      </c>
      <c r="C9" s="6" t="s">
        <v>1383</v>
      </c>
      <c r="D9" s="158"/>
      <c r="E9" s="158" t="s">
        <v>2450</v>
      </c>
      <c r="F9" s="158" t="s">
        <v>1572</v>
      </c>
      <c r="G9" s="470">
        <v>200000</v>
      </c>
      <c r="H9" s="6" t="s">
        <v>2451</v>
      </c>
      <c r="I9" s="6" t="s">
        <v>1886</v>
      </c>
      <c r="J9" s="9" t="s">
        <v>1824</v>
      </c>
      <c r="K9" s="158"/>
      <c r="L9" s="9" t="s">
        <v>82</v>
      </c>
      <c r="M9" s="52"/>
      <c r="N9" s="9"/>
      <c r="O9" s="490" t="s">
        <v>6487</v>
      </c>
      <c r="P9" s="489" t="s">
        <v>6488</v>
      </c>
      <c r="Q9" s="6" t="s">
        <v>6064</v>
      </c>
      <c r="R9" s="52"/>
      <c r="S9" s="52"/>
    </row>
    <row r="10" spans="1:19" ht="25.5">
      <c r="A10" s="62">
        <v>43770</v>
      </c>
      <c r="B10" s="9" t="s">
        <v>61</v>
      </c>
      <c r="C10" s="6" t="s">
        <v>1383</v>
      </c>
      <c r="D10" s="6"/>
      <c r="E10" s="6" t="s">
        <v>1573</v>
      </c>
      <c r="F10" s="6" t="s">
        <v>1574</v>
      </c>
      <c r="G10" s="8">
        <v>200000</v>
      </c>
      <c r="H10" s="6" t="s">
        <v>1879</v>
      </c>
      <c r="I10" s="9" t="s">
        <v>1879</v>
      </c>
      <c r="J10" s="9" t="s">
        <v>1824</v>
      </c>
      <c r="K10" s="6"/>
      <c r="L10" s="9" t="s">
        <v>82</v>
      </c>
      <c r="M10" s="52"/>
      <c r="N10" s="9"/>
      <c r="O10" s="488" t="s">
        <v>6489</v>
      </c>
      <c r="P10" s="489" t="s">
        <v>6490</v>
      </c>
      <c r="Q10" s="6" t="s">
        <v>6064</v>
      </c>
      <c r="R10" s="52"/>
      <c r="S10" s="52"/>
    </row>
    <row r="11" spans="1:19" ht="25.5">
      <c r="A11" s="62">
        <v>43800</v>
      </c>
      <c r="B11" s="9" t="s">
        <v>61</v>
      </c>
      <c r="C11" s="6" t="s">
        <v>1383</v>
      </c>
      <c r="D11" s="6"/>
      <c r="E11" s="6" t="s">
        <v>1575</v>
      </c>
      <c r="F11" s="6" t="s">
        <v>1576</v>
      </c>
      <c r="G11" s="8">
        <v>500000</v>
      </c>
      <c r="H11" s="6" t="s">
        <v>2451</v>
      </c>
      <c r="I11" s="9" t="s">
        <v>1886</v>
      </c>
      <c r="J11" s="9" t="s">
        <v>1824</v>
      </c>
      <c r="K11" s="6"/>
      <c r="L11" s="9" t="s">
        <v>82</v>
      </c>
      <c r="M11" s="52"/>
      <c r="N11" s="9"/>
      <c r="O11" s="488" t="s">
        <v>6491</v>
      </c>
      <c r="P11" s="489" t="s">
        <v>6490</v>
      </c>
      <c r="Q11" s="6" t="s">
        <v>6064</v>
      </c>
      <c r="R11" s="52"/>
      <c r="S11" s="52"/>
    </row>
    <row r="12" spans="1:19" ht="25.5">
      <c r="A12" s="6" t="s">
        <v>804</v>
      </c>
      <c r="B12" s="9" t="s">
        <v>61</v>
      </c>
      <c r="C12" s="6" t="s">
        <v>113</v>
      </c>
      <c r="D12" s="6"/>
      <c r="E12" s="6" t="s">
        <v>805</v>
      </c>
      <c r="F12" s="6" t="s">
        <v>699</v>
      </c>
      <c r="G12" s="64">
        <v>711200</v>
      </c>
      <c r="H12" s="6" t="s">
        <v>1846</v>
      </c>
      <c r="I12" s="9" t="s">
        <v>1828</v>
      </c>
      <c r="J12" s="9" t="s">
        <v>1824</v>
      </c>
      <c r="K12" s="6"/>
      <c r="L12" s="9" t="s">
        <v>611</v>
      </c>
      <c r="M12" s="52"/>
      <c r="N12" s="9"/>
      <c r="O12" s="488" t="s">
        <v>6492</v>
      </c>
      <c r="P12" s="489" t="s">
        <v>6493</v>
      </c>
      <c r="Q12" s="6" t="s">
        <v>6494</v>
      </c>
      <c r="R12" s="52"/>
      <c r="S12" s="52"/>
    </row>
    <row r="13" spans="1:19" ht="28.5" customHeight="1">
      <c r="A13" s="6" t="s">
        <v>2452</v>
      </c>
      <c r="B13" s="9" t="s">
        <v>2328</v>
      </c>
      <c r="C13" s="6" t="s">
        <v>68</v>
      </c>
      <c r="D13" s="6"/>
      <c r="E13" s="6" t="s">
        <v>2454</v>
      </c>
      <c r="F13" s="6" t="s">
        <v>2455</v>
      </c>
      <c r="G13" s="6" t="s">
        <v>2453</v>
      </c>
      <c r="H13" s="6" t="s">
        <v>1846</v>
      </c>
      <c r="I13" s="9" t="s">
        <v>1828</v>
      </c>
      <c r="J13" s="9"/>
      <c r="K13" s="6"/>
      <c r="L13" s="9"/>
      <c r="M13" s="52"/>
      <c r="N13" s="9" t="s">
        <v>6132</v>
      </c>
      <c r="O13" s="488" t="s">
        <v>6495</v>
      </c>
      <c r="P13" s="489" t="s">
        <v>6496</v>
      </c>
      <c r="Q13" s="292" t="s">
        <v>1867</v>
      </c>
      <c r="R13" s="52"/>
      <c r="S13" s="52"/>
    </row>
    <row r="14" spans="1:19" ht="38.25">
      <c r="A14" s="6" t="s">
        <v>2456</v>
      </c>
      <c r="B14" s="9" t="s">
        <v>61</v>
      </c>
      <c r="C14" s="6" t="s">
        <v>2457</v>
      </c>
      <c r="D14" s="6"/>
      <c r="E14" s="6" t="s">
        <v>2458</v>
      </c>
      <c r="F14" s="158" t="s">
        <v>2459</v>
      </c>
      <c r="G14" s="8">
        <v>200000</v>
      </c>
      <c r="H14" s="6" t="s">
        <v>2460</v>
      </c>
      <c r="I14" s="9" t="s">
        <v>1855</v>
      </c>
      <c r="J14" s="9" t="s">
        <v>1824</v>
      </c>
      <c r="K14" s="6"/>
      <c r="L14" s="9" t="s">
        <v>2412</v>
      </c>
      <c r="M14" s="52"/>
      <c r="N14" s="9"/>
      <c r="O14" s="490" t="s">
        <v>6497</v>
      </c>
      <c r="P14" s="489" t="s">
        <v>6498</v>
      </c>
      <c r="Q14" s="6" t="s">
        <v>6137</v>
      </c>
      <c r="R14" s="52"/>
      <c r="S14" s="52"/>
    </row>
    <row r="15" spans="1:19" ht="38.25">
      <c r="A15" s="6" t="s">
        <v>1577</v>
      </c>
      <c r="B15" s="9" t="s">
        <v>61</v>
      </c>
      <c r="C15" s="6" t="s">
        <v>1383</v>
      </c>
      <c r="D15" s="6"/>
      <c r="E15" s="6" t="s">
        <v>1578</v>
      </c>
      <c r="F15" s="6" t="s">
        <v>575</v>
      </c>
      <c r="G15" s="8">
        <v>130600</v>
      </c>
      <c r="H15" s="6" t="s">
        <v>1938</v>
      </c>
      <c r="I15" s="9" t="s">
        <v>1828</v>
      </c>
      <c r="J15" s="9" t="s">
        <v>1824</v>
      </c>
      <c r="K15" s="6"/>
      <c r="L15" s="9" t="s">
        <v>82</v>
      </c>
      <c r="M15" s="52"/>
      <c r="N15" s="9"/>
      <c r="O15" s="488" t="s">
        <v>6499</v>
      </c>
      <c r="P15" s="489" t="s">
        <v>6500</v>
      </c>
      <c r="Q15" s="6" t="s">
        <v>6494</v>
      </c>
      <c r="R15" s="52"/>
      <c r="S15" s="52"/>
    </row>
    <row r="16" spans="1:19" ht="28.5" customHeight="1">
      <c r="A16" s="6" t="s">
        <v>2461</v>
      </c>
      <c r="B16" s="9" t="s">
        <v>61</v>
      </c>
      <c r="C16" s="6" t="s">
        <v>1838</v>
      </c>
      <c r="D16" s="158"/>
      <c r="E16" s="158" t="s">
        <v>2462</v>
      </c>
      <c r="F16" s="6" t="s">
        <v>811</v>
      </c>
      <c r="G16" s="8">
        <v>792000</v>
      </c>
      <c r="H16" s="6" t="s">
        <v>1938</v>
      </c>
      <c r="I16" s="9" t="s">
        <v>1828</v>
      </c>
      <c r="J16" s="9" t="s">
        <v>1824</v>
      </c>
      <c r="K16" s="158"/>
      <c r="L16" s="9" t="s">
        <v>6345</v>
      </c>
      <c r="M16" s="52"/>
      <c r="N16" s="9"/>
      <c r="O16" s="488" t="s">
        <v>6501</v>
      </c>
      <c r="P16" s="489" t="s">
        <v>6502</v>
      </c>
      <c r="Q16" s="6" t="s">
        <v>1838</v>
      </c>
      <c r="R16" s="52"/>
      <c r="S16" s="52"/>
    </row>
    <row r="17" spans="1:19" ht="38.25">
      <c r="A17" s="6" t="s">
        <v>806</v>
      </c>
      <c r="B17" s="9" t="s">
        <v>61</v>
      </c>
      <c r="C17" s="6" t="s">
        <v>125</v>
      </c>
      <c r="D17" s="6"/>
      <c r="E17" s="6" t="s">
        <v>807</v>
      </c>
      <c r="F17" s="6" t="s">
        <v>808</v>
      </c>
      <c r="G17" s="8">
        <v>500000</v>
      </c>
      <c r="H17" s="6" t="s">
        <v>1938</v>
      </c>
      <c r="I17" s="9" t="s">
        <v>1828</v>
      </c>
      <c r="J17" s="9" t="s">
        <v>1824</v>
      </c>
      <c r="K17" s="6"/>
      <c r="L17" s="9" t="s">
        <v>2412</v>
      </c>
      <c r="M17" s="52"/>
      <c r="N17" s="9"/>
      <c r="O17" s="488" t="s">
        <v>6503</v>
      </c>
      <c r="P17" s="489" t="s">
        <v>6504</v>
      </c>
      <c r="Q17" s="6" t="s">
        <v>6505</v>
      </c>
      <c r="R17" s="52"/>
      <c r="S17" s="52"/>
    </row>
    <row r="18" spans="1:19" ht="38.25">
      <c r="A18" s="6" t="s">
        <v>1199</v>
      </c>
      <c r="B18" s="9" t="s">
        <v>61</v>
      </c>
      <c r="C18" s="6" t="s">
        <v>62</v>
      </c>
      <c r="D18" s="6"/>
      <c r="E18" s="6" t="s">
        <v>1200</v>
      </c>
      <c r="F18" s="6" t="s">
        <v>2463</v>
      </c>
      <c r="G18" s="64">
        <v>1434349.2</v>
      </c>
      <c r="H18" s="160" t="s">
        <v>2464</v>
      </c>
      <c r="I18" s="9" t="s">
        <v>1886</v>
      </c>
      <c r="J18" s="9" t="s">
        <v>6356</v>
      </c>
      <c r="K18" s="6"/>
      <c r="L18" s="9" t="s">
        <v>1904</v>
      </c>
      <c r="M18" s="9"/>
      <c r="N18" s="9" t="s">
        <v>6132</v>
      </c>
      <c r="O18" s="488" t="s">
        <v>6506</v>
      </c>
      <c r="P18" s="489" t="s">
        <v>6507</v>
      </c>
      <c r="Q18" s="6" t="s">
        <v>6170</v>
      </c>
      <c r="R18" s="52"/>
      <c r="S18" s="52"/>
    </row>
    <row r="19" spans="1:19" ht="34.5" customHeight="1">
      <c r="A19" s="6" t="s">
        <v>2465</v>
      </c>
      <c r="B19" s="9" t="s">
        <v>61</v>
      </c>
      <c r="C19" s="6" t="s">
        <v>2172</v>
      </c>
      <c r="D19" s="6"/>
      <c r="E19" s="6" t="s">
        <v>2466</v>
      </c>
      <c r="F19" s="6" t="s">
        <v>722</v>
      </c>
      <c r="G19" s="8">
        <v>172000</v>
      </c>
      <c r="H19" s="6" t="s">
        <v>2467</v>
      </c>
      <c r="I19" s="9" t="s">
        <v>1899</v>
      </c>
      <c r="J19" s="9" t="s">
        <v>1824</v>
      </c>
      <c r="K19" s="6"/>
      <c r="L19" s="9" t="s">
        <v>82</v>
      </c>
      <c r="M19" s="52"/>
      <c r="N19" s="9"/>
      <c r="O19" s="488" t="s">
        <v>6508</v>
      </c>
      <c r="P19" s="489" t="s">
        <v>6509</v>
      </c>
      <c r="Q19" s="6" t="s">
        <v>6064</v>
      </c>
      <c r="R19" s="52"/>
      <c r="S19" s="52"/>
    </row>
    <row r="20" spans="1:19" ht="25.5">
      <c r="A20" s="6" t="s">
        <v>2468</v>
      </c>
      <c r="B20" s="9" t="s">
        <v>61</v>
      </c>
      <c r="C20" s="6" t="s">
        <v>2172</v>
      </c>
      <c r="D20" s="6"/>
      <c r="E20" s="6" t="s">
        <v>2469</v>
      </c>
      <c r="F20" s="6" t="s">
        <v>1478</v>
      </c>
      <c r="G20" s="8">
        <v>172000</v>
      </c>
      <c r="H20" s="6" t="s">
        <v>1879</v>
      </c>
      <c r="I20" s="9" t="s">
        <v>1879</v>
      </c>
      <c r="J20" s="9" t="s">
        <v>1824</v>
      </c>
      <c r="K20" s="6"/>
      <c r="L20" s="9" t="s">
        <v>82</v>
      </c>
      <c r="M20" s="52"/>
      <c r="N20" s="9"/>
      <c r="O20" s="488" t="s">
        <v>6510</v>
      </c>
      <c r="P20" s="489" t="s">
        <v>6511</v>
      </c>
      <c r="Q20" s="6" t="s">
        <v>6064</v>
      </c>
      <c r="R20" s="52"/>
      <c r="S20" s="52"/>
    </row>
    <row r="21" spans="1:19" ht="30" customHeight="1">
      <c r="A21" s="6" t="s">
        <v>1618</v>
      </c>
      <c r="B21" s="9" t="s">
        <v>61</v>
      </c>
      <c r="C21" s="6" t="s">
        <v>2172</v>
      </c>
      <c r="D21" s="6"/>
      <c r="E21" s="6" t="s">
        <v>2470</v>
      </c>
      <c r="F21" s="6" t="s">
        <v>2471</v>
      </c>
      <c r="G21" s="8">
        <v>172000</v>
      </c>
      <c r="H21" s="6" t="s">
        <v>2472</v>
      </c>
      <c r="I21" s="9" t="s">
        <v>1886</v>
      </c>
      <c r="J21" s="9" t="s">
        <v>1824</v>
      </c>
      <c r="K21" s="6"/>
      <c r="L21" s="9" t="s">
        <v>82</v>
      </c>
      <c r="M21" s="52"/>
      <c r="N21" s="9"/>
      <c r="O21" s="490" t="s">
        <v>6512</v>
      </c>
      <c r="P21" s="489" t="s">
        <v>6513</v>
      </c>
      <c r="Q21" s="6" t="s">
        <v>6064</v>
      </c>
      <c r="R21" s="52"/>
      <c r="S21" s="52"/>
    </row>
    <row r="22" spans="1:19" ht="36" customHeight="1">
      <c r="A22" s="6" t="s">
        <v>1620</v>
      </c>
      <c r="B22" s="9" t="s">
        <v>61</v>
      </c>
      <c r="C22" s="6" t="s">
        <v>2172</v>
      </c>
      <c r="D22" s="6"/>
      <c r="E22" s="6" t="s">
        <v>2473</v>
      </c>
      <c r="F22" s="6" t="s">
        <v>581</v>
      </c>
      <c r="G22" s="8">
        <v>172000</v>
      </c>
      <c r="H22" s="6" t="s">
        <v>2474</v>
      </c>
      <c r="I22" s="9" t="s">
        <v>1916</v>
      </c>
      <c r="J22" s="9" t="s">
        <v>1824</v>
      </c>
      <c r="K22" s="6"/>
      <c r="L22" s="9" t="s">
        <v>82</v>
      </c>
      <c r="M22" s="52"/>
      <c r="N22" s="9"/>
      <c r="O22" s="490" t="s">
        <v>6514</v>
      </c>
      <c r="P22" s="489" t="s">
        <v>6515</v>
      </c>
      <c r="Q22" s="6" t="s">
        <v>6064</v>
      </c>
      <c r="R22" s="52"/>
      <c r="S22" s="52"/>
    </row>
    <row r="23" spans="1:19" ht="31.5" customHeight="1">
      <c r="A23" s="6" t="s">
        <v>823</v>
      </c>
      <c r="B23" s="9" t="s">
        <v>61</v>
      </c>
      <c r="C23" s="6" t="s">
        <v>2172</v>
      </c>
      <c r="D23" s="6"/>
      <c r="E23" s="6" t="s">
        <v>2475</v>
      </c>
      <c r="F23" s="6" t="s">
        <v>956</v>
      </c>
      <c r="G23" s="8">
        <v>172000</v>
      </c>
      <c r="H23" s="6" t="s">
        <v>2476</v>
      </c>
      <c r="I23" s="9" t="s">
        <v>2047</v>
      </c>
      <c r="J23" s="9" t="s">
        <v>1824</v>
      </c>
      <c r="K23" s="6"/>
      <c r="L23" s="9" t="s">
        <v>82</v>
      </c>
      <c r="M23" s="52"/>
      <c r="N23" s="9"/>
      <c r="O23" s="490" t="s">
        <v>6516</v>
      </c>
      <c r="P23" s="489" t="s">
        <v>6517</v>
      </c>
      <c r="Q23" s="6" t="s">
        <v>6064</v>
      </c>
      <c r="R23" s="52"/>
      <c r="S23" s="52"/>
    </row>
    <row r="24" spans="1:19" ht="38.25">
      <c r="A24" s="6" t="s">
        <v>827</v>
      </c>
      <c r="B24" s="9" t="s">
        <v>61</v>
      </c>
      <c r="C24" s="6" t="s">
        <v>62</v>
      </c>
      <c r="D24" s="6"/>
      <c r="E24" s="6" t="s">
        <v>2477</v>
      </c>
      <c r="F24" s="6" t="s">
        <v>2478</v>
      </c>
      <c r="G24" s="64">
        <v>1319221.3999999999</v>
      </c>
      <c r="H24" s="160" t="s">
        <v>2479</v>
      </c>
      <c r="I24" s="9" t="s">
        <v>1899</v>
      </c>
      <c r="J24" s="9" t="s">
        <v>6426</v>
      </c>
      <c r="K24" s="6"/>
      <c r="L24" s="9" t="s">
        <v>1904</v>
      </c>
      <c r="M24" s="9"/>
      <c r="N24" s="9" t="s">
        <v>6132</v>
      </c>
      <c r="O24" s="488" t="s">
        <v>6518</v>
      </c>
      <c r="P24" s="489" t="s">
        <v>6519</v>
      </c>
      <c r="Q24" s="6" t="s">
        <v>6170</v>
      </c>
      <c r="R24" s="52"/>
      <c r="S24" s="52"/>
    </row>
    <row r="25" spans="1:19" ht="37.5" customHeight="1">
      <c r="A25" s="6" t="s">
        <v>1626</v>
      </c>
      <c r="B25" s="9" t="s">
        <v>2328</v>
      </c>
      <c r="C25" s="6" t="s">
        <v>62</v>
      </c>
      <c r="D25" s="6"/>
      <c r="E25" s="6" t="s">
        <v>2480</v>
      </c>
      <c r="F25" s="6" t="s">
        <v>2481</v>
      </c>
      <c r="G25" s="6" t="s">
        <v>2453</v>
      </c>
      <c r="H25" s="6" t="s">
        <v>1827</v>
      </c>
      <c r="I25" s="9" t="s">
        <v>1828</v>
      </c>
      <c r="J25" s="9" t="s">
        <v>1824</v>
      </c>
      <c r="K25" s="6"/>
      <c r="L25" s="9"/>
      <c r="M25" s="52"/>
      <c r="N25" s="9" t="s">
        <v>6132</v>
      </c>
      <c r="O25" s="488" t="s">
        <v>6520</v>
      </c>
      <c r="P25" s="489" t="s">
        <v>6521</v>
      </c>
      <c r="Q25" s="292" t="s">
        <v>1867</v>
      </c>
      <c r="R25" s="52"/>
      <c r="S25" s="52"/>
    </row>
    <row r="26" spans="1:19" ht="35.25" customHeight="1">
      <c r="A26" s="6" t="s">
        <v>1628</v>
      </c>
      <c r="B26" s="9" t="s">
        <v>2328</v>
      </c>
      <c r="C26" s="6"/>
      <c r="D26" s="6"/>
      <c r="E26" s="6" t="s">
        <v>2482</v>
      </c>
      <c r="F26" s="6" t="s">
        <v>2483</v>
      </c>
      <c r="G26" s="6" t="s">
        <v>2453</v>
      </c>
      <c r="H26" s="6" t="s">
        <v>1827</v>
      </c>
      <c r="I26" s="9" t="s">
        <v>1828</v>
      </c>
      <c r="J26" s="9" t="s">
        <v>1824</v>
      </c>
      <c r="K26" s="6"/>
      <c r="L26" s="9"/>
      <c r="M26" s="52"/>
      <c r="N26" s="9"/>
      <c r="O26" s="490" t="s">
        <v>6522</v>
      </c>
      <c r="P26" s="489" t="s">
        <v>6523</v>
      </c>
      <c r="Q26" s="292" t="s">
        <v>1867</v>
      </c>
      <c r="R26" s="52"/>
      <c r="S26" s="52"/>
    </row>
    <row r="27" spans="1:19" ht="33" customHeight="1">
      <c r="A27" s="6" t="s">
        <v>1630</v>
      </c>
      <c r="B27" s="9" t="s">
        <v>2328</v>
      </c>
      <c r="C27" s="6" t="s">
        <v>62</v>
      </c>
      <c r="D27" s="6"/>
      <c r="E27" s="6" t="s">
        <v>2484</v>
      </c>
      <c r="F27" s="6" t="s">
        <v>2483</v>
      </c>
      <c r="G27" s="6" t="s">
        <v>2453</v>
      </c>
      <c r="H27" s="6" t="s">
        <v>1827</v>
      </c>
      <c r="I27" s="9" t="s">
        <v>1828</v>
      </c>
      <c r="J27" s="9" t="s">
        <v>1824</v>
      </c>
      <c r="K27" s="6"/>
      <c r="L27" s="9"/>
      <c r="M27" s="52"/>
      <c r="N27" s="9"/>
      <c r="O27" s="488" t="s">
        <v>6524</v>
      </c>
      <c r="P27" s="489" t="s">
        <v>6525</v>
      </c>
      <c r="Q27" s="292" t="s">
        <v>1867</v>
      </c>
      <c r="R27" s="52"/>
      <c r="S27" s="52"/>
    </row>
    <row r="28" spans="1:19" ht="34.5" customHeight="1">
      <c r="A28" s="6" t="s">
        <v>1633</v>
      </c>
      <c r="B28" s="9" t="s">
        <v>2328</v>
      </c>
      <c r="C28" s="6"/>
      <c r="D28" s="6"/>
      <c r="E28" s="6" t="s">
        <v>2485</v>
      </c>
      <c r="F28" s="6" t="s">
        <v>2486</v>
      </c>
      <c r="G28" s="6" t="s">
        <v>2453</v>
      </c>
      <c r="H28" s="6" t="s">
        <v>1827</v>
      </c>
      <c r="I28" s="9" t="s">
        <v>1828</v>
      </c>
      <c r="J28" s="9" t="s">
        <v>1824</v>
      </c>
      <c r="K28" s="6"/>
      <c r="L28" s="9"/>
      <c r="M28" s="52"/>
      <c r="N28" s="9"/>
      <c r="O28" s="488" t="s">
        <v>6526</v>
      </c>
      <c r="P28" s="489" t="s">
        <v>6527</v>
      </c>
      <c r="Q28" s="292" t="s">
        <v>1867</v>
      </c>
      <c r="R28" s="52"/>
      <c r="S28" s="52"/>
    </row>
    <row r="29" spans="1:19" ht="25.5">
      <c r="A29" s="6" t="s">
        <v>830</v>
      </c>
      <c r="B29" s="9" t="s">
        <v>2328</v>
      </c>
      <c r="C29" s="6" t="s">
        <v>62</v>
      </c>
      <c r="D29" s="6"/>
      <c r="E29" s="6" t="s">
        <v>2487</v>
      </c>
      <c r="F29" s="6" t="s">
        <v>2488</v>
      </c>
      <c r="G29" s="6" t="s">
        <v>2453</v>
      </c>
      <c r="H29" s="6" t="s">
        <v>1827</v>
      </c>
      <c r="I29" s="9" t="s">
        <v>1828</v>
      </c>
      <c r="J29" s="9" t="s">
        <v>1824</v>
      </c>
      <c r="K29" s="6"/>
      <c r="L29" s="9"/>
      <c r="M29" s="52"/>
      <c r="N29" s="9"/>
      <c r="O29" s="488" t="s">
        <v>6528</v>
      </c>
      <c r="P29" s="489" t="s">
        <v>6529</v>
      </c>
      <c r="Q29" s="292" t="s">
        <v>1867</v>
      </c>
      <c r="R29" s="52"/>
      <c r="S29" s="52"/>
    </row>
    <row r="30" spans="1:19" ht="27" customHeight="1">
      <c r="A30" s="6" t="s">
        <v>1635</v>
      </c>
      <c r="B30" s="9" t="s">
        <v>2328</v>
      </c>
      <c r="C30" s="6"/>
      <c r="D30" s="6"/>
      <c r="E30" s="6" t="s">
        <v>2489</v>
      </c>
      <c r="F30" s="6" t="s">
        <v>2490</v>
      </c>
      <c r="G30" s="6" t="s">
        <v>2453</v>
      </c>
      <c r="H30" s="6" t="s">
        <v>1827</v>
      </c>
      <c r="I30" s="9" t="s">
        <v>1828</v>
      </c>
      <c r="J30" s="9" t="s">
        <v>1824</v>
      </c>
      <c r="K30" s="6"/>
      <c r="L30" s="9"/>
      <c r="M30" s="52"/>
      <c r="N30" s="9"/>
      <c r="O30" s="488" t="s">
        <v>6530</v>
      </c>
      <c r="P30" s="489" t="s">
        <v>6531</v>
      </c>
      <c r="Q30" s="292" t="s">
        <v>1867</v>
      </c>
      <c r="R30" s="52"/>
      <c r="S30" s="52"/>
    </row>
    <row r="31" spans="1:19" ht="31.5" customHeight="1">
      <c r="A31" s="6" t="s">
        <v>1637</v>
      </c>
      <c r="B31" s="9" t="s">
        <v>2328</v>
      </c>
      <c r="C31" s="6"/>
      <c r="D31" s="6"/>
      <c r="E31" s="6" t="s">
        <v>2491</v>
      </c>
      <c r="F31" s="6" t="s">
        <v>2492</v>
      </c>
      <c r="G31" s="6" t="s">
        <v>2453</v>
      </c>
      <c r="H31" s="6" t="s">
        <v>1827</v>
      </c>
      <c r="I31" s="9" t="s">
        <v>1828</v>
      </c>
      <c r="J31" s="9" t="s">
        <v>1824</v>
      </c>
      <c r="K31" s="6"/>
      <c r="L31" s="9"/>
      <c r="M31" s="52"/>
      <c r="N31" s="9"/>
      <c r="O31" s="488" t="s">
        <v>6532</v>
      </c>
      <c r="P31" s="489" t="s">
        <v>6533</v>
      </c>
      <c r="Q31" s="292" t="s">
        <v>1867</v>
      </c>
      <c r="R31" s="52"/>
      <c r="S31" s="52"/>
    </row>
    <row r="32" spans="1:19" ht="37.5" customHeight="1">
      <c r="A32" s="6" t="s">
        <v>1639</v>
      </c>
      <c r="B32" s="9" t="s">
        <v>2328</v>
      </c>
      <c r="C32" s="6"/>
      <c r="D32" s="6"/>
      <c r="E32" s="6" t="s">
        <v>2493</v>
      </c>
      <c r="F32" s="6" t="s">
        <v>2494</v>
      </c>
      <c r="G32" s="6" t="s">
        <v>2453</v>
      </c>
      <c r="H32" s="6" t="s">
        <v>1827</v>
      </c>
      <c r="I32" s="9" t="s">
        <v>1828</v>
      </c>
      <c r="J32" s="9" t="s">
        <v>1824</v>
      </c>
      <c r="K32" s="6"/>
      <c r="L32" s="9"/>
      <c r="M32" s="52"/>
      <c r="N32" s="9" t="s">
        <v>6132</v>
      </c>
      <c r="O32" s="490" t="s">
        <v>6534</v>
      </c>
      <c r="P32" s="489" t="s">
        <v>6535</v>
      </c>
      <c r="Q32" s="292" t="s">
        <v>1867</v>
      </c>
      <c r="R32" s="52"/>
      <c r="S32" s="52"/>
    </row>
    <row r="33" spans="1:19" ht="27.75" customHeight="1">
      <c r="A33" s="6" t="s">
        <v>1642</v>
      </c>
      <c r="B33" s="9" t="s">
        <v>2328</v>
      </c>
      <c r="C33" s="6" t="s">
        <v>652</v>
      </c>
      <c r="D33" s="6"/>
      <c r="E33" s="6" t="s">
        <v>2495</v>
      </c>
      <c r="F33" s="6" t="s">
        <v>2496</v>
      </c>
      <c r="G33" s="6" t="s">
        <v>2453</v>
      </c>
      <c r="H33" s="6" t="s">
        <v>1827</v>
      </c>
      <c r="I33" s="9" t="s">
        <v>1828</v>
      </c>
      <c r="J33" s="9" t="s">
        <v>1824</v>
      </c>
      <c r="K33" s="6"/>
      <c r="L33" s="9"/>
      <c r="M33" s="52"/>
      <c r="N33" s="9" t="s">
        <v>6132</v>
      </c>
      <c r="O33" s="488" t="s">
        <v>6536</v>
      </c>
      <c r="P33" s="489" t="s">
        <v>6537</v>
      </c>
      <c r="Q33" s="292" t="s">
        <v>1867</v>
      </c>
      <c r="R33" s="52"/>
      <c r="S33" s="52"/>
    </row>
    <row r="34" spans="1:19" ht="42" customHeight="1">
      <c r="A34" s="6" t="s">
        <v>1643</v>
      </c>
      <c r="B34" s="9" t="s">
        <v>2328</v>
      </c>
      <c r="C34" s="6"/>
      <c r="D34" s="6"/>
      <c r="E34" s="6" t="s">
        <v>2497</v>
      </c>
      <c r="F34" s="6" t="s">
        <v>2498</v>
      </c>
      <c r="G34" s="6" t="s">
        <v>2453</v>
      </c>
      <c r="H34" s="6" t="s">
        <v>1827</v>
      </c>
      <c r="I34" s="9" t="s">
        <v>1828</v>
      </c>
      <c r="J34" s="9" t="s">
        <v>1824</v>
      </c>
      <c r="K34" s="6"/>
      <c r="L34" s="9"/>
      <c r="M34" s="52"/>
      <c r="N34" s="9" t="s">
        <v>6132</v>
      </c>
      <c r="O34" s="488" t="s">
        <v>6538</v>
      </c>
      <c r="P34" s="489" t="s">
        <v>6539</v>
      </c>
      <c r="Q34" s="292" t="s">
        <v>1867</v>
      </c>
      <c r="R34" s="52"/>
      <c r="S34" s="52"/>
    </row>
    <row r="35" spans="1:19" ht="31.5" customHeight="1">
      <c r="A35" s="6" t="s">
        <v>809</v>
      </c>
      <c r="B35" s="9" t="s">
        <v>61</v>
      </c>
      <c r="C35" s="6" t="s">
        <v>113</v>
      </c>
      <c r="D35" s="6"/>
      <c r="E35" s="6" t="s">
        <v>2499</v>
      </c>
      <c r="F35" s="6" t="s">
        <v>811</v>
      </c>
      <c r="G35" s="8">
        <v>182200</v>
      </c>
      <c r="H35" s="6" t="s">
        <v>1938</v>
      </c>
      <c r="I35" s="9" t="s">
        <v>1828</v>
      </c>
      <c r="J35" s="9" t="s">
        <v>1824</v>
      </c>
      <c r="K35" s="6"/>
      <c r="L35" s="9" t="s">
        <v>1853</v>
      </c>
      <c r="M35" s="52"/>
      <c r="N35" s="9"/>
      <c r="O35" s="490" t="s">
        <v>6540</v>
      </c>
      <c r="P35" s="489" t="s">
        <v>6541</v>
      </c>
      <c r="Q35" s="6" t="s">
        <v>6064</v>
      </c>
      <c r="R35" s="52"/>
      <c r="S35" s="52"/>
    </row>
    <row r="36" spans="1:19" ht="63.75">
      <c r="A36" s="6" t="s">
        <v>1204</v>
      </c>
      <c r="B36" s="9" t="s">
        <v>61</v>
      </c>
      <c r="C36" s="6" t="s">
        <v>1141</v>
      </c>
      <c r="D36" s="6"/>
      <c r="E36" s="6" t="s">
        <v>1205</v>
      </c>
      <c r="F36" s="6" t="s">
        <v>1206</v>
      </c>
      <c r="G36" s="151">
        <v>126407.57</v>
      </c>
      <c r="H36" s="6" t="s">
        <v>2500</v>
      </c>
      <c r="I36" s="9" t="s">
        <v>1916</v>
      </c>
      <c r="J36" s="9" t="s">
        <v>6373</v>
      </c>
      <c r="K36" s="6"/>
      <c r="L36" s="9" t="s">
        <v>1904</v>
      </c>
      <c r="M36" s="9"/>
      <c r="N36" s="9"/>
      <c r="O36" s="490" t="s">
        <v>6542</v>
      </c>
      <c r="P36" s="489" t="s">
        <v>6543</v>
      </c>
      <c r="Q36" s="6" t="s">
        <v>6137</v>
      </c>
      <c r="R36" s="6" t="s">
        <v>6544</v>
      </c>
      <c r="S36" s="52"/>
    </row>
    <row r="37" spans="1:19" ht="52.5" customHeight="1">
      <c r="A37" s="6" t="s">
        <v>812</v>
      </c>
      <c r="B37" s="9" t="s">
        <v>61</v>
      </c>
      <c r="C37" s="6" t="s">
        <v>68</v>
      </c>
      <c r="D37" s="6"/>
      <c r="E37" s="6" t="s">
        <v>813</v>
      </c>
      <c r="F37" s="6" t="s">
        <v>2501</v>
      </c>
      <c r="G37" s="8">
        <v>199388</v>
      </c>
      <c r="H37" s="160" t="s">
        <v>2502</v>
      </c>
      <c r="I37" s="9" t="s">
        <v>2051</v>
      </c>
      <c r="J37" s="9" t="s">
        <v>2144</v>
      </c>
      <c r="K37" s="6"/>
      <c r="L37" s="9" t="s">
        <v>1874</v>
      </c>
      <c r="M37" s="52"/>
      <c r="N37" s="9" t="s">
        <v>6132</v>
      </c>
      <c r="O37" s="488" t="s">
        <v>6545</v>
      </c>
      <c r="P37" s="489" t="s">
        <v>6546</v>
      </c>
      <c r="Q37" s="6" t="s">
        <v>6092</v>
      </c>
      <c r="R37" s="52"/>
      <c r="S37" s="52"/>
    </row>
    <row r="38" spans="1:19" ht="48" customHeight="1">
      <c r="A38" s="6" t="s">
        <v>815</v>
      </c>
      <c r="B38" s="9" t="s">
        <v>61</v>
      </c>
      <c r="C38" s="6" t="s">
        <v>652</v>
      </c>
      <c r="D38" s="6"/>
      <c r="E38" s="6" t="s">
        <v>816</v>
      </c>
      <c r="F38" s="6" t="s">
        <v>2503</v>
      </c>
      <c r="G38" s="8">
        <v>146362</v>
      </c>
      <c r="H38" s="160" t="s">
        <v>2504</v>
      </c>
      <c r="I38" s="9" t="s">
        <v>1828</v>
      </c>
      <c r="J38" s="9" t="s">
        <v>2144</v>
      </c>
      <c r="K38" s="6"/>
      <c r="L38" s="9" t="s">
        <v>1874</v>
      </c>
      <c r="M38" s="52"/>
      <c r="N38" s="9" t="s">
        <v>6132</v>
      </c>
      <c r="O38" s="488" t="s">
        <v>6547</v>
      </c>
      <c r="P38" s="489" t="s">
        <v>6548</v>
      </c>
      <c r="Q38" s="6" t="s">
        <v>6140</v>
      </c>
      <c r="R38" s="52"/>
      <c r="S38" s="52"/>
    </row>
    <row r="39" spans="1:19" ht="38.25">
      <c r="A39" s="6" t="s">
        <v>847</v>
      </c>
      <c r="B39" s="9" t="s">
        <v>2328</v>
      </c>
      <c r="C39" s="6"/>
      <c r="D39" s="6"/>
      <c r="E39" s="6" t="s">
        <v>2505</v>
      </c>
      <c r="F39" s="6" t="s">
        <v>2506</v>
      </c>
      <c r="G39" s="6"/>
      <c r="H39" s="6" t="s">
        <v>2507</v>
      </c>
      <c r="I39" s="9" t="s">
        <v>1828</v>
      </c>
      <c r="J39" s="9"/>
      <c r="K39" s="6"/>
      <c r="L39" s="9"/>
      <c r="M39" s="52"/>
      <c r="N39" s="9"/>
      <c r="O39" s="488" t="s">
        <v>6549</v>
      </c>
      <c r="P39" s="489" t="s">
        <v>6550</v>
      </c>
      <c r="Q39" s="292" t="s">
        <v>1867</v>
      </c>
      <c r="R39" s="52"/>
      <c r="S39" s="52"/>
    </row>
    <row r="40" spans="1:19" ht="38.25">
      <c r="A40" s="6" t="s">
        <v>850</v>
      </c>
      <c r="B40" s="9" t="s">
        <v>61</v>
      </c>
      <c r="C40" s="6" t="s">
        <v>1383</v>
      </c>
      <c r="D40" s="6"/>
      <c r="E40" s="6" t="s">
        <v>1579</v>
      </c>
      <c r="F40" s="6" t="s">
        <v>1580</v>
      </c>
      <c r="G40" s="8">
        <v>500000</v>
      </c>
      <c r="H40" s="6" t="s">
        <v>722</v>
      </c>
      <c r="I40" s="9" t="s">
        <v>1899</v>
      </c>
      <c r="J40" s="9" t="s">
        <v>1824</v>
      </c>
      <c r="K40" s="6"/>
      <c r="L40" s="9" t="s">
        <v>82</v>
      </c>
      <c r="M40" s="52"/>
      <c r="N40" s="9" t="s">
        <v>6132</v>
      </c>
      <c r="O40" s="490" t="s">
        <v>6551</v>
      </c>
      <c r="P40" s="489" t="s">
        <v>6552</v>
      </c>
      <c r="Q40" s="6" t="s">
        <v>6064</v>
      </c>
      <c r="R40" s="52"/>
      <c r="S40" s="52"/>
    </row>
    <row r="41" spans="1:19" ht="35.25" customHeight="1">
      <c r="A41" s="6" t="s">
        <v>1581</v>
      </c>
      <c r="B41" s="9" t="s">
        <v>61</v>
      </c>
      <c r="C41" s="6" t="s">
        <v>1383</v>
      </c>
      <c r="D41" s="6"/>
      <c r="E41" s="6" t="s">
        <v>1582</v>
      </c>
      <c r="F41" s="6" t="s">
        <v>1505</v>
      </c>
      <c r="G41" s="8">
        <v>500000</v>
      </c>
      <c r="H41" s="6" t="s">
        <v>2508</v>
      </c>
      <c r="I41" s="9" t="s">
        <v>1828</v>
      </c>
      <c r="J41" s="9" t="s">
        <v>1824</v>
      </c>
      <c r="K41" s="6"/>
      <c r="L41" s="9" t="s">
        <v>82</v>
      </c>
      <c r="M41" s="52"/>
      <c r="N41" s="9"/>
      <c r="O41" s="488" t="s">
        <v>6553</v>
      </c>
      <c r="P41" s="489" t="s">
        <v>6554</v>
      </c>
      <c r="Q41" s="6" t="s">
        <v>6064</v>
      </c>
      <c r="R41" s="52"/>
      <c r="S41" s="52"/>
    </row>
    <row r="42" spans="1:19" ht="30" customHeight="1">
      <c r="A42" s="6" t="s">
        <v>1648</v>
      </c>
      <c r="B42" s="9" t="s">
        <v>2328</v>
      </c>
      <c r="C42" s="6"/>
      <c r="D42" s="6"/>
      <c r="E42" s="6" t="s">
        <v>2509</v>
      </c>
      <c r="F42" s="6" t="s">
        <v>2510</v>
      </c>
      <c r="G42" s="6"/>
      <c r="H42" s="6" t="s">
        <v>2508</v>
      </c>
      <c r="I42" s="9" t="s">
        <v>1828</v>
      </c>
      <c r="J42" s="9" t="s">
        <v>1824</v>
      </c>
      <c r="K42" s="6"/>
      <c r="L42" s="9"/>
      <c r="M42" s="52"/>
      <c r="N42" s="9" t="s">
        <v>6132</v>
      </c>
      <c r="O42" s="488" t="s">
        <v>6555</v>
      </c>
      <c r="P42" s="489" t="s">
        <v>6556</v>
      </c>
      <c r="Q42" s="292" t="s">
        <v>1867</v>
      </c>
      <c r="R42" s="52"/>
      <c r="S42" s="52"/>
    </row>
    <row r="43" spans="1:19" ht="38.25">
      <c r="A43" s="6" t="s">
        <v>60</v>
      </c>
      <c r="B43" s="9" t="s">
        <v>61</v>
      </c>
      <c r="C43" s="6" t="s">
        <v>62</v>
      </c>
      <c r="D43" s="6"/>
      <c r="E43" s="6" t="s">
        <v>63</v>
      </c>
      <c r="F43" s="6" t="s">
        <v>2511</v>
      </c>
      <c r="G43" s="64">
        <v>3792164.92</v>
      </c>
      <c r="H43" s="160" t="s">
        <v>2512</v>
      </c>
      <c r="I43" s="9" t="s">
        <v>1828</v>
      </c>
      <c r="J43" s="9" t="s">
        <v>6426</v>
      </c>
      <c r="K43" s="6"/>
      <c r="L43" s="9" t="s">
        <v>1904</v>
      </c>
      <c r="M43" s="9"/>
      <c r="N43" s="9" t="s">
        <v>6132</v>
      </c>
      <c r="O43" s="488" t="s">
        <v>6557</v>
      </c>
      <c r="P43" s="489" t="s">
        <v>6558</v>
      </c>
      <c r="Q43" s="6" t="s">
        <v>6140</v>
      </c>
      <c r="R43" s="52"/>
      <c r="S43" s="52"/>
    </row>
    <row r="44" spans="1:19" ht="38.25">
      <c r="A44" s="6" t="s">
        <v>1207</v>
      </c>
      <c r="B44" s="9" t="s">
        <v>61</v>
      </c>
      <c r="C44" s="6" t="s">
        <v>62</v>
      </c>
      <c r="D44" s="6"/>
      <c r="E44" s="6" t="s">
        <v>1208</v>
      </c>
      <c r="F44" s="6" t="s">
        <v>2514</v>
      </c>
      <c r="G44" s="64">
        <v>819000</v>
      </c>
      <c r="H44" s="160" t="s">
        <v>2515</v>
      </c>
      <c r="I44" s="9" t="s">
        <v>1828</v>
      </c>
      <c r="J44" s="9" t="s">
        <v>6426</v>
      </c>
      <c r="K44" s="6"/>
      <c r="L44" s="9" t="s">
        <v>1904</v>
      </c>
      <c r="M44" s="9"/>
      <c r="N44" s="9" t="s">
        <v>6132</v>
      </c>
      <c r="O44" s="488" t="s">
        <v>6559</v>
      </c>
      <c r="P44" s="489" t="s">
        <v>6560</v>
      </c>
      <c r="Q44" s="6" t="s">
        <v>6217</v>
      </c>
      <c r="R44" s="52"/>
      <c r="S44" s="52"/>
    </row>
    <row r="45" spans="1:19" ht="38.25">
      <c r="A45" s="6" t="s">
        <v>1210</v>
      </c>
      <c r="B45" s="9" t="s">
        <v>61</v>
      </c>
      <c r="C45" s="6" t="s">
        <v>62</v>
      </c>
      <c r="D45" s="6"/>
      <c r="E45" s="6" t="s">
        <v>1211</v>
      </c>
      <c r="F45" s="6" t="s">
        <v>2516</v>
      </c>
      <c r="G45" s="64">
        <v>950981.8</v>
      </c>
      <c r="H45" s="160" t="s">
        <v>2517</v>
      </c>
      <c r="I45" s="9" t="s">
        <v>1828</v>
      </c>
      <c r="J45" s="9" t="s">
        <v>6426</v>
      </c>
      <c r="K45" s="6"/>
      <c r="L45" s="9" t="s">
        <v>1904</v>
      </c>
      <c r="M45" s="9"/>
      <c r="N45" s="9" t="s">
        <v>6179</v>
      </c>
      <c r="O45" s="488" t="s">
        <v>6561</v>
      </c>
      <c r="P45" s="489" t="s">
        <v>6562</v>
      </c>
      <c r="Q45" s="6" t="s">
        <v>6170</v>
      </c>
      <c r="R45" s="52"/>
      <c r="S45" s="52"/>
    </row>
    <row r="46" spans="1:19" ht="38.25">
      <c r="A46" s="6" t="s">
        <v>818</v>
      </c>
      <c r="B46" s="9" t="s">
        <v>61</v>
      </c>
      <c r="C46" s="6" t="s">
        <v>394</v>
      </c>
      <c r="D46" s="6"/>
      <c r="E46" s="6" t="s">
        <v>819</v>
      </c>
      <c r="F46" s="6" t="s">
        <v>820</v>
      </c>
      <c r="G46" s="6"/>
      <c r="H46" s="166" t="s">
        <v>2518</v>
      </c>
      <c r="I46" s="9" t="s">
        <v>1886</v>
      </c>
      <c r="J46" s="9" t="s">
        <v>1824</v>
      </c>
      <c r="K46" s="6"/>
      <c r="L46" s="9" t="s">
        <v>1853</v>
      </c>
      <c r="M46" s="52"/>
      <c r="N46" s="9"/>
      <c r="O46" s="488" t="s">
        <v>6563</v>
      </c>
      <c r="P46" s="489" t="s">
        <v>6564</v>
      </c>
      <c r="Q46" s="6" t="s">
        <v>6071</v>
      </c>
      <c r="R46" s="52"/>
      <c r="S46" s="52"/>
    </row>
    <row r="47" spans="1:19" ht="63.75">
      <c r="A47" s="167" t="s">
        <v>2519</v>
      </c>
      <c r="B47" s="9" t="s">
        <v>1823</v>
      </c>
      <c r="C47" s="6" t="s">
        <v>2520</v>
      </c>
      <c r="D47" s="6"/>
      <c r="E47" s="6" t="s">
        <v>2521</v>
      </c>
      <c r="F47" s="6" t="s">
        <v>2412</v>
      </c>
      <c r="G47" s="6" t="s">
        <v>22</v>
      </c>
      <c r="H47" s="6" t="s">
        <v>575</v>
      </c>
      <c r="I47" s="9" t="s">
        <v>1828</v>
      </c>
      <c r="J47" s="9"/>
      <c r="K47" s="6" t="s">
        <v>2522</v>
      </c>
      <c r="L47" s="9"/>
      <c r="M47" s="52"/>
      <c r="N47" s="9" t="s">
        <v>22</v>
      </c>
      <c r="O47" s="9"/>
      <c r="P47" s="489" t="s">
        <v>6565</v>
      </c>
      <c r="Q47" s="6" t="s">
        <v>6064</v>
      </c>
      <c r="R47" s="52"/>
      <c r="S47" s="52"/>
    </row>
    <row r="48" spans="1:19" ht="89.25" customHeight="1">
      <c r="A48" s="6" t="s">
        <v>2523</v>
      </c>
      <c r="B48" s="9" t="s">
        <v>1823</v>
      </c>
      <c r="C48" s="6" t="s">
        <v>2524</v>
      </c>
      <c r="D48" s="6"/>
      <c r="E48" s="6" t="s">
        <v>2525</v>
      </c>
      <c r="F48" s="6" t="s">
        <v>1231</v>
      </c>
      <c r="G48" s="6" t="s">
        <v>22</v>
      </c>
      <c r="H48" s="6" t="s">
        <v>575</v>
      </c>
      <c r="I48" s="9" t="s">
        <v>1828</v>
      </c>
      <c r="J48" s="9"/>
      <c r="K48" s="6" t="s">
        <v>2526</v>
      </c>
      <c r="L48" s="9"/>
      <c r="M48" s="52"/>
      <c r="N48" s="9" t="s">
        <v>22</v>
      </c>
      <c r="O48" s="9"/>
      <c r="P48" s="489" t="s">
        <v>6565</v>
      </c>
      <c r="Q48" s="6" t="s">
        <v>6064</v>
      </c>
      <c r="R48" s="52"/>
      <c r="S48" s="52"/>
    </row>
    <row r="49" spans="1:19" ht="51">
      <c r="A49" s="6" t="s">
        <v>2527</v>
      </c>
      <c r="B49" s="9" t="s">
        <v>1823</v>
      </c>
      <c r="C49" s="6" t="s">
        <v>2524</v>
      </c>
      <c r="D49" s="6"/>
      <c r="E49" s="6" t="s">
        <v>2528</v>
      </c>
      <c r="F49" s="6" t="s">
        <v>2412</v>
      </c>
      <c r="G49" s="6" t="s">
        <v>22</v>
      </c>
      <c r="H49" s="6" t="s">
        <v>575</v>
      </c>
      <c r="I49" s="9" t="s">
        <v>1828</v>
      </c>
      <c r="J49" s="9"/>
      <c r="K49" s="6" t="s">
        <v>2529</v>
      </c>
      <c r="L49" s="9"/>
      <c r="M49" s="52"/>
      <c r="N49" s="9" t="s">
        <v>22</v>
      </c>
      <c r="O49" s="9"/>
      <c r="P49" s="489" t="s">
        <v>6566</v>
      </c>
      <c r="Q49" s="6" t="s">
        <v>6064</v>
      </c>
      <c r="R49" s="52"/>
      <c r="S49" s="52"/>
    </row>
    <row r="50" spans="1:19" ht="38.25">
      <c r="A50" s="6" t="s">
        <v>2530</v>
      </c>
      <c r="B50" s="9" t="s">
        <v>1823</v>
      </c>
      <c r="C50" s="6" t="s">
        <v>2524</v>
      </c>
      <c r="D50" s="6"/>
      <c r="E50" s="6" t="s">
        <v>2531</v>
      </c>
      <c r="F50" s="6" t="s">
        <v>2412</v>
      </c>
      <c r="G50" s="6" t="s">
        <v>22</v>
      </c>
      <c r="H50" s="6" t="s">
        <v>575</v>
      </c>
      <c r="I50" s="9" t="s">
        <v>1828</v>
      </c>
      <c r="J50" s="9"/>
      <c r="K50" s="6" t="s">
        <v>2532</v>
      </c>
      <c r="L50" s="9"/>
      <c r="M50" s="52"/>
      <c r="N50" s="9" t="s">
        <v>22</v>
      </c>
      <c r="O50" s="9"/>
      <c r="P50" s="489" t="s">
        <v>6567</v>
      </c>
      <c r="Q50" s="6" t="s">
        <v>6064</v>
      </c>
      <c r="R50" s="52"/>
      <c r="S50" s="52"/>
    </row>
    <row r="51" spans="1:19" ht="95.25" customHeight="1">
      <c r="A51" s="6" t="s">
        <v>2533</v>
      </c>
      <c r="B51" s="9" t="s">
        <v>1823</v>
      </c>
      <c r="C51" s="6" t="s">
        <v>2524</v>
      </c>
      <c r="D51" s="6"/>
      <c r="E51" s="6" t="s">
        <v>2534</v>
      </c>
      <c r="F51" s="6" t="s">
        <v>1231</v>
      </c>
      <c r="G51" s="6" t="s">
        <v>22</v>
      </c>
      <c r="H51" s="6" t="s">
        <v>575</v>
      </c>
      <c r="I51" s="9" t="s">
        <v>1828</v>
      </c>
      <c r="J51" s="9"/>
      <c r="K51" s="6" t="s">
        <v>2535</v>
      </c>
      <c r="L51" s="9"/>
      <c r="M51" s="52"/>
      <c r="N51" s="9" t="s">
        <v>22</v>
      </c>
      <c r="O51" s="9"/>
      <c r="P51" s="489" t="s">
        <v>6568</v>
      </c>
      <c r="Q51" s="6" t="s">
        <v>6064</v>
      </c>
      <c r="R51" s="52"/>
      <c r="S51" s="52"/>
    </row>
    <row r="52" spans="1:19" ht="63.75" customHeight="1">
      <c r="A52" s="6" t="s">
        <v>2536</v>
      </c>
      <c r="B52" s="9" t="s">
        <v>1823</v>
      </c>
      <c r="C52" s="6" t="s">
        <v>2524</v>
      </c>
      <c r="D52" s="6"/>
      <c r="E52" s="6" t="s">
        <v>2537</v>
      </c>
      <c r="F52" s="6" t="s">
        <v>611</v>
      </c>
      <c r="G52" s="6" t="s">
        <v>22</v>
      </c>
      <c r="H52" s="6" t="s">
        <v>575</v>
      </c>
      <c r="I52" s="9" t="s">
        <v>1828</v>
      </c>
      <c r="J52" s="9"/>
      <c r="K52" s="6" t="s">
        <v>2538</v>
      </c>
      <c r="L52" s="9"/>
      <c r="M52" s="52"/>
      <c r="N52" s="9" t="s">
        <v>22</v>
      </c>
      <c r="O52" s="9"/>
      <c r="P52" s="489" t="s">
        <v>6569</v>
      </c>
      <c r="Q52" s="6" t="s">
        <v>6064</v>
      </c>
      <c r="R52" s="52"/>
      <c r="S52" s="52"/>
    </row>
    <row r="53" spans="1:19" ht="127.5">
      <c r="A53" s="6" t="s">
        <v>2539</v>
      </c>
      <c r="B53" s="9" t="s">
        <v>1823</v>
      </c>
      <c r="C53" s="6" t="s">
        <v>2524</v>
      </c>
      <c r="D53" s="6"/>
      <c r="E53" s="6" t="s">
        <v>2540</v>
      </c>
      <c r="F53" s="6" t="s">
        <v>611</v>
      </c>
      <c r="G53" s="6" t="s">
        <v>22</v>
      </c>
      <c r="H53" s="6" t="s">
        <v>575</v>
      </c>
      <c r="I53" s="9" t="s">
        <v>1828</v>
      </c>
      <c r="J53" s="9"/>
      <c r="K53" s="6" t="s">
        <v>2541</v>
      </c>
      <c r="L53" s="9"/>
      <c r="M53" s="52"/>
      <c r="N53" s="9" t="s">
        <v>22</v>
      </c>
      <c r="O53" s="9"/>
      <c r="P53" s="489" t="s">
        <v>6570</v>
      </c>
      <c r="Q53" s="6" t="s">
        <v>6064</v>
      </c>
      <c r="R53" s="52"/>
      <c r="S53" s="52"/>
    </row>
    <row r="54" spans="1:19" ht="51">
      <c r="A54" s="6" t="s">
        <v>1583</v>
      </c>
      <c r="B54" s="9" t="s">
        <v>61</v>
      </c>
      <c r="C54" s="6" t="s">
        <v>1383</v>
      </c>
      <c r="D54" s="6"/>
      <c r="E54" s="6" t="s">
        <v>1584</v>
      </c>
      <c r="F54" s="6" t="s">
        <v>1585</v>
      </c>
      <c r="G54" s="64">
        <v>100000</v>
      </c>
      <c r="H54" s="6" t="s">
        <v>1585</v>
      </c>
      <c r="I54" s="9" t="s">
        <v>1828</v>
      </c>
      <c r="J54" s="9" t="s">
        <v>1824</v>
      </c>
      <c r="K54" s="6" t="s">
        <v>2542</v>
      </c>
      <c r="L54" s="9" t="s">
        <v>82</v>
      </c>
      <c r="M54" s="52"/>
      <c r="N54" s="9" t="s">
        <v>22</v>
      </c>
      <c r="O54" s="9"/>
      <c r="P54" s="489" t="s">
        <v>6571</v>
      </c>
      <c r="Q54" s="6" t="s">
        <v>6064</v>
      </c>
      <c r="R54" s="52"/>
      <c r="S54" s="52"/>
    </row>
    <row r="55" spans="1:19" ht="102">
      <c r="A55" s="6" t="s">
        <v>1213</v>
      </c>
      <c r="B55" s="9" t="s">
        <v>61</v>
      </c>
      <c r="C55" s="6" t="s">
        <v>1141</v>
      </c>
      <c r="D55" s="6"/>
      <c r="E55" s="6" t="s">
        <v>1214</v>
      </c>
      <c r="F55" s="6" t="s">
        <v>1215</v>
      </c>
      <c r="G55" s="64">
        <v>96071.35</v>
      </c>
      <c r="H55" s="6" t="s">
        <v>2543</v>
      </c>
      <c r="I55" s="9" t="s">
        <v>1916</v>
      </c>
      <c r="J55" s="9" t="s">
        <v>6373</v>
      </c>
      <c r="K55" s="6" t="s">
        <v>2544</v>
      </c>
      <c r="L55" s="9" t="s">
        <v>1904</v>
      </c>
      <c r="M55" s="9"/>
      <c r="N55" s="9"/>
      <c r="O55" s="9"/>
      <c r="P55" s="489" t="s">
        <v>6572</v>
      </c>
      <c r="Q55" s="6" t="s">
        <v>6137</v>
      </c>
      <c r="R55" s="52"/>
      <c r="S55" s="52"/>
    </row>
    <row r="56" spans="1:19" ht="89.25">
      <c r="A56" s="6" t="s">
        <v>1586</v>
      </c>
      <c r="B56" s="9" t="s">
        <v>61</v>
      </c>
      <c r="C56" s="6" t="s">
        <v>1383</v>
      </c>
      <c r="D56" s="6"/>
      <c r="E56" s="6" t="s">
        <v>1587</v>
      </c>
      <c r="F56" s="6" t="s">
        <v>1588</v>
      </c>
      <c r="G56" s="64">
        <v>58000</v>
      </c>
      <c r="H56" s="6"/>
      <c r="I56" s="9" t="s">
        <v>1828</v>
      </c>
      <c r="J56" s="9" t="s">
        <v>6309</v>
      </c>
      <c r="K56" s="6" t="s">
        <v>2545</v>
      </c>
      <c r="L56" s="9" t="s">
        <v>82</v>
      </c>
      <c r="M56" s="52"/>
      <c r="N56" s="9"/>
      <c r="O56" s="9"/>
      <c r="P56" s="489" t="s">
        <v>6573</v>
      </c>
      <c r="Q56" s="6" t="s">
        <v>6064</v>
      </c>
      <c r="R56" s="52"/>
      <c r="S56" s="52"/>
    </row>
    <row r="57" spans="1:19" ht="51">
      <c r="A57" s="6" t="s">
        <v>1589</v>
      </c>
      <c r="B57" s="9" t="s">
        <v>61</v>
      </c>
      <c r="C57" s="6" t="s">
        <v>1383</v>
      </c>
      <c r="D57" s="6"/>
      <c r="E57" s="6" t="s">
        <v>1590</v>
      </c>
      <c r="F57" s="6" t="s">
        <v>849</v>
      </c>
      <c r="G57" s="64">
        <v>200000</v>
      </c>
      <c r="H57" s="6" t="s">
        <v>2546</v>
      </c>
      <c r="I57" s="9" t="s">
        <v>2085</v>
      </c>
      <c r="J57" s="9" t="s">
        <v>1824</v>
      </c>
      <c r="K57" s="6" t="s">
        <v>2547</v>
      </c>
      <c r="L57" s="9" t="s">
        <v>82</v>
      </c>
      <c r="M57" s="52"/>
      <c r="N57" s="9"/>
      <c r="O57" s="9"/>
      <c r="P57" s="489" t="s">
        <v>6574</v>
      </c>
      <c r="Q57" s="6" t="s">
        <v>6064</v>
      </c>
      <c r="R57" s="52"/>
      <c r="S57" s="52"/>
    </row>
    <row r="58" spans="1:19" ht="63.75">
      <c r="A58" s="6" t="s">
        <v>1591</v>
      </c>
      <c r="B58" s="9" t="s">
        <v>61</v>
      </c>
      <c r="C58" s="6" t="s">
        <v>1383</v>
      </c>
      <c r="D58" s="6"/>
      <c r="E58" s="6" t="s">
        <v>1592</v>
      </c>
      <c r="F58" s="6" t="s">
        <v>1593</v>
      </c>
      <c r="G58" s="64">
        <v>200000</v>
      </c>
      <c r="H58" s="6" t="s">
        <v>2548</v>
      </c>
      <c r="I58" s="9" t="s">
        <v>1899</v>
      </c>
      <c r="J58" s="9" t="s">
        <v>1824</v>
      </c>
      <c r="K58" s="6" t="s">
        <v>6575</v>
      </c>
      <c r="L58" s="9" t="s">
        <v>82</v>
      </c>
      <c r="M58" s="52"/>
      <c r="N58" s="9"/>
      <c r="O58" s="9"/>
      <c r="P58" s="489" t="s">
        <v>6576</v>
      </c>
      <c r="Q58" s="6" t="s">
        <v>6064</v>
      </c>
      <c r="R58" s="52"/>
      <c r="S58" s="52"/>
    </row>
    <row r="59" spans="1:19" ht="76.5">
      <c r="A59" s="6" t="s">
        <v>1594</v>
      </c>
      <c r="B59" s="9" t="s">
        <v>61</v>
      </c>
      <c r="C59" s="6" t="s">
        <v>1383</v>
      </c>
      <c r="D59" s="6"/>
      <c r="E59" s="6" t="s">
        <v>1595</v>
      </c>
      <c r="F59" s="6" t="s">
        <v>844</v>
      </c>
      <c r="G59" s="64">
        <v>200000</v>
      </c>
      <c r="H59" s="6" t="s">
        <v>2550</v>
      </c>
      <c r="I59" s="9" t="s">
        <v>2051</v>
      </c>
      <c r="J59" s="9" t="s">
        <v>1824</v>
      </c>
      <c r="K59" s="6" t="s">
        <v>6577</v>
      </c>
      <c r="L59" s="9" t="s">
        <v>82</v>
      </c>
      <c r="M59" s="52"/>
      <c r="N59" s="9"/>
      <c r="O59" s="9"/>
      <c r="P59" s="489" t="s">
        <v>6578</v>
      </c>
      <c r="Q59" s="6" t="s">
        <v>6064</v>
      </c>
      <c r="R59" s="52"/>
      <c r="S59" s="52"/>
    </row>
    <row r="60" spans="1:19" ht="63.75">
      <c r="A60" s="6" t="s">
        <v>1596</v>
      </c>
      <c r="B60" s="9" t="s">
        <v>61</v>
      </c>
      <c r="C60" s="6" t="s">
        <v>1383</v>
      </c>
      <c r="D60" s="6"/>
      <c r="E60" s="6" t="s">
        <v>1597</v>
      </c>
      <c r="F60" s="6" t="s">
        <v>1598</v>
      </c>
      <c r="G60" s="64">
        <v>200000</v>
      </c>
      <c r="H60" s="6" t="s">
        <v>2030</v>
      </c>
      <c r="I60" s="9" t="s">
        <v>2031</v>
      </c>
      <c r="J60" s="9" t="s">
        <v>1824</v>
      </c>
      <c r="K60" s="6" t="s">
        <v>6579</v>
      </c>
      <c r="L60" s="9" t="s">
        <v>82</v>
      </c>
      <c r="M60" s="52"/>
      <c r="N60" s="9"/>
      <c r="O60" s="9"/>
      <c r="P60" s="489" t="s">
        <v>6580</v>
      </c>
      <c r="Q60" s="6" t="s">
        <v>6064</v>
      </c>
      <c r="R60" s="52"/>
      <c r="S60" s="52"/>
    </row>
    <row r="61" spans="1:19" ht="51">
      <c r="A61" s="6" t="s">
        <v>1599</v>
      </c>
      <c r="B61" s="9" t="s">
        <v>61</v>
      </c>
      <c r="C61" s="6" t="s">
        <v>1383</v>
      </c>
      <c r="D61" s="6"/>
      <c r="E61" s="6" t="s">
        <v>1600</v>
      </c>
      <c r="F61" s="6" t="s">
        <v>854</v>
      </c>
      <c r="G61" s="64">
        <v>200000</v>
      </c>
      <c r="H61" s="167" t="s">
        <v>2553</v>
      </c>
      <c r="I61" s="9" t="s">
        <v>1916</v>
      </c>
      <c r="J61" s="9" t="s">
        <v>1824</v>
      </c>
      <c r="K61" s="6" t="s">
        <v>6581</v>
      </c>
      <c r="L61" s="9" t="s">
        <v>82</v>
      </c>
      <c r="M61" s="52"/>
      <c r="N61" s="9"/>
      <c r="O61" s="9"/>
      <c r="P61" s="489" t="s">
        <v>6582</v>
      </c>
      <c r="Q61" s="6" t="s">
        <v>6064</v>
      </c>
      <c r="R61" s="52"/>
      <c r="S61" s="52"/>
    </row>
    <row r="62" spans="1:19" ht="51">
      <c r="A62" s="6" t="s">
        <v>1601</v>
      </c>
      <c r="B62" s="9" t="s">
        <v>61</v>
      </c>
      <c r="C62" s="6" t="s">
        <v>1383</v>
      </c>
      <c r="D62" s="6"/>
      <c r="E62" s="6" t="s">
        <v>1602</v>
      </c>
      <c r="F62" s="6" t="s">
        <v>1346</v>
      </c>
      <c r="G62" s="64">
        <v>200000</v>
      </c>
      <c r="H62" s="6" t="s">
        <v>2555</v>
      </c>
      <c r="I62" s="9" t="s">
        <v>2082</v>
      </c>
      <c r="J62" s="9" t="s">
        <v>1824</v>
      </c>
      <c r="K62" s="6" t="s">
        <v>6583</v>
      </c>
      <c r="L62" s="9" t="s">
        <v>82</v>
      </c>
      <c r="M62" s="52"/>
      <c r="N62" s="9"/>
      <c r="O62" s="9"/>
      <c r="P62" s="489" t="s">
        <v>6584</v>
      </c>
      <c r="Q62" s="6" t="s">
        <v>6064</v>
      </c>
      <c r="R62" s="52"/>
      <c r="S62" s="52"/>
    </row>
    <row r="63" spans="1:19" ht="51">
      <c r="A63" s="6" t="s">
        <v>1603</v>
      </c>
      <c r="B63" s="9" t="s">
        <v>61</v>
      </c>
      <c r="C63" s="6" t="s">
        <v>1383</v>
      </c>
      <c r="D63" s="6"/>
      <c r="E63" s="6" t="s">
        <v>1604</v>
      </c>
      <c r="F63" s="6" t="s">
        <v>1605</v>
      </c>
      <c r="G63" s="64">
        <v>200000</v>
      </c>
      <c r="H63" s="6" t="s">
        <v>2557</v>
      </c>
      <c r="I63" s="9" t="s">
        <v>1919</v>
      </c>
      <c r="J63" s="9" t="s">
        <v>1824</v>
      </c>
      <c r="K63" s="6" t="s">
        <v>6585</v>
      </c>
      <c r="L63" s="9" t="s">
        <v>82</v>
      </c>
      <c r="M63" s="52"/>
      <c r="N63" s="9"/>
      <c r="O63" s="9"/>
      <c r="P63" s="489" t="s">
        <v>6586</v>
      </c>
      <c r="Q63" s="6" t="s">
        <v>6064</v>
      </c>
      <c r="R63" s="52"/>
      <c r="S63" s="52"/>
    </row>
    <row r="64" spans="1:19" ht="63.75">
      <c r="A64" s="6" t="s">
        <v>1606</v>
      </c>
      <c r="B64" s="9" t="s">
        <v>61</v>
      </c>
      <c r="C64" s="6" t="s">
        <v>1383</v>
      </c>
      <c r="D64" s="6"/>
      <c r="E64" s="6" t="s">
        <v>2559</v>
      </c>
      <c r="F64" s="6" t="s">
        <v>1608</v>
      </c>
      <c r="G64" s="64">
        <v>200000</v>
      </c>
      <c r="H64" s="6" t="s">
        <v>2560</v>
      </c>
      <c r="I64" s="9" t="s">
        <v>2041</v>
      </c>
      <c r="J64" s="9" t="s">
        <v>1824</v>
      </c>
      <c r="K64" s="6" t="s">
        <v>6587</v>
      </c>
      <c r="L64" s="9" t="s">
        <v>82</v>
      </c>
      <c r="M64" s="52"/>
      <c r="N64" s="9"/>
      <c r="O64" s="9"/>
      <c r="P64" s="489" t="s">
        <v>6588</v>
      </c>
      <c r="Q64" s="6" t="s">
        <v>6064</v>
      </c>
      <c r="R64" s="52"/>
      <c r="S64" s="52"/>
    </row>
    <row r="65" spans="1:19" ht="51">
      <c r="A65" s="6" t="s">
        <v>1609</v>
      </c>
      <c r="B65" s="9" t="s">
        <v>61</v>
      </c>
      <c r="C65" s="6" t="s">
        <v>1383</v>
      </c>
      <c r="D65" s="6"/>
      <c r="E65" s="6" t="s">
        <v>1610</v>
      </c>
      <c r="F65" s="6" t="s">
        <v>1611</v>
      </c>
      <c r="G65" s="8">
        <v>500000</v>
      </c>
      <c r="H65" s="6" t="s">
        <v>2562</v>
      </c>
      <c r="I65" s="9" t="s">
        <v>1828</v>
      </c>
      <c r="J65" s="9" t="s">
        <v>1824</v>
      </c>
      <c r="K65" s="6" t="s">
        <v>2563</v>
      </c>
      <c r="L65" s="9" t="s">
        <v>82</v>
      </c>
      <c r="M65" s="52"/>
      <c r="N65" s="9"/>
      <c r="O65" s="9"/>
      <c r="P65" s="489" t="s">
        <v>6589</v>
      </c>
      <c r="Q65" s="6" t="s">
        <v>6064</v>
      </c>
      <c r="R65" s="52"/>
      <c r="S65" s="52"/>
    </row>
    <row r="66" spans="1:19" ht="76.5">
      <c r="A66" s="6" t="s">
        <v>821</v>
      </c>
      <c r="B66" s="9" t="s">
        <v>61</v>
      </c>
      <c r="C66" s="6" t="s">
        <v>394</v>
      </c>
      <c r="D66" s="6"/>
      <c r="E66" s="6" t="s">
        <v>822</v>
      </c>
      <c r="F66" s="6" t="s">
        <v>704</v>
      </c>
      <c r="G66" s="64">
        <v>60000</v>
      </c>
      <c r="H66" s="6" t="s">
        <v>2564</v>
      </c>
      <c r="I66" s="9" t="s">
        <v>1879</v>
      </c>
      <c r="J66" s="9" t="s">
        <v>1824</v>
      </c>
      <c r="K66" s="6" t="s">
        <v>2565</v>
      </c>
      <c r="L66" s="9" t="s">
        <v>1853</v>
      </c>
      <c r="M66" s="52"/>
      <c r="N66" s="9"/>
      <c r="O66" s="9"/>
      <c r="P66" s="489" t="s">
        <v>6590</v>
      </c>
      <c r="Q66" s="6" t="s">
        <v>6071</v>
      </c>
      <c r="R66" s="52"/>
      <c r="S66" s="52"/>
    </row>
    <row r="67" spans="1:19" ht="51">
      <c r="A67" s="6" t="s">
        <v>1612</v>
      </c>
      <c r="B67" s="9" t="s">
        <v>61</v>
      </c>
      <c r="C67" s="6" t="s">
        <v>1383</v>
      </c>
      <c r="D67" s="6"/>
      <c r="E67" s="6" t="s">
        <v>1613</v>
      </c>
      <c r="F67" s="9" t="s">
        <v>1614</v>
      </c>
      <c r="G67" s="64">
        <v>500000</v>
      </c>
      <c r="H67" s="6" t="s">
        <v>2566</v>
      </c>
      <c r="I67" s="9" t="s">
        <v>1828</v>
      </c>
      <c r="J67" s="9" t="s">
        <v>1824</v>
      </c>
      <c r="K67" s="6" t="s">
        <v>2567</v>
      </c>
      <c r="L67" s="9" t="s">
        <v>82</v>
      </c>
      <c r="M67" s="52"/>
      <c r="N67" s="9"/>
      <c r="O67" s="9"/>
      <c r="P67" s="489" t="s">
        <v>6591</v>
      </c>
      <c r="Q67" s="6" t="s">
        <v>6064</v>
      </c>
      <c r="R67" s="52"/>
      <c r="S67" s="52"/>
    </row>
    <row r="68" spans="1:19" ht="63.75">
      <c r="A68" s="6" t="s">
        <v>1615</v>
      </c>
      <c r="B68" s="9" t="s">
        <v>61</v>
      </c>
      <c r="C68" s="6" t="s">
        <v>1383</v>
      </c>
      <c r="D68" s="6"/>
      <c r="E68" s="6" t="s">
        <v>1616</v>
      </c>
      <c r="F68" s="6" t="s">
        <v>1617</v>
      </c>
      <c r="G68" s="64">
        <v>500000</v>
      </c>
      <c r="H68" s="6" t="s">
        <v>2562</v>
      </c>
      <c r="I68" s="9" t="s">
        <v>1828</v>
      </c>
      <c r="J68" s="9" t="s">
        <v>1824</v>
      </c>
      <c r="K68" s="6" t="s">
        <v>2568</v>
      </c>
      <c r="L68" s="9" t="s">
        <v>82</v>
      </c>
      <c r="M68" s="52"/>
      <c r="N68" s="9"/>
      <c r="O68" s="9"/>
      <c r="P68" s="489" t="s">
        <v>6592</v>
      </c>
      <c r="Q68" s="6" t="s">
        <v>6071</v>
      </c>
      <c r="R68" s="52"/>
      <c r="S68" s="52"/>
    </row>
    <row r="69" spans="1:19" ht="51">
      <c r="A69" s="6" t="s">
        <v>1618</v>
      </c>
      <c r="B69" s="9" t="s">
        <v>61</v>
      </c>
      <c r="C69" s="6" t="s">
        <v>1383</v>
      </c>
      <c r="D69" s="6"/>
      <c r="E69" s="6" t="s">
        <v>1619</v>
      </c>
      <c r="F69" s="6" t="s">
        <v>840</v>
      </c>
      <c r="G69" s="64">
        <v>500000</v>
      </c>
      <c r="H69" s="6" t="s">
        <v>2562</v>
      </c>
      <c r="I69" s="9" t="s">
        <v>1828</v>
      </c>
      <c r="J69" s="9" t="s">
        <v>1824</v>
      </c>
      <c r="K69" s="6" t="s">
        <v>2569</v>
      </c>
      <c r="L69" s="9" t="s">
        <v>82</v>
      </c>
      <c r="M69" s="52"/>
      <c r="N69" s="9"/>
      <c r="O69" s="9"/>
      <c r="P69" s="489" t="s">
        <v>6593</v>
      </c>
      <c r="Q69" s="6" t="s">
        <v>6064</v>
      </c>
      <c r="R69" s="52"/>
      <c r="S69" s="52"/>
    </row>
    <row r="70" spans="1:19" ht="63.75">
      <c r="A70" s="6" t="s">
        <v>1620</v>
      </c>
      <c r="B70" s="9" t="s">
        <v>61</v>
      </c>
      <c r="C70" s="6" t="s">
        <v>1383</v>
      </c>
      <c r="D70" s="6"/>
      <c r="E70" s="6" t="s">
        <v>1621</v>
      </c>
      <c r="F70" s="6" t="s">
        <v>1622</v>
      </c>
      <c r="G70" s="64">
        <v>500000</v>
      </c>
      <c r="H70" s="6" t="s">
        <v>2570</v>
      </c>
      <c r="I70" s="9" t="s">
        <v>2659</v>
      </c>
      <c r="J70" s="9" t="s">
        <v>1824</v>
      </c>
      <c r="K70" s="6" t="s">
        <v>2572</v>
      </c>
      <c r="L70" s="9" t="s">
        <v>82</v>
      </c>
      <c r="M70" s="52"/>
      <c r="N70" s="9"/>
      <c r="O70" s="9"/>
      <c r="P70" s="489" t="s">
        <v>6594</v>
      </c>
      <c r="Q70" s="6" t="s">
        <v>6064</v>
      </c>
      <c r="R70" s="52"/>
      <c r="S70" s="52"/>
    </row>
    <row r="71" spans="1:19" ht="114.75">
      <c r="A71" s="6" t="s">
        <v>823</v>
      </c>
      <c r="B71" s="9" t="s">
        <v>61</v>
      </c>
      <c r="C71" s="6" t="s">
        <v>2520</v>
      </c>
      <c r="D71" s="6"/>
      <c r="E71" s="6" t="s">
        <v>825</v>
      </c>
      <c r="F71" s="6" t="s">
        <v>826</v>
      </c>
      <c r="G71" s="8">
        <v>28800</v>
      </c>
      <c r="H71" s="6" t="s">
        <v>2573</v>
      </c>
      <c r="I71" s="9" t="s">
        <v>1828</v>
      </c>
      <c r="J71" s="9" t="s">
        <v>2144</v>
      </c>
      <c r="K71" s="6" t="s">
        <v>2574</v>
      </c>
      <c r="L71" s="9" t="s">
        <v>611</v>
      </c>
      <c r="M71" s="52"/>
      <c r="N71" s="9" t="s">
        <v>6179</v>
      </c>
      <c r="O71" s="9"/>
      <c r="P71" s="489" t="s">
        <v>6595</v>
      </c>
      <c r="Q71" s="6" t="s">
        <v>6137</v>
      </c>
      <c r="R71" s="52"/>
      <c r="S71" s="52"/>
    </row>
    <row r="72" spans="1:19" ht="63.75">
      <c r="A72" s="6" t="s">
        <v>827</v>
      </c>
      <c r="B72" s="9" t="s">
        <v>61</v>
      </c>
      <c r="C72" s="6" t="s">
        <v>2520</v>
      </c>
      <c r="D72" s="6"/>
      <c r="E72" s="6" t="s">
        <v>828</v>
      </c>
      <c r="F72" s="6" t="s">
        <v>829</v>
      </c>
      <c r="G72" s="8">
        <v>16346.44</v>
      </c>
      <c r="H72" s="6" t="s">
        <v>2575</v>
      </c>
      <c r="I72" s="9" t="s">
        <v>2047</v>
      </c>
      <c r="J72" s="9" t="s">
        <v>2144</v>
      </c>
      <c r="K72" s="6" t="s">
        <v>2576</v>
      </c>
      <c r="L72" s="9" t="s">
        <v>611</v>
      </c>
      <c r="M72" s="52"/>
      <c r="N72" s="9" t="s">
        <v>6132</v>
      </c>
      <c r="O72" s="9"/>
      <c r="P72" s="489" t="s">
        <v>6596</v>
      </c>
      <c r="Q72" s="6" t="s">
        <v>6597</v>
      </c>
      <c r="R72" s="52"/>
      <c r="S72" s="52"/>
    </row>
    <row r="73" spans="1:19" ht="76.5">
      <c r="A73" s="6" t="s">
        <v>1623</v>
      </c>
      <c r="B73" s="9" t="s">
        <v>61</v>
      </c>
      <c r="C73" s="6" t="s">
        <v>1383</v>
      </c>
      <c r="D73" s="6"/>
      <c r="E73" s="6" t="s">
        <v>1624</v>
      </c>
      <c r="F73" s="6" t="s">
        <v>1625</v>
      </c>
      <c r="G73" s="64">
        <v>500000</v>
      </c>
      <c r="H73" s="6" t="s">
        <v>2562</v>
      </c>
      <c r="I73" s="9" t="s">
        <v>1828</v>
      </c>
      <c r="J73" s="9" t="s">
        <v>1824</v>
      </c>
      <c r="K73" s="6" t="s">
        <v>2577</v>
      </c>
      <c r="L73" s="9" t="s">
        <v>82</v>
      </c>
      <c r="M73" s="52"/>
      <c r="N73" s="9"/>
      <c r="O73" s="9"/>
      <c r="P73" s="489" t="s">
        <v>6598</v>
      </c>
      <c r="Q73" s="6" t="s">
        <v>6064</v>
      </c>
      <c r="R73" s="52"/>
      <c r="S73" s="52"/>
    </row>
    <row r="74" spans="1:19" ht="114.75">
      <c r="A74" s="6" t="s">
        <v>1626</v>
      </c>
      <c r="B74" s="9" t="s">
        <v>61</v>
      </c>
      <c r="C74" s="6" t="s">
        <v>1383</v>
      </c>
      <c r="D74" s="6"/>
      <c r="E74" s="6" t="s">
        <v>1627</v>
      </c>
      <c r="F74" s="6" t="s">
        <v>842</v>
      </c>
      <c r="G74" s="64">
        <v>200000</v>
      </c>
      <c r="H74" s="6" t="s">
        <v>2578</v>
      </c>
      <c r="I74" s="9" t="s">
        <v>2047</v>
      </c>
      <c r="J74" s="9" t="s">
        <v>1824</v>
      </c>
      <c r="K74" s="6" t="s">
        <v>2579</v>
      </c>
      <c r="L74" s="9" t="s">
        <v>82</v>
      </c>
      <c r="M74" s="52"/>
      <c r="N74" s="9"/>
      <c r="O74" s="9"/>
      <c r="P74" s="489" t="s">
        <v>6599</v>
      </c>
      <c r="Q74" s="6" t="s">
        <v>6064</v>
      </c>
      <c r="R74" s="52"/>
      <c r="S74" s="52"/>
    </row>
    <row r="75" spans="1:19" ht="89.25">
      <c r="A75" s="6" t="s">
        <v>1628</v>
      </c>
      <c r="B75" s="9" t="s">
        <v>61</v>
      </c>
      <c r="C75" s="6" t="s">
        <v>1383</v>
      </c>
      <c r="D75" s="6"/>
      <c r="E75" s="6" t="s">
        <v>1629</v>
      </c>
      <c r="F75" s="6" t="s">
        <v>826</v>
      </c>
      <c r="G75" s="64">
        <v>4750</v>
      </c>
      <c r="H75" s="6" t="s">
        <v>2573</v>
      </c>
      <c r="I75" s="9" t="s">
        <v>1828</v>
      </c>
      <c r="J75" s="9" t="s">
        <v>2144</v>
      </c>
      <c r="K75" s="6" t="s">
        <v>2580</v>
      </c>
      <c r="L75" s="9" t="s">
        <v>82</v>
      </c>
      <c r="M75" s="52"/>
      <c r="N75" s="9" t="s">
        <v>6179</v>
      </c>
      <c r="O75" s="9"/>
      <c r="P75" s="489" t="s">
        <v>6600</v>
      </c>
      <c r="Q75" s="6" t="s">
        <v>6064</v>
      </c>
      <c r="R75" s="52"/>
      <c r="S75" s="52"/>
    </row>
    <row r="76" spans="1:19" ht="102">
      <c r="A76" s="6" t="s">
        <v>1630</v>
      </c>
      <c r="B76" s="9" t="s">
        <v>61</v>
      </c>
      <c r="C76" s="6" t="s">
        <v>1383</v>
      </c>
      <c r="D76" s="6"/>
      <c r="E76" s="6" t="s">
        <v>1631</v>
      </c>
      <c r="F76" s="6" t="s">
        <v>1632</v>
      </c>
      <c r="G76" s="64">
        <v>500000</v>
      </c>
      <c r="H76" s="6" t="s">
        <v>2562</v>
      </c>
      <c r="I76" s="9" t="s">
        <v>1828</v>
      </c>
      <c r="J76" s="9" t="s">
        <v>1824</v>
      </c>
      <c r="K76" s="6" t="s">
        <v>2581</v>
      </c>
      <c r="L76" s="9" t="s">
        <v>82</v>
      </c>
      <c r="M76" s="52"/>
      <c r="N76" s="9"/>
      <c r="O76" s="9"/>
      <c r="P76" s="489" t="s">
        <v>6601</v>
      </c>
      <c r="Q76" s="6" t="s">
        <v>6064</v>
      </c>
      <c r="R76" s="52"/>
      <c r="S76" s="52"/>
    </row>
    <row r="77" spans="1:19" ht="89.25">
      <c r="A77" s="6" t="s">
        <v>1633</v>
      </c>
      <c r="B77" s="9" t="s">
        <v>61</v>
      </c>
      <c r="C77" s="6" t="s">
        <v>1383</v>
      </c>
      <c r="D77" s="6"/>
      <c r="E77" s="6" t="s">
        <v>1634</v>
      </c>
      <c r="F77" s="6" t="s">
        <v>832</v>
      </c>
      <c r="G77" s="64">
        <v>200000</v>
      </c>
      <c r="H77" s="6" t="s">
        <v>2582</v>
      </c>
      <c r="I77" s="9" t="s">
        <v>2047</v>
      </c>
      <c r="J77" s="9" t="s">
        <v>1824</v>
      </c>
      <c r="K77" s="6" t="s">
        <v>2583</v>
      </c>
      <c r="L77" s="9" t="s">
        <v>82</v>
      </c>
      <c r="M77" s="52"/>
      <c r="N77" s="9"/>
      <c r="O77" s="9"/>
      <c r="P77" s="489" t="s">
        <v>6602</v>
      </c>
      <c r="Q77" s="6" t="s">
        <v>6064</v>
      </c>
      <c r="R77" s="52"/>
      <c r="S77" s="52"/>
    </row>
    <row r="78" spans="1:19" ht="102">
      <c r="A78" s="6" t="s">
        <v>830</v>
      </c>
      <c r="B78" s="9" t="s">
        <v>61</v>
      </c>
      <c r="C78" s="6" t="s">
        <v>394</v>
      </c>
      <c r="D78" s="6"/>
      <c r="E78" s="6" t="s">
        <v>831</v>
      </c>
      <c r="F78" s="6" t="s">
        <v>832</v>
      </c>
      <c r="G78" s="64">
        <v>39700</v>
      </c>
      <c r="H78" s="6" t="s">
        <v>2584</v>
      </c>
      <c r="I78" s="9" t="s">
        <v>2041</v>
      </c>
      <c r="J78" s="9" t="s">
        <v>1824</v>
      </c>
      <c r="K78" s="6" t="s">
        <v>2585</v>
      </c>
      <c r="L78" s="9" t="s">
        <v>1853</v>
      </c>
      <c r="M78" s="52"/>
      <c r="N78" s="9"/>
      <c r="O78" s="9"/>
      <c r="P78" s="489" t="s">
        <v>6603</v>
      </c>
      <c r="Q78" s="6" t="s">
        <v>6071</v>
      </c>
      <c r="R78" s="52"/>
      <c r="S78" s="52"/>
    </row>
    <row r="79" spans="1:19" ht="102">
      <c r="A79" s="6" t="s">
        <v>1635</v>
      </c>
      <c r="B79" s="9" t="s">
        <v>61</v>
      </c>
      <c r="C79" s="6" t="s">
        <v>1383</v>
      </c>
      <c r="D79" s="6"/>
      <c r="E79" s="6" t="s">
        <v>1636</v>
      </c>
      <c r="F79" s="6" t="s">
        <v>1585</v>
      </c>
      <c r="G79" s="64">
        <v>500000</v>
      </c>
      <c r="H79" s="6" t="s">
        <v>2562</v>
      </c>
      <c r="I79" s="9" t="s">
        <v>1828</v>
      </c>
      <c r="J79" s="9" t="s">
        <v>1824</v>
      </c>
      <c r="K79" s="6" t="s">
        <v>2586</v>
      </c>
      <c r="L79" s="9" t="s">
        <v>82</v>
      </c>
      <c r="M79" s="52"/>
      <c r="N79" s="9"/>
      <c r="O79" s="9"/>
      <c r="P79" s="489" t="s">
        <v>6604</v>
      </c>
      <c r="Q79" s="6" t="s">
        <v>6064</v>
      </c>
      <c r="R79" s="52"/>
      <c r="S79" s="52"/>
    </row>
    <row r="80" spans="1:19" ht="89.25">
      <c r="A80" s="6" t="s">
        <v>1637</v>
      </c>
      <c r="B80" s="9" t="s">
        <v>61</v>
      </c>
      <c r="C80" s="6" t="s">
        <v>1383</v>
      </c>
      <c r="D80" s="6"/>
      <c r="E80" s="6" t="s">
        <v>1638</v>
      </c>
      <c r="F80" s="6" t="s">
        <v>840</v>
      </c>
      <c r="G80" s="64">
        <v>172000</v>
      </c>
      <c r="H80" s="6" t="s">
        <v>2562</v>
      </c>
      <c r="I80" s="9" t="s">
        <v>1828</v>
      </c>
      <c r="J80" s="9" t="s">
        <v>1824</v>
      </c>
      <c r="K80" s="6" t="s">
        <v>2587</v>
      </c>
      <c r="L80" s="9" t="s">
        <v>82</v>
      </c>
      <c r="M80" s="52"/>
      <c r="N80" s="9"/>
      <c r="O80" s="9"/>
      <c r="P80" s="489" t="s">
        <v>6605</v>
      </c>
      <c r="Q80" s="6" t="s">
        <v>6064</v>
      </c>
      <c r="R80" s="52"/>
      <c r="S80" s="52"/>
    </row>
    <row r="81" spans="1:19" ht="63.75">
      <c r="A81" s="6" t="s">
        <v>1639</v>
      </c>
      <c r="B81" s="9" t="s">
        <v>61</v>
      </c>
      <c r="C81" s="6" t="s">
        <v>1383</v>
      </c>
      <c r="D81" s="6"/>
      <c r="E81" s="6" t="s">
        <v>1640</v>
      </c>
      <c r="F81" s="6" t="s">
        <v>1641</v>
      </c>
      <c r="G81" s="64">
        <v>172000</v>
      </c>
      <c r="H81" s="6" t="s">
        <v>2588</v>
      </c>
      <c r="I81" s="9" t="s">
        <v>2051</v>
      </c>
      <c r="J81" s="9" t="s">
        <v>1824</v>
      </c>
      <c r="K81" s="6" t="s">
        <v>2589</v>
      </c>
      <c r="L81" s="9" t="s">
        <v>82</v>
      </c>
      <c r="M81" s="52"/>
      <c r="N81" s="9"/>
      <c r="O81" s="9"/>
      <c r="P81" s="489" t="s">
        <v>6606</v>
      </c>
      <c r="Q81" s="6" t="s">
        <v>6064</v>
      </c>
      <c r="R81" s="52"/>
      <c r="S81" s="52"/>
    </row>
    <row r="82" spans="1:19" ht="76.5">
      <c r="A82" s="6" t="s">
        <v>833</v>
      </c>
      <c r="B82" s="9" t="s">
        <v>61</v>
      </c>
      <c r="C82" s="6" t="s">
        <v>394</v>
      </c>
      <c r="D82" s="6"/>
      <c r="E82" s="6" t="s">
        <v>834</v>
      </c>
      <c r="F82" s="6" t="s">
        <v>835</v>
      </c>
      <c r="G82" s="64">
        <v>82500</v>
      </c>
      <c r="H82" s="6" t="s">
        <v>2590</v>
      </c>
      <c r="I82" s="9" t="s">
        <v>2051</v>
      </c>
      <c r="J82" s="9" t="s">
        <v>6373</v>
      </c>
      <c r="K82" s="6" t="s">
        <v>2591</v>
      </c>
      <c r="L82" s="9" t="s">
        <v>1853</v>
      </c>
      <c r="M82" s="52"/>
      <c r="N82" s="9"/>
      <c r="O82" s="9"/>
      <c r="P82" s="489" t="s">
        <v>6607</v>
      </c>
      <c r="Q82" s="6" t="s">
        <v>6071</v>
      </c>
      <c r="R82" s="52"/>
      <c r="S82" s="52"/>
    </row>
    <row r="83" spans="1:19" ht="114.75">
      <c r="A83" s="6" t="s">
        <v>836</v>
      </c>
      <c r="B83" s="9" t="s">
        <v>61</v>
      </c>
      <c r="C83" s="6" t="s">
        <v>394</v>
      </c>
      <c r="D83" s="6"/>
      <c r="E83" s="6" t="s">
        <v>837</v>
      </c>
      <c r="F83" s="6" t="s">
        <v>838</v>
      </c>
      <c r="G83" s="64">
        <v>88500</v>
      </c>
      <c r="H83" s="6" t="s">
        <v>2592</v>
      </c>
      <c r="I83" s="9" t="s">
        <v>2047</v>
      </c>
      <c r="J83" s="9" t="s">
        <v>6373</v>
      </c>
      <c r="K83" s="6" t="s">
        <v>2593</v>
      </c>
      <c r="L83" s="9" t="s">
        <v>1853</v>
      </c>
      <c r="M83" s="52"/>
      <c r="N83" s="9"/>
      <c r="O83" s="9"/>
      <c r="P83" s="489" t="s">
        <v>6608</v>
      </c>
      <c r="Q83" s="6" t="s">
        <v>6071</v>
      </c>
      <c r="R83" s="52"/>
      <c r="S83" s="52"/>
    </row>
    <row r="84" spans="1:19" ht="63.75">
      <c r="A84" s="6" t="s">
        <v>1642</v>
      </c>
      <c r="B84" s="9" t="s">
        <v>61</v>
      </c>
      <c r="C84" s="6" t="s">
        <v>1383</v>
      </c>
      <c r="D84" s="6"/>
      <c r="E84" s="6" t="s">
        <v>1627</v>
      </c>
      <c r="F84" s="6" t="s">
        <v>842</v>
      </c>
      <c r="G84" s="64">
        <v>172000</v>
      </c>
      <c r="H84" s="6" t="s">
        <v>2578</v>
      </c>
      <c r="I84" s="9" t="s">
        <v>2130</v>
      </c>
      <c r="J84" s="9" t="s">
        <v>1824</v>
      </c>
      <c r="K84" s="6" t="s">
        <v>2594</v>
      </c>
      <c r="L84" s="9" t="s">
        <v>82</v>
      </c>
      <c r="M84" s="52"/>
      <c r="N84" s="9"/>
      <c r="O84" s="9"/>
      <c r="P84" s="489" t="s">
        <v>6609</v>
      </c>
      <c r="Q84" s="6" t="s">
        <v>6064</v>
      </c>
      <c r="R84" s="52"/>
      <c r="S84" s="52"/>
    </row>
    <row r="85" spans="1:19" ht="89.25">
      <c r="A85" s="6" t="s">
        <v>1643</v>
      </c>
      <c r="B85" s="9" t="s">
        <v>61</v>
      </c>
      <c r="C85" s="6" t="s">
        <v>1383</v>
      </c>
      <c r="D85" s="6"/>
      <c r="E85" s="6" t="s">
        <v>1644</v>
      </c>
      <c r="F85" s="6" t="s">
        <v>1346</v>
      </c>
      <c r="G85" s="64">
        <v>172000</v>
      </c>
      <c r="H85" s="6" t="s">
        <v>2595</v>
      </c>
      <c r="I85" s="9" t="s">
        <v>2082</v>
      </c>
      <c r="J85" s="9" t="s">
        <v>1824</v>
      </c>
      <c r="K85" s="6" t="s">
        <v>2596</v>
      </c>
      <c r="L85" s="9" t="s">
        <v>82</v>
      </c>
      <c r="M85" s="52"/>
      <c r="N85" s="9"/>
      <c r="O85" s="9"/>
      <c r="P85" s="489" t="s">
        <v>6610</v>
      </c>
      <c r="Q85" s="6" t="s">
        <v>6064</v>
      </c>
      <c r="R85" s="52"/>
      <c r="S85" s="52"/>
    </row>
    <row r="86" spans="1:19" ht="114.75">
      <c r="A86" s="6" t="s">
        <v>809</v>
      </c>
      <c r="B86" s="9" t="s">
        <v>61</v>
      </c>
      <c r="C86" s="6" t="s">
        <v>394</v>
      </c>
      <c r="D86" s="6"/>
      <c r="E86" s="6" t="s">
        <v>839</v>
      </c>
      <c r="F86" s="6" t="s">
        <v>840</v>
      </c>
      <c r="G86" s="64">
        <v>87000</v>
      </c>
      <c r="H86" s="6" t="s">
        <v>2562</v>
      </c>
      <c r="I86" s="9" t="s">
        <v>1828</v>
      </c>
      <c r="J86" s="9" t="s">
        <v>6373</v>
      </c>
      <c r="K86" s="6" t="s">
        <v>2597</v>
      </c>
      <c r="L86" s="9" t="s">
        <v>1853</v>
      </c>
      <c r="M86" s="52"/>
      <c r="N86" s="9"/>
      <c r="O86" s="9"/>
      <c r="P86" s="489" t="s">
        <v>6611</v>
      </c>
      <c r="Q86" s="6" t="s">
        <v>6071</v>
      </c>
      <c r="R86" s="52"/>
      <c r="S86" s="52"/>
    </row>
    <row r="87" spans="1:19" ht="51">
      <c r="A87" s="6" t="s">
        <v>1645</v>
      </c>
      <c r="B87" s="9" t="s">
        <v>61</v>
      </c>
      <c r="C87" s="6" t="s">
        <v>1383</v>
      </c>
      <c r="D87" s="6"/>
      <c r="E87" s="6" t="s">
        <v>1646</v>
      </c>
      <c r="F87" s="6" t="s">
        <v>849</v>
      </c>
      <c r="G87" s="64">
        <v>172000</v>
      </c>
      <c r="H87" s="6" t="s">
        <v>2546</v>
      </c>
      <c r="I87" s="9" t="s">
        <v>2085</v>
      </c>
      <c r="J87" s="9" t="s">
        <v>1824</v>
      </c>
      <c r="K87" s="6" t="s">
        <v>2598</v>
      </c>
      <c r="L87" s="9" t="s">
        <v>82</v>
      </c>
      <c r="M87" s="52"/>
      <c r="N87" s="9"/>
      <c r="O87" s="9"/>
      <c r="P87" s="489" t="s">
        <v>6612</v>
      </c>
      <c r="Q87" s="6" t="s">
        <v>6064</v>
      </c>
      <c r="R87" s="52"/>
      <c r="S87" s="52"/>
    </row>
    <row r="88" spans="1:19" ht="102">
      <c r="A88" s="6" t="s">
        <v>812</v>
      </c>
      <c r="B88" s="9" t="s">
        <v>61</v>
      </c>
      <c r="C88" s="6" t="s">
        <v>394</v>
      </c>
      <c r="D88" s="6"/>
      <c r="E88" s="6" t="s">
        <v>841</v>
      </c>
      <c r="F88" s="6" t="s">
        <v>842</v>
      </c>
      <c r="G88" s="64">
        <v>91000</v>
      </c>
      <c r="H88" s="6" t="s">
        <v>2599</v>
      </c>
      <c r="I88" s="9" t="s">
        <v>2130</v>
      </c>
      <c r="J88" s="9" t="s">
        <v>6373</v>
      </c>
      <c r="K88" s="6" t="s">
        <v>2600</v>
      </c>
      <c r="L88" s="9" t="s">
        <v>1853</v>
      </c>
      <c r="M88" s="52"/>
      <c r="N88" s="9"/>
      <c r="O88" s="9"/>
      <c r="P88" s="489" t="s">
        <v>6613</v>
      </c>
      <c r="Q88" s="6" t="s">
        <v>6071</v>
      </c>
      <c r="R88" s="52"/>
      <c r="S88" s="52"/>
    </row>
    <row r="89" spans="1:19" ht="140.25">
      <c r="A89" s="6" t="s">
        <v>815</v>
      </c>
      <c r="B89" s="9" t="s">
        <v>61</v>
      </c>
      <c r="C89" s="6" t="s">
        <v>394</v>
      </c>
      <c r="D89" s="6"/>
      <c r="E89" s="6" t="s">
        <v>843</v>
      </c>
      <c r="F89" s="6" t="s">
        <v>844</v>
      </c>
      <c r="G89" s="64">
        <v>37000</v>
      </c>
      <c r="H89" s="6" t="s">
        <v>2601</v>
      </c>
      <c r="I89" s="9" t="s">
        <v>1896</v>
      </c>
      <c r="J89" s="9" t="s">
        <v>6373</v>
      </c>
      <c r="K89" s="6" t="s">
        <v>2602</v>
      </c>
      <c r="L89" s="9" t="s">
        <v>1853</v>
      </c>
      <c r="M89" s="52"/>
      <c r="N89" s="9"/>
      <c r="O89" s="9"/>
      <c r="P89" s="489" t="s">
        <v>6614</v>
      </c>
      <c r="Q89" s="6" t="s">
        <v>6071</v>
      </c>
      <c r="R89" s="52"/>
      <c r="S89" s="52"/>
    </row>
    <row r="90" spans="1:19" ht="127.5">
      <c r="A90" s="6" t="s">
        <v>845</v>
      </c>
      <c r="B90" s="9" t="s">
        <v>61</v>
      </c>
      <c r="C90" s="6" t="s">
        <v>394</v>
      </c>
      <c r="D90" s="6"/>
      <c r="E90" s="6" t="s">
        <v>846</v>
      </c>
      <c r="F90" s="6" t="s">
        <v>844</v>
      </c>
      <c r="G90" s="64">
        <v>79000</v>
      </c>
      <c r="H90" s="6" t="s">
        <v>2601</v>
      </c>
      <c r="I90" s="9" t="s">
        <v>1896</v>
      </c>
      <c r="J90" s="9" t="s">
        <v>6373</v>
      </c>
      <c r="K90" s="6" t="s">
        <v>2603</v>
      </c>
      <c r="L90" s="9" t="s">
        <v>1853</v>
      </c>
      <c r="M90" s="52"/>
      <c r="N90" s="9"/>
      <c r="O90" s="9"/>
      <c r="P90" s="489" t="s">
        <v>6615</v>
      </c>
      <c r="Q90" s="6" t="s">
        <v>6071</v>
      </c>
      <c r="R90" s="52"/>
      <c r="S90" s="52"/>
    </row>
    <row r="91" spans="1:19" ht="153">
      <c r="A91" s="6" t="s">
        <v>847</v>
      </c>
      <c r="B91" s="9" t="s">
        <v>61</v>
      </c>
      <c r="C91" s="6" t="s">
        <v>394</v>
      </c>
      <c r="D91" s="6"/>
      <c r="E91" s="6" t="s">
        <v>848</v>
      </c>
      <c r="F91" s="6" t="s">
        <v>849</v>
      </c>
      <c r="G91" s="64">
        <v>38250</v>
      </c>
      <c r="H91" s="6" t="s">
        <v>2604</v>
      </c>
      <c r="I91" s="9" t="s">
        <v>2085</v>
      </c>
      <c r="J91" s="9" t="s">
        <v>6373</v>
      </c>
      <c r="K91" s="6" t="s">
        <v>2605</v>
      </c>
      <c r="L91" s="9" t="s">
        <v>1853</v>
      </c>
      <c r="M91" s="52"/>
      <c r="N91" s="9"/>
      <c r="O91" s="9"/>
      <c r="P91" s="489" t="s">
        <v>6616</v>
      </c>
      <c r="Q91" s="6" t="s">
        <v>6071</v>
      </c>
      <c r="R91" s="52"/>
      <c r="S91" s="52"/>
    </row>
    <row r="92" spans="1:19" ht="165.75">
      <c r="A92" s="6" t="s">
        <v>850</v>
      </c>
      <c r="B92" s="9" t="s">
        <v>61</v>
      </c>
      <c r="C92" s="6" t="s">
        <v>2520</v>
      </c>
      <c r="D92" s="6"/>
      <c r="E92" s="6" t="s">
        <v>851</v>
      </c>
      <c r="F92" s="6" t="s">
        <v>852</v>
      </c>
      <c r="G92" s="8">
        <v>7560</v>
      </c>
      <c r="H92" s="6" t="s">
        <v>2606</v>
      </c>
      <c r="I92" s="9" t="s">
        <v>1828</v>
      </c>
      <c r="J92" s="9" t="s">
        <v>2144</v>
      </c>
      <c r="K92" s="6" t="s">
        <v>2607</v>
      </c>
      <c r="L92" s="9" t="s">
        <v>611</v>
      </c>
      <c r="M92" s="52"/>
      <c r="N92" s="9" t="s">
        <v>6179</v>
      </c>
      <c r="O92" s="9"/>
      <c r="P92" s="489" t="s">
        <v>6617</v>
      </c>
      <c r="Q92" s="6" t="s">
        <v>6137</v>
      </c>
      <c r="R92" s="52"/>
      <c r="S92" s="52"/>
    </row>
    <row r="93" spans="1:19" ht="38.25">
      <c r="A93" s="6" t="s">
        <v>1581</v>
      </c>
      <c r="B93" s="9" t="s">
        <v>61</v>
      </c>
      <c r="C93" s="6" t="s">
        <v>1383</v>
      </c>
      <c r="D93" s="6"/>
      <c r="E93" s="6" t="s">
        <v>1647</v>
      </c>
      <c r="F93" s="6" t="s">
        <v>1641</v>
      </c>
      <c r="G93" s="64">
        <v>172000</v>
      </c>
      <c r="H93" s="6" t="s">
        <v>2449</v>
      </c>
      <c r="I93" s="9" t="s">
        <v>2051</v>
      </c>
      <c r="J93" s="9" t="s">
        <v>1824</v>
      </c>
      <c r="K93" s="6" t="s">
        <v>2608</v>
      </c>
      <c r="L93" s="9" t="s">
        <v>82</v>
      </c>
      <c r="M93" s="52"/>
      <c r="N93" s="9"/>
      <c r="O93" s="9"/>
      <c r="P93" s="489" t="s">
        <v>6618</v>
      </c>
      <c r="Q93" s="6" t="s">
        <v>6064</v>
      </c>
      <c r="R93" s="52"/>
      <c r="S93" s="52"/>
    </row>
    <row r="94" spans="1:19" ht="76.5">
      <c r="A94" s="6" t="s">
        <v>1648</v>
      </c>
      <c r="B94" s="9" t="s">
        <v>61</v>
      </c>
      <c r="C94" s="6" t="s">
        <v>1383</v>
      </c>
      <c r="D94" s="6"/>
      <c r="E94" s="6" t="s">
        <v>1649</v>
      </c>
      <c r="F94" s="6" t="s">
        <v>844</v>
      </c>
      <c r="G94" s="64">
        <v>172000</v>
      </c>
      <c r="H94" s="6" t="s">
        <v>2609</v>
      </c>
      <c r="I94" s="9" t="s">
        <v>1896</v>
      </c>
      <c r="J94" s="9" t="s">
        <v>1824</v>
      </c>
      <c r="K94" s="6" t="s">
        <v>2610</v>
      </c>
      <c r="L94" s="9" t="s">
        <v>82</v>
      </c>
      <c r="M94" s="52"/>
      <c r="N94" s="9"/>
      <c r="O94" s="9"/>
      <c r="P94" s="489" t="s">
        <v>6619</v>
      </c>
      <c r="Q94" s="6" t="s">
        <v>6064</v>
      </c>
      <c r="R94" s="52"/>
      <c r="S94" s="52"/>
    </row>
    <row r="95" spans="1:19" ht="102">
      <c r="A95" s="6" t="s">
        <v>1650</v>
      </c>
      <c r="B95" s="9" t="s">
        <v>61</v>
      </c>
      <c r="C95" s="6" t="s">
        <v>1383</v>
      </c>
      <c r="D95" s="6"/>
      <c r="E95" s="6" t="s">
        <v>1651</v>
      </c>
      <c r="F95" s="6" t="s">
        <v>1598</v>
      </c>
      <c r="G95" s="64">
        <v>172000</v>
      </c>
      <c r="H95" s="6" t="s">
        <v>2611</v>
      </c>
      <c r="I95" s="9" t="s">
        <v>2031</v>
      </c>
      <c r="J95" s="9" t="s">
        <v>1824</v>
      </c>
      <c r="K95" s="6" t="s">
        <v>2612</v>
      </c>
      <c r="L95" s="9" t="s">
        <v>82</v>
      </c>
      <c r="M95" s="52"/>
      <c r="N95" s="9"/>
      <c r="O95" s="9"/>
      <c r="P95" s="489" t="s">
        <v>6620</v>
      </c>
      <c r="Q95" s="6" t="s">
        <v>6064</v>
      </c>
      <c r="R95" s="52"/>
      <c r="S95" s="52"/>
    </row>
    <row r="96" spans="1:19" ht="102">
      <c r="A96" s="6" t="s">
        <v>60</v>
      </c>
      <c r="B96" s="9" t="s">
        <v>61</v>
      </c>
      <c r="C96" s="6" t="s">
        <v>1383</v>
      </c>
      <c r="D96" s="6"/>
      <c r="E96" s="6" t="s">
        <v>1652</v>
      </c>
      <c r="F96" s="6" t="s">
        <v>1605</v>
      </c>
      <c r="G96" s="64">
        <v>172000</v>
      </c>
      <c r="H96" s="6" t="s">
        <v>2613</v>
      </c>
      <c r="I96" s="9" t="s">
        <v>1919</v>
      </c>
      <c r="J96" s="9" t="s">
        <v>1824</v>
      </c>
      <c r="K96" s="6" t="s">
        <v>2614</v>
      </c>
      <c r="L96" s="9" t="s">
        <v>82</v>
      </c>
      <c r="M96" s="52"/>
      <c r="N96" s="9"/>
      <c r="O96" s="9"/>
      <c r="P96" s="489" t="s">
        <v>6621</v>
      </c>
      <c r="Q96" s="6" t="s">
        <v>6064</v>
      </c>
      <c r="R96" s="52"/>
      <c r="S96" s="52"/>
    </row>
    <row r="97" spans="1:19" ht="140.25">
      <c r="A97" s="6" t="s">
        <v>1207</v>
      </c>
      <c r="B97" s="9" t="s">
        <v>1926</v>
      </c>
      <c r="C97" s="6" t="s">
        <v>1383</v>
      </c>
      <c r="D97" s="6"/>
      <c r="E97" s="6" t="s">
        <v>2616</v>
      </c>
      <c r="F97" s="6" t="s">
        <v>2617</v>
      </c>
      <c r="G97" s="167" t="s">
        <v>2615</v>
      </c>
      <c r="H97" s="6" t="s">
        <v>2618</v>
      </c>
      <c r="I97" s="9" t="s">
        <v>1828</v>
      </c>
      <c r="J97" s="9" t="s">
        <v>1824</v>
      </c>
      <c r="K97" s="6" t="s">
        <v>2619</v>
      </c>
      <c r="L97" s="9" t="s">
        <v>82</v>
      </c>
      <c r="M97" s="52"/>
      <c r="N97" s="9" t="s">
        <v>6132</v>
      </c>
      <c r="O97" s="9"/>
      <c r="P97" s="489" t="s">
        <v>6622</v>
      </c>
      <c r="Q97" s="6" t="s">
        <v>6217</v>
      </c>
      <c r="R97" s="52"/>
      <c r="S97" s="52"/>
    </row>
    <row r="98" spans="1:19" ht="153">
      <c r="A98" s="6" t="s">
        <v>1210</v>
      </c>
      <c r="B98" s="9" t="s">
        <v>61</v>
      </c>
      <c r="C98" s="6" t="s">
        <v>1383</v>
      </c>
      <c r="D98" s="6"/>
      <c r="E98" s="6" t="s">
        <v>1653</v>
      </c>
      <c r="F98" s="6" t="s">
        <v>842</v>
      </c>
      <c r="G98" s="64">
        <v>91800</v>
      </c>
      <c r="H98" s="6" t="s">
        <v>2620</v>
      </c>
      <c r="I98" s="9" t="s">
        <v>2130</v>
      </c>
      <c r="J98" s="9" t="s">
        <v>1824</v>
      </c>
      <c r="K98" s="6" t="s">
        <v>2621</v>
      </c>
      <c r="L98" s="9" t="s">
        <v>82</v>
      </c>
      <c r="M98" s="52"/>
      <c r="N98" s="9"/>
      <c r="O98" s="9"/>
      <c r="P98" s="489" t="s">
        <v>6623</v>
      </c>
      <c r="Q98" s="6" t="s">
        <v>6071</v>
      </c>
      <c r="R98" s="52"/>
      <c r="S98" s="52"/>
    </row>
    <row r="99" spans="1:19" ht="114.75">
      <c r="A99" s="6" t="s">
        <v>818</v>
      </c>
      <c r="B99" s="9" t="s">
        <v>61</v>
      </c>
      <c r="C99" s="6" t="s">
        <v>394</v>
      </c>
      <c r="D99" s="6"/>
      <c r="E99" s="6" t="s">
        <v>853</v>
      </c>
      <c r="F99" s="6" t="s">
        <v>854</v>
      </c>
      <c r="G99" s="64">
        <v>37500</v>
      </c>
      <c r="H99" s="6" t="s">
        <v>581</v>
      </c>
      <c r="I99" s="9" t="s">
        <v>1916</v>
      </c>
      <c r="J99" s="9" t="s">
        <v>1824</v>
      </c>
      <c r="K99" s="6" t="s">
        <v>2622</v>
      </c>
      <c r="L99" s="9" t="s">
        <v>1853</v>
      </c>
      <c r="M99" s="52"/>
      <c r="N99" s="9"/>
      <c r="O99" s="9"/>
      <c r="P99" s="489" t="s">
        <v>6624</v>
      </c>
      <c r="Q99" s="6" t="s">
        <v>6071</v>
      </c>
      <c r="R99" s="52"/>
      <c r="S99" s="52"/>
    </row>
    <row r="100" spans="1:19" ht="153">
      <c r="A100" s="6" t="s">
        <v>855</v>
      </c>
      <c r="B100" s="9" t="s">
        <v>61</v>
      </c>
      <c r="C100" s="6" t="s">
        <v>2520</v>
      </c>
      <c r="D100" s="9"/>
      <c r="E100" s="9" t="s">
        <v>825</v>
      </c>
      <c r="F100" s="6" t="s">
        <v>826</v>
      </c>
      <c r="G100" s="8">
        <v>4536</v>
      </c>
      <c r="H100" s="6" t="s">
        <v>2623</v>
      </c>
      <c r="I100" s="9" t="s">
        <v>1828</v>
      </c>
      <c r="J100" s="9" t="s">
        <v>2144</v>
      </c>
      <c r="K100" s="6" t="s">
        <v>2624</v>
      </c>
      <c r="L100" s="9" t="s">
        <v>611</v>
      </c>
      <c r="M100" s="52"/>
      <c r="N100" s="9" t="s">
        <v>6179</v>
      </c>
      <c r="O100" s="9"/>
      <c r="P100" s="489" t="s">
        <v>6625</v>
      </c>
      <c r="Q100" s="6" t="s">
        <v>6137</v>
      </c>
      <c r="R100" s="52"/>
      <c r="S100" s="52"/>
    </row>
    <row r="101" spans="1:19" ht="165.75">
      <c r="A101" s="6" t="s">
        <v>856</v>
      </c>
      <c r="B101" s="9" t="s">
        <v>61</v>
      </c>
      <c r="C101" s="6" t="s">
        <v>2520</v>
      </c>
      <c r="D101" s="6"/>
      <c r="E101" s="6" t="s">
        <v>857</v>
      </c>
      <c r="F101" s="6" t="s">
        <v>2625</v>
      </c>
      <c r="G101" s="8">
        <v>55000</v>
      </c>
      <c r="H101" s="6" t="s">
        <v>2626</v>
      </c>
      <c r="I101" s="9" t="s">
        <v>1886</v>
      </c>
      <c r="J101" s="9" t="s">
        <v>2144</v>
      </c>
      <c r="K101" s="6" t="s">
        <v>2627</v>
      </c>
      <c r="L101" s="9" t="s">
        <v>611</v>
      </c>
      <c r="M101" s="52"/>
      <c r="N101" s="9" t="s">
        <v>6132</v>
      </c>
      <c r="O101" s="9"/>
      <c r="P101" s="489" t="s">
        <v>6626</v>
      </c>
      <c r="Q101" s="6" t="s">
        <v>6104</v>
      </c>
      <c r="R101" s="52"/>
      <c r="S101" s="52"/>
    </row>
    <row r="102" spans="1:19" ht="127.5">
      <c r="A102" s="6" t="s">
        <v>859</v>
      </c>
      <c r="B102" s="9" t="s">
        <v>61</v>
      </c>
      <c r="C102" s="6" t="s">
        <v>394</v>
      </c>
      <c r="D102" s="6"/>
      <c r="E102" s="6" t="s">
        <v>860</v>
      </c>
      <c r="F102" s="6" t="s">
        <v>854</v>
      </c>
      <c r="G102" s="64">
        <v>79000</v>
      </c>
      <c r="H102" s="6" t="s">
        <v>581</v>
      </c>
      <c r="I102" s="9" t="s">
        <v>1916</v>
      </c>
      <c r="J102" s="9" t="s">
        <v>6373</v>
      </c>
      <c r="K102" s="6" t="s">
        <v>2628</v>
      </c>
      <c r="L102" s="9" t="s">
        <v>1853</v>
      </c>
      <c r="M102" s="52"/>
      <c r="N102" s="9"/>
      <c r="O102" s="9"/>
      <c r="P102" s="489" t="s">
        <v>6627</v>
      </c>
      <c r="Q102" s="6" t="s">
        <v>6071</v>
      </c>
      <c r="R102" s="52"/>
      <c r="S102" s="52"/>
    </row>
    <row r="103" spans="1:19" ht="127.5">
      <c r="A103" s="6" t="s">
        <v>861</v>
      </c>
      <c r="B103" s="9" t="s">
        <v>61</v>
      </c>
      <c r="C103" s="6" t="s">
        <v>2520</v>
      </c>
      <c r="D103" s="6"/>
      <c r="E103" s="6" t="s">
        <v>862</v>
      </c>
      <c r="F103" s="6" t="s">
        <v>863</v>
      </c>
      <c r="G103" s="8">
        <v>1400</v>
      </c>
      <c r="H103" s="6" t="s">
        <v>2629</v>
      </c>
      <c r="I103" s="9" t="s">
        <v>1828</v>
      </c>
      <c r="J103" s="9" t="s">
        <v>2144</v>
      </c>
      <c r="K103" s="6" t="s">
        <v>2630</v>
      </c>
      <c r="L103" s="9" t="s">
        <v>611</v>
      </c>
      <c r="M103" s="52"/>
      <c r="N103" s="9" t="s">
        <v>6132</v>
      </c>
      <c r="O103" s="9"/>
      <c r="P103" s="489" t="s">
        <v>6628</v>
      </c>
      <c r="Q103" s="6" t="s">
        <v>6597</v>
      </c>
      <c r="R103" s="52"/>
      <c r="S103" s="52"/>
    </row>
    <row r="104" spans="1:19" ht="140.25">
      <c r="A104" s="6" t="s">
        <v>864</v>
      </c>
      <c r="B104" s="9" t="s">
        <v>61</v>
      </c>
      <c r="C104" s="6" t="s">
        <v>394</v>
      </c>
      <c r="D104" s="6"/>
      <c r="E104" s="6" t="s">
        <v>865</v>
      </c>
      <c r="F104" s="6" t="s">
        <v>866</v>
      </c>
      <c r="G104" s="64">
        <v>82800</v>
      </c>
      <c r="H104" s="6" t="s">
        <v>572</v>
      </c>
      <c r="I104" s="9" t="s">
        <v>1855</v>
      </c>
      <c r="J104" s="9" t="s">
        <v>6373</v>
      </c>
      <c r="K104" s="6" t="s">
        <v>2631</v>
      </c>
      <c r="L104" s="9" t="s">
        <v>1853</v>
      </c>
      <c r="M104" s="52"/>
      <c r="N104" s="9"/>
      <c r="O104" s="9"/>
      <c r="P104" s="489" t="s">
        <v>6629</v>
      </c>
      <c r="Q104" s="6" t="s">
        <v>6071</v>
      </c>
      <c r="R104" s="52"/>
      <c r="S104" s="52"/>
    </row>
    <row r="105" spans="1:19" ht="140.25">
      <c r="A105" s="6" t="s">
        <v>867</v>
      </c>
      <c r="B105" s="9" t="s">
        <v>61</v>
      </c>
      <c r="C105" s="6" t="s">
        <v>394</v>
      </c>
      <c r="D105" s="6"/>
      <c r="E105" s="6" t="s">
        <v>868</v>
      </c>
      <c r="F105" s="6" t="s">
        <v>849</v>
      </c>
      <c r="G105" s="64">
        <v>79000</v>
      </c>
      <c r="H105" s="6" t="s">
        <v>650</v>
      </c>
      <c r="I105" s="9" t="s">
        <v>2085</v>
      </c>
      <c r="J105" s="9" t="s">
        <v>6373</v>
      </c>
      <c r="K105" s="6" t="s">
        <v>2632</v>
      </c>
      <c r="L105" s="9" t="s">
        <v>1853</v>
      </c>
      <c r="M105" s="52"/>
      <c r="N105" s="9"/>
      <c r="O105" s="9"/>
      <c r="P105" s="489" t="s">
        <v>6630</v>
      </c>
      <c r="Q105" s="6" t="s">
        <v>6071</v>
      </c>
      <c r="R105" s="52"/>
      <c r="S105" s="52"/>
    </row>
    <row r="106" spans="1:19" ht="178.5">
      <c r="A106" s="6" t="s">
        <v>2633</v>
      </c>
      <c r="B106" s="9" t="s">
        <v>61</v>
      </c>
      <c r="C106" s="6" t="s">
        <v>1838</v>
      </c>
      <c r="D106" s="6"/>
      <c r="E106" s="6" t="s">
        <v>2634</v>
      </c>
      <c r="F106" s="6" t="s">
        <v>575</v>
      </c>
      <c r="G106" s="64">
        <v>43140</v>
      </c>
      <c r="H106" s="6" t="s">
        <v>575</v>
      </c>
      <c r="I106" s="9" t="s">
        <v>1828</v>
      </c>
      <c r="J106" s="9" t="s">
        <v>1824</v>
      </c>
      <c r="K106" s="6" t="s">
        <v>2635</v>
      </c>
      <c r="L106" s="9" t="s">
        <v>6345</v>
      </c>
      <c r="M106" s="52"/>
      <c r="N106" s="9"/>
      <c r="O106" s="9"/>
      <c r="P106" s="489" t="s">
        <v>6631</v>
      </c>
      <c r="Q106" s="6" t="s">
        <v>6064</v>
      </c>
      <c r="R106" s="52"/>
      <c r="S106" s="52"/>
    </row>
    <row r="107" spans="1:19" ht="127.5">
      <c r="A107" s="6" t="s">
        <v>869</v>
      </c>
      <c r="B107" s="9" t="s">
        <v>61</v>
      </c>
      <c r="C107" s="6" t="s">
        <v>394</v>
      </c>
      <c r="D107" s="6"/>
      <c r="E107" s="6" t="s">
        <v>870</v>
      </c>
      <c r="F107" s="6" t="s">
        <v>722</v>
      </c>
      <c r="G107" s="64">
        <v>90000</v>
      </c>
      <c r="H107" s="6" t="s">
        <v>722</v>
      </c>
      <c r="I107" s="9" t="s">
        <v>1899</v>
      </c>
      <c r="J107" s="9" t="s">
        <v>6373</v>
      </c>
      <c r="K107" s="6" t="s">
        <v>2636</v>
      </c>
      <c r="L107" s="9" t="s">
        <v>1853</v>
      </c>
      <c r="M107" s="52"/>
      <c r="N107" s="9"/>
      <c r="O107" s="9"/>
      <c r="P107" s="489" t="s">
        <v>6632</v>
      </c>
      <c r="Q107" s="6" t="s">
        <v>6071</v>
      </c>
      <c r="R107" s="52"/>
      <c r="S107" s="52"/>
    </row>
    <row r="108" spans="1:19" ht="178.5">
      <c r="A108" s="6" t="s">
        <v>1216</v>
      </c>
      <c r="B108" s="9" t="s">
        <v>61</v>
      </c>
      <c r="C108" s="6" t="s">
        <v>1141</v>
      </c>
      <c r="D108" s="6"/>
      <c r="E108" s="6" t="s">
        <v>1217</v>
      </c>
      <c r="F108" s="6" t="s">
        <v>1218</v>
      </c>
      <c r="G108" s="64">
        <v>92275.68</v>
      </c>
      <c r="H108" s="6" t="s">
        <v>2474</v>
      </c>
      <c r="I108" s="9" t="s">
        <v>1916</v>
      </c>
      <c r="J108" s="9" t="s">
        <v>6373</v>
      </c>
      <c r="K108" s="6" t="s">
        <v>2637</v>
      </c>
      <c r="L108" s="9" t="s">
        <v>1904</v>
      </c>
      <c r="M108" s="9"/>
      <c r="N108" s="9"/>
      <c r="O108" s="9"/>
      <c r="P108" s="489" t="s">
        <v>6633</v>
      </c>
      <c r="Q108" s="479"/>
      <c r="R108" s="52"/>
      <c r="S108" s="52"/>
    </row>
    <row r="109" spans="1:19" ht="178.5">
      <c r="A109" s="6" t="s">
        <v>1654</v>
      </c>
      <c r="B109" s="9" t="s">
        <v>61</v>
      </c>
      <c r="C109" s="6" t="s">
        <v>1383</v>
      </c>
      <c r="D109" s="6"/>
      <c r="E109" s="6" t="s">
        <v>1655</v>
      </c>
      <c r="F109" s="6" t="s">
        <v>1656</v>
      </c>
      <c r="G109" s="64">
        <v>50000</v>
      </c>
      <c r="H109" s="6" t="s">
        <v>1828</v>
      </c>
      <c r="I109" s="9" t="s">
        <v>1828</v>
      </c>
      <c r="J109" s="9" t="s">
        <v>6634</v>
      </c>
      <c r="K109" s="6" t="s">
        <v>2638</v>
      </c>
      <c r="L109" s="9" t="s">
        <v>82</v>
      </c>
      <c r="M109" s="52"/>
      <c r="N109" s="9"/>
      <c r="O109" s="9"/>
      <c r="P109" s="489" t="s">
        <v>6635</v>
      </c>
      <c r="Q109" s="6" t="s">
        <v>6064</v>
      </c>
      <c r="R109" s="52"/>
      <c r="S109" s="52"/>
    </row>
    <row r="110" spans="1:19" ht="165.75">
      <c r="A110" s="6" t="s">
        <v>1657</v>
      </c>
      <c r="B110" s="9" t="s">
        <v>61</v>
      </c>
      <c r="C110" s="6" t="s">
        <v>1383</v>
      </c>
      <c r="D110" s="6"/>
      <c r="E110" s="6" t="s">
        <v>1658</v>
      </c>
      <c r="F110" s="6" t="s">
        <v>572</v>
      </c>
      <c r="G110" s="64">
        <v>172000</v>
      </c>
      <c r="H110" s="6" t="s">
        <v>2639</v>
      </c>
      <c r="I110" s="9" t="s">
        <v>1855</v>
      </c>
      <c r="J110" s="9" t="s">
        <v>6634</v>
      </c>
      <c r="K110" s="6" t="s">
        <v>2640</v>
      </c>
      <c r="L110" s="9" t="s">
        <v>82</v>
      </c>
      <c r="M110" s="52"/>
      <c r="N110" s="9"/>
      <c r="O110" s="9"/>
      <c r="P110" s="489" t="s">
        <v>6636</v>
      </c>
      <c r="Q110" s="6" t="s">
        <v>6064</v>
      </c>
      <c r="R110" s="52"/>
      <c r="S110" s="52"/>
    </row>
    <row r="111" spans="1:19" ht="165.75">
      <c r="A111" s="6" t="s">
        <v>1219</v>
      </c>
      <c r="B111" s="9" t="s">
        <v>61</v>
      </c>
      <c r="C111" s="6" t="s">
        <v>62</v>
      </c>
      <c r="D111" s="6"/>
      <c r="E111" s="6" t="s">
        <v>1220</v>
      </c>
      <c r="F111" s="6" t="s">
        <v>1179</v>
      </c>
      <c r="G111" s="64">
        <v>1717600</v>
      </c>
      <c r="H111" s="6" t="s">
        <v>2641</v>
      </c>
      <c r="I111" s="9" t="s">
        <v>1886</v>
      </c>
      <c r="J111" s="9" t="s">
        <v>2144</v>
      </c>
      <c r="K111" s="6" t="s">
        <v>2642</v>
      </c>
      <c r="L111" s="9" t="s">
        <v>1904</v>
      </c>
      <c r="M111" s="9"/>
      <c r="N111" s="9" t="s">
        <v>6179</v>
      </c>
      <c r="O111" s="9"/>
      <c r="P111" s="489" t="s">
        <v>6637</v>
      </c>
      <c r="Q111" s="6" t="s">
        <v>6217</v>
      </c>
      <c r="R111" s="52"/>
      <c r="S111" s="52"/>
    </row>
    <row r="112" spans="1:19" ht="63.75">
      <c r="A112" s="6" t="s">
        <v>2643</v>
      </c>
      <c r="B112" s="9" t="s">
        <v>1823</v>
      </c>
      <c r="C112" s="6" t="s">
        <v>62</v>
      </c>
      <c r="D112" s="6"/>
      <c r="E112" s="6" t="s">
        <v>2644</v>
      </c>
      <c r="F112" s="6" t="s">
        <v>1231</v>
      </c>
      <c r="G112" s="6"/>
      <c r="H112" s="6" t="s">
        <v>575</v>
      </c>
      <c r="I112" s="9"/>
      <c r="J112" s="9"/>
      <c r="K112" s="6" t="s">
        <v>6638</v>
      </c>
      <c r="L112" s="9"/>
      <c r="M112" s="52"/>
      <c r="N112" s="9"/>
      <c r="O112" s="9"/>
      <c r="P112" s="489" t="s">
        <v>6639</v>
      </c>
      <c r="Q112" s="6" t="s">
        <v>6064</v>
      </c>
      <c r="R112" s="52"/>
      <c r="S112" s="52"/>
    </row>
    <row r="113" spans="1:19" ht="140.25">
      <c r="A113" s="6" t="s">
        <v>1659</v>
      </c>
      <c r="B113" s="9" t="s">
        <v>61</v>
      </c>
      <c r="C113" s="6" t="s">
        <v>1383</v>
      </c>
      <c r="D113" s="6"/>
      <c r="E113" s="6" t="s">
        <v>1660</v>
      </c>
      <c r="F113" s="6" t="s">
        <v>1482</v>
      </c>
      <c r="G113" s="64">
        <v>287052</v>
      </c>
      <c r="H113" s="6" t="s">
        <v>2646</v>
      </c>
      <c r="I113" s="9" t="s">
        <v>1886</v>
      </c>
      <c r="J113" s="9" t="s">
        <v>1824</v>
      </c>
      <c r="K113" s="6" t="s">
        <v>2647</v>
      </c>
      <c r="L113" s="9" t="s">
        <v>82</v>
      </c>
      <c r="M113" s="52"/>
      <c r="N113" s="9"/>
      <c r="O113" s="9"/>
      <c r="P113" s="489" t="s">
        <v>6640</v>
      </c>
      <c r="Q113" s="6" t="s">
        <v>6064</v>
      </c>
      <c r="R113" s="52"/>
      <c r="S113" s="52"/>
    </row>
    <row r="114" spans="1:19" ht="165.75">
      <c r="A114" s="6" t="s">
        <v>1221</v>
      </c>
      <c r="B114" s="9" t="s">
        <v>61</v>
      </c>
      <c r="C114" s="6" t="s">
        <v>1111</v>
      </c>
      <c r="D114" s="6"/>
      <c r="E114" s="6" t="s">
        <v>1222</v>
      </c>
      <c r="F114" s="6" t="s">
        <v>1223</v>
      </c>
      <c r="G114" s="64">
        <v>468445.54</v>
      </c>
      <c r="H114" s="6" t="s">
        <v>2648</v>
      </c>
      <c r="I114" s="9" t="s">
        <v>1886</v>
      </c>
      <c r="J114" s="9" t="s">
        <v>2144</v>
      </c>
      <c r="K114" s="6" t="s">
        <v>2649</v>
      </c>
      <c r="L114" s="9" t="s">
        <v>1904</v>
      </c>
      <c r="M114" s="9"/>
      <c r="N114" s="9" t="s">
        <v>6132</v>
      </c>
      <c r="O114" s="9"/>
      <c r="P114" s="489" t="s">
        <v>6641</v>
      </c>
      <c r="Q114" s="6" t="s">
        <v>6170</v>
      </c>
      <c r="R114" s="52"/>
      <c r="S114" s="52"/>
    </row>
    <row r="115" spans="1:19" ht="114.75">
      <c r="A115" s="6" t="s">
        <v>1224</v>
      </c>
      <c r="B115" s="9" t="s">
        <v>61</v>
      </c>
      <c r="C115" s="6" t="s">
        <v>1111</v>
      </c>
      <c r="D115" s="6"/>
      <c r="E115" s="6" t="s">
        <v>1225</v>
      </c>
      <c r="F115" s="6" t="s">
        <v>1226</v>
      </c>
      <c r="G115" s="64">
        <v>495000</v>
      </c>
      <c r="H115" s="6" t="s">
        <v>2650</v>
      </c>
      <c r="I115" s="9" t="s">
        <v>1886</v>
      </c>
      <c r="J115" s="9" t="s">
        <v>2144</v>
      </c>
      <c r="K115" s="6" t="s">
        <v>2651</v>
      </c>
      <c r="L115" s="9" t="s">
        <v>1904</v>
      </c>
      <c r="M115" s="9"/>
      <c r="N115" s="9" t="s">
        <v>6132</v>
      </c>
      <c r="O115" s="9"/>
      <c r="P115" s="489" t="s">
        <v>6642</v>
      </c>
      <c r="Q115" s="6" t="s">
        <v>6170</v>
      </c>
      <c r="R115" s="52"/>
      <c r="S115" s="52"/>
    </row>
    <row r="116" spans="1:19" ht="102">
      <c r="A116" s="6" t="s">
        <v>1227</v>
      </c>
      <c r="B116" s="9" t="s">
        <v>61</v>
      </c>
      <c r="C116" s="6" t="s">
        <v>1111</v>
      </c>
      <c r="D116" s="6"/>
      <c r="E116" s="6" t="s">
        <v>2652</v>
      </c>
      <c r="F116" s="6" t="s">
        <v>1229</v>
      </c>
      <c r="G116" s="64">
        <v>500000</v>
      </c>
      <c r="H116" s="6" t="s">
        <v>2653</v>
      </c>
      <c r="I116" s="9" t="s">
        <v>1886</v>
      </c>
      <c r="J116" s="9" t="s">
        <v>2144</v>
      </c>
      <c r="K116" s="6" t="s">
        <v>2654</v>
      </c>
      <c r="L116" s="9" t="s">
        <v>1904</v>
      </c>
      <c r="M116" s="9"/>
      <c r="N116" s="9" t="s">
        <v>6179</v>
      </c>
      <c r="O116" s="9"/>
      <c r="P116" s="489" t="s">
        <v>6643</v>
      </c>
      <c r="Q116" s="6" t="s">
        <v>6092</v>
      </c>
      <c r="R116" s="52"/>
      <c r="S116" s="52"/>
    </row>
    <row r="117" spans="1:19" ht="25.5">
      <c r="A117" s="6" t="s">
        <v>871</v>
      </c>
      <c r="B117" s="9" t="s">
        <v>61</v>
      </c>
      <c r="C117" s="6" t="s">
        <v>394</v>
      </c>
      <c r="D117" s="6"/>
      <c r="E117" s="6" t="s">
        <v>872</v>
      </c>
      <c r="F117" s="6" t="s">
        <v>820</v>
      </c>
      <c r="G117" s="8">
        <v>79000</v>
      </c>
      <c r="H117" s="166" t="s">
        <v>2655</v>
      </c>
      <c r="I117" s="9" t="s">
        <v>1886</v>
      </c>
      <c r="J117" s="9" t="s">
        <v>6373</v>
      </c>
      <c r="K117" s="6"/>
      <c r="L117" s="9" t="s">
        <v>1853</v>
      </c>
      <c r="M117" s="52"/>
      <c r="N117" s="9"/>
      <c r="O117" s="9"/>
      <c r="P117" s="491"/>
      <c r="Q117" s="6" t="s">
        <v>6071</v>
      </c>
      <c r="R117" s="52"/>
      <c r="S117" s="52"/>
    </row>
    <row r="118" spans="1:19" ht="14.25">
      <c r="A118" s="6" t="s">
        <v>873</v>
      </c>
      <c r="B118" s="9" t="s">
        <v>61</v>
      </c>
      <c r="C118" s="6" t="s">
        <v>2232</v>
      </c>
      <c r="D118" s="6"/>
      <c r="E118" s="6" t="s">
        <v>874</v>
      </c>
      <c r="F118" s="6" t="s">
        <v>820</v>
      </c>
      <c r="G118" s="8">
        <v>34500</v>
      </c>
      <c r="H118" s="169" t="s">
        <v>2656</v>
      </c>
      <c r="I118" s="9" t="s">
        <v>1886</v>
      </c>
      <c r="J118" s="9" t="s">
        <v>6373</v>
      </c>
      <c r="K118" s="6"/>
      <c r="L118" s="9" t="s">
        <v>1853</v>
      </c>
      <c r="M118" s="52"/>
      <c r="N118" s="9"/>
      <c r="O118" s="9"/>
      <c r="P118" s="9"/>
      <c r="Q118" s="6" t="s">
        <v>6071</v>
      </c>
      <c r="R118" s="52"/>
      <c r="S118" s="52"/>
    </row>
    <row r="119" spans="1:19" ht="25.5">
      <c r="A119" s="6" t="s">
        <v>2657</v>
      </c>
      <c r="B119" s="9" t="s">
        <v>61</v>
      </c>
      <c r="C119" s="6" t="s">
        <v>2172</v>
      </c>
      <c r="D119" s="6"/>
      <c r="E119" s="6" t="s">
        <v>2658</v>
      </c>
      <c r="F119" s="6" t="s">
        <v>1622</v>
      </c>
      <c r="G119" s="8">
        <v>172000</v>
      </c>
      <c r="H119" s="6" t="s">
        <v>2659</v>
      </c>
      <c r="I119" s="9" t="s">
        <v>2659</v>
      </c>
      <c r="J119" s="9" t="s">
        <v>1824</v>
      </c>
      <c r="K119" s="6"/>
      <c r="L119" s="9" t="s">
        <v>82</v>
      </c>
      <c r="M119" s="52"/>
      <c r="N119" s="9"/>
      <c r="O119" s="9"/>
      <c r="P119" s="9"/>
      <c r="Q119" s="6" t="s">
        <v>6064</v>
      </c>
      <c r="R119" s="52"/>
      <c r="S119" s="52"/>
    </row>
    <row r="120" spans="1:19" ht="38.25">
      <c r="A120" s="6" t="s">
        <v>875</v>
      </c>
      <c r="B120" s="9" t="s">
        <v>61</v>
      </c>
      <c r="C120" s="6" t="s">
        <v>113</v>
      </c>
      <c r="D120" s="6"/>
      <c r="E120" s="6" t="s">
        <v>876</v>
      </c>
      <c r="F120" s="6" t="s">
        <v>575</v>
      </c>
      <c r="G120" s="6"/>
      <c r="H120" s="6" t="s">
        <v>2298</v>
      </c>
      <c r="I120" s="9" t="s">
        <v>1828</v>
      </c>
      <c r="J120" s="9" t="s">
        <v>1824</v>
      </c>
      <c r="K120" s="6"/>
      <c r="L120" s="9" t="s">
        <v>611</v>
      </c>
      <c r="M120" s="52"/>
      <c r="N120" s="475" t="s">
        <v>1808</v>
      </c>
      <c r="O120" s="9"/>
      <c r="P120" s="9"/>
      <c r="Q120" s="6" t="s">
        <v>1824</v>
      </c>
      <c r="R120" s="52"/>
      <c r="S120" s="52"/>
    </row>
    <row r="121" spans="1:19" ht="12.75">
      <c r="A121" s="6" t="s">
        <v>877</v>
      </c>
      <c r="B121" s="9" t="s">
        <v>61</v>
      </c>
      <c r="C121" s="6" t="s">
        <v>68</v>
      </c>
      <c r="D121" s="9"/>
      <c r="E121" s="9" t="s">
        <v>878</v>
      </c>
      <c r="F121" s="6" t="s">
        <v>879</v>
      </c>
      <c r="G121" s="8">
        <v>186604.41</v>
      </c>
      <c r="H121" s="6" t="s">
        <v>2660</v>
      </c>
      <c r="I121" s="9" t="s">
        <v>1828</v>
      </c>
      <c r="J121" s="9" t="s">
        <v>2144</v>
      </c>
      <c r="K121" s="9"/>
      <c r="L121" s="9" t="s">
        <v>1874</v>
      </c>
      <c r="M121" s="52"/>
      <c r="N121" s="9" t="s">
        <v>6132</v>
      </c>
      <c r="O121" s="9"/>
      <c r="P121" s="9"/>
      <c r="Q121" s="6" t="s">
        <v>6064</v>
      </c>
      <c r="R121" s="52"/>
      <c r="S121" s="52"/>
    </row>
    <row r="122" spans="1:19" ht="12.75">
      <c r="A122" s="6" t="s">
        <v>1230</v>
      </c>
      <c r="B122" s="9" t="s">
        <v>61</v>
      </c>
      <c r="C122" s="6" t="s">
        <v>1231</v>
      </c>
      <c r="D122" s="6"/>
      <c r="E122" s="6" t="s">
        <v>1232</v>
      </c>
      <c r="F122" s="6" t="s">
        <v>575</v>
      </c>
      <c r="G122" s="6"/>
      <c r="H122" s="6" t="s">
        <v>575</v>
      </c>
      <c r="I122" s="9" t="s">
        <v>1828</v>
      </c>
      <c r="J122" s="9" t="s">
        <v>1824</v>
      </c>
      <c r="K122" s="6"/>
      <c r="L122" s="9" t="s">
        <v>1231</v>
      </c>
      <c r="M122" s="52"/>
      <c r="N122" s="475" t="s">
        <v>1808</v>
      </c>
      <c r="O122" s="9"/>
      <c r="P122" s="9"/>
      <c r="Q122" s="6" t="s">
        <v>6064</v>
      </c>
      <c r="R122" s="52"/>
      <c r="S122" s="52"/>
    </row>
    <row r="123" spans="1:19" ht="25.5">
      <c r="A123" s="6" t="s">
        <v>2661</v>
      </c>
      <c r="B123" s="9" t="s">
        <v>61</v>
      </c>
      <c r="C123" s="6" t="s">
        <v>1838</v>
      </c>
      <c r="D123" s="6"/>
      <c r="E123" s="6" t="s">
        <v>2662</v>
      </c>
      <c r="F123" s="6" t="s">
        <v>575</v>
      </c>
      <c r="G123" s="6">
        <v>50000</v>
      </c>
      <c r="H123" s="6" t="s">
        <v>2298</v>
      </c>
      <c r="I123" s="9" t="s">
        <v>1828</v>
      </c>
      <c r="J123" s="9" t="s">
        <v>1824</v>
      </c>
      <c r="K123" s="6"/>
      <c r="L123" s="9" t="s">
        <v>6345</v>
      </c>
      <c r="M123" s="52"/>
      <c r="N123" s="475" t="s">
        <v>1808</v>
      </c>
      <c r="O123" s="9"/>
      <c r="P123" s="9"/>
      <c r="Q123" s="6" t="s">
        <v>6064</v>
      </c>
      <c r="R123" s="52"/>
      <c r="S123" s="52"/>
    </row>
    <row r="124" spans="1:19" ht="38.25">
      <c r="A124" s="6" t="s">
        <v>880</v>
      </c>
      <c r="B124" s="9" t="s">
        <v>61</v>
      </c>
      <c r="C124" s="6" t="s">
        <v>394</v>
      </c>
      <c r="D124" s="6"/>
      <c r="E124" s="6" t="s">
        <v>881</v>
      </c>
      <c r="F124" s="6" t="s">
        <v>882</v>
      </c>
      <c r="G124" s="8">
        <v>74000</v>
      </c>
      <c r="H124" s="6" t="s">
        <v>882</v>
      </c>
      <c r="I124" s="9" t="s">
        <v>1828</v>
      </c>
      <c r="J124" s="9" t="s">
        <v>6373</v>
      </c>
      <c r="K124" s="6"/>
      <c r="L124" s="9" t="s">
        <v>1853</v>
      </c>
      <c r="M124" s="52"/>
      <c r="N124" s="475" t="s">
        <v>1808</v>
      </c>
      <c r="O124" s="9"/>
      <c r="P124" s="9"/>
      <c r="Q124" s="6" t="s">
        <v>6071</v>
      </c>
      <c r="R124" s="52"/>
      <c r="S124" s="52"/>
    </row>
    <row r="125" spans="1:19" ht="25.5">
      <c r="A125" s="6" t="s">
        <v>2663</v>
      </c>
      <c r="B125" s="9" t="s">
        <v>61</v>
      </c>
      <c r="C125" s="6" t="s">
        <v>1838</v>
      </c>
      <c r="D125" s="6"/>
      <c r="E125" s="6" t="s">
        <v>2664</v>
      </c>
      <c r="F125" s="6"/>
      <c r="G125" s="6">
        <v>65300</v>
      </c>
      <c r="H125" s="6" t="s">
        <v>1862</v>
      </c>
      <c r="I125" s="9" t="s">
        <v>1828</v>
      </c>
      <c r="J125" s="9" t="s">
        <v>1824</v>
      </c>
      <c r="K125" s="6"/>
      <c r="L125" s="9" t="s">
        <v>6345</v>
      </c>
      <c r="M125" s="52"/>
      <c r="N125" s="475" t="s">
        <v>1808</v>
      </c>
      <c r="O125" s="9"/>
      <c r="P125" s="9"/>
      <c r="Q125" s="6" t="s">
        <v>1838</v>
      </c>
      <c r="R125" s="52"/>
      <c r="S125" s="52"/>
    </row>
    <row r="126" spans="1:19" ht="38.25">
      <c r="A126" s="6" t="s">
        <v>883</v>
      </c>
      <c r="B126" s="9" t="s">
        <v>61</v>
      </c>
      <c r="C126" s="6" t="s">
        <v>68</v>
      </c>
      <c r="D126" s="6"/>
      <c r="E126" s="6" t="s">
        <v>884</v>
      </c>
      <c r="F126" s="6" t="s">
        <v>885</v>
      </c>
      <c r="G126" s="8">
        <v>199300</v>
      </c>
      <c r="H126" s="6" t="s">
        <v>2665</v>
      </c>
      <c r="I126" s="9" t="s">
        <v>1828</v>
      </c>
      <c r="J126" s="9" t="s">
        <v>2144</v>
      </c>
      <c r="K126" s="6"/>
      <c r="L126" s="9" t="s">
        <v>1874</v>
      </c>
      <c r="M126" s="52"/>
      <c r="N126" s="9" t="s">
        <v>6132</v>
      </c>
      <c r="O126" s="9"/>
      <c r="P126" s="9"/>
      <c r="Q126" s="6" t="s">
        <v>6092</v>
      </c>
      <c r="R126" s="52"/>
      <c r="S126" s="52"/>
    </row>
    <row r="127" spans="1:19" ht="38.25">
      <c r="A127" s="6" t="s">
        <v>886</v>
      </c>
      <c r="B127" s="9" t="s">
        <v>61</v>
      </c>
      <c r="C127" s="6" t="s">
        <v>652</v>
      </c>
      <c r="D127" s="9"/>
      <c r="E127" s="9" t="s">
        <v>2666</v>
      </c>
      <c r="F127" s="6" t="s">
        <v>888</v>
      </c>
      <c r="G127" s="8">
        <v>182454</v>
      </c>
      <c r="H127" s="6" t="s">
        <v>2667</v>
      </c>
      <c r="I127" s="9" t="s">
        <v>2041</v>
      </c>
      <c r="J127" s="9" t="s">
        <v>2144</v>
      </c>
      <c r="K127" s="9"/>
      <c r="L127" s="9" t="s">
        <v>1874</v>
      </c>
      <c r="M127" s="52"/>
      <c r="N127" s="9" t="s">
        <v>6132</v>
      </c>
      <c r="O127" s="9"/>
      <c r="P127" s="9"/>
      <c r="Q127" s="6" t="s">
        <v>6220</v>
      </c>
      <c r="R127" s="52"/>
      <c r="S127" s="52"/>
    </row>
    <row r="128" spans="1:19" ht="38.25">
      <c r="A128" s="6" t="s">
        <v>889</v>
      </c>
      <c r="B128" s="9" t="s">
        <v>61</v>
      </c>
      <c r="C128" s="6" t="s">
        <v>2520</v>
      </c>
      <c r="D128" s="6"/>
      <c r="E128" s="6" t="s">
        <v>2668</v>
      </c>
      <c r="F128" s="6" t="s">
        <v>2669</v>
      </c>
      <c r="G128" s="8">
        <v>2350</v>
      </c>
      <c r="H128" s="6" t="s">
        <v>2670</v>
      </c>
      <c r="I128" s="9" t="s">
        <v>1828</v>
      </c>
      <c r="J128" s="9" t="s">
        <v>2144</v>
      </c>
      <c r="K128" s="6"/>
      <c r="L128" s="9" t="s">
        <v>1874</v>
      </c>
      <c r="M128" s="52"/>
      <c r="N128" s="9" t="s">
        <v>6132</v>
      </c>
      <c r="O128" s="9"/>
      <c r="P128" s="9"/>
      <c r="Q128" s="6" t="s">
        <v>6092</v>
      </c>
      <c r="R128" s="52"/>
      <c r="S128" s="52"/>
    </row>
    <row r="129" spans="1:19" ht="12.75">
      <c r="A129" s="6" t="s">
        <v>2671</v>
      </c>
      <c r="B129" s="9" t="s">
        <v>61</v>
      </c>
      <c r="C129" s="6" t="s">
        <v>1838</v>
      </c>
      <c r="D129" s="6"/>
      <c r="E129" s="6" t="s">
        <v>2672</v>
      </c>
      <c r="F129" s="6" t="s">
        <v>575</v>
      </c>
      <c r="G129" s="8">
        <v>200000</v>
      </c>
      <c r="H129" s="6" t="s">
        <v>2298</v>
      </c>
      <c r="I129" s="9" t="s">
        <v>1828</v>
      </c>
      <c r="J129" s="9" t="s">
        <v>1824</v>
      </c>
      <c r="K129" s="6"/>
      <c r="L129" s="9" t="s">
        <v>6345</v>
      </c>
      <c r="M129" s="52"/>
      <c r="N129" s="475" t="s">
        <v>1808</v>
      </c>
      <c r="O129" s="9"/>
      <c r="P129" s="9"/>
      <c r="Q129" s="6" t="s">
        <v>1838</v>
      </c>
      <c r="R129" s="52"/>
      <c r="S129" s="52"/>
    </row>
    <row r="130" spans="1:19" ht="12.75">
      <c r="A130" s="6" t="s">
        <v>1233</v>
      </c>
      <c r="B130" s="9" t="s">
        <v>61</v>
      </c>
      <c r="C130" s="6" t="s">
        <v>1141</v>
      </c>
      <c r="D130" s="6"/>
      <c r="E130" s="6" t="s">
        <v>1234</v>
      </c>
      <c r="F130" s="64" t="s">
        <v>1215</v>
      </c>
      <c r="G130" s="64">
        <v>16685</v>
      </c>
      <c r="H130" s="6" t="s">
        <v>2673</v>
      </c>
      <c r="I130" s="9" t="s">
        <v>1916</v>
      </c>
      <c r="J130" s="9" t="s">
        <v>6373</v>
      </c>
      <c r="K130" s="6"/>
      <c r="L130" s="9" t="s">
        <v>1904</v>
      </c>
      <c r="M130" s="9"/>
      <c r="N130" s="475" t="s">
        <v>1808</v>
      </c>
      <c r="O130" s="9"/>
      <c r="P130" s="9"/>
      <c r="Q130" s="6" t="s">
        <v>6137</v>
      </c>
      <c r="R130" s="52"/>
      <c r="S130" s="52"/>
    </row>
    <row r="131" spans="1:19" ht="12.75">
      <c r="A131" s="6" t="s">
        <v>1235</v>
      </c>
      <c r="B131" s="9" t="s">
        <v>61</v>
      </c>
      <c r="C131" s="6" t="s">
        <v>1141</v>
      </c>
      <c r="D131" s="6"/>
      <c r="E131" s="6" t="s">
        <v>1236</v>
      </c>
      <c r="F131" s="64" t="s">
        <v>1215</v>
      </c>
      <c r="G131" s="64">
        <v>77500</v>
      </c>
      <c r="H131" s="6" t="s">
        <v>2673</v>
      </c>
      <c r="I131" s="9" t="s">
        <v>1916</v>
      </c>
      <c r="J131" s="9" t="s">
        <v>6373</v>
      </c>
      <c r="K131" s="6"/>
      <c r="L131" s="9" t="s">
        <v>1904</v>
      </c>
      <c r="M131" s="9"/>
      <c r="N131" s="475" t="s">
        <v>1808</v>
      </c>
      <c r="O131" s="9"/>
      <c r="P131" s="9"/>
      <c r="Q131" s="6" t="s">
        <v>6137</v>
      </c>
      <c r="R131" s="52"/>
      <c r="S131" s="52"/>
    </row>
    <row r="132" spans="1:19" ht="12.75">
      <c r="A132" s="6" t="s">
        <v>1237</v>
      </c>
      <c r="B132" s="9" t="s">
        <v>61</v>
      </c>
      <c r="C132" s="6" t="s">
        <v>1141</v>
      </c>
      <c r="D132" s="6"/>
      <c r="E132" s="6" t="s">
        <v>1238</v>
      </c>
      <c r="F132" s="64" t="s">
        <v>1215</v>
      </c>
      <c r="G132" s="64">
        <v>110050</v>
      </c>
      <c r="H132" s="6" t="s">
        <v>2673</v>
      </c>
      <c r="I132" s="9" t="s">
        <v>1916</v>
      </c>
      <c r="J132" s="9" t="s">
        <v>6373</v>
      </c>
      <c r="K132" s="6"/>
      <c r="L132" s="9" t="s">
        <v>1904</v>
      </c>
      <c r="M132" s="9"/>
      <c r="N132" s="475" t="s">
        <v>1808</v>
      </c>
      <c r="O132" s="9"/>
      <c r="P132" s="9"/>
      <c r="Q132" s="6" t="s">
        <v>6137</v>
      </c>
      <c r="R132" s="52"/>
      <c r="S132" s="52"/>
    </row>
    <row r="133" spans="1:19" ht="25.5">
      <c r="A133" s="6" t="s">
        <v>892</v>
      </c>
      <c r="B133" s="9" t="s">
        <v>61</v>
      </c>
      <c r="C133" s="6" t="s">
        <v>2520</v>
      </c>
      <c r="D133" s="6"/>
      <c r="E133" s="6" t="s">
        <v>893</v>
      </c>
      <c r="F133" s="6" t="s">
        <v>894</v>
      </c>
      <c r="G133" s="8">
        <v>18800</v>
      </c>
      <c r="H133" s="6" t="s">
        <v>2674</v>
      </c>
      <c r="I133" s="9" t="s">
        <v>1828</v>
      </c>
      <c r="J133" s="9" t="s">
        <v>2144</v>
      </c>
      <c r="K133" s="6"/>
      <c r="L133" s="9" t="s">
        <v>611</v>
      </c>
      <c r="M133" s="52"/>
      <c r="N133" s="475" t="s">
        <v>5654</v>
      </c>
      <c r="O133" s="9"/>
      <c r="P133" s="9"/>
      <c r="Q133" s="6" t="s">
        <v>6104</v>
      </c>
      <c r="R133" s="52"/>
      <c r="S133" s="52"/>
    </row>
    <row r="134" spans="1:19" ht="12.75">
      <c r="A134" s="6" t="s">
        <v>895</v>
      </c>
      <c r="B134" s="9" t="s">
        <v>61</v>
      </c>
      <c r="C134" s="6" t="s">
        <v>394</v>
      </c>
      <c r="D134" s="6"/>
      <c r="E134" s="6" t="s">
        <v>896</v>
      </c>
      <c r="F134" s="6" t="s">
        <v>897</v>
      </c>
      <c r="G134" s="8">
        <v>120000</v>
      </c>
      <c r="H134" s="6" t="s">
        <v>2675</v>
      </c>
      <c r="I134" s="9" t="s">
        <v>2676</v>
      </c>
      <c r="J134" s="9" t="s">
        <v>6373</v>
      </c>
      <c r="K134" s="6"/>
      <c r="L134" s="9" t="s">
        <v>1853</v>
      </c>
      <c r="M134" s="52"/>
      <c r="N134" s="475" t="s">
        <v>1808</v>
      </c>
      <c r="O134" s="9"/>
      <c r="P134" s="9"/>
      <c r="Q134" s="6" t="s">
        <v>6071</v>
      </c>
      <c r="R134" s="52"/>
      <c r="S134" s="52"/>
    </row>
    <row r="135" spans="1:19" ht="38.25">
      <c r="A135" s="6" t="s">
        <v>898</v>
      </c>
      <c r="B135" s="9" t="s">
        <v>61</v>
      </c>
      <c r="C135" s="6" t="s">
        <v>2520</v>
      </c>
      <c r="D135" s="9"/>
      <c r="E135" s="9" t="s">
        <v>899</v>
      </c>
      <c r="F135" s="6" t="s">
        <v>900</v>
      </c>
      <c r="G135" s="8">
        <v>8440</v>
      </c>
      <c r="H135" s="6" t="s">
        <v>2677</v>
      </c>
      <c r="I135" s="9" t="s">
        <v>1828</v>
      </c>
      <c r="J135" s="9" t="s">
        <v>2144</v>
      </c>
      <c r="K135" s="9"/>
      <c r="L135" s="9" t="s">
        <v>611</v>
      </c>
      <c r="M135" s="52"/>
      <c r="N135" s="9" t="s">
        <v>6179</v>
      </c>
      <c r="O135" s="9"/>
      <c r="P135" s="9"/>
      <c r="Q135" s="6" t="s">
        <v>6137</v>
      </c>
      <c r="R135" s="52"/>
      <c r="S135" s="52"/>
    </row>
    <row r="136" spans="1:19" ht="38.25">
      <c r="A136" s="6" t="s">
        <v>901</v>
      </c>
      <c r="B136" s="9" t="s">
        <v>61</v>
      </c>
      <c r="C136" s="6" t="s">
        <v>2520</v>
      </c>
      <c r="D136" s="6"/>
      <c r="E136" s="6" t="s">
        <v>902</v>
      </c>
      <c r="F136" s="6" t="s">
        <v>903</v>
      </c>
      <c r="G136" s="8">
        <v>14400</v>
      </c>
      <c r="H136" s="6" t="s">
        <v>2575</v>
      </c>
      <c r="I136" s="9" t="s">
        <v>2047</v>
      </c>
      <c r="J136" s="9" t="s">
        <v>2144</v>
      </c>
      <c r="K136" s="6"/>
      <c r="L136" s="9" t="s">
        <v>611</v>
      </c>
      <c r="M136" s="52"/>
      <c r="N136" s="9" t="s">
        <v>6132</v>
      </c>
      <c r="O136" s="9"/>
      <c r="P136" s="9"/>
      <c r="Q136" s="6" t="s">
        <v>6220</v>
      </c>
      <c r="R136" s="52"/>
      <c r="S136" s="52"/>
    </row>
    <row r="137" spans="1:19" ht="25.5">
      <c r="A137" s="6" t="s">
        <v>904</v>
      </c>
      <c r="B137" s="9" t="s">
        <v>61</v>
      </c>
      <c r="C137" s="6" t="s">
        <v>2520</v>
      </c>
      <c r="D137" s="6"/>
      <c r="E137" s="6" t="s">
        <v>905</v>
      </c>
      <c r="F137" s="6" t="s">
        <v>906</v>
      </c>
      <c r="G137" s="8">
        <v>10360</v>
      </c>
      <c r="H137" s="6" t="s">
        <v>2678</v>
      </c>
      <c r="I137" s="9" t="s">
        <v>1828</v>
      </c>
      <c r="J137" s="9" t="s">
        <v>2144</v>
      </c>
      <c r="K137" s="6"/>
      <c r="L137" s="9" t="s">
        <v>611</v>
      </c>
      <c r="M137" s="52"/>
      <c r="N137" s="9" t="s">
        <v>6179</v>
      </c>
      <c r="O137" s="9"/>
      <c r="P137" s="9"/>
      <c r="Q137" s="6" t="s">
        <v>6137</v>
      </c>
      <c r="R137" s="52"/>
      <c r="S137" s="52"/>
    </row>
    <row r="138" spans="1:19" ht="25.5">
      <c r="A138" s="6" t="s">
        <v>907</v>
      </c>
      <c r="B138" s="9" t="s">
        <v>61</v>
      </c>
      <c r="C138" s="6" t="s">
        <v>68</v>
      </c>
      <c r="D138" s="6"/>
      <c r="E138" s="6" t="s">
        <v>2679</v>
      </c>
      <c r="F138" s="6" t="s">
        <v>909</v>
      </c>
      <c r="G138" s="8">
        <v>200000</v>
      </c>
      <c r="H138" s="6" t="s">
        <v>2680</v>
      </c>
      <c r="I138" s="9" t="s">
        <v>2051</v>
      </c>
      <c r="J138" s="9" t="s">
        <v>6373</v>
      </c>
      <c r="K138" s="6"/>
      <c r="L138" s="9" t="s">
        <v>1874</v>
      </c>
      <c r="M138" s="52"/>
      <c r="N138" s="9" t="s">
        <v>6179</v>
      </c>
      <c r="O138" s="9"/>
      <c r="P138" s="9"/>
      <c r="Q138" s="6" t="s">
        <v>6137</v>
      </c>
      <c r="R138" s="52"/>
      <c r="S138" s="52"/>
    </row>
    <row r="139" spans="1:19" ht="25.5">
      <c r="A139" s="6" t="s">
        <v>910</v>
      </c>
      <c r="B139" s="9" t="s">
        <v>61</v>
      </c>
      <c r="C139" s="6" t="s">
        <v>68</v>
      </c>
      <c r="D139" s="6"/>
      <c r="E139" s="6" t="s">
        <v>911</v>
      </c>
      <c r="F139" s="6" t="s">
        <v>912</v>
      </c>
      <c r="G139" s="8">
        <v>200018.5</v>
      </c>
      <c r="H139" s="6" t="s">
        <v>2681</v>
      </c>
      <c r="I139" s="9" t="s">
        <v>1828</v>
      </c>
      <c r="J139" s="9" t="s">
        <v>2144</v>
      </c>
      <c r="K139" s="6"/>
      <c r="L139" s="9" t="s">
        <v>1874</v>
      </c>
      <c r="M139" s="52"/>
      <c r="N139" s="9" t="s">
        <v>6132</v>
      </c>
      <c r="O139" s="9"/>
      <c r="P139" s="9"/>
      <c r="Q139" s="6" t="s">
        <v>6092</v>
      </c>
      <c r="R139" s="52"/>
      <c r="S139" s="52"/>
    </row>
    <row r="140" spans="1:19" ht="38.25">
      <c r="A140" s="6" t="s">
        <v>913</v>
      </c>
      <c r="B140" s="9" t="s">
        <v>61</v>
      </c>
      <c r="C140" s="6" t="s">
        <v>652</v>
      </c>
      <c r="D140" s="6"/>
      <c r="E140" s="6" t="s">
        <v>914</v>
      </c>
      <c r="F140" s="6" t="s">
        <v>915</v>
      </c>
      <c r="G140" s="8">
        <v>73365</v>
      </c>
      <c r="H140" s="6" t="s">
        <v>2682</v>
      </c>
      <c r="I140" s="9" t="s">
        <v>1899</v>
      </c>
      <c r="J140" s="9" t="s">
        <v>6373</v>
      </c>
      <c r="K140" s="6"/>
      <c r="L140" s="9" t="s">
        <v>1874</v>
      </c>
      <c r="M140" s="52"/>
      <c r="N140" s="9" t="s">
        <v>6132</v>
      </c>
      <c r="O140" s="9"/>
      <c r="P140" s="9"/>
      <c r="Q140" s="6" t="s">
        <v>6644</v>
      </c>
      <c r="R140" s="52"/>
      <c r="S140" s="52"/>
    </row>
    <row r="141" spans="1:19" ht="25.5">
      <c r="A141" s="6" t="s">
        <v>916</v>
      </c>
      <c r="B141" s="9" t="s">
        <v>61</v>
      </c>
      <c r="C141" s="6" t="s">
        <v>68</v>
      </c>
      <c r="D141" s="6"/>
      <c r="E141" s="6" t="s">
        <v>917</v>
      </c>
      <c r="F141" s="6" t="s">
        <v>918</v>
      </c>
      <c r="G141" s="8">
        <v>199926</v>
      </c>
      <c r="H141" s="6" t="s">
        <v>2683</v>
      </c>
      <c r="I141" s="9" t="s">
        <v>2047</v>
      </c>
      <c r="J141" s="9" t="s">
        <v>6373</v>
      </c>
      <c r="K141" s="6"/>
      <c r="L141" s="9" t="s">
        <v>1874</v>
      </c>
      <c r="M141" s="52"/>
      <c r="N141" s="9" t="s">
        <v>6132</v>
      </c>
      <c r="O141" s="9"/>
      <c r="P141" s="9"/>
      <c r="Q141" s="6" t="s">
        <v>6137</v>
      </c>
      <c r="R141" s="52"/>
      <c r="S141" s="52"/>
    </row>
    <row r="142" spans="1:19" ht="12.75">
      <c r="A142" s="6" t="s">
        <v>919</v>
      </c>
      <c r="B142" s="9" t="s">
        <v>61</v>
      </c>
      <c r="C142" s="6" t="s">
        <v>68</v>
      </c>
      <c r="D142" s="6"/>
      <c r="E142" s="6" t="s">
        <v>920</v>
      </c>
      <c r="F142" s="6" t="s">
        <v>921</v>
      </c>
      <c r="G142" s="8">
        <v>167255.802</v>
      </c>
      <c r="H142" s="6" t="s">
        <v>2684</v>
      </c>
      <c r="I142" s="9" t="s">
        <v>2031</v>
      </c>
      <c r="J142" s="9" t="s">
        <v>2144</v>
      </c>
      <c r="K142" s="6"/>
      <c r="L142" s="9" t="s">
        <v>1874</v>
      </c>
      <c r="M142" s="52"/>
      <c r="N142" s="9" t="s">
        <v>6132</v>
      </c>
      <c r="O142" s="9"/>
      <c r="P142" s="9"/>
      <c r="Q142" s="6" t="s">
        <v>6092</v>
      </c>
      <c r="R142" s="52"/>
      <c r="S142" s="52"/>
    </row>
    <row r="143" spans="1:19" ht="12.75">
      <c r="A143" s="6" t="s">
        <v>1239</v>
      </c>
      <c r="B143" s="9" t="s">
        <v>61</v>
      </c>
      <c r="C143" s="6" t="s">
        <v>1141</v>
      </c>
      <c r="D143" s="6"/>
      <c r="E143" s="6" t="s">
        <v>1240</v>
      </c>
      <c r="F143" s="6" t="s">
        <v>1241</v>
      </c>
      <c r="G143" s="64">
        <v>57545.95</v>
      </c>
      <c r="H143" s="6" t="s">
        <v>2685</v>
      </c>
      <c r="I143" s="9" t="s">
        <v>2047</v>
      </c>
      <c r="J143" s="9" t="s">
        <v>6373</v>
      </c>
      <c r="K143" s="6"/>
      <c r="L143" s="9" t="s">
        <v>1904</v>
      </c>
      <c r="M143" s="9"/>
      <c r="N143" s="475" t="s">
        <v>1808</v>
      </c>
      <c r="O143" s="9"/>
      <c r="P143" s="9"/>
      <c r="Q143" s="6" t="s">
        <v>6092</v>
      </c>
      <c r="R143" s="52"/>
      <c r="S143" s="52"/>
    </row>
    <row r="144" spans="1:19" ht="38.25">
      <c r="A144" s="6" t="s">
        <v>922</v>
      </c>
      <c r="B144" s="9" t="s">
        <v>61</v>
      </c>
      <c r="C144" s="6" t="s">
        <v>2687</v>
      </c>
      <c r="D144" s="6"/>
      <c r="E144" s="6" t="s">
        <v>923</v>
      </c>
      <c r="F144" s="6" t="s">
        <v>924</v>
      </c>
      <c r="G144" s="8">
        <v>48100</v>
      </c>
      <c r="H144" s="6" t="s">
        <v>2686</v>
      </c>
      <c r="I144" s="9" t="s">
        <v>1886</v>
      </c>
      <c r="J144" s="9" t="s">
        <v>2144</v>
      </c>
      <c r="K144" s="6"/>
      <c r="L144" s="9" t="s">
        <v>1853</v>
      </c>
      <c r="M144" s="52"/>
      <c r="N144" s="9" t="s">
        <v>6132</v>
      </c>
      <c r="O144" s="9"/>
      <c r="P144" s="9"/>
      <c r="Q144" s="6" t="s">
        <v>6092</v>
      </c>
      <c r="R144" s="52"/>
      <c r="S144" s="52"/>
    </row>
  </sheetData>
  <hyperlinks>
    <hyperlink ref="O2" r:id="rId1" xr:uid="{00000000-0004-0000-1300-000000000000}"/>
    <hyperlink ref="P2" r:id="rId2" xr:uid="{00000000-0004-0000-1300-000001000000}"/>
    <hyperlink ref="O3" r:id="rId3" xr:uid="{00000000-0004-0000-1300-000002000000}"/>
    <hyperlink ref="P3" r:id="rId4" xr:uid="{00000000-0004-0000-1300-000003000000}"/>
    <hyperlink ref="O4" r:id="rId5" xr:uid="{00000000-0004-0000-1300-000004000000}"/>
    <hyperlink ref="P4" r:id="rId6" xr:uid="{00000000-0004-0000-1300-000005000000}"/>
    <hyperlink ref="O5" r:id="rId7" xr:uid="{00000000-0004-0000-1300-000006000000}"/>
    <hyperlink ref="P5" r:id="rId8" xr:uid="{00000000-0004-0000-1300-000007000000}"/>
    <hyperlink ref="O6" r:id="rId9" xr:uid="{00000000-0004-0000-1300-000008000000}"/>
    <hyperlink ref="P6" r:id="rId10" xr:uid="{00000000-0004-0000-1300-000009000000}"/>
    <hyperlink ref="O7" r:id="rId11" xr:uid="{00000000-0004-0000-1300-00000A000000}"/>
    <hyperlink ref="P7" r:id="rId12" xr:uid="{00000000-0004-0000-1300-00000B000000}"/>
    <hyperlink ref="O8" r:id="rId13" xr:uid="{00000000-0004-0000-1300-00000C000000}"/>
    <hyperlink ref="P8" r:id="rId14" xr:uid="{00000000-0004-0000-1300-00000D000000}"/>
    <hyperlink ref="O9" r:id="rId15" xr:uid="{00000000-0004-0000-1300-00000E000000}"/>
    <hyperlink ref="P9" r:id="rId16" xr:uid="{00000000-0004-0000-1300-00000F000000}"/>
    <hyperlink ref="O10" r:id="rId17" xr:uid="{00000000-0004-0000-1300-000010000000}"/>
    <hyperlink ref="P10" r:id="rId18" xr:uid="{00000000-0004-0000-1300-000011000000}"/>
    <hyperlink ref="O11" r:id="rId19" xr:uid="{00000000-0004-0000-1300-000012000000}"/>
    <hyperlink ref="P11" r:id="rId20" xr:uid="{00000000-0004-0000-1300-000013000000}"/>
    <hyperlink ref="O12" r:id="rId21" xr:uid="{00000000-0004-0000-1300-000014000000}"/>
    <hyperlink ref="P12" r:id="rId22" xr:uid="{00000000-0004-0000-1300-000015000000}"/>
    <hyperlink ref="O13" r:id="rId23" xr:uid="{00000000-0004-0000-1300-000016000000}"/>
    <hyperlink ref="P13" r:id="rId24" xr:uid="{00000000-0004-0000-1300-000017000000}"/>
    <hyperlink ref="O14" r:id="rId25" xr:uid="{00000000-0004-0000-1300-000018000000}"/>
    <hyperlink ref="P14" r:id="rId26" xr:uid="{00000000-0004-0000-1300-000019000000}"/>
    <hyperlink ref="O15" r:id="rId27" xr:uid="{00000000-0004-0000-1300-00001A000000}"/>
    <hyperlink ref="P15" r:id="rId28" xr:uid="{00000000-0004-0000-1300-00001B000000}"/>
    <hyperlink ref="O16" r:id="rId29" xr:uid="{00000000-0004-0000-1300-00001C000000}"/>
    <hyperlink ref="P16" r:id="rId30" xr:uid="{00000000-0004-0000-1300-00001D000000}"/>
    <hyperlink ref="O17" r:id="rId31" xr:uid="{00000000-0004-0000-1300-00001E000000}"/>
    <hyperlink ref="P17" r:id="rId32" xr:uid="{00000000-0004-0000-1300-00001F000000}"/>
    <hyperlink ref="O18" r:id="rId33" xr:uid="{00000000-0004-0000-1300-000020000000}"/>
    <hyperlink ref="P18" r:id="rId34" xr:uid="{00000000-0004-0000-1300-000021000000}"/>
    <hyperlink ref="O19" r:id="rId35" xr:uid="{00000000-0004-0000-1300-000022000000}"/>
    <hyperlink ref="P19" r:id="rId36" xr:uid="{00000000-0004-0000-1300-000023000000}"/>
    <hyperlink ref="O20" r:id="rId37" xr:uid="{00000000-0004-0000-1300-000024000000}"/>
    <hyperlink ref="P20" r:id="rId38" xr:uid="{00000000-0004-0000-1300-000025000000}"/>
    <hyperlink ref="O21" r:id="rId39" xr:uid="{00000000-0004-0000-1300-000026000000}"/>
    <hyperlink ref="P21" r:id="rId40" xr:uid="{00000000-0004-0000-1300-000027000000}"/>
    <hyperlink ref="O22" r:id="rId41" xr:uid="{00000000-0004-0000-1300-000028000000}"/>
    <hyperlink ref="P22" r:id="rId42" xr:uid="{00000000-0004-0000-1300-000029000000}"/>
    <hyperlink ref="O23" r:id="rId43" xr:uid="{00000000-0004-0000-1300-00002A000000}"/>
    <hyperlink ref="P23" r:id="rId44" xr:uid="{00000000-0004-0000-1300-00002B000000}"/>
    <hyperlink ref="O24" r:id="rId45" xr:uid="{00000000-0004-0000-1300-00002C000000}"/>
    <hyperlink ref="P24" r:id="rId46" xr:uid="{00000000-0004-0000-1300-00002D000000}"/>
    <hyperlink ref="O25" r:id="rId47" xr:uid="{00000000-0004-0000-1300-00002E000000}"/>
    <hyperlink ref="P25" r:id="rId48" xr:uid="{00000000-0004-0000-1300-00002F000000}"/>
    <hyperlink ref="O26" r:id="rId49" xr:uid="{00000000-0004-0000-1300-000030000000}"/>
    <hyperlink ref="P26" r:id="rId50" xr:uid="{00000000-0004-0000-1300-000031000000}"/>
    <hyperlink ref="O27" r:id="rId51" xr:uid="{00000000-0004-0000-1300-000032000000}"/>
    <hyperlink ref="P27" r:id="rId52" xr:uid="{00000000-0004-0000-1300-000033000000}"/>
    <hyperlink ref="O28" r:id="rId53" xr:uid="{00000000-0004-0000-1300-000034000000}"/>
    <hyperlink ref="P28" r:id="rId54" xr:uid="{00000000-0004-0000-1300-000035000000}"/>
    <hyperlink ref="O29" r:id="rId55" xr:uid="{00000000-0004-0000-1300-000036000000}"/>
    <hyperlink ref="P29" r:id="rId56" xr:uid="{00000000-0004-0000-1300-000037000000}"/>
    <hyperlink ref="O30" r:id="rId57" xr:uid="{00000000-0004-0000-1300-000038000000}"/>
    <hyperlink ref="P30" r:id="rId58" xr:uid="{00000000-0004-0000-1300-000039000000}"/>
    <hyperlink ref="O31" r:id="rId59" xr:uid="{00000000-0004-0000-1300-00003A000000}"/>
    <hyperlink ref="P31" r:id="rId60" xr:uid="{00000000-0004-0000-1300-00003B000000}"/>
    <hyperlink ref="O32" r:id="rId61" xr:uid="{00000000-0004-0000-1300-00003C000000}"/>
    <hyperlink ref="P32" r:id="rId62" xr:uid="{00000000-0004-0000-1300-00003D000000}"/>
    <hyperlink ref="O33" r:id="rId63" xr:uid="{00000000-0004-0000-1300-00003E000000}"/>
    <hyperlink ref="P33" r:id="rId64" xr:uid="{00000000-0004-0000-1300-00003F000000}"/>
    <hyperlink ref="O34" r:id="rId65" xr:uid="{00000000-0004-0000-1300-000040000000}"/>
    <hyperlink ref="P34" r:id="rId66" xr:uid="{00000000-0004-0000-1300-000041000000}"/>
    <hyperlink ref="O35" r:id="rId67" xr:uid="{00000000-0004-0000-1300-000042000000}"/>
    <hyperlink ref="P35" r:id="rId68" xr:uid="{00000000-0004-0000-1300-000043000000}"/>
    <hyperlink ref="O36" r:id="rId69" xr:uid="{00000000-0004-0000-1300-000044000000}"/>
    <hyperlink ref="P36" r:id="rId70" xr:uid="{00000000-0004-0000-1300-000045000000}"/>
    <hyperlink ref="O37" r:id="rId71" xr:uid="{00000000-0004-0000-1300-000046000000}"/>
    <hyperlink ref="P37" r:id="rId72" xr:uid="{00000000-0004-0000-1300-000047000000}"/>
    <hyperlink ref="O38" r:id="rId73" xr:uid="{00000000-0004-0000-1300-000048000000}"/>
    <hyperlink ref="P38" r:id="rId74" xr:uid="{00000000-0004-0000-1300-000049000000}"/>
    <hyperlink ref="O39" r:id="rId75" xr:uid="{00000000-0004-0000-1300-00004A000000}"/>
    <hyperlink ref="P39" r:id="rId76" xr:uid="{00000000-0004-0000-1300-00004B000000}"/>
    <hyperlink ref="O40" r:id="rId77" xr:uid="{00000000-0004-0000-1300-00004C000000}"/>
    <hyperlink ref="P40" r:id="rId78" xr:uid="{00000000-0004-0000-1300-00004D000000}"/>
    <hyperlink ref="O41" r:id="rId79" xr:uid="{00000000-0004-0000-1300-00004E000000}"/>
    <hyperlink ref="P41" r:id="rId80" xr:uid="{00000000-0004-0000-1300-00004F000000}"/>
    <hyperlink ref="O42" r:id="rId81" xr:uid="{00000000-0004-0000-1300-000050000000}"/>
    <hyperlink ref="P42" r:id="rId82" xr:uid="{00000000-0004-0000-1300-000051000000}"/>
    <hyperlink ref="O43" r:id="rId83" xr:uid="{00000000-0004-0000-1300-000052000000}"/>
    <hyperlink ref="P43" r:id="rId84" xr:uid="{00000000-0004-0000-1300-000053000000}"/>
    <hyperlink ref="O44" r:id="rId85" xr:uid="{00000000-0004-0000-1300-000054000000}"/>
    <hyperlink ref="P44" r:id="rId86" xr:uid="{00000000-0004-0000-1300-000055000000}"/>
    <hyperlink ref="O45" r:id="rId87" xr:uid="{00000000-0004-0000-1300-000056000000}"/>
    <hyperlink ref="P45" r:id="rId88" xr:uid="{00000000-0004-0000-1300-000057000000}"/>
    <hyperlink ref="O46" r:id="rId89" xr:uid="{00000000-0004-0000-1300-000058000000}"/>
    <hyperlink ref="P46" r:id="rId90" xr:uid="{00000000-0004-0000-1300-000059000000}"/>
    <hyperlink ref="P47" r:id="rId91" xr:uid="{00000000-0004-0000-1300-00005A000000}"/>
    <hyperlink ref="P48" r:id="rId92" xr:uid="{00000000-0004-0000-1300-00005B000000}"/>
    <hyperlink ref="P49" r:id="rId93" xr:uid="{00000000-0004-0000-1300-00005C000000}"/>
    <hyperlink ref="P50" r:id="rId94" xr:uid="{00000000-0004-0000-1300-00005D000000}"/>
    <hyperlink ref="P51" r:id="rId95" xr:uid="{00000000-0004-0000-1300-00005E000000}"/>
    <hyperlink ref="P52" r:id="rId96" xr:uid="{00000000-0004-0000-1300-00005F000000}"/>
    <hyperlink ref="P53" r:id="rId97" xr:uid="{00000000-0004-0000-1300-000060000000}"/>
    <hyperlink ref="P54" r:id="rId98" xr:uid="{00000000-0004-0000-1300-000061000000}"/>
    <hyperlink ref="P55" r:id="rId99" xr:uid="{00000000-0004-0000-1300-000062000000}"/>
    <hyperlink ref="P56" r:id="rId100" xr:uid="{00000000-0004-0000-1300-000063000000}"/>
    <hyperlink ref="P57" r:id="rId101" xr:uid="{00000000-0004-0000-1300-000064000000}"/>
    <hyperlink ref="P58" r:id="rId102" xr:uid="{00000000-0004-0000-1300-000065000000}"/>
    <hyperlink ref="P59" r:id="rId103" xr:uid="{00000000-0004-0000-1300-000066000000}"/>
    <hyperlink ref="P60" r:id="rId104" xr:uid="{00000000-0004-0000-1300-000067000000}"/>
    <hyperlink ref="P61" r:id="rId105" xr:uid="{00000000-0004-0000-1300-000068000000}"/>
    <hyperlink ref="P62" r:id="rId106" xr:uid="{00000000-0004-0000-1300-000069000000}"/>
    <hyperlink ref="P63" r:id="rId107" xr:uid="{00000000-0004-0000-1300-00006A000000}"/>
    <hyperlink ref="P64" r:id="rId108" xr:uid="{00000000-0004-0000-1300-00006B000000}"/>
    <hyperlink ref="P65" r:id="rId109" xr:uid="{00000000-0004-0000-1300-00006C000000}"/>
    <hyperlink ref="P66" r:id="rId110" xr:uid="{00000000-0004-0000-1300-00006D000000}"/>
    <hyperlink ref="P67" r:id="rId111" xr:uid="{00000000-0004-0000-1300-00006E000000}"/>
    <hyperlink ref="P68" r:id="rId112" xr:uid="{00000000-0004-0000-1300-00006F000000}"/>
    <hyperlink ref="P69" r:id="rId113" xr:uid="{00000000-0004-0000-1300-000070000000}"/>
    <hyperlink ref="P70" r:id="rId114" xr:uid="{00000000-0004-0000-1300-000071000000}"/>
    <hyperlink ref="P71" r:id="rId115" xr:uid="{00000000-0004-0000-1300-000072000000}"/>
    <hyperlink ref="P72" r:id="rId116" xr:uid="{00000000-0004-0000-1300-000073000000}"/>
    <hyperlink ref="P73" r:id="rId117" xr:uid="{00000000-0004-0000-1300-000074000000}"/>
    <hyperlink ref="P74" r:id="rId118" xr:uid="{00000000-0004-0000-1300-000075000000}"/>
    <hyperlink ref="P75" r:id="rId119" xr:uid="{00000000-0004-0000-1300-000076000000}"/>
    <hyperlink ref="P76" r:id="rId120" xr:uid="{00000000-0004-0000-1300-000077000000}"/>
    <hyperlink ref="P77" r:id="rId121" xr:uid="{00000000-0004-0000-1300-000078000000}"/>
    <hyperlink ref="P78" r:id="rId122" xr:uid="{00000000-0004-0000-1300-000079000000}"/>
    <hyperlink ref="P79" r:id="rId123" xr:uid="{00000000-0004-0000-1300-00007A000000}"/>
    <hyperlink ref="P80" r:id="rId124" xr:uid="{00000000-0004-0000-1300-00007B000000}"/>
    <hyperlink ref="P81" r:id="rId125" xr:uid="{00000000-0004-0000-1300-00007C000000}"/>
    <hyperlink ref="P82" r:id="rId126" xr:uid="{00000000-0004-0000-1300-00007D000000}"/>
    <hyperlink ref="P83" r:id="rId127" xr:uid="{00000000-0004-0000-1300-00007E000000}"/>
    <hyperlink ref="P84" r:id="rId128" xr:uid="{00000000-0004-0000-1300-00007F000000}"/>
    <hyperlink ref="P85" r:id="rId129" xr:uid="{00000000-0004-0000-1300-000080000000}"/>
    <hyperlink ref="P86" r:id="rId130" xr:uid="{00000000-0004-0000-1300-000081000000}"/>
    <hyperlink ref="P87" r:id="rId131" xr:uid="{00000000-0004-0000-1300-000082000000}"/>
    <hyperlink ref="P88" r:id="rId132" xr:uid="{00000000-0004-0000-1300-000083000000}"/>
    <hyperlink ref="P89" r:id="rId133" xr:uid="{00000000-0004-0000-1300-000084000000}"/>
    <hyperlink ref="P90" r:id="rId134" xr:uid="{00000000-0004-0000-1300-000085000000}"/>
    <hyperlink ref="P91" r:id="rId135" xr:uid="{00000000-0004-0000-1300-000086000000}"/>
    <hyperlink ref="P92" r:id="rId136" xr:uid="{00000000-0004-0000-1300-000087000000}"/>
    <hyperlink ref="P93" r:id="rId137" xr:uid="{00000000-0004-0000-1300-000088000000}"/>
    <hyperlink ref="P94" r:id="rId138" xr:uid="{00000000-0004-0000-1300-000089000000}"/>
    <hyperlink ref="P95" r:id="rId139" xr:uid="{00000000-0004-0000-1300-00008A000000}"/>
    <hyperlink ref="P96" r:id="rId140" xr:uid="{00000000-0004-0000-1300-00008B000000}"/>
    <hyperlink ref="P97" r:id="rId141" xr:uid="{00000000-0004-0000-1300-00008C000000}"/>
    <hyperlink ref="P98" r:id="rId142" xr:uid="{00000000-0004-0000-1300-00008D000000}"/>
    <hyperlink ref="P99" r:id="rId143" xr:uid="{00000000-0004-0000-1300-00008E000000}"/>
    <hyperlink ref="P100" r:id="rId144" xr:uid="{00000000-0004-0000-1300-00008F000000}"/>
    <hyperlink ref="P101" r:id="rId145" xr:uid="{00000000-0004-0000-1300-000090000000}"/>
    <hyperlink ref="P102" r:id="rId146" xr:uid="{00000000-0004-0000-1300-000091000000}"/>
    <hyperlink ref="P103" r:id="rId147" xr:uid="{00000000-0004-0000-1300-000092000000}"/>
    <hyperlink ref="P104" r:id="rId148" xr:uid="{00000000-0004-0000-1300-000093000000}"/>
    <hyperlink ref="P105" r:id="rId149" xr:uid="{00000000-0004-0000-1300-000094000000}"/>
    <hyperlink ref="P106" r:id="rId150" xr:uid="{00000000-0004-0000-1300-000095000000}"/>
    <hyperlink ref="P107" r:id="rId151" xr:uid="{00000000-0004-0000-1300-000096000000}"/>
    <hyperlink ref="P108" r:id="rId152" xr:uid="{00000000-0004-0000-1300-000097000000}"/>
    <hyperlink ref="P109" r:id="rId153" xr:uid="{00000000-0004-0000-1300-000098000000}"/>
    <hyperlink ref="P110" r:id="rId154" xr:uid="{00000000-0004-0000-1300-000099000000}"/>
    <hyperlink ref="P111" r:id="rId155" xr:uid="{00000000-0004-0000-1300-00009A000000}"/>
    <hyperlink ref="P112" r:id="rId156" xr:uid="{00000000-0004-0000-1300-00009B000000}"/>
    <hyperlink ref="P113" r:id="rId157" xr:uid="{00000000-0004-0000-1300-00009C000000}"/>
    <hyperlink ref="P114" r:id="rId158" xr:uid="{00000000-0004-0000-1300-00009D000000}"/>
    <hyperlink ref="P115" r:id="rId159" xr:uid="{00000000-0004-0000-1300-00009E000000}"/>
    <hyperlink ref="P116" r:id="rId160" xr:uid="{00000000-0004-0000-1300-00009F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S15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8.28515625" customWidth="1"/>
    <col min="4" max="4" width="16.85546875" customWidth="1"/>
    <col min="5" max="5" width="36.7109375" customWidth="1"/>
    <col min="6" max="6" width="29.5703125" customWidth="1"/>
    <col min="7" max="7" width="25.85546875" customWidth="1"/>
    <col min="8" max="8" width="24.5703125" customWidth="1"/>
    <col min="9" max="9" width="15.7109375" customWidth="1"/>
    <col min="11" max="11" width="31.42578125" customWidth="1"/>
    <col min="13" max="13" width="21.28515625" customWidth="1"/>
    <col min="14" max="14" width="21.42578125" customWidth="1"/>
    <col min="15" max="17" width="29.140625" customWidth="1"/>
  </cols>
  <sheetData>
    <row r="1" spans="1:19" ht="34.5" customHeight="1">
      <c r="A1" s="274" t="s">
        <v>6259</v>
      </c>
      <c r="B1" s="274" t="s">
        <v>389</v>
      </c>
      <c r="C1" s="274" t="s">
        <v>4</v>
      </c>
      <c r="D1" s="274" t="s">
        <v>5</v>
      </c>
      <c r="E1" s="274" t="s">
        <v>6</v>
      </c>
      <c r="F1" s="274" t="s">
        <v>7</v>
      </c>
      <c r="G1" s="492" t="s">
        <v>5627</v>
      </c>
      <c r="H1" s="274" t="s">
        <v>8</v>
      </c>
      <c r="I1" s="274" t="s">
        <v>1821</v>
      </c>
      <c r="J1" s="274" t="s">
        <v>1818</v>
      </c>
      <c r="K1" s="274" t="s">
        <v>6645</v>
      </c>
      <c r="L1" s="319" t="s">
        <v>5633</v>
      </c>
      <c r="M1" s="274" t="s">
        <v>5631</v>
      </c>
      <c r="N1" s="274" t="s">
        <v>5632</v>
      </c>
      <c r="O1" s="274" t="s">
        <v>6261</v>
      </c>
      <c r="P1" s="274" t="s">
        <v>5634</v>
      </c>
      <c r="Q1" s="274" t="s">
        <v>5630</v>
      </c>
      <c r="R1" s="274" t="s">
        <v>6060</v>
      </c>
      <c r="S1" s="318" t="s">
        <v>5628</v>
      </c>
    </row>
    <row r="2" spans="1:19" ht="46.5" customHeight="1">
      <c r="A2" s="61">
        <v>43101</v>
      </c>
      <c r="B2" s="6" t="s">
        <v>925</v>
      </c>
      <c r="C2" s="6" t="s">
        <v>1383</v>
      </c>
      <c r="D2" s="6"/>
      <c r="E2" s="6" t="s">
        <v>1661</v>
      </c>
      <c r="F2" s="6" t="s">
        <v>2319</v>
      </c>
      <c r="G2" s="493">
        <v>2747800</v>
      </c>
      <c r="H2" s="6" t="s">
        <v>1938</v>
      </c>
      <c r="I2" s="6" t="s">
        <v>1828</v>
      </c>
      <c r="J2" s="6" t="s">
        <v>1824</v>
      </c>
      <c r="K2" s="6"/>
      <c r="L2" s="6" t="s">
        <v>82</v>
      </c>
      <c r="M2" s="6"/>
      <c r="N2" s="475" t="s">
        <v>1808</v>
      </c>
      <c r="O2" s="6"/>
      <c r="P2" s="297" t="s">
        <v>6646</v>
      </c>
      <c r="Q2" s="467" t="s">
        <v>6647</v>
      </c>
      <c r="R2" s="6" t="s">
        <v>6064</v>
      </c>
      <c r="S2" s="54"/>
    </row>
    <row r="3" spans="1:19" ht="54" customHeight="1">
      <c r="A3" s="61">
        <v>43132</v>
      </c>
      <c r="B3" s="6" t="s">
        <v>925</v>
      </c>
      <c r="C3" s="6" t="s">
        <v>62</v>
      </c>
      <c r="D3" s="6"/>
      <c r="E3" s="6" t="s">
        <v>1242</v>
      </c>
      <c r="F3" s="6" t="s">
        <v>2688</v>
      </c>
      <c r="G3" s="64">
        <v>710458.07</v>
      </c>
      <c r="H3" s="160" t="s">
        <v>2689</v>
      </c>
      <c r="I3" s="6" t="s">
        <v>6314</v>
      </c>
      <c r="J3" s="6"/>
      <c r="K3" s="6"/>
      <c r="L3" s="6" t="s">
        <v>1904</v>
      </c>
      <c r="M3" s="6"/>
      <c r="N3" s="6" t="s">
        <v>6132</v>
      </c>
      <c r="O3" s="6"/>
      <c r="P3" s="297" t="s">
        <v>6648</v>
      </c>
      <c r="Q3" s="467" t="s">
        <v>6649</v>
      </c>
      <c r="R3" s="6" t="s">
        <v>6170</v>
      </c>
      <c r="S3" s="54"/>
    </row>
    <row r="4" spans="1:19" ht="50.25" customHeight="1">
      <c r="A4" s="61">
        <v>43160</v>
      </c>
      <c r="B4" s="6" t="s">
        <v>925</v>
      </c>
      <c r="C4" s="6" t="s">
        <v>62</v>
      </c>
      <c r="D4" s="6"/>
      <c r="E4" s="6" t="s">
        <v>1244</v>
      </c>
      <c r="F4" s="6" t="s">
        <v>2690</v>
      </c>
      <c r="G4" s="64">
        <v>2839000</v>
      </c>
      <c r="H4" s="160" t="s">
        <v>2691</v>
      </c>
      <c r="I4" s="6" t="s">
        <v>1886</v>
      </c>
      <c r="J4" s="6"/>
      <c r="K4" s="6"/>
      <c r="L4" s="6" t="s">
        <v>1904</v>
      </c>
      <c r="M4" s="6"/>
      <c r="N4" s="6" t="s">
        <v>6132</v>
      </c>
      <c r="O4" s="6"/>
      <c r="P4" s="291" t="s">
        <v>6650</v>
      </c>
      <c r="Q4" s="468" t="s">
        <v>6651</v>
      </c>
      <c r="R4" s="6" t="s">
        <v>6217</v>
      </c>
      <c r="S4" s="54"/>
    </row>
    <row r="5" spans="1:19" ht="38.25">
      <c r="A5" s="61">
        <v>43191</v>
      </c>
      <c r="B5" s="6" t="s">
        <v>925</v>
      </c>
      <c r="C5" s="6" t="s">
        <v>68</v>
      </c>
      <c r="D5" s="6"/>
      <c r="E5" s="6" t="s">
        <v>926</v>
      </c>
      <c r="F5" s="6" t="s">
        <v>2692</v>
      </c>
      <c r="G5" s="64">
        <v>900000</v>
      </c>
      <c r="H5" s="160" t="s">
        <v>2693</v>
      </c>
      <c r="I5" s="6" t="s">
        <v>1828</v>
      </c>
      <c r="J5" s="6"/>
      <c r="K5" s="6"/>
      <c r="L5" s="6" t="s">
        <v>1874</v>
      </c>
      <c r="M5" s="6"/>
      <c r="N5" s="6" t="s">
        <v>6132</v>
      </c>
      <c r="O5" s="6"/>
      <c r="P5" s="291" t="s">
        <v>6652</v>
      </c>
      <c r="Q5" s="468" t="s">
        <v>6653</v>
      </c>
      <c r="R5" s="6" t="s">
        <v>6217</v>
      </c>
      <c r="S5" s="54"/>
    </row>
    <row r="6" spans="1:19" ht="51">
      <c r="A6" s="61">
        <v>43282</v>
      </c>
      <c r="B6" s="6" t="s">
        <v>2328</v>
      </c>
      <c r="C6" s="6"/>
      <c r="D6" s="6"/>
      <c r="E6" s="6" t="s">
        <v>2694</v>
      </c>
      <c r="F6" s="6" t="s">
        <v>2695</v>
      </c>
      <c r="G6" s="8">
        <v>221630</v>
      </c>
      <c r="H6" s="160" t="s">
        <v>2696</v>
      </c>
      <c r="I6" s="6" t="s">
        <v>1828</v>
      </c>
      <c r="J6" s="6"/>
      <c r="K6" s="6"/>
      <c r="L6" s="6"/>
      <c r="M6" s="6"/>
      <c r="N6" s="6" t="s">
        <v>6132</v>
      </c>
      <c r="O6" s="6"/>
      <c r="P6" s="297" t="s">
        <v>6654</v>
      </c>
      <c r="Q6" s="467" t="s">
        <v>6655</v>
      </c>
      <c r="R6" s="6" t="s">
        <v>1867</v>
      </c>
      <c r="S6" s="54"/>
    </row>
    <row r="7" spans="1:19" ht="38.25">
      <c r="A7" s="61">
        <v>43313</v>
      </c>
      <c r="B7" s="6" t="s">
        <v>2328</v>
      </c>
      <c r="C7" s="6"/>
      <c r="D7" s="6"/>
      <c r="E7" s="6" t="s">
        <v>2697</v>
      </c>
      <c r="F7" s="6" t="s">
        <v>2698</v>
      </c>
      <c r="G7" s="8">
        <v>196749</v>
      </c>
      <c r="H7" s="160" t="s">
        <v>2699</v>
      </c>
      <c r="I7" s="6" t="s">
        <v>1828</v>
      </c>
      <c r="J7" s="6"/>
      <c r="K7" s="6"/>
      <c r="L7" s="6"/>
      <c r="M7" s="6"/>
      <c r="N7" s="6" t="s">
        <v>6132</v>
      </c>
      <c r="O7" s="6"/>
      <c r="P7" s="291" t="s">
        <v>6656</v>
      </c>
      <c r="Q7" s="468" t="s">
        <v>6657</v>
      </c>
      <c r="R7" s="6" t="s">
        <v>1867</v>
      </c>
      <c r="S7" s="54"/>
    </row>
    <row r="8" spans="1:19" ht="51">
      <c r="A8" s="62">
        <v>43344</v>
      </c>
      <c r="B8" s="6" t="s">
        <v>2328</v>
      </c>
      <c r="C8" s="6"/>
      <c r="D8" s="6"/>
      <c r="E8" s="6" t="s">
        <v>2700</v>
      </c>
      <c r="F8" s="6" t="s">
        <v>2701</v>
      </c>
      <c r="G8" s="8">
        <v>100600</v>
      </c>
      <c r="H8" s="160" t="s">
        <v>2702</v>
      </c>
      <c r="I8" s="6" t="s">
        <v>1828</v>
      </c>
      <c r="J8" s="6"/>
      <c r="K8" s="6"/>
      <c r="L8" s="6"/>
      <c r="M8" s="6"/>
      <c r="N8" s="6" t="s">
        <v>6132</v>
      </c>
      <c r="O8" s="6"/>
      <c r="P8" s="297" t="s">
        <v>6658</v>
      </c>
      <c r="Q8" s="467" t="s">
        <v>6659</v>
      </c>
      <c r="R8" s="6" t="s">
        <v>1867</v>
      </c>
      <c r="S8" s="54"/>
    </row>
    <row r="9" spans="1:19" ht="38.25">
      <c r="A9" s="61">
        <v>43374</v>
      </c>
      <c r="B9" s="6" t="s">
        <v>925</v>
      </c>
      <c r="C9" s="6" t="s">
        <v>928</v>
      </c>
      <c r="D9" s="171">
        <v>43145</v>
      </c>
      <c r="E9" s="158" t="s">
        <v>929</v>
      </c>
      <c r="F9" s="158" t="s">
        <v>699</v>
      </c>
      <c r="G9" s="470">
        <v>709420</v>
      </c>
      <c r="H9" s="6" t="s">
        <v>1938</v>
      </c>
      <c r="I9" s="6" t="s">
        <v>1828</v>
      </c>
      <c r="J9" s="6" t="s">
        <v>1824</v>
      </c>
      <c r="K9" s="158"/>
      <c r="L9" s="6" t="s">
        <v>611</v>
      </c>
      <c r="M9" s="172"/>
      <c r="N9" s="475" t="s">
        <v>1808</v>
      </c>
      <c r="O9" s="172"/>
      <c r="P9" s="472" t="s">
        <v>6660</v>
      </c>
      <c r="Q9" s="472" t="s">
        <v>6661</v>
      </c>
      <c r="R9" s="6" t="s">
        <v>6064</v>
      </c>
      <c r="S9" s="54"/>
    </row>
    <row r="10" spans="1:19" ht="46.5" customHeight="1">
      <c r="A10" s="62">
        <v>43405</v>
      </c>
      <c r="B10" s="6" t="s">
        <v>925</v>
      </c>
      <c r="C10" s="6" t="s">
        <v>1383</v>
      </c>
      <c r="D10" s="7">
        <v>43179</v>
      </c>
      <c r="E10" s="6" t="s">
        <v>1662</v>
      </c>
      <c r="F10" s="6" t="s">
        <v>1663</v>
      </c>
      <c r="G10" s="8">
        <v>200000</v>
      </c>
      <c r="H10" s="6" t="s">
        <v>1938</v>
      </c>
      <c r="I10" s="6" t="s">
        <v>1828</v>
      </c>
      <c r="J10" s="6" t="s">
        <v>1824</v>
      </c>
      <c r="K10" s="6"/>
      <c r="L10" s="6" t="s">
        <v>82</v>
      </c>
      <c r="M10" s="6"/>
      <c r="N10" s="475" t="s">
        <v>1808</v>
      </c>
      <c r="O10" s="6"/>
      <c r="P10" s="297" t="s">
        <v>6662</v>
      </c>
      <c r="Q10" s="467" t="s">
        <v>6663</v>
      </c>
      <c r="R10" s="6" t="s">
        <v>6064</v>
      </c>
      <c r="S10" s="54"/>
    </row>
    <row r="11" spans="1:19" ht="39" customHeight="1">
      <c r="A11" s="62">
        <v>43435</v>
      </c>
      <c r="B11" s="6" t="s">
        <v>925</v>
      </c>
      <c r="C11" s="6" t="s">
        <v>1383</v>
      </c>
      <c r="D11" s="6"/>
      <c r="E11" s="6" t="s">
        <v>1664</v>
      </c>
      <c r="F11" s="6" t="s">
        <v>650</v>
      </c>
      <c r="G11" s="8">
        <v>200000</v>
      </c>
      <c r="H11" s="6"/>
      <c r="I11" s="6" t="s">
        <v>2085</v>
      </c>
      <c r="J11" s="6" t="s">
        <v>1824</v>
      </c>
      <c r="K11" s="6"/>
      <c r="L11" s="6" t="s">
        <v>82</v>
      </c>
      <c r="M11" s="6"/>
      <c r="N11" s="475" t="s">
        <v>1808</v>
      </c>
      <c r="O11" s="6"/>
      <c r="P11" s="297" t="s">
        <v>6664</v>
      </c>
      <c r="Q11" s="467" t="s">
        <v>6665</v>
      </c>
      <c r="R11" s="6" t="s">
        <v>6064</v>
      </c>
      <c r="S11" s="54"/>
    </row>
    <row r="12" spans="1:19" ht="30" customHeight="1">
      <c r="A12" s="6" t="s">
        <v>1665</v>
      </c>
      <c r="B12" s="6" t="s">
        <v>925</v>
      </c>
      <c r="C12" s="6" t="s">
        <v>1383</v>
      </c>
      <c r="D12" s="6"/>
      <c r="E12" s="6" t="s">
        <v>1666</v>
      </c>
      <c r="F12" s="6" t="s">
        <v>581</v>
      </c>
      <c r="G12" s="8">
        <v>200000</v>
      </c>
      <c r="H12" s="6"/>
      <c r="I12" s="6" t="s">
        <v>1916</v>
      </c>
      <c r="J12" s="6" t="s">
        <v>1824</v>
      </c>
      <c r="K12" s="6"/>
      <c r="L12" s="6" t="s">
        <v>82</v>
      </c>
      <c r="M12" s="6"/>
      <c r="N12" s="475" t="s">
        <v>1808</v>
      </c>
      <c r="O12" s="6"/>
      <c r="P12" s="291" t="s">
        <v>6666</v>
      </c>
      <c r="Q12" s="468" t="s">
        <v>6667</v>
      </c>
      <c r="R12" s="6" t="s">
        <v>6064</v>
      </c>
      <c r="S12" s="54"/>
    </row>
    <row r="13" spans="1:19" ht="31.5" customHeight="1">
      <c r="A13" s="6" t="s">
        <v>1667</v>
      </c>
      <c r="B13" s="6" t="s">
        <v>925</v>
      </c>
      <c r="C13" s="6" t="s">
        <v>1383</v>
      </c>
      <c r="D13" s="6"/>
      <c r="E13" s="6" t="s">
        <v>1666</v>
      </c>
      <c r="F13" s="6" t="s">
        <v>722</v>
      </c>
      <c r="G13" s="8">
        <v>200000</v>
      </c>
      <c r="H13" s="6"/>
      <c r="I13" s="6" t="s">
        <v>1899</v>
      </c>
      <c r="J13" s="6" t="s">
        <v>1824</v>
      </c>
      <c r="K13" s="6"/>
      <c r="L13" s="6" t="s">
        <v>82</v>
      </c>
      <c r="M13" s="6"/>
      <c r="N13" s="475" t="s">
        <v>1808</v>
      </c>
      <c r="O13" s="6"/>
      <c r="P13" s="291" t="s">
        <v>6668</v>
      </c>
      <c r="Q13" s="468" t="s">
        <v>6669</v>
      </c>
      <c r="R13" s="6" t="s">
        <v>6064</v>
      </c>
      <c r="S13" s="54"/>
    </row>
    <row r="14" spans="1:19" ht="25.5">
      <c r="A14" s="6" t="s">
        <v>1668</v>
      </c>
      <c r="B14" s="6" t="s">
        <v>925</v>
      </c>
      <c r="C14" s="6" t="s">
        <v>1383</v>
      </c>
      <c r="D14" s="6"/>
      <c r="E14" s="6" t="s">
        <v>1666</v>
      </c>
      <c r="F14" s="158" t="s">
        <v>1669</v>
      </c>
      <c r="G14" s="8">
        <v>200000</v>
      </c>
      <c r="H14" s="6"/>
      <c r="I14" s="6" t="s">
        <v>1886</v>
      </c>
      <c r="J14" s="6" t="s">
        <v>1824</v>
      </c>
      <c r="K14" s="158"/>
      <c r="L14" s="6" t="s">
        <v>82</v>
      </c>
      <c r="M14" s="6"/>
      <c r="N14" s="475" t="s">
        <v>1808</v>
      </c>
      <c r="O14" s="6"/>
      <c r="P14" s="297" t="s">
        <v>6670</v>
      </c>
      <c r="Q14" s="467" t="s">
        <v>6671</v>
      </c>
      <c r="R14" s="6" t="s">
        <v>6064</v>
      </c>
      <c r="S14" s="54"/>
    </row>
    <row r="15" spans="1:19" ht="25.5">
      <c r="A15" s="6" t="s">
        <v>1670</v>
      </c>
      <c r="B15" s="6" t="s">
        <v>925</v>
      </c>
      <c r="C15" s="6" t="s">
        <v>1383</v>
      </c>
      <c r="D15" s="6"/>
      <c r="E15" s="6" t="s">
        <v>1666</v>
      </c>
      <c r="F15" s="6" t="s">
        <v>1671</v>
      </c>
      <c r="G15" s="8">
        <v>200000</v>
      </c>
      <c r="H15" s="6"/>
      <c r="I15" s="6" t="s">
        <v>1886</v>
      </c>
      <c r="J15" s="6" t="s">
        <v>1824</v>
      </c>
      <c r="K15" s="6"/>
      <c r="L15" s="6" t="s">
        <v>82</v>
      </c>
      <c r="M15" s="6"/>
      <c r="N15" s="475" t="s">
        <v>1808</v>
      </c>
      <c r="O15" s="6"/>
      <c r="P15" s="297" t="s">
        <v>6672</v>
      </c>
      <c r="Q15" s="467" t="s">
        <v>6673</v>
      </c>
      <c r="R15" s="6" t="s">
        <v>6064</v>
      </c>
      <c r="S15" s="54"/>
    </row>
    <row r="16" spans="1:19" ht="25.5">
      <c r="A16" s="6" t="s">
        <v>1672</v>
      </c>
      <c r="B16" s="6" t="s">
        <v>925</v>
      </c>
      <c r="C16" s="6" t="s">
        <v>1383</v>
      </c>
      <c r="D16" s="158"/>
      <c r="E16" s="158" t="s">
        <v>1673</v>
      </c>
      <c r="F16" s="6" t="s">
        <v>707</v>
      </c>
      <c r="G16" s="8">
        <v>200000</v>
      </c>
      <c r="H16" s="6"/>
      <c r="I16" s="6" t="s">
        <v>1896</v>
      </c>
      <c r="J16" s="6" t="s">
        <v>1824</v>
      </c>
      <c r="K16" s="6"/>
      <c r="L16" s="6" t="s">
        <v>82</v>
      </c>
      <c r="M16" s="172"/>
      <c r="N16" s="475" t="s">
        <v>1808</v>
      </c>
      <c r="O16" s="172"/>
      <c r="P16" s="472" t="s">
        <v>6674</v>
      </c>
      <c r="Q16" s="472" t="s">
        <v>6675</v>
      </c>
      <c r="R16" s="6" t="s">
        <v>6064</v>
      </c>
      <c r="S16" s="54"/>
    </row>
    <row r="17" spans="1:19" ht="51">
      <c r="A17" s="6" t="s">
        <v>1674</v>
      </c>
      <c r="B17" s="6" t="s">
        <v>925</v>
      </c>
      <c r="C17" s="6" t="s">
        <v>1383</v>
      </c>
      <c r="D17" s="6"/>
      <c r="E17" s="6" t="s">
        <v>1675</v>
      </c>
      <c r="F17" s="6" t="s">
        <v>1502</v>
      </c>
      <c r="G17" s="8">
        <v>200000</v>
      </c>
      <c r="H17" s="6"/>
      <c r="I17" s="6" t="s">
        <v>2051</v>
      </c>
      <c r="J17" s="6" t="s">
        <v>1824</v>
      </c>
      <c r="K17" s="6"/>
      <c r="L17" s="6" t="s">
        <v>82</v>
      </c>
      <c r="M17" s="6"/>
      <c r="N17" s="475" t="s">
        <v>1808</v>
      </c>
      <c r="O17" s="6"/>
      <c r="P17" s="291" t="s">
        <v>6676</v>
      </c>
      <c r="Q17" s="468" t="s">
        <v>6677</v>
      </c>
      <c r="R17" s="6" t="s">
        <v>6064</v>
      </c>
      <c r="S17" s="54"/>
    </row>
    <row r="18" spans="1:19" ht="45" customHeight="1">
      <c r="A18" s="6" t="s">
        <v>1676</v>
      </c>
      <c r="B18" s="6" t="s">
        <v>925</v>
      </c>
      <c r="C18" s="6" t="s">
        <v>1383</v>
      </c>
      <c r="D18" s="6"/>
      <c r="E18" s="6" t="s">
        <v>1677</v>
      </c>
      <c r="F18" s="6" t="s">
        <v>1389</v>
      </c>
      <c r="G18" s="8">
        <v>200000</v>
      </c>
      <c r="H18" s="6"/>
      <c r="I18" s="6" t="s">
        <v>2031</v>
      </c>
      <c r="J18" s="6" t="s">
        <v>1824</v>
      </c>
      <c r="K18" s="6"/>
      <c r="L18" s="6" t="s">
        <v>82</v>
      </c>
      <c r="M18" s="6"/>
      <c r="N18" s="475" t="s">
        <v>1808</v>
      </c>
      <c r="O18" s="6"/>
      <c r="P18" s="297" t="s">
        <v>6678</v>
      </c>
      <c r="Q18" s="467" t="s">
        <v>6679</v>
      </c>
      <c r="R18" s="6" t="s">
        <v>6064</v>
      </c>
      <c r="S18" s="54"/>
    </row>
    <row r="19" spans="1:19" ht="25.5">
      <c r="A19" s="6" t="s">
        <v>1678</v>
      </c>
      <c r="B19" s="6" t="s">
        <v>925</v>
      </c>
      <c r="C19" s="6" t="s">
        <v>1383</v>
      </c>
      <c r="D19" s="6"/>
      <c r="E19" s="6" t="s">
        <v>1679</v>
      </c>
      <c r="F19" s="6" t="s">
        <v>1680</v>
      </c>
      <c r="G19" s="8">
        <v>200000</v>
      </c>
      <c r="H19" s="6"/>
      <c r="I19" s="6" t="s">
        <v>2659</v>
      </c>
      <c r="J19" s="6" t="s">
        <v>1824</v>
      </c>
      <c r="K19" s="6"/>
      <c r="L19" s="6" t="s">
        <v>82</v>
      </c>
      <c r="M19" s="6"/>
      <c r="N19" s="475" t="s">
        <v>1808</v>
      </c>
      <c r="O19" s="6"/>
      <c r="P19" s="291" t="s">
        <v>6680</v>
      </c>
      <c r="Q19" s="468" t="s">
        <v>6681</v>
      </c>
      <c r="R19" s="6" t="s">
        <v>6064</v>
      </c>
      <c r="S19" s="54"/>
    </row>
    <row r="20" spans="1:19" ht="38.25">
      <c r="A20" s="6" t="s">
        <v>1246</v>
      </c>
      <c r="B20" s="6" t="s">
        <v>925</v>
      </c>
      <c r="C20" s="6" t="s">
        <v>62</v>
      </c>
      <c r="D20" s="6"/>
      <c r="E20" s="6" t="s">
        <v>1247</v>
      </c>
      <c r="F20" s="6" t="s">
        <v>2703</v>
      </c>
      <c r="G20" s="64">
        <v>1170000</v>
      </c>
      <c r="H20" s="160" t="s">
        <v>2704</v>
      </c>
      <c r="I20" s="6" t="s">
        <v>2051</v>
      </c>
      <c r="J20" s="6" t="s">
        <v>1824</v>
      </c>
      <c r="K20" s="6"/>
      <c r="L20" s="6" t="s">
        <v>1904</v>
      </c>
      <c r="M20" s="6"/>
      <c r="N20" s="6" t="s">
        <v>6132</v>
      </c>
      <c r="O20" s="6"/>
      <c r="P20" s="297" t="s">
        <v>6682</v>
      </c>
      <c r="Q20" s="467" t="s">
        <v>6683</v>
      </c>
      <c r="R20" s="6" t="s">
        <v>6217</v>
      </c>
      <c r="S20" s="54"/>
    </row>
    <row r="21" spans="1:19" ht="38.25">
      <c r="A21" s="6" t="s">
        <v>1249</v>
      </c>
      <c r="B21" s="6" t="s">
        <v>925</v>
      </c>
      <c r="C21" s="6" t="s">
        <v>62</v>
      </c>
      <c r="D21" s="6"/>
      <c r="E21" s="6" t="s">
        <v>1250</v>
      </c>
      <c r="F21" s="6" t="s">
        <v>2705</v>
      </c>
      <c r="G21" s="64">
        <v>869853.5</v>
      </c>
      <c r="H21" s="6" t="s">
        <v>2706</v>
      </c>
      <c r="I21" s="6" t="s">
        <v>2051</v>
      </c>
      <c r="J21" s="6"/>
      <c r="K21" s="6"/>
      <c r="L21" s="6" t="s">
        <v>1904</v>
      </c>
      <c r="M21" s="6"/>
      <c r="N21" s="6" t="s">
        <v>6132</v>
      </c>
      <c r="O21" s="6"/>
      <c r="P21" s="297" t="s">
        <v>6684</v>
      </c>
      <c r="Q21" s="467" t="s">
        <v>6685</v>
      </c>
      <c r="R21" s="6" t="s">
        <v>6170</v>
      </c>
      <c r="S21" s="54"/>
    </row>
    <row r="22" spans="1:19" ht="38.25">
      <c r="A22" s="6" t="s">
        <v>1681</v>
      </c>
      <c r="B22" s="6" t="s">
        <v>925</v>
      </c>
      <c r="C22" s="6" t="s">
        <v>1383</v>
      </c>
      <c r="D22" s="6"/>
      <c r="E22" s="6" t="s">
        <v>1682</v>
      </c>
      <c r="F22" s="6" t="s">
        <v>1683</v>
      </c>
      <c r="G22" s="8">
        <v>200000</v>
      </c>
      <c r="H22" s="6" t="s">
        <v>2508</v>
      </c>
      <c r="I22" s="6" t="s">
        <v>1828</v>
      </c>
      <c r="J22" s="6" t="s">
        <v>1824</v>
      </c>
      <c r="K22" s="6"/>
      <c r="L22" s="6" t="s">
        <v>82</v>
      </c>
      <c r="M22" s="6"/>
      <c r="N22" s="475" t="s">
        <v>1808</v>
      </c>
      <c r="O22" s="6"/>
      <c r="P22" s="291" t="s">
        <v>6686</v>
      </c>
      <c r="Q22" s="468" t="s">
        <v>6687</v>
      </c>
      <c r="R22" s="6" t="s">
        <v>6064</v>
      </c>
      <c r="S22" s="54"/>
    </row>
    <row r="23" spans="1:19" ht="63.75">
      <c r="A23" s="6" t="s">
        <v>1684</v>
      </c>
      <c r="B23" s="6" t="s">
        <v>925</v>
      </c>
      <c r="C23" s="6" t="s">
        <v>1383</v>
      </c>
      <c r="D23" s="6"/>
      <c r="E23" s="6" t="s">
        <v>1685</v>
      </c>
      <c r="F23" s="6" t="s">
        <v>2707</v>
      </c>
      <c r="G23" s="8">
        <v>200000</v>
      </c>
      <c r="H23" s="160" t="s">
        <v>2708</v>
      </c>
      <c r="I23" s="6" t="s">
        <v>1886</v>
      </c>
      <c r="J23" s="6"/>
      <c r="K23" s="6"/>
      <c r="L23" s="6" t="s">
        <v>82</v>
      </c>
      <c r="M23" s="6"/>
      <c r="N23" s="475" t="s">
        <v>1808</v>
      </c>
      <c r="O23" s="6"/>
      <c r="P23" s="291" t="s">
        <v>6688</v>
      </c>
      <c r="Q23" s="468" t="s">
        <v>6689</v>
      </c>
      <c r="R23" s="6" t="s">
        <v>6064</v>
      </c>
      <c r="S23" s="54"/>
    </row>
    <row r="24" spans="1:19" ht="38.25">
      <c r="A24" s="6" t="s">
        <v>1687</v>
      </c>
      <c r="B24" s="6" t="s">
        <v>925</v>
      </c>
      <c r="C24" s="6" t="s">
        <v>1383</v>
      </c>
      <c r="D24" s="6"/>
      <c r="E24" s="6" t="s">
        <v>1688</v>
      </c>
      <c r="F24" s="6" t="s">
        <v>1689</v>
      </c>
      <c r="G24" s="8">
        <v>200000</v>
      </c>
      <c r="H24" s="6" t="s">
        <v>1938</v>
      </c>
      <c r="I24" s="6" t="s">
        <v>1828</v>
      </c>
      <c r="J24" s="6" t="s">
        <v>1824</v>
      </c>
      <c r="K24" s="6"/>
      <c r="L24" s="6" t="s">
        <v>82</v>
      </c>
      <c r="M24" s="6"/>
      <c r="N24" s="475" t="s">
        <v>1808</v>
      </c>
      <c r="O24" s="6"/>
      <c r="P24" s="291" t="s">
        <v>6690</v>
      </c>
      <c r="Q24" s="468" t="s">
        <v>6691</v>
      </c>
      <c r="R24" s="6" t="s">
        <v>6064</v>
      </c>
      <c r="S24" s="54"/>
    </row>
    <row r="25" spans="1:19" ht="38.25">
      <c r="A25" s="6" t="s">
        <v>1690</v>
      </c>
      <c r="B25" s="6" t="s">
        <v>925</v>
      </c>
      <c r="C25" s="6" t="s">
        <v>1383</v>
      </c>
      <c r="D25" s="6"/>
      <c r="E25" s="6" t="s">
        <v>1691</v>
      </c>
      <c r="F25" s="6" t="s">
        <v>1692</v>
      </c>
      <c r="G25" s="8">
        <v>200000</v>
      </c>
      <c r="H25" s="6" t="s">
        <v>2508</v>
      </c>
      <c r="I25" s="6" t="s">
        <v>1828</v>
      </c>
      <c r="J25" s="6" t="s">
        <v>1824</v>
      </c>
      <c r="K25" s="6"/>
      <c r="L25" s="6" t="s">
        <v>82</v>
      </c>
      <c r="M25" s="6"/>
      <c r="N25" s="475" t="s">
        <v>1808</v>
      </c>
      <c r="O25" s="6"/>
      <c r="P25" s="297" t="s">
        <v>6692</v>
      </c>
      <c r="Q25" s="467" t="s">
        <v>6693</v>
      </c>
      <c r="R25" s="6" t="s">
        <v>6064</v>
      </c>
      <c r="S25" s="54"/>
    </row>
    <row r="26" spans="1:19" ht="51">
      <c r="A26" s="6" t="s">
        <v>1693</v>
      </c>
      <c r="B26" s="6" t="s">
        <v>925</v>
      </c>
      <c r="C26" s="6" t="s">
        <v>1383</v>
      </c>
      <c r="D26" s="6"/>
      <c r="E26" s="6" t="s">
        <v>1694</v>
      </c>
      <c r="F26" s="6" t="s">
        <v>2709</v>
      </c>
      <c r="G26" s="8">
        <v>200000</v>
      </c>
      <c r="H26" s="6" t="s">
        <v>2508</v>
      </c>
      <c r="I26" s="6" t="s">
        <v>1828</v>
      </c>
      <c r="J26" s="6" t="s">
        <v>1824</v>
      </c>
      <c r="K26" s="6"/>
      <c r="L26" s="6" t="s">
        <v>82</v>
      </c>
      <c r="M26" s="6"/>
      <c r="N26" s="475" t="s">
        <v>1808</v>
      </c>
      <c r="O26" s="6"/>
      <c r="P26" s="297" t="s">
        <v>6694</v>
      </c>
      <c r="Q26" s="467" t="s">
        <v>6695</v>
      </c>
      <c r="R26" s="6" t="s">
        <v>6071</v>
      </c>
      <c r="S26" s="54"/>
    </row>
    <row r="27" spans="1:19" ht="38.25">
      <c r="A27" s="6" t="s">
        <v>1696</v>
      </c>
      <c r="B27" s="6" t="s">
        <v>925</v>
      </c>
      <c r="C27" s="6" t="s">
        <v>1383</v>
      </c>
      <c r="D27" s="6"/>
      <c r="E27" s="6" t="s">
        <v>1697</v>
      </c>
      <c r="F27" s="6" t="s">
        <v>1698</v>
      </c>
      <c r="G27" s="8">
        <v>200000</v>
      </c>
      <c r="H27" s="6" t="s">
        <v>2508</v>
      </c>
      <c r="I27" s="6" t="s">
        <v>1828</v>
      </c>
      <c r="J27" s="6" t="s">
        <v>1824</v>
      </c>
      <c r="K27" s="6"/>
      <c r="L27" s="6" t="s">
        <v>82</v>
      </c>
      <c r="M27" s="6"/>
      <c r="N27" s="475" t="s">
        <v>1808</v>
      </c>
      <c r="O27" s="6"/>
      <c r="P27" s="291" t="s">
        <v>6696</v>
      </c>
      <c r="Q27" s="468" t="s">
        <v>6697</v>
      </c>
      <c r="R27" s="6" t="s">
        <v>6071</v>
      </c>
      <c r="S27" s="54"/>
    </row>
    <row r="28" spans="1:19" ht="34.5" customHeight="1">
      <c r="A28" s="6" t="s">
        <v>1699</v>
      </c>
      <c r="B28" s="6" t="s">
        <v>925</v>
      </c>
      <c r="C28" s="6" t="s">
        <v>1383</v>
      </c>
      <c r="D28" s="6"/>
      <c r="E28" s="6" t="s">
        <v>1700</v>
      </c>
      <c r="F28" s="6" t="s">
        <v>1701</v>
      </c>
      <c r="G28" s="8">
        <v>200000</v>
      </c>
      <c r="H28" s="6" t="s">
        <v>6698</v>
      </c>
      <c r="I28" s="6" t="s">
        <v>1828</v>
      </c>
      <c r="J28" s="6"/>
      <c r="K28" s="6"/>
      <c r="L28" s="6" t="s">
        <v>82</v>
      </c>
      <c r="M28" s="6"/>
      <c r="N28" s="475" t="s">
        <v>1808</v>
      </c>
      <c r="O28" s="6"/>
      <c r="P28" s="297" t="s">
        <v>6699</v>
      </c>
      <c r="Q28" s="467" t="s">
        <v>6700</v>
      </c>
      <c r="R28" s="6" t="s">
        <v>6064</v>
      </c>
      <c r="S28" s="54"/>
    </row>
    <row r="29" spans="1:19" ht="38.25">
      <c r="A29" s="6" t="s">
        <v>1702</v>
      </c>
      <c r="B29" s="6" t="s">
        <v>925</v>
      </c>
      <c r="C29" s="6" t="s">
        <v>1383</v>
      </c>
      <c r="D29" s="6"/>
      <c r="E29" s="6" t="s">
        <v>1703</v>
      </c>
      <c r="F29" s="6" t="s">
        <v>1611</v>
      </c>
      <c r="G29" s="8">
        <v>750000</v>
      </c>
      <c r="H29" s="6" t="s">
        <v>2508</v>
      </c>
      <c r="I29" s="6" t="s">
        <v>1828</v>
      </c>
      <c r="J29" s="6" t="s">
        <v>1824</v>
      </c>
      <c r="K29" s="6"/>
      <c r="L29" s="6" t="s">
        <v>82</v>
      </c>
      <c r="M29" s="6"/>
      <c r="N29" s="475" t="s">
        <v>1808</v>
      </c>
      <c r="O29" s="6"/>
      <c r="P29" s="297" t="s">
        <v>6701</v>
      </c>
      <c r="Q29" s="467" t="s">
        <v>6702</v>
      </c>
      <c r="R29" s="6" t="s">
        <v>6703</v>
      </c>
      <c r="S29" s="54"/>
    </row>
    <row r="30" spans="1:19" ht="25.5">
      <c r="A30" s="6" t="s">
        <v>960</v>
      </c>
      <c r="B30" s="6" t="s">
        <v>925</v>
      </c>
      <c r="C30" s="6" t="s">
        <v>1383</v>
      </c>
      <c r="D30" s="6"/>
      <c r="E30" s="6" t="s">
        <v>1704</v>
      </c>
      <c r="F30" s="6" t="s">
        <v>1705</v>
      </c>
      <c r="G30" s="8">
        <v>750000</v>
      </c>
      <c r="H30" s="6" t="s">
        <v>2508</v>
      </c>
      <c r="I30" s="6" t="s">
        <v>1828</v>
      </c>
      <c r="J30" s="6" t="s">
        <v>1824</v>
      </c>
      <c r="K30" s="6"/>
      <c r="L30" s="6" t="s">
        <v>82</v>
      </c>
      <c r="M30" s="6"/>
      <c r="N30" s="475" t="s">
        <v>1808</v>
      </c>
      <c r="O30" s="6"/>
      <c r="P30" s="297" t="s">
        <v>6704</v>
      </c>
      <c r="Q30" s="467" t="s">
        <v>6705</v>
      </c>
      <c r="R30" s="6" t="s">
        <v>6703</v>
      </c>
      <c r="S30" s="54"/>
    </row>
    <row r="31" spans="1:19" ht="89.25">
      <c r="A31" s="6" t="s">
        <v>1706</v>
      </c>
      <c r="B31" s="6" t="s">
        <v>925</v>
      </c>
      <c r="C31" s="6" t="s">
        <v>1383</v>
      </c>
      <c r="D31" s="6"/>
      <c r="E31" s="6" t="s">
        <v>2710</v>
      </c>
      <c r="F31" s="6" t="s">
        <v>1708</v>
      </c>
      <c r="G31" s="8">
        <v>1500000</v>
      </c>
      <c r="H31" s="6" t="s">
        <v>2508</v>
      </c>
      <c r="I31" s="6" t="s">
        <v>1828</v>
      </c>
      <c r="J31" s="6" t="s">
        <v>1824</v>
      </c>
      <c r="K31" s="6"/>
      <c r="L31" s="6" t="s">
        <v>82</v>
      </c>
      <c r="M31" s="6"/>
      <c r="N31" s="475" t="s">
        <v>1808</v>
      </c>
      <c r="O31" s="6"/>
      <c r="P31" s="297" t="s">
        <v>6706</v>
      </c>
      <c r="Q31" s="467" t="s">
        <v>6707</v>
      </c>
      <c r="R31" s="6" t="s">
        <v>6137</v>
      </c>
      <c r="S31" s="54"/>
    </row>
    <row r="32" spans="1:19" ht="25.5">
      <c r="A32" s="6" t="s">
        <v>1709</v>
      </c>
      <c r="B32" s="6" t="s">
        <v>925</v>
      </c>
      <c r="C32" s="6" t="s">
        <v>1383</v>
      </c>
      <c r="D32" s="6"/>
      <c r="E32" s="6" t="s">
        <v>1710</v>
      </c>
      <c r="F32" s="6" t="s">
        <v>1711</v>
      </c>
      <c r="G32" s="8">
        <v>200000</v>
      </c>
      <c r="H32" s="6" t="s">
        <v>1938</v>
      </c>
      <c r="I32" s="6" t="s">
        <v>1828</v>
      </c>
      <c r="J32" s="6" t="s">
        <v>1824</v>
      </c>
      <c r="K32" s="6"/>
      <c r="L32" s="6" t="s">
        <v>82</v>
      </c>
      <c r="M32" s="6"/>
      <c r="N32" s="475" t="s">
        <v>1808</v>
      </c>
      <c r="O32" s="6"/>
      <c r="P32" s="297" t="s">
        <v>6708</v>
      </c>
      <c r="Q32" s="467" t="s">
        <v>6709</v>
      </c>
      <c r="R32" s="6" t="s">
        <v>6064</v>
      </c>
      <c r="S32" s="54"/>
    </row>
    <row r="33" spans="1:19" ht="25.5">
      <c r="A33" s="6" t="s">
        <v>1712</v>
      </c>
      <c r="B33" s="6" t="s">
        <v>925</v>
      </c>
      <c r="C33" s="6" t="s">
        <v>1383</v>
      </c>
      <c r="D33" s="6"/>
      <c r="E33" s="6" t="s">
        <v>1713</v>
      </c>
      <c r="F33" s="6" t="s">
        <v>2711</v>
      </c>
      <c r="G33" s="8">
        <v>200000</v>
      </c>
      <c r="H33" s="160" t="s">
        <v>2712</v>
      </c>
      <c r="I33" s="6" t="s">
        <v>1855</v>
      </c>
      <c r="J33" s="6"/>
      <c r="K33" s="6"/>
      <c r="L33" s="6" t="s">
        <v>82</v>
      </c>
      <c r="M33" s="6"/>
      <c r="N33" s="475" t="s">
        <v>1808</v>
      </c>
      <c r="O33" s="6"/>
      <c r="P33" s="297" t="s">
        <v>6710</v>
      </c>
      <c r="Q33" s="467" t="s">
        <v>6711</v>
      </c>
      <c r="R33" s="6" t="s">
        <v>6064</v>
      </c>
      <c r="S33" s="54"/>
    </row>
    <row r="34" spans="1:19" ht="25.5">
      <c r="A34" s="6" t="s">
        <v>1714</v>
      </c>
      <c r="B34" s="6" t="s">
        <v>925</v>
      </c>
      <c r="C34" s="6" t="s">
        <v>1383</v>
      </c>
      <c r="D34" s="6"/>
      <c r="E34" s="6" t="s">
        <v>1715</v>
      </c>
      <c r="F34" s="6" t="s">
        <v>2713</v>
      </c>
      <c r="G34" s="8">
        <v>200000</v>
      </c>
      <c r="H34" s="160" t="s">
        <v>2714</v>
      </c>
      <c r="I34" s="6" t="s">
        <v>1879</v>
      </c>
      <c r="J34" s="6"/>
      <c r="K34" s="6"/>
      <c r="L34" s="6" t="s">
        <v>82</v>
      </c>
      <c r="M34" s="6"/>
      <c r="N34" s="475" t="s">
        <v>1808</v>
      </c>
      <c r="O34" s="6"/>
      <c r="P34" s="297" t="s">
        <v>6712</v>
      </c>
      <c r="Q34" s="467" t="s">
        <v>6713</v>
      </c>
      <c r="R34" s="6" t="s">
        <v>6064</v>
      </c>
      <c r="S34" s="54"/>
    </row>
    <row r="35" spans="1:19" ht="38.25">
      <c r="A35" s="6" t="s">
        <v>1716</v>
      </c>
      <c r="B35" s="6" t="s">
        <v>925</v>
      </c>
      <c r="C35" s="6" t="s">
        <v>1383</v>
      </c>
      <c r="D35" s="6"/>
      <c r="E35" s="6" t="s">
        <v>1717</v>
      </c>
      <c r="F35" s="6" t="s">
        <v>2715</v>
      </c>
      <c r="G35" s="8">
        <v>200000</v>
      </c>
      <c r="H35" s="160" t="s">
        <v>2716</v>
      </c>
      <c r="I35" s="6" t="s">
        <v>2041</v>
      </c>
      <c r="J35" s="6"/>
      <c r="K35" s="6"/>
      <c r="L35" s="6" t="s">
        <v>82</v>
      </c>
      <c r="M35" s="6"/>
      <c r="N35" s="475" t="s">
        <v>1808</v>
      </c>
      <c r="O35" s="6"/>
      <c r="P35" s="297" t="s">
        <v>6714</v>
      </c>
      <c r="Q35" s="467" t="s">
        <v>6715</v>
      </c>
      <c r="R35" s="6" t="s">
        <v>6064</v>
      </c>
      <c r="S35" s="54"/>
    </row>
    <row r="36" spans="1:19" ht="50.25" customHeight="1">
      <c r="A36" s="6" t="s">
        <v>1718</v>
      </c>
      <c r="B36" s="6" t="s">
        <v>925</v>
      </c>
      <c r="C36" s="6" t="s">
        <v>1383</v>
      </c>
      <c r="D36" s="6"/>
      <c r="E36" s="6" t="s">
        <v>1719</v>
      </c>
      <c r="F36" s="6" t="s">
        <v>2717</v>
      </c>
      <c r="G36" s="8">
        <v>200000</v>
      </c>
      <c r="H36" s="160" t="s">
        <v>2718</v>
      </c>
      <c r="I36" s="6" t="s">
        <v>2047</v>
      </c>
      <c r="J36" s="6"/>
      <c r="K36" s="6"/>
      <c r="L36" s="6" t="s">
        <v>82</v>
      </c>
      <c r="M36" s="6"/>
      <c r="N36" s="475" t="s">
        <v>1808</v>
      </c>
      <c r="O36" s="6"/>
      <c r="P36" s="291" t="s">
        <v>6716</v>
      </c>
      <c r="Q36" s="468" t="s">
        <v>6717</v>
      </c>
      <c r="R36" s="6" t="s">
        <v>6064</v>
      </c>
      <c r="S36" s="54"/>
    </row>
    <row r="37" spans="1:19" ht="44.25" customHeight="1">
      <c r="A37" s="6" t="s">
        <v>1720</v>
      </c>
      <c r="B37" s="6" t="s">
        <v>925</v>
      </c>
      <c r="C37" s="6" t="s">
        <v>1383</v>
      </c>
      <c r="D37" s="6"/>
      <c r="E37" s="6" t="s">
        <v>1721</v>
      </c>
      <c r="F37" s="6" t="s">
        <v>2719</v>
      </c>
      <c r="G37" s="8">
        <v>200000</v>
      </c>
      <c r="H37" s="160" t="s">
        <v>2720</v>
      </c>
      <c r="I37" s="160" t="s">
        <v>1919</v>
      </c>
      <c r="J37" s="6"/>
      <c r="K37" s="6"/>
      <c r="L37" s="6" t="s">
        <v>82</v>
      </c>
      <c r="M37" s="6"/>
      <c r="N37" s="475" t="s">
        <v>1808</v>
      </c>
      <c r="O37" s="6"/>
      <c r="P37" s="297" t="s">
        <v>6718</v>
      </c>
      <c r="Q37" s="467" t="s">
        <v>6719</v>
      </c>
      <c r="R37" s="6" t="s">
        <v>6064</v>
      </c>
      <c r="S37" s="54"/>
    </row>
    <row r="38" spans="1:19" ht="38.25">
      <c r="A38" s="6" t="s">
        <v>1723</v>
      </c>
      <c r="B38" s="6" t="s">
        <v>925</v>
      </c>
      <c r="C38" s="6" t="s">
        <v>1383</v>
      </c>
      <c r="D38" s="6"/>
      <c r="E38" s="6" t="s">
        <v>1724</v>
      </c>
      <c r="F38" s="6" t="s">
        <v>2721</v>
      </c>
      <c r="G38" s="8">
        <v>220000</v>
      </c>
      <c r="H38" s="160" t="s">
        <v>2722</v>
      </c>
      <c r="I38" s="6" t="s">
        <v>1896</v>
      </c>
      <c r="J38" s="6"/>
      <c r="K38" s="6"/>
      <c r="L38" s="6" t="s">
        <v>82</v>
      </c>
      <c r="M38" s="6"/>
      <c r="N38" s="475" t="s">
        <v>1808</v>
      </c>
      <c r="O38" s="6"/>
      <c r="P38" s="297" t="s">
        <v>6720</v>
      </c>
      <c r="Q38" s="467" t="s">
        <v>6721</v>
      </c>
      <c r="R38" s="6" t="s">
        <v>6217</v>
      </c>
      <c r="S38" s="54"/>
    </row>
    <row r="39" spans="1:19" ht="38.25">
      <c r="A39" s="6" t="s">
        <v>2723</v>
      </c>
      <c r="B39" s="6" t="s">
        <v>2328</v>
      </c>
      <c r="C39" s="6" t="s">
        <v>2728</v>
      </c>
      <c r="D39" s="6"/>
      <c r="E39" s="6" t="s">
        <v>2725</v>
      </c>
      <c r="F39" s="6" t="s">
        <v>2726</v>
      </c>
      <c r="G39" s="8">
        <v>235483</v>
      </c>
      <c r="H39" s="160" t="s">
        <v>2727</v>
      </c>
      <c r="I39" s="6" t="s">
        <v>1828</v>
      </c>
      <c r="J39" s="6"/>
      <c r="K39" s="6"/>
      <c r="L39" s="6"/>
      <c r="M39" s="6"/>
      <c r="N39" s="6" t="s">
        <v>6132</v>
      </c>
      <c r="O39" s="6"/>
      <c r="P39" s="291" t="s">
        <v>6722</v>
      </c>
      <c r="Q39" s="468" t="s">
        <v>6723</v>
      </c>
      <c r="R39" s="6" t="s">
        <v>6724</v>
      </c>
      <c r="S39" s="54"/>
    </row>
    <row r="40" spans="1:19" ht="38.25">
      <c r="A40" s="6" t="s">
        <v>2729</v>
      </c>
      <c r="B40" s="6" t="s">
        <v>2328</v>
      </c>
      <c r="C40" s="6" t="s">
        <v>2728</v>
      </c>
      <c r="D40" s="6"/>
      <c r="E40" s="6" t="s">
        <v>2730</v>
      </c>
      <c r="F40" s="6" t="s">
        <v>2731</v>
      </c>
      <c r="G40" s="8"/>
      <c r="H40" s="160" t="s">
        <v>2732</v>
      </c>
      <c r="I40" s="6" t="s">
        <v>2611</v>
      </c>
      <c r="J40" s="6"/>
      <c r="K40" s="6"/>
      <c r="L40" s="6"/>
      <c r="M40" s="6"/>
      <c r="N40" s="6" t="s">
        <v>6132</v>
      </c>
      <c r="O40" s="6"/>
      <c r="P40" s="297" t="s">
        <v>6725</v>
      </c>
      <c r="Q40" s="467" t="s">
        <v>6726</v>
      </c>
      <c r="R40" s="6" t="s">
        <v>6092</v>
      </c>
      <c r="S40" s="54"/>
    </row>
    <row r="41" spans="1:19" ht="38.25">
      <c r="A41" s="6" t="s">
        <v>2733</v>
      </c>
      <c r="B41" s="6" t="s">
        <v>2328</v>
      </c>
      <c r="C41" s="6"/>
      <c r="D41" s="6"/>
      <c r="E41" s="6" t="s">
        <v>2734</v>
      </c>
      <c r="F41" s="6" t="s">
        <v>2735</v>
      </c>
      <c r="G41" s="8">
        <v>625786.34</v>
      </c>
      <c r="H41" s="160" t="s">
        <v>2736</v>
      </c>
      <c r="I41" s="6" t="s">
        <v>2460</v>
      </c>
      <c r="J41" s="6"/>
      <c r="K41" s="6"/>
      <c r="L41" s="6"/>
      <c r="M41" s="6"/>
      <c r="N41" s="6" t="s">
        <v>6132</v>
      </c>
      <c r="O41" s="6"/>
      <c r="P41" s="297" t="s">
        <v>6727</v>
      </c>
      <c r="Q41" s="467" t="s">
        <v>6728</v>
      </c>
      <c r="R41" s="6" t="s">
        <v>6729</v>
      </c>
      <c r="S41" s="54"/>
    </row>
    <row r="42" spans="1:19" ht="38.25">
      <c r="A42" s="6" t="s">
        <v>2737</v>
      </c>
      <c r="B42" s="6" t="s">
        <v>2328</v>
      </c>
      <c r="C42" s="6"/>
      <c r="D42" s="6"/>
      <c r="E42" s="6" t="s">
        <v>2738</v>
      </c>
      <c r="F42" s="6" t="s">
        <v>2739</v>
      </c>
      <c r="G42" s="8">
        <v>442823</v>
      </c>
      <c r="H42" s="160" t="s">
        <v>2740</v>
      </c>
      <c r="I42" s="6" t="s">
        <v>1828</v>
      </c>
      <c r="J42" s="6"/>
      <c r="K42" s="6"/>
      <c r="L42" s="6"/>
      <c r="M42" s="6"/>
      <c r="N42" s="6" t="s">
        <v>6132</v>
      </c>
      <c r="O42" s="6"/>
      <c r="P42" s="297" t="s">
        <v>6730</v>
      </c>
      <c r="Q42" s="467" t="s">
        <v>6731</v>
      </c>
      <c r="R42" s="6" t="s">
        <v>6724</v>
      </c>
      <c r="S42" s="54"/>
    </row>
    <row r="43" spans="1:19" ht="51">
      <c r="A43" s="6" t="s">
        <v>2741</v>
      </c>
      <c r="B43" s="6" t="s">
        <v>2328</v>
      </c>
      <c r="C43" s="6"/>
      <c r="D43" s="6"/>
      <c r="E43" s="6" t="s">
        <v>2742</v>
      </c>
      <c r="F43" s="6" t="s">
        <v>2743</v>
      </c>
      <c r="G43" s="8">
        <v>726800</v>
      </c>
      <c r="H43" s="160" t="s">
        <v>2744</v>
      </c>
      <c r="I43" s="6" t="s">
        <v>2656</v>
      </c>
      <c r="J43" s="6"/>
      <c r="K43" s="6"/>
      <c r="L43" s="6"/>
      <c r="M43" s="6"/>
      <c r="N43" s="6" t="s">
        <v>6132</v>
      </c>
      <c r="O43" s="6"/>
      <c r="P43" s="297" t="s">
        <v>6732</v>
      </c>
      <c r="Q43" s="467" t="s">
        <v>6733</v>
      </c>
      <c r="R43" s="6" t="s">
        <v>6092</v>
      </c>
      <c r="S43" s="54"/>
    </row>
    <row r="44" spans="1:19" ht="51">
      <c r="A44" s="6" t="s">
        <v>930</v>
      </c>
      <c r="B44" s="6" t="s">
        <v>925</v>
      </c>
      <c r="C44" s="6" t="s">
        <v>68</v>
      </c>
      <c r="D44" s="6"/>
      <c r="E44" s="6" t="s">
        <v>2745</v>
      </c>
      <c r="F44" s="6" t="s">
        <v>2746</v>
      </c>
      <c r="G44" s="64">
        <v>988050</v>
      </c>
      <c r="H44" s="160" t="s">
        <v>2747</v>
      </c>
      <c r="I44" s="6" t="s">
        <v>1855</v>
      </c>
      <c r="J44" s="6"/>
      <c r="K44" s="6"/>
      <c r="L44" s="6" t="s">
        <v>1874</v>
      </c>
      <c r="M44" s="6"/>
      <c r="N44" s="6" t="s">
        <v>6132</v>
      </c>
      <c r="O44" s="6"/>
      <c r="P44" s="297" t="s">
        <v>6734</v>
      </c>
      <c r="Q44" s="467" t="s">
        <v>6735</v>
      </c>
      <c r="R44" s="6" t="s">
        <v>6104</v>
      </c>
      <c r="S44" s="54"/>
    </row>
    <row r="45" spans="1:19" ht="38.25">
      <c r="A45" s="6" t="s">
        <v>1252</v>
      </c>
      <c r="B45" s="6" t="s">
        <v>925</v>
      </c>
      <c r="C45" s="6" t="s">
        <v>62</v>
      </c>
      <c r="D45" s="6"/>
      <c r="E45" s="6" t="s">
        <v>1253</v>
      </c>
      <c r="F45" s="6" t="s">
        <v>2748</v>
      </c>
      <c r="G45" s="64">
        <v>1405331.54</v>
      </c>
      <c r="H45" s="160" t="s">
        <v>2749</v>
      </c>
      <c r="I45" s="6" t="s">
        <v>1886</v>
      </c>
      <c r="J45" s="6"/>
      <c r="K45" s="6"/>
      <c r="L45" s="6" t="s">
        <v>1904</v>
      </c>
      <c r="M45" s="6"/>
      <c r="N45" s="6" t="s">
        <v>6132</v>
      </c>
      <c r="O45" s="6"/>
      <c r="P45" s="297" t="s">
        <v>6736</v>
      </c>
      <c r="Q45" s="467" t="s">
        <v>6737</v>
      </c>
      <c r="R45" s="6" t="s">
        <v>6170</v>
      </c>
      <c r="S45" s="54"/>
    </row>
    <row r="46" spans="1:19" ht="51">
      <c r="A46" s="6" t="s">
        <v>1726</v>
      </c>
      <c r="B46" s="6" t="s">
        <v>925</v>
      </c>
      <c r="C46" s="6" t="s">
        <v>1383</v>
      </c>
      <c r="D46" s="6"/>
      <c r="E46" s="6" t="s">
        <v>1727</v>
      </c>
      <c r="F46" s="6" t="s">
        <v>1728</v>
      </c>
      <c r="G46" s="8">
        <v>200000</v>
      </c>
      <c r="H46" s="6" t="s">
        <v>2508</v>
      </c>
      <c r="I46" s="6" t="s">
        <v>1828</v>
      </c>
      <c r="J46" s="6" t="s">
        <v>1824</v>
      </c>
      <c r="K46" s="6"/>
      <c r="L46" s="6" t="s">
        <v>82</v>
      </c>
      <c r="M46" s="6"/>
      <c r="N46" s="475" t="s">
        <v>1808</v>
      </c>
      <c r="O46" s="6"/>
      <c r="P46" s="297" t="s">
        <v>6738</v>
      </c>
      <c r="Q46" s="467" t="s">
        <v>6739</v>
      </c>
      <c r="R46" s="6" t="s">
        <v>6064</v>
      </c>
      <c r="S46" s="54"/>
    </row>
    <row r="47" spans="1:19" ht="51">
      <c r="A47" s="6" t="s">
        <v>1255</v>
      </c>
      <c r="B47" s="6" t="s">
        <v>925</v>
      </c>
      <c r="C47" s="6" t="s">
        <v>62</v>
      </c>
      <c r="D47" s="6"/>
      <c r="E47" s="6" t="s">
        <v>1256</v>
      </c>
      <c r="F47" s="6" t="s">
        <v>2750</v>
      </c>
      <c r="G47" s="64">
        <v>493709</v>
      </c>
      <c r="H47" s="160" t="s">
        <v>2751</v>
      </c>
      <c r="I47" s="6" t="s">
        <v>1886</v>
      </c>
      <c r="J47" s="6"/>
      <c r="K47" s="6"/>
      <c r="L47" s="6" t="s">
        <v>1904</v>
      </c>
      <c r="M47" s="6"/>
      <c r="N47" s="6" t="s">
        <v>6132</v>
      </c>
      <c r="O47" s="6"/>
      <c r="P47" s="297" t="s">
        <v>6740</v>
      </c>
      <c r="Q47" s="467" t="s">
        <v>6741</v>
      </c>
      <c r="R47" s="6" t="s">
        <v>6137</v>
      </c>
      <c r="S47" s="54"/>
    </row>
    <row r="48" spans="1:19" ht="25.5">
      <c r="A48" s="6" t="s">
        <v>2752</v>
      </c>
      <c r="B48" s="6" t="s">
        <v>925</v>
      </c>
      <c r="C48" s="6" t="s">
        <v>1940</v>
      </c>
      <c r="D48" s="6"/>
      <c r="E48" s="6" t="s">
        <v>2753</v>
      </c>
      <c r="F48" s="6" t="s">
        <v>2319</v>
      </c>
      <c r="G48" s="8">
        <v>3621100</v>
      </c>
      <c r="H48" s="6" t="s">
        <v>1938</v>
      </c>
      <c r="I48" s="6" t="s">
        <v>1828</v>
      </c>
      <c r="J48" s="6" t="s">
        <v>1824</v>
      </c>
      <c r="K48" s="6"/>
      <c r="L48" s="6" t="s">
        <v>82</v>
      </c>
      <c r="M48" s="6"/>
      <c r="N48" s="475" t="s">
        <v>1808</v>
      </c>
      <c r="O48" s="6"/>
      <c r="P48" s="297" t="s">
        <v>6742</v>
      </c>
      <c r="Q48" s="467" t="s">
        <v>6743</v>
      </c>
      <c r="R48" s="6" t="s">
        <v>6064</v>
      </c>
      <c r="S48" s="54"/>
    </row>
    <row r="49" spans="1:19" ht="38.25">
      <c r="A49" s="6" t="s">
        <v>1258</v>
      </c>
      <c r="B49" s="6" t="s">
        <v>925</v>
      </c>
      <c r="C49" s="6" t="s">
        <v>62</v>
      </c>
      <c r="D49" s="6"/>
      <c r="E49" s="6" t="s">
        <v>1259</v>
      </c>
      <c r="F49" s="6" t="s">
        <v>2754</v>
      </c>
      <c r="G49" s="64">
        <v>594944</v>
      </c>
      <c r="H49" s="160" t="s">
        <v>2755</v>
      </c>
      <c r="I49" s="6" t="s">
        <v>1899</v>
      </c>
      <c r="J49" s="6"/>
      <c r="K49" s="6"/>
      <c r="L49" s="6" t="s">
        <v>1904</v>
      </c>
      <c r="M49" s="6"/>
      <c r="N49" s="6" t="s">
        <v>6179</v>
      </c>
      <c r="O49" s="6"/>
      <c r="P49" s="297" t="s">
        <v>6744</v>
      </c>
      <c r="Q49" s="467" t="s">
        <v>6745</v>
      </c>
      <c r="R49" s="6" t="s">
        <v>6170</v>
      </c>
      <c r="S49" s="54"/>
    </row>
    <row r="50" spans="1:19" ht="38.25">
      <c r="A50" s="6" t="s">
        <v>2756</v>
      </c>
      <c r="B50" s="6" t="s">
        <v>2328</v>
      </c>
      <c r="C50" s="6" t="s">
        <v>62</v>
      </c>
      <c r="D50" s="6"/>
      <c r="E50" s="6" t="s">
        <v>2757</v>
      </c>
      <c r="F50" s="6" t="s">
        <v>2758</v>
      </c>
      <c r="G50" s="30">
        <v>63937.5</v>
      </c>
      <c r="H50" s="160" t="s">
        <v>2759</v>
      </c>
      <c r="I50" s="6" t="s">
        <v>1879</v>
      </c>
      <c r="J50" s="6"/>
      <c r="K50" s="6"/>
      <c r="L50" s="6"/>
      <c r="M50" s="6"/>
      <c r="N50" s="6" t="s">
        <v>6179</v>
      </c>
      <c r="O50" s="6"/>
      <c r="P50" s="297" t="s">
        <v>6746</v>
      </c>
      <c r="Q50" s="467" t="s">
        <v>6747</v>
      </c>
      <c r="R50" s="6" t="s">
        <v>6137</v>
      </c>
      <c r="S50" s="54"/>
    </row>
    <row r="51" spans="1:19" ht="63.75">
      <c r="A51" s="6" t="s">
        <v>2760</v>
      </c>
      <c r="B51" s="6" t="s">
        <v>2328</v>
      </c>
      <c r="C51" s="6" t="s">
        <v>62</v>
      </c>
      <c r="D51" s="6"/>
      <c r="E51" s="6" t="s">
        <v>2761</v>
      </c>
      <c r="F51" s="6" t="s">
        <v>2762</v>
      </c>
      <c r="G51" s="8">
        <v>69178</v>
      </c>
      <c r="H51" s="160" t="s">
        <v>2763</v>
      </c>
      <c r="I51" s="6" t="s">
        <v>2609</v>
      </c>
      <c r="J51" s="6"/>
      <c r="K51" s="6"/>
      <c r="L51" s="6"/>
      <c r="M51" s="6"/>
      <c r="N51" s="6" t="s">
        <v>6132</v>
      </c>
      <c r="O51" s="6"/>
      <c r="P51" s="297" t="s">
        <v>6748</v>
      </c>
      <c r="Q51" s="467" t="s">
        <v>6749</v>
      </c>
      <c r="R51" s="6" t="s">
        <v>6092</v>
      </c>
      <c r="S51" s="54"/>
    </row>
    <row r="52" spans="1:19" ht="38.25">
      <c r="A52" s="6" t="s">
        <v>2764</v>
      </c>
      <c r="B52" s="6" t="s">
        <v>2328</v>
      </c>
      <c r="C52" s="6" t="s">
        <v>62</v>
      </c>
      <c r="D52" s="6"/>
      <c r="E52" s="6" t="s">
        <v>2765</v>
      </c>
      <c r="F52" s="6" t="s">
        <v>2766</v>
      </c>
      <c r="G52" s="8">
        <v>71729.22</v>
      </c>
      <c r="H52" s="160" t="s">
        <v>2767</v>
      </c>
      <c r="I52" s="6" t="s">
        <v>2467</v>
      </c>
      <c r="J52" s="6"/>
      <c r="K52" s="6"/>
      <c r="L52" s="6"/>
      <c r="M52" s="6"/>
      <c r="N52" s="6" t="s">
        <v>6179</v>
      </c>
      <c r="O52" s="6"/>
      <c r="P52" s="297" t="s">
        <v>6750</v>
      </c>
      <c r="Q52" s="467" t="s">
        <v>6751</v>
      </c>
      <c r="R52" s="6" t="s">
        <v>6137</v>
      </c>
      <c r="S52" s="54"/>
    </row>
    <row r="53" spans="1:19" ht="63.75">
      <c r="A53" s="6" t="s">
        <v>2768</v>
      </c>
      <c r="B53" s="6" t="s">
        <v>2328</v>
      </c>
      <c r="C53" s="6" t="s">
        <v>62</v>
      </c>
      <c r="D53" s="6"/>
      <c r="E53" s="6" t="s">
        <v>2769</v>
      </c>
      <c r="F53" s="6" t="s">
        <v>2770</v>
      </c>
      <c r="G53" s="8">
        <v>609984</v>
      </c>
      <c r="H53" s="160" t="s">
        <v>2771</v>
      </c>
      <c r="I53" s="6" t="s">
        <v>1828</v>
      </c>
      <c r="J53" s="6"/>
      <c r="K53" s="6"/>
      <c r="L53" s="6"/>
      <c r="M53" s="6"/>
      <c r="N53" s="6" t="s">
        <v>6132</v>
      </c>
      <c r="O53" s="6"/>
      <c r="P53" s="297" t="s">
        <v>6752</v>
      </c>
      <c r="Q53" s="467" t="s">
        <v>6753</v>
      </c>
      <c r="R53" s="6" t="s">
        <v>6137</v>
      </c>
      <c r="S53" s="54"/>
    </row>
    <row r="54" spans="1:19" ht="38.25">
      <c r="A54" s="6" t="s">
        <v>2772</v>
      </c>
      <c r="B54" s="6" t="s">
        <v>2328</v>
      </c>
      <c r="C54" s="6" t="s">
        <v>652</v>
      </c>
      <c r="D54" s="6"/>
      <c r="E54" s="6" t="s">
        <v>2773</v>
      </c>
      <c r="F54" s="6" t="s">
        <v>2774</v>
      </c>
      <c r="G54" s="8">
        <v>99860</v>
      </c>
      <c r="H54" s="160" t="s">
        <v>2775</v>
      </c>
      <c r="I54" s="6" t="s">
        <v>1828</v>
      </c>
      <c r="J54" s="6"/>
      <c r="K54" s="6"/>
      <c r="L54" s="6"/>
      <c r="M54" s="6"/>
      <c r="N54" s="6" t="s">
        <v>6132</v>
      </c>
      <c r="O54" s="6"/>
      <c r="P54" s="297" t="s">
        <v>6754</v>
      </c>
      <c r="Q54" s="467" t="s">
        <v>6755</v>
      </c>
      <c r="R54" s="6" t="s">
        <v>6092</v>
      </c>
      <c r="S54" s="54"/>
    </row>
    <row r="55" spans="1:19" ht="38.25">
      <c r="A55" s="6" t="s">
        <v>2776</v>
      </c>
      <c r="B55" s="6" t="s">
        <v>2328</v>
      </c>
      <c r="C55" s="6"/>
      <c r="D55" s="6"/>
      <c r="E55" s="6" t="s">
        <v>2777</v>
      </c>
      <c r="F55" s="6" t="s">
        <v>2778</v>
      </c>
      <c r="G55" s="8">
        <v>40520</v>
      </c>
      <c r="H55" s="160" t="s">
        <v>2779</v>
      </c>
      <c r="I55" s="6" t="s">
        <v>1828</v>
      </c>
      <c r="J55" s="6"/>
      <c r="K55" s="6"/>
      <c r="L55" s="6"/>
      <c r="M55" s="6"/>
      <c r="N55" s="6" t="s">
        <v>6132</v>
      </c>
      <c r="O55" s="6"/>
      <c r="P55" s="297" t="s">
        <v>6756</v>
      </c>
      <c r="Q55" s="467" t="s">
        <v>6757</v>
      </c>
      <c r="R55" s="6" t="s">
        <v>6140</v>
      </c>
      <c r="S55" s="54"/>
    </row>
    <row r="56" spans="1:19" ht="38.25">
      <c r="A56" s="6" t="s">
        <v>1261</v>
      </c>
      <c r="B56" s="6" t="s">
        <v>925</v>
      </c>
      <c r="C56" s="6" t="s">
        <v>1262</v>
      </c>
      <c r="D56" s="6"/>
      <c r="E56" s="6" t="s">
        <v>1263</v>
      </c>
      <c r="F56" s="6" t="s">
        <v>2780</v>
      </c>
      <c r="G56" s="64">
        <v>1094960</v>
      </c>
      <c r="H56" s="160" t="s">
        <v>2781</v>
      </c>
      <c r="I56" s="6" t="s">
        <v>1828</v>
      </c>
      <c r="J56" s="6"/>
      <c r="K56" s="6"/>
      <c r="L56" s="6" t="s">
        <v>1904</v>
      </c>
      <c r="M56" s="6"/>
      <c r="N56" s="6" t="s">
        <v>6132</v>
      </c>
      <c r="O56" s="6"/>
      <c r="P56" s="297" t="s">
        <v>6758</v>
      </c>
      <c r="Q56" s="467" t="s">
        <v>6759</v>
      </c>
      <c r="R56" s="6" t="s">
        <v>6092</v>
      </c>
      <c r="S56" s="54"/>
    </row>
    <row r="57" spans="1:19" ht="38.25">
      <c r="A57" s="6" t="s">
        <v>1265</v>
      </c>
      <c r="B57" s="6" t="s">
        <v>925</v>
      </c>
      <c r="C57" s="6" t="s">
        <v>1262</v>
      </c>
      <c r="D57" s="6"/>
      <c r="E57" s="6" t="s">
        <v>1266</v>
      </c>
      <c r="F57" s="6" t="s">
        <v>2782</v>
      </c>
      <c r="G57" s="64">
        <v>672600</v>
      </c>
      <c r="H57" s="160" t="s">
        <v>2783</v>
      </c>
      <c r="I57" s="6" t="s">
        <v>1828</v>
      </c>
      <c r="J57" s="6"/>
      <c r="K57" s="6"/>
      <c r="L57" s="6" t="s">
        <v>1904</v>
      </c>
      <c r="M57" s="6"/>
      <c r="N57" s="6" t="s">
        <v>6132</v>
      </c>
      <c r="O57" s="6"/>
      <c r="P57" s="297" t="s">
        <v>6760</v>
      </c>
      <c r="Q57" s="467" t="s">
        <v>6761</v>
      </c>
      <c r="R57" s="6" t="s">
        <v>6092</v>
      </c>
      <c r="S57" s="54"/>
    </row>
    <row r="58" spans="1:19" ht="38.25">
      <c r="A58" s="6" t="s">
        <v>1268</v>
      </c>
      <c r="B58" s="6" t="s">
        <v>925</v>
      </c>
      <c r="C58" s="6" t="s">
        <v>1262</v>
      </c>
      <c r="D58" s="6"/>
      <c r="E58" s="6" t="s">
        <v>1269</v>
      </c>
      <c r="F58" s="6" t="s">
        <v>2784</v>
      </c>
      <c r="G58" s="64">
        <v>831690</v>
      </c>
      <c r="H58" s="160" t="s">
        <v>2785</v>
      </c>
      <c r="I58" s="6" t="s">
        <v>1828</v>
      </c>
      <c r="J58" s="6"/>
      <c r="K58" s="6"/>
      <c r="L58" s="6" t="s">
        <v>1904</v>
      </c>
      <c r="M58" s="6"/>
      <c r="N58" s="6" t="s">
        <v>6132</v>
      </c>
      <c r="O58" s="6"/>
      <c r="P58" s="297" t="s">
        <v>6762</v>
      </c>
      <c r="Q58" s="467" t="s">
        <v>6763</v>
      </c>
      <c r="R58" s="6" t="s">
        <v>6137</v>
      </c>
      <c r="S58" s="54"/>
    </row>
    <row r="59" spans="1:19" ht="51">
      <c r="A59" s="6" t="s">
        <v>1271</v>
      </c>
      <c r="B59" s="6" t="s">
        <v>925</v>
      </c>
      <c r="C59" s="6" t="s">
        <v>1262</v>
      </c>
      <c r="D59" s="6"/>
      <c r="E59" s="6" t="s">
        <v>1272</v>
      </c>
      <c r="F59" s="6" t="s">
        <v>2786</v>
      </c>
      <c r="G59" s="64">
        <v>967500</v>
      </c>
      <c r="H59" s="160" t="s">
        <v>2787</v>
      </c>
      <c r="I59" s="6" t="s">
        <v>1899</v>
      </c>
      <c r="J59" s="6"/>
      <c r="K59" s="6"/>
      <c r="L59" s="6" t="s">
        <v>1904</v>
      </c>
      <c r="M59" s="6"/>
      <c r="N59" s="6" t="s">
        <v>6132</v>
      </c>
      <c r="O59" s="6"/>
      <c r="P59" s="297" t="s">
        <v>6764</v>
      </c>
      <c r="Q59" s="467" t="s">
        <v>6765</v>
      </c>
      <c r="R59" s="6" t="s">
        <v>6170</v>
      </c>
      <c r="S59" s="54"/>
    </row>
    <row r="60" spans="1:19" ht="38.25">
      <c r="A60" s="6" t="s">
        <v>1274</v>
      </c>
      <c r="B60" s="6" t="s">
        <v>925</v>
      </c>
      <c r="C60" s="6" t="s">
        <v>62</v>
      </c>
      <c r="D60" s="6"/>
      <c r="E60" s="6" t="s">
        <v>1275</v>
      </c>
      <c r="F60" s="6" t="s">
        <v>2788</v>
      </c>
      <c r="G60" s="64">
        <v>1717600</v>
      </c>
      <c r="H60" s="160" t="s">
        <v>2789</v>
      </c>
      <c r="I60" s="6" t="s">
        <v>1886</v>
      </c>
      <c r="J60" s="6"/>
      <c r="K60" s="6"/>
      <c r="L60" s="6" t="s">
        <v>1904</v>
      </c>
      <c r="M60" s="6"/>
      <c r="N60" s="6" t="s">
        <v>6179</v>
      </c>
      <c r="O60" s="6"/>
      <c r="P60" s="297" t="s">
        <v>6766</v>
      </c>
      <c r="Q60" s="467" t="s">
        <v>6767</v>
      </c>
      <c r="R60" s="6" t="s">
        <v>6092</v>
      </c>
      <c r="S60" s="54"/>
    </row>
    <row r="61" spans="1:19" ht="25.5">
      <c r="A61" s="6" t="s">
        <v>2790</v>
      </c>
      <c r="B61" s="6" t="s">
        <v>925</v>
      </c>
      <c r="C61" s="6" t="s">
        <v>2794</v>
      </c>
      <c r="D61" s="6"/>
      <c r="E61" s="6" t="s">
        <v>2791</v>
      </c>
      <c r="F61" s="6" t="s">
        <v>2792</v>
      </c>
      <c r="G61" s="8">
        <v>200000</v>
      </c>
      <c r="H61" s="160" t="s">
        <v>2793</v>
      </c>
      <c r="I61" s="6" t="s">
        <v>5647</v>
      </c>
      <c r="J61" s="6" t="s">
        <v>1824</v>
      </c>
      <c r="K61" s="6"/>
      <c r="L61" s="6"/>
      <c r="M61" s="6"/>
      <c r="N61" s="475" t="s">
        <v>1808</v>
      </c>
      <c r="O61" s="6"/>
      <c r="P61" s="297" t="s">
        <v>6768</v>
      </c>
      <c r="Q61" s="467" t="s">
        <v>6769</v>
      </c>
      <c r="R61" s="6" t="s">
        <v>6064</v>
      </c>
      <c r="S61" s="54"/>
    </row>
    <row r="62" spans="1:19" ht="38.25">
      <c r="A62" s="6" t="s">
        <v>2795</v>
      </c>
      <c r="B62" s="6" t="s">
        <v>925</v>
      </c>
      <c r="C62" s="6"/>
      <c r="D62" s="6"/>
      <c r="E62" s="6" t="s">
        <v>2796</v>
      </c>
      <c r="F62" s="6" t="s">
        <v>2797</v>
      </c>
      <c r="G62" s="8">
        <v>350000</v>
      </c>
      <c r="H62" s="6" t="s">
        <v>6770</v>
      </c>
      <c r="I62" s="6" t="s">
        <v>5647</v>
      </c>
      <c r="J62" s="6"/>
      <c r="K62" s="6"/>
      <c r="L62" s="6"/>
      <c r="M62" s="6"/>
      <c r="N62" s="475" t="s">
        <v>1808</v>
      </c>
      <c r="O62" s="6"/>
      <c r="P62" s="297" t="s">
        <v>6771</v>
      </c>
      <c r="Q62" s="467" t="s">
        <v>6772</v>
      </c>
      <c r="R62" s="6" t="s">
        <v>6064</v>
      </c>
      <c r="S62" s="54"/>
    </row>
    <row r="63" spans="1:19" ht="38.25">
      <c r="A63" s="6" t="s">
        <v>2798</v>
      </c>
      <c r="B63" s="6" t="s">
        <v>2328</v>
      </c>
      <c r="C63" s="6" t="s">
        <v>62</v>
      </c>
      <c r="D63" s="6"/>
      <c r="E63" s="6" t="s">
        <v>2799</v>
      </c>
      <c r="F63" s="6" t="s">
        <v>2800</v>
      </c>
      <c r="G63" s="8">
        <v>570315.19999999995</v>
      </c>
      <c r="H63" s="160" t="s">
        <v>2801</v>
      </c>
      <c r="I63" s="6" t="s">
        <v>5647</v>
      </c>
      <c r="J63" s="6"/>
      <c r="K63" s="6"/>
      <c r="L63" s="6"/>
      <c r="M63" s="6"/>
      <c r="N63" s="6" t="s">
        <v>6132</v>
      </c>
      <c r="O63" s="6"/>
      <c r="P63" s="297" t="s">
        <v>6773</v>
      </c>
      <c r="Q63" s="467" t="s">
        <v>6774</v>
      </c>
      <c r="R63" s="6" t="s">
        <v>6104</v>
      </c>
      <c r="S63" s="54"/>
    </row>
    <row r="64" spans="1:19" ht="38.25">
      <c r="A64" s="6" t="s">
        <v>1277</v>
      </c>
      <c r="B64" s="6" t="s">
        <v>925</v>
      </c>
      <c r="C64" s="6" t="s">
        <v>62</v>
      </c>
      <c r="D64" s="6"/>
      <c r="E64" s="6" t="s">
        <v>1278</v>
      </c>
      <c r="F64" s="6" t="s">
        <v>2802</v>
      </c>
      <c r="G64" s="64">
        <v>366000</v>
      </c>
      <c r="H64" s="160" t="s">
        <v>2803</v>
      </c>
      <c r="I64" s="6" t="s">
        <v>1916</v>
      </c>
      <c r="J64" s="6"/>
      <c r="K64" s="6"/>
      <c r="L64" s="6" t="s">
        <v>1904</v>
      </c>
      <c r="M64" s="6"/>
      <c r="N64" s="6" t="s">
        <v>6179</v>
      </c>
      <c r="O64" s="6"/>
      <c r="P64" s="297" t="s">
        <v>6775</v>
      </c>
      <c r="Q64" s="467" t="s">
        <v>6776</v>
      </c>
      <c r="R64" s="6" t="s">
        <v>6137</v>
      </c>
      <c r="S64" s="54"/>
    </row>
    <row r="65" spans="1:19" ht="51">
      <c r="A65" s="6" t="s">
        <v>1280</v>
      </c>
      <c r="B65" s="6" t="s">
        <v>925</v>
      </c>
      <c r="C65" s="6" t="s">
        <v>62</v>
      </c>
      <c r="D65" s="6"/>
      <c r="E65" s="6" t="s">
        <v>1281</v>
      </c>
      <c r="F65" s="6" t="s">
        <v>2804</v>
      </c>
      <c r="G65" s="64">
        <v>655630</v>
      </c>
      <c r="H65" s="160" t="s">
        <v>2805</v>
      </c>
      <c r="I65" s="6" t="s">
        <v>1828</v>
      </c>
      <c r="J65" s="6"/>
      <c r="K65" s="6"/>
      <c r="L65" s="6" t="s">
        <v>1904</v>
      </c>
      <c r="M65" s="6"/>
      <c r="N65" s="6" t="s">
        <v>6132</v>
      </c>
      <c r="O65" s="6"/>
      <c r="P65" s="297" t="s">
        <v>6777</v>
      </c>
      <c r="Q65" s="467" t="s">
        <v>6778</v>
      </c>
      <c r="R65" s="6" t="s">
        <v>6092</v>
      </c>
      <c r="S65" s="54"/>
    </row>
    <row r="66" spans="1:19" ht="38.25">
      <c r="A66" s="6" t="s">
        <v>1283</v>
      </c>
      <c r="B66" s="6" t="s">
        <v>925</v>
      </c>
      <c r="C66" s="6" t="s">
        <v>62</v>
      </c>
      <c r="D66" s="6"/>
      <c r="E66" s="6" t="s">
        <v>1284</v>
      </c>
      <c r="F66" s="6" t="s">
        <v>2806</v>
      </c>
      <c r="G66" s="64">
        <v>1431166.67</v>
      </c>
      <c r="H66" s="160" t="s">
        <v>2807</v>
      </c>
      <c r="I66" s="6" t="s">
        <v>1828</v>
      </c>
      <c r="J66" s="6"/>
      <c r="K66" s="6"/>
      <c r="L66" s="6" t="s">
        <v>1904</v>
      </c>
      <c r="M66" s="6"/>
      <c r="N66" s="6" t="s">
        <v>6179</v>
      </c>
      <c r="O66" s="6"/>
      <c r="P66" s="297" t="s">
        <v>6779</v>
      </c>
      <c r="Q66" s="467" t="s">
        <v>6780</v>
      </c>
      <c r="R66" s="6" t="s">
        <v>6170</v>
      </c>
      <c r="S66" s="54"/>
    </row>
    <row r="67" spans="1:19" ht="38.25">
      <c r="A67" s="6" t="s">
        <v>2808</v>
      </c>
      <c r="B67" s="6" t="s">
        <v>2328</v>
      </c>
      <c r="C67" s="6"/>
      <c r="D67" s="6"/>
      <c r="E67" s="6" t="s">
        <v>2809</v>
      </c>
      <c r="F67" s="6" t="s">
        <v>2810</v>
      </c>
      <c r="G67" s="8">
        <v>223751</v>
      </c>
      <c r="H67" s="160" t="s">
        <v>2811</v>
      </c>
      <c r="I67" s="6" t="s">
        <v>1828</v>
      </c>
      <c r="J67" s="6"/>
      <c r="K67" s="6"/>
      <c r="L67" s="6"/>
      <c r="M67" s="6"/>
      <c r="N67" s="6" t="s">
        <v>6132</v>
      </c>
      <c r="O67" s="6"/>
      <c r="P67" s="297" t="s">
        <v>6781</v>
      </c>
      <c r="Q67" s="467" t="s">
        <v>6782</v>
      </c>
      <c r="R67" s="6" t="s">
        <v>6092</v>
      </c>
      <c r="S67" s="54"/>
    </row>
    <row r="68" spans="1:19" ht="25.5">
      <c r="A68" s="6" t="s">
        <v>2812</v>
      </c>
      <c r="B68" s="6" t="s">
        <v>2328</v>
      </c>
      <c r="C68" s="6" t="s">
        <v>62</v>
      </c>
      <c r="D68" s="6"/>
      <c r="E68" s="6" t="s">
        <v>2813</v>
      </c>
      <c r="F68" s="6" t="s">
        <v>2814</v>
      </c>
      <c r="G68" s="30">
        <v>3387663.22</v>
      </c>
      <c r="H68" s="160" t="s">
        <v>2815</v>
      </c>
      <c r="I68" s="6" t="s">
        <v>6783</v>
      </c>
      <c r="J68" s="6"/>
      <c r="K68" s="6"/>
      <c r="L68" s="6"/>
      <c r="M68" s="6"/>
      <c r="N68" s="6" t="s">
        <v>6132</v>
      </c>
      <c r="O68" s="6"/>
      <c r="P68" s="291" t="s">
        <v>6784</v>
      </c>
      <c r="Q68" s="468" t="s">
        <v>6785</v>
      </c>
      <c r="R68" s="6" t="s">
        <v>6137</v>
      </c>
      <c r="S68" s="54"/>
    </row>
    <row r="69" spans="1:19" ht="63.75">
      <c r="A69" s="6" t="s">
        <v>2816</v>
      </c>
      <c r="B69" s="6" t="s">
        <v>2328</v>
      </c>
      <c r="C69" s="6" t="s">
        <v>62</v>
      </c>
      <c r="D69" s="6"/>
      <c r="E69" s="6" t="s">
        <v>2817</v>
      </c>
      <c r="F69" s="6" t="s">
        <v>2818</v>
      </c>
      <c r="G69" s="30">
        <v>1061270.19</v>
      </c>
      <c r="H69" s="160" t="s">
        <v>2819</v>
      </c>
      <c r="I69" s="6" t="s">
        <v>2613</v>
      </c>
      <c r="J69" s="6"/>
      <c r="K69" s="6"/>
      <c r="L69" s="6"/>
      <c r="M69" s="6"/>
      <c r="N69" s="6" t="s">
        <v>6132</v>
      </c>
      <c r="O69" s="6"/>
      <c r="P69" s="291" t="s">
        <v>6786</v>
      </c>
      <c r="Q69" s="468" t="s">
        <v>6787</v>
      </c>
      <c r="R69" s="6" t="s">
        <v>6137</v>
      </c>
      <c r="S69" s="54"/>
    </row>
    <row r="70" spans="1:19" ht="89.25">
      <c r="A70" s="6" t="s">
        <v>1286</v>
      </c>
      <c r="B70" s="6" t="s">
        <v>925</v>
      </c>
      <c r="C70" s="6" t="s">
        <v>62</v>
      </c>
      <c r="D70" s="6"/>
      <c r="E70" s="6" t="s">
        <v>1287</v>
      </c>
      <c r="F70" s="6" t="s">
        <v>2820</v>
      </c>
      <c r="G70" s="64">
        <v>3765994.41</v>
      </c>
      <c r="H70" s="160" t="s">
        <v>2821</v>
      </c>
      <c r="I70" s="6" t="s">
        <v>1919</v>
      </c>
      <c r="J70" s="6"/>
      <c r="K70" s="6"/>
      <c r="L70" s="6" t="s">
        <v>1904</v>
      </c>
      <c r="M70" s="6"/>
      <c r="N70" s="6" t="s">
        <v>6788</v>
      </c>
      <c r="O70" s="6"/>
      <c r="P70" s="291" t="s">
        <v>6789</v>
      </c>
      <c r="Q70" s="468" t="s">
        <v>6790</v>
      </c>
      <c r="R70" s="6" t="s">
        <v>6137</v>
      </c>
      <c r="S70" s="54"/>
    </row>
    <row r="71" spans="1:19" ht="38.25">
      <c r="A71" s="6" t="s">
        <v>2822</v>
      </c>
      <c r="B71" s="6" t="s">
        <v>2328</v>
      </c>
      <c r="C71" s="6" t="s">
        <v>62</v>
      </c>
      <c r="D71" s="6"/>
      <c r="E71" s="6" t="s">
        <v>2823</v>
      </c>
      <c r="F71" s="6" t="s">
        <v>2824</v>
      </c>
      <c r="G71" s="30">
        <v>560000</v>
      </c>
      <c r="H71" s="160" t="s">
        <v>2825</v>
      </c>
      <c r="I71" s="6" t="s">
        <v>5656</v>
      </c>
      <c r="J71" s="6"/>
      <c r="K71" s="6"/>
      <c r="L71" s="6"/>
      <c r="M71" s="6"/>
      <c r="N71" s="6" t="s">
        <v>6179</v>
      </c>
      <c r="O71" s="6"/>
      <c r="P71" s="297" t="s">
        <v>6791</v>
      </c>
      <c r="Q71" s="467" t="s">
        <v>6792</v>
      </c>
      <c r="R71" s="6" t="s">
        <v>6217</v>
      </c>
      <c r="S71" s="54"/>
    </row>
    <row r="72" spans="1:19" ht="51">
      <c r="A72" s="6" t="s">
        <v>1289</v>
      </c>
      <c r="B72" s="6" t="s">
        <v>925</v>
      </c>
      <c r="C72" s="6" t="s">
        <v>62</v>
      </c>
      <c r="D72" s="6"/>
      <c r="E72" s="6" t="s">
        <v>1242</v>
      </c>
      <c r="F72" s="6" t="s">
        <v>2826</v>
      </c>
      <c r="G72" s="64">
        <v>710458.07</v>
      </c>
      <c r="H72" s="160" t="s">
        <v>2827</v>
      </c>
      <c r="I72" s="6" t="s">
        <v>2085</v>
      </c>
      <c r="J72" s="6"/>
      <c r="K72" s="6"/>
      <c r="L72" s="6" t="s">
        <v>1904</v>
      </c>
      <c r="M72" s="6"/>
      <c r="N72" s="6" t="s">
        <v>6132</v>
      </c>
      <c r="O72" s="6"/>
      <c r="P72" s="291" t="s">
        <v>6793</v>
      </c>
      <c r="Q72" s="468" t="s">
        <v>6794</v>
      </c>
      <c r="R72" s="6" t="s">
        <v>6170</v>
      </c>
      <c r="S72" s="54"/>
    </row>
    <row r="73" spans="1:19" ht="153">
      <c r="A73" s="6" t="s">
        <v>2828</v>
      </c>
      <c r="B73" s="6" t="s">
        <v>925</v>
      </c>
      <c r="C73" s="6"/>
      <c r="D73" s="6"/>
      <c r="E73" s="6" t="s">
        <v>2829</v>
      </c>
      <c r="F73" s="6" t="s">
        <v>2830</v>
      </c>
      <c r="G73" s="8"/>
      <c r="H73" s="169" t="s">
        <v>2831</v>
      </c>
      <c r="I73" s="6" t="s">
        <v>6795</v>
      </c>
      <c r="J73" s="6"/>
      <c r="K73" s="6" t="s">
        <v>2832</v>
      </c>
      <c r="L73" s="6"/>
      <c r="M73" s="6"/>
      <c r="N73" s="475" t="s">
        <v>1808</v>
      </c>
      <c r="O73" s="6"/>
      <c r="P73" s="6"/>
      <c r="Q73" s="468" t="s">
        <v>6796</v>
      </c>
      <c r="R73" s="6" t="s">
        <v>6071</v>
      </c>
      <c r="S73" s="54"/>
    </row>
    <row r="74" spans="1:19" ht="191.25">
      <c r="A74" s="6" t="s">
        <v>2833</v>
      </c>
      <c r="B74" s="6" t="s">
        <v>925</v>
      </c>
      <c r="C74" s="6"/>
      <c r="D74" s="6"/>
      <c r="E74" s="6" t="s">
        <v>2835</v>
      </c>
      <c r="F74" s="6" t="s">
        <v>2836</v>
      </c>
      <c r="G74" s="8">
        <v>99990</v>
      </c>
      <c r="H74" s="6" t="s">
        <v>2837</v>
      </c>
      <c r="I74" s="6" t="s">
        <v>2656</v>
      </c>
      <c r="J74" s="6"/>
      <c r="K74" s="6" t="s">
        <v>2838</v>
      </c>
      <c r="L74" s="6"/>
      <c r="M74" s="6"/>
      <c r="N74" s="475" t="s">
        <v>1808</v>
      </c>
      <c r="O74" s="6"/>
      <c r="P74" s="6"/>
      <c r="Q74" s="468" t="s">
        <v>6797</v>
      </c>
      <c r="R74" s="6" t="s">
        <v>6137</v>
      </c>
      <c r="S74" s="54"/>
    </row>
    <row r="75" spans="1:19" ht="178.5">
      <c r="A75" s="6" t="s">
        <v>1729</v>
      </c>
      <c r="B75" s="6" t="s">
        <v>925</v>
      </c>
      <c r="C75" s="6" t="s">
        <v>1730</v>
      </c>
      <c r="D75" s="6"/>
      <c r="E75" s="6" t="s">
        <v>1731</v>
      </c>
      <c r="F75" s="6" t="s">
        <v>1732</v>
      </c>
      <c r="G75" s="8" t="s">
        <v>2839</v>
      </c>
      <c r="H75" s="6" t="s">
        <v>2837</v>
      </c>
      <c r="I75" s="6" t="s">
        <v>1886</v>
      </c>
      <c r="J75" s="6"/>
      <c r="K75" s="6" t="s">
        <v>2840</v>
      </c>
      <c r="L75" s="6" t="s">
        <v>1904</v>
      </c>
      <c r="M75" s="6"/>
      <c r="N75" s="475" t="s">
        <v>1808</v>
      </c>
      <c r="O75" s="6"/>
      <c r="P75" s="6"/>
      <c r="Q75" s="468" t="s">
        <v>6798</v>
      </c>
      <c r="R75" s="6" t="s">
        <v>6217</v>
      </c>
      <c r="S75" s="54"/>
    </row>
    <row r="76" spans="1:19" ht="165.75">
      <c r="A76" s="6" t="s">
        <v>1733</v>
      </c>
      <c r="B76" s="6" t="s">
        <v>925</v>
      </c>
      <c r="C76" s="6" t="s">
        <v>1730</v>
      </c>
      <c r="D76" s="6"/>
      <c r="E76" s="6" t="s">
        <v>1734</v>
      </c>
      <c r="F76" s="6" t="s">
        <v>494</v>
      </c>
      <c r="G76" s="8">
        <v>99436</v>
      </c>
      <c r="H76" s="6" t="s">
        <v>2841</v>
      </c>
      <c r="I76" s="6" t="s">
        <v>1828</v>
      </c>
      <c r="J76" s="6"/>
      <c r="K76" s="6" t="s">
        <v>2842</v>
      </c>
      <c r="L76" s="6" t="s">
        <v>1904</v>
      </c>
      <c r="M76" s="6"/>
      <c r="N76" s="475" t="s">
        <v>1808</v>
      </c>
      <c r="O76" s="6"/>
      <c r="P76" s="6"/>
      <c r="Q76" s="468" t="s">
        <v>6799</v>
      </c>
      <c r="R76" s="6" t="s">
        <v>6137</v>
      </c>
      <c r="S76" s="54"/>
    </row>
    <row r="77" spans="1:19" ht="153">
      <c r="A77" s="6" t="s">
        <v>2843</v>
      </c>
      <c r="B77" s="6" t="s">
        <v>925</v>
      </c>
      <c r="C77" s="6"/>
      <c r="D77" s="6"/>
      <c r="E77" s="6" t="s">
        <v>2844</v>
      </c>
      <c r="F77" s="6" t="s">
        <v>2845</v>
      </c>
      <c r="G77" s="8">
        <v>78000</v>
      </c>
      <c r="H77" s="6"/>
      <c r="I77" s="6" t="s">
        <v>2609</v>
      </c>
      <c r="J77" s="6"/>
      <c r="K77" s="6" t="s">
        <v>2846</v>
      </c>
      <c r="L77" s="6"/>
      <c r="M77" s="6"/>
      <c r="N77" s="475" t="s">
        <v>1808</v>
      </c>
      <c r="O77" s="6"/>
      <c r="P77" s="6"/>
      <c r="Q77" s="468" t="s">
        <v>6800</v>
      </c>
      <c r="R77" s="6" t="s">
        <v>6071</v>
      </c>
      <c r="S77" s="54"/>
    </row>
    <row r="78" spans="1:19" ht="178.5">
      <c r="A78" s="6" t="s">
        <v>933</v>
      </c>
      <c r="B78" s="6" t="s">
        <v>925</v>
      </c>
      <c r="C78" s="6" t="s">
        <v>394</v>
      </c>
      <c r="D78" s="6"/>
      <c r="E78" s="6" t="s">
        <v>934</v>
      </c>
      <c r="F78" s="6" t="s">
        <v>935</v>
      </c>
      <c r="G78" s="8">
        <v>96186.96</v>
      </c>
      <c r="H78" s="169" t="s">
        <v>2847</v>
      </c>
      <c r="I78" s="6" t="s">
        <v>6801</v>
      </c>
      <c r="J78" s="6"/>
      <c r="K78" s="6" t="s">
        <v>2848</v>
      </c>
      <c r="L78" s="6"/>
      <c r="M78" s="6"/>
      <c r="N78" s="475" t="s">
        <v>1808</v>
      </c>
      <c r="O78" s="6"/>
      <c r="P78" s="6"/>
      <c r="Q78" s="468" t="s">
        <v>6802</v>
      </c>
      <c r="R78" s="6" t="s">
        <v>6071</v>
      </c>
      <c r="S78" s="54"/>
    </row>
    <row r="79" spans="1:19" ht="191.25">
      <c r="A79" s="6" t="s">
        <v>2849</v>
      </c>
      <c r="B79" s="6" t="s">
        <v>925</v>
      </c>
      <c r="C79" s="6"/>
      <c r="D79" s="6"/>
      <c r="E79" s="6" t="s">
        <v>2850</v>
      </c>
      <c r="F79" s="6" t="s">
        <v>2851</v>
      </c>
      <c r="G79" s="8">
        <v>40000</v>
      </c>
      <c r="H79" s="6" t="s">
        <v>2852</v>
      </c>
      <c r="I79" s="6" t="s">
        <v>1828</v>
      </c>
      <c r="J79" s="6"/>
      <c r="K79" s="6" t="s">
        <v>2853</v>
      </c>
      <c r="L79" s="6"/>
      <c r="M79" s="6"/>
      <c r="N79" s="475" t="s">
        <v>1808</v>
      </c>
      <c r="O79" s="6"/>
      <c r="P79" s="6"/>
      <c r="Q79" s="468" t="s">
        <v>6803</v>
      </c>
      <c r="R79" s="6" t="s">
        <v>6064</v>
      </c>
      <c r="S79" s="54"/>
    </row>
    <row r="80" spans="1:19" ht="153">
      <c r="A80" s="6" t="s">
        <v>936</v>
      </c>
      <c r="B80" s="6" t="s">
        <v>925</v>
      </c>
      <c r="C80" s="6" t="s">
        <v>394</v>
      </c>
      <c r="D80" s="6"/>
      <c r="E80" s="6" t="s">
        <v>937</v>
      </c>
      <c r="F80" s="6" t="s">
        <v>2854</v>
      </c>
      <c r="G80" s="8">
        <v>80000</v>
      </c>
      <c r="H80" s="6" t="s">
        <v>2855</v>
      </c>
      <c r="I80" s="6" t="s">
        <v>2467</v>
      </c>
      <c r="J80" s="6"/>
      <c r="K80" s="6" t="s">
        <v>2856</v>
      </c>
      <c r="L80" s="6"/>
      <c r="M80" s="6"/>
      <c r="N80" s="475" t="s">
        <v>1808</v>
      </c>
      <c r="O80" s="6"/>
      <c r="P80" s="6"/>
      <c r="Q80" s="468" t="s">
        <v>6804</v>
      </c>
      <c r="R80" s="6" t="s">
        <v>6071</v>
      </c>
      <c r="S80" s="54"/>
    </row>
    <row r="81" spans="1:19" ht="102">
      <c r="A81" s="6" t="s">
        <v>2857</v>
      </c>
      <c r="B81" s="6" t="s">
        <v>925</v>
      </c>
      <c r="C81" s="6"/>
      <c r="D81" s="6"/>
      <c r="E81" s="6" t="s">
        <v>2858</v>
      </c>
      <c r="F81" s="6" t="s">
        <v>2319</v>
      </c>
      <c r="G81" s="8">
        <v>10000</v>
      </c>
      <c r="H81" s="6" t="s">
        <v>2190</v>
      </c>
      <c r="I81" s="6" t="s">
        <v>1828</v>
      </c>
      <c r="J81" s="6"/>
      <c r="K81" s="6" t="s">
        <v>2859</v>
      </c>
      <c r="L81" s="6"/>
      <c r="M81" s="6"/>
      <c r="N81" s="475" t="s">
        <v>1808</v>
      </c>
      <c r="O81" s="6"/>
      <c r="P81" s="6"/>
      <c r="Q81" s="468" t="s">
        <v>6805</v>
      </c>
      <c r="R81" s="6" t="s">
        <v>6806</v>
      </c>
      <c r="S81" s="54"/>
    </row>
    <row r="82" spans="1:19" ht="114.75">
      <c r="A82" s="6" t="s">
        <v>2860</v>
      </c>
      <c r="B82" s="6" t="s">
        <v>925</v>
      </c>
      <c r="C82" s="6"/>
      <c r="D82" s="6"/>
      <c r="E82" s="6" t="s">
        <v>2861</v>
      </c>
      <c r="F82" s="6" t="s">
        <v>617</v>
      </c>
      <c r="G82" s="8">
        <v>52980</v>
      </c>
      <c r="H82" s="6" t="s">
        <v>2862</v>
      </c>
      <c r="I82" s="6" t="s">
        <v>1828</v>
      </c>
      <c r="J82" s="6"/>
      <c r="K82" s="6" t="s">
        <v>2863</v>
      </c>
      <c r="L82" s="6"/>
      <c r="M82" s="6"/>
      <c r="N82" s="6" t="s">
        <v>6132</v>
      </c>
      <c r="O82" s="6"/>
      <c r="P82" s="6"/>
      <c r="Q82" s="468" t="s">
        <v>6807</v>
      </c>
      <c r="R82" s="6" t="s">
        <v>6808</v>
      </c>
      <c r="S82" s="54"/>
    </row>
    <row r="83" spans="1:19" ht="89.25">
      <c r="A83" s="6" t="s">
        <v>939</v>
      </c>
      <c r="B83" s="6" t="s">
        <v>925</v>
      </c>
      <c r="C83" s="6" t="s">
        <v>394</v>
      </c>
      <c r="D83" s="6"/>
      <c r="E83" s="6" t="s">
        <v>940</v>
      </c>
      <c r="F83" s="6" t="s">
        <v>941</v>
      </c>
      <c r="G83" s="8">
        <v>99000</v>
      </c>
      <c r="H83" s="6"/>
      <c r="I83" s="6" t="s">
        <v>6809</v>
      </c>
      <c r="J83" s="6"/>
      <c r="K83" s="6" t="s">
        <v>2864</v>
      </c>
      <c r="L83" s="6"/>
      <c r="M83" s="6"/>
      <c r="N83" s="475" t="s">
        <v>1808</v>
      </c>
      <c r="O83" s="6"/>
      <c r="P83" s="6"/>
      <c r="Q83" s="468" t="s">
        <v>6810</v>
      </c>
      <c r="R83" s="6" t="s">
        <v>6071</v>
      </c>
      <c r="S83" s="54"/>
    </row>
    <row r="84" spans="1:19" ht="216.75">
      <c r="A84" s="6" t="s">
        <v>942</v>
      </c>
      <c r="B84" s="6" t="s">
        <v>925</v>
      </c>
      <c r="C84" s="6" t="s">
        <v>394</v>
      </c>
      <c r="D84" s="6"/>
      <c r="E84" s="6" t="s">
        <v>937</v>
      </c>
      <c r="F84" s="6" t="s">
        <v>943</v>
      </c>
      <c r="G84" s="8">
        <v>80000</v>
      </c>
      <c r="H84" s="6" t="s">
        <v>2865</v>
      </c>
      <c r="I84" s="6" t="s">
        <v>2611</v>
      </c>
      <c r="J84" s="6"/>
      <c r="K84" s="6" t="s">
        <v>2866</v>
      </c>
      <c r="L84" s="6"/>
      <c r="M84" s="6"/>
      <c r="N84" s="475" t="s">
        <v>1808</v>
      </c>
      <c r="O84" s="6"/>
      <c r="P84" s="6"/>
      <c r="Q84" s="468" t="s">
        <v>6811</v>
      </c>
      <c r="R84" s="6" t="s">
        <v>6071</v>
      </c>
      <c r="S84" s="54"/>
    </row>
    <row r="85" spans="1:19" ht="153">
      <c r="A85" s="6" t="s">
        <v>2867</v>
      </c>
      <c r="B85" s="6" t="s">
        <v>925</v>
      </c>
      <c r="C85" s="6"/>
      <c r="D85" s="6"/>
      <c r="E85" s="6" t="s">
        <v>2868</v>
      </c>
      <c r="F85" s="6" t="s">
        <v>2869</v>
      </c>
      <c r="G85" s="8">
        <v>46000</v>
      </c>
      <c r="H85" s="6" t="s">
        <v>2870</v>
      </c>
      <c r="I85" s="6" t="s">
        <v>1828</v>
      </c>
      <c r="J85" s="6"/>
      <c r="K85" s="6" t="s">
        <v>2871</v>
      </c>
      <c r="L85" s="6"/>
      <c r="M85" s="6"/>
      <c r="N85" s="475" t="s">
        <v>5654</v>
      </c>
      <c r="O85" s="6"/>
      <c r="P85" s="6"/>
      <c r="Q85" s="468" t="s">
        <v>6812</v>
      </c>
      <c r="R85" s="6" t="s">
        <v>6064</v>
      </c>
      <c r="S85" s="54"/>
    </row>
    <row r="86" spans="1:19" ht="153">
      <c r="A86" s="6" t="s">
        <v>2872</v>
      </c>
      <c r="B86" s="6" t="s">
        <v>925</v>
      </c>
      <c r="C86" s="6"/>
      <c r="D86" s="6"/>
      <c r="E86" s="6" t="s">
        <v>2873</v>
      </c>
      <c r="F86" s="6" t="s">
        <v>2874</v>
      </c>
      <c r="G86" s="8">
        <v>50000</v>
      </c>
      <c r="H86" s="6"/>
      <c r="I86" s="6"/>
      <c r="J86" s="6"/>
      <c r="K86" s="6" t="s">
        <v>2875</v>
      </c>
      <c r="L86" s="6"/>
      <c r="M86" s="6"/>
      <c r="N86" s="6" t="s">
        <v>6179</v>
      </c>
      <c r="O86" s="6"/>
      <c r="P86" s="6"/>
      <c r="Q86" s="468" t="s">
        <v>6813</v>
      </c>
      <c r="R86" s="6" t="s">
        <v>6064</v>
      </c>
      <c r="S86" s="54"/>
    </row>
    <row r="87" spans="1:19" ht="178.5">
      <c r="A87" s="6" t="s">
        <v>944</v>
      </c>
      <c r="B87" s="6" t="s">
        <v>925</v>
      </c>
      <c r="C87" s="6" t="s">
        <v>394</v>
      </c>
      <c r="D87" s="6"/>
      <c r="E87" s="6" t="s">
        <v>945</v>
      </c>
      <c r="F87" s="6" t="s">
        <v>946</v>
      </c>
      <c r="G87" s="8">
        <v>63500</v>
      </c>
      <c r="H87" s="6"/>
      <c r="I87" s="6" t="s">
        <v>5656</v>
      </c>
      <c r="J87" s="6"/>
      <c r="K87" s="6" t="s">
        <v>2876</v>
      </c>
      <c r="L87" s="6"/>
      <c r="M87" s="6"/>
      <c r="N87" s="475" t="s">
        <v>1808</v>
      </c>
      <c r="O87" s="6"/>
      <c r="P87" s="6"/>
      <c r="Q87" s="468" t="s">
        <v>6814</v>
      </c>
      <c r="R87" s="6" t="s">
        <v>6071</v>
      </c>
      <c r="S87" s="54"/>
    </row>
    <row r="88" spans="1:19" ht="89.25">
      <c r="A88" s="6" t="s">
        <v>2877</v>
      </c>
      <c r="B88" s="6" t="s">
        <v>2034</v>
      </c>
      <c r="C88" s="6" t="s">
        <v>2878</v>
      </c>
      <c r="D88" s="6"/>
      <c r="E88" s="6" t="s">
        <v>2879</v>
      </c>
      <c r="F88" s="6" t="s">
        <v>2880</v>
      </c>
      <c r="G88" s="8"/>
      <c r="H88" s="6" t="s">
        <v>2881</v>
      </c>
      <c r="I88" s="6" t="s">
        <v>1828</v>
      </c>
      <c r="J88" s="6"/>
      <c r="K88" s="6" t="s">
        <v>2882</v>
      </c>
      <c r="L88" s="6" t="s">
        <v>82</v>
      </c>
      <c r="M88" s="6"/>
      <c r="N88" s="475" t="s">
        <v>1808</v>
      </c>
      <c r="O88" s="6"/>
      <c r="P88" s="6"/>
      <c r="Q88" s="468" t="s">
        <v>6815</v>
      </c>
      <c r="R88" s="6" t="s">
        <v>6064</v>
      </c>
      <c r="S88" s="54"/>
    </row>
    <row r="89" spans="1:19" ht="102">
      <c r="A89" s="6" t="s">
        <v>2883</v>
      </c>
      <c r="B89" s="6" t="s">
        <v>925</v>
      </c>
      <c r="C89" s="6"/>
      <c r="D89" s="6"/>
      <c r="E89" s="6" t="s">
        <v>2884</v>
      </c>
      <c r="F89" s="6" t="s">
        <v>2880</v>
      </c>
      <c r="G89" s="8"/>
      <c r="H89" s="6" t="s">
        <v>2881</v>
      </c>
      <c r="I89" s="6" t="s">
        <v>1828</v>
      </c>
      <c r="J89" s="6"/>
      <c r="K89" s="6" t="s">
        <v>2885</v>
      </c>
      <c r="L89" s="6"/>
      <c r="M89" s="6"/>
      <c r="N89" s="475" t="s">
        <v>1808</v>
      </c>
      <c r="O89" s="6"/>
      <c r="P89" s="6"/>
      <c r="Q89" s="468" t="s">
        <v>6816</v>
      </c>
      <c r="R89" s="6" t="s">
        <v>6064</v>
      </c>
      <c r="S89" s="54"/>
    </row>
    <row r="90" spans="1:19" ht="127.5">
      <c r="A90" s="6" t="s">
        <v>1735</v>
      </c>
      <c r="B90" s="6" t="s">
        <v>925</v>
      </c>
      <c r="C90" s="6" t="s">
        <v>1383</v>
      </c>
      <c r="D90" s="6"/>
      <c r="E90" s="6" t="s">
        <v>1736</v>
      </c>
      <c r="F90" s="6" t="s">
        <v>2319</v>
      </c>
      <c r="G90" s="8">
        <v>100000</v>
      </c>
      <c r="H90" s="6" t="s">
        <v>2881</v>
      </c>
      <c r="I90" s="6" t="s">
        <v>1828</v>
      </c>
      <c r="J90" s="6"/>
      <c r="K90" s="6" t="s">
        <v>2886</v>
      </c>
      <c r="L90" s="6" t="s">
        <v>82</v>
      </c>
      <c r="M90" s="6"/>
      <c r="N90" s="475" t="s">
        <v>1808</v>
      </c>
      <c r="O90" s="6"/>
      <c r="P90" s="6"/>
      <c r="Q90" s="468" t="s">
        <v>6817</v>
      </c>
      <c r="R90" s="6" t="s">
        <v>6064</v>
      </c>
      <c r="S90" s="54"/>
    </row>
    <row r="91" spans="1:19" ht="89.25">
      <c r="A91" s="6" t="s">
        <v>2887</v>
      </c>
      <c r="B91" s="6" t="s">
        <v>925</v>
      </c>
      <c r="C91" s="6"/>
      <c r="D91" s="6"/>
      <c r="E91" s="6" t="s">
        <v>2888</v>
      </c>
      <c r="F91" s="6" t="s">
        <v>2889</v>
      </c>
      <c r="G91" s="8">
        <v>99926</v>
      </c>
      <c r="H91" s="6" t="s">
        <v>2890</v>
      </c>
      <c r="I91" s="6"/>
      <c r="J91" s="6"/>
      <c r="K91" s="6" t="s">
        <v>2891</v>
      </c>
      <c r="L91" s="6"/>
      <c r="M91" s="6"/>
      <c r="N91" s="6" t="s">
        <v>6132</v>
      </c>
      <c r="O91" s="6"/>
      <c r="P91" s="6"/>
      <c r="Q91" s="468" t="s">
        <v>6818</v>
      </c>
      <c r="R91" s="6" t="s">
        <v>6137</v>
      </c>
      <c r="S91" s="54"/>
    </row>
    <row r="92" spans="1:19" ht="102">
      <c r="A92" s="6" t="s">
        <v>947</v>
      </c>
      <c r="B92" s="6" t="s">
        <v>925</v>
      </c>
      <c r="C92" s="6" t="s">
        <v>948</v>
      </c>
      <c r="D92" s="6"/>
      <c r="E92" s="6" t="s">
        <v>949</v>
      </c>
      <c r="F92" s="6" t="s">
        <v>950</v>
      </c>
      <c r="G92" s="8">
        <v>42500</v>
      </c>
      <c r="H92" s="6" t="s">
        <v>2892</v>
      </c>
      <c r="I92" s="6"/>
      <c r="J92" s="6"/>
      <c r="K92" s="6" t="s">
        <v>2893</v>
      </c>
      <c r="L92" s="6"/>
      <c r="M92" s="6"/>
      <c r="N92" s="6" t="s">
        <v>6132</v>
      </c>
      <c r="O92" s="6"/>
      <c r="P92" s="6"/>
      <c r="Q92" s="468" t="s">
        <v>6819</v>
      </c>
      <c r="R92" s="6" t="s">
        <v>6729</v>
      </c>
      <c r="S92" s="54"/>
    </row>
    <row r="93" spans="1:19" ht="114.75">
      <c r="A93" s="6" t="s">
        <v>951</v>
      </c>
      <c r="B93" s="6" t="s">
        <v>925</v>
      </c>
      <c r="C93" s="6" t="s">
        <v>394</v>
      </c>
      <c r="D93" s="6"/>
      <c r="E93" s="6" t="s">
        <v>952</v>
      </c>
      <c r="F93" s="6" t="s">
        <v>953</v>
      </c>
      <c r="G93" s="8">
        <v>74000</v>
      </c>
      <c r="H93" s="6" t="s">
        <v>2894</v>
      </c>
      <c r="I93" s="6" t="s">
        <v>2613</v>
      </c>
      <c r="J93" s="6"/>
      <c r="K93" s="6" t="s">
        <v>2895</v>
      </c>
      <c r="L93" s="6"/>
      <c r="M93" s="6"/>
      <c r="N93" s="475" t="s">
        <v>1808</v>
      </c>
      <c r="O93" s="6"/>
      <c r="P93" s="6"/>
      <c r="Q93" s="468" t="s">
        <v>6820</v>
      </c>
      <c r="R93" s="6" t="s">
        <v>6071</v>
      </c>
      <c r="S93" s="54"/>
    </row>
    <row r="94" spans="1:19" ht="191.25">
      <c r="A94" s="6" t="s">
        <v>2896</v>
      </c>
      <c r="B94" s="6" t="s">
        <v>925</v>
      </c>
      <c r="C94" s="6"/>
      <c r="D94" s="6"/>
      <c r="E94" s="6" t="s">
        <v>2897</v>
      </c>
      <c r="F94" s="6" t="s">
        <v>2898</v>
      </c>
      <c r="G94" s="8">
        <v>20000</v>
      </c>
      <c r="H94" s="6" t="s">
        <v>2899</v>
      </c>
      <c r="I94" s="6" t="s">
        <v>1828</v>
      </c>
      <c r="J94" s="6"/>
      <c r="K94" s="6" t="s">
        <v>2900</v>
      </c>
      <c r="L94" s="6"/>
      <c r="M94" s="6"/>
      <c r="N94" s="475" t="s">
        <v>1808</v>
      </c>
      <c r="O94" s="6"/>
      <c r="P94" s="6"/>
      <c r="Q94" s="468" t="s">
        <v>6821</v>
      </c>
      <c r="R94" s="6" t="s">
        <v>6071</v>
      </c>
      <c r="S94" s="54"/>
    </row>
    <row r="95" spans="1:19" ht="153">
      <c r="A95" s="6" t="s">
        <v>954</v>
      </c>
      <c r="B95" s="6" t="s">
        <v>925</v>
      </c>
      <c r="C95" s="6" t="s">
        <v>394</v>
      </c>
      <c r="D95" s="6"/>
      <c r="E95" s="6" t="s">
        <v>955</v>
      </c>
      <c r="F95" s="6" t="s">
        <v>2717</v>
      </c>
      <c r="G95" s="8">
        <v>139500</v>
      </c>
      <c r="H95" s="6" t="s">
        <v>2901</v>
      </c>
      <c r="I95" s="6" t="s">
        <v>6822</v>
      </c>
      <c r="J95" s="6"/>
      <c r="K95" s="6" t="s">
        <v>2902</v>
      </c>
      <c r="L95" s="6"/>
      <c r="M95" s="6"/>
      <c r="N95" s="475" t="s">
        <v>1808</v>
      </c>
      <c r="O95" s="6"/>
      <c r="P95" s="6"/>
      <c r="Q95" s="468" t="s">
        <v>6823</v>
      </c>
      <c r="R95" s="6" t="s">
        <v>6071</v>
      </c>
      <c r="S95" s="54"/>
    </row>
    <row r="96" spans="1:19" ht="114.75">
      <c r="A96" s="6" t="s">
        <v>2903</v>
      </c>
      <c r="B96" s="6" t="s">
        <v>925</v>
      </c>
      <c r="C96" s="6" t="s">
        <v>394</v>
      </c>
      <c r="D96" s="6"/>
      <c r="E96" s="6" t="s">
        <v>958</v>
      </c>
      <c r="F96" s="6" t="s">
        <v>959</v>
      </c>
      <c r="G96" s="8">
        <v>63500</v>
      </c>
      <c r="H96" s="6" t="s">
        <v>2904</v>
      </c>
      <c r="I96" s="6" t="s">
        <v>2613</v>
      </c>
      <c r="J96" s="6"/>
      <c r="K96" s="6" t="s">
        <v>2905</v>
      </c>
      <c r="L96" s="6"/>
      <c r="M96" s="6"/>
      <c r="N96" s="475" t="s">
        <v>1808</v>
      </c>
      <c r="O96" s="6"/>
      <c r="P96" s="6"/>
      <c r="Q96" s="468" t="s">
        <v>6824</v>
      </c>
      <c r="R96" s="6" t="s">
        <v>6071</v>
      </c>
      <c r="S96" s="54"/>
    </row>
    <row r="97" spans="1:19" ht="140.25">
      <c r="A97" s="6" t="s">
        <v>1696</v>
      </c>
      <c r="B97" s="6" t="s">
        <v>925</v>
      </c>
      <c r="C97" s="6" t="s">
        <v>1763</v>
      </c>
      <c r="D97" s="6"/>
      <c r="E97" s="6" t="s">
        <v>2906</v>
      </c>
      <c r="F97" s="6" t="s">
        <v>1765</v>
      </c>
      <c r="G97" s="8">
        <v>14432</v>
      </c>
      <c r="H97" s="6" t="s">
        <v>2907</v>
      </c>
      <c r="I97" s="6" t="s">
        <v>1828</v>
      </c>
      <c r="J97" s="6"/>
      <c r="K97" s="6" t="s">
        <v>2908</v>
      </c>
      <c r="L97" s="6" t="s">
        <v>82</v>
      </c>
      <c r="M97" s="6"/>
      <c r="N97" s="6" t="s">
        <v>5654</v>
      </c>
      <c r="O97" s="6"/>
      <c r="P97" s="6"/>
      <c r="Q97" s="468" t="s">
        <v>6825</v>
      </c>
      <c r="R97" s="6" t="s">
        <v>6140</v>
      </c>
      <c r="S97" s="54"/>
    </row>
    <row r="98" spans="1:19" ht="165.75">
      <c r="A98" s="6" t="s">
        <v>1699</v>
      </c>
      <c r="B98" s="6" t="s">
        <v>925</v>
      </c>
      <c r="C98" s="6" t="s">
        <v>1763</v>
      </c>
      <c r="D98" s="6"/>
      <c r="E98" s="6" t="s">
        <v>1766</v>
      </c>
      <c r="F98" s="6" t="s">
        <v>2909</v>
      </c>
      <c r="G98" s="8">
        <v>33000</v>
      </c>
      <c r="H98" s="6" t="s">
        <v>2910</v>
      </c>
      <c r="I98" s="6" t="s">
        <v>1886</v>
      </c>
      <c r="J98" s="6"/>
      <c r="K98" s="6" t="s">
        <v>2911</v>
      </c>
      <c r="L98" s="6" t="s">
        <v>82</v>
      </c>
      <c r="M98" s="6"/>
      <c r="N98" s="6" t="s">
        <v>6132</v>
      </c>
      <c r="O98" s="6"/>
      <c r="P98" s="6"/>
      <c r="Q98" s="468" t="s">
        <v>6826</v>
      </c>
      <c r="R98" s="6" t="s">
        <v>6092</v>
      </c>
      <c r="S98" s="54"/>
    </row>
    <row r="99" spans="1:19" ht="178.5">
      <c r="A99" s="6" t="s">
        <v>1291</v>
      </c>
      <c r="B99" s="6" t="s">
        <v>925</v>
      </c>
      <c r="C99" s="6" t="s">
        <v>1141</v>
      </c>
      <c r="D99" s="6"/>
      <c r="E99" s="6" t="s">
        <v>1292</v>
      </c>
      <c r="F99" s="6" t="s">
        <v>1293</v>
      </c>
      <c r="G99" s="64">
        <v>68649.5</v>
      </c>
      <c r="H99" s="6" t="s">
        <v>2912</v>
      </c>
      <c r="I99" s="6" t="s">
        <v>1896</v>
      </c>
      <c r="J99" s="6"/>
      <c r="K99" s="6" t="s">
        <v>2913</v>
      </c>
      <c r="L99" s="6" t="s">
        <v>1904</v>
      </c>
      <c r="M99" s="6"/>
      <c r="N99" s="475" t="s">
        <v>1808</v>
      </c>
      <c r="O99" s="6"/>
      <c r="P99" s="6"/>
      <c r="Q99" s="468" t="s">
        <v>6827</v>
      </c>
      <c r="R99" s="6" t="s">
        <v>6137</v>
      </c>
      <c r="S99" s="54"/>
    </row>
    <row r="100" spans="1:19" ht="89.25">
      <c r="A100" s="6" t="s">
        <v>960</v>
      </c>
      <c r="B100" s="6" t="s">
        <v>925</v>
      </c>
      <c r="C100" s="6" t="s">
        <v>586</v>
      </c>
      <c r="D100" s="6"/>
      <c r="E100" s="6" t="s">
        <v>961</v>
      </c>
      <c r="F100" s="6" t="s">
        <v>962</v>
      </c>
      <c r="G100" s="64">
        <v>8500</v>
      </c>
      <c r="H100" s="6" t="s">
        <v>2914</v>
      </c>
      <c r="I100" s="6" t="s">
        <v>1886</v>
      </c>
      <c r="J100" s="6"/>
      <c r="K100" s="6" t="s">
        <v>2915</v>
      </c>
      <c r="L100" s="6" t="s">
        <v>1874</v>
      </c>
      <c r="M100" s="6"/>
      <c r="N100" s="6" t="s">
        <v>6132</v>
      </c>
      <c r="O100" s="6"/>
      <c r="P100" s="297" t="s">
        <v>6704</v>
      </c>
      <c r="Q100" s="467" t="s">
        <v>6828</v>
      </c>
      <c r="R100" s="6" t="s">
        <v>6104</v>
      </c>
      <c r="S100" s="54"/>
    </row>
    <row r="101" spans="1:19" ht="153">
      <c r="A101" s="6" t="s">
        <v>1706</v>
      </c>
      <c r="B101" s="6" t="s">
        <v>925</v>
      </c>
      <c r="C101" s="6"/>
      <c r="D101" s="6"/>
      <c r="E101" s="6" t="s">
        <v>2916</v>
      </c>
      <c r="F101" s="6" t="s">
        <v>2917</v>
      </c>
      <c r="G101" s="8">
        <v>100000</v>
      </c>
      <c r="H101" s="6" t="s">
        <v>2881</v>
      </c>
      <c r="I101" s="6"/>
      <c r="J101" s="6"/>
      <c r="K101" s="6" t="s">
        <v>2918</v>
      </c>
      <c r="L101" s="6"/>
      <c r="M101" s="6"/>
      <c r="N101" s="475" t="s">
        <v>1808</v>
      </c>
      <c r="O101" s="6"/>
      <c r="P101" s="6"/>
      <c r="Q101" s="468" t="s">
        <v>6829</v>
      </c>
      <c r="R101" s="6" t="s">
        <v>6217</v>
      </c>
      <c r="S101" s="54"/>
    </row>
    <row r="102" spans="1:19" ht="114.75">
      <c r="A102" s="6" t="s">
        <v>963</v>
      </c>
      <c r="B102" s="6" t="s">
        <v>925</v>
      </c>
      <c r="C102" s="6" t="s">
        <v>652</v>
      </c>
      <c r="D102" s="6"/>
      <c r="E102" s="6" t="s">
        <v>964</v>
      </c>
      <c r="F102" s="6" t="s">
        <v>511</v>
      </c>
      <c r="G102" s="64">
        <v>100000</v>
      </c>
      <c r="H102" s="6" t="s">
        <v>2919</v>
      </c>
      <c r="I102" s="6" t="s">
        <v>1886</v>
      </c>
      <c r="J102" s="6" t="s">
        <v>2144</v>
      </c>
      <c r="K102" s="6" t="s">
        <v>2920</v>
      </c>
      <c r="L102" s="6" t="s">
        <v>1874</v>
      </c>
      <c r="M102" s="6"/>
      <c r="N102" s="6" t="s">
        <v>6132</v>
      </c>
      <c r="O102" s="6"/>
      <c r="P102" s="6"/>
      <c r="Q102" s="468" t="s">
        <v>6830</v>
      </c>
      <c r="R102" s="6" t="s">
        <v>6140</v>
      </c>
      <c r="S102" s="54"/>
    </row>
    <row r="103" spans="1:19" ht="127.5">
      <c r="A103" s="6" t="s">
        <v>1737</v>
      </c>
      <c r="B103" s="6" t="s">
        <v>925</v>
      </c>
      <c r="C103" s="6" t="s">
        <v>1383</v>
      </c>
      <c r="D103" s="6"/>
      <c r="E103" s="6" t="s">
        <v>1738</v>
      </c>
      <c r="F103" s="6" t="s">
        <v>2921</v>
      </c>
      <c r="G103" s="8">
        <v>12509</v>
      </c>
      <c r="H103" s="6" t="s">
        <v>2922</v>
      </c>
      <c r="I103" s="6" t="s">
        <v>1899</v>
      </c>
      <c r="J103" s="6" t="s">
        <v>6373</v>
      </c>
      <c r="K103" s="6" t="s">
        <v>2923</v>
      </c>
      <c r="L103" s="6" t="s">
        <v>82</v>
      </c>
      <c r="M103" s="6"/>
      <c r="N103" s="475" t="s">
        <v>1808</v>
      </c>
      <c r="O103" s="6"/>
      <c r="P103" s="6"/>
      <c r="Q103" s="468" t="s">
        <v>6831</v>
      </c>
      <c r="R103" s="6" t="s">
        <v>6832</v>
      </c>
      <c r="S103" s="54"/>
    </row>
    <row r="104" spans="1:19" ht="114.75">
      <c r="A104" s="6" t="s">
        <v>1740</v>
      </c>
      <c r="B104" s="6" t="s">
        <v>925</v>
      </c>
      <c r="C104" s="6" t="s">
        <v>1383</v>
      </c>
      <c r="D104" s="6"/>
      <c r="E104" s="6" t="s">
        <v>1741</v>
      </c>
      <c r="F104" s="6" t="s">
        <v>1742</v>
      </c>
      <c r="G104" s="8">
        <v>100000</v>
      </c>
      <c r="H104" s="161" t="s">
        <v>2924</v>
      </c>
      <c r="I104" s="6" t="s">
        <v>1828</v>
      </c>
      <c r="J104" s="6" t="s">
        <v>5340</v>
      </c>
      <c r="K104" s="6" t="s">
        <v>2925</v>
      </c>
      <c r="L104" s="6" t="s">
        <v>82</v>
      </c>
      <c r="M104" s="6"/>
      <c r="N104" s="475" t="s">
        <v>1808</v>
      </c>
      <c r="O104" s="6"/>
      <c r="P104" s="6"/>
      <c r="Q104" s="468" t="s">
        <v>6833</v>
      </c>
      <c r="R104" s="6" t="s">
        <v>6064</v>
      </c>
      <c r="S104" s="54"/>
    </row>
    <row r="105" spans="1:19" ht="191.25">
      <c r="A105" s="6" t="s">
        <v>1743</v>
      </c>
      <c r="B105" s="6" t="s">
        <v>925</v>
      </c>
      <c r="C105" s="6" t="s">
        <v>1744</v>
      </c>
      <c r="D105" s="6"/>
      <c r="E105" s="6" t="s">
        <v>1745</v>
      </c>
      <c r="F105" s="6" t="s">
        <v>572</v>
      </c>
      <c r="G105" s="8">
        <v>99586</v>
      </c>
      <c r="H105" s="6" t="s">
        <v>2926</v>
      </c>
      <c r="I105" s="6" t="s">
        <v>1855</v>
      </c>
      <c r="J105" s="6" t="s">
        <v>1843</v>
      </c>
      <c r="K105" s="6" t="s">
        <v>2927</v>
      </c>
      <c r="L105" s="6" t="s">
        <v>1904</v>
      </c>
      <c r="M105" s="6"/>
      <c r="N105" s="475" t="s">
        <v>1808</v>
      </c>
      <c r="O105" s="6"/>
      <c r="P105" s="6"/>
      <c r="Q105" s="468" t="s">
        <v>6834</v>
      </c>
      <c r="R105" s="6" t="s">
        <v>6064</v>
      </c>
      <c r="S105" s="54"/>
    </row>
    <row r="106" spans="1:19" ht="178.5">
      <c r="A106" s="6" t="s">
        <v>1746</v>
      </c>
      <c r="B106" s="6" t="s">
        <v>925</v>
      </c>
      <c r="C106" s="6" t="s">
        <v>1383</v>
      </c>
      <c r="D106" s="6"/>
      <c r="E106" s="6" t="s">
        <v>1747</v>
      </c>
      <c r="F106" s="6" t="s">
        <v>1748</v>
      </c>
      <c r="G106" s="8">
        <v>100000</v>
      </c>
      <c r="H106" s="6" t="s">
        <v>2928</v>
      </c>
      <c r="I106" s="6" t="s">
        <v>6809</v>
      </c>
      <c r="J106" s="6" t="s">
        <v>1843</v>
      </c>
      <c r="K106" s="6" t="s">
        <v>2929</v>
      </c>
      <c r="L106" s="6" t="s">
        <v>82</v>
      </c>
      <c r="M106" s="6"/>
      <c r="N106" s="475" t="s">
        <v>1808</v>
      </c>
      <c r="O106" s="6"/>
      <c r="P106" s="6"/>
      <c r="Q106" s="468" t="s">
        <v>6835</v>
      </c>
      <c r="R106" s="6" t="s">
        <v>6064</v>
      </c>
      <c r="S106" s="54"/>
    </row>
    <row r="107" spans="1:19" ht="25.5">
      <c r="A107" s="6" t="s">
        <v>2930</v>
      </c>
      <c r="B107" s="6" t="s">
        <v>2931</v>
      </c>
      <c r="C107" s="6" t="s">
        <v>2412</v>
      </c>
      <c r="D107" s="6"/>
      <c r="E107" s="6" t="s">
        <v>2932</v>
      </c>
      <c r="F107" s="6" t="s">
        <v>1753</v>
      </c>
      <c r="G107" s="8"/>
      <c r="H107" s="6" t="s">
        <v>2298</v>
      </c>
      <c r="I107" s="6"/>
      <c r="J107" s="6"/>
      <c r="K107" s="6" t="s">
        <v>2933</v>
      </c>
      <c r="L107" s="6" t="s">
        <v>2412</v>
      </c>
      <c r="M107" s="6"/>
      <c r="N107" s="475" t="s">
        <v>1808</v>
      </c>
      <c r="O107" s="6"/>
      <c r="P107" s="6"/>
      <c r="Q107" s="468" t="s">
        <v>6836</v>
      </c>
      <c r="R107" s="6" t="s">
        <v>6064</v>
      </c>
      <c r="S107" s="54"/>
    </row>
    <row r="108" spans="1:19" ht="102">
      <c r="A108" s="6" t="s">
        <v>1294</v>
      </c>
      <c r="B108" s="6" t="s">
        <v>925</v>
      </c>
      <c r="C108" s="6" t="s">
        <v>2937</v>
      </c>
      <c r="D108" s="6"/>
      <c r="E108" s="6" t="s">
        <v>2934</v>
      </c>
      <c r="F108" s="6" t="s">
        <v>1296</v>
      </c>
      <c r="G108" s="64"/>
      <c r="H108" s="6" t="s">
        <v>2935</v>
      </c>
      <c r="I108" s="6"/>
      <c r="J108" s="6"/>
      <c r="K108" s="6" t="s">
        <v>2936</v>
      </c>
      <c r="L108" s="6" t="s">
        <v>1904</v>
      </c>
      <c r="M108" s="6"/>
      <c r="N108" s="6" t="s">
        <v>6132</v>
      </c>
      <c r="O108" s="6"/>
      <c r="P108" s="6"/>
      <c r="Q108" s="468" t="s">
        <v>6837</v>
      </c>
      <c r="R108" s="6" t="s">
        <v>6092</v>
      </c>
      <c r="S108" s="54"/>
    </row>
    <row r="109" spans="1:19" ht="89.25">
      <c r="A109" s="6" t="s">
        <v>1749</v>
      </c>
      <c r="B109" s="6" t="s">
        <v>925</v>
      </c>
      <c r="C109" s="6" t="s">
        <v>1744</v>
      </c>
      <c r="D109" s="6"/>
      <c r="E109" s="6" t="s">
        <v>1750</v>
      </c>
      <c r="F109" s="6" t="s">
        <v>1451</v>
      </c>
      <c r="G109" s="8">
        <v>100000</v>
      </c>
      <c r="H109" s="6" t="s">
        <v>2938</v>
      </c>
      <c r="I109" s="6" t="s">
        <v>2031</v>
      </c>
      <c r="J109" s="6" t="s">
        <v>1843</v>
      </c>
      <c r="K109" s="6" t="s">
        <v>2939</v>
      </c>
      <c r="L109" s="6" t="s">
        <v>1904</v>
      </c>
      <c r="M109" s="6"/>
      <c r="N109" s="475" t="s">
        <v>1808</v>
      </c>
      <c r="O109" s="6"/>
      <c r="P109" s="6"/>
      <c r="Q109" s="468" t="s">
        <v>6838</v>
      </c>
      <c r="R109" s="6" t="s">
        <v>6137</v>
      </c>
      <c r="S109" s="54"/>
    </row>
    <row r="110" spans="1:19" ht="63.75">
      <c r="A110" s="6" t="s">
        <v>1768</v>
      </c>
      <c r="B110" s="6" t="s">
        <v>925</v>
      </c>
      <c r="C110" s="6" t="s">
        <v>1763</v>
      </c>
      <c r="D110" s="6"/>
      <c r="E110" s="6" t="s">
        <v>1769</v>
      </c>
      <c r="F110" s="6" t="s">
        <v>1770</v>
      </c>
      <c r="G110" s="8">
        <v>49000</v>
      </c>
      <c r="H110" s="6" t="s">
        <v>2940</v>
      </c>
      <c r="I110" s="6" t="s">
        <v>1828</v>
      </c>
      <c r="J110" s="6" t="s">
        <v>2144</v>
      </c>
      <c r="K110" s="6" t="s">
        <v>2941</v>
      </c>
      <c r="L110" s="6" t="s">
        <v>82</v>
      </c>
      <c r="M110" s="6"/>
      <c r="N110" s="6" t="s">
        <v>6132</v>
      </c>
      <c r="O110" s="6"/>
      <c r="P110" s="6"/>
      <c r="Q110" s="468" t="s">
        <v>6839</v>
      </c>
      <c r="R110" s="6" t="s">
        <v>6064</v>
      </c>
      <c r="S110" s="54"/>
    </row>
    <row r="111" spans="1:19" ht="178.5">
      <c r="A111" s="6" t="s">
        <v>1771</v>
      </c>
      <c r="B111" s="6" t="s">
        <v>925</v>
      </c>
      <c r="C111" s="6" t="s">
        <v>1763</v>
      </c>
      <c r="D111" s="6"/>
      <c r="E111" s="6" t="s">
        <v>1772</v>
      </c>
      <c r="F111" s="6" t="s">
        <v>1728</v>
      </c>
      <c r="G111" s="8">
        <v>27700</v>
      </c>
      <c r="H111" s="6" t="s">
        <v>2942</v>
      </c>
      <c r="I111" s="6" t="s">
        <v>1828</v>
      </c>
      <c r="J111" s="6" t="s">
        <v>1843</v>
      </c>
      <c r="K111" s="6" t="s">
        <v>2943</v>
      </c>
      <c r="L111" s="6" t="s">
        <v>82</v>
      </c>
      <c r="M111" s="6"/>
      <c r="N111" s="475" t="s">
        <v>1808</v>
      </c>
      <c r="O111" s="6"/>
      <c r="P111" s="6"/>
      <c r="Q111" s="468" t="s">
        <v>6840</v>
      </c>
      <c r="R111" s="6" t="s">
        <v>6064</v>
      </c>
      <c r="S111" s="54"/>
    </row>
    <row r="112" spans="1:19" ht="127.5">
      <c r="A112" s="6" t="s">
        <v>1773</v>
      </c>
      <c r="B112" s="6" t="s">
        <v>925</v>
      </c>
      <c r="C112" s="6" t="s">
        <v>1763</v>
      </c>
      <c r="D112" s="6"/>
      <c r="E112" s="6" t="s">
        <v>1774</v>
      </c>
      <c r="F112" s="6" t="s">
        <v>1775</v>
      </c>
      <c r="G112" s="8">
        <v>40000</v>
      </c>
      <c r="H112" s="6" t="s">
        <v>2944</v>
      </c>
      <c r="I112" s="6" t="s">
        <v>1886</v>
      </c>
      <c r="J112" s="6" t="s">
        <v>6841</v>
      </c>
      <c r="K112" s="6" t="s">
        <v>2945</v>
      </c>
      <c r="L112" s="6" t="s">
        <v>82</v>
      </c>
      <c r="M112" s="6"/>
      <c r="N112" s="475" t="s">
        <v>1808</v>
      </c>
      <c r="O112" s="6"/>
      <c r="P112" s="6"/>
      <c r="Q112" s="468" t="s">
        <v>6842</v>
      </c>
      <c r="R112" s="6" t="s">
        <v>6064</v>
      </c>
      <c r="S112" s="54"/>
    </row>
    <row r="113" spans="1:19" ht="165.75">
      <c r="A113" s="6" t="s">
        <v>965</v>
      </c>
      <c r="B113" s="6" t="s">
        <v>925</v>
      </c>
      <c r="C113" s="6" t="s">
        <v>652</v>
      </c>
      <c r="D113" s="6"/>
      <c r="E113" s="6" t="s">
        <v>966</v>
      </c>
      <c r="F113" s="6" t="s">
        <v>967</v>
      </c>
      <c r="G113" s="64">
        <v>18268</v>
      </c>
      <c r="H113" s="6" t="s">
        <v>2946</v>
      </c>
      <c r="I113" s="6" t="s">
        <v>2476</v>
      </c>
      <c r="J113" s="6" t="s">
        <v>2144</v>
      </c>
      <c r="K113" s="6" t="s">
        <v>2947</v>
      </c>
      <c r="L113" s="6" t="s">
        <v>1874</v>
      </c>
      <c r="M113" s="6"/>
      <c r="N113" s="6" t="s">
        <v>6132</v>
      </c>
      <c r="O113" s="6"/>
      <c r="P113" s="6"/>
      <c r="Q113" s="468" t="s">
        <v>6843</v>
      </c>
      <c r="R113" s="6" t="s">
        <v>6844</v>
      </c>
      <c r="S113" s="54"/>
    </row>
    <row r="114" spans="1:19" ht="89.25">
      <c r="A114" s="6" t="s">
        <v>1776</v>
      </c>
      <c r="B114" s="6" t="s">
        <v>925</v>
      </c>
      <c r="C114" s="6" t="s">
        <v>1763</v>
      </c>
      <c r="D114" s="6"/>
      <c r="E114" s="6" t="s">
        <v>1777</v>
      </c>
      <c r="F114" s="6" t="s">
        <v>1778</v>
      </c>
      <c r="G114" s="8">
        <v>4500</v>
      </c>
      <c r="H114" s="6" t="s">
        <v>2948</v>
      </c>
      <c r="I114" s="6" t="s">
        <v>1886</v>
      </c>
      <c r="J114" s="6" t="s">
        <v>2144</v>
      </c>
      <c r="K114" s="6" t="s">
        <v>2949</v>
      </c>
      <c r="L114" s="6" t="s">
        <v>82</v>
      </c>
      <c r="M114" s="6"/>
      <c r="N114" s="9" t="s">
        <v>6132</v>
      </c>
      <c r="O114" s="6"/>
      <c r="P114" s="6"/>
      <c r="Q114" s="468" t="s">
        <v>6845</v>
      </c>
      <c r="R114" s="6" t="s">
        <v>6092</v>
      </c>
      <c r="S114" s="54"/>
    </row>
    <row r="115" spans="1:19" ht="114.75">
      <c r="A115" s="6" t="s">
        <v>1751</v>
      </c>
      <c r="B115" s="6" t="s">
        <v>925</v>
      </c>
      <c r="C115" s="6" t="s">
        <v>1383</v>
      </c>
      <c r="D115" s="6"/>
      <c r="E115" s="6" t="s">
        <v>1752</v>
      </c>
      <c r="F115" s="6" t="s">
        <v>1753</v>
      </c>
      <c r="G115" s="8">
        <v>100000</v>
      </c>
      <c r="H115" s="6" t="s">
        <v>2298</v>
      </c>
      <c r="I115" s="6" t="s">
        <v>1828</v>
      </c>
      <c r="J115" s="6" t="s">
        <v>2163</v>
      </c>
      <c r="K115" s="6" t="s">
        <v>2950</v>
      </c>
      <c r="L115" s="6" t="s">
        <v>82</v>
      </c>
      <c r="M115" s="6"/>
      <c r="N115" s="475" t="s">
        <v>1808</v>
      </c>
      <c r="O115" s="6"/>
      <c r="P115" s="6"/>
      <c r="Q115" s="468" t="s">
        <v>6846</v>
      </c>
      <c r="R115" s="6" t="s">
        <v>6064</v>
      </c>
      <c r="S115" s="54"/>
    </row>
    <row r="116" spans="1:19" ht="140.25">
      <c r="A116" s="6" t="s">
        <v>1297</v>
      </c>
      <c r="B116" s="6" t="s">
        <v>925</v>
      </c>
      <c r="C116" s="6" t="s">
        <v>1141</v>
      </c>
      <c r="D116" s="6"/>
      <c r="E116" s="6" t="s">
        <v>1298</v>
      </c>
      <c r="F116" s="6" t="s">
        <v>1299</v>
      </c>
      <c r="G116" s="64">
        <v>71755.679999999993</v>
      </c>
      <c r="H116" s="6" t="s">
        <v>2912</v>
      </c>
      <c r="I116" s="6" t="s">
        <v>2031</v>
      </c>
      <c r="J116" s="6" t="s">
        <v>6373</v>
      </c>
      <c r="K116" s="6" t="s">
        <v>2951</v>
      </c>
      <c r="L116" s="6" t="s">
        <v>1904</v>
      </c>
      <c r="M116" s="6"/>
      <c r="N116" s="6" t="s">
        <v>6132</v>
      </c>
      <c r="O116" s="6"/>
      <c r="P116" s="6"/>
      <c r="Q116" s="468" t="s">
        <v>6847</v>
      </c>
      <c r="R116" s="6" t="s">
        <v>6137</v>
      </c>
      <c r="S116" s="54"/>
    </row>
    <row r="117" spans="1:19" ht="153">
      <c r="A117" s="6" t="s">
        <v>968</v>
      </c>
      <c r="B117" s="6" t="s">
        <v>925</v>
      </c>
      <c r="C117" s="6" t="s">
        <v>652</v>
      </c>
      <c r="D117" s="6"/>
      <c r="E117" s="6" t="s">
        <v>2952</v>
      </c>
      <c r="F117" s="6" t="s">
        <v>970</v>
      </c>
      <c r="G117" s="64">
        <v>99200</v>
      </c>
      <c r="H117" s="6" t="s">
        <v>2953</v>
      </c>
      <c r="I117" s="6" t="s">
        <v>1886</v>
      </c>
      <c r="J117" s="6" t="s">
        <v>2144</v>
      </c>
      <c r="K117" s="6" t="s">
        <v>2954</v>
      </c>
      <c r="L117" s="6" t="s">
        <v>1874</v>
      </c>
      <c r="M117" s="6"/>
      <c r="N117" s="6" t="s">
        <v>6132</v>
      </c>
      <c r="O117" s="6"/>
      <c r="P117" s="6"/>
      <c r="Q117" s="468" t="s">
        <v>6848</v>
      </c>
      <c r="R117" s="6" t="s">
        <v>6092</v>
      </c>
      <c r="S117" s="54"/>
    </row>
    <row r="118" spans="1:19" ht="204">
      <c r="A118" s="6" t="s">
        <v>971</v>
      </c>
      <c r="B118" s="6" t="s">
        <v>925</v>
      </c>
      <c r="C118" s="6" t="s">
        <v>652</v>
      </c>
      <c r="D118" s="6"/>
      <c r="E118" s="6" t="s">
        <v>2955</v>
      </c>
      <c r="F118" s="6" t="s">
        <v>973</v>
      </c>
      <c r="G118" s="64">
        <v>87009</v>
      </c>
      <c r="H118" s="6" t="s">
        <v>2956</v>
      </c>
      <c r="I118" s="6" t="s">
        <v>1828</v>
      </c>
      <c r="J118" s="6" t="s">
        <v>2144</v>
      </c>
      <c r="K118" s="6" t="s">
        <v>2957</v>
      </c>
      <c r="L118" s="6" t="s">
        <v>1874</v>
      </c>
      <c r="M118" s="6"/>
      <c r="N118" s="6" t="s">
        <v>6179</v>
      </c>
      <c r="O118" s="6"/>
      <c r="P118" s="6"/>
      <c r="Q118" s="468" t="s">
        <v>6849</v>
      </c>
      <c r="R118" s="6" t="s">
        <v>6092</v>
      </c>
      <c r="S118" s="54"/>
    </row>
    <row r="119" spans="1:19" ht="191.25">
      <c r="A119" s="6" t="s">
        <v>1300</v>
      </c>
      <c r="B119" s="6" t="s">
        <v>925</v>
      </c>
      <c r="C119" s="6" t="s">
        <v>1141</v>
      </c>
      <c r="D119" s="6"/>
      <c r="E119" s="6" t="s">
        <v>1301</v>
      </c>
      <c r="F119" s="6" t="s">
        <v>1302</v>
      </c>
      <c r="G119" s="64">
        <v>77357.03</v>
      </c>
      <c r="H119" s="6" t="s">
        <v>2958</v>
      </c>
      <c r="I119" s="6" t="s">
        <v>2031</v>
      </c>
      <c r="J119" s="6" t="s">
        <v>6373</v>
      </c>
      <c r="K119" s="6" t="s">
        <v>2959</v>
      </c>
      <c r="L119" s="6" t="s">
        <v>1904</v>
      </c>
      <c r="M119" s="6"/>
      <c r="N119" s="475" t="s">
        <v>1808</v>
      </c>
      <c r="O119" s="6"/>
      <c r="P119" s="6"/>
      <c r="Q119" s="468" t="s">
        <v>6850</v>
      </c>
      <c r="R119" s="6" t="s">
        <v>6137</v>
      </c>
      <c r="S119" s="54"/>
    </row>
    <row r="120" spans="1:19" ht="178.5">
      <c r="A120" s="6" t="s">
        <v>1303</v>
      </c>
      <c r="B120" s="6" t="s">
        <v>925</v>
      </c>
      <c r="C120" s="6" t="s">
        <v>1141</v>
      </c>
      <c r="D120" s="6"/>
      <c r="E120" s="6" t="s">
        <v>1304</v>
      </c>
      <c r="F120" s="6" t="s">
        <v>1305</v>
      </c>
      <c r="G120" s="64">
        <v>56005.41</v>
      </c>
      <c r="H120" s="6" t="s">
        <v>2960</v>
      </c>
      <c r="I120" s="6" t="s">
        <v>2031</v>
      </c>
      <c r="J120" s="6" t="s">
        <v>6373</v>
      </c>
      <c r="K120" s="6" t="s">
        <v>2961</v>
      </c>
      <c r="L120" s="6" t="s">
        <v>1904</v>
      </c>
      <c r="M120" s="6"/>
      <c r="N120" s="475" t="s">
        <v>1808</v>
      </c>
      <c r="O120" s="6"/>
      <c r="P120" s="6"/>
      <c r="Q120" s="468" t="s">
        <v>6851</v>
      </c>
      <c r="R120" s="6" t="s">
        <v>6137</v>
      </c>
      <c r="S120" s="54"/>
    </row>
    <row r="121" spans="1:19" ht="102">
      <c r="A121" s="6" t="s">
        <v>974</v>
      </c>
      <c r="B121" s="6" t="s">
        <v>925</v>
      </c>
      <c r="C121" s="6" t="s">
        <v>652</v>
      </c>
      <c r="D121" s="6"/>
      <c r="E121" s="6" t="s">
        <v>2962</v>
      </c>
      <c r="F121" s="6" t="s">
        <v>976</v>
      </c>
      <c r="G121" s="64">
        <v>87880</v>
      </c>
      <c r="H121" s="6" t="s">
        <v>2963</v>
      </c>
      <c r="I121" s="6" t="s">
        <v>1899</v>
      </c>
      <c r="J121" s="6" t="s">
        <v>2144</v>
      </c>
      <c r="K121" s="6" t="s">
        <v>2964</v>
      </c>
      <c r="L121" s="6" t="s">
        <v>1874</v>
      </c>
      <c r="M121" s="6"/>
      <c r="N121" s="6" t="s">
        <v>6132</v>
      </c>
      <c r="O121" s="6"/>
      <c r="P121" s="6"/>
      <c r="Q121" s="468" t="s">
        <v>6852</v>
      </c>
      <c r="R121" s="6" t="s">
        <v>6092</v>
      </c>
      <c r="S121" s="54"/>
    </row>
    <row r="122" spans="1:19" ht="165.75">
      <c r="A122" s="6" t="s">
        <v>1754</v>
      </c>
      <c r="B122" s="6" t="s">
        <v>925</v>
      </c>
      <c r="C122" s="6" t="s">
        <v>1383</v>
      </c>
      <c r="D122" s="6"/>
      <c r="E122" s="6" t="s">
        <v>1755</v>
      </c>
      <c r="F122" s="6" t="s">
        <v>1756</v>
      </c>
      <c r="G122" s="8">
        <v>50000</v>
      </c>
      <c r="H122" s="6" t="s">
        <v>2965</v>
      </c>
      <c r="I122" s="6" t="s">
        <v>1828</v>
      </c>
      <c r="J122" s="6" t="s">
        <v>6853</v>
      </c>
      <c r="K122" s="6" t="s">
        <v>2966</v>
      </c>
      <c r="L122" s="6" t="s">
        <v>82</v>
      </c>
      <c r="M122" s="6"/>
      <c r="N122" s="475" t="s">
        <v>1808</v>
      </c>
      <c r="O122" s="6"/>
      <c r="P122" s="6"/>
      <c r="Q122" s="468" t="s">
        <v>6854</v>
      </c>
      <c r="R122" s="6" t="s">
        <v>6071</v>
      </c>
      <c r="S122" s="54"/>
    </row>
    <row r="123" spans="1:19" ht="216.75">
      <c r="A123" s="6" t="s">
        <v>1757</v>
      </c>
      <c r="B123" s="6" t="s">
        <v>925</v>
      </c>
      <c r="C123" s="6" t="s">
        <v>1383</v>
      </c>
      <c r="D123" s="6"/>
      <c r="E123" s="6" t="s">
        <v>1758</v>
      </c>
      <c r="F123" s="6" t="s">
        <v>1759</v>
      </c>
      <c r="G123" s="8">
        <v>100000</v>
      </c>
      <c r="H123" s="6" t="s">
        <v>2967</v>
      </c>
      <c r="I123" s="6" t="s">
        <v>1828</v>
      </c>
      <c r="J123" s="6" t="s">
        <v>6855</v>
      </c>
      <c r="K123" s="6" t="s">
        <v>2968</v>
      </c>
      <c r="L123" s="6" t="s">
        <v>82</v>
      </c>
      <c r="M123" s="6"/>
      <c r="N123" s="475" t="s">
        <v>1808</v>
      </c>
      <c r="O123" s="6"/>
      <c r="P123" s="6"/>
      <c r="Q123" s="468" t="s">
        <v>6856</v>
      </c>
      <c r="R123" s="6" t="s">
        <v>6064</v>
      </c>
      <c r="S123" s="54"/>
    </row>
    <row r="124" spans="1:19" ht="153">
      <c r="A124" s="6" t="s">
        <v>977</v>
      </c>
      <c r="B124" s="6" t="s">
        <v>925</v>
      </c>
      <c r="C124" s="6" t="s">
        <v>586</v>
      </c>
      <c r="D124" s="6"/>
      <c r="E124" s="6" t="s">
        <v>978</v>
      </c>
      <c r="F124" s="6" t="s">
        <v>906</v>
      </c>
      <c r="G124" s="64">
        <v>20150</v>
      </c>
      <c r="H124" s="6" t="s">
        <v>2969</v>
      </c>
      <c r="I124" s="6" t="s">
        <v>1828</v>
      </c>
      <c r="J124" s="6" t="s">
        <v>2144</v>
      </c>
      <c r="K124" s="6" t="s">
        <v>2970</v>
      </c>
      <c r="L124" s="6" t="s">
        <v>1874</v>
      </c>
      <c r="M124" s="6"/>
      <c r="N124" s="6" t="s">
        <v>6179</v>
      </c>
      <c r="O124" s="6"/>
      <c r="P124" s="6"/>
      <c r="Q124" s="468" t="s">
        <v>6857</v>
      </c>
      <c r="R124" s="6" t="s">
        <v>6137</v>
      </c>
      <c r="S124" s="54"/>
    </row>
    <row r="125" spans="1:19" ht="102">
      <c r="A125" s="6" t="s">
        <v>1306</v>
      </c>
      <c r="B125" s="6" t="s">
        <v>925</v>
      </c>
      <c r="C125" s="6" t="s">
        <v>1141</v>
      </c>
      <c r="D125" s="6"/>
      <c r="E125" s="6" t="s">
        <v>1307</v>
      </c>
      <c r="F125" s="6" t="s">
        <v>1206</v>
      </c>
      <c r="G125" s="64">
        <v>52464.86</v>
      </c>
      <c r="H125" s="6" t="s">
        <v>2971</v>
      </c>
      <c r="I125" s="6" t="s">
        <v>1916</v>
      </c>
      <c r="J125" s="6" t="s">
        <v>6373</v>
      </c>
      <c r="K125" s="6" t="s">
        <v>2972</v>
      </c>
      <c r="L125" s="6" t="s">
        <v>1904</v>
      </c>
      <c r="M125" s="6"/>
      <c r="N125" s="475" t="s">
        <v>1808</v>
      </c>
      <c r="O125" s="6"/>
      <c r="P125" s="6"/>
      <c r="Q125" s="468" t="s">
        <v>6858</v>
      </c>
      <c r="R125" s="6" t="s">
        <v>6137</v>
      </c>
      <c r="S125" s="54"/>
    </row>
    <row r="126" spans="1:19" ht="191.25">
      <c r="A126" s="6" t="s">
        <v>1308</v>
      </c>
      <c r="B126" s="6" t="s">
        <v>925</v>
      </c>
      <c r="C126" s="6" t="s">
        <v>1231</v>
      </c>
      <c r="D126" s="6"/>
      <c r="E126" s="6" t="s">
        <v>1309</v>
      </c>
      <c r="F126" s="6" t="s">
        <v>1310</v>
      </c>
      <c r="G126" s="8">
        <v>50000</v>
      </c>
      <c r="H126" s="6" t="s">
        <v>2973</v>
      </c>
      <c r="I126" s="6" t="s">
        <v>1828</v>
      </c>
      <c r="J126" s="6" t="s">
        <v>2163</v>
      </c>
      <c r="K126" s="6" t="s">
        <v>2974</v>
      </c>
      <c r="L126" s="6" t="s">
        <v>1231</v>
      </c>
      <c r="M126" s="6"/>
      <c r="N126" s="475" t="s">
        <v>1808</v>
      </c>
      <c r="O126" s="6"/>
      <c r="P126" s="6"/>
      <c r="Q126" s="468" t="s">
        <v>6859</v>
      </c>
      <c r="R126" s="6" t="s">
        <v>6064</v>
      </c>
      <c r="S126" s="54"/>
    </row>
    <row r="127" spans="1:19" ht="229.5">
      <c r="A127" s="6" t="s">
        <v>2975</v>
      </c>
      <c r="B127" s="6"/>
      <c r="C127" s="6"/>
      <c r="D127" s="6"/>
      <c r="E127" s="6" t="s">
        <v>2976</v>
      </c>
      <c r="F127" s="6" t="s">
        <v>1753</v>
      </c>
      <c r="G127" s="8">
        <v>40000</v>
      </c>
      <c r="H127" s="6"/>
      <c r="I127" s="6"/>
      <c r="J127" s="6"/>
      <c r="K127" s="6" t="s">
        <v>2977</v>
      </c>
      <c r="L127" s="6" t="s">
        <v>6345</v>
      </c>
      <c r="M127" s="6"/>
      <c r="N127" s="475" t="s">
        <v>1808</v>
      </c>
      <c r="O127" s="6"/>
      <c r="P127" s="6"/>
      <c r="Q127" s="468" t="s">
        <v>6860</v>
      </c>
      <c r="R127" s="6" t="s">
        <v>6071</v>
      </c>
      <c r="S127" s="54"/>
    </row>
    <row r="128" spans="1:19" ht="165.75">
      <c r="A128" s="6" t="s">
        <v>979</v>
      </c>
      <c r="B128" s="6" t="s">
        <v>925</v>
      </c>
      <c r="C128" s="6" t="s">
        <v>652</v>
      </c>
      <c r="D128" s="6"/>
      <c r="E128" s="6" t="s">
        <v>980</v>
      </c>
      <c r="F128" s="6" t="s">
        <v>981</v>
      </c>
      <c r="G128" s="64">
        <v>98750</v>
      </c>
      <c r="H128" s="6" t="s">
        <v>2978</v>
      </c>
      <c r="I128" s="6" t="s">
        <v>1828</v>
      </c>
      <c r="J128" s="6" t="s">
        <v>2144</v>
      </c>
      <c r="K128" s="6" t="s">
        <v>2979</v>
      </c>
      <c r="L128" s="6" t="s">
        <v>1874</v>
      </c>
      <c r="M128" s="6"/>
      <c r="N128" s="6" t="s">
        <v>6179</v>
      </c>
      <c r="O128" s="6"/>
      <c r="P128" s="6"/>
      <c r="Q128" s="468" t="s">
        <v>6861</v>
      </c>
      <c r="R128" s="6" t="s">
        <v>6137</v>
      </c>
      <c r="S128" s="54"/>
    </row>
    <row r="129" spans="1:19" ht="140.25">
      <c r="A129" s="6" t="s">
        <v>1311</v>
      </c>
      <c r="B129" s="6" t="s">
        <v>925</v>
      </c>
      <c r="C129" s="6" t="s">
        <v>1141</v>
      </c>
      <c r="D129" s="6"/>
      <c r="E129" s="6" t="s">
        <v>1312</v>
      </c>
      <c r="F129" s="6" t="s">
        <v>1206</v>
      </c>
      <c r="G129" s="64">
        <v>93859.46</v>
      </c>
      <c r="H129" s="6" t="s">
        <v>2500</v>
      </c>
      <c r="I129" s="6" t="s">
        <v>1916</v>
      </c>
      <c r="J129" s="6" t="s">
        <v>6373</v>
      </c>
      <c r="K129" s="6" t="s">
        <v>2980</v>
      </c>
      <c r="L129" s="6" t="s">
        <v>1904</v>
      </c>
      <c r="M129" s="6"/>
      <c r="N129" s="475" t="s">
        <v>1808</v>
      </c>
      <c r="O129" s="6"/>
      <c r="P129" s="6"/>
      <c r="Q129" s="468" t="s">
        <v>6862</v>
      </c>
      <c r="R129" s="6" t="s">
        <v>6137</v>
      </c>
      <c r="S129" s="54"/>
    </row>
    <row r="130" spans="1:19" ht="165.75">
      <c r="A130" s="6" t="s">
        <v>982</v>
      </c>
      <c r="B130" s="6" t="s">
        <v>925</v>
      </c>
      <c r="C130" s="6" t="s">
        <v>652</v>
      </c>
      <c r="D130" s="6"/>
      <c r="E130" s="6" t="s">
        <v>983</v>
      </c>
      <c r="F130" s="6" t="s">
        <v>984</v>
      </c>
      <c r="G130" s="64">
        <v>100000</v>
      </c>
      <c r="H130" s="6" t="s">
        <v>2981</v>
      </c>
      <c r="I130" s="6" t="s">
        <v>1886</v>
      </c>
      <c r="J130" s="6" t="s">
        <v>2144</v>
      </c>
      <c r="K130" s="6" t="s">
        <v>2982</v>
      </c>
      <c r="L130" s="6" t="s">
        <v>1874</v>
      </c>
      <c r="M130" s="6"/>
      <c r="N130" s="6" t="s">
        <v>6132</v>
      </c>
      <c r="O130" s="6"/>
      <c r="P130" s="6"/>
      <c r="Q130" s="468" t="s">
        <v>6863</v>
      </c>
      <c r="R130" s="6" t="s">
        <v>6104</v>
      </c>
      <c r="S130" s="54"/>
    </row>
    <row r="131" spans="1:19" ht="127.5">
      <c r="A131" s="6" t="s">
        <v>1760</v>
      </c>
      <c r="B131" s="6" t="s">
        <v>925</v>
      </c>
      <c r="C131" s="6" t="s">
        <v>1383</v>
      </c>
      <c r="D131" s="6"/>
      <c r="E131" s="6" t="s">
        <v>1761</v>
      </c>
      <c r="F131" s="6" t="s">
        <v>1762</v>
      </c>
      <c r="G131" s="8">
        <v>64080</v>
      </c>
      <c r="H131" s="6" t="s">
        <v>1828</v>
      </c>
      <c r="I131" s="6" t="s">
        <v>1828</v>
      </c>
      <c r="J131" s="6" t="s">
        <v>6864</v>
      </c>
      <c r="K131" s="6" t="s">
        <v>2983</v>
      </c>
      <c r="L131" s="6" t="s">
        <v>82</v>
      </c>
      <c r="M131" s="6"/>
      <c r="N131" s="6"/>
      <c r="O131" s="6"/>
      <c r="P131" s="6"/>
      <c r="Q131" s="468" t="s">
        <v>6865</v>
      </c>
      <c r="R131" s="6" t="s">
        <v>6064</v>
      </c>
      <c r="S131" s="54"/>
    </row>
    <row r="132" spans="1:19" ht="204">
      <c r="A132" s="6" t="s">
        <v>985</v>
      </c>
      <c r="B132" s="6" t="s">
        <v>925</v>
      </c>
      <c r="C132" s="6" t="s">
        <v>586</v>
      </c>
      <c r="D132" s="6"/>
      <c r="E132" s="6" t="s">
        <v>857</v>
      </c>
      <c r="F132" s="6" t="s">
        <v>986</v>
      </c>
      <c r="G132" s="64">
        <v>11620.76</v>
      </c>
      <c r="H132" s="6" t="s">
        <v>2656</v>
      </c>
      <c r="I132" s="6" t="s">
        <v>1886</v>
      </c>
      <c r="J132" s="6" t="s">
        <v>2144</v>
      </c>
      <c r="K132" s="6" t="s">
        <v>2984</v>
      </c>
      <c r="L132" s="6" t="s">
        <v>1874</v>
      </c>
      <c r="M132" s="6"/>
      <c r="N132" s="6" t="s">
        <v>6132</v>
      </c>
      <c r="O132" s="6"/>
      <c r="P132" s="6"/>
      <c r="Q132" s="468" t="s">
        <v>6866</v>
      </c>
      <c r="R132" s="6" t="s">
        <v>6104</v>
      </c>
      <c r="S132" s="54"/>
    </row>
    <row r="133" spans="1:19" ht="76.5">
      <c r="A133" s="6" t="s">
        <v>985</v>
      </c>
      <c r="B133" s="6" t="s">
        <v>925</v>
      </c>
      <c r="C133" s="6" t="s">
        <v>1763</v>
      </c>
      <c r="D133" s="6"/>
      <c r="E133" s="6" t="s">
        <v>1779</v>
      </c>
      <c r="F133" s="6" t="s">
        <v>2985</v>
      </c>
      <c r="G133" s="8">
        <v>296400</v>
      </c>
      <c r="H133" s="6" t="s">
        <v>2986</v>
      </c>
      <c r="I133" s="6" t="s">
        <v>1886</v>
      </c>
      <c r="J133" s="6" t="s">
        <v>6373</v>
      </c>
      <c r="K133" s="6" t="s">
        <v>2987</v>
      </c>
      <c r="L133" s="6" t="s">
        <v>82</v>
      </c>
      <c r="M133" s="6"/>
      <c r="N133" s="6"/>
      <c r="O133" s="6"/>
      <c r="P133" s="6"/>
      <c r="Q133" s="468" t="s">
        <v>6867</v>
      </c>
      <c r="R133" s="6" t="s">
        <v>6137</v>
      </c>
      <c r="S133" s="54"/>
    </row>
    <row r="134" spans="1:19" ht="127.5">
      <c r="A134" s="6" t="s">
        <v>987</v>
      </c>
      <c r="B134" s="6" t="s">
        <v>925</v>
      </c>
      <c r="C134" s="6" t="s">
        <v>652</v>
      </c>
      <c r="D134" s="6"/>
      <c r="E134" s="6" t="s">
        <v>988</v>
      </c>
      <c r="F134" s="6" t="s">
        <v>989</v>
      </c>
      <c r="G134" s="64">
        <v>92152.5</v>
      </c>
      <c r="H134" s="6" t="s">
        <v>2988</v>
      </c>
      <c r="I134" s="6" t="s">
        <v>2051</v>
      </c>
      <c r="J134" s="6" t="s">
        <v>2144</v>
      </c>
      <c r="K134" s="6" t="s">
        <v>2989</v>
      </c>
      <c r="L134" s="6" t="s">
        <v>1874</v>
      </c>
      <c r="M134" s="6"/>
      <c r="N134" s="6" t="s">
        <v>6132</v>
      </c>
      <c r="O134" s="6"/>
      <c r="P134" s="6"/>
      <c r="Q134" s="468" t="s">
        <v>6868</v>
      </c>
      <c r="R134" s="6" t="s">
        <v>6104</v>
      </c>
      <c r="S134" s="54"/>
    </row>
    <row r="135" spans="1:19" ht="114.75">
      <c r="A135" s="6" t="s">
        <v>990</v>
      </c>
      <c r="B135" s="6" t="s">
        <v>925</v>
      </c>
      <c r="C135" s="6" t="s">
        <v>652</v>
      </c>
      <c r="D135" s="6"/>
      <c r="E135" s="6" t="s">
        <v>991</v>
      </c>
      <c r="F135" s="6" t="s">
        <v>992</v>
      </c>
      <c r="G135" s="64">
        <v>94000</v>
      </c>
      <c r="H135" s="6" t="s">
        <v>2990</v>
      </c>
      <c r="I135" s="6" t="s">
        <v>1828</v>
      </c>
      <c r="J135" s="6" t="s">
        <v>2144</v>
      </c>
      <c r="K135" s="6" t="s">
        <v>2991</v>
      </c>
      <c r="L135" s="6" t="s">
        <v>1874</v>
      </c>
      <c r="M135" s="6"/>
      <c r="N135" s="6" t="s">
        <v>6132</v>
      </c>
      <c r="O135" s="6"/>
      <c r="P135" s="6"/>
      <c r="Q135" s="468" t="s">
        <v>6869</v>
      </c>
      <c r="R135" s="6" t="s">
        <v>6092</v>
      </c>
      <c r="S135" s="54"/>
    </row>
    <row r="136" spans="1:19" ht="12.75">
      <c r="A136" s="6"/>
      <c r="B136" s="6"/>
      <c r="C136" s="6"/>
      <c r="D136" s="6"/>
      <c r="E136" s="6"/>
      <c r="F136" s="6"/>
      <c r="G136" s="8"/>
      <c r="H136" s="6"/>
      <c r="I136" s="6"/>
      <c r="J136" s="6"/>
      <c r="K136" s="6"/>
      <c r="L136" s="6"/>
      <c r="M136" s="6"/>
      <c r="N136" s="6"/>
      <c r="O136" s="6"/>
      <c r="P136" s="6"/>
      <c r="Q136" s="6"/>
      <c r="R136" s="6"/>
      <c r="S136" s="54"/>
    </row>
    <row r="137" spans="1:19" ht="12.75">
      <c r="A137" s="6"/>
      <c r="B137" s="6"/>
      <c r="C137" s="6"/>
      <c r="D137" s="6"/>
      <c r="E137" s="6"/>
      <c r="F137" s="6"/>
      <c r="G137" s="8"/>
      <c r="H137" s="6"/>
      <c r="I137" s="6"/>
      <c r="J137" s="6"/>
      <c r="K137" s="6"/>
      <c r="L137" s="6"/>
      <c r="M137" s="6"/>
      <c r="N137" s="6"/>
      <c r="O137" s="6"/>
      <c r="P137" s="6"/>
      <c r="Q137" s="6"/>
      <c r="R137" s="6"/>
      <c r="S137" s="54"/>
    </row>
    <row r="138" spans="1:19" ht="12.75">
      <c r="A138" s="6"/>
      <c r="B138" s="6"/>
      <c r="C138" s="6"/>
      <c r="D138" s="6"/>
      <c r="E138" s="6"/>
      <c r="F138" s="6"/>
      <c r="G138" s="8"/>
      <c r="H138" s="6"/>
      <c r="I138" s="6"/>
      <c r="J138" s="6"/>
      <c r="K138" s="6"/>
      <c r="L138" s="6"/>
      <c r="M138" s="6"/>
      <c r="N138" s="6"/>
      <c r="O138" s="6"/>
      <c r="P138" s="6"/>
      <c r="Q138" s="6"/>
      <c r="R138" s="6"/>
      <c r="S138" s="54"/>
    </row>
    <row r="139" spans="1:19" ht="12.75">
      <c r="A139" s="6"/>
      <c r="B139" s="6"/>
      <c r="C139" s="6"/>
      <c r="D139" s="6"/>
      <c r="E139" s="6"/>
      <c r="F139" s="6"/>
      <c r="G139" s="8"/>
      <c r="H139" s="6"/>
      <c r="I139" s="6"/>
      <c r="J139" s="6"/>
      <c r="K139" s="6"/>
      <c r="L139" s="6"/>
      <c r="M139" s="6"/>
      <c r="N139" s="6"/>
      <c r="O139" s="6"/>
      <c r="P139" s="6"/>
      <c r="Q139" s="6"/>
      <c r="R139" s="6"/>
      <c r="S139" s="54"/>
    </row>
    <row r="140" spans="1:19" ht="12.75">
      <c r="A140" s="6"/>
      <c r="B140" s="6"/>
      <c r="C140" s="6"/>
      <c r="D140" s="6"/>
      <c r="E140" s="6"/>
      <c r="F140" s="6"/>
      <c r="G140" s="8"/>
      <c r="H140" s="6"/>
      <c r="I140" s="6"/>
      <c r="J140" s="6"/>
      <c r="K140" s="6"/>
      <c r="L140" s="6"/>
      <c r="M140" s="6"/>
      <c r="N140" s="6"/>
      <c r="O140" s="6"/>
      <c r="P140" s="6"/>
      <c r="Q140" s="6"/>
      <c r="R140" s="6"/>
      <c r="S140" s="54"/>
    </row>
    <row r="141" spans="1:19" ht="12.75">
      <c r="A141" s="6"/>
      <c r="B141" s="6"/>
      <c r="C141" s="6"/>
      <c r="D141" s="6"/>
      <c r="E141" s="6"/>
      <c r="F141" s="6"/>
      <c r="G141" s="8"/>
      <c r="H141" s="6"/>
      <c r="I141" s="6"/>
      <c r="J141" s="6"/>
      <c r="K141" s="6"/>
      <c r="L141" s="6"/>
      <c r="M141" s="6"/>
      <c r="N141" s="6"/>
      <c r="O141" s="6"/>
      <c r="P141" s="6"/>
      <c r="Q141" s="6"/>
      <c r="R141" s="6"/>
      <c r="S141" s="54"/>
    </row>
    <row r="142" spans="1:19" ht="12.75">
      <c r="A142" s="6"/>
      <c r="B142" s="6"/>
      <c r="C142" s="6"/>
      <c r="D142" s="6"/>
      <c r="E142" s="6"/>
      <c r="F142" s="6"/>
      <c r="G142" s="8"/>
      <c r="H142" s="6"/>
      <c r="I142" s="6"/>
      <c r="J142" s="6"/>
      <c r="K142" s="6"/>
      <c r="L142" s="6"/>
      <c r="M142" s="6"/>
      <c r="N142" s="6"/>
      <c r="O142" s="6"/>
      <c r="P142" s="6"/>
      <c r="Q142" s="6"/>
      <c r="R142" s="6"/>
      <c r="S142" s="54"/>
    </row>
    <row r="143" spans="1:19" ht="12.75">
      <c r="A143" s="6"/>
      <c r="B143" s="6"/>
      <c r="C143" s="6"/>
      <c r="D143" s="6"/>
      <c r="E143" s="6"/>
      <c r="F143" s="6"/>
      <c r="G143" s="8"/>
      <c r="H143" s="6"/>
      <c r="I143" s="6"/>
      <c r="J143" s="6"/>
      <c r="K143" s="6"/>
      <c r="L143" s="6"/>
      <c r="M143" s="6"/>
      <c r="N143" s="6"/>
      <c r="O143" s="6"/>
      <c r="P143" s="6"/>
      <c r="Q143" s="6"/>
      <c r="R143" s="6"/>
      <c r="S143" s="54"/>
    </row>
    <row r="144" spans="1:19" ht="12.75">
      <c r="A144" s="6"/>
      <c r="B144" s="6"/>
      <c r="C144" s="6"/>
      <c r="D144" s="6"/>
      <c r="E144" s="6"/>
      <c r="F144" s="6"/>
      <c r="G144" s="8"/>
      <c r="H144" s="6"/>
      <c r="I144" s="6"/>
      <c r="J144" s="6"/>
      <c r="K144" s="6"/>
      <c r="L144" s="6"/>
      <c r="M144" s="6"/>
      <c r="N144" s="6"/>
      <c r="O144" s="6"/>
      <c r="P144" s="6"/>
      <c r="Q144" s="6"/>
      <c r="R144" s="6"/>
      <c r="S144" s="54"/>
    </row>
    <row r="145" spans="1:19" ht="12.75">
      <c r="A145" s="6"/>
      <c r="B145" s="6"/>
      <c r="C145" s="6"/>
      <c r="D145" s="6"/>
      <c r="E145" s="6"/>
      <c r="F145" s="6"/>
      <c r="G145" s="8"/>
      <c r="H145" s="6"/>
      <c r="I145" s="6"/>
      <c r="J145" s="6"/>
      <c r="K145" s="6"/>
      <c r="L145" s="6"/>
      <c r="M145" s="6"/>
      <c r="N145" s="6"/>
      <c r="O145" s="6"/>
      <c r="P145" s="6"/>
      <c r="Q145" s="6"/>
      <c r="R145" s="6"/>
      <c r="S145" s="54"/>
    </row>
    <row r="146" spans="1:19" ht="12.75">
      <c r="A146" s="6"/>
      <c r="B146" s="6"/>
      <c r="C146" s="6"/>
      <c r="D146" s="6"/>
      <c r="E146" s="6"/>
      <c r="F146" s="6"/>
      <c r="G146" s="8"/>
      <c r="H146" s="6"/>
      <c r="I146" s="6"/>
      <c r="J146" s="6"/>
      <c r="K146" s="6"/>
      <c r="L146" s="6"/>
      <c r="M146" s="6"/>
      <c r="N146" s="6"/>
      <c r="O146" s="6"/>
      <c r="P146" s="6"/>
      <c r="Q146" s="6"/>
      <c r="R146" s="6"/>
      <c r="S146" s="54"/>
    </row>
    <row r="147" spans="1:19" ht="12.75">
      <c r="A147" s="6"/>
      <c r="B147" s="6"/>
      <c r="C147" s="6"/>
      <c r="D147" s="6"/>
      <c r="E147" s="6"/>
      <c r="F147" s="6"/>
      <c r="G147" s="8"/>
      <c r="H147" s="6"/>
      <c r="I147" s="6"/>
      <c r="J147" s="6"/>
      <c r="K147" s="6"/>
      <c r="L147" s="6"/>
      <c r="M147" s="6"/>
      <c r="N147" s="6"/>
      <c r="O147" s="6"/>
      <c r="P147" s="6"/>
      <c r="Q147" s="6"/>
      <c r="R147" s="6"/>
      <c r="S147" s="54"/>
    </row>
    <row r="148" spans="1:19" ht="12.75">
      <c r="A148" s="6"/>
      <c r="B148" s="6"/>
      <c r="C148" s="6"/>
      <c r="D148" s="6"/>
      <c r="E148" s="6"/>
      <c r="F148" s="6"/>
      <c r="G148" s="8"/>
      <c r="H148" s="6"/>
      <c r="I148" s="6"/>
      <c r="J148" s="6"/>
      <c r="K148" s="6"/>
      <c r="L148" s="6"/>
      <c r="M148" s="6"/>
      <c r="N148" s="6"/>
      <c r="O148" s="6"/>
      <c r="P148" s="6"/>
      <c r="Q148" s="6"/>
      <c r="R148" s="6"/>
      <c r="S148" s="54"/>
    </row>
    <row r="149" spans="1:19" ht="12.75">
      <c r="A149" s="6"/>
      <c r="B149" s="6"/>
      <c r="C149" s="6"/>
      <c r="D149" s="6"/>
      <c r="E149" s="6"/>
      <c r="F149" s="6"/>
      <c r="G149" s="8"/>
      <c r="H149" s="6"/>
      <c r="I149" s="6"/>
      <c r="J149" s="6"/>
      <c r="K149" s="6"/>
      <c r="L149" s="6"/>
      <c r="M149" s="6"/>
      <c r="N149" s="6"/>
      <c r="O149" s="6"/>
      <c r="P149" s="6"/>
      <c r="Q149" s="6"/>
      <c r="R149" s="6"/>
      <c r="S149" s="54"/>
    </row>
    <row r="150" spans="1:19" ht="12.75">
      <c r="A150" s="6"/>
      <c r="B150" s="6"/>
      <c r="C150" s="6"/>
      <c r="D150" s="6"/>
      <c r="E150" s="6"/>
      <c r="F150" s="6"/>
      <c r="G150" s="8"/>
      <c r="H150" s="6"/>
      <c r="I150" s="6"/>
      <c r="J150" s="6"/>
      <c r="K150" s="6"/>
      <c r="L150" s="6"/>
      <c r="M150" s="6"/>
      <c r="N150" s="6"/>
      <c r="O150" s="6"/>
      <c r="P150" s="6"/>
      <c r="Q150" s="6"/>
      <c r="R150" s="6"/>
      <c r="S150" s="54"/>
    </row>
  </sheetData>
  <hyperlinks>
    <hyperlink ref="P2" r:id="rId1" xr:uid="{00000000-0004-0000-1400-000000000000}"/>
    <hyperlink ref="Q2" r:id="rId2" xr:uid="{00000000-0004-0000-1400-000001000000}"/>
    <hyperlink ref="P3" r:id="rId3" xr:uid="{00000000-0004-0000-1400-000002000000}"/>
    <hyperlink ref="Q3" r:id="rId4" xr:uid="{00000000-0004-0000-1400-000003000000}"/>
    <hyperlink ref="P4" r:id="rId5" xr:uid="{00000000-0004-0000-1400-000004000000}"/>
    <hyperlink ref="Q4" r:id="rId6" xr:uid="{00000000-0004-0000-1400-000005000000}"/>
    <hyperlink ref="P5" r:id="rId7" xr:uid="{00000000-0004-0000-1400-000006000000}"/>
    <hyperlink ref="Q5" r:id="rId8" xr:uid="{00000000-0004-0000-1400-000007000000}"/>
    <hyperlink ref="P6" r:id="rId9" xr:uid="{00000000-0004-0000-1400-000008000000}"/>
    <hyperlink ref="Q6" r:id="rId10" xr:uid="{00000000-0004-0000-1400-000009000000}"/>
    <hyperlink ref="P7" r:id="rId11" xr:uid="{00000000-0004-0000-1400-00000A000000}"/>
    <hyperlink ref="Q7" r:id="rId12" xr:uid="{00000000-0004-0000-1400-00000B000000}"/>
    <hyperlink ref="P8" r:id="rId13" xr:uid="{00000000-0004-0000-1400-00000C000000}"/>
    <hyperlink ref="Q8" r:id="rId14" xr:uid="{00000000-0004-0000-1400-00000D000000}"/>
    <hyperlink ref="P9" r:id="rId15" xr:uid="{00000000-0004-0000-1400-00000E000000}"/>
    <hyperlink ref="Q9" r:id="rId16" xr:uid="{00000000-0004-0000-1400-00000F000000}"/>
    <hyperlink ref="P10" r:id="rId17" xr:uid="{00000000-0004-0000-1400-000010000000}"/>
    <hyperlink ref="Q10" r:id="rId18" xr:uid="{00000000-0004-0000-1400-000011000000}"/>
    <hyperlink ref="P11" r:id="rId19" xr:uid="{00000000-0004-0000-1400-000012000000}"/>
    <hyperlink ref="Q11" r:id="rId20" xr:uid="{00000000-0004-0000-1400-000013000000}"/>
    <hyperlink ref="P12" r:id="rId21" xr:uid="{00000000-0004-0000-1400-000014000000}"/>
    <hyperlink ref="Q12" r:id="rId22" xr:uid="{00000000-0004-0000-1400-000015000000}"/>
    <hyperlink ref="P13" r:id="rId23" xr:uid="{00000000-0004-0000-1400-000016000000}"/>
    <hyperlink ref="Q13" r:id="rId24" xr:uid="{00000000-0004-0000-1400-000017000000}"/>
    <hyperlink ref="P14" r:id="rId25" xr:uid="{00000000-0004-0000-1400-000018000000}"/>
    <hyperlink ref="Q14" r:id="rId26" xr:uid="{00000000-0004-0000-1400-000019000000}"/>
    <hyperlink ref="P15" r:id="rId27" xr:uid="{00000000-0004-0000-1400-00001A000000}"/>
    <hyperlink ref="Q15" r:id="rId28" xr:uid="{00000000-0004-0000-1400-00001B000000}"/>
    <hyperlink ref="P16" r:id="rId29" xr:uid="{00000000-0004-0000-1400-00001C000000}"/>
    <hyperlink ref="Q16" r:id="rId30" xr:uid="{00000000-0004-0000-1400-00001D000000}"/>
    <hyperlink ref="P17" r:id="rId31" xr:uid="{00000000-0004-0000-1400-00001E000000}"/>
    <hyperlink ref="Q17" r:id="rId32" xr:uid="{00000000-0004-0000-1400-00001F000000}"/>
    <hyperlink ref="P18" r:id="rId33" xr:uid="{00000000-0004-0000-1400-000020000000}"/>
    <hyperlink ref="Q18" r:id="rId34" xr:uid="{00000000-0004-0000-1400-000021000000}"/>
    <hyperlink ref="P19" r:id="rId35" xr:uid="{00000000-0004-0000-1400-000022000000}"/>
    <hyperlink ref="Q19" r:id="rId36" xr:uid="{00000000-0004-0000-1400-000023000000}"/>
    <hyperlink ref="P20" r:id="rId37" xr:uid="{00000000-0004-0000-1400-000024000000}"/>
    <hyperlink ref="Q20" r:id="rId38" xr:uid="{00000000-0004-0000-1400-000025000000}"/>
    <hyperlink ref="P21" r:id="rId39" xr:uid="{00000000-0004-0000-1400-000026000000}"/>
    <hyperlink ref="Q21" r:id="rId40" xr:uid="{00000000-0004-0000-1400-000027000000}"/>
    <hyperlink ref="P22" r:id="rId41" xr:uid="{00000000-0004-0000-1400-000028000000}"/>
    <hyperlink ref="Q22" r:id="rId42" xr:uid="{00000000-0004-0000-1400-000029000000}"/>
    <hyperlink ref="P23" r:id="rId43" xr:uid="{00000000-0004-0000-1400-00002A000000}"/>
    <hyperlink ref="Q23" r:id="rId44" xr:uid="{00000000-0004-0000-1400-00002B000000}"/>
    <hyperlink ref="P24" r:id="rId45" xr:uid="{00000000-0004-0000-1400-00002C000000}"/>
    <hyperlink ref="Q24" r:id="rId46" xr:uid="{00000000-0004-0000-1400-00002D000000}"/>
    <hyperlink ref="P25" r:id="rId47" xr:uid="{00000000-0004-0000-1400-00002E000000}"/>
    <hyperlink ref="Q25" r:id="rId48" xr:uid="{00000000-0004-0000-1400-00002F000000}"/>
    <hyperlink ref="P26" r:id="rId49" xr:uid="{00000000-0004-0000-1400-000030000000}"/>
    <hyperlink ref="Q26" r:id="rId50" xr:uid="{00000000-0004-0000-1400-000031000000}"/>
    <hyperlink ref="P27" r:id="rId51" xr:uid="{00000000-0004-0000-1400-000032000000}"/>
    <hyperlink ref="Q27" r:id="rId52" xr:uid="{00000000-0004-0000-1400-000033000000}"/>
    <hyperlink ref="P28" r:id="rId53" xr:uid="{00000000-0004-0000-1400-000034000000}"/>
    <hyperlink ref="Q28" r:id="rId54" xr:uid="{00000000-0004-0000-1400-000035000000}"/>
    <hyperlink ref="P29" r:id="rId55" xr:uid="{00000000-0004-0000-1400-000036000000}"/>
    <hyperlink ref="Q29" r:id="rId56" xr:uid="{00000000-0004-0000-1400-000037000000}"/>
    <hyperlink ref="P30" r:id="rId57" xr:uid="{00000000-0004-0000-1400-000038000000}"/>
    <hyperlink ref="Q30" r:id="rId58" xr:uid="{00000000-0004-0000-1400-000039000000}"/>
    <hyperlink ref="P31" r:id="rId59" xr:uid="{00000000-0004-0000-1400-00003A000000}"/>
    <hyperlink ref="Q31" r:id="rId60" xr:uid="{00000000-0004-0000-1400-00003B000000}"/>
    <hyperlink ref="P32" r:id="rId61" xr:uid="{00000000-0004-0000-1400-00003C000000}"/>
    <hyperlink ref="Q32" r:id="rId62" xr:uid="{00000000-0004-0000-1400-00003D000000}"/>
    <hyperlink ref="P33" r:id="rId63" xr:uid="{00000000-0004-0000-1400-00003E000000}"/>
    <hyperlink ref="Q33" r:id="rId64" xr:uid="{00000000-0004-0000-1400-00003F000000}"/>
    <hyperlink ref="P34" r:id="rId65" xr:uid="{00000000-0004-0000-1400-000040000000}"/>
    <hyperlink ref="Q34" r:id="rId66" xr:uid="{00000000-0004-0000-1400-000041000000}"/>
    <hyperlink ref="P35" r:id="rId67" xr:uid="{00000000-0004-0000-1400-000042000000}"/>
    <hyperlink ref="Q35" r:id="rId68" xr:uid="{00000000-0004-0000-1400-000043000000}"/>
    <hyperlink ref="P36" r:id="rId69" xr:uid="{00000000-0004-0000-1400-000044000000}"/>
    <hyperlink ref="Q36" r:id="rId70" xr:uid="{00000000-0004-0000-1400-000045000000}"/>
    <hyperlink ref="P37" r:id="rId71" xr:uid="{00000000-0004-0000-1400-000046000000}"/>
    <hyperlink ref="Q37" r:id="rId72" xr:uid="{00000000-0004-0000-1400-000047000000}"/>
    <hyperlink ref="P38" r:id="rId73" xr:uid="{00000000-0004-0000-1400-000048000000}"/>
    <hyperlink ref="Q38" r:id="rId74" xr:uid="{00000000-0004-0000-1400-000049000000}"/>
    <hyperlink ref="P39" r:id="rId75" xr:uid="{00000000-0004-0000-1400-00004A000000}"/>
    <hyperlink ref="Q39" r:id="rId76" xr:uid="{00000000-0004-0000-1400-00004B000000}"/>
    <hyperlink ref="P40" r:id="rId77" xr:uid="{00000000-0004-0000-1400-00004C000000}"/>
    <hyperlink ref="Q40" r:id="rId78" xr:uid="{00000000-0004-0000-1400-00004D000000}"/>
    <hyperlink ref="P41" r:id="rId79" xr:uid="{00000000-0004-0000-1400-00004E000000}"/>
    <hyperlink ref="Q41" r:id="rId80" xr:uid="{00000000-0004-0000-1400-00004F000000}"/>
    <hyperlink ref="P42" r:id="rId81" xr:uid="{00000000-0004-0000-1400-000050000000}"/>
    <hyperlink ref="Q42" r:id="rId82" xr:uid="{00000000-0004-0000-1400-000051000000}"/>
    <hyperlink ref="P43" r:id="rId83" xr:uid="{00000000-0004-0000-1400-000052000000}"/>
    <hyperlink ref="Q43" r:id="rId84" xr:uid="{00000000-0004-0000-1400-000053000000}"/>
    <hyperlink ref="P44" r:id="rId85" xr:uid="{00000000-0004-0000-1400-000054000000}"/>
    <hyperlink ref="Q44" r:id="rId86" xr:uid="{00000000-0004-0000-1400-000055000000}"/>
    <hyperlink ref="P45" r:id="rId87" xr:uid="{00000000-0004-0000-1400-000056000000}"/>
    <hyperlink ref="Q45" r:id="rId88" xr:uid="{00000000-0004-0000-1400-000057000000}"/>
    <hyperlink ref="P46" r:id="rId89" xr:uid="{00000000-0004-0000-1400-000058000000}"/>
    <hyperlink ref="Q46" r:id="rId90" xr:uid="{00000000-0004-0000-1400-000059000000}"/>
    <hyperlink ref="P47" r:id="rId91" xr:uid="{00000000-0004-0000-1400-00005A000000}"/>
    <hyperlink ref="Q47" r:id="rId92" xr:uid="{00000000-0004-0000-1400-00005B000000}"/>
    <hyperlink ref="P48" r:id="rId93" xr:uid="{00000000-0004-0000-1400-00005C000000}"/>
    <hyperlink ref="Q48" r:id="rId94" xr:uid="{00000000-0004-0000-1400-00005D000000}"/>
    <hyperlink ref="P49" r:id="rId95" xr:uid="{00000000-0004-0000-1400-00005E000000}"/>
    <hyperlink ref="Q49" r:id="rId96" xr:uid="{00000000-0004-0000-1400-00005F000000}"/>
    <hyperlink ref="P50" r:id="rId97" xr:uid="{00000000-0004-0000-1400-000060000000}"/>
    <hyperlink ref="Q50" r:id="rId98" xr:uid="{00000000-0004-0000-1400-000061000000}"/>
    <hyperlink ref="P51" r:id="rId99" xr:uid="{00000000-0004-0000-1400-000062000000}"/>
    <hyperlink ref="Q51" r:id="rId100" xr:uid="{00000000-0004-0000-1400-000063000000}"/>
    <hyperlink ref="P52" r:id="rId101" xr:uid="{00000000-0004-0000-1400-000064000000}"/>
    <hyperlink ref="Q52" r:id="rId102" xr:uid="{00000000-0004-0000-1400-000065000000}"/>
    <hyperlink ref="P53" r:id="rId103" xr:uid="{00000000-0004-0000-1400-000066000000}"/>
    <hyperlink ref="Q53" r:id="rId104" xr:uid="{00000000-0004-0000-1400-000067000000}"/>
    <hyperlink ref="P54" r:id="rId105" xr:uid="{00000000-0004-0000-1400-000068000000}"/>
    <hyperlink ref="Q54" r:id="rId106" xr:uid="{00000000-0004-0000-1400-000069000000}"/>
    <hyperlink ref="P55" r:id="rId107" xr:uid="{00000000-0004-0000-1400-00006A000000}"/>
    <hyperlink ref="Q55" r:id="rId108" xr:uid="{00000000-0004-0000-1400-00006B000000}"/>
    <hyperlink ref="P56" r:id="rId109" xr:uid="{00000000-0004-0000-1400-00006C000000}"/>
    <hyperlink ref="Q56" r:id="rId110" xr:uid="{00000000-0004-0000-1400-00006D000000}"/>
    <hyperlink ref="P57" r:id="rId111" xr:uid="{00000000-0004-0000-1400-00006E000000}"/>
    <hyperlink ref="Q57" r:id="rId112" xr:uid="{00000000-0004-0000-1400-00006F000000}"/>
    <hyperlink ref="P58" r:id="rId113" xr:uid="{00000000-0004-0000-1400-000070000000}"/>
    <hyperlink ref="Q58" r:id="rId114" xr:uid="{00000000-0004-0000-1400-000071000000}"/>
    <hyperlink ref="P59" r:id="rId115" xr:uid="{00000000-0004-0000-1400-000072000000}"/>
    <hyperlink ref="Q59" r:id="rId116" xr:uid="{00000000-0004-0000-1400-000073000000}"/>
    <hyperlink ref="P60" r:id="rId117" xr:uid="{00000000-0004-0000-1400-000074000000}"/>
    <hyperlink ref="Q60" r:id="rId118" xr:uid="{00000000-0004-0000-1400-000075000000}"/>
    <hyperlink ref="P61" r:id="rId119" xr:uid="{00000000-0004-0000-1400-000076000000}"/>
    <hyperlink ref="Q61" r:id="rId120" xr:uid="{00000000-0004-0000-1400-000077000000}"/>
    <hyperlink ref="P62" r:id="rId121" xr:uid="{00000000-0004-0000-1400-000078000000}"/>
    <hyperlink ref="Q62" r:id="rId122" xr:uid="{00000000-0004-0000-1400-000079000000}"/>
    <hyperlink ref="P63" r:id="rId123" xr:uid="{00000000-0004-0000-1400-00007A000000}"/>
    <hyperlink ref="Q63" r:id="rId124" xr:uid="{00000000-0004-0000-1400-00007B000000}"/>
    <hyperlink ref="P64" r:id="rId125" xr:uid="{00000000-0004-0000-1400-00007C000000}"/>
    <hyperlink ref="Q64" r:id="rId126" xr:uid="{00000000-0004-0000-1400-00007D000000}"/>
    <hyperlink ref="P65" r:id="rId127" xr:uid="{00000000-0004-0000-1400-00007E000000}"/>
    <hyperlink ref="Q65" r:id="rId128" xr:uid="{00000000-0004-0000-1400-00007F000000}"/>
    <hyperlink ref="P66" r:id="rId129" xr:uid="{00000000-0004-0000-1400-000080000000}"/>
    <hyperlink ref="Q66" r:id="rId130" xr:uid="{00000000-0004-0000-1400-000081000000}"/>
    <hyperlink ref="P67" r:id="rId131" xr:uid="{00000000-0004-0000-1400-000082000000}"/>
    <hyperlink ref="Q67" r:id="rId132" xr:uid="{00000000-0004-0000-1400-000083000000}"/>
    <hyperlink ref="P68" r:id="rId133" xr:uid="{00000000-0004-0000-1400-000084000000}"/>
    <hyperlink ref="Q68" r:id="rId134" xr:uid="{00000000-0004-0000-1400-000085000000}"/>
    <hyperlink ref="P69" r:id="rId135" xr:uid="{00000000-0004-0000-1400-000086000000}"/>
    <hyperlink ref="Q69" r:id="rId136" xr:uid="{00000000-0004-0000-1400-000087000000}"/>
    <hyperlink ref="P70" r:id="rId137" xr:uid="{00000000-0004-0000-1400-000088000000}"/>
    <hyperlink ref="Q70" r:id="rId138" xr:uid="{00000000-0004-0000-1400-000089000000}"/>
    <hyperlink ref="P71" r:id="rId139" xr:uid="{00000000-0004-0000-1400-00008A000000}"/>
    <hyperlink ref="Q71" r:id="rId140" xr:uid="{00000000-0004-0000-1400-00008B000000}"/>
    <hyperlink ref="P72" r:id="rId141" xr:uid="{00000000-0004-0000-1400-00008C000000}"/>
    <hyperlink ref="Q72" r:id="rId142" xr:uid="{00000000-0004-0000-1400-00008D000000}"/>
    <hyperlink ref="Q73" r:id="rId143" xr:uid="{00000000-0004-0000-1400-00008E000000}"/>
    <hyperlink ref="Q74" r:id="rId144" xr:uid="{00000000-0004-0000-1400-00008F000000}"/>
    <hyperlink ref="Q75" r:id="rId145" xr:uid="{00000000-0004-0000-1400-000090000000}"/>
    <hyperlink ref="Q76" r:id="rId146" xr:uid="{00000000-0004-0000-1400-000091000000}"/>
    <hyperlink ref="Q77" r:id="rId147" xr:uid="{00000000-0004-0000-1400-000092000000}"/>
    <hyperlink ref="Q78" r:id="rId148" xr:uid="{00000000-0004-0000-1400-000093000000}"/>
    <hyperlink ref="Q79" r:id="rId149" xr:uid="{00000000-0004-0000-1400-000094000000}"/>
    <hyperlink ref="Q80" r:id="rId150" xr:uid="{00000000-0004-0000-1400-000095000000}"/>
    <hyperlink ref="Q81" r:id="rId151" xr:uid="{00000000-0004-0000-1400-000096000000}"/>
    <hyperlink ref="Q82" r:id="rId152" xr:uid="{00000000-0004-0000-1400-000097000000}"/>
    <hyperlink ref="Q83" r:id="rId153" xr:uid="{00000000-0004-0000-1400-000098000000}"/>
    <hyperlink ref="Q84" r:id="rId154" xr:uid="{00000000-0004-0000-1400-000099000000}"/>
    <hyperlink ref="Q85" r:id="rId155" xr:uid="{00000000-0004-0000-1400-00009A000000}"/>
    <hyperlink ref="Q86" r:id="rId156" xr:uid="{00000000-0004-0000-1400-00009B000000}"/>
    <hyperlink ref="Q87" r:id="rId157" xr:uid="{00000000-0004-0000-1400-00009C000000}"/>
    <hyperlink ref="Q88" r:id="rId158" xr:uid="{00000000-0004-0000-1400-00009D000000}"/>
    <hyperlink ref="Q89" r:id="rId159" xr:uid="{00000000-0004-0000-1400-00009E000000}"/>
    <hyperlink ref="Q90" r:id="rId160" xr:uid="{00000000-0004-0000-1400-00009F000000}"/>
    <hyperlink ref="Q91" r:id="rId161" xr:uid="{00000000-0004-0000-1400-0000A0000000}"/>
    <hyperlink ref="Q92" r:id="rId162" xr:uid="{00000000-0004-0000-1400-0000A1000000}"/>
    <hyperlink ref="Q93" r:id="rId163" xr:uid="{00000000-0004-0000-1400-0000A2000000}"/>
    <hyperlink ref="Q94" r:id="rId164" xr:uid="{00000000-0004-0000-1400-0000A3000000}"/>
    <hyperlink ref="Q95" r:id="rId165" xr:uid="{00000000-0004-0000-1400-0000A4000000}"/>
    <hyperlink ref="Q96" r:id="rId166" xr:uid="{00000000-0004-0000-1400-0000A5000000}"/>
    <hyperlink ref="Q97" r:id="rId167" xr:uid="{00000000-0004-0000-1400-0000A6000000}"/>
    <hyperlink ref="Q98" r:id="rId168" xr:uid="{00000000-0004-0000-1400-0000A7000000}"/>
    <hyperlink ref="Q99" r:id="rId169" xr:uid="{00000000-0004-0000-1400-0000A8000000}"/>
    <hyperlink ref="P100" r:id="rId170" xr:uid="{00000000-0004-0000-1400-0000A9000000}"/>
    <hyperlink ref="Q100" r:id="rId171" xr:uid="{00000000-0004-0000-1400-0000AA000000}"/>
    <hyperlink ref="Q101" r:id="rId172" xr:uid="{00000000-0004-0000-1400-0000AB000000}"/>
    <hyperlink ref="Q102" r:id="rId173" xr:uid="{00000000-0004-0000-1400-0000AC000000}"/>
    <hyperlink ref="Q103" r:id="rId174" xr:uid="{00000000-0004-0000-1400-0000AD000000}"/>
    <hyperlink ref="Q104" r:id="rId175" xr:uid="{00000000-0004-0000-1400-0000AE000000}"/>
    <hyperlink ref="Q105" r:id="rId176" xr:uid="{00000000-0004-0000-1400-0000AF000000}"/>
    <hyperlink ref="Q106" r:id="rId177" xr:uid="{00000000-0004-0000-1400-0000B0000000}"/>
    <hyperlink ref="Q107" r:id="rId178" xr:uid="{00000000-0004-0000-1400-0000B1000000}"/>
    <hyperlink ref="Q108" r:id="rId179" xr:uid="{00000000-0004-0000-1400-0000B2000000}"/>
    <hyperlink ref="Q109" r:id="rId180" xr:uid="{00000000-0004-0000-1400-0000B3000000}"/>
    <hyperlink ref="Q110" r:id="rId181" xr:uid="{00000000-0004-0000-1400-0000B4000000}"/>
    <hyperlink ref="Q111" r:id="rId182" xr:uid="{00000000-0004-0000-1400-0000B5000000}"/>
    <hyperlink ref="Q112" r:id="rId183" xr:uid="{00000000-0004-0000-1400-0000B6000000}"/>
    <hyperlink ref="Q113" r:id="rId184" xr:uid="{00000000-0004-0000-1400-0000B7000000}"/>
    <hyperlink ref="Q114" r:id="rId185" xr:uid="{00000000-0004-0000-1400-0000B8000000}"/>
    <hyperlink ref="Q115" r:id="rId186" xr:uid="{00000000-0004-0000-1400-0000B9000000}"/>
    <hyperlink ref="Q116" r:id="rId187" xr:uid="{00000000-0004-0000-1400-0000BA000000}"/>
    <hyperlink ref="Q117" r:id="rId188" xr:uid="{00000000-0004-0000-1400-0000BB000000}"/>
    <hyperlink ref="Q118" r:id="rId189" xr:uid="{00000000-0004-0000-1400-0000BC000000}"/>
    <hyperlink ref="Q119" r:id="rId190" xr:uid="{00000000-0004-0000-1400-0000BD000000}"/>
    <hyperlink ref="Q120" r:id="rId191" xr:uid="{00000000-0004-0000-1400-0000BE000000}"/>
    <hyperlink ref="Q121" r:id="rId192" xr:uid="{00000000-0004-0000-1400-0000BF000000}"/>
    <hyperlink ref="Q122" r:id="rId193" xr:uid="{00000000-0004-0000-1400-0000C0000000}"/>
    <hyperlink ref="Q123" r:id="rId194" xr:uid="{00000000-0004-0000-1400-0000C1000000}"/>
    <hyperlink ref="Q124" r:id="rId195" xr:uid="{00000000-0004-0000-1400-0000C2000000}"/>
    <hyperlink ref="Q125" r:id="rId196" xr:uid="{00000000-0004-0000-1400-0000C3000000}"/>
    <hyperlink ref="Q126" r:id="rId197" xr:uid="{00000000-0004-0000-1400-0000C4000000}"/>
    <hyperlink ref="Q127" r:id="rId198" xr:uid="{00000000-0004-0000-1400-0000C5000000}"/>
    <hyperlink ref="Q128" r:id="rId199" xr:uid="{00000000-0004-0000-1400-0000C6000000}"/>
    <hyperlink ref="Q129" r:id="rId200" xr:uid="{00000000-0004-0000-1400-0000C7000000}"/>
    <hyperlink ref="Q130" r:id="rId201" xr:uid="{00000000-0004-0000-1400-0000C8000000}"/>
    <hyperlink ref="Q131" r:id="rId202" xr:uid="{00000000-0004-0000-1400-0000C9000000}"/>
    <hyperlink ref="Q132" r:id="rId203" xr:uid="{00000000-0004-0000-1400-0000CA000000}"/>
    <hyperlink ref="Q133" r:id="rId204" xr:uid="{00000000-0004-0000-1400-0000CB000000}"/>
    <hyperlink ref="Q134" r:id="rId205" xr:uid="{00000000-0004-0000-1400-0000CC000000}"/>
    <hyperlink ref="Q135" r:id="rId206" xr:uid="{00000000-0004-0000-1400-0000CD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R161"/>
  <sheetViews>
    <sheetView workbookViewId="0">
      <pane xSplit="1" topLeftCell="B1" activePane="topRight" state="frozen"/>
      <selection pane="topRight" activeCell="C2" sqref="C2"/>
    </sheetView>
  </sheetViews>
  <sheetFormatPr defaultColWidth="12.5703125" defaultRowHeight="15.75" customHeight="1"/>
  <cols>
    <col min="1" max="1" width="16" customWidth="1"/>
    <col min="4" max="4" width="15.85546875" customWidth="1"/>
    <col min="5" max="5" width="37.85546875" customWidth="1"/>
    <col min="6" max="6" width="32" customWidth="1"/>
    <col min="7" max="7" width="25.85546875" customWidth="1"/>
    <col min="8" max="8" width="47.85546875" customWidth="1"/>
    <col min="11" max="11" width="37.85546875" customWidth="1"/>
    <col min="12" max="12" width="16.42578125" customWidth="1"/>
    <col min="13" max="13" width="13.28515625" customWidth="1"/>
    <col min="14" max="14" width="15.42578125" customWidth="1"/>
    <col min="15" max="15" width="27.140625" customWidth="1"/>
    <col min="16" max="16" width="37.85546875" customWidth="1"/>
    <col min="17" max="17" width="17.140625" customWidth="1"/>
    <col min="18" max="18" width="42.28515625" customWidth="1"/>
  </cols>
  <sheetData>
    <row r="1" spans="1:18" ht="25.5">
      <c r="A1" s="494" t="s">
        <v>6259</v>
      </c>
      <c r="B1" s="494" t="s">
        <v>389</v>
      </c>
      <c r="C1" s="494" t="s">
        <v>4</v>
      </c>
      <c r="D1" s="494" t="s">
        <v>5</v>
      </c>
      <c r="E1" s="494" t="s">
        <v>6</v>
      </c>
      <c r="F1" s="494" t="s">
        <v>7</v>
      </c>
      <c r="G1" s="495" t="s">
        <v>1819</v>
      </c>
      <c r="H1" s="494" t="s">
        <v>8</v>
      </c>
      <c r="I1" s="494" t="s">
        <v>1821</v>
      </c>
      <c r="J1" s="494" t="s">
        <v>1818</v>
      </c>
      <c r="K1" s="494" t="s">
        <v>6870</v>
      </c>
      <c r="L1" s="319" t="s">
        <v>5633</v>
      </c>
      <c r="M1" s="494" t="s">
        <v>5631</v>
      </c>
      <c r="N1" s="494" t="s">
        <v>6871</v>
      </c>
      <c r="O1" s="494" t="s">
        <v>6261</v>
      </c>
      <c r="P1" s="494" t="s">
        <v>6471</v>
      </c>
      <c r="Q1" s="494" t="s">
        <v>6060</v>
      </c>
      <c r="R1" s="494" t="s">
        <v>5628</v>
      </c>
    </row>
    <row r="2" spans="1:18" ht="51.75" customHeight="1">
      <c r="A2" s="61">
        <v>42736</v>
      </c>
      <c r="B2" s="6" t="s">
        <v>6872</v>
      </c>
      <c r="C2" s="6" t="s">
        <v>125</v>
      </c>
      <c r="D2" s="172"/>
      <c r="E2" s="158" t="s">
        <v>807</v>
      </c>
      <c r="F2" s="158" t="s">
        <v>2992</v>
      </c>
      <c r="G2" s="496">
        <v>450000</v>
      </c>
      <c r="H2" s="6" t="s">
        <v>1938</v>
      </c>
      <c r="I2" s="6" t="s">
        <v>1828</v>
      </c>
      <c r="J2" s="6" t="s">
        <v>1824</v>
      </c>
      <c r="K2" s="172"/>
      <c r="L2" s="6"/>
      <c r="M2" s="172"/>
      <c r="N2" s="475" t="s">
        <v>1808</v>
      </c>
      <c r="O2" s="158"/>
      <c r="P2" s="472" t="s">
        <v>6873</v>
      </c>
      <c r="Q2" s="6" t="s">
        <v>6064</v>
      </c>
      <c r="R2" s="6"/>
    </row>
    <row r="3" spans="1:18" ht="63.75">
      <c r="A3" s="61">
        <v>42767</v>
      </c>
      <c r="B3" s="6" t="s">
        <v>1867</v>
      </c>
      <c r="C3" s="6" t="s">
        <v>2993</v>
      </c>
      <c r="D3" s="6"/>
      <c r="E3" s="6" t="s">
        <v>2994</v>
      </c>
      <c r="F3" s="6" t="s">
        <v>2995</v>
      </c>
      <c r="G3" s="496">
        <v>300000</v>
      </c>
      <c r="H3" s="160" t="s">
        <v>2996</v>
      </c>
      <c r="I3" s="6" t="s">
        <v>6874</v>
      </c>
      <c r="J3" s="6" t="s">
        <v>1824</v>
      </c>
      <c r="K3" s="6"/>
      <c r="L3" s="6"/>
      <c r="M3" s="6"/>
      <c r="N3" s="475" t="s">
        <v>1808</v>
      </c>
      <c r="O3" s="6"/>
      <c r="P3" s="467" t="s">
        <v>6875</v>
      </c>
      <c r="Q3" s="6" t="s">
        <v>6104</v>
      </c>
      <c r="R3" s="6"/>
    </row>
    <row r="4" spans="1:18" ht="25.5">
      <c r="A4" s="61">
        <v>42795</v>
      </c>
      <c r="B4" s="6" t="s">
        <v>6872</v>
      </c>
      <c r="C4" s="6" t="s">
        <v>1500</v>
      </c>
      <c r="D4" s="6"/>
      <c r="E4" s="6" t="s">
        <v>2997</v>
      </c>
      <c r="F4" s="6" t="s">
        <v>2998</v>
      </c>
      <c r="G4" s="496">
        <v>188800</v>
      </c>
      <c r="H4" s="6"/>
      <c r="I4" s="6"/>
      <c r="J4" s="6"/>
      <c r="K4" s="6"/>
      <c r="L4" s="6" t="s">
        <v>82</v>
      </c>
      <c r="M4" s="6"/>
      <c r="N4" s="475" t="s">
        <v>1808</v>
      </c>
      <c r="O4" s="6"/>
      <c r="P4" s="467" t="s">
        <v>6876</v>
      </c>
      <c r="Q4" s="6" t="s">
        <v>6064</v>
      </c>
      <c r="R4" s="6"/>
    </row>
    <row r="5" spans="1:18" ht="25.5">
      <c r="A5" s="61">
        <v>42826</v>
      </c>
      <c r="B5" s="6" t="s">
        <v>6872</v>
      </c>
      <c r="C5" s="6" t="s">
        <v>1500</v>
      </c>
      <c r="D5" s="6"/>
      <c r="E5" s="6" t="s">
        <v>2999</v>
      </c>
      <c r="F5" s="6" t="s">
        <v>3000</v>
      </c>
      <c r="G5" s="496">
        <v>200000</v>
      </c>
      <c r="H5" s="6" t="s">
        <v>3001</v>
      </c>
      <c r="I5" s="6" t="s">
        <v>1828</v>
      </c>
      <c r="J5" s="6" t="s">
        <v>1824</v>
      </c>
      <c r="K5" s="6"/>
      <c r="L5" s="6" t="s">
        <v>82</v>
      </c>
      <c r="M5" s="6"/>
      <c r="N5" s="475" t="s">
        <v>1808</v>
      </c>
      <c r="O5" s="6"/>
      <c r="P5" s="468" t="s">
        <v>6877</v>
      </c>
      <c r="Q5" s="6" t="s">
        <v>6064</v>
      </c>
      <c r="R5" s="6"/>
    </row>
    <row r="6" spans="1:18" ht="38.25">
      <c r="A6" s="61">
        <v>42856</v>
      </c>
      <c r="B6" s="6" t="s">
        <v>6872</v>
      </c>
      <c r="C6" s="6" t="s">
        <v>1500</v>
      </c>
      <c r="D6" s="6"/>
      <c r="E6" s="6" t="s">
        <v>3002</v>
      </c>
      <c r="F6" s="6" t="s">
        <v>3003</v>
      </c>
      <c r="G6" s="496">
        <v>200000</v>
      </c>
      <c r="H6" s="160" t="s">
        <v>3001</v>
      </c>
      <c r="I6" s="6" t="s">
        <v>1828</v>
      </c>
      <c r="J6" s="6" t="s">
        <v>1824</v>
      </c>
      <c r="K6" s="6"/>
      <c r="L6" s="6" t="s">
        <v>82</v>
      </c>
      <c r="M6" s="6"/>
      <c r="N6" s="475" t="s">
        <v>1808</v>
      </c>
      <c r="O6" s="6"/>
      <c r="P6" s="468" t="s">
        <v>6878</v>
      </c>
      <c r="Q6" s="6" t="s">
        <v>6064</v>
      </c>
      <c r="R6" s="6"/>
    </row>
    <row r="7" spans="1:18" ht="51">
      <c r="A7" s="61">
        <v>42887</v>
      </c>
      <c r="B7" s="6" t="s">
        <v>6872</v>
      </c>
      <c r="C7" s="6" t="s">
        <v>1500</v>
      </c>
      <c r="D7" s="6"/>
      <c r="E7" s="6" t="s">
        <v>3004</v>
      </c>
      <c r="F7" s="6" t="s">
        <v>3005</v>
      </c>
      <c r="G7" s="496">
        <v>200000</v>
      </c>
      <c r="H7" s="160" t="s">
        <v>3006</v>
      </c>
      <c r="I7" s="6" t="s">
        <v>1886</v>
      </c>
      <c r="J7" s="6" t="s">
        <v>1824</v>
      </c>
      <c r="K7" s="6"/>
      <c r="L7" s="6" t="s">
        <v>82</v>
      </c>
      <c r="M7" s="6"/>
      <c r="N7" s="475" t="s">
        <v>1808</v>
      </c>
      <c r="O7" s="6"/>
      <c r="P7" s="467" t="s">
        <v>6879</v>
      </c>
      <c r="Q7" s="6" t="s">
        <v>6064</v>
      </c>
      <c r="R7" s="6"/>
    </row>
    <row r="8" spans="1:18" ht="38.25">
      <c r="A8" s="62">
        <v>42917</v>
      </c>
      <c r="B8" s="6" t="s">
        <v>6872</v>
      </c>
      <c r="C8" s="6" t="s">
        <v>1500</v>
      </c>
      <c r="D8" s="6"/>
      <c r="E8" s="6" t="s">
        <v>3007</v>
      </c>
      <c r="F8" s="6" t="s">
        <v>3008</v>
      </c>
      <c r="G8" s="496">
        <v>200000</v>
      </c>
      <c r="H8" s="160" t="s">
        <v>3001</v>
      </c>
      <c r="I8" s="6" t="s">
        <v>1828</v>
      </c>
      <c r="J8" s="6" t="s">
        <v>1824</v>
      </c>
      <c r="K8" s="6"/>
      <c r="L8" s="6" t="s">
        <v>82</v>
      </c>
      <c r="M8" s="6"/>
      <c r="N8" s="475" t="s">
        <v>1808</v>
      </c>
      <c r="O8" s="6"/>
      <c r="P8" s="468" t="s">
        <v>6880</v>
      </c>
      <c r="Q8" s="6" t="s">
        <v>6064</v>
      </c>
      <c r="R8" s="6"/>
    </row>
    <row r="9" spans="1:18" ht="25.5">
      <c r="A9" s="61">
        <v>42948</v>
      </c>
      <c r="B9" s="6" t="s">
        <v>6872</v>
      </c>
      <c r="C9" s="6" t="s">
        <v>1500</v>
      </c>
      <c r="D9" s="158"/>
      <c r="E9" s="158" t="s">
        <v>3009</v>
      </c>
      <c r="F9" s="158" t="s">
        <v>3010</v>
      </c>
      <c r="G9" s="497">
        <v>200000</v>
      </c>
      <c r="H9" s="158" t="s">
        <v>3001</v>
      </c>
      <c r="I9" s="6" t="s">
        <v>1828</v>
      </c>
      <c r="J9" s="6" t="s">
        <v>1824</v>
      </c>
      <c r="K9" s="158"/>
      <c r="L9" s="6" t="s">
        <v>82</v>
      </c>
      <c r="M9" s="158"/>
      <c r="N9" s="475" t="s">
        <v>1808</v>
      </c>
      <c r="O9" s="158"/>
      <c r="P9" s="472" t="s">
        <v>6881</v>
      </c>
      <c r="Q9" s="6" t="s">
        <v>6064</v>
      </c>
      <c r="R9" s="6"/>
    </row>
    <row r="10" spans="1:18" ht="38.25">
      <c r="A10" s="62">
        <v>42979</v>
      </c>
      <c r="B10" s="6" t="s">
        <v>6872</v>
      </c>
      <c r="C10" s="6" t="s">
        <v>1500</v>
      </c>
      <c r="D10" s="6"/>
      <c r="E10" s="6" t="s">
        <v>3011</v>
      </c>
      <c r="F10" s="6" t="s">
        <v>3012</v>
      </c>
      <c r="G10" s="496">
        <v>200000</v>
      </c>
      <c r="H10" s="158" t="s">
        <v>3001</v>
      </c>
      <c r="I10" s="6" t="s">
        <v>1828</v>
      </c>
      <c r="J10" s="6" t="s">
        <v>1824</v>
      </c>
      <c r="K10" s="6"/>
      <c r="L10" s="6" t="s">
        <v>82</v>
      </c>
      <c r="M10" s="6"/>
      <c r="N10" s="475" t="s">
        <v>1808</v>
      </c>
      <c r="O10" s="6"/>
      <c r="P10" s="468" t="s">
        <v>6882</v>
      </c>
      <c r="Q10" s="6" t="s">
        <v>6064</v>
      </c>
      <c r="R10" s="6"/>
    </row>
    <row r="11" spans="1:18" ht="25.5">
      <c r="A11" s="62">
        <v>43009</v>
      </c>
      <c r="B11" s="6" t="s">
        <v>6872</v>
      </c>
      <c r="C11" s="6" t="s">
        <v>1500</v>
      </c>
      <c r="D11" s="6"/>
      <c r="E11" s="6" t="s">
        <v>3013</v>
      </c>
      <c r="F11" s="6" t="s">
        <v>3014</v>
      </c>
      <c r="G11" s="496">
        <v>200000</v>
      </c>
      <c r="H11" s="160" t="s">
        <v>3015</v>
      </c>
      <c r="I11" s="6" t="s">
        <v>1828</v>
      </c>
      <c r="J11" s="6"/>
      <c r="K11" s="6"/>
      <c r="L11" s="6" t="s">
        <v>82</v>
      </c>
      <c r="M11" s="6"/>
      <c r="N11" s="475" t="s">
        <v>1808</v>
      </c>
      <c r="O11" s="6"/>
      <c r="P11" s="467" t="s">
        <v>6883</v>
      </c>
      <c r="Q11" s="6" t="s">
        <v>6064</v>
      </c>
      <c r="R11" s="6"/>
    </row>
    <row r="12" spans="1:18" ht="38.25">
      <c r="A12" s="62">
        <v>43040</v>
      </c>
      <c r="B12" s="160" t="s">
        <v>6872</v>
      </c>
      <c r="C12" s="6" t="s">
        <v>1500</v>
      </c>
      <c r="D12" s="6"/>
      <c r="E12" s="6" t="s">
        <v>3016</v>
      </c>
      <c r="F12" s="6" t="s">
        <v>3017</v>
      </c>
      <c r="G12" s="496">
        <v>200000</v>
      </c>
      <c r="H12" s="160" t="s">
        <v>3018</v>
      </c>
      <c r="I12" s="6" t="s">
        <v>1828</v>
      </c>
      <c r="J12" s="6"/>
      <c r="K12" s="6"/>
      <c r="L12" s="6" t="s">
        <v>82</v>
      </c>
      <c r="M12" s="6"/>
      <c r="N12" s="475" t="s">
        <v>1808</v>
      </c>
      <c r="O12" s="6"/>
      <c r="P12" s="467" t="s">
        <v>6884</v>
      </c>
      <c r="Q12" s="6" t="s">
        <v>6064</v>
      </c>
      <c r="R12" s="6"/>
    </row>
    <row r="13" spans="1:18" ht="25.5">
      <c r="A13" s="62">
        <v>43070</v>
      </c>
      <c r="B13" s="6" t="s">
        <v>6872</v>
      </c>
      <c r="C13" s="6" t="s">
        <v>1500</v>
      </c>
      <c r="D13" s="6"/>
      <c r="E13" s="6" t="s">
        <v>3019</v>
      </c>
      <c r="F13" s="6" t="s">
        <v>3020</v>
      </c>
      <c r="G13" s="496">
        <v>200000</v>
      </c>
      <c r="H13" s="6" t="s">
        <v>1938</v>
      </c>
      <c r="I13" s="6" t="s">
        <v>1828</v>
      </c>
      <c r="J13" s="6" t="s">
        <v>1824</v>
      </c>
      <c r="K13" s="6"/>
      <c r="L13" s="6" t="s">
        <v>82</v>
      </c>
      <c r="M13" s="6"/>
      <c r="N13" s="475" t="s">
        <v>1808</v>
      </c>
      <c r="O13" s="6"/>
      <c r="P13" s="467" t="s">
        <v>6885</v>
      </c>
      <c r="Q13" s="6" t="s">
        <v>6064</v>
      </c>
      <c r="R13" s="6"/>
    </row>
    <row r="14" spans="1:18" ht="25.5">
      <c r="A14" s="6" t="s">
        <v>3021</v>
      </c>
      <c r="B14" s="6" t="s">
        <v>6872</v>
      </c>
      <c r="C14" s="6" t="s">
        <v>1500</v>
      </c>
      <c r="D14" s="6"/>
      <c r="E14" s="6" t="s">
        <v>3022</v>
      </c>
      <c r="F14" s="158" t="s">
        <v>1742</v>
      </c>
      <c r="G14" s="496">
        <v>200000</v>
      </c>
      <c r="H14" s="6" t="s">
        <v>1938</v>
      </c>
      <c r="I14" s="6" t="s">
        <v>1828</v>
      </c>
      <c r="J14" s="6" t="s">
        <v>1824</v>
      </c>
      <c r="K14" s="6"/>
      <c r="L14" s="6" t="s">
        <v>82</v>
      </c>
      <c r="M14" s="6"/>
      <c r="N14" s="475" t="s">
        <v>1808</v>
      </c>
      <c r="O14" s="158"/>
      <c r="P14" s="467" t="s">
        <v>6886</v>
      </c>
      <c r="Q14" s="6" t="s">
        <v>6064</v>
      </c>
      <c r="R14" s="6"/>
    </row>
    <row r="15" spans="1:18" ht="38.25">
      <c r="A15" s="6" t="s">
        <v>3023</v>
      </c>
      <c r="B15" s="6" t="s">
        <v>6872</v>
      </c>
      <c r="C15" s="6" t="s">
        <v>1500</v>
      </c>
      <c r="D15" s="6"/>
      <c r="E15" s="6" t="s">
        <v>3024</v>
      </c>
      <c r="F15" s="6" t="s">
        <v>3025</v>
      </c>
      <c r="G15" s="496">
        <v>200000</v>
      </c>
      <c r="H15" s="160" t="s">
        <v>3018</v>
      </c>
      <c r="I15" s="6" t="s">
        <v>1828</v>
      </c>
      <c r="J15" s="6" t="s">
        <v>1824</v>
      </c>
      <c r="K15" s="6"/>
      <c r="L15" s="6" t="s">
        <v>82</v>
      </c>
      <c r="M15" s="6"/>
      <c r="N15" s="475" t="s">
        <v>1808</v>
      </c>
      <c r="O15" s="6"/>
      <c r="P15" s="467" t="s">
        <v>6887</v>
      </c>
      <c r="Q15" s="6" t="s">
        <v>6064</v>
      </c>
      <c r="R15" s="6"/>
    </row>
    <row r="16" spans="1:18" ht="25.5">
      <c r="A16" s="6" t="s">
        <v>3026</v>
      </c>
      <c r="B16" s="6" t="s">
        <v>6872</v>
      </c>
      <c r="C16" s="6" t="s">
        <v>1500</v>
      </c>
      <c r="D16" s="158"/>
      <c r="E16" s="158" t="s">
        <v>3027</v>
      </c>
      <c r="F16" s="6" t="s">
        <v>3028</v>
      </c>
      <c r="G16" s="496">
        <v>200000</v>
      </c>
      <c r="H16" s="160" t="s">
        <v>3029</v>
      </c>
      <c r="I16" s="6" t="s">
        <v>2085</v>
      </c>
      <c r="J16" s="6" t="s">
        <v>1824</v>
      </c>
      <c r="K16" s="158"/>
      <c r="L16" s="6" t="s">
        <v>82</v>
      </c>
      <c r="M16" s="158"/>
      <c r="N16" s="475" t="s">
        <v>1808</v>
      </c>
      <c r="O16" s="6"/>
      <c r="P16" s="472" t="s">
        <v>6888</v>
      </c>
      <c r="Q16" s="6" t="s">
        <v>6064</v>
      </c>
      <c r="R16" s="6"/>
    </row>
    <row r="17" spans="1:18" ht="38.25">
      <c r="A17" s="6" t="s">
        <v>3030</v>
      </c>
      <c r="B17" s="6" t="s">
        <v>6872</v>
      </c>
      <c r="C17" s="6" t="s">
        <v>1500</v>
      </c>
      <c r="D17" s="6"/>
      <c r="E17" s="6" t="s">
        <v>3031</v>
      </c>
      <c r="F17" s="6" t="s">
        <v>3032</v>
      </c>
      <c r="G17" s="496">
        <v>200000</v>
      </c>
      <c r="H17" s="160" t="s">
        <v>3033</v>
      </c>
      <c r="I17" s="6" t="s">
        <v>1916</v>
      </c>
      <c r="J17" s="6" t="s">
        <v>1824</v>
      </c>
      <c r="K17" s="6"/>
      <c r="L17" s="6" t="s">
        <v>82</v>
      </c>
      <c r="M17" s="6"/>
      <c r="N17" s="475" t="s">
        <v>1808</v>
      </c>
      <c r="O17" s="6"/>
      <c r="P17" s="468" t="s">
        <v>6889</v>
      </c>
      <c r="Q17" s="6" t="s">
        <v>6064</v>
      </c>
      <c r="R17" s="6"/>
    </row>
    <row r="18" spans="1:18" ht="25.5">
      <c r="A18" s="6" t="s">
        <v>3034</v>
      </c>
      <c r="B18" s="6" t="s">
        <v>6872</v>
      </c>
      <c r="C18" s="6" t="s">
        <v>1500</v>
      </c>
      <c r="D18" s="6"/>
      <c r="E18" s="6" t="s">
        <v>3035</v>
      </c>
      <c r="F18" s="6" t="s">
        <v>3036</v>
      </c>
      <c r="G18" s="496">
        <v>200000</v>
      </c>
      <c r="H18" s="160" t="s">
        <v>3037</v>
      </c>
      <c r="I18" s="6" t="s">
        <v>1879</v>
      </c>
      <c r="J18" s="6" t="s">
        <v>1824</v>
      </c>
      <c r="K18" s="6"/>
      <c r="L18" s="6" t="s">
        <v>82</v>
      </c>
      <c r="M18" s="6"/>
      <c r="N18" s="475" t="s">
        <v>1808</v>
      </c>
      <c r="O18" s="6"/>
      <c r="P18" s="467" t="s">
        <v>6890</v>
      </c>
      <c r="Q18" s="6" t="s">
        <v>6064</v>
      </c>
      <c r="R18" s="6"/>
    </row>
    <row r="19" spans="1:18" ht="25.5">
      <c r="A19" s="6" t="s">
        <v>3038</v>
      </c>
      <c r="B19" s="6" t="s">
        <v>6872</v>
      </c>
      <c r="C19" s="6" t="s">
        <v>1500</v>
      </c>
      <c r="D19" s="6"/>
      <c r="E19" s="6" t="s">
        <v>3039</v>
      </c>
      <c r="F19" s="6" t="s">
        <v>3040</v>
      </c>
      <c r="G19" s="496">
        <v>200000</v>
      </c>
      <c r="H19" s="160" t="s">
        <v>3041</v>
      </c>
      <c r="I19" s="6" t="s">
        <v>1899</v>
      </c>
      <c r="J19" s="6" t="s">
        <v>1824</v>
      </c>
      <c r="K19" s="6"/>
      <c r="L19" s="6" t="s">
        <v>82</v>
      </c>
      <c r="M19" s="6"/>
      <c r="N19" s="475" t="s">
        <v>1808</v>
      </c>
      <c r="O19" s="6"/>
      <c r="P19" s="467" t="s">
        <v>6891</v>
      </c>
      <c r="Q19" s="6" t="s">
        <v>6064</v>
      </c>
      <c r="R19" s="6"/>
    </row>
    <row r="20" spans="1:18" ht="38.25">
      <c r="A20" s="6" t="s">
        <v>3042</v>
      </c>
      <c r="B20" s="6" t="s">
        <v>6872</v>
      </c>
      <c r="C20" s="6" t="s">
        <v>1500</v>
      </c>
      <c r="D20" s="6"/>
      <c r="E20" s="6" t="s">
        <v>3043</v>
      </c>
      <c r="F20" s="6" t="s">
        <v>3044</v>
      </c>
      <c r="G20" s="496">
        <v>200000</v>
      </c>
      <c r="H20" s="160" t="s">
        <v>3045</v>
      </c>
      <c r="I20" s="6" t="s">
        <v>1886</v>
      </c>
      <c r="J20" s="6" t="s">
        <v>1824</v>
      </c>
      <c r="K20" s="6"/>
      <c r="L20" s="6" t="s">
        <v>82</v>
      </c>
      <c r="M20" s="6"/>
      <c r="N20" s="475" t="s">
        <v>1808</v>
      </c>
      <c r="O20" s="6"/>
      <c r="P20" s="468" t="s">
        <v>6892</v>
      </c>
      <c r="Q20" s="6" t="s">
        <v>6064</v>
      </c>
      <c r="R20" s="6"/>
    </row>
    <row r="21" spans="1:18" ht="25.5">
      <c r="A21" s="6" t="s">
        <v>3046</v>
      </c>
      <c r="B21" s="6" t="s">
        <v>6872</v>
      </c>
      <c r="C21" s="6" t="s">
        <v>1500</v>
      </c>
      <c r="D21" s="6"/>
      <c r="E21" s="6" t="s">
        <v>3047</v>
      </c>
      <c r="F21" s="6" t="s">
        <v>3048</v>
      </c>
      <c r="G21" s="496">
        <v>200000</v>
      </c>
      <c r="H21" s="160" t="s">
        <v>3049</v>
      </c>
      <c r="I21" s="6" t="s">
        <v>2082</v>
      </c>
      <c r="J21" s="6" t="s">
        <v>1824</v>
      </c>
      <c r="K21" s="6"/>
      <c r="L21" s="6" t="s">
        <v>82</v>
      </c>
      <c r="M21" s="6"/>
      <c r="N21" s="475" t="s">
        <v>1808</v>
      </c>
      <c r="O21" s="6"/>
      <c r="P21" s="468" t="s">
        <v>6893</v>
      </c>
      <c r="Q21" s="6" t="s">
        <v>6064</v>
      </c>
      <c r="R21" s="6"/>
    </row>
    <row r="22" spans="1:18" ht="25.5">
      <c r="A22" s="6" t="s">
        <v>3050</v>
      </c>
      <c r="B22" s="6" t="s">
        <v>6872</v>
      </c>
      <c r="C22" s="6" t="s">
        <v>1500</v>
      </c>
      <c r="D22" s="6"/>
      <c r="E22" s="6" t="s">
        <v>3051</v>
      </c>
      <c r="F22" s="6" t="s">
        <v>3052</v>
      </c>
      <c r="G22" s="496">
        <v>200000</v>
      </c>
      <c r="H22" s="160" t="s">
        <v>3053</v>
      </c>
      <c r="I22" s="6" t="s">
        <v>1896</v>
      </c>
      <c r="J22" s="6" t="s">
        <v>1824</v>
      </c>
      <c r="K22" s="6"/>
      <c r="L22" s="6" t="s">
        <v>82</v>
      </c>
      <c r="M22" s="6"/>
      <c r="N22" s="475" t="s">
        <v>1808</v>
      </c>
      <c r="O22" s="6"/>
      <c r="P22" s="467" t="s">
        <v>6894</v>
      </c>
      <c r="Q22" s="6" t="s">
        <v>6064</v>
      </c>
      <c r="R22" s="6"/>
    </row>
    <row r="23" spans="1:18" ht="25.5">
      <c r="A23" s="6" t="s">
        <v>3054</v>
      </c>
      <c r="B23" s="6" t="s">
        <v>6872</v>
      </c>
      <c r="C23" s="6" t="s">
        <v>1500</v>
      </c>
      <c r="D23" s="6"/>
      <c r="E23" s="6" t="s">
        <v>3055</v>
      </c>
      <c r="F23" s="6" t="s">
        <v>3056</v>
      </c>
      <c r="G23" s="496">
        <v>200000</v>
      </c>
      <c r="H23" s="160" t="s">
        <v>3057</v>
      </c>
      <c r="I23" s="6" t="s">
        <v>1919</v>
      </c>
      <c r="J23" s="6" t="s">
        <v>1824</v>
      </c>
      <c r="K23" s="6"/>
      <c r="L23" s="6" t="s">
        <v>82</v>
      </c>
      <c r="M23" s="6"/>
      <c r="N23" s="475" t="s">
        <v>1808</v>
      </c>
      <c r="O23" s="6"/>
      <c r="P23" s="467" t="s">
        <v>6895</v>
      </c>
      <c r="Q23" s="6" t="s">
        <v>6064</v>
      </c>
      <c r="R23" s="6"/>
    </row>
    <row r="24" spans="1:18" ht="51">
      <c r="A24" s="6" t="s">
        <v>3058</v>
      </c>
      <c r="B24" s="160" t="s">
        <v>6872</v>
      </c>
      <c r="C24" s="6" t="s">
        <v>1500</v>
      </c>
      <c r="D24" s="6"/>
      <c r="E24" s="6" t="s">
        <v>3059</v>
      </c>
      <c r="F24" s="6" t="s">
        <v>3060</v>
      </c>
      <c r="G24" s="496">
        <v>200000</v>
      </c>
      <c r="H24" s="160" t="s">
        <v>3061</v>
      </c>
      <c r="I24" s="6" t="s">
        <v>2051</v>
      </c>
      <c r="J24" s="6" t="s">
        <v>1824</v>
      </c>
      <c r="K24" s="6"/>
      <c r="L24" s="6" t="s">
        <v>82</v>
      </c>
      <c r="M24" s="6"/>
      <c r="N24" s="475" t="s">
        <v>1808</v>
      </c>
      <c r="O24" s="6"/>
      <c r="P24" s="468" t="s">
        <v>6896</v>
      </c>
      <c r="Q24" s="6" t="s">
        <v>6064</v>
      </c>
      <c r="R24" s="6"/>
    </row>
    <row r="25" spans="1:18" ht="25.5">
      <c r="A25" s="6" t="s">
        <v>3062</v>
      </c>
      <c r="B25" s="6" t="s">
        <v>6872</v>
      </c>
      <c r="C25" s="6" t="s">
        <v>1500</v>
      </c>
      <c r="D25" s="6"/>
      <c r="E25" s="6" t="s">
        <v>3063</v>
      </c>
      <c r="F25" s="6" t="s">
        <v>3064</v>
      </c>
      <c r="G25" s="496">
        <v>200000</v>
      </c>
      <c r="H25" s="160" t="s">
        <v>3065</v>
      </c>
      <c r="I25" s="6" t="s">
        <v>2031</v>
      </c>
      <c r="J25" s="6" t="s">
        <v>1824</v>
      </c>
      <c r="K25" s="6"/>
      <c r="L25" s="6" t="s">
        <v>82</v>
      </c>
      <c r="M25" s="6"/>
      <c r="N25" s="475" t="s">
        <v>1808</v>
      </c>
      <c r="O25" s="6"/>
      <c r="P25" s="468" t="s">
        <v>6897</v>
      </c>
      <c r="Q25" s="6" t="s">
        <v>6064</v>
      </c>
      <c r="R25" s="6"/>
    </row>
    <row r="26" spans="1:18" ht="51">
      <c r="A26" s="6" t="s">
        <v>3066</v>
      </c>
      <c r="B26" s="6" t="s">
        <v>6872</v>
      </c>
      <c r="C26" s="6" t="s">
        <v>1500</v>
      </c>
      <c r="D26" s="6"/>
      <c r="E26" s="6" t="s">
        <v>3067</v>
      </c>
      <c r="F26" s="6" t="s">
        <v>3068</v>
      </c>
      <c r="G26" s="496">
        <v>200000</v>
      </c>
      <c r="H26" s="160" t="s">
        <v>3069</v>
      </c>
      <c r="I26" s="6" t="s">
        <v>1855</v>
      </c>
      <c r="J26" s="6" t="s">
        <v>1824</v>
      </c>
      <c r="K26" s="6"/>
      <c r="L26" s="6" t="s">
        <v>82</v>
      </c>
      <c r="M26" s="6"/>
      <c r="N26" s="475" t="s">
        <v>1808</v>
      </c>
      <c r="O26" s="6"/>
      <c r="P26" s="468" t="s">
        <v>6898</v>
      </c>
      <c r="Q26" s="6" t="s">
        <v>6064</v>
      </c>
      <c r="R26" s="6"/>
    </row>
    <row r="27" spans="1:18" ht="38.25">
      <c r="A27" s="6" t="s">
        <v>3070</v>
      </c>
      <c r="B27" s="6" t="s">
        <v>6872</v>
      </c>
      <c r="C27" s="6" t="s">
        <v>1500</v>
      </c>
      <c r="D27" s="6"/>
      <c r="E27" s="6" t="s">
        <v>3071</v>
      </c>
      <c r="F27" s="6" t="s">
        <v>3072</v>
      </c>
      <c r="G27" s="496">
        <v>200000</v>
      </c>
      <c r="H27" s="160" t="s">
        <v>3073</v>
      </c>
      <c r="I27" s="6" t="s">
        <v>2659</v>
      </c>
      <c r="J27" s="6" t="s">
        <v>1824</v>
      </c>
      <c r="K27" s="6"/>
      <c r="L27" s="6" t="s">
        <v>82</v>
      </c>
      <c r="M27" s="6"/>
      <c r="N27" s="475" t="s">
        <v>1808</v>
      </c>
      <c r="O27" s="6"/>
      <c r="P27" s="468" t="s">
        <v>6899</v>
      </c>
      <c r="Q27" s="6" t="s">
        <v>6064</v>
      </c>
      <c r="R27" s="6"/>
    </row>
    <row r="28" spans="1:18" ht="34.5" customHeight="1">
      <c r="A28" s="6" t="s">
        <v>3074</v>
      </c>
      <c r="B28" s="6" t="s">
        <v>6872</v>
      </c>
      <c r="C28" s="6" t="s">
        <v>3075</v>
      </c>
      <c r="D28" s="6"/>
      <c r="E28" s="6" t="s">
        <v>929</v>
      </c>
      <c r="F28" s="6" t="s">
        <v>3076</v>
      </c>
      <c r="G28" s="496">
        <v>257160</v>
      </c>
      <c r="H28" s="6" t="s">
        <v>1938</v>
      </c>
      <c r="I28" s="6" t="s">
        <v>1828</v>
      </c>
      <c r="J28" s="6" t="s">
        <v>1824</v>
      </c>
      <c r="K28" s="6"/>
      <c r="L28" s="6"/>
      <c r="M28" s="6"/>
      <c r="N28" s="475" t="s">
        <v>1808</v>
      </c>
      <c r="O28" s="6"/>
      <c r="P28" s="468" t="s">
        <v>6900</v>
      </c>
      <c r="Q28" s="6" t="s">
        <v>6901</v>
      </c>
      <c r="R28" s="6"/>
    </row>
    <row r="29" spans="1:18" ht="51">
      <c r="A29" s="6" t="s">
        <v>3077</v>
      </c>
      <c r="B29" s="6"/>
      <c r="C29" s="6" t="s">
        <v>2172</v>
      </c>
      <c r="D29" s="6"/>
      <c r="E29" s="6" t="s">
        <v>3078</v>
      </c>
      <c r="F29" s="6" t="s">
        <v>3079</v>
      </c>
      <c r="G29" s="496">
        <v>8975000</v>
      </c>
      <c r="H29" s="6" t="s">
        <v>3080</v>
      </c>
      <c r="I29" s="6" t="s">
        <v>1828</v>
      </c>
      <c r="J29" s="6" t="s">
        <v>1824</v>
      </c>
      <c r="K29" s="6"/>
      <c r="L29" s="6"/>
      <c r="M29" s="6"/>
      <c r="N29" s="475" t="s">
        <v>1808</v>
      </c>
      <c r="O29" s="6"/>
      <c r="P29" s="468" t="s">
        <v>6902</v>
      </c>
      <c r="Q29" s="6" t="s">
        <v>6064</v>
      </c>
      <c r="R29" s="6"/>
    </row>
    <row r="30" spans="1:18" ht="38.25">
      <c r="A30" s="6" t="s">
        <v>3081</v>
      </c>
      <c r="B30" s="6" t="s">
        <v>6872</v>
      </c>
      <c r="C30" s="6" t="s">
        <v>1500</v>
      </c>
      <c r="D30" s="6"/>
      <c r="E30" s="6" t="s">
        <v>3082</v>
      </c>
      <c r="F30" s="6" t="s">
        <v>3083</v>
      </c>
      <c r="G30" s="496">
        <v>200000</v>
      </c>
      <c r="H30" s="160" t="s">
        <v>3084</v>
      </c>
      <c r="I30" s="6" t="s">
        <v>1828</v>
      </c>
      <c r="J30" s="6" t="s">
        <v>1824</v>
      </c>
      <c r="K30" s="6"/>
      <c r="L30" s="6" t="s">
        <v>82</v>
      </c>
      <c r="M30" s="6"/>
      <c r="N30" s="475" t="s">
        <v>1808</v>
      </c>
      <c r="O30" s="6"/>
      <c r="P30" s="467" t="s">
        <v>6903</v>
      </c>
      <c r="Q30" s="6" t="s">
        <v>6064</v>
      </c>
      <c r="R30" s="6"/>
    </row>
    <row r="31" spans="1:18" ht="51">
      <c r="A31" s="6" t="s">
        <v>3085</v>
      </c>
      <c r="B31" s="6" t="s">
        <v>6872</v>
      </c>
      <c r="C31" s="6" t="s">
        <v>1500</v>
      </c>
      <c r="D31" s="6"/>
      <c r="E31" s="6" t="s">
        <v>3086</v>
      </c>
      <c r="F31" s="6" t="s">
        <v>3087</v>
      </c>
      <c r="G31" s="496">
        <v>200000</v>
      </c>
      <c r="H31" s="6" t="s">
        <v>3001</v>
      </c>
      <c r="I31" s="6" t="s">
        <v>1828</v>
      </c>
      <c r="J31" s="6" t="s">
        <v>1824</v>
      </c>
      <c r="K31" s="6"/>
      <c r="L31" s="6" t="s">
        <v>82</v>
      </c>
      <c r="M31" s="6"/>
      <c r="N31" s="475" t="s">
        <v>1808</v>
      </c>
      <c r="O31" s="6"/>
      <c r="P31" s="467" t="s">
        <v>6904</v>
      </c>
      <c r="Q31" s="6" t="s">
        <v>6064</v>
      </c>
      <c r="R31" s="6"/>
    </row>
    <row r="32" spans="1:18" ht="33.75" customHeight="1">
      <c r="A32" s="6" t="s">
        <v>3088</v>
      </c>
      <c r="B32" s="6" t="s">
        <v>6872</v>
      </c>
      <c r="C32" s="6" t="s">
        <v>1500</v>
      </c>
      <c r="D32" s="6"/>
      <c r="E32" s="6" t="s">
        <v>3089</v>
      </c>
      <c r="F32" s="6" t="s">
        <v>3090</v>
      </c>
      <c r="G32" s="496">
        <v>200000</v>
      </c>
      <c r="H32" s="160" t="s">
        <v>2901</v>
      </c>
      <c r="I32" s="6" t="s">
        <v>2047</v>
      </c>
      <c r="J32" s="6" t="s">
        <v>1824</v>
      </c>
      <c r="K32" s="6"/>
      <c r="L32" s="6" t="s">
        <v>82</v>
      </c>
      <c r="M32" s="6"/>
      <c r="N32" s="475" t="s">
        <v>1808</v>
      </c>
      <c r="O32" s="6"/>
      <c r="P32" s="467" t="s">
        <v>6905</v>
      </c>
      <c r="Q32" s="6" t="s">
        <v>6064</v>
      </c>
      <c r="R32" s="6"/>
    </row>
    <row r="33" spans="1:18" ht="25.5">
      <c r="A33" s="6" t="s">
        <v>3091</v>
      </c>
      <c r="B33" s="6" t="s">
        <v>6872</v>
      </c>
      <c r="C33" s="6" t="s">
        <v>3092</v>
      </c>
      <c r="D33" s="6"/>
      <c r="E33" s="6" t="s">
        <v>3093</v>
      </c>
      <c r="F33" s="6" t="s">
        <v>3094</v>
      </c>
      <c r="G33" s="496">
        <v>316050</v>
      </c>
      <c r="H33" s="6"/>
      <c r="I33" s="6" t="s">
        <v>5656</v>
      </c>
      <c r="J33" s="6" t="s">
        <v>1824</v>
      </c>
      <c r="K33" s="6"/>
      <c r="L33" s="6" t="s">
        <v>1904</v>
      </c>
      <c r="M33" s="6"/>
      <c r="N33" s="475" t="s">
        <v>1808</v>
      </c>
      <c r="O33" s="6"/>
      <c r="P33" s="467" t="s">
        <v>6906</v>
      </c>
      <c r="Q33" s="6" t="s">
        <v>6064</v>
      </c>
      <c r="R33" s="6"/>
    </row>
    <row r="34" spans="1:18" ht="40.5" customHeight="1">
      <c r="A34" s="6" t="s">
        <v>3095</v>
      </c>
      <c r="B34" s="6" t="s">
        <v>6872</v>
      </c>
      <c r="C34" s="6" t="s">
        <v>3097</v>
      </c>
      <c r="D34" s="6"/>
      <c r="E34" s="6" t="s">
        <v>3098</v>
      </c>
      <c r="F34" s="6" t="s">
        <v>811</v>
      </c>
      <c r="G34" s="496">
        <v>308000</v>
      </c>
      <c r="H34" s="6" t="s">
        <v>1938</v>
      </c>
      <c r="I34" s="6"/>
      <c r="J34" s="6" t="s">
        <v>1824</v>
      </c>
      <c r="K34" s="6"/>
      <c r="L34" s="6"/>
      <c r="M34" s="6"/>
      <c r="N34" s="475" t="s">
        <v>1808</v>
      </c>
      <c r="O34" s="6"/>
      <c r="P34" s="468" t="s">
        <v>6907</v>
      </c>
      <c r="Q34" s="6" t="s">
        <v>6064</v>
      </c>
      <c r="R34" s="6"/>
    </row>
    <row r="35" spans="1:18" ht="25.5">
      <c r="A35" s="6" t="s">
        <v>3099</v>
      </c>
      <c r="B35" s="6" t="s">
        <v>925</v>
      </c>
      <c r="C35" s="6" t="s">
        <v>1262</v>
      </c>
      <c r="D35" s="6"/>
      <c r="E35" s="6" t="s">
        <v>3100</v>
      </c>
      <c r="F35" s="6" t="s">
        <v>3101</v>
      </c>
      <c r="G35" s="496">
        <v>604800</v>
      </c>
      <c r="H35" s="160" t="s">
        <v>3102</v>
      </c>
      <c r="I35" s="6" t="s">
        <v>1828</v>
      </c>
      <c r="J35" s="6"/>
      <c r="K35" s="6"/>
      <c r="L35" s="6" t="s">
        <v>1904</v>
      </c>
      <c r="M35" s="6"/>
      <c r="N35" s="6" t="s">
        <v>6132</v>
      </c>
      <c r="O35" s="6"/>
      <c r="P35" s="467" t="s">
        <v>6908</v>
      </c>
      <c r="Q35" s="6" t="s">
        <v>6104</v>
      </c>
      <c r="R35" s="6"/>
    </row>
    <row r="36" spans="1:18" ht="12.75">
      <c r="A36" s="6" t="s">
        <v>3103</v>
      </c>
      <c r="B36" s="6" t="s">
        <v>2328</v>
      </c>
      <c r="C36" s="6"/>
      <c r="D36" s="6"/>
      <c r="E36" s="6" t="s">
        <v>3104</v>
      </c>
      <c r="F36" s="6" t="s">
        <v>3105</v>
      </c>
      <c r="G36" s="496">
        <v>72000</v>
      </c>
      <c r="H36" s="160" t="s">
        <v>3106</v>
      </c>
      <c r="I36" s="6" t="s">
        <v>2613</v>
      </c>
      <c r="J36" s="6"/>
      <c r="K36" s="6"/>
      <c r="L36" s="6"/>
      <c r="M36" s="6"/>
      <c r="N36" s="6" t="s">
        <v>6132</v>
      </c>
      <c r="O36" s="6"/>
      <c r="P36" s="468" t="s">
        <v>6909</v>
      </c>
      <c r="Q36" s="6" t="s">
        <v>1867</v>
      </c>
      <c r="R36" s="6"/>
    </row>
    <row r="37" spans="1:18" ht="63.75">
      <c r="A37" s="6" t="s">
        <v>3107</v>
      </c>
      <c r="B37" s="6" t="s">
        <v>3108</v>
      </c>
      <c r="C37" s="6" t="s">
        <v>3109</v>
      </c>
      <c r="D37" s="6"/>
      <c r="E37" s="6" t="s">
        <v>3110</v>
      </c>
      <c r="F37" s="6" t="s">
        <v>3111</v>
      </c>
      <c r="G37" s="496">
        <v>167500</v>
      </c>
      <c r="H37" s="160" t="s">
        <v>3112</v>
      </c>
      <c r="I37" s="6" t="s">
        <v>1828</v>
      </c>
      <c r="J37" s="6"/>
      <c r="K37" s="6"/>
      <c r="L37" s="6"/>
      <c r="M37" s="6"/>
      <c r="N37" s="6" t="s">
        <v>6132</v>
      </c>
      <c r="O37" s="6"/>
      <c r="P37" s="468" t="s">
        <v>6910</v>
      </c>
      <c r="Q37" s="6" t="s">
        <v>6104</v>
      </c>
      <c r="R37" s="6"/>
    </row>
    <row r="38" spans="1:18" ht="38.25">
      <c r="A38" s="6" t="s">
        <v>3113</v>
      </c>
      <c r="B38" s="6" t="s">
        <v>925</v>
      </c>
      <c r="C38" s="6" t="s">
        <v>68</v>
      </c>
      <c r="D38" s="6"/>
      <c r="E38" s="6" t="s">
        <v>3114</v>
      </c>
      <c r="F38" s="6" t="s">
        <v>3115</v>
      </c>
      <c r="G38" s="496">
        <v>996971</v>
      </c>
      <c r="H38" s="160" t="s">
        <v>2740</v>
      </c>
      <c r="I38" s="6" t="s">
        <v>1828</v>
      </c>
      <c r="J38" s="6"/>
      <c r="K38" s="6"/>
      <c r="L38" s="6" t="s">
        <v>1874</v>
      </c>
      <c r="M38" s="6"/>
      <c r="N38" s="6" t="s">
        <v>6132</v>
      </c>
      <c r="O38" s="6"/>
      <c r="P38" s="468" t="s">
        <v>6911</v>
      </c>
      <c r="Q38" s="6" t="s">
        <v>6064</v>
      </c>
      <c r="R38" s="6"/>
    </row>
    <row r="39" spans="1:18" ht="38.25">
      <c r="A39" s="6" t="s">
        <v>3116</v>
      </c>
      <c r="B39" s="6" t="s">
        <v>6872</v>
      </c>
      <c r="C39" s="6" t="s">
        <v>3117</v>
      </c>
      <c r="D39" s="6"/>
      <c r="E39" s="6" t="s">
        <v>3118</v>
      </c>
      <c r="F39" s="6" t="s">
        <v>3076</v>
      </c>
      <c r="G39" s="496">
        <v>150000</v>
      </c>
      <c r="H39" s="6" t="s">
        <v>1938</v>
      </c>
      <c r="I39" s="6" t="s">
        <v>1828</v>
      </c>
      <c r="J39" s="6" t="s">
        <v>1824</v>
      </c>
      <c r="K39" s="6"/>
      <c r="L39" s="6" t="s">
        <v>1874</v>
      </c>
      <c r="M39" s="6"/>
      <c r="N39" s="475" t="s">
        <v>1808</v>
      </c>
      <c r="O39" s="6"/>
      <c r="P39" s="468" t="s">
        <v>6912</v>
      </c>
      <c r="Q39" s="6" t="s">
        <v>6064</v>
      </c>
      <c r="R39" s="6"/>
    </row>
    <row r="40" spans="1:18" ht="51">
      <c r="A40" s="6" t="s">
        <v>3119</v>
      </c>
      <c r="B40" s="6" t="s">
        <v>6872</v>
      </c>
      <c r="C40" s="6" t="s">
        <v>1500</v>
      </c>
      <c r="D40" s="6"/>
      <c r="E40" s="6" t="s">
        <v>3120</v>
      </c>
      <c r="F40" s="6" t="s">
        <v>3121</v>
      </c>
      <c r="G40" s="496">
        <v>200000</v>
      </c>
      <c r="H40" s="6" t="s">
        <v>1938</v>
      </c>
      <c r="I40" s="6" t="s">
        <v>1828</v>
      </c>
      <c r="J40" s="6" t="s">
        <v>1824</v>
      </c>
      <c r="K40" s="6"/>
      <c r="L40" s="6" t="s">
        <v>82</v>
      </c>
      <c r="M40" s="6"/>
      <c r="N40" s="475" t="s">
        <v>1808</v>
      </c>
      <c r="O40" s="6"/>
      <c r="P40" s="468" t="s">
        <v>6913</v>
      </c>
      <c r="Q40" s="6" t="s">
        <v>6064</v>
      </c>
      <c r="R40" s="6"/>
    </row>
    <row r="41" spans="1:18" ht="25.5">
      <c r="A41" s="6" t="s">
        <v>3122</v>
      </c>
      <c r="B41" s="6" t="s">
        <v>6872</v>
      </c>
      <c r="C41" s="6" t="s">
        <v>1500</v>
      </c>
      <c r="D41" s="6"/>
      <c r="E41" s="6" t="s">
        <v>3123</v>
      </c>
      <c r="F41" s="6" t="s">
        <v>3124</v>
      </c>
      <c r="G41" s="496">
        <v>200000</v>
      </c>
      <c r="H41" s="160" t="s">
        <v>3001</v>
      </c>
      <c r="I41" s="6" t="s">
        <v>1828</v>
      </c>
      <c r="J41" s="6" t="s">
        <v>1824</v>
      </c>
      <c r="K41" s="6"/>
      <c r="L41" s="6" t="s">
        <v>82</v>
      </c>
      <c r="M41" s="6"/>
      <c r="N41" s="475" t="s">
        <v>1808</v>
      </c>
      <c r="O41" s="6"/>
      <c r="P41" s="468" t="s">
        <v>6914</v>
      </c>
      <c r="Q41" s="6" t="s">
        <v>6064</v>
      </c>
      <c r="R41" s="6"/>
    </row>
    <row r="42" spans="1:18" ht="38.25">
      <c r="A42" s="6" t="s">
        <v>3125</v>
      </c>
      <c r="B42" s="6" t="s">
        <v>6872</v>
      </c>
      <c r="C42" s="6" t="s">
        <v>1500</v>
      </c>
      <c r="D42" s="6"/>
      <c r="E42" s="6" t="s">
        <v>3126</v>
      </c>
      <c r="F42" s="6" t="s">
        <v>3127</v>
      </c>
      <c r="G42" s="496">
        <v>200000</v>
      </c>
      <c r="H42" s="160" t="s">
        <v>3128</v>
      </c>
      <c r="I42" s="6" t="s">
        <v>1828</v>
      </c>
      <c r="J42" s="6"/>
      <c r="K42" s="6"/>
      <c r="L42" s="6" t="s">
        <v>82</v>
      </c>
      <c r="M42" s="6"/>
      <c r="N42" s="475" t="s">
        <v>1808</v>
      </c>
      <c r="O42" s="6"/>
      <c r="P42" s="468" t="s">
        <v>6915</v>
      </c>
      <c r="Q42" s="6" t="s">
        <v>6064</v>
      </c>
      <c r="R42" s="6"/>
    </row>
    <row r="43" spans="1:18" ht="183.75" customHeight="1">
      <c r="A43" s="6" t="s">
        <v>3129</v>
      </c>
      <c r="B43" s="6" t="s">
        <v>6872</v>
      </c>
      <c r="C43" s="6" t="s">
        <v>1500</v>
      </c>
      <c r="D43" s="6"/>
      <c r="E43" s="6" t="s">
        <v>3130</v>
      </c>
      <c r="F43" s="6" t="s">
        <v>3131</v>
      </c>
      <c r="G43" s="496">
        <v>791970</v>
      </c>
      <c r="H43" s="6" t="s">
        <v>6698</v>
      </c>
      <c r="I43" s="6"/>
      <c r="J43" s="6"/>
      <c r="K43" s="6"/>
      <c r="L43" s="6" t="s">
        <v>82</v>
      </c>
      <c r="M43" s="6"/>
      <c r="N43" s="475" t="s">
        <v>1808</v>
      </c>
      <c r="O43" s="6"/>
      <c r="P43" s="467" t="s">
        <v>6916</v>
      </c>
      <c r="Q43" s="6" t="s">
        <v>6064</v>
      </c>
      <c r="R43" s="6" t="s">
        <v>6917</v>
      </c>
    </row>
    <row r="44" spans="1:18" ht="25.5">
      <c r="A44" s="6" t="s">
        <v>3132</v>
      </c>
      <c r="B44" s="6" t="s">
        <v>6872</v>
      </c>
      <c r="C44" s="6" t="s">
        <v>1500</v>
      </c>
      <c r="D44" s="6"/>
      <c r="E44" s="6" t="s">
        <v>3133</v>
      </c>
      <c r="F44" s="6" t="s">
        <v>3134</v>
      </c>
      <c r="G44" s="496">
        <v>200000</v>
      </c>
      <c r="H44" s="160" t="s">
        <v>3135</v>
      </c>
      <c r="I44" s="6" t="s">
        <v>2041</v>
      </c>
      <c r="J44" s="6" t="s">
        <v>1824</v>
      </c>
      <c r="K44" s="6"/>
      <c r="L44" s="6" t="s">
        <v>82</v>
      </c>
      <c r="M44" s="6"/>
      <c r="N44" s="475" t="s">
        <v>1808</v>
      </c>
      <c r="O44" s="6"/>
      <c r="P44" s="468" t="s">
        <v>6918</v>
      </c>
      <c r="Q44" s="6" t="s">
        <v>6064</v>
      </c>
      <c r="R44" s="6"/>
    </row>
    <row r="45" spans="1:18" ht="25.5">
      <c r="A45" s="6" t="s">
        <v>3136</v>
      </c>
      <c r="B45" s="6" t="s">
        <v>6872</v>
      </c>
      <c r="C45" s="6" t="s">
        <v>1500</v>
      </c>
      <c r="D45" s="6"/>
      <c r="E45" s="6" t="s">
        <v>3137</v>
      </c>
      <c r="F45" s="6" t="s">
        <v>3138</v>
      </c>
      <c r="G45" s="496">
        <v>200000</v>
      </c>
      <c r="H45" s="160" t="s">
        <v>2578</v>
      </c>
      <c r="I45" s="6" t="s">
        <v>2130</v>
      </c>
      <c r="J45" s="6" t="s">
        <v>1824</v>
      </c>
      <c r="K45" s="6"/>
      <c r="L45" s="6" t="s">
        <v>82</v>
      </c>
      <c r="M45" s="6"/>
      <c r="N45" s="475" t="s">
        <v>1808</v>
      </c>
      <c r="O45" s="6"/>
      <c r="P45" s="468" t="s">
        <v>6919</v>
      </c>
      <c r="Q45" s="6" t="s">
        <v>6064</v>
      </c>
      <c r="R45" s="6"/>
    </row>
    <row r="46" spans="1:18" ht="38.25">
      <c r="A46" s="6" t="s">
        <v>3139</v>
      </c>
      <c r="B46" s="6" t="s">
        <v>6872</v>
      </c>
      <c r="C46" s="6" t="s">
        <v>3142</v>
      </c>
      <c r="D46" s="6"/>
      <c r="E46" s="6" t="s">
        <v>3140</v>
      </c>
      <c r="F46" s="6" t="s">
        <v>3141</v>
      </c>
      <c r="G46" s="496">
        <v>200000</v>
      </c>
      <c r="H46" s="160" t="s">
        <v>3001</v>
      </c>
      <c r="I46" s="6" t="s">
        <v>1828</v>
      </c>
      <c r="J46" s="6" t="s">
        <v>1824</v>
      </c>
      <c r="K46" s="6"/>
      <c r="L46" s="6" t="s">
        <v>1874</v>
      </c>
      <c r="M46" s="6"/>
      <c r="N46" s="475" t="s">
        <v>1808</v>
      </c>
      <c r="O46" s="6"/>
      <c r="P46" s="468" t="s">
        <v>6920</v>
      </c>
      <c r="Q46" s="6" t="s">
        <v>6064</v>
      </c>
      <c r="R46" s="6"/>
    </row>
    <row r="47" spans="1:18" ht="38.25">
      <c r="A47" s="6" t="s">
        <v>3143</v>
      </c>
      <c r="B47" s="6" t="s">
        <v>6872</v>
      </c>
      <c r="C47" s="6" t="s">
        <v>1262</v>
      </c>
      <c r="D47" s="158"/>
      <c r="E47" s="158" t="s">
        <v>3144</v>
      </c>
      <c r="F47" s="6" t="s">
        <v>3145</v>
      </c>
      <c r="G47" s="496">
        <v>999407</v>
      </c>
      <c r="H47" s="160" t="s">
        <v>3146</v>
      </c>
      <c r="I47" s="6" t="s">
        <v>2656</v>
      </c>
      <c r="J47" s="6"/>
      <c r="K47" s="158"/>
      <c r="L47" s="6" t="s">
        <v>1904</v>
      </c>
      <c r="M47" s="158"/>
      <c r="N47" s="475" t="s">
        <v>6132</v>
      </c>
      <c r="O47" s="6"/>
      <c r="P47" s="472" t="s">
        <v>6921</v>
      </c>
      <c r="Q47" s="6" t="s">
        <v>6104</v>
      </c>
      <c r="R47" s="6"/>
    </row>
    <row r="48" spans="1:18" ht="38.25">
      <c r="A48" s="6" t="s">
        <v>3147</v>
      </c>
      <c r="B48" s="6" t="s">
        <v>6872</v>
      </c>
      <c r="C48" s="6" t="s">
        <v>394</v>
      </c>
      <c r="D48" s="6"/>
      <c r="E48" s="6" t="s">
        <v>3148</v>
      </c>
      <c r="F48" s="6" t="s">
        <v>3149</v>
      </c>
      <c r="G48" s="496">
        <v>520000</v>
      </c>
      <c r="H48" s="160" t="s">
        <v>3001</v>
      </c>
      <c r="I48" s="6" t="s">
        <v>1828</v>
      </c>
      <c r="J48" s="6" t="s">
        <v>1824</v>
      </c>
      <c r="K48" s="6"/>
      <c r="L48" s="498" t="s">
        <v>1853</v>
      </c>
      <c r="M48" s="6"/>
      <c r="N48" s="475" t="s">
        <v>1808</v>
      </c>
      <c r="O48" s="6"/>
      <c r="P48" s="467" t="s">
        <v>6922</v>
      </c>
      <c r="Q48" s="6" t="s">
        <v>6071</v>
      </c>
      <c r="R48" s="498" t="s">
        <v>6923</v>
      </c>
    </row>
    <row r="49" spans="1:18" ht="38.25">
      <c r="A49" s="6" t="s">
        <v>3150</v>
      </c>
      <c r="B49" s="6" t="s">
        <v>6872</v>
      </c>
      <c r="C49" s="6" t="s">
        <v>62</v>
      </c>
      <c r="D49" s="6"/>
      <c r="E49" s="6" t="s">
        <v>3151</v>
      </c>
      <c r="F49" s="6" t="s">
        <v>3152</v>
      </c>
      <c r="G49" s="496">
        <v>712468.76</v>
      </c>
      <c r="H49" s="160" t="s">
        <v>3153</v>
      </c>
      <c r="I49" s="6" t="s">
        <v>2051</v>
      </c>
      <c r="J49" s="6"/>
      <c r="K49" s="6"/>
      <c r="L49" s="498" t="s">
        <v>1904</v>
      </c>
      <c r="M49" s="6"/>
      <c r="N49" s="6" t="s">
        <v>6179</v>
      </c>
      <c r="O49" s="6"/>
      <c r="P49" s="467" t="s">
        <v>6924</v>
      </c>
      <c r="Q49" s="6" t="s">
        <v>6217</v>
      </c>
      <c r="R49" s="498" t="s">
        <v>6925</v>
      </c>
    </row>
    <row r="50" spans="1:18" ht="38.25">
      <c r="A50" s="6" t="s">
        <v>3154</v>
      </c>
      <c r="B50" s="6" t="s">
        <v>6872</v>
      </c>
      <c r="C50" s="6" t="s">
        <v>3155</v>
      </c>
      <c r="D50" s="6"/>
      <c r="E50" s="6" t="s">
        <v>3156</v>
      </c>
      <c r="F50" s="6" t="s">
        <v>3157</v>
      </c>
      <c r="G50" s="496">
        <v>5708000</v>
      </c>
      <c r="H50" s="6" t="s">
        <v>2508</v>
      </c>
      <c r="I50" s="6" t="s">
        <v>1828</v>
      </c>
      <c r="J50" s="6" t="s">
        <v>1824</v>
      </c>
      <c r="K50" s="6"/>
      <c r="L50" s="6"/>
      <c r="M50" s="6"/>
      <c r="N50" s="475" t="s">
        <v>1808</v>
      </c>
      <c r="O50" s="6"/>
      <c r="P50" s="467" t="s">
        <v>6926</v>
      </c>
      <c r="Q50" s="6" t="s">
        <v>6064</v>
      </c>
      <c r="R50" s="6"/>
    </row>
    <row r="51" spans="1:18" ht="25.5">
      <c r="A51" s="6" t="s">
        <v>3158</v>
      </c>
      <c r="B51" s="6" t="s">
        <v>2328</v>
      </c>
      <c r="C51" s="6" t="s">
        <v>3075</v>
      </c>
      <c r="D51" s="6"/>
      <c r="E51" s="6" t="s">
        <v>3159</v>
      </c>
      <c r="F51" s="6" t="s">
        <v>3160</v>
      </c>
      <c r="G51" s="496">
        <v>10415256</v>
      </c>
      <c r="H51" s="6" t="s">
        <v>2508</v>
      </c>
      <c r="I51" s="6" t="s">
        <v>1828</v>
      </c>
      <c r="J51" s="6" t="s">
        <v>1824</v>
      </c>
      <c r="K51" s="6"/>
      <c r="L51" s="6"/>
      <c r="M51" s="6"/>
      <c r="N51" s="6" t="s">
        <v>6132</v>
      </c>
      <c r="O51" s="6"/>
      <c r="P51" s="468" t="s">
        <v>6927</v>
      </c>
      <c r="Q51" s="6" t="s">
        <v>6217</v>
      </c>
      <c r="R51" s="6"/>
    </row>
    <row r="52" spans="1:18" ht="51">
      <c r="A52" s="6" t="s">
        <v>3161</v>
      </c>
      <c r="B52" s="6" t="s">
        <v>2328</v>
      </c>
      <c r="C52" s="6"/>
      <c r="D52" s="6"/>
      <c r="E52" s="6" t="s">
        <v>2994</v>
      </c>
      <c r="F52" s="6" t="s">
        <v>3162</v>
      </c>
      <c r="G52" s="496">
        <v>300000</v>
      </c>
      <c r="H52" s="160" t="s">
        <v>2996</v>
      </c>
      <c r="I52" s="6" t="s">
        <v>6795</v>
      </c>
      <c r="J52" s="6"/>
      <c r="K52" s="6"/>
      <c r="L52" s="6"/>
      <c r="M52" s="6"/>
      <c r="N52" s="475" t="s">
        <v>1808</v>
      </c>
      <c r="O52" s="6"/>
      <c r="P52" s="468" t="s">
        <v>6928</v>
      </c>
      <c r="Q52" s="6" t="s">
        <v>6104</v>
      </c>
      <c r="R52" s="6"/>
    </row>
    <row r="53" spans="1:18" ht="76.5">
      <c r="A53" s="6" t="s">
        <v>3163</v>
      </c>
      <c r="B53" s="6" t="s">
        <v>2328</v>
      </c>
      <c r="C53" s="6"/>
      <c r="D53" s="6"/>
      <c r="E53" s="6" t="s">
        <v>3164</v>
      </c>
      <c r="F53" s="6" t="s">
        <v>3165</v>
      </c>
      <c r="G53" s="496"/>
      <c r="H53" s="160" t="s">
        <v>3166</v>
      </c>
      <c r="I53" s="6" t="s">
        <v>6314</v>
      </c>
      <c r="J53" s="6"/>
      <c r="K53" s="6"/>
      <c r="L53" s="6"/>
      <c r="M53" s="6"/>
      <c r="N53" s="6" t="s">
        <v>6132</v>
      </c>
      <c r="O53" s="6"/>
      <c r="P53" s="468" t="s">
        <v>6929</v>
      </c>
      <c r="Q53" s="6" t="s">
        <v>6104</v>
      </c>
      <c r="R53" s="6" t="s">
        <v>6930</v>
      </c>
    </row>
    <row r="54" spans="1:18" ht="51">
      <c r="A54" s="6" t="s">
        <v>3167</v>
      </c>
      <c r="B54" s="6" t="s">
        <v>6872</v>
      </c>
      <c r="C54" s="6" t="s">
        <v>3168</v>
      </c>
      <c r="D54" s="6"/>
      <c r="E54" s="6" t="s">
        <v>3169</v>
      </c>
      <c r="F54" s="6" t="s">
        <v>3170</v>
      </c>
      <c r="G54" s="496">
        <v>480000</v>
      </c>
      <c r="H54" s="6"/>
      <c r="I54" s="6" t="s">
        <v>2613</v>
      </c>
      <c r="J54" s="6" t="s">
        <v>1824</v>
      </c>
      <c r="K54" s="6"/>
      <c r="L54" s="6" t="s">
        <v>1859</v>
      </c>
      <c r="M54" s="6"/>
      <c r="N54" s="6"/>
      <c r="O54" s="6"/>
      <c r="P54" s="467" t="s">
        <v>6931</v>
      </c>
      <c r="Q54" s="6" t="s">
        <v>6108</v>
      </c>
      <c r="R54" s="6"/>
    </row>
    <row r="55" spans="1:18" ht="25.5">
      <c r="A55" s="6" t="s">
        <v>3171</v>
      </c>
      <c r="B55" s="6"/>
      <c r="C55" s="6" t="s">
        <v>3155</v>
      </c>
      <c r="D55" s="6"/>
      <c r="E55" s="6" t="s">
        <v>3172</v>
      </c>
      <c r="F55" s="6" t="s">
        <v>3173</v>
      </c>
      <c r="G55" s="496">
        <v>900320</v>
      </c>
      <c r="H55" s="160" t="s">
        <v>3174</v>
      </c>
      <c r="I55" s="6" t="s">
        <v>2449</v>
      </c>
      <c r="J55" s="6" t="s">
        <v>1824</v>
      </c>
      <c r="K55" s="6"/>
      <c r="L55" s="6"/>
      <c r="M55" s="6"/>
      <c r="N55" s="6"/>
      <c r="O55" s="6"/>
      <c r="P55" s="467" t="s">
        <v>6932</v>
      </c>
      <c r="Q55" s="6" t="s">
        <v>6933</v>
      </c>
      <c r="R55" s="6" t="s">
        <v>6934</v>
      </c>
    </row>
    <row r="56" spans="1:18" ht="38.25">
      <c r="A56" s="6" t="s">
        <v>3175</v>
      </c>
      <c r="B56" s="6" t="s">
        <v>6872</v>
      </c>
      <c r="C56" s="6" t="s">
        <v>62</v>
      </c>
      <c r="D56" s="6"/>
      <c r="E56" s="6" t="s">
        <v>3176</v>
      </c>
      <c r="F56" s="6" t="s">
        <v>3177</v>
      </c>
      <c r="G56" s="496">
        <v>777970</v>
      </c>
      <c r="H56" s="160" t="s">
        <v>3178</v>
      </c>
      <c r="I56" s="6" t="s">
        <v>1899</v>
      </c>
      <c r="J56" s="6"/>
      <c r="K56" s="6"/>
      <c r="L56" s="498" t="s">
        <v>1904</v>
      </c>
      <c r="M56" s="6"/>
      <c r="N56" s="6" t="s">
        <v>6132</v>
      </c>
      <c r="O56" s="6"/>
      <c r="P56" s="468" t="s">
        <v>6935</v>
      </c>
      <c r="Q56" s="6" t="s">
        <v>6108</v>
      </c>
      <c r="R56" s="6"/>
    </row>
    <row r="57" spans="1:18" ht="38.25">
      <c r="A57" s="6" t="s">
        <v>3179</v>
      </c>
      <c r="B57" s="6" t="s">
        <v>6872</v>
      </c>
      <c r="C57" s="6" t="s">
        <v>1118</v>
      </c>
      <c r="D57" s="6"/>
      <c r="E57" s="6" t="s">
        <v>3180</v>
      </c>
      <c r="F57" s="6" t="s">
        <v>3181</v>
      </c>
      <c r="G57" s="496">
        <v>2987995</v>
      </c>
      <c r="H57" s="160" t="s">
        <v>3182</v>
      </c>
      <c r="I57" s="6" t="s">
        <v>6936</v>
      </c>
      <c r="J57" s="6"/>
      <c r="K57" s="6"/>
      <c r="L57" s="6" t="s">
        <v>1904</v>
      </c>
      <c r="M57" s="6"/>
      <c r="N57" s="6" t="s">
        <v>6179</v>
      </c>
      <c r="O57" s="6"/>
      <c r="P57" s="468" t="s">
        <v>6937</v>
      </c>
      <c r="Q57" s="6" t="s">
        <v>6703</v>
      </c>
      <c r="R57" s="6"/>
    </row>
    <row r="58" spans="1:18" ht="63.75">
      <c r="A58" s="6" t="s">
        <v>3183</v>
      </c>
      <c r="B58" s="6" t="s">
        <v>6872</v>
      </c>
      <c r="C58" s="6" t="s">
        <v>3092</v>
      </c>
      <c r="D58" s="6"/>
      <c r="E58" s="6" t="s">
        <v>3184</v>
      </c>
      <c r="F58" s="6" t="s">
        <v>3185</v>
      </c>
      <c r="G58" s="496">
        <v>421622</v>
      </c>
      <c r="H58" s="160" t="s">
        <v>3186</v>
      </c>
      <c r="I58" s="6" t="s">
        <v>6370</v>
      </c>
      <c r="J58" s="6"/>
      <c r="K58" s="6"/>
      <c r="L58" s="6" t="s">
        <v>1904</v>
      </c>
      <c r="M58" s="6"/>
      <c r="N58" s="6"/>
      <c r="O58" s="6"/>
      <c r="P58" s="467" t="s">
        <v>6938</v>
      </c>
      <c r="Q58" s="6" t="s">
        <v>6104</v>
      </c>
      <c r="R58" s="6"/>
    </row>
    <row r="59" spans="1:18" ht="39" customHeight="1">
      <c r="A59" s="6" t="s">
        <v>3187</v>
      </c>
      <c r="B59" s="6" t="s">
        <v>925</v>
      </c>
      <c r="C59" s="6" t="s">
        <v>1141</v>
      </c>
      <c r="D59" s="6"/>
      <c r="E59" s="6" t="s">
        <v>3188</v>
      </c>
      <c r="F59" s="6" t="s">
        <v>3189</v>
      </c>
      <c r="G59" s="496">
        <v>23860.21</v>
      </c>
      <c r="H59" s="160" t="s">
        <v>3190</v>
      </c>
      <c r="I59" s="6" t="s">
        <v>6314</v>
      </c>
      <c r="J59" s="6"/>
      <c r="K59" s="6"/>
      <c r="L59" s="6" t="s">
        <v>1904</v>
      </c>
      <c r="M59" s="6"/>
      <c r="N59" s="6" t="s">
        <v>6132</v>
      </c>
      <c r="O59" s="6"/>
      <c r="P59" s="467" t="s">
        <v>6939</v>
      </c>
      <c r="Q59" s="6" t="s">
        <v>6137</v>
      </c>
      <c r="R59" s="6"/>
    </row>
    <row r="60" spans="1:18" ht="38.25">
      <c r="A60" s="6" t="s">
        <v>3191</v>
      </c>
      <c r="B60" s="6" t="s">
        <v>2328</v>
      </c>
      <c r="C60" s="6"/>
      <c r="D60" s="6"/>
      <c r="E60" s="6" t="s">
        <v>3192</v>
      </c>
      <c r="F60" s="6" t="s">
        <v>3193</v>
      </c>
      <c r="G60" s="496">
        <v>316600</v>
      </c>
      <c r="H60" s="160" t="s">
        <v>3194</v>
      </c>
      <c r="I60" s="6" t="s">
        <v>1828</v>
      </c>
      <c r="J60" s="6"/>
      <c r="K60" s="6"/>
      <c r="L60" s="6"/>
      <c r="M60" s="6"/>
      <c r="N60" s="6" t="s">
        <v>6132</v>
      </c>
      <c r="O60" s="6"/>
      <c r="P60" s="467" t="s">
        <v>6940</v>
      </c>
      <c r="Q60" s="6" t="s">
        <v>6941</v>
      </c>
      <c r="R60" s="6"/>
    </row>
    <row r="61" spans="1:18" ht="38.25">
      <c r="A61" s="6" t="s">
        <v>3195</v>
      </c>
      <c r="B61" s="6" t="s">
        <v>6872</v>
      </c>
      <c r="C61" s="6" t="s">
        <v>2834</v>
      </c>
      <c r="D61" s="6"/>
      <c r="E61" s="6" t="s">
        <v>3196</v>
      </c>
      <c r="F61" s="6" t="s">
        <v>3197</v>
      </c>
      <c r="G61" s="496">
        <v>249990</v>
      </c>
      <c r="H61" s="160" t="s">
        <v>3198</v>
      </c>
      <c r="I61" s="6" t="s">
        <v>5647</v>
      </c>
      <c r="J61" s="6"/>
      <c r="K61" s="6"/>
      <c r="L61" s="6" t="s">
        <v>1874</v>
      </c>
      <c r="M61" s="6"/>
      <c r="N61" s="6" t="s">
        <v>6132</v>
      </c>
      <c r="O61" s="6"/>
      <c r="P61" s="467" t="s">
        <v>6942</v>
      </c>
      <c r="Q61" s="6" t="s">
        <v>6933</v>
      </c>
      <c r="R61" s="6"/>
    </row>
    <row r="62" spans="1:18" ht="38.25">
      <c r="A62" s="6" t="s">
        <v>3199</v>
      </c>
      <c r="B62" s="6" t="s">
        <v>6872</v>
      </c>
      <c r="C62" s="6" t="s">
        <v>62</v>
      </c>
      <c r="D62" s="6"/>
      <c r="E62" s="6" t="s">
        <v>3200</v>
      </c>
      <c r="F62" s="6" t="s">
        <v>3201</v>
      </c>
      <c r="G62" s="496">
        <v>1428000</v>
      </c>
      <c r="H62" s="160" t="s">
        <v>3202</v>
      </c>
      <c r="I62" s="6"/>
      <c r="J62" s="6"/>
      <c r="K62" s="6"/>
      <c r="L62" s="6" t="s">
        <v>1904</v>
      </c>
      <c r="M62" s="6"/>
      <c r="N62" s="6" t="s">
        <v>6179</v>
      </c>
      <c r="O62" s="6"/>
      <c r="P62" s="468" t="s">
        <v>6943</v>
      </c>
      <c r="Q62" s="6" t="s">
        <v>6137</v>
      </c>
      <c r="R62" s="6"/>
    </row>
    <row r="63" spans="1:18" ht="25.5">
      <c r="A63" s="6" t="s">
        <v>3203</v>
      </c>
      <c r="B63" s="6" t="s">
        <v>3204</v>
      </c>
      <c r="C63" s="6" t="s">
        <v>3155</v>
      </c>
      <c r="D63" s="6"/>
      <c r="E63" s="6" t="s">
        <v>3205</v>
      </c>
      <c r="F63" s="6" t="s">
        <v>581</v>
      </c>
      <c r="G63" s="496">
        <v>1015000</v>
      </c>
      <c r="H63" s="6"/>
      <c r="I63" s="6" t="s">
        <v>6370</v>
      </c>
      <c r="J63" s="6" t="s">
        <v>1824</v>
      </c>
      <c r="K63" s="6"/>
      <c r="L63" s="6"/>
      <c r="M63" s="6"/>
      <c r="N63" s="475" t="s">
        <v>1808</v>
      </c>
      <c r="O63" s="6"/>
      <c r="P63" s="468" t="s">
        <v>6944</v>
      </c>
      <c r="Q63" s="6" t="s">
        <v>6933</v>
      </c>
      <c r="R63" s="6" t="s">
        <v>6945</v>
      </c>
    </row>
    <row r="64" spans="1:18" ht="51">
      <c r="A64" s="6" t="s">
        <v>3206</v>
      </c>
      <c r="B64" s="6" t="s">
        <v>3204</v>
      </c>
      <c r="C64" s="6" t="s">
        <v>3155</v>
      </c>
      <c r="D64" s="6"/>
      <c r="E64" s="6" t="s">
        <v>3207</v>
      </c>
      <c r="F64" s="6" t="s">
        <v>3208</v>
      </c>
      <c r="G64" s="496">
        <v>1316250</v>
      </c>
      <c r="H64" s="160" t="s">
        <v>3209</v>
      </c>
      <c r="I64" s="6" t="s">
        <v>6783</v>
      </c>
      <c r="J64" s="6" t="s">
        <v>1824</v>
      </c>
      <c r="K64" s="6"/>
      <c r="L64" s="6"/>
      <c r="M64" s="6"/>
      <c r="N64" s="475" t="s">
        <v>1808</v>
      </c>
      <c r="O64" s="6"/>
      <c r="P64" s="467" t="s">
        <v>6946</v>
      </c>
      <c r="Q64" s="6" t="s">
        <v>6933</v>
      </c>
      <c r="R64" s="6" t="s">
        <v>6947</v>
      </c>
    </row>
    <row r="65" spans="1:18" ht="25.5">
      <c r="A65" s="6" t="s">
        <v>3210</v>
      </c>
      <c r="B65" s="6" t="s">
        <v>6872</v>
      </c>
      <c r="C65" s="6" t="s">
        <v>394</v>
      </c>
      <c r="D65" s="6"/>
      <c r="E65" s="6" t="s">
        <v>3211</v>
      </c>
      <c r="F65" s="6" t="s">
        <v>3212</v>
      </c>
      <c r="G65" s="496">
        <v>169240</v>
      </c>
      <c r="H65" s="160" t="s">
        <v>2901</v>
      </c>
      <c r="I65" s="6" t="s">
        <v>6822</v>
      </c>
      <c r="J65" s="6" t="s">
        <v>1824</v>
      </c>
      <c r="K65" s="6"/>
      <c r="L65" s="6" t="s">
        <v>1853</v>
      </c>
      <c r="M65" s="6"/>
      <c r="N65" s="475" t="s">
        <v>1808</v>
      </c>
      <c r="O65" s="6"/>
      <c r="P65" s="467" t="s">
        <v>6948</v>
      </c>
      <c r="Q65" s="6" t="s">
        <v>6071</v>
      </c>
      <c r="R65" s="6" t="s">
        <v>6949</v>
      </c>
    </row>
    <row r="66" spans="1:18" ht="102">
      <c r="A66" s="6" t="s">
        <v>3213</v>
      </c>
      <c r="B66" s="6" t="s">
        <v>6872</v>
      </c>
      <c r="C66" s="6" t="s">
        <v>3168</v>
      </c>
      <c r="D66" s="6"/>
      <c r="E66" s="6" t="s">
        <v>3214</v>
      </c>
      <c r="F66" s="6" t="s">
        <v>3215</v>
      </c>
      <c r="G66" s="496">
        <v>500000</v>
      </c>
      <c r="H66" s="6" t="s">
        <v>2508</v>
      </c>
      <c r="I66" s="6" t="s">
        <v>1828</v>
      </c>
      <c r="J66" s="6" t="s">
        <v>1824</v>
      </c>
      <c r="K66" s="6"/>
      <c r="L66" s="6" t="s">
        <v>1859</v>
      </c>
      <c r="M66" s="6"/>
      <c r="N66" s="475" t="s">
        <v>1808</v>
      </c>
      <c r="O66" s="6"/>
      <c r="P66" s="468" t="s">
        <v>6950</v>
      </c>
      <c r="Q66" s="6" t="s">
        <v>6064</v>
      </c>
      <c r="R66" s="6"/>
    </row>
    <row r="67" spans="1:18" ht="25.5">
      <c r="A67" s="6" t="s">
        <v>3216</v>
      </c>
      <c r="B67" s="6" t="s">
        <v>6872</v>
      </c>
      <c r="C67" s="6" t="s">
        <v>1383</v>
      </c>
      <c r="D67" s="6"/>
      <c r="E67" s="6" t="s">
        <v>3217</v>
      </c>
      <c r="F67" s="6" t="s">
        <v>1556</v>
      </c>
      <c r="G67" s="496">
        <v>354000</v>
      </c>
      <c r="H67" s="6" t="s">
        <v>1938</v>
      </c>
      <c r="I67" s="6" t="s">
        <v>1828</v>
      </c>
      <c r="J67" s="6"/>
      <c r="K67" s="6"/>
      <c r="L67" s="6" t="s">
        <v>1859</v>
      </c>
      <c r="M67" s="6"/>
      <c r="N67" s="475" t="s">
        <v>1808</v>
      </c>
      <c r="O67" s="6"/>
      <c r="P67" s="467" t="s">
        <v>6951</v>
      </c>
      <c r="Q67" s="6" t="s">
        <v>6064</v>
      </c>
      <c r="R67" s="6"/>
    </row>
    <row r="68" spans="1:18" ht="12.75">
      <c r="A68" s="6" t="s">
        <v>3218</v>
      </c>
      <c r="B68" s="6" t="s">
        <v>3204</v>
      </c>
      <c r="C68" s="6" t="s">
        <v>3155</v>
      </c>
      <c r="D68" s="6"/>
      <c r="E68" s="6" t="s">
        <v>3219</v>
      </c>
      <c r="F68" s="6" t="s">
        <v>3220</v>
      </c>
      <c r="G68" s="496">
        <v>1337500</v>
      </c>
      <c r="H68" s="6" t="s">
        <v>3221</v>
      </c>
      <c r="I68" s="6" t="s">
        <v>2613</v>
      </c>
      <c r="J68" s="6" t="s">
        <v>1824</v>
      </c>
      <c r="K68" s="6"/>
      <c r="L68" s="6"/>
      <c r="M68" s="6"/>
      <c r="N68" s="475" t="s">
        <v>1808</v>
      </c>
      <c r="O68" s="6"/>
      <c r="P68" s="468" t="s">
        <v>6952</v>
      </c>
      <c r="Q68" s="6" t="s">
        <v>6933</v>
      </c>
      <c r="R68" s="6"/>
    </row>
    <row r="69" spans="1:18" ht="25.5">
      <c r="A69" s="6" t="s">
        <v>3222</v>
      </c>
      <c r="B69" s="6" t="s">
        <v>6872</v>
      </c>
      <c r="C69" s="6" t="s">
        <v>3092</v>
      </c>
      <c r="D69" s="6"/>
      <c r="E69" s="6" t="s">
        <v>3223</v>
      </c>
      <c r="F69" s="6" t="s">
        <v>3224</v>
      </c>
      <c r="G69" s="496">
        <v>743784</v>
      </c>
      <c r="H69" s="160" t="s">
        <v>3225</v>
      </c>
      <c r="I69" s="6" t="s">
        <v>6783</v>
      </c>
      <c r="J69" s="6" t="s">
        <v>1824</v>
      </c>
      <c r="K69" s="6"/>
      <c r="L69" s="6" t="s">
        <v>1904</v>
      </c>
      <c r="M69" s="6"/>
      <c r="N69" s="475" t="s">
        <v>1808</v>
      </c>
      <c r="O69" s="6"/>
      <c r="P69" s="468" t="s">
        <v>6953</v>
      </c>
      <c r="Q69" s="6" t="s">
        <v>6933</v>
      </c>
      <c r="R69" s="6"/>
    </row>
    <row r="70" spans="1:18" ht="38.25">
      <c r="A70" s="6" t="s">
        <v>3226</v>
      </c>
      <c r="B70" s="6" t="s">
        <v>6872</v>
      </c>
      <c r="C70" s="6" t="s">
        <v>1383</v>
      </c>
      <c r="D70" s="6"/>
      <c r="E70" s="6" t="s">
        <v>3227</v>
      </c>
      <c r="F70" s="6" t="s">
        <v>3228</v>
      </c>
      <c r="G70" s="496">
        <v>1248000</v>
      </c>
      <c r="H70" s="160" t="s">
        <v>3229</v>
      </c>
      <c r="I70" s="6" t="s">
        <v>6370</v>
      </c>
      <c r="J70" s="6" t="s">
        <v>1824</v>
      </c>
      <c r="K70" s="6"/>
      <c r="L70" s="6" t="s">
        <v>1859</v>
      </c>
      <c r="M70" s="6"/>
      <c r="N70" s="475" t="s">
        <v>1808</v>
      </c>
      <c r="O70" s="6"/>
      <c r="P70" s="468" t="s">
        <v>6954</v>
      </c>
      <c r="Q70" s="6" t="s">
        <v>6955</v>
      </c>
      <c r="R70" s="6"/>
    </row>
    <row r="71" spans="1:18" ht="25.5">
      <c r="A71" s="6" t="s">
        <v>3230</v>
      </c>
      <c r="B71" s="6" t="s">
        <v>6872</v>
      </c>
      <c r="C71" s="6" t="s">
        <v>125</v>
      </c>
      <c r="D71" s="6"/>
      <c r="E71" s="6" t="s">
        <v>807</v>
      </c>
      <c r="F71" s="6" t="s">
        <v>811</v>
      </c>
      <c r="G71" s="496">
        <v>500000</v>
      </c>
      <c r="H71" s="6" t="s">
        <v>1938</v>
      </c>
      <c r="I71" s="6" t="s">
        <v>1828</v>
      </c>
      <c r="J71" s="6"/>
      <c r="K71" s="6"/>
      <c r="L71" s="6" t="s">
        <v>1874</v>
      </c>
      <c r="M71" s="6"/>
      <c r="N71" s="475" t="s">
        <v>1808</v>
      </c>
      <c r="O71" s="6"/>
      <c r="P71" s="468" t="s">
        <v>6956</v>
      </c>
      <c r="Q71" s="6" t="s">
        <v>6064</v>
      </c>
      <c r="R71" s="6"/>
    </row>
    <row r="72" spans="1:18" ht="51">
      <c r="A72" s="6" t="s">
        <v>3231</v>
      </c>
      <c r="B72" s="6" t="s">
        <v>6872</v>
      </c>
      <c r="C72" s="6" t="s">
        <v>394</v>
      </c>
      <c r="D72" s="6"/>
      <c r="E72" s="6" t="s">
        <v>3232</v>
      </c>
      <c r="F72" s="6" t="s">
        <v>3233</v>
      </c>
      <c r="G72" s="496">
        <v>241450</v>
      </c>
      <c r="H72" s="160" t="s">
        <v>3234</v>
      </c>
      <c r="I72" s="6" t="s">
        <v>2467</v>
      </c>
      <c r="J72" s="6"/>
      <c r="K72" s="6"/>
      <c r="L72" s="6" t="s">
        <v>1853</v>
      </c>
      <c r="M72" s="6"/>
      <c r="N72" s="6" t="s">
        <v>6179</v>
      </c>
      <c r="O72" s="6"/>
      <c r="P72" s="467" t="s">
        <v>6957</v>
      </c>
      <c r="Q72" s="6" t="s">
        <v>6071</v>
      </c>
      <c r="R72" s="6" t="s">
        <v>6958</v>
      </c>
    </row>
    <row r="73" spans="1:18" ht="38.25">
      <c r="A73" s="6" t="s">
        <v>3235</v>
      </c>
      <c r="B73" s="6" t="s">
        <v>2328</v>
      </c>
      <c r="C73" s="6"/>
      <c r="D73" s="6"/>
      <c r="E73" s="6" t="s">
        <v>3236</v>
      </c>
      <c r="F73" s="6" t="s">
        <v>3237</v>
      </c>
      <c r="G73" s="496">
        <v>1326052.5</v>
      </c>
      <c r="H73" s="160" t="s">
        <v>3238</v>
      </c>
      <c r="I73" s="6" t="s">
        <v>6370</v>
      </c>
      <c r="J73" s="6"/>
      <c r="K73" s="6"/>
      <c r="L73" s="6"/>
      <c r="M73" s="6"/>
      <c r="N73" s="6" t="s">
        <v>6132</v>
      </c>
      <c r="O73" s="6"/>
      <c r="P73" s="468" t="s">
        <v>6959</v>
      </c>
      <c r="Q73" s="6" t="s">
        <v>1867</v>
      </c>
      <c r="R73" s="6"/>
    </row>
    <row r="74" spans="1:18" ht="89.25">
      <c r="A74" s="6" t="s">
        <v>3239</v>
      </c>
      <c r="B74" s="6" t="s">
        <v>2328</v>
      </c>
      <c r="C74" s="6"/>
      <c r="D74" s="6"/>
      <c r="E74" s="6" t="s">
        <v>3240</v>
      </c>
      <c r="F74" s="6" t="s">
        <v>3241</v>
      </c>
      <c r="G74" s="496">
        <v>5030944</v>
      </c>
      <c r="H74" s="160" t="s">
        <v>3242</v>
      </c>
      <c r="I74" s="6" t="s">
        <v>2449</v>
      </c>
      <c r="J74" s="6" t="s">
        <v>1824</v>
      </c>
      <c r="K74" s="6"/>
      <c r="L74" s="6"/>
      <c r="M74" s="6"/>
      <c r="N74" s="6" t="s">
        <v>6132</v>
      </c>
      <c r="O74" s="6"/>
      <c r="P74" s="467" t="s">
        <v>6960</v>
      </c>
      <c r="Q74" s="6" t="s">
        <v>1867</v>
      </c>
      <c r="R74" s="6"/>
    </row>
    <row r="75" spans="1:18" ht="89.25">
      <c r="A75" s="6" t="s">
        <v>3243</v>
      </c>
      <c r="B75" s="6" t="s">
        <v>2328</v>
      </c>
      <c r="C75" s="6"/>
      <c r="D75" s="6"/>
      <c r="E75" s="6" t="s">
        <v>3244</v>
      </c>
      <c r="F75" s="6" t="s">
        <v>3241</v>
      </c>
      <c r="G75" s="496">
        <v>3500000</v>
      </c>
      <c r="H75" s="160" t="s">
        <v>3242</v>
      </c>
      <c r="I75" s="6" t="s">
        <v>2449</v>
      </c>
      <c r="J75" s="6" t="s">
        <v>1824</v>
      </c>
      <c r="K75" s="6"/>
      <c r="L75" s="6"/>
      <c r="M75" s="6"/>
      <c r="N75" s="6" t="s">
        <v>6132</v>
      </c>
      <c r="O75" s="6"/>
      <c r="P75" s="467" t="s">
        <v>6961</v>
      </c>
      <c r="Q75" s="6" t="s">
        <v>1867</v>
      </c>
      <c r="R75" s="6"/>
    </row>
    <row r="76" spans="1:18" ht="89.25">
      <c r="A76" s="6" t="s">
        <v>3245</v>
      </c>
      <c r="B76" s="6" t="s">
        <v>2328</v>
      </c>
      <c r="C76" s="6"/>
      <c r="D76" s="6"/>
      <c r="E76" s="6" t="s">
        <v>3246</v>
      </c>
      <c r="F76" s="6" t="s">
        <v>3247</v>
      </c>
      <c r="G76" s="496">
        <v>552000</v>
      </c>
      <c r="H76" s="160" t="s">
        <v>3242</v>
      </c>
      <c r="I76" s="6" t="s">
        <v>2449</v>
      </c>
      <c r="J76" s="6" t="s">
        <v>1824</v>
      </c>
      <c r="K76" s="6"/>
      <c r="L76" s="6"/>
      <c r="M76" s="6"/>
      <c r="N76" s="6" t="s">
        <v>6132</v>
      </c>
      <c r="O76" s="6"/>
      <c r="P76" s="467" t="s">
        <v>6962</v>
      </c>
      <c r="Q76" s="6" t="s">
        <v>1867</v>
      </c>
      <c r="R76" s="6"/>
    </row>
    <row r="77" spans="1:18" ht="25.5">
      <c r="A77" s="6" t="s">
        <v>3248</v>
      </c>
      <c r="B77" s="6" t="s">
        <v>2328</v>
      </c>
      <c r="C77" s="6"/>
      <c r="D77" s="6"/>
      <c r="E77" s="6" t="s">
        <v>3249</v>
      </c>
      <c r="F77" s="6" t="s">
        <v>3250</v>
      </c>
      <c r="G77" s="496">
        <v>605937</v>
      </c>
      <c r="H77" s="160" t="s">
        <v>3251</v>
      </c>
      <c r="I77" s="6" t="s">
        <v>2467</v>
      </c>
      <c r="J77" s="6"/>
      <c r="K77" s="6"/>
      <c r="L77" s="6"/>
      <c r="M77" s="6"/>
      <c r="N77" s="6" t="s">
        <v>6132</v>
      </c>
      <c r="O77" s="6"/>
      <c r="P77" s="467" t="s">
        <v>6963</v>
      </c>
      <c r="Q77" s="6" t="s">
        <v>1867</v>
      </c>
      <c r="R77" s="6"/>
    </row>
    <row r="78" spans="1:18" ht="51">
      <c r="A78" s="6" t="s">
        <v>3252</v>
      </c>
      <c r="B78" s="6" t="s">
        <v>6872</v>
      </c>
      <c r="C78" s="6" t="s">
        <v>1111</v>
      </c>
      <c r="D78" s="6"/>
      <c r="E78" s="6" t="s">
        <v>3253</v>
      </c>
      <c r="F78" s="6" t="s">
        <v>3254</v>
      </c>
      <c r="G78" s="496">
        <v>1328975.1200000001</v>
      </c>
      <c r="H78" s="160" t="s">
        <v>3255</v>
      </c>
      <c r="I78" s="6" t="s">
        <v>5656</v>
      </c>
      <c r="J78" s="6"/>
      <c r="K78" s="6"/>
      <c r="L78" s="6" t="s">
        <v>1904</v>
      </c>
      <c r="M78" s="6"/>
      <c r="N78" s="6" t="s">
        <v>6132</v>
      </c>
      <c r="O78" s="6"/>
      <c r="P78" s="468" t="s">
        <v>6964</v>
      </c>
      <c r="Q78" s="6" t="s">
        <v>6108</v>
      </c>
      <c r="R78" s="6"/>
    </row>
    <row r="79" spans="1:18" ht="38.25">
      <c r="A79" s="6" t="s">
        <v>3256</v>
      </c>
      <c r="B79" s="6" t="s">
        <v>6872</v>
      </c>
      <c r="C79" s="6" t="s">
        <v>1545</v>
      </c>
      <c r="D79" s="6"/>
      <c r="E79" s="6" t="s">
        <v>3257</v>
      </c>
      <c r="F79" s="6" t="s">
        <v>3258</v>
      </c>
      <c r="G79" s="496">
        <v>200000</v>
      </c>
      <c r="H79" s="160" t="s">
        <v>3229</v>
      </c>
      <c r="I79" s="6" t="s">
        <v>6370</v>
      </c>
      <c r="J79" s="6" t="s">
        <v>1824</v>
      </c>
      <c r="K79" s="6"/>
      <c r="L79" s="6" t="s">
        <v>1859</v>
      </c>
      <c r="M79" s="6"/>
      <c r="N79" s="475" t="s">
        <v>1808</v>
      </c>
      <c r="O79" s="6"/>
      <c r="P79" s="467" t="s">
        <v>6965</v>
      </c>
      <c r="Q79" s="6" t="s">
        <v>6933</v>
      </c>
      <c r="R79" s="6"/>
    </row>
    <row r="80" spans="1:18" ht="51">
      <c r="A80" s="6" t="s">
        <v>3259</v>
      </c>
      <c r="B80" s="6" t="s">
        <v>3204</v>
      </c>
      <c r="C80" s="6" t="s">
        <v>3155</v>
      </c>
      <c r="D80" s="6"/>
      <c r="E80" s="6" t="s">
        <v>3260</v>
      </c>
      <c r="F80" s="6" t="s">
        <v>3261</v>
      </c>
      <c r="G80" s="499">
        <v>956511.2</v>
      </c>
      <c r="H80" s="6" t="s">
        <v>1938</v>
      </c>
      <c r="I80" s="6" t="s">
        <v>1828</v>
      </c>
      <c r="J80" s="6" t="s">
        <v>1824</v>
      </c>
      <c r="K80" s="6"/>
      <c r="L80" s="6"/>
      <c r="M80" s="6"/>
      <c r="N80" s="475" t="s">
        <v>1808</v>
      </c>
      <c r="O80" s="6"/>
      <c r="P80" s="467" t="s">
        <v>6966</v>
      </c>
      <c r="Q80" s="6" t="s">
        <v>6933</v>
      </c>
      <c r="R80" s="6" t="s">
        <v>6967</v>
      </c>
    </row>
    <row r="81" spans="1:18" ht="216.75">
      <c r="A81" s="6" t="s">
        <v>3262</v>
      </c>
      <c r="B81" s="6" t="s">
        <v>6872</v>
      </c>
      <c r="C81" s="6" t="s">
        <v>652</v>
      </c>
      <c r="D81" s="6"/>
      <c r="E81" s="6" t="s">
        <v>3263</v>
      </c>
      <c r="F81" s="6" t="s">
        <v>3264</v>
      </c>
      <c r="G81" s="500">
        <v>63840</v>
      </c>
      <c r="H81" s="160" t="s">
        <v>1938</v>
      </c>
      <c r="I81" s="6" t="s">
        <v>1828</v>
      </c>
      <c r="J81" s="6"/>
      <c r="K81" s="6"/>
      <c r="L81" s="6" t="s">
        <v>1874</v>
      </c>
      <c r="M81" s="6"/>
      <c r="N81" s="475" t="s">
        <v>1808</v>
      </c>
      <c r="O81" s="6" t="s">
        <v>6968</v>
      </c>
      <c r="P81" s="468" t="s">
        <v>6969</v>
      </c>
      <c r="Q81" s="6" t="s">
        <v>6064</v>
      </c>
      <c r="R81" s="6"/>
    </row>
    <row r="82" spans="1:18" ht="25.5">
      <c r="A82" s="6" t="s">
        <v>3265</v>
      </c>
      <c r="B82" s="6"/>
      <c r="C82" s="6"/>
      <c r="D82" s="6"/>
      <c r="E82" s="6"/>
      <c r="F82" s="6"/>
      <c r="G82" s="501"/>
      <c r="H82" s="6"/>
      <c r="I82" s="6"/>
      <c r="J82" s="6"/>
      <c r="K82" s="6"/>
      <c r="L82" s="6"/>
      <c r="M82" s="6"/>
      <c r="N82" s="475" t="s">
        <v>1808</v>
      </c>
      <c r="O82" s="6"/>
      <c r="P82" s="468" t="s">
        <v>6970</v>
      </c>
      <c r="Q82" s="6" t="s">
        <v>3827</v>
      </c>
      <c r="R82" s="6"/>
    </row>
    <row r="83" spans="1:18" ht="153">
      <c r="A83" s="6" t="s">
        <v>3266</v>
      </c>
      <c r="B83" s="6" t="s">
        <v>6872</v>
      </c>
      <c r="C83" s="6" t="s">
        <v>586</v>
      </c>
      <c r="D83" s="6"/>
      <c r="E83" s="6" t="s">
        <v>3267</v>
      </c>
      <c r="F83" s="6" t="s">
        <v>3268</v>
      </c>
      <c r="G83" s="496">
        <v>8500</v>
      </c>
      <c r="H83" s="6" t="s">
        <v>3269</v>
      </c>
      <c r="I83" s="6" t="s">
        <v>2460</v>
      </c>
      <c r="J83" s="6"/>
      <c r="K83" s="6"/>
      <c r="L83" s="6" t="s">
        <v>1874</v>
      </c>
      <c r="M83" s="6"/>
      <c r="N83" s="6" t="s">
        <v>6132</v>
      </c>
      <c r="O83" s="6" t="s">
        <v>6971</v>
      </c>
      <c r="P83" s="468" t="s">
        <v>6972</v>
      </c>
      <c r="Q83" s="6" t="s">
        <v>6092</v>
      </c>
      <c r="R83" s="6"/>
    </row>
    <row r="84" spans="1:18" ht="102">
      <c r="A84" s="6" t="s">
        <v>3270</v>
      </c>
      <c r="B84" s="6" t="s">
        <v>6872</v>
      </c>
      <c r="C84" s="6" t="s">
        <v>394</v>
      </c>
      <c r="D84" s="6"/>
      <c r="E84" s="6" t="s">
        <v>3271</v>
      </c>
      <c r="F84" s="6" t="s">
        <v>3272</v>
      </c>
      <c r="G84" s="215">
        <v>62000</v>
      </c>
      <c r="H84" s="6" t="s">
        <v>3273</v>
      </c>
      <c r="I84" s="6" t="s">
        <v>2609</v>
      </c>
      <c r="J84" s="6"/>
      <c r="K84" s="6"/>
      <c r="L84" s="6" t="s">
        <v>1853</v>
      </c>
      <c r="M84" s="6"/>
      <c r="N84" s="475" t="s">
        <v>1808</v>
      </c>
      <c r="O84" s="6" t="s">
        <v>6973</v>
      </c>
      <c r="P84" s="468" t="s">
        <v>6974</v>
      </c>
      <c r="Q84" s="6" t="s">
        <v>6071</v>
      </c>
      <c r="R84" s="6"/>
    </row>
    <row r="85" spans="1:18" ht="102">
      <c r="A85" s="160" t="s">
        <v>3274</v>
      </c>
      <c r="B85" s="6" t="s">
        <v>6872</v>
      </c>
      <c r="C85" s="6" t="s">
        <v>394</v>
      </c>
      <c r="D85" s="6"/>
      <c r="E85" s="6" t="s">
        <v>3275</v>
      </c>
      <c r="F85" s="160" t="s">
        <v>3272</v>
      </c>
      <c r="G85" s="215">
        <v>32000</v>
      </c>
      <c r="H85" s="6" t="s">
        <v>3273</v>
      </c>
      <c r="I85" s="6" t="s">
        <v>2609</v>
      </c>
      <c r="J85" s="6"/>
      <c r="K85" s="6"/>
      <c r="L85" s="6" t="s">
        <v>1853</v>
      </c>
      <c r="M85" s="6"/>
      <c r="N85" s="475" t="s">
        <v>1808</v>
      </c>
      <c r="O85" s="6" t="s">
        <v>6975</v>
      </c>
      <c r="P85" s="468" t="s">
        <v>6976</v>
      </c>
      <c r="Q85" s="6" t="s">
        <v>6071</v>
      </c>
      <c r="R85" s="6"/>
    </row>
    <row r="86" spans="1:18" ht="204">
      <c r="A86" s="160" t="s">
        <v>3276</v>
      </c>
      <c r="B86" s="6" t="s">
        <v>6872</v>
      </c>
      <c r="C86" s="6" t="s">
        <v>1383</v>
      </c>
      <c r="D86" s="6"/>
      <c r="E86" s="6" t="s">
        <v>3277</v>
      </c>
      <c r="F86" s="6" t="s">
        <v>3278</v>
      </c>
      <c r="G86" s="502">
        <v>40000</v>
      </c>
      <c r="H86" s="6" t="s">
        <v>3279</v>
      </c>
      <c r="I86" s="6" t="s">
        <v>1828</v>
      </c>
      <c r="J86" s="6"/>
      <c r="K86" s="6"/>
      <c r="L86" s="6" t="s">
        <v>1859</v>
      </c>
      <c r="M86" s="6"/>
      <c r="N86" s="475" t="s">
        <v>1808</v>
      </c>
      <c r="O86" s="6" t="s">
        <v>6977</v>
      </c>
      <c r="P86" s="468" t="s">
        <v>6978</v>
      </c>
      <c r="Q86" s="6" t="s">
        <v>6064</v>
      </c>
      <c r="R86" s="6"/>
    </row>
    <row r="87" spans="1:18" ht="140.25">
      <c r="A87" s="160" t="s">
        <v>3280</v>
      </c>
      <c r="B87" s="6" t="s">
        <v>6872</v>
      </c>
      <c r="C87" s="6" t="s">
        <v>394</v>
      </c>
      <c r="D87" s="6"/>
      <c r="E87" s="6" t="s">
        <v>3281</v>
      </c>
      <c r="F87" s="6" t="s">
        <v>3282</v>
      </c>
      <c r="G87" s="215">
        <v>31000</v>
      </c>
      <c r="H87" s="6" t="s">
        <v>3283</v>
      </c>
      <c r="I87" s="6" t="s">
        <v>1828</v>
      </c>
      <c r="J87" s="6"/>
      <c r="K87" s="6"/>
      <c r="L87" s="6" t="s">
        <v>1853</v>
      </c>
      <c r="M87" s="6"/>
      <c r="N87" s="475" t="s">
        <v>1808</v>
      </c>
      <c r="O87" s="6" t="s">
        <v>6979</v>
      </c>
      <c r="P87" s="468" t="s">
        <v>6980</v>
      </c>
      <c r="Q87" s="6" t="s">
        <v>6071</v>
      </c>
      <c r="R87" s="6"/>
    </row>
    <row r="88" spans="1:18" ht="140.25">
      <c r="A88" s="160" t="s">
        <v>3284</v>
      </c>
      <c r="B88" s="6" t="s">
        <v>6872</v>
      </c>
      <c r="C88" s="6" t="s">
        <v>394</v>
      </c>
      <c r="D88" s="160"/>
      <c r="E88" s="160" t="s">
        <v>3285</v>
      </c>
      <c r="F88" s="6" t="s">
        <v>3286</v>
      </c>
      <c r="G88" s="503">
        <v>48900</v>
      </c>
      <c r="H88" s="6" t="s">
        <v>3287</v>
      </c>
      <c r="I88" s="6" t="s">
        <v>2467</v>
      </c>
      <c r="J88" s="6"/>
      <c r="K88" s="160"/>
      <c r="L88" s="6" t="s">
        <v>1853</v>
      </c>
      <c r="M88" s="160"/>
      <c r="N88" s="475" t="s">
        <v>1808</v>
      </c>
      <c r="O88" s="6" t="s">
        <v>6981</v>
      </c>
      <c r="P88" s="504" t="s">
        <v>6982</v>
      </c>
      <c r="Q88" s="6" t="s">
        <v>6071</v>
      </c>
      <c r="R88" s="6"/>
    </row>
    <row r="89" spans="1:18" ht="25.5">
      <c r="A89" s="160" t="s">
        <v>3288</v>
      </c>
      <c r="B89" s="6"/>
      <c r="C89" s="6"/>
      <c r="D89" s="6"/>
      <c r="E89" s="6"/>
      <c r="F89" s="6"/>
      <c r="G89" s="496"/>
      <c r="H89" s="6"/>
      <c r="I89" s="6"/>
      <c r="J89" s="6"/>
      <c r="K89" s="6"/>
      <c r="L89" s="6"/>
      <c r="M89" s="6"/>
      <c r="N89" s="475" t="s">
        <v>1808</v>
      </c>
      <c r="O89" s="6"/>
      <c r="P89" s="479"/>
      <c r="Q89" s="6" t="s">
        <v>3827</v>
      </c>
      <c r="R89" s="6"/>
    </row>
    <row r="90" spans="1:18" ht="153">
      <c r="A90" s="160" t="s">
        <v>3289</v>
      </c>
      <c r="B90" s="6" t="s">
        <v>6983</v>
      </c>
      <c r="C90" s="6" t="s">
        <v>1383</v>
      </c>
      <c r="D90" s="6"/>
      <c r="E90" s="6" t="s">
        <v>3290</v>
      </c>
      <c r="F90" s="6" t="s">
        <v>3291</v>
      </c>
      <c r="G90" s="496">
        <v>15000</v>
      </c>
      <c r="H90" s="6" t="s">
        <v>3292</v>
      </c>
      <c r="I90" s="6" t="s">
        <v>1828</v>
      </c>
      <c r="J90" s="6"/>
      <c r="K90" s="6"/>
      <c r="L90" s="6" t="s">
        <v>1859</v>
      </c>
      <c r="M90" s="6"/>
      <c r="N90" s="475" t="s">
        <v>1808</v>
      </c>
      <c r="O90" s="6" t="s">
        <v>6984</v>
      </c>
      <c r="P90" s="468" t="s">
        <v>6985</v>
      </c>
      <c r="Q90" s="6" t="s">
        <v>6933</v>
      </c>
      <c r="R90" s="6"/>
    </row>
    <row r="91" spans="1:18" ht="127.5">
      <c r="A91" s="160" t="s">
        <v>3293</v>
      </c>
      <c r="B91" s="6" t="s">
        <v>6983</v>
      </c>
      <c r="C91" s="6" t="s">
        <v>1763</v>
      </c>
      <c r="D91" s="6"/>
      <c r="E91" s="6" t="s">
        <v>3294</v>
      </c>
      <c r="F91" s="6" t="s">
        <v>3295</v>
      </c>
      <c r="G91" s="496">
        <v>34200</v>
      </c>
      <c r="H91" s="6" t="s">
        <v>3296</v>
      </c>
      <c r="I91" s="6" t="s">
        <v>1828</v>
      </c>
      <c r="J91" s="6"/>
      <c r="K91" s="6"/>
      <c r="L91" s="6" t="s">
        <v>1859</v>
      </c>
      <c r="M91" s="6"/>
      <c r="N91" s="475" t="s">
        <v>6132</v>
      </c>
      <c r="O91" s="6" t="s">
        <v>6986</v>
      </c>
      <c r="P91" s="468" t="s">
        <v>6987</v>
      </c>
      <c r="Q91" s="6" t="s">
        <v>6064</v>
      </c>
      <c r="R91" s="6"/>
    </row>
    <row r="92" spans="1:18" ht="165.75">
      <c r="A92" s="160" t="s">
        <v>3297</v>
      </c>
      <c r="B92" s="6" t="s">
        <v>6983</v>
      </c>
      <c r="C92" s="6" t="s">
        <v>68</v>
      </c>
      <c r="D92" s="6"/>
      <c r="E92" s="6" t="s">
        <v>3298</v>
      </c>
      <c r="F92" s="6" t="s">
        <v>3299</v>
      </c>
      <c r="G92" s="496">
        <v>20000</v>
      </c>
      <c r="H92" s="6" t="s">
        <v>3300</v>
      </c>
      <c r="I92" s="6" t="s">
        <v>1828</v>
      </c>
      <c r="J92" s="6"/>
      <c r="K92" s="6"/>
      <c r="L92" s="6" t="s">
        <v>1874</v>
      </c>
      <c r="M92" s="6"/>
      <c r="N92" s="6" t="s">
        <v>6132</v>
      </c>
      <c r="O92" s="6" t="s">
        <v>6988</v>
      </c>
      <c r="P92" s="468" t="s">
        <v>6989</v>
      </c>
      <c r="Q92" s="6" t="s">
        <v>6217</v>
      </c>
      <c r="R92" s="6"/>
    </row>
    <row r="93" spans="1:18" ht="76.5">
      <c r="A93" s="160" t="s">
        <v>3301</v>
      </c>
      <c r="B93" s="6" t="s">
        <v>6983</v>
      </c>
      <c r="C93" s="6" t="s">
        <v>586</v>
      </c>
      <c r="D93" s="6"/>
      <c r="E93" s="6" t="s">
        <v>3302</v>
      </c>
      <c r="F93" s="6" t="s">
        <v>3303</v>
      </c>
      <c r="G93" s="496">
        <v>13876.49</v>
      </c>
      <c r="H93" s="6" t="s">
        <v>3304</v>
      </c>
      <c r="I93" s="6" t="s">
        <v>1828</v>
      </c>
      <c r="J93" s="6"/>
      <c r="K93" s="6"/>
      <c r="L93" s="6" t="s">
        <v>1874</v>
      </c>
      <c r="M93" s="6"/>
      <c r="N93" s="6" t="s">
        <v>6132</v>
      </c>
      <c r="O93" s="6" t="s">
        <v>6990</v>
      </c>
      <c r="P93" s="468" t="s">
        <v>6991</v>
      </c>
      <c r="Q93" s="6" t="s">
        <v>6064</v>
      </c>
      <c r="R93" s="6"/>
    </row>
    <row r="94" spans="1:18" ht="140.25">
      <c r="A94" s="160" t="s">
        <v>3305</v>
      </c>
      <c r="B94" s="6" t="s">
        <v>6983</v>
      </c>
      <c r="C94" s="6" t="s">
        <v>1763</v>
      </c>
      <c r="D94" s="6"/>
      <c r="E94" s="6" t="s">
        <v>3306</v>
      </c>
      <c r="F94" s="6" t="s">
        <v>3295</v>
      </c>
      <c r="G94" s="505">
        <v>42700</v>
      </c>
      <c r="H94" s="6" t="s">
        <v>3307</v>
      </c>
      <c r="I94" s="6" t="s">
        <v>1828</v>
      </c>
      <c r="J94" s="6"/>
      <c r="K94" s="6"/>
      <c r="L94" s="6" t="s">
        <v>1859</v>
      </c>
      <c r="M94" s="6"/>
      <c r="N94" s="6" t="s">
        <v>6132</v>
      </c>
      <c r="O94" s="6" t="s">
        <v>6992</v>
      </c>
      <c r="P94" s="468" t="s">
        <v>6993</v>
      </c>
      <c r="Q94" s="6" t="s">
        <v>6064</v>
      </c>
      <c r="R94" s="6"/>
    </row>
    <row r="95" spans="1:18" ht="255">
      <c r="A95" s="160" t="s">
        <v>3308</v>
      </c>
      <c r="B95" s="6" t="s">
        <v>6983</v>
      </c>
      <c r="C95" s="6" t="s">
        <v>1141</v>
      </c>
      <c r="D95" s="6"/>
      <c r="E95" s="6" t="s">
        <v>3309</v>
      </c>
      <c r="F95" s="6" t="s">
        <v>3310</v>
      </c>
      <c r="G95" s="496">
        <v>80702.94</v>
      </c>
      <c r="H95" s="6" t="s">
        <v>3311</v>
      </c>
      <c r="I95" s="6" t="s">
        <v>2467</v>
      </c>
      <c r="J95" s="6"/>
      <c r="K95" s="6"/>
      <c r="L95" s="6" t="s">
        <v>1904</v>
      </c>
      <c r="M95" s="6"/>
      <c r="N95" s="475" t="s">
        <v>1808</v>
      </c>
      <c r="O95" s="6" t="s">
        <v>6994</v>
      </c>
      <c r="P95" s="468" t="s">
        <v>6995</v>
      </c>
      <c r="Q95" s="6" t="s">
        <v>6933</v>
      </c>
      <c r="R95" s="6"/>
    </row>
    <row r="96" spans="1:18" ht="102">
      <c r="A96" s="160" t="s">
        <v>3312</v>
      </c>
      <c r="B96" s="6" t="s">
        <v>6983</v>
      </c>
      <c r="C96" s="6" t="s">
        <v>1383</v>
      </c>
      <c r="D96" s="6"/>
      <c r="E96" s="6" t="s">
        <v>3313</v>
      </c>
      <c r="F96" s="6" t="s">
        <v>2319</v>
      </c>
      <c r="G96" s="505">
        <v>15000</v>
      </c>
      <c r="H96" s="6" t="s">
        <v>3314</v>
      </c>
      <c r="I96" s="6" t="s">
        <v>1828</v>
      </c>
      <c r="J96" s="6"/>
      <c r="K96" s="6"/>
      <c r="L96" s="6" t="s">
        <v>1859</v>
      </c>
      <c r="M96" s="6"/>
      <c r="N96" s="475" t="s">
        <v>1808</v>
      </c>
      <c r="O96" s="6" t="s">
        <v>6996</v>
      </c>
      <c r="P96" s="468" t="s">
        <v>6997</v>
      </c>
      <c r="Q96" s="6" t="s">
        <v>6933</v>
      </c>
      <c r="R96" s="6"/>
    </row>
    <row r="97" spans="1:18" ht="178.5">
      <c r="A97" s="160" t="s">
        <v>3315</v>
      </c>
      <c r="B97" s="6" t="s">
        <v>6983</v>
      </c>
      <c r="C97" s="6" t="s">
        <v>394</v>
      </c>
      <c r="D97" s="6"/>
      <c r="E97" s="6" t="s">
        <v>3316</v>
      </c>
      <c r="F97" s="6" t="s">
        <v>3317</v>
      </c>
      <c r="G97" s="215">
        <v>63500</v>
      </c>
      <c r="H97" s="6" t="s">
        <v>3318</v>
      </c>
      <c r="I97" s="6" t="s">
        <v>1828</v>
      </c>
      <c r="J97" s="6"/>
      <c r="K97" s="6"/>
      <c r="L97" s="6" t="s">
        <v>1853</v>
      </c>
      <c r="M97" s="6"/>
      <c r="N97" s="475" t="s">
        <v>1808</v>
      </c>
      <c r="O97" s="6" t="s">
        <v>6998</v>
      </c>
      <c r="P97" s="468" t="s">
        <v>6999</v>
      </c>
      <c r="Q97" s="6" t="s">
        <v>6071</v>
      </c>
      <c r="R97" s="6"/>
    </row>
    <row r="98" spans="1:18" ht="216.75">
      <c r="A98" s="160" t="s">
        <v>3319</v>
      </c>
      <c r="B98" s="6" t="s">
        <v>6983</v>
      </c>
      <c r="C98" s="6" t="s">
        <v>3168</v>
      </c>
      <c r="D98" s="6"/>
      <c r="E98" s="6" t="s">
        <v>3320</v>
      </c>
      <c r="F98" s="6" t="s">
        <v>3321</v>
      </c>
      <c r="G98" s="496">
        <v>20000</v>
      </c>
      <c r="H98" s="6" t="s">
        <v>3322</v>
      </c>
      <c r="I98" s="6" t="s">
        <v>1828</v>
      </c>
      <c r="J98" s="6"/>
      <c r="K98" s="6"/>
      <c r="L98" s="6" t="s">
        <v>1859</v>
      </c>
      <c r="M98" s="6"/>
      <c r="N98" s="475" t="s">
        <v>1808</v>
      </c>
      <c r="O98" s="6" t="s">
        <v>7000</v>
      </c>
      <c r="P98" s="468" t="s">
        <v>7001</v>
      </c>
      <c r="Q98" s="6" t="s">
        <v>6064</v>
      </c>
      <c r="R98" s="6"/>
    </row>
    <row r="99" spans="1:18" ht="204">
      <c r="A99" s="160" t="s">
        <v>3323</v>
      </c>
      <c r="B99" s="6" t="s">
        <v>6983</v>
      </c>
      <c r="C99" s="6" t="s">
        <v>1383</v>
      </c>
      <c r="D99" s="6"/>
      <c r="E99" s="6" t="s">
        <v>3324</v>
      </c>
      <c r="F99" s="6" t="s">
        <v>2620</v>
      </c>
      <c r="G99" s="496">
        <v>50000</v>
      </c>
      <c r="H99" s="6" t="s">
        <v>2793</v>
      </c>
      <c r="I99" s="6" t="s">
        <v>5647</v>
      </c>
      <c r="J99" s="6"/>
      <c r="K99" s="6"/>
      <c r="L99" s="6" t="s">
        <v>1859</v>
      </c>
      <c r="M99" s="6"/>
      <c r="N99" s="475" t="s">
        <v>1808</v>
      </c>
      <c r="O99" s="6" t="s">
        <v>7002</v>
      </c>
      <c r="P99" s="468" t="s">
        <v>7003</v>
      </c>
      <c r="Q99" s="6" t="s">
        <v>6933</v>
      </c>
      <c r="R99" s="6"/>
    </row>
    <row r="100" spans="1:18" ht="178.5">
      <c r="A100" s="160" t="s">
        <v>3325</v>
      </c>
      <c r="B100" s="6" t="s">
        <v>6983</v>
      </c>
      <c r="C100" s="6" t="s">
        <v>394</v>
      </c>
      <c r="D100" s="6"/>
      <c r="E100" s="6" t="s">
        <v>3326</v>
      </c>
      <c r="F100" s="6" t="s">
        <v>3327</v>
      </c>
      <c r="G100" s="215">
        <v>63500</v>
      </c>
      <c r="H100" s="6" t="s">
        <v>3328</v>
      </c>
      <c r="I100" s="6" t="s">
        <v>6314</v>
      </c>
      <c r="J100" s="6"/>
      <c r="K100" s="6"/>
      <c r="L100" s="6" t="s">
        <v>1853</v>
      </c>
      <c r="M100" s="6"/>
      <c r="N100" s="475" t="s">
        <v>1808</v>
      </c>
      <c r="O100" s="6" t="s">
        <v>7004</v>
      </c>
      <c r="P100" s="468" t="s">
        <v>7005</v>
      </c>
      <c r="Q100" s="6" t="s">
        <v>6071</v>
      </c>
      <c r="R100" s="6"/>
    </row>
    <row r="101" spans="1:18" ht="216.75">
      <c r="A101" s="160" t="s">
        <v>3329</v>
      </c>
      <c r="B101" s="6" t="s">
        <v>6983</v>
      </c>
      <c r="C101" s="6" t="s">
        <v>394</v>
      </c>
      <c r="D101" s="6"/>
      <c r="E101" s="6" t="s">
        <v>3326</v>
      </c>
      <c r="F101" s="6" t="s">
        <v>572</v>
      </c>
      <c r="G101" s="215">
        <v>63500</v>
      </c>
      <c r="H101" s="6" t="s">
        <v>3330</v>
      </c>
      <c r="I101" s="6" t="s">
        <v>2460</v>
      </c>
      <c r="J101" s="6"/>
      <c r="K101" s="6"/>
      <c r="L101" s="6" t="s">
        <v>1853</v>
      </c>
      <c r="M101" s="6"/>
      <c r="N101" s="475" t="s">
        <v>1808</v>
      </c>
      <c r="O101" s="6" t="s">
        <v>7006</v>
      </c>
      <c r="P101" s="468" t="s">
        <v>7007</v>
      </c>
      <c r="Q101" s="6" t="s">
        <v>6071</v>
      </c>
      <c r="R101" s="6"/>
    </row>
    <row r="102" spans="1:18" ht="178.5">
      <c r="A102" s="160" t="s">
        <v>3331</v>
      </c>
      <c r="B102" s="6" t="s">
        <v>6983</v>
      </c>
      <c r="C102" s="6" t="s">
        <v>3335</v>
      </c>
      <c r="D102" s="6"/>
      <c r="E102" s="6" t="s">
        <v>3332</v>
      </c>
      <c r="F102" s="6" t="s">
        <v>3333</v>
      </c>
      <c r="G102" s="496">
        <v>50000</v>
      </c>
      <c r="H102" s="6" t="s">
        <v>3334</v>
      </c>
      <c r="I102" s="6" t="s">
        <v>1828</v>
      </c>
      <c r="J102" s="6"/>
      <c r="K102" s="6"/>
      <c r="L102" s="6" t="s">
        <v>1859</v>
      </c>
      <c r="M102" s="6"/>
      <c r="N102" s="475" t="s">
        <v>1808</v>
      </c>
      <c r="O102" s="6" t="s">
        <v>7008</v>
      </c>
      <c r="P102" s="468" t="s">
        <v>7009</v>
      </c>
      <c r="Q102" s="6" t="s">
        <v>6933</v>
      </c>
      <c r="R102" s="6"/>
    </row>
    <row r="103" spans="1:18" ht="229.5">
      <c r="A103" s="160" t="s">
        <v>3336</v>
      </c>
      <c r="B103" s="6" t="s">
        <v>6983</v>
      </c>
      <c r="C103" s="6" t="s">
        <v>1383</v>
      </c>
      <c r="D103" s="6"/>
      <c r="E103" s="6" t="s">
        <v>3337</v>
      </c>
      <c r="F103" s="6" t="s">
        <v>811</v>
      </c>
      <c r="G103" s="496">
        <v>63000</v>
      </c>
      <c r="H103" s="6" t="s">
        <v>2924</v>
      </c>
      <c r="I103" s="6" t="s">
        <v>1828</v>
      </c>
      <c r="J103" s="6"/>
      <c r="K103" s="6"/>
      <c r="L103" s="6" t="s">
        <v>1859</v>
      </c>
      <c r="M103" s="6"/>
      <c r="N103" s="475" t="s">
        <v>1808</v>
      </c>
      <c r="O103" s="6" t="s">
        <v>7010</v>
      </c>
      <c r="P103" s="468" t="s">
        <v>7011</v>
      </c>
      <c r="Q103" s="6" t="s">
        <v>6933</v>
      </c>
      <c r="R103" s="6"/>
    </row>
    <row r="104" spans="1:18" ht="242.25">
      <c r="A104" s="160" t="s">
        <v>3338</v>
      </c>
      <c r="B104" s="6" t="s">
        <v>6983</v>
      </c>
      <c r="C104" s="6" t="s">
        <v>1383</v>
      </c>
      <c r="D104" s="6"/>
      <c r="E104" s="6" t="s">
        <v>3339</v>
      </c>
      <c r="F104" s="6" t="s">
        <v>3340</v>
      </c>
      <c r="G104" s="496">
        <v>47000</v>
      </c>
      <c r="H104" s="6" t="s">
        <v>3341</v>
      </c>
      <c r="I104" s="6" t="s">
        <v>1828</v>
      </c>
      <c r="J104" s="6"/>
      <c r="K104" s="6"/>
      <c r="L104" s="6" t="s">
        <v>1859</v>
      </c>
      <c r="M104" s="6"/>
      <c r="N104" s="475" t="s">
        <v>1808</v>
      </c>
      <c r="O104" s="6" t="s">
        <v>7012</v>
      </c>
      <c r="P104" s="468" t="s">
        <v>7013</v>
      </c>
      <c r="Q104" s="6" t="s">
        <v>6933</v>
      </c>
      <c r="R104" s="6"/>
    </row>
    <row r="105" spans="1:18" ht="216.75">
      <c r="A105" s="160" t="s">
        <v>3342</v>
      </c>
      <c r="B105" s="6" t="s">
        <v>6983</v>
      </c>
      <c r="C105" s="6" t="s">
        <v>68</v>
      </c>
      <c r="D105" s="6"/>
      <c r="E105" s="6" t="s">
        <v>3343</v>
      </c>
      <c r="F105" s="6" t="s">
        <v>3344</v>
      </c>
      <c r="G105" s="496">
        <v>98500</v>
      </c>
      <c r="H105" s="6" t="s">
        <v>3345</v>
      </c>
      <c r="I105" s="6" t="s">
        <v>1828</v>
      </c>
      <c r="J105" s="6"/>
      <c r="K105" s="6"/>
      <c r="L105" s="6" t="s">
        <v>1874</v>
      </c>
      <c r="M105" s="6"/>
      <c r="N105" s="6" t="s">
        <v>6132</v>
      </c>
      <c r="O105" s="6" t="s">
        <v>7014</v>
      </c>
      <c r="P105" s="468" t="s">
        <v>7015</v>
      </c>
      <c r="Q105" s="6" t="s">
        <v>6933</v>
      </c>
      <c r="R105" s="6"/>
    </row>
    <row r="106" spans="1:18" ht="89.25">
      <c r="A106" s="160" t="s">
        <v>3346</v>
      </c>
      <c r="B106" s="6" t="s">
        <v>6983</v>
      </c>
      <c r="C106" s="6" t="s">
        <v>2834</v>
      </c>
      <c r="D106" s="6"/>
      <c r="E106" s="6" t="s">
        <v>3347</v>
      </c>
      <c r="F106" s="6" t="s">
        <v>3348</v>
      </c>
      <c r="G106" s="496">
        <v>68045.67</v>
      </c>
      <c r="H106" s="6" t="s">
        <v>3349</v>
      </c>
      <c r="I106" s="6" t="s">
        <v>2460</v>
      </c>
      <c r="J106" s="6"/>
      <c r="K106" s="6"/>
      <c r="L106" s="6" t="s">
        <v>1874</v>
      </c>
      <c r="M106" s="6"/>
      <c r="N106" s="475" t="s">
        <v>1808</v>
      </c>
      <c r="O106" s="6" t="s">
        <v>7016</v>
      </c>
      <c r="P106" s="468" t="s">
        <v>7017</v>
      </c>
      <c r="Q106" s="6" t="s">
        <v>6104</v>
      </c>
      <c r="R106" s="6"/>
    </row>
    <row r="107" spans="1:18" ht="25.5">
      <c r="A107" s="160" t="s">
        <v>3350</v>
      </c>
      <c r="B107" s="6"/>
      <c r="C107" s="6"/>
      <c r="D107" s="6"/>
      <c r="E107" s="6"/>
      <c r="F107" s="6"/>
      <c r="G107" s="496"/>
      <c r="H107" s="6"/>
      <c r="I107" s="6"/>
      <c r="J107" s="6"/>
      <c r="K107" s="6"/>
      <c r="L107" s="6"/>
      <c r="M107" s="6"/>
      <c r="N107" s="475" t="s">
        <v>1808</v>
      </c>
      <c r="O107" s="6"/>
      <c r="P107" s="479"/>
      <c r="Q107" s="6" t="s">
        <v>3827</v>
      </c>
      <c r="R107" s="6"/>
    </row>
    <row r="108" spans="1:18" ht="229.5">
      <c r="A108" s="160" t="s">
        <v>3351</v>
      </c>
      <c r="B108" s="6" t="s">
        <v>6983</v>
      </c>
      <c r="C108" s="6" t="s">
        <v>68</v>
      </c>
      <c r="D108" s="6"/>
      <c r="E108" s="6" t="s">
        <v>3352</v>
      </c>
      <c r="F108" s="6" t="s">
        <v>3353</v>
      </c>
      <c r="G108" s="496">
        <v>82960</v>
      </c>
      <c r="H108" s="6" t="s">
        <v>3354</v>
      </c>
      <c r="I108" s="6" t="s">
        <v>1828</v>
      </c>
      <c r="J108" s="6"/>
      <c r="K108" s="6"/>
      <c r="L108" s="6" t="s">
        <v>1874</v>
      </c>
      <c r="M108" s="6"/>
      <c r="N108" s="6" t="s">
        <v>6132</v>
      </c>
      <c r="O108" s="6" t="s">
        <v>7018</v>
      </c>
      <c r="P108" s="468" t="s">
        <v>7019</v>
      </c>
      <c r="Q108" s="6" t="s">
        <v>6092</v>
      </c>
      <c r="R108" s="6"/>
    </row>
    <row r="109" spans="1:18" ht="229.5">
      <c r="A109" s="160" t="s">
        <v>3355</v>
      </c>
      <c r="B109" s="6" t="s">
        <v>6983</v>
      </c>
      <c r="C109" s="6" t="s">
        <v>2834</v>
      </c>
      <c r="D109" s="6"/>
      <c r="E109" s="6" t="s">
        <v>3356</v>
      </c>
      <c r="F109" s="6" t="s">
        <v>3357</v>
      </c>
      <c r="G109" s="496">
        <v>99872</v>
      </c>
      <c r="H109" s="6" t="s">
        <v>3358</v>
      </c>
      <c r="I109" s="6" t="s">
        <v>7020</v>
      </c>
      <c r="J109" s="6"/>
      <c r="K109" s="6"/>
      <c r="L109" s="6" t="s">
        <v>1874</v>
      </c>
      <c r="M109" s="6"/>
      <c r="N109" s="6" t="s">
        <v>6132</v>
      </c>
      <c r="O109" s="6" t="s">
        <v>7021</v>
      </c>
      <c r="P109" s="468" t="s">
        <v>7022</v>
      </c>
      <c r="Q109" s="6" t="s">
        <v>6137</v>
      </c>
      <c r="R109" s="6"/>
    </row>
    <row r="110" spans="1:18" ht="102">
      <c r="A110" s="160" t="s">
        <v>3359</v>
      </c>
      <c r="B110" s="6" t="s">
        <v>6983</v>
      </c>
      <c r="C110" s="6" t="s">
        <v>652</v>
      </c>
      <c r="D110" s="6"/>
      <c r="E110" s="6" t="s">
        <v>3360</v>
      </c>
      <c r="F110" s="6" t="s">
        <v>811</v>
      </c>
      <c r="G110" s="496">
        <v>45940</v>
      </c>
      <c r="H110" s="6" t="s">
        <v>3001</v>
      </c>
      <c r="I110" s="6" t="s">
        <v>1828</v>
      </c>
      <c r="J110" s="6"/>
      <c r="K110" s="6"/>
      <c r="L110" s="6" t="s">
        <v>1874</v>
      </c>
      <c r="M110" s="6"/>
      <c r="N110" s="475" t="s">
        <v>1808</v>
      </c>
      <c r="O110" s="6" t="s">
        <v>7023</v>
      </c>
      <c r="P110" s="468" t="s">
        <v>7024</v>
      </c>
      <c r="Q110" s="6" t="s">
        <v>6933</v>
      </c>
      <c r="R110" s="6"/>
    </row>
    <row r="111" spans="1:18" ht="216.75">
      <c r="A111" s="160" t="s">
        <v>3361</v>
      </c>
      <c r="B111" s="6" t="s">
        <v>6983</v>
      </c>
      <c r="C111" s="6" t="s">
        <v>652</v>
      </c>
      <c r="D111" s="6"/>
      <c r="E111" s="6" t="s">
        <v>3362</v>
      </c>
      <c r="F111" s="6" t="s">
        <v>3363</v>
      </c>
      <c r="G111" s="496">
        <v>87443.73</v>
      </c>
      <c r="H111" s="6" t="s">
        <v>3364</v>
      </c>
      <c r="I111" s="6" t="s">
        <v>2613</v>
      </c>
      <c r="J111" s="6"/>
      <c r="K111" s="6"/>
      <c r="L111" s="6" t="s">
        <v>1874</v>
      </c>
      <c r="M111" s="6"/>
      <c r="N111" s="6" t="s">
        <v>6132</v>
      </c>
      <c r="O111" s="6" t="s">
        <v>7025</v>
      </c>
      <c r="P111" s="468" t="s">
        <v>7026</v>
      </c>
      <c r="Q111" s="6" t="s">
        <v>6941</v>
      </c>
      <c r="R111" s="6"/>
    </row>
    <row r="112" spans="1:18" ht="255">
      <c r="A112" s="160" t="s">
        <v>3365</v>
      </c>
      <c r="B112" s="6" t="s">
        <v>6983</v>
      </c>
      <c r="C112" s="6" t="s">
        <v>394</v>
      </c>
      <c r="D112" s="6"/>
      <c r="E112" s="6" t="s">
        <v>3366</v>
      </c>
      <c r="F112" s="6" t="s">
        <v>3367</v>
      </c>
      <c r="G112" s="215">
        <v>98800</v>
      </c>
      <c r="H112" s="6" t="s">
        <v>3368</v>
      </c>
      <c r="I112" s="6" t="s">
        <v>1828</v>
      </c>
      <c r="J112" s="6"/>
      <c r="K112" s="6"/>
      <c r="L112" s="6" t="s">
        <v>1853</v>
      </c>
      <c r="M112" s="6"/>
      <c r="N112" s="475" t="s">
        <v>1808</v>
      </c>
      <c r="O112" s="6" t="s">
        <v>7027</v>
      </c>
      <c r="P112" s="468" t="s">
        <v>7028</v>
      </c>
      <c r="Q112" s="6" t="s">
        <v>6071</v>
      </c>
      <c r="R112" s="6"/>
    </row>
    <row r="113" spans="1:18" ht="267.75">
      <c r="A113" s="160" t="s">
        <v>3369</v>
      </c>
      <c r="B113" s="6" t="s">
        <v>6983</v>
      </c>
      <c r="C113" s="6" t="s">
        <v>3371</v>
      </c>
      <c r="D113" s="6"/>
      <c r="E113" s="6" t="s">
        <v>3372</v>
      </c>
      <c r="F113" s="6" t="s">
        <v>3373</v>
      </c>
      <c r="G113" s="496">
        <v>29000</v>
      </c>
      <c r="H113" s="6" t="s">
        <v>3368</v>
      </c>
      <c r="I113" s="6" t="s">
        <v>1828</v>
      </c>
      <c r="J113" s="6"/>
      <c r="K113" s="6"/>
      <c r="L113" s="6" t="s">
        <v>1853</v>
      </c>
      <c r="M113" s="6"/>
      <c r="N113" s="475" t="s">
        <v>1808</v>
      </c>
      <c r="O113" s="6" t="s">
        <v>7029</v>
      </c>
      <c r="P113" s="468" t="s">
        <v>7030</v>
      </c>
      <c r="Q113" s="6" t="s">
        <v>6189</v>
      </c>
      <c r="R113" s="6"/>
    </row>
    <row r="114" spans="1:18" ht="216.75">
      <c r="A114" s="160" t="s">
        <v>3374</v>
      </c>
      <c r="B114" s="6" t="s">
        <v>6983</v>
      </c>
      <c r="C114" s="6" t="s">
        <v>1763</v>
      </c>
      <c r="D114" s="6"/>
      <c r="E114" s="6" t="s">
        <v>3375</v>
      </c>
      <c r="F114" s="6" t="s">
        <v>1728</v>
      </c>
      <c r="G114" s="496">
        <v>41000</v>
      </c>
      <c r="H114" s="6" t="s">
        <v>3376</v>
      </c>
      <c r="I114" s="6" t="s">
        <v>1828</v>
      </c>
      <c r="J114" s="6"/>
      <c r="K114" s="6"/>
      <c r="L114" s="6" t="s">
        <v>1859</v>
      </c>
      <c r="M114" s="6"/>
      <c r="N114" s="475" t="s">
        <v>1808</v>
      </c>
      <c r="O114" s="6" t="s">
        <v>7031</v>
      </c>
      <c r="P114" s="468" t="s">
        <v>7032</v>
      </c>
      <c r="Q114" s="6" t="s">
        <v>6064</v>
      </c>
      <c r="R114" s="6"/>
    </row>
    <row r="115" spans="1:18" ht="191.25">
      <c r="A115" s="160" t="s">
        <v>3377</v>
      </c>
      <c r="B115" s="6" t="s">
        <v>6983</v>
      </c>
      <c r="C115" s="6" t="s">
        <v>652</v>
      </c>
      <c r="D115" s="6"/>
      <c r="E115" s="6" t="s">
        <v>3378</v>
      </c>
      <c r="F115" s="6" t="s">
        <v>3379</v>
      </c>
      <c r="G115" s="496">
        <v>99926</v>
      </c>
      <c r="H115" s="6" t="s">
        <v>3380</v>
      </c>
      <c r="I115" s="6" t="s">
        <v>2467</v>
      </c>
      <c r="J115" s="6"/>
      <c r="K115" s="6"/>
      <c r="L115" s="6" t="s">
        <v>1874</v>
      </c>
      <c r="M115" s="6"/>
      <c r="N115" s="6" t="s">
        <v>6132</v>
      </c>
      <c r="O115" s="6" t="s">
        <v>7033</v>
      </c>
      <c r="P115" s="468" t="s">
        <v>7034</v>
      </c>
      <c r="Q115" s="6" t="s">
        <v>6064</v>
      </c>
      <c r="R115" s="6"/>
    </row>
    <row r="116" spans="1:18" ht="89.25">
      <c r="A116" s="160" t="s">
        <v>3381</v>
      </c>
      <c r="B116" s="6" t="s">
        <v>6983</v>
      </c>
      <c r="C116" s="6" t="s">
        <v>394</v>
      </c>
      <c r="D116" s="6"/>
      <c r="E116" s="6" t="s">
        <v>3382</v>
      </c>
      <c r="F116" s="6" t="s">
        <v>3383</v>
      </c>
      <c r="G116" s="215">
        <v>100000</v>
      </c>
      <c r="H116" s="6" t="s">
        <v>3384</v>
      </c>
      <c r="I116" s="6" t="s">
        <v>6370</v>
      </c>
      <c r="J116" s="6"/>
      <c r="K116" s="6"/>
      <c r="L116" s="6" t="s">
        <v>1853</v>
      </c>
      <c r="M116" s="6"/>
      <c r="N116" s="475" t="s">
        <v>1808</v>
      </c>
      <c r="O116" s="6" t="s">
        <v>7035</v>
      </c>
      <c r="P116" s="468" t="s">
        <v>7036</v>
      </c>
      <c r="Q116" s="6" t="s">
        <v>6071</v>
      </c>
      <c r="R116" s="6"/>
    </row>
    <row r="117" spans="1:18" ht="89.25">
      <c r="A117" s="160" t="s">
        <v>3385</v>
      </c>
      <c r="B117" s="6" t="s">
        <v>6983</v>
      </c>
      <c r="C117" s="6" t="s">
        <v>394</v>
      </c>
      <c r="D117" s="6"/>
      <c r="E117" s="6" t="s">
        <v>3382</v>
      </c>
      <c r="F117" s="6" t="s">
        <v>3383</v>
      </c>
      <c r="G117" s="215">
        <v>100000</v>
      </c>
      <c r="H117" s="6" t="s">
        <v>3384</v>
      </c>
      <c r="I117" s="6" t="s">
        <v>6370</v>
      </c>
      <c r="J117" s="6"/>
      <c r="K117" s="6"/>
      <c r="L117" s="6" t="s">
        <v>1853</v>
      </c>
      <c r="M117" s="6"/>
      <c r="N117" s="475" t="s">
        <v>1808</v>
      </c>
      <c r="O117" s="6" t="s">
        <v>7037</v>
      </c>
      <c r="P117" s="468" t="s">
        <v>7038</v>
      </c>
      <c r="Q117" s="6" t="s">
        <v>6071</v>
      </c>
      <c r="R117" s="6"/>
    </row>
    <row r="118" spans="1:18" ht="216.75">
      <c r="A118" s="160" t="s">
        <v>3386</v>
      </c>
      <c r="B118" s="6" t="s">
        <v>6983</v>
      </c>
      <c r="C118" s="6" t="s">
        <v>586</v>
      </c>
      <c r="D118" s="6"/>
      <c r="E118" s="6" t="s">
        <v>3387</v>
      </c>
      <c r="F118" s="6" t="s">
        <v>3388</v>
      </c>
      <c r="G118" s="496">
        <v>28250</v>
      </c>
      <c r="H118" s="6" t="s">
        <v>3389</v>
      </c>
      <c r="I118" s="6" t="s">
        <v>1828</v>
      </c>
      <c r="J118" s="6"/>
      <c r="K118" s="6"/>
      <c r="L118" s="6" t="s">
        <v>1874</v>
      </c>
      <c r="M118" s="6"/>
      <c r="N118" s="475" t="s">
        <v>6132</v>
      </c>
      <c r="O118" s="6" t="s">
        <v>7039</v>
      </c>
      <c r="P118" s="468" t="s">
        <v>7040</v>
      </c>
      <c r="Q118" s="6" t="s">
        <v>6137</v>
      </c>
      <c r="R118" s="6"/>
    </row>
    <row r="119" spans="1:18" ht="140.25">
      <c r="A119" s="160" t="s">
        <v>3390</v>
      </c>
      <c r="B119" s="6" t="s">
        <v>6983</v>
      </c>
      <c r="C119" s="6" t="s">
        <v>394</v>
      </c>
      <c r="D119" s="6"/>
      <c r="E119" s="6" t="s">
        <v>3391</v>
      </c>
      <c r="F119" s="6" t="s">
        <v>3392</v>
      </c>
      <c r="G119" s="215">
        <v>63500</v>
      </c>
      <c r="H119" s="6" t="s">
        <v>3311</v>
      </c>
      <c r="I119" s="6" t="s">
        <v>2467</v>
      </c>
      <c r="J119" s="6"/>
      <c r="K119" s="6"/>
      <c r="L119" s="6" t="s">
        <v>1853</v>
      </c>
      <c r="M119" s="6"/>
      <c r="N119" s="475" t="s">
        <v>1808</v>
      </c>
      <c r="O119" s="6" t="s">
        <v>7041</v>
      </c>
      <c r="P119" s="468" t="s">
        <v>7042</v>
      </c>
      <c r="Q119" s="6" t="s">
        <v>6071</v>
      </c>
      <c r="R119" s="6"/>
    </row>
    <row r="120" spans="1:18" ht="25.5">
      <c r="A120" s="160" t="s">
        <v>3393</v>
      </c>
      <c r="B120" s="6"/>
      <c r="C120" s="6"/>
      <c r="D120" s="6"/>
      <c r="E120" s="6"/>
      <c r="F120" s="6"/>
      <c r="G120" s="496"/>
      <c r="H120" s="6"/>
      <c r="I120" s="6"/>
      <c r="J120" s="6"/>
      <c r="K120" s="6"/>
      <c r="L120" s="6"/>
      <c r="M120" s="6"/>
      <c r="N120" s="475" t="s">
        <v>1808</v>
      </c>
      <c r="O120" s="6"/>
      <c r="P120" s="479"/>
      <c r="Q120" s="6" t="s">
        <v>3827</v>
      </c>
      <c r="R120" s="6"/>
    </row>
    <row r="121" spans="1:18" ht="102">
      <c r="A121" s="160" t="s">
        <v>3394</v>
      </c>
      <c r="B121" s="6" t="s">
        <v>6983</v>
      </c>
      <c r="C121" s="6" t="s">
        <v>1763</v>
      </c>
      <c r="D121" s="6"/>
      <c r="E121" s="6" t="s">
        <v>3395</v>
      </c>
      <c r="F121" s="6" t="s">
        <v>3396</v>
      </c>
      <c r="G121" s="496">
        <v>90000</v>
      </c>
      <c r="H121" s="6" t="s">
        <v>3397</v>
      </c>
      <c r="I121" s="6" t="s">
        <v>2656</v>
      </c>
      <c r="J121" s="6"/>
      <c r="K121" s="6"/>
      <c r="L121" s="6" t="s">
        <v>1859</v>
      </c>
      <c r="M121" s="6"/>
      <c r="N121" s="6" t="s">
        <v>6132</v>
      </c>
      <c r="O121" s="6" t="s">
        <v>7043</v>
      </c>
      <c r="P121" s="468" t="s">
        <v>7044</v>
      </c>
      <c r="Q121" s="6" t="s">
        <v>6064</v>
      </c>
      <c r="R121" s="6"/>
    </row>
    <row r="122" spans="1:18" ht="178.5">
      <c r="A122" s="160" t="s">
        <v>3398</v>
      </c>
      <c r="B122" s="6" t="s">
        <v>6983</v>
      </c>
      <c r="C122" s="6" t="s">
        <v>1763</v>
      </c>
      <c r="D122" s="6"/>
      <c r="E122" s="6" t="s">
        <v>3399</v>
      </c>
      <c r="F122" s="6" t="s">
        <v>3400</v>
      </c>
      <c r="G122" s="496">
        <v>40000</v>
      </c>
      <c r="H122" s="6" t="s">
        <v>3401</v>
      </c>
      <c r="I122" s="6" t="s">
        <v>1828</v>
      </c>
      <c r="J122" s="6"/>
      <c r="K122" s="6"/>
      <c r="L122" s="6" t="s">
        <v>1859</v>
      </c>
      <c r="M122" s="6"/>
      <c r="N122" s="6" t="s">
        <v>6132</v>
      </c>
      <c r="O122" s="6" t="s">
        <v>7045</v>
      </c>
      <c r="P122" s="468" t="s">
        <v>7046</v>
      </c>
      <c r="Q122" s="6" t="s">
        <v>6064</v>
      </c>
      <c r="R122" s="6"/>
    </row>
    <row r="123" spans="1:18" ht="102">
      <c r="A123" s="160" t="s">
        <v>3402</v>
      </c>
      <c r="B123" s="6" t="s">
        <v>6983</v>
      </c>
      <c r="C123" s="6" t="s">
        <v>394</v>
      </c>
      <c r="D123" s="6"/>
      <c r="E123" s="6" t="s">
        <v>3403</v>
      </c>
      <c r="F123" s="6" t="s">
        <v>3404</v>
      </c>
      <c r="G123" s="215">
        <v>63500</v>
      </c>
      <c r="H123" s="6" t="s">
        <v>3405</v>
      </c>
      <c r="I123" s="6" t="s">
        <v>5647</v>
      </c>
      <c r="J123" s="6"/>
      <c r="K123" s="6"/>
      <c r="L123" s="6" t="s">
        <v>1853</v>
      </c>
      <c r="M123" s="6"/>
      <c r="N123" s="475" t="s">
        <v>1808</v>
      </c>
      <c r="O123" s="6" t="s">
        <v>7047</v>
      </c>
      <c r="P123" s="468" t="s">
        <v>7048</v>
      </c>
      <c r="Q123" s="6" t="s">
        <v>6064</v>
      </c>
      <c r="R123" s="6"/>
    </row>
    <row r="124" spans="1:18" ht="191.25">
      <c r="A124" s="160" t="s">
        <v>3406</v>
      </c>
      <c r="B124" s="6" t="s">
        <v>6983</v>
      </c>
      <c r="C124" s="6" t="s">
        <v>1383</v>
      </c>
      <c r="D124" s="6"/>
      <c r="E124" s="6" t="s">
        <v>3407</v>
      </c>
      <c r="F124" s="6" t="s">
        <v>3408</v>
      </c>
      <c r="G124" s="496">
        <v>50000</v>
      </c>
      <c r="H124" s="6" t="s">
        <v>3409</v>
      </c>
      <c r="I124" s="6" t="s">
        <v>1828</v>
      </c>
      <c r="J124" s="6"/>
      <c r="K124" s="6"/>
      <c r="L124" s="6" t="s">
        <v>7049</v>
      </c>
      <c r="M124" s="6"/>
      <c r="N124" s="475" t="s">
        <v>1808</v>
      </c>
      <c r="O124" s="6" t="s">
        <v>7050</v>
      </c>
      <c r="P124" s="468" t="s">
        <v>7051</v>
      </c>
      <c r="Q124" s="6" t="s">
        <v>6064</v>
      </c>
      <c r="R124" s="6"/>
    </row>
    <row r="125" spans="1:18" ht="178.5">
      <c r="A125" s="160" t="s">
        <v>3410</v>
      </c>
      <c r="B125" s="6" t="s">
        <v>6983</v>
      </c>
      <c r="C125" s="6" t="s">
        <v>586</v>
      </c>
      <c r="D125" s="6"/>
      <c r="E125" s="6" t="s">
        <v>3411</v>
      </c>
      <c r="F125" s="6" t="s">
        <v>3412</v>
      </c>
      <c r="G125" s="496">
        <v>8500</v>
      </c>
      <c r="H125" s="6" t="s">
        <v>3413</v>
      </c>
      <c r="I125" s="6" t="s">
        <v>1828</v>
      </c>
      <c r="J125" s="6"/>
      <c r="K125" s="6"/>
      <c r="L125" s="6" t="s">
        <v>1874</v>
      </c>
      <c r="M125" s="6"/>
      <c r="N125" s="6" t="s">
        <v>6132</v>
      </c>
      <c r="O125" s="6" t="s">
        <v>7052</v>
      </c>
      <c r="P125" s="468" t="s">
        <v>7053</v>
      </c>
      <c r="Q125" s="6" t="s">
        <v>6064</v>
      </c>
      <c r="R125" s="6"/>
    </row>
    <row r="126" spans="1:18" ht="242.25">
      <c r="A126" s="160" t="s">
        <v>3414</v>
      </c>
      <c r="B126" s="6" t="s">
        <v>6983</v>
      </c>
      <c r="C126" s="6" t="s">
        <v>394</v>
      </c>
      <c r="D126" s="6"/>
      <c r="E126" s="6" t="s">
        <v>3415</v>
      </c>
      <c r="F126" s="6" t="s">
        <v>3416</v>
      </c>
      <c r="G126" s="215">
        <v>30000</v>
      </c>
      <c r="H126" s="6" t="s">
        <v>3417</v>
      </c>
      <c r="I126" s="6" t="s">
        <v>1828</v>
      </c>
      <c r="J126" s="6"/>
      <c r="K126" s="6"/>
      <c r="L126" s="6" t="s">
        <v>1853</v>
      </c>
      <c r="M126" s="6"/>
      <c r="N126" s="475" t="s">
        <v>1808</v>
      </c>
      <c r="O126" s="6" t="s">
        <v>7054</v>
      </c>
      <c r="P126" s="468" t="s">
        <v>7055</v>
      </c>
      <c r="Q126" s="6" t="s">
        <v>6071</v>
      </c>
      <c r="R126" s="6"/>
    </row>
    <row r="127" spans="1:18" ht="191.25">
      <c r="A127" s="160" t="s">
        <v>3418</v>
      </c>
      <c r="B127" s="6" t="s">
        <v>6983</v>
      </c>
      <c r="C127" s="6" t="s">
        <v>394</v>
      </c>
      <c r="D127" s="6"/>
      <c r="E127" s="6" t="s">
        <v>3419</v>
      </c>
      <c r="F127" s="6" t="s">
        <v>3420</v>
      </c>
      <c r="G127" s="215">
        <v>30000</v>
      </c>
      <c r="H127" s="6" t="s">
        <v>3421</v>
      </c>
      <c r="I127" s="6" t="s">
        <v>6314</v>
      </c>
      <c r="J127" s="6"/>
      <c r="K127" s="6"/>
      <c r="L127" s="6" t="s">
        <v>1853</v>
      </c>
      <c r="M127" s="6"/>
      <c r="N127" s="475" t="s">
        <v>1808</v>
      </c>
      <c r="O127" s="6" t="s">
        <v>7056</v>
      </c>
      <c r="P127" s="468" t="s">
        <v>7057</v>
      </c>
      <c r="Q127" s="6" t="s">
        <v>6064</v>
      </c>
      <c r="R127" s="6"/>
    </row>
    <row r="128" spans="1:18" ht="140.25">
      <c r="A128" s="160" t="s">
        <v>3422</v>
      </c>
      <c r="B128" s="6" t="s">
        <v>6983</v>
      </c>
      <c r="C128" s="6" t="s">
        <v>394</v>
      </c>
      <c r="D128" s="6"/>
      <c r="E128" s="6" t="s">
        <v>3403</v>
      </c>
      <c r="F128" s="6" t="s">
        <v>3423</v>
      </c>
      <c r="G128" s="215">
        <v>12000</v>
      </c>
      <c r="H128" s="6" t="s">
        <v>3405</v>
      </c>
      <c r="I128" s="6" t="s">
        <v>5647</v>
      </c>
      <c r="J128" s="6"/>
      <c r="K128" s="6"/>
      <c r="L128" s="6" t="s">
        <v>1853</v>
      </c>
      <c r="M128" s="6"/>
      <c r="N128" s="475" t="s">
        <v>1808</v>
      </c>
      <c r="O128" s="6" t="s">
        <v>7058</v>
      </c>
      <c r="P128" s="468" t="s">
        <v>7059</v>
      </c>
      <c r="Q128" s="6" t="s">
        <v>6071</v>
      </c>
      <c r="R128" s="6"/>
    </row>
    <row r="129" spans="1:18" ht="114.75">
      <c r="A129" s="160" t="s">
        <v>3424</v>
      </c>
      <c r="B129" s="6" t="s">
        <v>6983</v>
      </c>
      <c r="C129" s="6" t="s">
        <v>394</v>
      </c>
      <c r="D129" s="6"/>
      <c r="E129" s="6" t="s">
        <v>3425</v>
      </c>
      <c r="F129" s="6" t="s">
        <v>3426</v>
      </c>
      <c r="G129" s="215">
        <v>64000</v>
      </c>
      <c r="H129" s="6" t="s">
        <v>3427</v>
      </c>
      <c r="I129" s="6" t="s">
        <v>2460</v>
      </c>
      <c r="J129" s="6"/>
      <c r="K129" s="6"/>
      <c r="L129" s="6" t="s">
        <v>1853</v>
      </c>
      <c r="M129" s="6"/>
      <c r="N129" s="475" t="s">
        <v>1808</v>
      </c>
      <c r="O129" s="6" t="s">
        <v>7060</v>
      </c>
      <c r="P129" s="468" t="s">
        <v>7061</v>
      </c>
      <c r="Q129" s="6" t="s">
        <v>6064</v>
      </c>
      <c r="R129" s="6"/>
    </row>
    <row r="130" spans="1:18" ht="114.75">
      <c r="A130" s="160" t="s">
        <v>3428</v>
      </c>
      <c r="B130" s="6" t="s">
        <v>6983</v>
      </c>
      <c r="C130" s="6" t="s">
        <v>1383</v>
      </c>
      <c r="D130" s="6"/>
      <c r="E130" s="6" t="s">
        <v>3429</v>
      </c>
      <c r="F130" s="6" t="s">
        <v>3430</v>
      </c>
      <c r="G130" s="496">
        <v>100000</v>
      </c>
      <c r="H130" s="6" t="s">
        <v>3431</v>
      </c>
      <c r="I130" s="6" t="s">
        <v>6822</v>
      </c>
      <c r="J130" s="6"/>
      <c r="K130" s="6"/>
      <c r="L130" s="6" t="s">
        <v>1859</v>
      </c>
      <c r="M130" s="6"/>
      <c r="N130" s="475" t="s">
        <v>1808</v>
      </c>
      <c r="O130" s="6" t="s">
        <v>7062</v>
      </c>
      <c r="P130" s="468" t="s">
        <v>7063</v>
      </c>
      <c r="Q130" s="6" t="s">
        <v>6064</v>
      </c>
      <c r="R130" s="6"/>
    </row>
    <row r="131" spans="1:18" ht="191.25">
      <c r="A131" s="160" t="s">
        <v>3432</v>
      </c>
      <c r="B131" s="6" t="s">
        <v>6983</v>
      </c>
      <c r="C131" s="6" t="s">
        <v>62</v>
      </c>
      <c r="D131" s="6"/>
      <c r="E131" s="6" t="s">
        <v>3433</v>
      </c>
      <c r="F131" s="6" t="s">
        <v>3434</v>
      </c>
      <c r="G131" s="496">
        <v>793460</v>
      </c>
      <c r="H131" s="6" t="s">
        <v>3435</v>
      </c>
      <c r="I131" s="6" t="s">
        <v>1828</v>
      </c>
      <c r="J131" s="6"/>
      <c r="K131" s="6"/>
      <c r="L131" s="6" t="s">
        <v>1904</v>
      </c>
      <c r="M131" s="6"/>
      <c r="N131" s="475" t="s">
        <v>1808</v>
      </c>
      <c r="O131" s="6" t="s">
        <v>7064</v>
      </c>
      <c r="P131" s="468" t="s">
        <v>7065</v>
      </c>
      <c r="Q131" s="6" t="s">
        <v>6064</v>
      </c>
      <c r="R131" s="6"/>
    </row>
    <row r="132" spans="1:18" ht="178.5">
      <c r="A132" s="160" t="s">
        <v>3436</v>
      </c>
      <c r="B132" s="6" t="s">
        <v>6983</v>
      </c>
      <c r="C132" s="6" t="s">
        <v>586</v>
      </c>
      <c r="D132" s="6"/>
      <c r="E132" s="6" t="s">
        <v>3437</v>
      </c>
      <c r="F132" s="6" t="s">
        <v>3438</v>
      </c>
      <c r="G132" s="496">
        <v>8500</v>
      </c>
      <c r="H132" s="6" t="s">
        <v>3439</v>
      </c>
      <c r="I132" s="6" t="s">
        <v>1828</v>
      </c>
      <c r="J132" s="6"/>
      <c r="K132" s="6"/>
      <c r="L132" s="6" t="s">
        <v>1874</v>
      </c>
      <c r="M132" s="6"/>
      <c r="N132" s="6" t="s">
        <v>6132</v>
      </c>
      <c r="O132" s="6" t="s">
        <v>7066</v>
      </c>
      <c r="P132" s="468" t="s">
        <v>7067</v>
      </c>
      <c r="Q132" s="6" t="s">
        <v>6064</v>
      </c>
      <c r="R132" s="6"/>
    </row>
    <row r="133" spans="1:18" ht="102">
      <c r="A133" s="160" t="s">
        <v>3440</v>
      </c>
      <c r="B133" s="6" t="s">
        <v>6983</v>
      </c>
      <c r="C133" s="6" t="s">
        <v>1141</v>
      </c>
      <c r="D133" s="6"/>
      <c r="E133" s="6" t="s">
        <v>3441</v>
      </c>
      <c r="F133" s="6" t="s">
        <v>3442</v>
      </c>
      <c r="G133" s="496">
        <v>94008.75</v>
      </c>
      <c r="H133" s="6" t="s">
        <v>3443</v>
      </c>
      <c r="I133" s="6" t="s">
        <v>2467</v>
      </c>
      <c r="J133" s="6"/>
      <c r="K133" s="6"/>
      <c r="L133" s="6" t="s">
        <v>1904</v>
      </c>
      <c r="M133" s="6"/>
      <c r="N133" s="475" t="s">
        <v>1808</v>
      </c>
      <c r="O133" s="6" t="s">
        <v>7068</v>
      </c>
      <c r="P133" s="468" t="s">
        <v>7069</v>
      </c>
      <c r="Q133" s="6" t="s">
        <v>6064</v>
      </c>
      <c r="R133" s="6"/>
    </row>
    <row r="134" spans="1:18" ht="127.5">
      <c r="A134" s="160" t="s">
        <v>3444</v>
      </c>
      <c r="B134" s="6" t="s">
        <v>6983</v>
      </c>
      <c r="C134" s="6" t="s">
        <v>586</v>
      </c>
      <c r="D134" s="6"/>
      <c r="E134" s="6" t="s">
        <v>3445</v>
      </c>
      <c r="F134" s="6" t="s">
        <v>2625</v>
      </c>
      <c r="G134" s="496">
        <v>8500</v>
      </c>
      <c r="H134" s="6" t="s">
        <v>3446</v>
      </c>
      <c r="I134" s="6" t="s">
        <v>2656</v>
      </c>
      <c r="J134" s="6"/>
      <c r="K134" s="6"/>
      <c r="L134" s="6" t="s">
        <v>1874</v>
      </c>
      <c r="M134" s="6"/>
      <c r="N134" s="6" t="s">
        <v>6132</v>
      </c>
      <c r="O134" s="6" t="s">
        <v>7070</v>
      </c>
      <c r="P134" s="468" t="s">
        <v>7071</v>
      </c>
      <c r="Q134" s="6" t="s">
        <v>6064</v>
      </c>
      <c r="R134" s="6"/>
    </row>
    <row r="135" spans="1:18" ht="216.75">
      <c r="A135" s="160" t="s">
        <v>3447</v>
      </c>
      <c r="B135" s="6" t="s">
        <v>6983</v>
      </c>
      <c r="C135" s="6" t="s">
        <v>1383</v>
      </c>
      <c r="D135" s="6"/>
      <c r="E135" s="6" t="s">
        <v>3448</v>
      </c>
      <c r="F135" s="6" t="s">
        <v>3449</v>
      </c>
      <c r="G135" s="496">
        <v>50000</v>
      </c>
      <c r="H135" s="6" t="s">
        <v>3450</v>
      </c>
      <c r="I135" s="6" t="s">
        <v>1828</v>
      </c>
      <c r="J135" s="6"/>
      <c r="K135" s="6"/>
      <c r="L135" s="6" t="s">
        <v>1859</v>
      </c>
      <c r="M135" s="6"/>
      <c r="N135" s="475" t="s">
        <v>1808</v>
      </c>
      <c r="O135" s="6" t="s">
        <v>7072</v>
      </c>
      <c r="P135" s="468" t="s">
        <v>7073</v>
      </c>
      <c r="Q135" s="6" t="s">
        <v>6064</v>
      </c>
      <c r="R135" s="6"/>
    </row>
    <row r="136" spans="1:18" ht="204">
      <c r="A136" s="160" t="s">
        <v>3451</v>
      </c>
      <c r="B136" s="6" t="s">
        <v>6983</v>
      </c>
      <c r="C136" s="6" t="s">
        <v>1262</v>
      </c>
      <c r="D136" s="6"/>
      <c r="E136" s="6" t="s">
        <v>3452</v>
      </c>
      <c r="F136" s="6" t="s">
        <v>3453</v>
      </c>
      <c r="G136" s="496">
        <v>1135672</v>
      </c>
      <c r="H136" s="6" t="s">
        <v>3454</v>
      </c>
      <c r="I136" s="6" t="s">
        <v>1828</v>
      </c>
      <c r="J136" s="6"/>
      <c r="K136" s="6"/>
      <c r="L136" s="6" t="s">
        <v>1904</v>
      </c>
      <c r="M136" s="6"/>
      <c r="N136" s="6" t="s">
        <v>6132</v>
      </c>
      <c r="O136" s="6" t="s">
        <v>7074</v>
      </c>
      <c r="P136" s="468" t="s">
        <v>7075</v>
      </c>
      <c r="Q136" s="6" t="s">
        <v>6064</v>
      </c>
      <c r="R136" s="6"/>
    </row>
    <row r="137" spans="1:18" ht="165.75">
      <c r="A137" s="160" t="s">
        <v>3455</v>
      </c>
      <c r="B137" s="6" t="s">
        <v>6983</v>
      </c>
      <c r="C137" s="6" t="s">
        <v>394</v>
      </c>
      <c r="D137" s="6"/>
      <c r="E137" s="6" t="s">
        <v>3456</v>
      </c>
      <c r="F137" s="6" t="s">
        <v>811</v>
      </c>
      <c r="G137" s="215">
        <v>96000</v>
      </c>
      <c r="H137" s="6" t="s">
        <v>3368</v>
      </c>
      <c r="I137" s="6" t="s">
        <v>1828</v>
      </c>
      <c r="J137" s="6"/>
      <c r="K137" s="6"/>
      <c r="L137" s="6" t="s">
        <v>1853</v>
      </c>
      <c r="M137" s="6"/>
      <c r="N137" s="475" t="s">
        <v>1808</v>
      </c>
      <c r="O137" s="6" t="s">
        <v>7076</v>
      </c>
      <c r="P137" s="468" t="s">
        <v>7077</v>
      </c>
      <c r="Q137" s="6" t="s">
        <v>6071</v>
      </c>
      <c r="R137" s="6"/>
    </row>
    <row r="138" spans="1:18" ht="165.75">
      <c r="A138" s="160" t="s">
        <v>3457</v>
      </c>
      <c r="B138" s="6" t="s">
        <v>6983</v>
      </c>
      <c r="C138" s="6" t="s">
        <v>394</v>
      </c>
      <c r="D138" s="6"/>
      <c r="E138" s="6" t="s">
        <v>3458</v>
      </c>
      <c r="F138" s="6" t="s">
        <v>3459</v>
      </c>
      <c r="G138" s="215">
        <v>86000</v>
      </c>
      <c r="H138" s="6" t="s">
        <v>2924</v>
      </c>
      <c r="I138" s="6" t="s">
        <v>1828</v>
      </c>
      <c r="J138" s="6"/>
      <c r="K138" s="6"/>
      <c r="L138" s="6" t="s">
        <v>1853</v>
      </c>
      <c r="M138" s="6"/>
      <c r="N138" s="475" t="s">
        <v>1808</v>
      </c>
      <c r="O138" s="6" t="s">
        <v>7078</v>
      </c>
      <c r="P138" s="468" t="s">
        <v>7079</v>
      </c>
      <c r="Q138" s="6" t="s">
        <v>6071</v>
      </c>
      <c r="R138" s="6"/>
    </row>
    <row r="139" spans="1:18" ht="191.25">
      <c r="A139" s="160" t="s">
        <v>3460</v>
      </c>
      <c r="B139" s="6" t="s">
        <v>6983</v>
      </c>
      <c r="C139" s="6" t="s">
        <v>394</v>
      </c>
      <c r="D139" s="6"/>
      <c r="E139" s="6" t="s">
        <v>3461</v>
      </c>
      <c r="F139" s="6" t="s">
        <v>3459</v>
      </c>
      <c r="G139" s="215">
        <v>33000</v>
      </c>
      <c r="H139" s="6" t="s">
        <v>2924</v>
      </c>
      <c r="I139" s="6" t="s">
        <v>1828</v>
      </c>
      <c r="J139" s="6"/>
      <c r="K139" s="6"/>
      <c r="L139" s="6" t="s">
        <v>1853</v>
      </c>
      <c r="M139" s="6"/>
      <c r="N139" s="475" t="s">
        <v>1808</v>
      </c>
      <c r="O139" s="6" t="s">
        <v>7080</v>
      </c>
      <c r="P139" s="468" t="s">
        <v>7081</v>
      </c>
      <c r="Q139" s="6" t="s">
        <v>6071</v>
      </c>
      <c r="R139" s="6"/>
    </row>
    <row r="140" spans="1:18" ht="178.5">
      <c r="A140" s="160" t="s">
        <v>3462</v>
      </c>
      <c r="B140" s="6" t="s">
        <v>6983</v>
      </c>
      <c r="C140" s="6" t="s">
        <v>394</v>
      </c>
      <c r="D140" s="6"/>
      <c r="E140" s="6" t="s">
        <v>3463</v>
      </c>
      <c r="F140" s="6" t="s">
        <v>3464</v>
      </c>
      <c r="G140" s="215">
        <v>42000</v>
      </c>
      <c r="H140" s="6"/>
      <c r="I140" s="6"/>
      <c r="J140" s="6"/>
      <c r="K140" s="6"/>
      <c r="L140" s="6" t="s">
        <v>1853</v>
      </c>
      <c r="M140" s="6"/>
      <c r="N140" s="475" t="s">
        <v>1808</v>
      </c>
      <c r="O140" s="6" t="s">
        <v>7082</v>
      </c>
      <c r="P140" s="468" t="s">
        <v>7083</v>
      </c>
      <c r="Q140" s="6" t="s">
        <v>6071</v>
      </c>
      <c r="R140" s="6"/>
    </row>
    <row r="141" spans="1:18" ht="25.5">
      <c r="A141" s="160" t="s">
        <v>3465</v>
      </c>
      <c r="B141" s="6"/>
      <c r="C141" s="6"/>
      <c r="D141" s="6"/>
      <c r="E141" s="6"/>
      <c r="F141" s="6"/>
      <c r="G141" s="496"/>
      <c r="H141" s="6"/>
      <c r="I141" s="6"/>
      <c r="J141" s="6"/>
      <c r="K141" s="6"/>
      <c r="L141" s="6"/>
      <c r="M141" s="6"/>
      <c r="N141" s="475" t="s">
        <v>1808</v>
      </c>
      <c r="O141" s="6"/>
      <c r="P141" s="468" t="s">
        <v>7084</v>
      </c>
      <c r="Q141" s="6" t="s">
        <v>3827</v>
      </c>
      <c r="R141" s="6"/>
    </row>
    <row r="142" spans="1:18" ht="242.25">
      <c r="A142" s="160" t="s">
        <v>3466</v>
      </c>
      <c r="B142" s="6" t="s">
        <v>6983</v>
      </c>
      <c r="C142" s="6" t="s">
        <v>1383</v>
      </c>
      <c r="D142" s="6"/>
      <c r="E142" s="6" t="s">
        <v>3467</v>
      </c>
      <c r="F142" s="6" t="s">
        <v>811</v>
      </c>
      <c r="G142" s="496">
        <v>76500</v>
      </c>
      <c r="H142" s="6" t="s">
        <v>2924</v>
      </c>
      <c r="I142" s="6" t="s">
        <v>1828</v>
      </c>
      <c r="J142" s="6"/>
      <c r="K142" s="6"/>
      <c r="L142" s="6" t="s">
        <v>1859</v>
      </c>
      <c r="M142" s="6"/>
      <c r="N142" s="475" t="s">
        <v>1808</v>
      </c>
      <c r="O142" s="6" t="s">
        <v>7085</v>
      </c>
      <c r="P142" s="468" t="s">
        <v>7084</v>
      </c>
      <c r="Q142" s="6" t="s">
        <v>6064</v>
      </c>
      <c r="R142" s="6"/>
    </row>
    <row r="143" spans="1:18" ht="229.5">
      <c r="A143" s="160" t="s">
        <v>3468</v>
      </c>
      <c r="B143" s="6" t="s">
        <v>6983</v>
      </c>
      <c r="C143" s="6" t="s">
        <v>3168</v>
      </c>
      <c r="D143" s="6"/>
      <c r="E143" s="6" t="s">
        <v>3469</v>
      </c>
      <c r="F143" s="6" t="s">
        <v>3470</v>
      </c>
      <c r="G143" s="496">
        <v>100000</v>
      </c>
      <c r="H143" s="6" t="s">
        <v>3471</v>
      </c>
      <c r="I143" s="6" t="s">
        <v>1828</v>
      </c>
      <c r="J143" s="6"/>
      <c r="K143" s="6"/>
      <c r="L143" s="6" t="s">
        <v>1859</v>
      </c>
      <c r="M143" s="6"/>
      <c r="N143" s="475" t="s">
        <v>1808</v>
      </c>
      <c r="O143" s="6" t="s">
        <v>7086</v>
      </c>
      <c r="P143" s="468" t="s">
        <v>7087</v>
      </c>
      <c r="Q143" s="6" t="s">
        <v>6064</v>
      </c>
      <c r="R143" s="6"/>
    </row>
    <row r="144" spans="1:18" ht="204">
      <c r="A144" s="160" t="s">
        <v>3472</v>
      </c>
      <c r="B144" s="6" t="s">
        <v>6983</v>
      </c>
      <c r="C144" s="6" t="s">
        <v>652</v>
      </c>
      <c r="D144" s="6"/>
      <c r="E144" s="6" t="s">
        <v>3473</v>
      </c>
      <c r="F144" s="6" t="s">
        <v>3474</v>
      </c>
      <c r="G144" s="496">
        <v>36726</v>
      </c>
      <c r="H144" s="6" t="s">
        <v>3475</v>
      </c>
      <c r="I144" s="6" t="s">
        <v>1828</v>
      </c>
      <c r="J144" s="6"/>
      <c r="K144" s="6"/>
      <c r="L144" s="6" t="s">
        <v>1874</v>
      </c>
      <c r="M144" s="6"/>
      <c r="N144" s="6" t="s">
        <v>6132</v>
      </c>
      <c r="O144" s="6" t="s">
        <v>7088</v>
      </c>
      <c r="P144" s="468" t="s">
        <v>7089</v>
      </c>
      <c r="Q144" s="6" t="s">
        <v>6064</v>
      </c>
      <c r="R144" s="6"/>
    </row>
    <row r="145" spans="1:18" ht="114.75">
      <c r="A145" s="160" t="s">
        <v>3476</v>
      </c>
      <c r="B145" s="6" t="s">
        <v>6983</v>
      </c>
      <c r="C145" s="6" t="s">
        <v>652</v>
      </c>
      <c r="D145" s="6"/>
      <c r="E145" s="6" t="s">
        <v>3477</v>
      </c>
      <c r="F145" s="6" t="s">
        <v>3478</v>
      </c>
      <c r="G145" s="496">
        <v>83796.25</v>
      </c>
      <c r="H145" s="6" t="s">
        <v>3479</v>
      </c>
      <c r="I145" s="6" t="s">
        <v>2656</v>
      </c>
      <c r="J145" s="6"/>
      <c r="K145" s="6"/>
      <c r="L145" s="6" t="s">
        <v>1874</v>
      </c>
      <c r="M145" s="6"/>
      <c r="N145" s="6" t="s">
        <v>6132</v>
      </c>
      <c r="O145" s="6" t="s">
        <v>7090</v>
      </c>
      <c r="P145" s="468" t="s">
        <v>7091</v>
      </c>
      <c r="Q145" s="6" t="s">
        <v>6064</v>
      </c>
      <c r="R145" s="6"/>
    </row>
    <row r="146" spans="1:18" ht="178.5">
      <c r="A146" s="160" t="s">
        <v>3480</v>
      </c>
      <c r="B146" s="6" t="s">
        <v>6983</v>
      </c>
      <c r="C146" s="6" t="s">
        <v>2834</v>
      </c>
      <c r="D146" s="6"/>
      <c r="E146" s="6" t="s">
        <v>3482</v>
      </c>
      <c r="F146" s="6" t="s">
        <v>3483</v>
      </c>
      <c r="G146" s="505" t="s">
        <v>3481</v>
      </c>
      <c r="H146" s="6" t="s">
        <v>3368</v>
      </c>
      <c r="I146" s="6" t="s">
        <v>1828</v>
      </c>
      <c r="J146" s="6"/>
      <c r="K146" s="6"/>
      <c r="L146" s="6" t="s">
        <v>1874</v>
      </c>
      <c r="M146" s="6"/>
      <c r="N146" s="475" t="s">
        <v>1808</v>
      </c>
      <c r="O146" s="6" t="s">
        <v>7092</v>
      </c>
      <c r="P146" s="468" t="s">
        <v>7093</v>
      </c>
      <c r="Q146" s="6" t="s">
        <v>6064</v>
      </c>
      <c r="R146" s="6"/>
    </row>
    <row r="147" spans="1:18" ht="280.5">
      <c r="A147" s="160" t="s">
        <v>3484</v>
      </c>
      <c r="B147" s="6" t="s">
        <v>6983</v>
      </c>
      <c r="C147" s="6" t="s">
        <v>2834</v>
      </c>
      <c r="D147" s="6"/>
      <c r="E147" s="6" t="s">
        <v>3485</v>
      </c>
      <c r="F147" s="6" t="s">
        <v>581</v>
      </c>
      <c r="G147" s="496">
        <v>100000</v>
      </c>
      <c r="H147" s="6" t="s">
        <v>3486</v>
      </c>
      <c r="I147" s="6" t="s">
        <v>6370</v>
      </c>
      <c r="J147" s="6"/>
      <c r="K147" s="6"/>
      <c r="L147" s="6" t="s">
        <v>1874</v>
      </c>
      <c r="M147" s="6"/>
      <c r="N147" s="475" t="s">
        <v>1808</v>
      </c>
      <c r="O147" s="6" t="s">
        <v>7094</v>
      </c>
      <c r="P147" s="468" t="s">
        <v>7095</v>
      </c>
      <c r="Q147" s="6" t="s">
        <v>6064</v>
      </c>
      <c r="R147" s="6"/>
    </row>
    <row r="148" spans="1:18" ht="25.5">
      <c r="A148" s="160" t="s">
        <v>7096</v>
      </c>
      <c r="B148" s="6" t="s">
        <v>6983</v>
      </c>
      <c r="C148" s="6"/>
      <c r="D148" s="6"/>
      <c r="E148" s="6"/>
      <c r="F148" s="6"/>
      <c r="G148" s="496"/>
      <c r="H148" s="6"/>
      <c r="I148" s="6"/>
      <c r="J148" s="6"/>
      <c r="K148" s="6"/>
      <c r="L148" s="6"/>
      <c r="M148" s="6"/>
      <c r="N148" s="475" t="s">
        <v>1808</v>
      </c>
      <c r="O148" s="6"/>
      <c r="P148" s="479"/>
      <c r="Q148" s="6" t="s">
        <v>6064</v>
      </c>
      <c r="R148" s="6"/>
    </row>
    <row r="149" spans="1:18" ht="229.5">
      <c r="A149" s="160" t="s">
        <v>3487</v>
      </c>
      <c r="B149" s="6" t="s">
        <v>6983</v>
      </c>
      <c r="C149" s="6" t="s">
        <v>586</v>
      </c>
      <c r="D149" s="6"/>
      <c r="E149" s="6" t="s">
        <v>3488</v>
      </c>
      <c r="F149" s="6" t="s">
        <v>3489</v>
      </c>
      <c r="G149" s="496">
        <v>29330</v>
      </c>
      <c r="H149" s="6" t="s">
        <v>3490</v>
      </c>
      <c r="I149" s="6" t="s">
        <v>1828</v>
      </c>
      <c r="J149" s="6"/>
      <c r="K149" s="6"/>
      <c r="L149" s="6" t="s">
        <v>1874</v>
      </c>
      <c r="M149" s="6"/>
      <c r="N149" s="6" t="s">
        <v>6132</v>
      </c>
      <c r="O149" s="6" t="s">
        <v>7097</v>
      </c>
      <c r="P149" s="468" t="s">
        <v>7098</v>
      </c>
      <c r="Q149" s="6" t="s">
        <v>6137</v>
      </c>
      <c r="R149" s="6"/>
    </row>
    <row r="150" spans="1:18" ht="191.25">
      <c r="A150" s="160" t="s">
        <v>3491</v>
      </c>
      <c r="B150" s="6" t="s">
        <v>6983</v>
      </c>
      <c r="C150" s="6" t="s">
        <v>1763</v>
      </c>
      <c r="D150" s="6"/>
      <c r="E150" s="6" t="s">
        <v>3492</v>
      </c>
      <c r="F150" s="6" t="s">
        <v>3493</v>
      </c>
      <c r="G150" s="496">
        <v>13945</v>
      </c>
      <c r="H150" s="6"/>
      <c r="I150" s="6"/>
      <c r="J150" s="6"/>
      <c r="K150" s="6"/>
      <c r="L150" s="6" t="s">
        <v>1859</v>
      </c>
      <c r="M150" s="6"/>
      <c r="N150" s="6" t="s">
        <v>6132</v>
      </c>
      <c r="O150" s="6" t="s">
        <v>7099</v>
      </c>
      <c r="P150" s="468" t="s">
        <v>7100</v>
      </c>
      <c r="Q150" s="6" t="s">
        <v>6064</v>
      </c>
      <c r="R150" s="6"/>
    </row>
    <row r="151" spans="1:18" ht="216.75">
      <c r="A151" s="160" t="s">
        <v>3494</v>
      </c>
      <c r="B151" s="6" t="s">
        <v>6983</v>
      </c>
      <c r="C151" s="6" t="s">
        <v>3092</v>
      </c>
      <c r="D151" s="6"/>
      <c r="E151" s="6" t="s">
        <v>3495</v>
      </c>
      <c r="F151" s="6" t="s">
        <v>997</v>
      </c>
      <c r="G151" s="496">
        <v>98162</v>
      </c>
      <c r="H151" s="6" t="s">
        <v>3496</v>
      </c>
      <c r="I151" s="6" t="s">
        <v>2467</v>
      </c>
      <c r="J151" s="6"/>
      <c r="K151" s="6"/>
      <c r="L151" s="6" t="s">
        <v>1904</v>
      </c>
      <c r="M151" s="6"/>
      <c r="N151" s="475" t="s">
        <v>1808</v>
      </c>
      <c r="O151" s="6" t="s">
        <v>7101</v>
      </c>
      <c r="P151" s="468" t="s">
        <v>7102</v>
      </c>
      <c r="Q151" s="6" t="s">
        <v>6064</v>
      </c>
      <c r="R151" s="6"/>
    </row>
    <row r="152" spans="1:18" ht="51">
      <c r="A152" s="160" t="s">
        <v>3497</v>
      </c>
      <c r="B152" s="6" t="s">
        <v>6983</v>
      </c>
      <c r="C152" s="6" t="s">
        <v>3168</v>
      </c>
      <c r="D152" s="6"/>
      <c r="E152" s="6" t="s">
        <v>3498</v>
      </c>
      <c r="F152" s="6" t="s">
        <v>3499</v>
      </c>
      <c r="G152" s="496">
        <v>500000</v>
      </c>
      <c r="H152" s="6" t="s">
        <v>3500</v>
      </c>
      <c r="I152" s="6" t="s">
        <v>1828</v>
      </c>
      <c r="J152" s="6"/>
      <c r="K152" s="6"/>
      <c r="L152" s="6" t="s">
        <v>1859</v>
      </c>
      <c r="M152" s="6"/>
      <c r="N152" s="475" t="s">
        <v>1808</v>
      </c>
      <c r="O152" s="6" t="s">
        <v>7103</v>
      </c>
      <c r="P152" s="468" t="s">
        <v>7104</v>
      </c>
      <c r="Q152" s="6" t="s">
        <v>6064</v>
      </c>
      <c r="R152" s="6"/>
    </row>
    <row r="153" spans="1:18" ht="165.75">
      <c r="A153" s="160" t="s">
        <v>3501</v>
      </c>
      <c r="B153" s="6" t="s">
        <v>6983</v>
      </c>
      <c r="C153" s="6" t="s">
        <v>1763</v>
      </c>
      <c r="D153" s="6"/>
      <c r="E153" s="6" t="s">
        <v>3502</v>
      </c>
      <c r="F153" s="6" t="s">
        <v>3503</v>
      </c>
      <c r="G153" s="496">
        <v>37500</v>
      </c>
      <c r="H153" s="6" t="s">
        <v>3504</v>
      </c>
      <c r="I153" s="6" t="s">
        <v>1828</v>
      </c>
      <c r="J153" s="6"/>
      <c r="K153" s="6"/>
      <c r="L153" s="6" t="s">
        <v>1859</v>
      </c>
      <c r="M153" s="6"/>
      <c r="N153" s="475" t="s">
        <v>1808</v>
      </c>
      <c r="O153" s="6" t="s">
        <v>7105</v>
      </c>
      <c r="P153" s="468" t="s">
        <v>7106</v>
      </c>
      <c r="Q153" s="6" t="s">
        <v>6064</v>
      </c>
      <c r="R153" s="6"/>
    </row>
    <row r="154" spans="1:18" ht="38.25">
      <c r="A154" s="506" t="s">
        <v>3179</v>
      </c>
      <c r="B154" s="6" t="s">
        <v>61</v>
      </c>
      <c r="C154" s="6" t="s">
        <v>62</v>
      </c>
      <c r="D154" s="6"/>
      <c r="E154" s="506" t="s">
        <v>3180</v>
      </c>
      <c r="F154" s="506" t="s">
        <v>3181</v>
      </c>
      <c r="G154" s="507">
        <v>2987995</v>
      </c>
      <c r="H154" s="508" t="s">
        <v>3182</v>
      </c>
      <c r="I154" s="506" t="s">
        <v>1899</v>
      </c>
      <c r="J154" s="34"/>
      <c r="K154" s="6"/>
      <c r="L154" s="498" t="s">
        <v>1904</v>
      </c>
      <c r="M154" s="34"/>
      <c r="N154" s="509"/>
      <c r="O154" s="34"/>
      <c r="P154" s="34"/>
      <c r="Q154" s="34"/>
      <c r="R154" s="34"/>
    </row>
    <row r="155" spans="1:18" ht="38.25">
      <c r="A155" s="506" t="s">
        <v>3199</v>
      </c>
      <c r="B155" s="6" t="s">
        <v>61</v>
      </c>
      <c r="C155" s="6" t="s">
        <v>62</v>
      </c>
      <c r="D155" s="6"/>
      <c r="E155" s="506" t="s">
        <v>3200</v>
      </c>
      <c r="F155" s="506" t="s">
        <v>3201</v>
      </c>
      <c r="G155" s="507">
        <v>1428000</v>
      </c>
      <c r="H155" s="508" t="s">
        <v>3202</v>
      </c>
      <c r="I155" s="506" t="s">
        <v>1886</v>
      </c>
      <c r="J155" s="34"/>
      <c r="K155" s="6"/>
      <c r="L155" s="498" t="s">
        <v>1904</v>
      </c>
      <c r="M155" s="34"/>
      <c r="N155" s="509"/>
      <c r="O155" s="34"/>
      <c r="P155" s="34"/>
      <c r="Q155" s="34"/>
      <c r="R155" s="34"/>
    </row>
    <row r="156" spans="1:18" ht="51">
      <c r="A156" s="506" t="s">
        <v>3252</v>
      </c>
      <c r="B156" s="6" t="s">
        <v>61</v>
      </c>
      <c r="C156" s="6" t="s">
        <v>62</v>
      </c>
      <c r="D156" s="6"/>
      <c r="E156" s="506" t="s">
        <v>3253</v>
      </c>
      <c r="F156" s="506" t="s">
        <v>3254</v>
      </c>
      <c r="G156" s="507">
        <v>1328975.1200000001</v>
      </c>
      <c r="H156" s="508" t="s">
        <v>3255</v>
      </c>
      <c r="I156" s="506" t="s">
        <v>1886</v>
      </c>
      <c r="J156" s="34"/>
      <c r="K156" s="6"/>
      <c r="L156" s="498" t="s">
        <v>1904</v>
      </c>
      <c r="M156" s="34"/>
      <c r="N156" s="509"/>
      <c r="O156" s="34"/>
      <c r="P156" s="34"/>
      <c r="Q156" s="34"/>
      <c r="R156" s="34"/>
    </row>
    <row r="157" spans="1:18" ht="38.25">
      <c r="A157" s="508" t="s">
        <v>3432</v>
      </c>
      <c r="B157" s="6" t="s">
        <v>61</v>
      </c>
      <c r="C157" s="6" t="s">
        <v>62</v>
      </c>
      <c r="D157" s="6"/>
      <c r="E157" s="506" t="s">
        <v>3433</v>
      </c>
      <c r="F157" s="506" t="s">
        <v>3434</v>
      </c>
      <c r="G157" s="507">
        <v>793460</v>
      </c>
      <c r="H157" s="506" t="s">
        <v>3435</v>
      </c>
      <c r="I157" s="506" t="s">
        <v>1828</v>
      </c>
      <c r="J157" s="34"/>
      <c r="K157" s="6"/>
      <c r="L157" s="498" t="s">
        <v>1904</v>
      </c>
      <c r="M157" s="34"/>
      <c r="N157" s="509"/>
      <c r="O157" s="34"/>
      <c r="P157" s="34"/>
      <c r="Q157" s="34"/>
      <c r="R157" s="34"/>
    </row>
    <row r="158" spans="1:18" ht="12.75">
      <c r="A158" s="50" t="s">
        <v>3187</v>
      </c>
      <c r="B158" s="6" t="s">
        <v>61</v>
      </c>
      <c r="C158" s="34" t="s">
        <v>1141</v>
      </c>
      <c r="D158" s="34"/>
      <c r="E158" s="50" t="s">
        <v>3188</v>
      </c>
      <c r="F158" s="50" t="s">
        <v>3189</v>
      </c>
      <c r="G158" s="510">
        <v>23860.21</v>
      </c>
      <c r="H158" s="177" t="s">
        <v>3190</v>
      </c>
      <c r="I158" s="34" t="s">
        <v>2085</v>
      </c>
      <c r="J158" s="34"/>
      <c r="K158" s="34"/>
      <c r="L158" s="498" t="s">
        <v>1904</v>
      </c>
      <c r="M158" s="34"/>
      <c r="N158" s="509"/>
      <c r="O158" s="34"/>
      <c r="P158" s="34"/>
      <c r="Q158" s="34"/>
      <c r="R158" s="34"/>
    </row>
    <row r="159" spans="1:18" ht="38.25">
      <c r="A159" s="508" t="s">
        <v>3440</v>
      </c>
      <c r="B159" s="6" t="s">
        <v>61</v>
      </c>
      <c r="C159" s="34" t="s">
        <v>1141</v>
      </c>
      <c r="D159" s="34"/>
      <c r="E159" s="506" t="s">
        <v>3441</v>
      </c>
      <c r="F159" s="506" t="s">
        <v>3442</v>
      </c>
      <c r="G159" s="507">
        <v>94008.75</v>
      </c>
      <c r="H159" s="506" t="s">
        <v>3443</v>
      </c>
      <c r="I159" s="34" t="s">
        <v>1899</v>
      </c>
      <c r="J159" s="34"/>
      <c r="K159" s="34"/>
      <c r="L159" s="498" t="s">
        <v>1904</v>
      </c>
      <c r="M159" s="34"/>
      <c r="N159" s="509"/>
      <c r="O159" s="34"/>
      <c r="P159" s="34"/>
      <c r="Q159" s="34"/>
      <c r="R159" s="34"/>
    </row>
    <row r="160" spans="1:18" ht="12.75">
      <c r="A160" s="398"/>
      <c r="B160" s="34"/>
      <c r="C160" s="34"/>
      <c r="D160" s="34"/>
      <c r="E160" s="34"/>
      <c r="F160" s="34"/>
      <c r="G160" s="511"/>
      <c r="H160" s="34"/>
      <c r="I160" s="34"/>
      <c r="J160" s="34"/>
      <c r="K160" s="34"/>
      <c r="L160" s="34"/>
      <c r="M160" s="34"/>
      <c r="N160" s="509"/>
      <c r="O160" s="34"/>
      <c r="P160" s="34"/>
      <c r="Q160" s="34"/>
      <c r="R160" s="34"/>
    </row>
    <row r="161" spans="1:18" ht="12.75">
      <c r="A161" s="398"/>
      <c r="B161" s="34"/>
      <c r="C161" s="34"/>
      <c r="D161" s="34"/>
      <c r="E161" s="34"/>
      <c r="F161" s="34"/>
      <c r="G161" s="511"/>
      <c r="H161" s="34"/>
      <c r="I161" s="34"/>
      <c r="J161" s="34"/>
      <c r="K161" s="34"/>
      <c r="L161" s="34"/>
      <c r="M161" s="34"/>
      <c r="N161" s="509"/>
      <c r="O161" s="34"/>
      <c r="P161" s="34"/>
      <c r="Q161" s="34"/>
      <c r="R161" s="34"/>
    </row>
  </sheetData>
  <hyperlinks>
    <hyperlink ref="P2" r:id="rId1" xr:uid="{00000000-0004-0000-1500-000000000000}"/>
    <hyperlink ref="P3" r:id="rId2" xr:uid="{00000000-0004-0000-1500-000001000000}"/>
    <hyperlink ref="P4" r:id="rId3" xr:uid="{00000000-0004-0000-1500-000002000000}"/>
    <hyperlink ref="P5" r:id="rId4" xr:uid="{00000000-0004-0000-1500-000003000000}"/>
    <hyperlink ref="P6" r:id="rId5" xr:uid="{00000000-0004-0000-1500-000004000000}"/>
    <hyperlink ref="P7" r:id="rId6" xr:uid="{00000000-0004-0000-1500-000005000000}"/>
    <hyperlink ref="P8" r:id="rId7" xr:uid="{00000000-0004-0000-1500-000006000000}"/>
    <hyperlink ref="P9" r:id="rId8" xr:uid="{00000000-0004-0000-1500-000007000000}"/>
    <hyperlink ref="P10" r:id="rId9" xr:uid="{00000000-0004-0000-1500-000008000000}"/>
    <hyperlink ref="P11" r:id="rId10" xr:uid="{00000000-0004-0000-1500-000009000000}"/>
    <hyperlink ref="P12" r:id="rId11" xr:uid="{00000000-0004-0000-1500-00000A000000}"/>
    <hyperlink ref="P13" r:id="rId12" xr:uid="{00000000-0004-0000-1500-00000B000000}"/>
    <hyperlink ref="P14" r:id="rId13" xr:uid="{00000000-0004-0000-1500-00000C000000}"/>
    <hyperlink ref="P15" r:id="rId14" xr:uid="{00000000-0004-0000-1500-00000D000000}"/>
    <hyperlink ref="P16" r:id="rId15" xr:uid="{00000000-0004-0000-1500-00000E000000}"/>
    <hyperlink ref="P17" r:id="rId16" xr:uid="{00000000-0004-0000-1500-00000F000000}"/>
    <hyperlink ref="P18" r:id="rId17" xr:uid="{00000000-0004-0000-1500-000010000000}"/>
    <hyperlink ref="P19" r:id="rId18" xr:uid="{00000000-0004-0000-1500-000011000000}"/>
    <hyperlink ref="P20" r:id="rId19" xr:uid="{00000000-0004-0000-1500-000012000000}"/>
    <hyperlink ref="P21" r:id="rId20" xr:uid="{00000000-0004-0000-1500-000013000000}"/>
    <hyperlink ref="P22" r:id="rId21" xr:uid="{00000000-0004-0000-1500-000014000000}"/>
    <hyperlink ref="P23" r:id="rId22" xr:uid="{00000000-0004-0000-1500-000015000000}"/>
    <hyperlink ref="P24" r:id="rId23" xr:uid="{00000000-0004-0000-1500-000016000000}"/>
    <hyperlink ref="P25" r:id="rId24" xr:uid="{00000000-0004-0000-1500-000017000000}"/>
    <hyperlink ref="P26" r:id="rId25" xr:uid="{00000000-0004-0000-1500-000018000000}"/>
    <hyperlink ref="P27" r:id="rId26" xr:uid="{00000000-0004-0000-1500-000019000000}"/>
    <hyperlink ref="P28" r:id="rId27" xr:uid="{00000000-0004-0000-1500-00001A000000}"/>
    <hyperlink ref="P29" r:id="rId28" xr:uid="{00000000-0004-0000-1500-00001B000000}"/>
    <hyperlink ref="P30" r:id="rId29" xr:uid="{00000000-0004-0000-1500-00001C000000}"/>
    <hyperlink ref="P31" r:id="rId30" xr:uid="{00000000-0004-0000-1500-00001D000000}"/>
    <hyperlink ref="P32" r:id="rId31" xr:uid="{00000000-0004-0000-1500-00001E000000}"/>
    <hyperlink ref="P33" r:id="rId32" xr:uid="{00000000-0004-0000-1500-00001F000000}"/>
    <hyperlink ref="P34" r:id="rId33" xr:uid="{00000000-0004-0000-1500-000020000000}"/>
    <hyperlink ref="P35" r:id="rId34" xr:uid="{00000000-0004-0000-1500-000021000000}"/>
    <hyperlink ref="P36" r:id="rId35" xr:uid="{00000000-0004-0000-1500-000022000000}"/>
    <hyperlink ref="P37" r:id="rId36" xr:uid="{00000000-0004-0000-1500-000023000000}"/>
    <hyperlink ref="P38" r:id="rId37" xr:uid="{00000000-0004-0000-1500-000024000000}"/>
    <hyperlink ref="P39" r:id="rId38" xr:uid="{00000000-0004-0000-1500-000025000000}"/>
    <hyperlink ref="P40" r:id="rId39" xr:uid="{00000000-0004-0000-1500-000026000000}"/>
    <hyperlink ref="P41" r:id="rId40" xr:uid="{00000000-0004-0000-1500-000027000000}"/>
    <hyperlink ref="P42" r:id="rId41" xr:uid="{00000000-0004-0000-1500-000028000000}"/>
    <hyperlink ref="P43" r:id="rId42" xr:uid="{00000000-0004-0000-1500-000029000000}"/>
    <hyperlink ref="P44" r:id="rId43" xr:uid="{00000000-0004-0000-1500-00002A000000}"/>
    <hyperlink ref="P45" r:id="rId44" xr:uid="{00000000-0004-0000-1500-00002B000000}"/>
    <hyperlink ref="P46" r:id="rId45" xr:uid="{00000000-0004-0000-1500-00002C000000}"/>
    <hyperlink ref="P47" r:id="rId46" xr:uid="{00000000-0004-0000-1500-00002D000000}"/>
    <hyperlink ref="P48" r:id="rId47" xr:uid="{00000000-0004-0000-1500-00002E000000}"/>
    <hyperlink ref="P49" r:id="rId48" xr:uid="{00000000-0004-0000-1500-00002F000000}"/>
    <hyperlink ref="P50" r:id="rId49" xr:uid="{00000000-0004-0000-1500-000030000000}"/>
    <hyperlink ref="P51" r:id="rId50" xr:uid="{00000000-0004-0000-1500-000031000000}"/>
    <hyperlink ref="P52" r:id="rId51" xr:uid="{00000000-0004-0000-1500-000032000000}"/>
    <hyperlink ref="P53" r:id="rId52" xr:uid="{00000000-0004-0000-1500-000033000000}"/>
    <hyperlink ref="P54" r:id="rId53" xr:uid="{00000000-0004-0000-1500-000034000000}"/>
    <hyperlink ref="P55" r:id="rId54" xr:uid="{00000000-0004-0000-1500-000035000000}"/>
    <hyperlink ref="P56" r:id="rId55" xr:uid="{00000000-0004-0000-1500-000036000000}"/>
    <hyperlink ref="P57" r:id="rId56" xr:uid="{00000000-0004-0000-1500-000037000000}"/>
    <hyperlink ref="P58" r:id="rId57" xr:uid="{00000000-0004-0000-1500-000038000000}"/>
    <hyperlink ref="P59" r:id="rId58" xr:uid="{00000000-0004-0000-1500-000039000000}"/>
    <hyperlink ref="P60" r:id="rId59" xr:uid="{00000000-0004-0000-1500-00003A000000}"/>
    <hyperlink ref="P61" r:id="rId60" xr:uid="{00000000-0004-0000-1500-00003B000000}"/>
    <hyperlink ref="P62" r:id="rId61" xr:uid="{00000000-0004-0000-1500-00003C000000}"/>
    <hyperlink ref="P63" r:id="rId62" xr:uid="{00000000-0004-0000-1500-00003D000000}"/>
    <hyperlink ref="P64" r:id="rId63" xr:uid="{00000000-0004-0000-1500-00003E000000}"/>
    <hyperlink ref="P65" r:id="rId64" xr:uid="{00000000-0004-0000-1500-00003F000000}"/>
    <hyperlink ref="P66" r:id="rId65" xr:uid="{00000000-0004-0000-1500-000040000000}"/>
    <hyperlink ref="P67" r:id="rId66" xr:uid="{00000000-0004-0000-1500-000041000000}"/>
    <hyperlink ref="P68" r:id="rId67" xr:uid="{00000000-0004-0000-1500-000042000000}"/>
    <hyperlink ref="P69" r:id="rId68" xr:uid="{00000000-0004-0000-1500-000043000000}"/>
    <hyperlink ref="P70" r:id="rId69" xr:uid="{00000000-0004-0000-1500-000044000000}"/>
    <hyperlink ref="P71" r:id="rId70" xr:uid="{00000000-0004-0000-1500-000045000000}"/>
    <hyperlink ref="P72" r:id="rId71" xr:uid="{00000000-0004-0000-1500-000046000000}"/>
    <hyperlink ref="P73" r:id="rId72" xr:uid="{00000000-0004-0000-1500-000047000000}"/>
    <hyperlink ref="P74" r:id="rId73" xr:uid="{00000000-0004-0000-1500-000048000000}"/>
    <hyperlink ref="P75" r:id="rId74" xr:uid="{00000000-0004-0000-1500-000049000000}"/>
    <hyperlink ref="P76" r:id="rId75" xr:uid="{00000000-0004-0000-1500-00004A000000}"/>
    <hyperlink ref="P77" r:id="rId76" xr:uid="{00000000-0004-0000-1500-00004B000000}"/>
    <hyperlink ref="P78" r:id="rId77" xr:uid="{00000000-0004-0000-1500-00004C000000}"/>
    <hyperlink ref="P79" r:id="rId78" xr:uid="{00000000-0004-0000-1500-00004D000000}"/>
    <hyperlink ref="P80" r:id="rId79" xr:uid="{00000000-0004-0000-1500-00004E000000}"/>
    <hyperlink ref="P81" r:id="rId80" xr:uid="{00000000-0004-0000-1500-00004F000000}"/>
    <hyperlink ref="P82" r:id="rId81" xr:uid="{00000000-0004-0000-1500-000050000000}"/>
    <hyperlink ref="P83" r:id="rId82" xr:uid="{00000000-0004-0000-1500-000051000000}"/>
    <hyperlink ref="P84" r:id="rId83" xr:uid="{00000000-0004-0000-1500-000052000000}"/>
    <hyperlink ref="P85" r:id="rId84" xr:uid="{00000000-0004-0000-1500-000053000000}"/>
    <hyperlink ref="P86" r:id="rId85" xr:uid="{00000000-0004-0000-1500-000054000000}"/>
    <hyperlink ref="P87" r:id="rId86" xr:uid="{00000000-0004-0000-1500-000055000000}"/>
    <hyperlink ref="P88" r:id="rId87" xr:uid="{00000000-0004-0000-1500-000056000000}"/>
    <hyperlink ref="P90" r:id="rId88" xr:uid="{00000000-0004-0000-1500-000057000000}"/>
    <hyperlink ref="P91" r:id="rId89" xr:uid="{00000000-0004-0000-1500-000058000000}"/>
    <hyperlink ref="P92" r:id="rId90" xr:uid="{00000000-0004-0000-1500-000059000000}"/>
    <hyperlink ref="P93" r:id="rId91" xr:uid="{00000000-0004-0000-1500-00005A000000}"/>
    <hyperlink ref="P94" r:id="rId92" xr:uid="{00000000-0004-0000-1500-00005B000000}"/>
    <hyperlink ref="P95" r:id="rId93" xr:uid="{00000000-0004-0000-1500-00005C000000}"/>
    <hyperlink ref="P96" r:id="rId94" xr:uid="{00000000-0004-0000-1500-00005D000000}"/>
    <hyperlink ref="P97" r:id="rId95" xr:uid="{00000000-0004-0000-1500-00005E000000}"/>
    <hyperlink ref="P98" r:id="rId96" xr:uid="{00000000-0004-0000-1500-00005F000000}"/>
    <hyperlink ref="P99" r:id="rId97" xr:uid="{00000000-0004-0000-1500-000060000000}"/>
    <hyperlink ref="P100" r:id="rId98" xr:uid="{00000000-0004-0000-1500-000061000000}"/>
    <hyperlink ref="P101" r:id="rId99" xr:uid="{00000000-0004-0000-1500-000062000000}"/>
    <hyperlink ref="P102" r:id="rId100" xr:uid="{00000000-0004-0000-1500-000063000000}"/>
    <hyperlink ref="P103" r:id="rId101" xr:uid="{00000000-0004-0000-1500-000064000000}"/>
    <hyperlink ref="P104" r:id="rId102" xr:uid="{00000000-0004-0000-1500-000065000000}"/>
    <hyperlink ref="P105" r:id="rId103" xr:uid="{00000000-0004-0000-1500-000066000000}"/>
    <hyperlink ref="P106" r:id="rId104" xr:uid="{00000000-0004-0000-1500-000067000000}"/>
    <hyperlink ref="P108" r:id="rId105" xr:uid="{00000000-0004-0000-1500-000068000000}"/>
    <hyperlink ref="P109" r:id="rId106" xr:uid="{00000000-0004-0000-1500-000069000000}"/>
    <hyperlink ref="P110" r:id="rId107" xr:uid="{00000000-0004-0000-1500-00006A000000}"/>
    <hyperlink ref="P111" r:id="rId108" xr:uid="{00000000-0004-0000-1500-00006B000000}"/>
    <hyperlink ref="P112" r:id="rId109" xr:uid="{00000000-0004-0000-1500-00006C000000}"/>
    <hyperlink ref="P113" r:id="rId110" xr:uid="{00000000-0004-0000-1500-00006D000000}"/>
    <hyperlink ref="P114" r:id="rId111" xr:uid="{00000000-0004-0000-1500-00006E000000}"/>
    <hyperlink ref="P115" r:id="rId112" xr:uid="{00000000-0004-0000-1500-00006F000000}"/>
    <hyperlink ref="P116" r:id="rId113" xr:uid="{00000000-0004-0000-1500-000070000000}"/>
    <hyperlink ref="P117" r:id="rId114" xr:uid="{00000000-0004-0000-1500-000071000000}"/>
    <hyperlink ref="P118" r:id="rId115" xr:uid="{00000000-0004-0000-1500-000072000000}"/>
    <hyperlink ref="P119" r:id="rId116" xr:uid="{00000000-0004-0000-1500-000073000000}"/>
    <hyperlink ref="P121" r:id="rId117" xr:uid="{00000000-0004-0000-1500-000074000000}"/>
    <hyperlink ref="P122" r:id="rId118" xr:uid="{00000000-0004-0000-1500-000075000000}"/>
    <hyperlink ref="P123" r:id="rId119" xr:uid="{00000000-0004-0000-1500-000076000000}"/>
    <hyperlink ref="P124" r:id="rId120" xr:uid="{00000000-0004-0000-1500-000077000000}"/>
    <hyperlink ref="P125" r:id="rId121" xr:uid="{00000000-0004-0000-1500-000078000000}"/>
    <hyperlink ref="P126" r:id="rId122" xr:uid="{00000000-0004-0000-1500-000079000000}"/>
    <hyperlink ref="P127" r:id="rId123" xr:uid="{00000000-0004-0000-1500-00007A000000}"/>
    <hyperlink ref="P128" r:id="rId124" xr:uid="{00000000-0004-0000-1500-00007B000000}"/>
    <hyperlink ref="P129" r:id="rId125" xr:uid="{00000000-0004-0000-1500-00007C000000}"/>
    <hyperlink ref="P130" r:id="rId126" xr:uid="{00000000-0004-0000-1500-00007D000000}"/>
    <hyperlink ref="P131" r:id="rId127" xr:uid="{00000000-0004-0000-1500-00007E000000}"/>
    <hyperlink ref="P132" r:id="rId128" xr:uid="{00000000-0004-0000-1500-00007F000000}"/>
    <hyperlink ref="P133" r:id="rId129" xr:uid="{00000000-0004-0000-1500-000080000000}"/>
    <hyperlink ref="P134" r:id="rId130" xr:uid="{00000000-0004-0000-1500-000081000000}"/>
    <hyperlink ref="P135" r:id="rId131" xr:uid="{00000000-0004-0000-1500-000082000000}"/>
    <hyperlink ref="P136" r:id="rId132" xr:uid="{00000000-0004-0000-1500-000083000000}"/>
    <hyperlink ref="P137" r:id="rId133" xr:uid="{00000000-0004-0000-1500-000084000000}"/>
    <hyperlink ref="P138" r:id="rId134" xr:uid="{00000000-0004-0000-1500-000085000000}"/>
    <hyperlink ref="P139" r:id="rId135" xr:uid="{00000000-0004-0000-1500-000086000000}"/>
    <hyperlink ref="P140" r:id="rId136" xr:uid="{00000000-0004-0000-1500-000087000000}"/>
    <hyperlink ref="P141" r:id="rId137" xr:uid="{00000000-0004-0000-1500-000088000000}"/>
    <hyperlink ref="P142" r:id="rId138" xr:uid="{00000000-0004-0000-1500-000089000000}"/>
    <hyperlink ref="P143" r:id="rId139" xr:uid="{00000000-0004-0000-1500-00008A000000}"/>
    <hyperlink ref="P144" r:id="rId140" xr:uid="{00000000-0004-0000-1500-00008B000000}"/>
    <hyperlink ref="P145" r:id="rId141" xr:uid="{00000000-0004-0000-1500-00008C000000}"/>
    <hyperlink ref="P146" r:id="rId142" xr:uid="{00000000-0004-0000-1500-00008D000000}"/>
    <hyperlink ref="P147" r:id="rId143" xr:uid="{00000000-0004-0000-1500-00008E000000}"/>
    <hyperlink ref="P149" r:id="rId144" xr:uid="{00000000-0004-0000-1500-00008F000000}"/>
    <hyperlink ref="P150" r:id="rId145" xr:uid="{00000000-0004-0000-1500-000090000000}"/>
    <hyperlink ref="P151" r:id="rId146" xr:uid="{00000000-0004-0000-1500-000091000000}"/>
    <hyperlink ref="P152" r:id="rId147" xr:uid="{00000000-0004-0000-1500-000092000000}"/>
    <hyperlink ref="P153" r:id="rId148" xr:uid="{00000000-0004-0000-1500-000093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R17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3" max="3" width="24" customWidth="1"/>
    <col min="4" max="4" width="22.140625" customWidth="1"/>
    <col min="5" max="5" width="57.5703125" customWidth="1"/>
    <col min="6" max="6" width="48.7109375" customWidth="1"/>
    <col min="7" max="7" width="25.85546875" customWidth="1"/>
    <col min="8" max="8" width="27.85546875" customWidth="1"/>
    <col min="9" max="9" width="14.7109375" customWidth="1"/>
    <col min="11" max="11" width="33.7109375" customWidth="1"/>
    <col min="13" max="13" width="20.140625" customWidth="1"/>
    <col min="14" max="14" width="22.5703125" customWidth="1"/>
    <col min="15" max="15" width="38.42578125" customWidth="1"/>
    <col min="16" max="16" width="39.28515625" customWidth="1"/>
  </cols>
  <sheetData>
    <row r="1" spans="1:18" ht="32.25" customHeight="1">
      <c r="A1" s="274" t="s">
        <v>6259</v>
      </c>
      <c r="B1" s="274" t="s">
        <v>389</v>
      </c>
      <c r="C1" s="274" t="s">
        <v>7107</v>
      </c>
      <c r="D1" s="274" t="s">
        <v>5</v>
      </c>
      <c r="E1" s="274" t="s">
        <v>6</v>
      </c>
      <c r="F1" s="274" t="s">
        <v>7</v>
      </c>
      <c r="G1" s="512" t="s">
        <v>391</v>
      </c>
      <c r="H1" s="274" t="s">
        <v>8</v>
      </c>
      <c r="I1" s="274" t="s">
        <v>1821</v>
      </c>
      <c r="J1" s="274" t="s">
        <v>1818</v>
      </c>
      <c r="K1" s="274" t="s">
        <v>1822</v>
      </c>
      <c r="L1" s="319" t="s">
        <v>5633</v>
      </c>
      <c r="M1" s="271" t="s">
        <v>5631</v>
      </c>
      <c r="N1" s="274" t="s">
        <v>7108</v>
      </c>
      <c r="O1" s="274" t="s">
        <v>6261</v>
      </c>
      <c r="P1" s="274" t="s">
        <v>6471</v>
      </c>
      <c r="Q1" s="274" t="s">
        <v>6060</v>
      </c>
      <c r="R1" s="318" t="s">
        <v>5628</v>
      </c>
    </row>
    <row r="2" spans="1:18" ht="25.5">
      <c r="A2" s="61">
        <v>42370</v>
      </c>
      <c r="B2" s="6" t="s">
        <v>6872</v>
      </c>
      <c r="C2" s="22" t="s">
        <v>3505</v>
      </c>
      <c r="D2" s="178"/>
      <c r="E2" s="158" t="s">
        <v>3506</v>
      </c>
      <c r="F2" s="158" t="s">
        <v>1556</v>
      </c>
      <c r="G2" s="64">
        <v>560000</v>
      </c>
      <c r="H2" s="6" t="s">
        <v>1938</v>
      </c>
      <c r="I2" s="6" t="s">
        <v>1828</v>
      </c>
      <c r="J2" s="6" t="s">
        <v>1824</v>
      </c>
      <c r="K2" s="178"/>
      <c r="L2" s="54"/>
      <c r="M2" s="475"/>
      <c r="N2" s="475" t="s">
        <v>1808</v>
      </c>
      <c r="O2" s="297" t="s">
        <v>7109</v>
      </c>
      <c r="P2" s="468" t="s">
        <v>7110</v>
      </c>
      <c r="Q2" s="6" t="s">
        <v>6064</v>
      </c>
      <c r="R2" s="54"/>
    </row>
    <row r="3" spans="1:18" ht="38.25">
      <c r="A3" s="61">
        <v>42401</v>
      </c>
      <c r="B3" s="6" t="s">
        <v>6872</v>
      </c>
      <c r="C3" s="22" t="s">
        <v>62</v>
      </c>
      <c r="D3" s="179"/>
      <c r="E3" s="6" t="s">
        <v>3507</v>
      </c>
      <c r="F3" s="6" t="s">
        <v>3508</v>
      </c>
      <c r="G3" s="64">
        <v>2000000</v>
      </c>
      <c r="H3" s="160" t="s">
        <v>3509</v>
      </c>
      <c r="I3" s="6" t="s">
        <v>1828</v>
      </c>
      <c r="J3" s="6"/>
      <c r="K3" s="179"/>
      <c r="L3" s="54"/>
      <c r="M3" s="6"/>
      <c r="N3" s="6" t="s">
        <v>6179</v>
      </c>
      <c r="O3" s="291" t="s">
        <v>7111</v>
      </c>
      <c r="P3" s="468" t="s">
        <v>7112</v>
      </c>
      <c r="Q3" s="6" t="s">
        <v>6170</v>
      </c>
      <c r="R3" s="54"/>
    </row>
    <row r="4" spans="1:18" ht="25.5">
      <c r="A4" s="61">
        <v>42430</v>
      </c>
      <c r="B4" s="6" t="s">
        <v>6872</v>
      </c>
      <c r="C4" s="22" t="s">
        <v>3075</v>
      </c>
      <c r="D4" s="179"/>
      <c r="E4" s="6" t="s">
        <v>3510</v>
      </c>
      <c r="F4" s="6" t="s">
        <v>3076</v>
      </c>
      <c r="G4" s="64">
        <v>437790</v>
      </c>
      <c r="H4" s="6" t="s">
        <v>1938</v>
      </c>
      <c r="I4" s="6" t="s">
        <v>1828</v>
      </c>
      <c r="J4" s="6" t="s">
        <v>1824</v>
      </c>
      <c r="K4" s="179"/>
      <c r="L4" s="54"/>
      <c r="M4" s="475"/>
      <c r="N4" s="475" t="s">
        <v>1808</v>
      </c>
      <c r="O4" s="291" t="s">
        <v>7113</v>
      </c>
      <c r="P4" s="513" t="s">
        <v>7114</v>
      </c>
      <c r="Q4" s="6" t="s">
        <v>6064</v>
      </c>
      <c r="R4" s="54"/>
    </row>
    <row r="5" spans="1:18" ht="76.5">
      <c r="A5" s="61">
        <v>42461</v>
      </c>
      <c r="B5" s="6" t="s">
        <v>2328</v>
      </c>
      <c r="C5" s="22" t="s">
        <v>3514</v>
      </c>
      <c r="D5" s="179"/>
      <c r="E5" s="6" t="s">
        <v>3511</v>
      </c>
      <c r="F5" s="6" t="s">
        <v>3512</v>
      </c>
      <c r="G5" s="6"/>
      <c r="H5" s="160" t="s">
        <v>3513</v>
      </c>
      <c r="I5" s="6" t="s">
        <v>1828</v>
      </c>
      <c r="J5" s="6"/>
      <c r="K5" s="179"/>
      <c r="L5" s="54"/>
      <c r="M5" s="6"/>
      <c r="N5" s="6" t="s">
        <v>6132</v>
      </c>
      <c r="O5" s="297" t="s">
        <v>7115</v>
      </c>
      <c r="P5" s="468" t="s">
        <v>7116</v>
      </c>
      <c r="Q5" s="6" t="s">
        <v>6724</v>
      </c>
      <c r="R5" s="54"/>
    </row>
    <row r="6" spans="1:18" ht="38.25">
      <c r="A6" s="61">
        <v>42491</v>
      </c>
      <c r="B6" s="6" t="s">
        <v>2328</v>
      </c>
      <c r="C6" s="22" t="s">
        <v>3514</v>
      </c>
      <c r="D6" s="179"/>
      <c r="E6" s="6" t="s">
        <v>3515</v>
      </c>
      <c r="F6" s="6" t="s">
        <v>3516</v>
      </c>
      <c r="G6" s="64">
        <v>586479</v>
      </c>
      <c r="H6" s="160" t="s">
        <v>3517</v>
      </c>
      <c r="I6" s="6" t="s">
        <v>6314</v>
      </c>
      <c r="J6" s="6"/>
      <c r="K6" s="179"/>
      <c r="L6" s="54"/>
      <c r="M6" s="6"/>
      <c r="N6" s="6" t="s">
        <v>6132</v>
      </c>
      <c r="O6" s="297" t="s">
        <v>7117</v>
      </c>
      <c r="P6" s="468" t="s">
        <v>7118</v>
      </c>
      <c r="Q6" s="6" t="s">
        <v>6217</v>
      </c>
      <c r="R6" s="54"/>
    </row>
    <row r="7" spans="1:18" ht="38.25">
      <c r="A7" s="61">
        <v>42522</v>
      </c>
      <c r="B7" s="6" t="s">
        <v>2328</v>
      </c>
      <c r="C7" s="22" t="s">
        <v>3521</v>
      </c>
      <c r="D7" s="179"/>
      <c r="E7" s="6" t="s">
        <v>3518</v>
      </c>
      <c r="F7" s="6" t="s">
        <v>3519</v>
      </c>
      <c r="G7" s="64">
        <v>10700</v>
      </c>
      <c r="H7" s="160" t="s">
        <v>3520</v>
      </c>
      <c r="I7" s="6" t="s">
        <v>1828</v>
      </c>
      <c r="J7" s="6"/>
      <c r="K7" s="179"/>
      <c r="L7" s="54"/>
      <c r="M7" s="6"/>
      <c r="N7" s="6" t="s">
        <v>6132</v>
      </c>
      <c r="O7" s="291" t="s">
        <v>7119</v>
      </c>
      <c r="P7" s="468" t="s">
        <v>7120</v>
      </c>
      <c r="Q7" s="6" t="s">
        <v>6217</v>
      </c>
      <c r="R7" s="54"/>
    </row>
    <row r="8" spans="1:18" ht="25.5">
      <c r="A8" s="62">
        <v>42552</v>
      </c>
      <c r="B8" s="6" t="s">
        <v>2328</v>
      </c>
      <c r="C8" s="22" t="s">
        <v>3521</v>
      </c>
      <c r="D8" s="179"/>
      <c r="E8" s="6" t="s">
        <v>3522</v>
      </c>
      <c r="F8" s="6" t="s">
        <v>3523</v>
      </c>
      <c r="G8" s="64">
        <v>55000</v>
      </c>
      <c r="H8" s="160" t="s">
        <v>3524</v>
      </c>
      <c r="I8" s="6" t="s">
        <v>1828</v>
      </c>
      <c r="J8" s="6"/>
      <c r="K8" s="179"/>
      <c r="L8" s="54"/>
      <c r="M8" s="6"/>
      <c r="N8" s="6" t="s">
        <v>6132</v>
      </c>
      <c r="O8" s="297" t="s">
        <v>7121</v>
      </c>
      <c r="P8" s="468" t="s">
        <v>7122</v>
      </c>
      <c r="Q8" s="6" t="s">
        <v>6104</v>
      </c>
      <c r="R8" s="54"/>
    </row>
    <row r="9" spans="1:18" ht="25.5">
      <c r="A9" s="61">
        <v>42583</v>
      </c>
      <c r="B9" s="6" t="s">
        <v>2328</v>
      </c>
      <c r="C9" s="22" t="s">
        <v>3514</v>
      </c>
      <c r="D9" s="178"/>
      <c r="E9" s="158" t="s">
        <v>3525</v>
      </c>
      <c r="F9" s="158" t="s">
        <v>3526</v>
      </c>
      <c r="G9" s="514">
        <v>71966</v>
      </c>
      <c r="H9" s="158" t="s">
        <v>3527</v>
      </c>
      <c r="I9" s="6" t="s">
        <v>1828</v>
      </c>
      <c r="J9" s="6"/>
      <c r="K9" s="178"/>
      <c r="L9" s="54"/>
      <c r="M9" s="6"/>
      <c r="N9" s="6" t="s">
        <v>6132</v>
      </c>
      <c r="O9" s="297" t="s">
        <v>7123</v>
      </c>
      <c r="P9" s="468" t="s">
        <v>7124</v>
      </c>
      <c r="Q9" s="6" t="s">
        <v>6724</v>
      </c>
      <c r="R9" s="54"/>
    </row>
    <row r="10" spans="1:18" ht="40.5" customHeight="1">
      <c r="A10" s="62">
        <v>42614</v>
      </c>
      <c r="B10" s="6" t="s">
        <v>6872</v>
      </c>
      <c r="C10" s="22" t="s">
        <v>394</v>
      </c>
      <c r="D10" s="179"/>
      <c r="E10" s="6" t="s">
        <v>3528</v>
      </c>
      <c r="F10" s="6" t="s">
        <v>3529</v>
      </c>
      <c r="G10" s="214">
        <v>60800</v>
      </c>
      <c r="H10" s="6" t="s">
        <v>1938</v>
      </c>
      <c r="I10" s="6" t="s">
        <v>1828</v>
      </c>
      <c r="J10" s="6" t="s">
        <v>1824</v>
      </c>
      <c r="K10" s="179"/>
      <c r="L10" s="54" t="s">
        <v>1853</v>
      </c>
      <c r="M10" s="475"/>
      <c r="N10" s="475" t="s">
        <v>1808</v>
      </c>
      <c r="O10" s="291" t="s">
        <v>7125</v>
      </c>
      <c r="P10" s="468" t="s">
        <v>7126</v>
      </c>
      <c r="Q10" s="6" t="s">
        <v>6071</v>
      </c>
      <c r="R10" s="54"/>
    </row>
    <row r="11" spans="1:18" ht="36" customHeight="1">
      <c r="A11" s="62">
        <v>42644</v>
      </c>
      <c r="B11" s="6" t="s">
        <v>6872</v>
      </c>
      <c r="C11" s="22" t="s">
        <v>1830</v>
      </c>
      <c r="D11" s="179"/>
      <c r="E11" s="6" t="s">
        <v>3530</v>
      </c>
      <c r="F11" s="6" t="s">
        <v>1556</v>
      </c>
      <c r="G11" s="8">
        <v>318000</v>
      </c>
      <c r="H11" s="6" t="s">
        <v>1938</v>
      </c>
      <c r="I11" s="6" t="s">
        <v>1828</v>
      </c>
      <c r="J11" s="6" t="s">
        <v>1824</v>
      </c>
      <c r="K11" s="179"/>
      <c r="L11" s="54"/>
      <c r="M11" s="6"/>
      <c r="N11" s="6"/>
      <c r="O11" s="291" t="s">
        <v>7127</v>
      </c>
      <c r="P11" s="468" t="s">
        <v>7128</v>
      </c>
      <c r="Q11" s="6" t="s">
        <v>6064</v>
      </c>
      <c r="R11" s="54"/>
    </row>
    <row r="12" spans="1:18" ht="38.25">
      <c r="A12" s="62">
        <v>42675</v>
      </c>
      <c r="B12" s="6" t="s">
        <v>6872</v>
      </c>
      <c r="C12" s="22" t="s">
        <v>1262</v>
      </c>
      <c r="D12" s="179"/>
      <c r="E12" s="6" t="s">
        <v>3531</v>
      </c>
      <c r="F12" s="6" t="s">
        <v>3532</v>
      </c>
      <c r="G12" s="8">
        <v>863105.4</v>
      </c>
      <c r="H12" s="6" t="s">
        <v>2508</v>
      </c>
      <c r="I12" s="6" t="s">
        <v>1828</v>
      </c>
      <c r="J12" s="6"/>
      <c r="K12" s="179"/>
      <c r="L12" s="54"/>
      <c r="M12" s="6"/>
      <c r="N12" s="6" t="s">
        <v>6132</v>
      </c>
      <c r="O12" s="291" t="s">
        <v>7129</v>
      </c>
      <c r="P12" s="468" t="s">
        <v>7130</v>
      </c>
      <c r="Q12" s="6" t="s">
        <v>6104</v>
      </c>
      <c r="R12" s="54"/>
    </row>
    <row r="13" spans="1:18" ht="42" customHeight="1">
      <c r="A13" s="62">
        <v>42705</v>
      </c>
      <c r="B13" s="6" t="s">
        <v>6872</v>
      </c>
      <c r="C13" s="22" t="s">
        <v>1940</v>
      </c>
      <c r="D13" s="179"/>
      <c r="E13" s="6" t="s">
        <v>3533</v>
      </c>
      <c r="F13" s="6" t="s">
        <v>1556</v>
      </c>
      <c r="G13" s="64">
        <v>2000000</v>
      </c>
      <c r="H13" s="6" t="s">
        <v>1938</v>
      </c>
      <c r="I13" s="6" t="s">
        <v>1828</v>
      </c>
      <c r="J13" s="6" t="s">
        <v>1824</v>
      </c>
      <c r="K13" s="179"/>
      <c r="L13" s="54" t="s">
        <v>1859</v>
      </c>
      <c r="M13" s="475"/>
      <c r="N13" s="475" t="s">
        <v>1808</v>
      </c>
      <c r="O13" s="291" t="s">
        <v>7131</v>
      </c>
      <c r="P13" s="468" t="s">
        <v>7132</v>
      </c>
      <c r="Q13" s="6" t="s">
        <v>6064</v>
      </c>
      <c r="R13" s="54"/>
    </row>
    <row r="14" spans="1:18" ht="38.25">
      <c r="A14" s="6" t="s">
        <v>3534</v>
      </c>
      <c r="B14" s="6" t="s">
        <v>2328</v>
      </c>
      <c r="C14" s="22" t="s">
        <v>3538</v>
      </c>
      <c r="D14" s="179"/>
      <c r="E14" s="6" t="s">
        <v>3535</v>
      </c>
      <c r="F14" s="158" t="s">
        <v>3536</v>
      </c>
      <c r="G14" s="8">
        <v>197515.03</v>
      </c>
      <c r="H14" s="158" t="s">
        <v>3537</v>
      </c>
      <c r="I14" s="6" t="s">
        <v>6314</v>
      </c>
      <c r="J14" s="6"/>
      <c r="K14" s="179"/>
      <c r="L14" s="54"/>
      <c r="M14" s="475"/>
      <c r="N14" s="475" t="s">
        <v>1808</v>
      </c>
      <c r="O14" s="291" t="s">
        <v>7133</v>
      </c>
      <c r="P14" s="468" t="s">
        <v>7134</v>
      </c>
      <c r="Q14" s="6" t="s">
        <v>6137</v>
      </c>
      <c r="R14" s="54"/>
    </row>
    <row r="15" spans="1:18" ht="30" customHeight="1">
      <c r="A15" s="6" t="s">
        <v>3539</v>
      </c>
      <c r="B15" s="6" t="s">
        <v>6872</v>
      </c>
      <c r="C15" s="22" t="s">
        <v>573</v>
      </c>
      <c r="D15" s="179"/>
      <c r="E15" s="6" t="s">
        <v>3540</v>
      </c>
      <c r="F15" s="6" t="s">
        <v>1556</v>
      </c>
      <c r="G15" s="64">
        <v>1638300</v>
      </c>
      <c r="H15" s="6" t="s">
        <v>1938</v>
      </c>
      <c r="I15" s="6" t="s">
        <v>1828</v>
      </c>
      <c r="J15" s="6" t="s">
        <v>1824</v>
      </c>
      <c r="K15" s="179"/>
      <c r="L15" s="54"/>
      <c r="M15" s="475"/>
      <c r="N15" s="475" t="s">
        <v>1808</v>
      </c>
      <c r="O15" s="297" t="s">
        <v>7135</v>
      </c>
      <c r="P15" s="468" t="s">
        <v>7136</v>
      </c>
      <c r="Q15" s="6" t="s">
        <v>6064</v>
      </c>
      <c r="R15" s="54"/>
    </row>
    <row r="16" spans="1:18" ht="28.5" customHeight="1">
      <c r="A16" s="6" t="s">
        <v>3541</v>
      </c>
      <c r="B16" s="6" t="s">
        <v>6872</v>
      </c>
      <c r="C16" s="22" t="s">
        <v>1859</v>
      </c>
      <c r="D16" s="178"/>
      <c r="E16" s="158" t="s">
        <v>3542</v>
      </c>
      <c r="F16" s="6" t="s">
        <v>1556</v>
      </c>
      <c r="G16" s="64">
        <v>400000</v>
      </c>
      <c r="H16" s="6" t="s">
        <v>1938</v>
      </c>
      <c r="I16" s="6" t="s">
        <v>1828</v>
      </c>
      <c r="J16" s="158" t="s">
        <v>1824</v>
      </c>
      <c r="K16" s="178"/>
      <c r="L16" s="22" t="s">
        <v>1859</v>
      </c>
      <c r="M16" s="475"/>
      <c r="N16" s="475" t="s">
        <v>1808</v>
      </c>
      <c r="O16" s="297" t="s">
        <v>7137</v>
      </c>
      <c r="P16" s="468" t="s">
        <v>7138</v>
      </c>
      <c r="Q16" s="6" t="s">
        <v>6064</v>
      </c>
      <c r="R16" s="54"/>
    </row>
    <row r="17" spans="1:18" ht="31.5" customHeight="1">
      <c r="A17" s="6" t="s">
        <v>3543</v>
      </c>
      <c r="B17" s="6" t="s">
        <v>6872</v>
      </c>
      <c r="C17" s="22" t="s">
        <v>1859</v>
      </c>
      <c r="D17" s="179"/>
      <c r="E17" s="6" t="s">
        <v>3544</v>
      </c>
      <c r="F17" s="6" t="s">
        <v>1556</v>
      </c>
      <c r="G17" s="64">
        <v>200000</v>
      </c>
      <c r="H17" s="6" t="s">
        <v>1938</v>
      </c>
      <c r="I17" s="6" t="s">
        <v>1828</v>
      </c>
      <c r="J17" s="6" t="s">
        <v>1824</v>
      </c>
      <c r="K17" s="179"/>
      <c r="L17" s="22" t="s">
        <v>1859</v>
      </c>
      <c r="M17" s="475"/>
      <c r="N17" s="475" t="s">
        <v>1808</v>
      </c>
      <c r="O17" s="291" t="s">
        <v>7139</v>
      </c>
      <c r="P17" s="468" t="s">
        <v>7140</v>
      </c>
      <c r="Q17" s="6" t="s">
        <v>6064</v>
      </c>
      <c r="R17" s="54"/>
    </row>
    <row r="18" spans="1:18" ht="38.25">
      <c r="A18" s="6" t="s">
        <v>3545</v>
      </c>
      <c r="B18" s="6" t="s">
        <v>6872</v>
      </c>
      <c r="C18" s="22" t="s">
        <v>62</v>
      </c>
      <c r="D18" s="179"/>
      <c r="E18" s="6" t="s">
        <v>3546</v>
      </c>
      <c r="F18" s="6" t="s">
        <v>3547</v>
      </c>
      <c r="G18" s="64">
        <v>715000</v>
      </c>
      <c r="H18" s="160" t="s">
        <v>3548</v>
      </c>
      <c r="I18" s="6" t="s">
        <v>1828</v>
      </c>
      <c r="J18" s="6"/>
      <c r="K18" s="179"/>
      <c r="L18" s="54"/>
      <c r="M18" s="6"/>
      <c r="N18" s="6" t="s">
        <v>6132</v>
      </c>
      <c r="O18" s="291" t="s">
        <v>7141</v>
      </c>
      <c r="P18" s="468" t="s">
        <v>7142</v>
      </c>
      <c r="Q18" s="6" t="s">
        <v>6092</v>
      </c>
      <c r="R18" s="54"/>
    </row>
    <row r="19" spans="1:18" ht="39" customHeight="1">
      <c r="A19" s="6" t="s">
        <v>3549</v>
      </c>
      <c r="B19" s="6" t="s">
        <v>6872</v>
      </c>
      <c r="C19" s="22" t="s">
        <v>3155</v>
      </c>
      <c r="D19" s="179"/>
      <c r="E19" s="6" t="s">
        <v>3540</v>
      </c>
      <c r="F19" s="6" t="s">
        <v>1556</v>
      </c>
      <c r="G19" s="64">
        <v>800000</v>
      </c>
      <c r="H19" s="6" t="s">
        <v>1938</v>
      </c>
      <c r="I19" s="6" t="s">
        <v>1828</v>
      </c>
      <c r="J19" s="6" t="s">
        <v>1824</v>
      </c>
      <c r="K19" s="179"/>
      <c r="L19" s="54"/>
      <c r="M19" s="475"/>
      <c r="N19" s="475" t="s">
        <v>1808</v>
      </c>
      <c r="O19" s="291" t="s">
        <v>7143</v>
      </c>
      <c r="P19" s="468" t="s">
        <v>7144</v>
      </c>
      <c r="Q19" s="6" t="s">
        <v>6064</v>
      </c>
      <c r="R19" s="54"/>
    </row>
    <row r="20" spans="1:18" ht="43.5" customHeight="1">
      <c r="A20" s="6" t="s">
        <v>3550</v>
      </c>
      <c r="B20" s="6" t="s">
        <v>6872</v>
      </c>
      <c r="C20" s="22" t="s">
        <v>2093</v>
      </c>
      <c r="D20" s="179"/>
      <c r="E20" s="6" t="s">
        <v>3551</v>
      </c>
      <c r="F20" s="6" t="s">
        <v>3552</v>
      </c>
      <c r="G20" s="64">
        <v>200000</v>
      </c>
      <c r="H20" s="6" t="s">
        <v>2508</v>
      </c>
      <c r="I20" s="6" t="s">
        <v>1828</v>
      </c>
      <c r="J20" s="6" t="s">
        <v>1824</v>
      </c>
      <c r="K20" s="179"/>
      <c r="L20" s="54" t="s">
        <v>1859</v>
      </c>
      <c r="M20" s="475"/>
      <c r="N20" s="475" t="s">
        <v>1808</v>
      </c>
      <c r="O20" s="291" t="s">
        <v>7145</v>
      </c>
      <c r="P20" s="468" t="s">
        <v>7146</v>
      </c>
      <c r="Q20" s="6" t="s">
        <v>6064</v>
      </c>
      <c r="R20" s="54"/>
    </row>
    <row r="21" spans="1:18" ht="25.5">
      <c r="A21" s="6" t="s">
        <v>3553</v>
      </c>
      <c r="B21" s="6" t="s">
        <v>6872</v>
      </c>
      <c r="C21" s="22" t="s">
        <v>2093</v>
      </c>
      <c r="D21" s="179"/>
      <c r="E21" s="6" t="s">
        <v>3554</v>
      </c>
      <c r="F21" s="6" t="s">
        <v>3555</v>
      </c>
      <c r="G21" s="64">
        <v>200000</v>
      </c>
      <c r="H21" s="6" t="s">
        <v>2508</v>
      </c>
      <c r="I21" s="6" t="s">
        <v>1828</v>
      </c>
      <c r="J21" s="6" t="s">
        <v>1824</v>
      </c>
      <c r="K21" s="179"/>
      <c r="L21" s="54" t="s">
        <v>1859</v>
      </c>
      <c r="M21" s="475"/>
      <c r="N21" s="475" t="s">
        <v>1808</v>
      </c>
      <c r="O21" s="297" t="s">
        <v>7147</v>
      </c>
      <c r="P21" s="468" t="s">
        <v>7148</v>
      </c>
      <c r="Q21" s="6" t="s">
        <v>6064</v>
      </c>
      <c r="R21" s="54"/>
    </row>
    <row r="22" spans="1:18" ht="38.25">
      <c r="A22" s="6" t="s">
        <v>3556</v>
      </c>
      <c r="B22" s="6" t="s">
        <v>6872</v>
      </c>
      <c r="C22" s="22" t="s">
        <v>2093</v>
      </c>
      <c r="D22" s="179"/>
      <c r="E22" s="6" t="s">
        <v>3557</v>
      </c>
      <c r="F22" s="6" t="s">
        <v>1686</v>
      </c>
      <c r="G22" s="64">
        <v>200000</v>
      </c>
      <c r="H22" s="6" t="s">
        <v>2508</v>
      </c>
      <c r="I22" s="6" t="s">
        <v>1828</v>
      </c>
      <c r="J22" s="6" t="s">
        <v>1824</v>
      </c>
      <c r="K22" s="179"/>
      <c r="L22" s="54" t="s">
        <v>1859</v>
      </c>
      <c r="M22" s="475"/>
      <c r="N22" s="475" t="s">
        <v>1808</v>
      </c>
      <c r="O22" s="291" t="s">
        <v>7149</v>
      </c>
      <c r="P22" s="468" t="s">
        <v>7150</v>
      </c>
      <c r="Q22" s="6" t="s">
        <v>6064</v>
      </c>
      <c r="R22" s="54"/>
    </row>
    <row r="23" spans="1:18" ht="25.5">
      <c r="A23" s="6" t="s">
        <v>3558</v>
      </c>
      <c r="B23" s="6" t="s">
        <v>6872</v>
      </c>
      <c r="C23" s="22" t="s">
        <v>2093</v>
      </c>
      <c r="D23" s="179"/>
      <c r="E23" s="6" t="s">
        <v>3559</v>
      </c>
      <c r="F23" s="6" t="s">
        <v>3560</v>
      </c>
      <c r="G23" s="64">
        <v>200000</v>
      </c>
      <c r="H23" s="6" t="s">
        <v>1938</v>
      </c>
      <c r="I23" s="6" t="s">
        <v>1828</v>
      </c>
      <c r="J23" s="6" t="s">
        <v>1824</v>
      </c>
      <c r="K23" s="179"/>
      <c r="L23" s="54" t="s">
        <v>1859</v>
      </c>
      <c r="M23" s="475"/>
      <c r="N23" s="475" t="s">
        <v>1808</v>
      </c>
      <c r="O23" s="297" t="s">
        <v>7151</v>
      </c>
      <c r="P23" s="468" t="s">
        <v>7152</v>
      </c>
      <c r="Q23" s="6" t="s">
        <v>6064</v>
      </c>
      <c r="R23" s="54"/>
    </row>
    <row r="24" spans="1:18" ht="25.5">
      <c r="A24" s="6" t="s">
        <v>3561</v>
      </c>
      <c r="B24" s="6" t="s">
        <v>6872</v>
      </c>
      <c r="C24" s="22" t="s">
        <v>2093</v>
      </c>
      <c r="D24" s="179"/>
      <c r="E24" s="6" t="s">
        <v>3562</v>
      </c>
      <c r="F24" s="6" t="s">
        <v>3563</v>
      </c>
      <c r="G24" s="64">
        <v>200000</v>
      </c>
      <c r="H24" s="6" t="s">
        <v>1938</v>
      </c>
      <c r="I24" s="6" t="s">
        <v>1828</v>
      </c>
      <c r="J24" s="6" t="s">
        <v>1824</v>
      </c>
      <c r="K24" s="179"/>
      <c r="L24" s="54" t="s">
        <v>1859</v>
      </c>
      <c r="M24" s="475"/>
      <c r="N24" s="475" t="s">
        <v>1808</v>
      </c>
      <c r="O24" s="297" t="s">
        <v>7153</v>
      </c>
      <c r="P24" s="468" t="s">
        <v>7154</v>
      </c>
      <c r="Q24" s="6" t="s">
        <v>6064</v>
      </c>
      <c r="R24" s="54"/>
    </row>
    <row r="25" spans="1:18" ht="28.5" customHeight="1">
      <c r="A25" s="6" t="s">
        <v>3564</v>
      </c>
      <c r="B25" s="6" t="s">
        <v>6872</v>
      </c>
      <c r="C25" s="22" t="s">
        <v>2093</v>
      </c>
      <c r="D25" s="179"/>
      <c r="E25" s="6" t="s">
        <v>3565</v>
      </c>
      <c r="F25" s="6" t="s">
        <v>3566</v>
      </c>
      <c r="G25" s="64">
        <v>200000</v>
      </c>
      <c r="H25" s="6" t="s">
        <v>2508</v>
      </c>
      <c r="I25" s="6" t="s">
        <v>1828</v>
      </c>
      <c r="J25" s="6" t="s">
        <v>1824</v>
      </c>
      <c r="K25" s="179"/>
      <c r="L25" s="54" t="s">
        <v>1859</v>
      </c>
      <c r="M25" s="475"/>
      <c r="N25" s="475" t="s">
        <v>1808</v>
      </c>
      <c r="O25" s="297" t="s">
        <v>7155</v>
      </c>
      <c r="P25" s="468" t="s">
        <v>7156</v>
      </c>
      <c r="Q25" s="6" t="s">
        <v>6064</v>
      </c>
      <c r="R25" s="54"/>
    </row>
    <row r="26" spans="1:18" ht="25.5">
      <c r="A26" s="6" t="s">
        <v>3567</v>
      </c>
      <c r="B26" s="6" t="s">
        <v>6872</v>
      </c>
      <c r="C26" s="22" t="s">
        <v>2093</v>
      </c>
      <c r="D26" s="179"/>
      <c r="E26" s="6" t="s">
        <v>3568</v>
      </c>
      <c r="F26" s="6" t="s">
        <v>1611</v>
      </c>
      <c r="G26" s="64">
        <v>200000</v>
      </c>
      <c r="H26" s="6" t="s">
        <v>2508</v>
      </c>
      <c r="I26" s="6" t="s">
        <v>1828</v>
      </c>
      <c r="J26" s="6" t="s">
        <v>1824</v>
      </c>
      <c r="K26" s="179"/>
      <c r="L26" s="54" t="s">
        <v>1859</v>
      </c>
      <c r="M26" s="475"/>
      <c r="N26" s="475" t="s">
        <v>1808</v>
      </c>
      <c r="O26" s="297" t="s">
        <v>7157</v>
      </c>
      <c r="P26" s="468" t="s">
        <v>7158</v>
      </c>
      <c r="Q26" s="6" t="s">
        <v>6064</v>
      </c>
      <c r="R26" s="54"/>
    </row>
    <row r="27" spans="1:18" ht="27" customHeight="1">
      <c r="A27" s="6" t="s">
        <v>3569</v>
      </c>
      <c r="B27" s="6" t="s">
        <v>6872</v>
      </c>
      <c r="C27" s="22" t="s">
        <v>2093</v>
      </c>
      <c r="D27" s="179"/>
      <c r="E27" s="6" t="s">
        <v>3570</v>
      </c>
      <c r="F27" s="6" t="s">
        <v>3571</v>
      </c>
      <c r="G27" s="64">
        <v>200000</v>
      </c>
      <c r="H27" s="6" t="s">
        <v>2508</v>
      </c>
      <c r="I27" s="6" t="s">
        <v>1828</v>
      </c>
      <c r="J27" s="6" t="s">
        <v>1824</v>
      </c>
      <c r="K27" s="179"/>
      <c r="L27" s="54" t="s">
        <v>1859</v>
      </c>
      <c r="M27" s="475"/>
      <c r="N27" s="475" t="s">
        <v>1808</v>
      </c>
      <c r="O27" s="291" t="s">
        <v>7159</v>
      </c>
      <c r="P27" s="468" t="s">
        <v>7160</v>
      </c>
      <c r="Q27" s="6" t="s">
        <v>6071</v>
      </c>
      <c r="R27" s="54"/>
    </row>
    <row r="28" spans="1:18" ht="34.5" customHeight="1">
      <c r="A28" s="6" t="s">
        <v>3572</v>
      </c>
      <c r="B28" s="6" t="s">
        <v>6872</v>
      </c>
      <c r="C28" s="22" t="s">
        <v>2093</v>
      </c>
      <c r="D28" s="179"/>
      <c r="E28" s="6" t="s">
        <v>3573</v>
      </c>
      <c r="F28" s="6" t="s">
        <v>1742</v>
      </c>
      <c r="G28" s="64">
        <v>200000</v>
      </c>
      <c r="H28" s="6" t="s">
        <v>2508</v>
      </c>
      <c r="I28" s="6" t="s">
        <v>1828</v>
      </c>
      <c r="J28" s="6" t="s">
        <v>1824</v>
      </c>
      <c r="K28" s="179"/>
      <c r="L28" s="54" t="s">
        <v>1859</v>
      </c>
      <c r="M28" s="475"/>
      <c r="N28" s="475" t="s">
        <v>1808</v>
      </c>
      <c r="O28" s="297" t="s">
        <v>7161</v>
      </c>
      <c r="P28" s="468" t="s">
        <v>7162</v>
      </c>
      <c r="Q28" s="6" t="s">
        <v>6064</v>
      </c>
      <c r="R28" s="54"/>
    </row>
    <row r="29" spans="1:18" ht="40.5" customHeight="1">
      <c r="A29" s="6" t="s">
        <v>3574</v>
      </c>
      <c r="B29" s="6" t="s">
        <v>6872</v>
      </c>
      <c r="C29" s="22" t="s">
        <v>2093</v>
      </c>
      <c r="D29" s="179"/>
      <c r="E29" s="6" t="s">
        <v>3575</v>
      </c>
      <c r="F29" s="6" t="s">
        <v>3576</v>
      </c>
      <c r="G29" s="64">
        <v>200000</v>
      </c>
      <c r="H29" s="6" t="s">
        <v>2508</v>
      </c>
      <c r="I29" s="6" t="s">
        <v>1828</v>
      </c>
      <c r="J29" s="6" t="s">
        <v>1824</v>
      </c>
      <c r="K29" s="179"/>
      <c r="L29" s="54" t="s">
        <v>1859</v>
      </c>
      <c r="M29" s="475"/>
      <c r="N29" s="475" t="s">
        <v>1808</v>
      </c>
      <c r="O29" s="291" t="s">
        <v>7163</v>
      </c>
      <c r="P29" s="468" t="s">
        <v>7164</v>
      </c>
      <c r="Q29" s="6" t="s">
        <v>6064</v>
      </c>
      <c r="R29" s="54"/>
    </row>
    <row r="30" spans="1:18" ht="37.5" customHeight="1">
      <c r="A30" s="6" t="s">
        <v>3577</v>
      </c>
      <c r="B30" s="6" t="s">
        <v>6872</v>
      </c>
      <c r="C30" s="22" t="s">
        <v>2093</v>
      </c>
      <c r="D30" s="179"/>
      <c r="E30" s="6" t="s">
        <v>3578</v>
      </c>
      <c r="F30" s="6" t="s">
        <v>650</v>
      </c>
      <c r="G30" s="64">
        <v>200000</v>
      </c>
      <c r="H30" s="6"/>
      <c r="I30" s="6" t="s">
        <v>6314</v>
      </c>
      <c r="J30" s="6" t="s">
        <v>1824</v>
      </c>
      <c r="K30" s="179"/>
      <c r="L30" s="54" t="s">
        <v>1859</v>
      </c>
      <c r="M30" s="475"/>
      <c r="N30" s="475" t="s">
        <v>1808</v>
      </c>
      <c r="O30" s="291" t="s">
        <v>7165</v>
      </c>
      <c r="P30" s="468" t="s">
        <v>7166</v>
      </c>
      <c r="Q30" s="6" t="s">
        <v>6064</v>
      </c>
      <c r="R30" s="54"/>
    </row>
    <row r="31" spans="1:18" ht="30.75" customHeight="1">
      <c r="A31" s="6" t="s">
        <v>3579</v>
      </c>
      <c r="B31" s="6" t="s">
        <v>6872</v>
      </c>
      <c r="C31" s="22" t="s">
        <v>2093</v>
      </c>
      <c r="D31" s="179"/>
      <c r="E31" s="6" t="s">
        <v>3580</v>
      </c>
      <c r="F31" s="6" t="s">
        <v>581</v>
      </c>
      <c r="G31" s="64">
        <v>200000</v>
      </c>
      <c r="H31" s="6"/>
      <c r="I31" s="6" t="s">
        <v>6370</v>
      </c>
      <c r="J31" s="6" t="s">
        <v>1824</v>
      </c>
      <c r="K31" s="179"/>
      <c r="L31" s="54" t="s">
        <v>1859</v>
      </c>
      <c r="M31" s="475"/>
      <c r="N31" s="475" t="s">
        <v>1808</v>
      </c>
      <c r="O31" s="291" t="s">
        <v>7167</v>
      </c>
      <c r="P31" s="468" t="s">
        <v>7168</v>
      </c>
      <c r="Q31" s="6" t="s">
        <v>6064</v>
      </c>
      <c r="R31" s="54"/>
    </row>
    <row r="32" spans="1:18" ht="30.75" customHeight="1">
      <c r="A32" s="6" t="s">
        <v>3581</v>
      </c>
      <c r="B32" s="6" t="s">
        <v>6872</v>
      </c>
      <c r="C32" s="22" t="s">
        <v>2093</v>
      </c>
      <c r="D32" s="179"/>
      <c r="E32" s="6" t="s">
        <v>3582</v>
      </c>
      <c r="F32" s="6" t="s">
        <v>1722</v>
      </c>
      <c r="G32" s="64">
        <v>200000</v>
      </c>
      <c r="H32" s="6"/>
      <c r="I32" s="6" t="s">
        <v>2613</v>
      </c>
      <c r="J32" s="6" t="s">
        <v>1824</v>
      </c>
      <c r="K32" s="179"/>
      <c r="L32" s="54" t="s">
        <v>1859</v>
      </c>
      <c r="M32" s="475"/>
      <c r="N32" s="475" t="s">
        <v>1808</v>
      </c>
      <c r="O32" s="291" t="s">
        <v>7169</v>
      </c>
      <c r="P32" s="468" t="s">
        <v>7170</v>
      </c>
      <c r="Q32" s="6" t="s">
        <v>6064</v>
      </c>
      <c r="R32" s="54"/>
    </row>
    <row r="33" spans="1:18" ht="38.25">
      <c r="A33" s="6" t="s">
        <v>3583</v>
      </c>
      <c r="B33" s="6" t="s">
        <v>6872</v>
      </c>
      <c r="C33" s="22" t="s">
        <v>2093</v>
      </c>
      <c r="D33" s="179"/>
      <c r="E33" s="6" t="s">
        <v>3584</v>
      </c>
      <c r="F33" s="6" t="s">
        <v>1502</v>
      </c>
      <c r="G33" s="64">
        <v>200000</v>
      </c>
      <c r="H33" s="6"/>
      <c r="I33" s="6" t="s">
        <v>2449</v>
      </c>
      <c r="J33" s="6" t="s">
        <v>1824</v>
      </c>
      <c r="K33" s="179"/>
      <c r="L33" s="54" t="s">
        <v>1859</v>
      </c>
      <c r="M33" s="475"/>
      <c r="N33" s="475" t="s">
        <v>1808</v>
      </c>
      <c r="O33" s="291" t="s">
        <v>7171</v>
      </c>
      <c r="P33" s="468" t="s">
        <v>7172</v>
      </c>
      <c r="Q33" s="6" t="s">
        <v>6064</v>
      </c>
      <c r="R33" s="54"/>
    </row>
    <row r="34" spans="1:18" ht="33.75" customHeight="1">
      <c r="A34" s="6" t="s">
        <v>3585</v>
      </c>
      <c r="B34" s="6" t="s">
        <v>6872</v>
      </c>
      <c r="C34" s="22" t="s">
        <v>2093</v>
      </c>
      <c r="D34" s="179"/>
      <c r="E34" s="6" t="s">
        <v>3586</v>
      </c>
      <c r="F34" s="6" t="s">
        <v>3587</v>
      </c>
      <c r="G34" s="64">
        <v>200000</v>
      </c>
      <c r="H34" s="6"/>
      <c r="I34" s="6"/>
      <c r="J34" s="6" t="s">
        <v>1824</v>
      </c>
      <c r="K34" s="179"/>
      <c r="L34" s="54" t="s">
        <v>1859</v>
      </c>
      <c r="M34" s="475"/>
      <c r="N34" s="475" t="s">
        <v>1808</v>
      </c>
      <c r="O34" s="291" t="s">
        <v>7173</v>
      </c>
      <c r="P34" s="468" t="s">
        <v>7174</v>
      </c>
      <c r="Q34" s="6" t="s">
        <v>6064</v>
      </c>
      <c r="R34" s="54"/>
    </row>
    <row r="35" spans="1:18" ht="25.5">
      <c r="A35" s="6" t="s">
        <v>3588</v>
      </c>
      <c r="B35" s="6" t="s">
        <v>6872</v>
      </c>
      <c r="C35" s="22" t="s">
        <v>2093</v>
      </c>
      <c r="D35" s="179"/>
      <c r="E35" s="6" t="s">
        <v>3589</v>
      </c>
      <c r="F35" s="6" t="s">
        <v>1491</v>
      </c>
      <c r="G35" s="64">
        <v>200000</v>
      </c>
      <c r="H35" s="6"/>
      <c r="I35" s="6" t="s">
        <v>6783</v>
      </c>
      <c r="J35" s="6" t="s">
        <v>1824</v>
      </c>
      <c r="K35" s="179"/>
      <c r="L35" s="54" t="s">
        <v>1859</v>
      </c>
      <c r="M35" s="475"/>
      <c r="N35" s="475" t="s">
        <v>1808</v>
      </c>
      <c r="O35" s="297" t="s">
        <v>7175</v>
      </c>
      <c r="P35" s="468" t="s">
        <v>7176</v>
      </c>
      <c r="Q35" s="6" t="s">
        <v>6064</v>
      </c>
      <c r="R35" s="54"/>
    </row>
    <row r="36" spans="1:18" ht="25.5">
      <c r="A36" s="6" t="s">
        <v>3590</v>
      </c>
      <c r="B36" s="6" t="s">
        <v>6872</v>
      </c>
      <c r="C36" s="22" t="s">
        <v>2093</v>
      </c>
      <c r="D36" s="179"/>
      <c r="E36" s="6" t="s">
        <v>3591</v>
      </c>
      <c r="F36" s="6" t="s">
        <v>3592</v>
      </c>
      <c r="G36" s="64">
        <v>200000</v>
      </c>
      <c r="H36" s="6" t="s">
        <v>2508</v>
      </c>
      <c r="I36" s="6" t="s">
        <v>1828</v>
      </c>
      <c r="J36" s="6" t="s">
        <v>1824</v>
      </c>
      <c r="K36" s="179"/>
      <c r="L36" s="54" t="s">
        <v>1859</v>
      </c>
      <c r="M36" s="475"/>
      <c r="N36" s="475" t="s">
        <v>1808</v>
      </c>
      <c r="O36" s="297" t="s">
        <v>7177</v>
      </c>
      <c r="P36" s="468" t="s">
        <v>7178</v>
      </c>
      <c r="Q36" s="6" t="s">
        <v>6064</v>
      </c>
      <c r="R36" s="54"/>
    </row>
    <row r="37" spans="1:18" ht="38.25">
      <c r="A37" s="6" t="s">
        <v>3593</v>
      </c>
      <c r="B37" s="6" t="s">
        <v>2328</v>
      </c>
      <c r="C37" s="22"/>
      <c r="D37" s="179"/>
      <c r="E37" s="6" t="s">
        <v>3594</v>
      </c>
      <c r="F37" s="6" t="s">
        <v>3595</v>
      </c>
      <c r="G37" s="6"/>
      <c r="H37" s="160" t="s">
        <v>3596</v>
      </c>
      <c r="I37" s="6" t="s">
        <v>1828</v>
      </c>
      <c r="J37" s="6"/>
      <c r="K37" s="179"/>
      <c r="L37" s="54"/>
      <c r="M37" s="6"/>
      <c r="N37" s="6" t="s">
        <v>6179</v>
      </c>
      <c r="O37" s="291" t="s">
        <v>7179</v>
      </c>
      <c r="P37" s="468" t="s">
        <v>7180</v>
      </c>
      <c r="Q37" s="6" t="s">
        <v>1867</v>
      </c>
      <c r="R37" s="54"/>
    </row>
    <row r="38" spans="1:18" ht="38.25">
      <c r="A38" s="6" t="s">
        <v>3597</v>
      </c>
      <c r="B38" s="6" t="s">
        <v>2328</v>
      </c>
      <c r="C38" s="22" t="s">
        <v>3538</v>
      </c>
      <c r="D38" s="179"/>
      <c r="E38" s="6" t="s">
        <v>3598</v>
      </c>
      <c r="F38" s="6" t="s">
        <v>3599</v>
      </c>
      <c r="G38" s="6"/>
      <c r="H38" s="160" t="s">
        <v>3600</v>
      </c>
      <c r="I38" s="6" t="s">
        <v>1828</v>
      </c>
      <c r="J38" s="6"/>
      <c r="K38" s="179"/>
      <c r="L38" s="54"/>
      <c r="M38" s="6"/>
      <c r="N38" s="6" t="s">
        <v>6179</v>
      </c>
      <c r="O38" s="297" t="s">
        <v>7181</v>
      </c>
      <c r="P38" s="468" t="s">
        <v>7182</v>
      </c>
      <c r="Q38" s="6" t="s">
        <v>1867</v>
      </c>
      <c r="R38" s="54"/>
    </row>
    <row r="39" spans="1:18" ht="51">
      <c r="A39" s="6" t="s">
        <v>3601</v>
      </c>
      <c r="B39" s="6" t="s">
        <v>2328</v>
      </c>
      <c r="C39" s="22" t="s">
        <v>3538</v>
      </c>
      <c r="D39" s="179"/>
      <c r="E39" s="6" t="s">
        <v>3602</v>
      </c>
      <c r="F39" s="6" t="s">
        <v>3603</v>
      </c>
      <c r="G39" s="64">
        <v>81900</v>
      </c>
      <c r="H39" s="158" t="s">
        <v>3604</v>
      </c>
      <c r="I39" s="6" t="s">
        <v>1828</v>
      </c>
      <c r="J39" s="6"/>
      <c r="K39" s="179"/>
      <c r="L39" s="54"/>
      <c r="M39" s="6"/>
      <c r="N39" s="6" t="s">
        <v>6132</v>
      </c>
      <c r="O39" s="291" t="s">
        <v>7183</v>
      </c>
      <c r="P39" s="468" t="s">
        <v>7184</v>
      </c>
      <c r="Q39" s="6" t="s">
        <v>1867</v>
      </c>
      <c r="R39" s="54"/>
    </row>
    <row r="40" spans="1:18" ht="25.5">
      <c r="A40" s="6" t="s">
        <v>3605</v>
      </c>
      <c r="B40" s="6" t="s">
        <v>2328</v>
      </c>
      <c r="C40" s="22" t="s">
        <v>3538</v>
      </c>
      <c r="D40" s="179"/>
      <c r="E40" s="6" t="s">
        <v>3606</v>
      </c>
      <c r="F40" s="6" t="s">
        <v>3607</v>
      </c>
      <c r="G40" s="64">
        <v>25000</v>
      </c>
      <c r="H40" s="160" t="s">
        <v>3608</v>
      </c>
      <c r="I40" s="6" t="s">
        <v>1828</v>
      </c>
      <c r="J40" s="6"/>
      <c r="K40" s="179"/>
      <c r="L40" s="54"/>
      <c r="M40" s="6"/>
      <c r="N40" s="6" t="s">
        <v>6132</v>
      </c>
      <c r="O40" s="291" t="s">
        <v>7185</v>
      </c>
      <c r="P40" s="468" t="s">
        <v>7186</v>
      </c>
      <c r="Q40" s="6" t="s">
        <v>1867</v>
      </c>
      <c r="R40" s="54"/>
    </row>
    <row r="41" spans="1:18" ht="38.25">
      <c r="A41" s="6" t="s">
        <v>3609</v>
      </c>
      <c r="B41" s="160" t="s">
        <v>2328</v>
      </c>
      <c r="C41" s="22" t="s">
        <v>3109</v>
      </c>
      <c r="D41" s="179"/>
      <c r="E41" s="6" t="s">
        <v>3610</v>
      </c>
      <c r="F41" s="6" t="s">
        <v>3611</v>
      </c>
      <c r="G41" s="64">
        <v>78591</v>
      </c>
      <c r="H41" s="160" t="s">
        <v>3612</v>
      </c>
      <c r="I41" s="6" t="s">
        <v>1828</v>
      </c>
      <c r="J41" s="6"/>
      <c r="K41" s="179"/>
      <c r="L41" s="54"/>
      <c r="M41" s="6"/>
      <c r="N41" s="6" t="s">
        <v>6132</v>
      </c>
      <c r="O41" s="291" t="s">
        <v>7187</v>
      </c>
      <c r="P41" s="468" t="s">
        <v>7188</v>
      </c>
      <c r="Q41" s="6" t="s">
        <v>1867</v>
      </c>
      <c r="R41" s="54"/>
    </row>
    <row r="42" spans="1:18" ht="25.5">
      <c r="A42" s="6" t="s">
        <v>3613</v>
      </c>
      <c r="B42" s="6" t="s">
        <v>2328</v>
      </c>
      <c r="C42" s="22"/>
      <c r="D42" s="179"/>
      <c r="E42" s="6" t="s">
        <v>3614</v>
      </c>
      <c r="F42" s="6" t="s">
        <v>3615</v>
      </c>
      <c r="G42" s="64">
        <v>82650</v>
      </c>
      <c r="H42" s="160" t="s">
        <v>3616</v>
      </c>
      <c r="I42" s="6" t="s">
        <v>2613</v>
      </c>
      <c r="J42" s="6"/>
      <c r="K42" s="179"/>
      <c r="L42" s="54"/>
      <c r="M42" s="6"/>
      <c r="N42" s="6" t="s">
        <v>6132</v>
      </c>
      <c r="O42" s="291" t="s">
        <v>7189</v>
      </c>
      <c r="P42" s="468" t="s">
        <v>7190</v>
      </c>
      <c r="Q42" s="6" t="s">
        <v>1867</v>
      </c>
      <c r="R42" s="54"/>
    </row>
    <row r="43" spans="1:18" ht="38.25">
      <c r="A43" s="6" t="s">
        <v>3617</v>
      </c>
      <c r="B43" s="6" t="s">
        <v>2328</v>
      </c>
      <c r="C43" s="22" t="s">
        <v>3109</v>
      </c>
      <c r="D43" s="179"/>
      <c r="E43" s="6" t="s">
        <v>3618</v>
      </c>
      <c r="F43" s="6" t="s">
        <v>3619</v>
      </c>
      <c r="G43" s="8">
        <v>394193.22</v>
      </c>
      <c r="H43" s="160" t="s">
        <v>3620</v>
      </c>
      <c r="I43" s="6" t="s">
        <v>1828</v>
      </c>
      <c r="J43" s="6"/>
      <c r="K43" s="179"/>
      <c r="L43" s="54"/>
      <c r="M43" s="6"/>
      <c r="N43" s="6" t="s">
        <v>6132</v>
      </c>
      <c r="O43" s="297" t="s">
        <v>7191</v>
      </c>
      <c r="P43" s="468" t="s">
        <v>7192</v>
      </c>
      <c r="Q43" s="6" t="s">
        <v>1867</v>
      </c>
      <c r="R43" s="54"/>
    </row>
    <row r="44" spans="1:18" ht="38.25">
      <c r="A44" s="6" t="s">
        <v>3621</v>
      </c>
      <c r="B44" s="6" t="s">
        <v>2328</v>
      </c>
      <c r="C44" s="22" t="s">
        <v>3109</v>
      </c>
      <c r="D44" s="179"/>
      <c r="E44" s="6" t="s">
        <v>3622</v>
      </c>
      <c r="F44" s="6" t="s">
        <v>3623</v>
      </c>
      <c r="G44" s="8">
        <v>28457.05</v>
      </c>
      <c r="H44" s="160" t="s">
        <v>3624</v>
      </c>
      <c r="I44" s="6" t="s">
        <v>1828</v>
      </c>
      <c r="J44" s="6"/>
      <c r="K44" s="179"/>
      <c r="L44" s="54"/>
      <c r="M44" s="6"/>
      <c r="N44" s="6" t="s">
        <v>6132</v>
      </c>
      <c r="O44" s="297" t="s">
        <v>7193</v>
      </c>
      <c r="P44" s="468" t="s">
        <v>7194</v>
      </c>
      <c r="Q44" s="6" t="s">
        <v>1867</v>
      </c>
      <c r="R44" s="54"/>
    </row>
    <row r="45" spans="1:18" ht="27.75" customHeight="1">
      <c r="A45" s="6" t="s">
        <v>3625</v>
      </c>
      <c r="B45" s="6" t="s">
        <v>3626</v>
      </c>
      <c r="C45" s="22"/>
      <c r="D45" s="179"/>
      <c r="E45" s="6" t="s">
        <v>3627</v>
      </c>
      <c r="F45" s="6" t="s">
        <v>3628</v>
      </c>
      <c r="G45" s="64">
        <v>311000</v>
      </c>
      <c r="H45" s="6"/>
      <c r="I45" s="6"/>
      <c r="J45" s="6"/>
      <c r="K45" s="179"/>
      <c r="L45" s="54"/>
      <c r="M45" s="475"/>
      <c r="N45" s="475" t="s">
        <v>1808</v>
      </c>
      <c r="O45" s="297" t="s">
        <v>7195</v>
      </c>
      <c r="P45" s="468" t="s">
        <v>7196</v>
      </c>
      <c r="Q45" s="6" t="s">
        <v>6064</v>
      </c>
      <c r="R45" s="54"/>
    </row>
    <row r="46" spans="1:18" ht="25.5">
      <c r="A46" s="6" t="s">
        <v>3629</v>
      </c>
      <c r="B46" s="6" t="s">
        <v>6872</v>
      </c>
      <c r="C46" s="22" t="s">
        <v>2093</v>
      </c>
      <c r="D46" s="179"/>
      <c r="E46" s="6" t="s">
        <v>3630</v>
      </c>
      <c r="F46" s="6" t="s">
        <v>3631</v>
      </c>
      <c r="G46" s="64">
        <v>200000</v>
      </c>
      <c r="H46" s="6" t="s">
        <v>2508</v>
      </c>
      <c r="I46" s="6" t="s">
        <v>1828</v>
      </c>
      <c r="J46" s="6" t="s">
        <v>1824</v>
      </c>
      <c r="K46" s="179"/>
      <c r="L46" s="54" t="s">
        <v>1859</v>
      </c>
      <c r="M46" s="475"/>
      <c r="N46" s="475" t="s">
        <v>1808</v>
      </c>
      <c r="O46" s="297" t="s">
        <v>7197</v>
      </c>
      <c r="P46" s="468" t="s">
        <v>7198</v>
      </c>
      <c r="Q46" s="6" t="s">
        <v>6064</v>
      </c>
      <c r="R46" s="54"/>
    </row>
    <row r="47" spans="1:18" ht="25.5">
      <c r="A47" s="6" t="s">
        <v>3632</v>
      </c>
      <c r="B47" s="6" t="s">
        <v>6872</v>
      </c>
      <c r="C47" s="22" t="s">
        <v>2093</v>
      </c>
      <c r="D47" s="178"/>
      <c r="E47" s="158" t="s">
        <v>3633</v>
      </c>
      <c r="F47" s="6" t="s">
        <v>3634</v>
      </c>
      <c r="G47" s="64">
        <v>200000</v>
      </c>
      <c r="H47" s="6" t="s">
        <v>1938</v>
      </c>
      <c r="I47" s="6" t="s">
        <v>1828</v>
      </c>
      <c r="J47" s="6" t="s">
        <v>1824</v>
      </c>
      <c r="K47" s="178"/>
      <c r="L47" s="54" t="s">
        <v>1859</v>
      </c>
      <c r="M47" s="475"/>
      <c r="N47" s="475" t="s">
        <v>1808</v>
      </c>
      <c r="O47" s="297" t="s">
        <v>7199</v>
      </c>
      <c r="P47" s="468" t="s">
        <v>7200</v>
      </c>
      <c r="Q47" s="6" t="s">
        <v>6064</v>
      </c>
      <c r="R47" s="54"/>
    </row>
    <row r="48" spans="1:18" ht="25.5">
      <c r="A48" s="6" t="s">
        <v>3635</v>
      </c>
      <c r="B48" s="6" t="s">
        <v>6872</v>
      </c>
      <c r="C48" s="22" t="s">
        <v>2093</v>
      </c>
      <c r="D48" s="179"/>
      <c r="E48" s="6" t="s">
        <v>3636</v>
      </c>
      <c r="F48" s="6" t="s">
        <v>3637</v>
      </c>
      <c r="G48" s="64">
        <v>200000</v>
      </c>
      <c r="H48" s="6"/>
      <c r="I48" s="6" t="s">
        <v>7201</v>
      </c>
      <c r="J48" s="6" t="s">
        <v>1824</v>
      </c>
      <c r="K48" s="179"/>
      <c r="L48" s="54" t="s">
        <v>1859</v>
      </c>
      <c r="M48" s="475"/>
      <c r="N48" s="475" t="s">
        <v>1808</v>
      </c>
      <c r="O48" s="291" t="s">
        <v>7202</v>
      </c>
      <c r="P48" s="468" t="s">
        <v>7203</v>
      </c>
      <c r="Q48" s="6" t="s">
        <v>6064</v>
      </c>
      <c r="R48" s="54"/>
    </row>
    <row r="49" spans="1:18" ht="25.5">
      <c r="A49" s="6" t="s">
        <v>3638</v>
      </c>
      <c r="B49" s="6" t="s">
        <v>6872</v>
      </c>
      <c r="C49" s="22" t="s">
        <v>2093</v>
      </c>
      <c r="D49" s="179"/>
      <c r="E49" s="6" t="s">
        <v>3639</v>
      </c>
      <c r="F49" s="6" t="s">
        <v>3640</v>
      </c>
      <c r="G49" s="64">
        <v>200000</v>
      </c>
      <c r="H49" s="6"/>
      <c r="I49" s="6" t="s">
        <v>7204</v>
      </c>
      <c r="J49" s="6" t="s">
        <v>1824</v>
      </c>
      <c r="K49" s="179"/>
      <c r="L49" s="54" t="s">
        <v>1859</v>
      </c>
      <c r="M49" s="475"/>
      <c r="N49" s="475" t="s">
        <v>1808</v>
      </c>
      <c r="O49" s="291" t="s">
        <v>7205</v>
      </c>
      <c r="P49" s="468" t="s">
        <v>7206</v>
      </c>
      <c r="Q49" s="6" t="s">
        <v>6064</v>
      </c>
      <c r="R49" s="54"/>
    </row>
    <row r="50" spans="1:18" ht="27" customHeight="1">
      <c r="A50" s="6" t="s">
        <v>3641</v>
      </c>
      <c r="B50" s="160" t="s">
        <v>6872</v>
      </c>
      <c r="C50" s="22" t="s">
        <v>2093</v>
      </c>
      <c r="D50" s="179"/>
      <c r="E50" s="6" t="s">
        <v>3582</v>
      </c>
      <c r="F50" s="6" t="s">
        <v>707</v>
      </c>
      <c r="G50" s="64">
        <v>200000</v>
      </c>
      <c r="H50" s="6"/>
      <c r="I50" s="6" t="s">
        <v>2609</v>
      </c>
      <c r="J50" s="6" t="s">
        <v>1824</v>
      </c>
      <c r="K50" s="179"/>
      <c r="L50" s="54" t="s">
        <v>1859</v>
      </c>
      <c r="M50" s="475"/>
      <c r="N50" s="475" t="s">
        <v>1808</v>
      </c>
      <c r="O50" s="291" t="s">
        <v>7207</v>
      </c>
      <c r="P50" s="468" t="s">
        <v>7208</v>
      </c>
      <c r="Q50" s="6" t="s">
        <v>6064</v>
      </c>
      <c r="R50" s="54"/>
    </row>
    <row r="51" spans="1:18" ht="30.75" customHeight="1">
      <c r="A51" s="6" t="s">
        <v>3642</v>
      </c>
      <c r="B51" s="6" t="s">
        <v>6872</v>
      </c>
      <c r="C51" s="22" t="s">
        <v>2093</v>
      </c>
      <c r="D51" s="179"/>
      <c r="E51" s="6" t="s">
        <v>3643</v>
      </c>
      <c r="F51" s="6" t="s">
        <v>1451</v>
      </c>
      <c r="G51" s="64">
        <v>200000</v>
      </c>
      <c r="H51" s="6"/>
      <c r="I51" s="6" t="s">
        <v>2449</v>
      </c>
      <c r="J51" s="6" t="s">
        <v>1824</v>
      </c>
      <c r="K51" s="179"/>
      <c r="L51" s="54" t="s">
        <v>1859</v>
      </c>
      <c r="M51" s="475"/>
      <c r="N51" s="475" t="s">
        <v>1808</v>
      </c>
      <c r="O51" s="291" t="s">
        <v>7209</v>
      </c>
      <c r="P51" s="468" t="s">
        <v>7210</v>
      </c>
      <c r="Q51" s="6" t="s">
        <v>6064</v>
      </c>
      <c r="R51" s="54"/>
    </row>
    <row r="52" spans="1:18" ht="33" customHeight="1">
      <c r="A52" s="6" t="s">
        <v>3644</v>
      </c>
      <c r="B52" s="6" t="s">
        <v>6872</v>
      </c>
      <c r="C52" s="22" t="s">
        <v>2093</v>
      </c>
      <c r="D52" s="179"/>
      <c r="E52" s="6" t="s">
        <v>3645</v>
      </c>
      <c r="F52" s="6" t="s">
        <v>3646</v>
      </c>
      <c r="G52" s="64">
        <v>200000</v>
      </c>
      <c r="H52" s="6"/>
      <c r="I52" s="6" t="s">
        <v>2460</v>
      </c>
      <c r="J52" s="6" t="s">
        <v>1824</v>
      </c>
      <c r="K52" s="179"/>
      <c r="L52" s="54" t="s">
        <v>1859</v>
      </c>
      <c r="M52" s="475"/>
      <c r="N52" s="475" t="s">
        <v>1808</v>
      </c>
      <c r="O52" s="291" t="s">
        <v>7211</v>
      </c>
      <c r="P52" s="468" t="s">
        <v>7212</v>
      </c>
      <c r="Q52" s="6" t="s">
        <v>6064</v>
      </c>
      <c r="R52" s="54"/>
    </row>
    <row r="53" spans="1:18" ht="30.75" customHeight="1">
      <c r="A53" s="6" t="s">
        <v>3647</v>
      </c>
      <c r="B53" s="6" t="s">
        <v>6872</v>
      </c>
      <c r="C53" s="22" t="s">
        <v>2093</v>
      </c>
      <c r="D53" s="179"/>
      <c r="E53" s="6" t="s">
        <v>3648</v>
      </c>
      <c r="F53" s="6" t="s">
        <v>3649</v>
      </c>
      <c r="G53" s="64">
        <v>200000</v>
      </c>
      <c r="H53" s="6"/>
      <c r="I53" s="6" t="s">
        <v>6822</v>
      </c>
      <c r="J53" s="6" t="s">
        <v>1824</v>
      </c>
      <c r="K53" s="179"/>
      <c r="L53" s="54" t="s">
        <v>1859</v>
      </c>
      <c r="M53" s="475"/>
      <c r="N53" s="475" t="s">
        <v>1808</v>
      </c>
      <c r="O53" s="297" t="s">
        <v>7213</v>
      </c>
      <c r="P53" s="468" t="s">
        <v>7212</v>
      </c>
      <c r="Q53" s="6" t="s">
        <v>6064</v>
      </c>
      <c r="R53" s="54"/>
    </row>
    <row r="54" spans="1:18" ht="38.25">
      <c r="A54" s="6" t="s">
        <v>3650</v>
      </c>
      <c r="B54" s="6" t="s">
        <v>6872</v>
      </c>
      <c r="C54" s="22" t="s">
        <v>2093</v>
      </c>
      <c r="D54" s="179"/>
      <c r="E54" s="6" t="s">
        <v>3651</v>
      </c>
      <c r="F54" s="6" t="s">
        <v>1556</v>
      </c>
      <c r="G54" s="64">
        <v>1655000</v>
      </c>
      <c r="H54" s="6" t="s">
        <v>1938</v>
      </c>
      <c r="I54" s="6" t="s">
        <v>1828</v>
      </c>
      <c r="J54" s="6" t="s">
        <v>1824</v>
      </c>
      <c r="K54" s="179"/>
      <c r="L54" s="54" t="s">
        <v>1859</v>
      </c>
      <c r="M54" s="475"/>
      <c r="N54" s="475" t="s">
        <v>1808</v>
      </c>
      <c r="O54" s="297" t="s">
        <v>7214</v>
      </c>
      <c r="P54" s="468" t="s">
        <v>7215</v>
      </c>
      <c r="Q54" s="6" t="s">
        <v>6064</v>
      </c>
      <c r="R54" s="54"/>
    </row>
    <row r="55" spans="1:18" ht="63.75">
      <c r="A55" s="6" t="s">
        <v>3652</v>
      </c>
      <c r="B55" s="6" t="s">
        <v>6872</v>
      </c>
      <c r="C55" s="22" t="s">
        <v>2093</v>
      </c>
      <c r="D55" s="179"/>
      <c r="E55" s="6" t="s">
        <v>3653</v>
      </c>
      <c r="F55" s="6" t="s">
        <v>3654</v>
      </c>
      <c r="G55" s="64">
        <v>200000</v>
      </c>
      <c r="H55" s="160" t="s">
        <v>3655</v>
      </c>
      <c r="I55" s="6" t="s">
        <v>1828</v>
      </c>
      <c r="J55" s="6" t="s">
        <v>1824</v>
      </c>
      <c r="K55" s="179"/>
      <c r="L55" s="54" t="s">
        <v>1859</v>
      </c>
      <c r="M55" s="475"/>
      <c r="N55" s="475" t="s">
        <v>1808</v>
      </c>
      <c r="O55" s="291" t="s">
        <v>7216</v>
      </c>
      <c r="P55" s="468" t="s">
        <v>7217</v>
      </c>
      <c r="Q55" s="6" t="s">
        <v>6064</v>
      </c>
      <c r="R55" s="54"/>
    </row>
    <row r="56" spans="1:18" ht="25.5">
      <c r="A56" s="6" t="s">
        <v>3656</v>
      </c>
      <c r="B56" s="6" t="s">
        <v>6872</v>
      </c>
      <c r="C56" s="22" t="s">
        <v>2093</v>
      </c>
      <c r="D56" s="179"/>
      <c r="E56" s="6" t="s">
        <v>3657</v>
      </c>
      <c r="F56" s="6" t="s">
        <v>3658</v>
      </c>
      <c r="G56" s="64">
        <v>200000</v>
      </c>
      <c r="H56" s="160" t="s">
        <v>3659</v>
      </c>
      <c r="I56" s="6" t="s">
        <v>1828</v>
      </c>
      <c r="J56" s="6" t="s">
        <v>1824</v>
      </c>
      <c r="K56" s="179"/>
      <c r="L56" s="54" t="s">
        <v>1859</v>
      </c>
      <c r="M56" s="475"/>
      <c r="N56" s="475" t="s">
        <v>1808</v>
      </c>
      <c r="O56" s="291" t="s">
        <v>7218</v>
      </c>
      <c r="P56" s="468" t="s">
        <v>7219</v>
      </c>
      <c r="Q56" s="6" t="s">
        <v>6064</v>
      </c>
      <c r="R56" s="54"/>
    </row>
    <row r="57" spans="1:18" ht="33.75" customHeight="1">
      <c r="A57" s="6" t="s">
        <v>3660</v>
      </c>
      <c r="B57" s="6" t="s">
        <v>6872</v>
      </c>
      <c r="C57" s="22" t="s">
        <v>2093</v>
      </c>
      <c r="D57" s="179"/>
      <c r="E57" s="6" t="s">
        <v>3661</v>
      </c>
      <c r="F57" s="6" t="s">
        <v>3662</v>
      </c>
      <c r="G57" s="64">
        <v>200000</v>
      </c>
      <c r="H57" s="160" t="s">
        <v>3663</v>
      </c>
      <c r="I57" s="6" t="s">
        <v>1879</v>
      </c>
      <c r="J57" s="6" t="s">
        <v>1824</v>
      </c>
      <c r="K57" s="179"/>
      <c r="L57" s="54" t="s">
        <v>1859</v>
      </c>
      <c r="M57" s="475"/>
      <c r="N57" s="475" t="s">
        <v>1808</v>
      </c>
      <c r="O57" s="291" t="s">
        <v>7220</v>
      </c>
      <c r="P57" s="468" t="s">
        <v>7221</v>
      </c>
      <c r="Q57" s="6" t="s">
        <v>6064</v>
      </c>
      <c r="R57" s="54"/>
    </row>
    <row r="58" spans="1:18" ht="51">
      <c r="A58" s="6" t="s">
        <v>3664</v>
      </c>
      <c r="B58" s="6" t="s">
        <v>6872</v>
      </c>
      <c r="C58" s="22" t="s">
        <v>2093</v>
      </c>
      <c r="D58" s="179"/>
      <c r="E58" s="6" t="s">
        <v>3665</v>
      </c>
      <c r="F58" s="6" t="s">
        <v>3666</v>
      </c>
      <c r="G58" s="64">
        <v>200000</v>
      </c>
      <c r="H58" s="160" t="s">
        <v>3667</v>
      </c>
      <c r="I58" s="6" t="s">
        <v>2467</v>
      </c>
      <c r="J58" s="6" t="s">
        <v>1824</v>
      </c>
      <c r="K58" s="179"/>
      <c r="L58" s="54" t="s">
        <v>1859</v>
      </c>
      <c r="M58" s="475"/>
      <c r="N58" s="475" t="s">
        <v>1808</v>
      </c>
      <c r="O58" s="297" t="s">
        <v>7222</v>
      </c>
      <c r="P58" s="468" t="s">
        <v>7223</v>
      </c>
      <c r="Q58" s="6" t="s">
        <v>6064</v>
      </c>
      <c r="R58" s="54"/>
    </row>
    <row r="59" spans="1:18" ht="25.5">
      <c r="A59" s="6" t="s">
        <v>3668</v>
      </c>
      <c r="B59" s="6" t="s">
        <v>6872</v>
      </c>
      <c r="C59" s="22" t="s">
        <v>2093</v>
      </c>
      <c r="D59" s="179"/>
      <c r="E59" s="6" t="s">
        <v>3669</v>
      </c>
      <c r="F59" s="6" t="s">
        <v>3670</v>
      </c>
      <c r="G59" s="64">
        <v>200000</v>
      </c>
      <c r="H59" s="160" t="s">
        <v>3671</v>
      </c>
      <c r="I59" s="6" t="s">
        <v>2659</v>
      </c>
      <c r="J59" s="6" t="s">
        <v>1824</v>
      </c>
      <c r="K59" s="179"/>
      <c r="L59" s="54" t="s">
        <v>1859</v>
      </c>
      <c r="M59" s="475"/>
      <c r="N59" s="475" t="s">
        <v>1808</v>
      </c>
      <c r="O59" s="297" t="s">
        <v>7224</v>
      </c>
      <c r="P59" s="468" t="s">
        <v>7225</v>
      </c>
      <c r="Q59" s="6" t="s">
        <v>6064</v>
      </c>
      <c r="R59" s="54"/>
    </row>
    <row r="60" spans="1:18" ht="34.5" customHeight="1">
      <c r="A60" s="6" t="s">
        <v>3672</v>
      </c>
      <c r="B60" s="6" t="s">
        <v>6872</v>
      </c>
      <c r="C60" s="22" t="s">
        <v>2093</v>
      </c>
      <c r="D60" s="179"/>
      <c r="E60" s="6" t="s">
        <v>3673</v>
      </c>
      <c r="F60" s="6" t="s">
        <v>3674</v>
      </c>
      <c r="G60" s="64">
        <v>200000</v>
      </c>
      <c r="H60" s="160" t="s">
        <v>2793</v>
      </c>
      <c r="I60" s="6" t="s">
        <v>5647</v>
      </c>
      <c r="J60" s="6" t="s">
        <v>1824</v>
      </c>
      <c r="K60" s="179"/>
      <c r="L60" s="54" t="s">
        <v>1859</v>
      </c>
      <c r="M60" s="475"/>
      <c r="N60" s="475" t="s">
        <v>1808</v>
      </c>
      <c r="O60" s="291" t="s">
        <v>7226</v>
      </c>
      <c r="P60" s="468" t="s">
        <v>7227</v>
      </c>
      <c r="Q60" s="6" t="s">
        <v>6064</v>
      </c>
      <c r="R60" s="54"/>
    </row>
    <row r="61" spans="1:18" ht="38.25">
      <c r="A61" s="6" t="s">
        <v>3675</v>
      </c>
      <c r="B61" s="6" t="s">
        <v>6872</v>
      </c>
      <c r="C61" s="22" t="s">
        <v>2093</v>
      </c>
      <c r="D61" s="179"/>
      <c r="E61" s="6" t="s">
        <v>3676</v>
      </c>
      <c r="F61" s="6" t="s">
        <v>3677</v>
      </c>
      <c r="G61" s="64">
        <v>200000</v>
      </c>
      <c r="H61" s="160" t="s">
        <v>3678</v>
      </c>
      <c r="I61" s="6" t="s">
        <v>1828</v>
      </c>
      <c r="J61" s="6" t="s">
        <v>1824</v>
      </c>
      <c r="K61" s="179"/>
      <c r="L61" s="54" t="s">
        <v>1859</v>
      </c>
      <c r="M61" s="475"/>
      <c r="N61" s="475" t="s">
        <v>1808</v>
      </c>
      <c r="O61" s="291" t="s">
        <v>7228</v>
      </c>
      <c r="P61" s="468" t="s">
        <v>7229</v>
      </c>
      <c r="Q61" s="6" t="s">
        <v>6064</v>
      </c>
      <c r="R61" s="54"/>
    </row>
    <row r="62" spans="1:18" ht="25.5">
      <c r="A62" s="6" t="s">
        <v>3679</v>
      </c>
      <c r="B62" s="6" t="s">
        <v>6872</v>
      </c>
      <c r="C62" s="22" t="s">
        <v>2093</v>
      </c>
      <c r="D62" s="179"/>
      <c r="E62" s="6" t="s">
        <v>3680</v>
      </c>
      <c r="F62" s="6" t="s">
        <v>3681</v>
      </c>
      <c r="G62" s="64">
        <v>200000</v>
      </c>
      <c r="H62" s="160" t="s">
        <v>3682</v>
      </c>
      <c r="I62" s="6" t="s">
        <v>1828</v>
      </c>
      <c r="J62" s="6" t="s">
        <v>1824</v>
      </c>
      <c r="K62" s="179"/>
      <c r="L62" s="54" t="s">
        <v>1859</v>
      </c>
      <c r="M62" s="475"/>
      <c r="N62" s="475" t="s">
        <v>1808</v>
      </c>
      <c r="O62" s="291" t="s">
        <v>7230</v>
      </c>
      <c r="P62" s="468" t="s">
        <v>7231</v>
      </c>
      <c r="Q62" s="6" t="s">
        <v>6064</v>
      </c>
      <c r="R62" s="54"/>
    </row>
    <row r="63" spans="1:18" ht="25.5">
      <c r="A63" s="6" t="s">
        <v>3683</v>
      </c>
      <c r="B63" s="6" t="s">
        <v>6872</v>
      </c>
      <c r="C63" s="22" t="s">
        <v>2093</v>
      </c>
      <c r="D63" s="179"/>
      <c r="E63" s="6" t="s">
        <v>3684</v>
      </c>
      <c r="F63" s="6" t="s">
        <v>3685</v>
      </c>
      <c r="G63" s="64">
        <v>200000</v>
      </c>
      <c r="H63" s="160" t="s">
        <v>3686</v>
      </c>
      <c r="I63" s="6" t="s">
        <v>5656</v>
      </c>
      <c r="J63" s="6" t="s">
        <v>1824</v>
      </c>
      <c r="K63" s="179"/>
      <c r="L63" s="54" t="s">
        <v>1859</v>
      </c>
      <c r="M63" s="475"/>
      <c r="N63" s="475" t="s">
        <v>1808</v>
      </c>
      <c r="O63" s="291" t="s">
        <v>7232</v>
      </c>
      <c r="P63" s="467" t="s">
        <v>7233</v>
      </c>
      <c r="Q63" s="6" t="s">
        <v>6064</v>
      </c>
      <c r="R63" s="54"/>
    </row>
    <row r="64" spans="1:18" ht="31.5" customHeight="1">
      <c r="A64" s="6" t="s">
        <v>3687</v>
      </c>
      <c r="B64" s="6" t="s">
        <v>6872</v>
      </c>
      <c r="C64" s="22" t="s">
        <v>3092</v>
      </c>
      <c r="D64" s="179"/>
      <c r="E64" s="6" t="s">
        <v>3688</v>
      </c>
      <c r="F64" s="6" t="s">
        <v>3689</v>
      </c>
      <c r="G64" s="64">
        <v>432150</v>
      </c>
      <c r="H64" s="6"/>
      <c r="I64" s="6" t="s">
        <v>7234</v>
      </c>
      <c r="J64" s="6" t="s">
        <v>1824</v>
      </c>
      <c r="K64" s="179"/>
      <c r="L64" s="54"/>
      <c r="M64" s="475"/>
      <c r="N64" s="475" t="s">
        <v>1808</v>
      </c>
      <c r="O64" s="291" t="s">
        <v>7235</v>
      </c>
      <c r="P64" s="468" t="s">
        <v>7236</v>
      </c>
      <c r="Q64" s="6" t="s">
        <v>6064</v>
      </c>
      <c r="R64" s="54"/>
    </row>
    <row r="65" spans="1:18" ht="38.25">
      <c r="A65" s="6" t="s">
        <v>3691</v>
      </c>
      <c r="B65" s="6" t="s">
        <v>6872</v>
      </c>
      <c r="C65" s="22" t="s">
        <v>3092</v>
      </c>
      <c r="D65" s="179"/>
      <c r="E65" s="6" t="s">
        <v>3692</v>
      </c>
      <c r="F65" s="6" t="s">
        <v>3693</v>
      </c>
      <c r="G65" s="64">
        <v>282080</v>
      </c>
      <c r="H65" s="160" t="s">
        <v>3694</v>
      </c>
      <c r="I65" s="6" t="s">
        <v>2460</v>
      </c>
      <c r="J65" s="6" t="s">
        <v>1824</v>
      </c>
      <c r="K65" s="179"/>
      <c r="L65" s="54"/>
      <c r="M65" s="475"/>
      <c r="N65" s="475" t="s">
        <v>1808</v>
      </c>
      <c r="O65" s="291" t="s">
        <v>7237</v>
      </c>
      <c r="P65" s="468" t="s">
        <v>7238</v>
      </c>
      <c r="Q65" s="6" t="s">
        <v>6064</v>
      </c>
      <c r="R65" s="54"/>
    </row>
    <row r="66" spans="1:18" ht="33.75" customHeight="1">
      <c r="A66" s="6" t="s">
        <v>3695</v>
      </c>
      <c r="B66" s="6" t="s">
        <v>6872</v>
      </c>
      <c r="C66" s="22" t="s">
        <v>3092</v>
      </c>
      <c r="D66" s="179"/>
      <c r="E66" s="6" t="s">
        <v>3696</v>
      </c>
      <c r="F66" s="6" t="s">
        <v>581</v>
      </c>
      <c r="G66" s="64">
        <v>339700</v>
      </c>
      <c r="H66" s="6"/>
      <c r="I66" s="6" t="s">
        <v>6370</v>
      </c>
      <c r="J66" s="6" t="s">
        <v>1824</v>
      </c>
      <c r="K66" s="179"/>
      <c r="L66" s="54"/>
      <c r="M66" s="475"/>
      <c r="N66" s="475" t="s">
        <v>1808</v>
      </c>
      <c r="O66" s="291" t="s">
        <v>7239</v>
      </c>
      <c r="P66" s="468" t="s">
        <v>7240</v>
      </c>
      <c r="Q66" s="6" t="s">
        <v>6064</v>
      </c>
      <c r="R66" s="54"/>
    </row>
    <row r="67" spans="1:18" ht="38.25">
      <c r="A67" s="6" t="s">
        <v>3697</v>
      </c>
      <c r="B67" s="6" t="s">
        <v>6872</v>
      </c>
      <c r="C67" s="22" t="s">
        <v>62</v>
      </c>
      <c r="D67" s="179"/>
      <c r="E67" s="6" t="s">
        <v>3698</v>
      </c>
      <c r="F67" s="6" t="s">
        <v>3699</v>
      </c>
      <c r="G67" s="64">
        <v>1065240</v>
      </c>
      <c r="H67" s="160" t="s">
        <v>3700</v>
      </c>
      <c r="I67" s="6" t="s">
        <v>2656</v>
      </c>
      <c r="J67" s="6"/>
      <c r="K67" s="179"/>
      <c r="L67" s="54"/>
      <c r="M67" s="6"/>
      <c r="N67" s="6" t="s">
        <v>6179</v>
      </c>
      <c r="O67" s="291" t="s">
        <v>7241</v>
      </c>
      <c r="P67" s="468" t="s">
        <v>7242</v>
      </c>
      <c r="Q67" s="6" t="s">
        <v>6064</v>
      </c>
      <c r="R67" s="54"/>
    </row>
    <row r="68" spans="1:18" ht="38.25">
      <c r="A68" s="6" t="s">
        <v>3701</v>
      </c>
      <c r="B68" s="6" t="s">
        <v>6872</v>
      </c>
      <c r="C68" s="22" t="s">
        <v>3705</v>
      </c>
      <c r="D68" s="179"/>
      <c r="E68" s="6" t="s">
        <v>3702</v>
      </c>
      <c r="F68" s="6" t="s">
        <v>3703</v>
      </c>
      <c r="G68" s="64">
        <v>96000</v>
      </c>
      <c r="H68" s="160" t="s">
        <v>3704</v>
      </c>
      <c r="I68" s="6" t="s">
        <v>1828</v>
      </c>
      <c r="J68" s="6"/>
      <c r="K68" s="179"/>
      <c r="L68" s="54"/>
      <c r="M68" s="6"/>
      <c r="N68" s="6" t="s">
        <v>6132</v>
      </c>
      <c r="O68" s="297" t="s">
        <v>7243</v>
      </c>
      <c r="P68" s="468" t="s">
        <v>7244</v>
      </c>
      <c r="Q68" s="6" t="s">
        <v>7245</v>
      </c>
      <c r="R68" s="54"/>
    </row>
    <row r="69" spans="1:18" ht="51">
      <c r="A69" s="6" t="s">
        <v>3706</v>
      </c>
      <c r="B69" s="6" t="s">
        <v>6872</v>
      </c>
      <c r="C69" s="22" t="s">
        <v>652</v>
      </c>
      <c r="D69" s="179"/>
      <c r="E69" s="6" t="s">
        <v>3707</v>
      </c>
      <c r="F69" s="6" t="s">
        <v>3708</v>
      </c>
      <c r="G69" s="8">
        <v>62473.45</v>
      </c>
      <c r="H69" s="160" t="s">
        <v>3709</v>
      </c>
      <c r="I69" s="6" t="s">
        <v>2656</v>
      </c>
      <c r="J69" s="6"/>
      <c r="K69" s="179"/>
      <c r="L69" s="54"/>
      <c r="M69" s="6"/>
      <c r="N69" s="6" t="s">
        <v>6132</v>
      </c>
      <c r="O69" s="291" t="s">
        <v>7246</v>
      </c>
      <c r="P69" s="468" t="s">
        <v>7247</v>
      </c>
      <c r="Q69" s="6" t="s">
        <v>6724</v>
      </c>
      <c r="R69" s="54"/>
    </row>
    <row r="70" spans="1:18" ht="51">
      <c r="A70" s="6" t="s">
        <v>3710</v>
      </c>
      <c r="B70" s="6" t="s">
        <v>6872</v>
      </c>
      <c r="C70" s="22" t="s">
        <v>652</v>
      </c>
      <c r="D70" s="179"/>
      <c r="E70" s="6" t="s">
        <v>3711</v>
      </c>
      <c r="F70" s="6" t="s">
        <v>3712</v>
      </c>
      <c r="G70" s="8">
        <v>100000</v>
      </c>
      <c r="H70" s="160" t="s">
        <v>3713</v>
      </c>
      <c r="I70" s="6" t="s">
        <v>1828</v>
      </c>
      <c r="J70" s="6"/>
      <c r="K70" s="179"/>
      <c r="L70" s="54"/>
      <c r="M70" s="6"/>
      <c r="N70" s="6" t="s">
        <v>6132</v>
      </c>
      <c r="O70" s="297" t="s">
        <v>7248</v>
      </c>
      <c r="P70" s="468" t="s">
        <v>7249</v>
      </c>
      <c r="Q70" s="6" t="s">
        <v>6104</v>
      </c>
      <c r="R70" s="54"/>
    </row>
    <row r="71" spans="1:18" ht="27.75" customHeight="1">
      <c r="A71" s="6" t="s">
        <v>3714</v>
      </c>
      <c r="B71" s="6" t="s">
        <v>6872</v>
      </c>
      <c r="C71" s="22" t="s">
        <v>68</v>
      </c>
      <c r="D71" s="179"/>
      <c r="E71" s="6" t="s">
        <v>3715</v>
      </c>
      <c r="F71" s="6" t="s">
        <v>3716</v>
      </c>
      <c r="G71" s="8">
        <v>99600</v>
      </c>
      <c r="H71" s="160" t="s">
        <v>3717</v>
      </c>
      <c r="I71" s="6" t="s">
        <v>2611</v>
      </c>
      <c r="J71" s="6"/>
      <c r="K71" s="179"/>
      <c r="L71" s="54"/>
      <c r="M71" s="6"/>
      <c r="N71" s="6" t="s">
        <v>6132</v>
      </c>
      <c r="O71" s="297" t="s">
        <v>7250</v>
      </c>
      <c r="P71" s="513" t="s">
        <v>7251</v>
      </c>
      <c r="Q71" s="6" t="s">
        <v>6104</v>
      </c>
      <c r="R71" s="54"/>
    </row>
    <row r="72" spans="1:18" ht="25.5">
      <c r="A72" s="6" t="s">
        <v>3718</v>
      </c>
      <c r="B72" s="6" t="s">
        <v>6872</v>
      </c>
      <c r="C72" s="22" t="s">
        <v>3719</v>
      </c>
      <c r="D72" s="179"/>
      <c r="E72" s="6" t="s">
        <v>3720</v>
      </c>
      <c r="F72" s="6" t="s">
        <v>1556</v>
      </c>
      <c r="G72" s="64">
        <v>300000</v>
      </c>
      <c r="H72" s="160" t="s">
        <v>3682</v>
      </c>
      <c r="I72" s="6" t="s">
        <v>1828</v>
      </c>
      <c r="J72" s="6" t="s">
        <v>1824</v>
      </c>
      <c r="K72" s="179"/>
      <c r="L72" s="54"/>
      <c r="M72" s="475"/>
      <c r="N72" s="475" t="s">
        <v>1808</v>
      </c>
      <c r="O72" s="291" t="s">
        <v>7252</v>
      </c>
      <c r="P72" s="468" t="s">
        <v>7253</v>
      </c>
      <c r="Q72" s="6" t="s">
        <v>6064</v>
      </c>
      <c r="R72" s="54"/>
    </row>
    <row r="73" spans="1:18" ht="38.25">
      <c r="A73" s="6" t="s">
        <v>3721</v>
      </c>
      <c r="B73" s="6" t="s">
        <v>2328</v>
      </c>
      <c r="C73" s="22" t="s">
        <v>3109</v>
      </c>
      <c r="D73" s="179"/>
      <c r="E73" s="6" t="s">
        <v>3722</v>
      </c>
      <c r="F73" s="6" t="s">
        <v>3723</v>
      </c>
      <c r="G73" s="64">
        <v>30000</v>
      </c>
      <c r="H73" s="160" t="s">
        <v>3724</v>
      </c>
      <c r="I73" s="6" t="s">
        <v>1828</v>
      </c>
      <c r="J73" s="6"/>
      <c r="K73" s="179"/>
      <c r="L73" s="54"/>
      <c r="M73" s="6"/>
      <c r="N73" s="6" t="s">
        <v>6132</v>
      </c>
      <c r="O73" s="297" t="s">
        <v>7254</v>
      </c>
      <c r="P73" s="468" t="s">
        <v>7255</v>
      </c>
      <c r="Q73" s="6" t="s">
        <v>7245</v>
      </c>
      <c r="R73" s="54"/>
    </row>
    <row r="74" spans="1:18" ht="38.25">
      <c r="A74" s="6" t="s">
        <v>3725</v>
      </c>
      <c r="B74" s="6" t="s">
        <v>2328</v>
      </c>
      <c r="C74" s="22" t="s">
        <v>3109</v>
      </c>
      <c r="D74" s="179"/>
      <c r="E74" s="6" t="s">
        <v>3726</v>
      </c>
      <c r="F74" s="6" t="s">
        <v>3727</v>
      </c>
      <c r="G74" s="64">
        <v>100000</v>
      </c>
      <c r="H74" s="160" t="s">
        <v>3728</v>
      </c>
      <c r="I74" s="6" t="s">
        <v>2611</v>
      </c>
      <c r="J74" s="6"/>
      <c r="K74" s="179"/>
      <c r="L74" s="54"/>
      <c r="M74" s="6"/>
      <c r="N74" s="6" t="s">
        <v>6132</v>
      </c>
      <c r="O74" s="297" t="s">
        <v>7256</v>
      </c>
      <c r="P74" s="468" t="s">
        <v>7257</v>
      </c>
      <c r="Q74" s="6" t="s">
        <v>6941</v>
      </c>
      <c r="R74" s="54"/>
    </row>
    <row r="75" spans="1:18" ht="25.5">
      <c r="A75" s="6" t="s">
        <v>3729</v>
      </c>
      <c r="B75" s="6"/>
      <c r="C75" s="22" t="s">
        <v>1940</v>
      </c>
      <c r="D75" s="179"/>
      <c r="E75" s="6" t="s">
        <v>3730</v>
      </c>
      <c r="F75" s="6" t="s">
        <v>1556</v>
      </c>
      <c r="G75" s="64">
        <v>1412800</v>
      </c>
      <c r="H75" s="160" t="s">
        <v>3682</v>
      </c>
      <c r="I75" s="6" t="s">
        <v>1828</v>
      </c>
      <c r="J75" s="6" t="s">
        <v>1824</v>
      </c>
      <c r="K75" s="179"/>
      <c r="L75" s="54" t="s">
        <v>1859</v>
      </c>
      <c r="M75" s="475"/>
      <c r="N75" s="475" t="s">
        <v>1808</v>
      </c>
      <c r="O75" s="297" t="s">
        <v>7258</v>
      </c>
      <c r="P75" s="468" t="s">
        <v>7259</v>
      </c>
      <c r="Q75" s="6" t="s">
        <v>6064</v>
      </c>
      <c r="R75" s="54"/>
    </row>
    <row r="76" spans="1:18" ht="31.5" customHeight="1">
      <c r="A76" s="6" t="s">
        <v>3731</v>
      </c>
      <c r="B76" s="6" t="s">
        <v>6872</v>
      </c>
      <c r="C76" s="22" t="s">
        <v>2093</v>
      </c>
      <c r="D76" s="179"/>
      <c r="E76" s="6" t="s">
        <v>3732</v>
      </c>
      <c r="F76" s="6" t="s">
        <v>3733</v>
      </c>
      <c r="G76" s="64">
        <v>200000</v>
      </c>
      <c r="H76" s="6"/>
      <c r="I76" s="6" t="s">
        <v>6809</v>
      </c>
      <c r="J76" s="6" t="s">
        <v>1824</v>
      </c>
      <c r="K76" s="179"/>
      <c r="L76" s="54" t="s">
        <v>1859</v>
      </c>
      <c r="M76" s="475"/>
      <c r="N76" s="475" t="s">
        <v>1808</v>
      </c>
      <c r="O76" s="291" t="s">
        <v>7260</v>
      </c>
      <c r="P76" s="468" t="s">
        <v>7261</v>
      </c>
      <c r="Q76" s="6" t="s">
        <v>6064</v>
      </c>
      <c r="R76" s="54"/>
    </row>
    <row r="77" spans="1:18" ht="31.5" customHeight="1">
      <c r="A77" s="6" t="s">
        <v>3734</v>
      </c>
      <c r="B77" s="6" t="s">
        <v>6872</v>
      </c>
      <c r="C77" s="22" t="s">
        <v>3092</v>
      </c>
      <c r="D77" s="179"/>
      <c r="E77" s="6" t="s">
        <v>3735</v>
      </c>
      <c r="F77" s="6" t="s">
        <v>3333</v>
      </c>
      <c r="G77" s="64">
        <v>432150</v>
      </c>
      <c r="H77" s="6"/>
      <c r="I77" s="6" t="s">
        <v>1828</v>
      </c>
      <c r="J77" s="6" t="s">
        <v>1824</v>
      </c>
      <c r="K77" s="179"/>
      <c r="L77" s="54"/>
      <c r="M77" s="475"/>
      <c r="N77" s="475" t="s">
        <v>1808</v>
      </c>
      <c r="O77" s="291" t="s">
        <v>7262</v>
      </c>
      <c r="P77" s="468" t="s">
        <v>7263</v>
      </c>
      <c r="Q77" s="6" t="s">
        <v>6064</v>
      </c>
      <c r="R77" s="54"/>
    </row>
    <row r="78" spans="1:18" ht="25.5">
      <c r="A78" s="6" t="s">
        <v>3736</v>
      </c>
      <c r="B78" s="6" t="s">
        <v>6872</v>
      </c>
      <c r="C78" s="22" t="s">
        <v>1262</v>
      </c>
      <c r="D78" s="179"/>
      <c r="E78" s="6" t="s">
        <v>3737</v>
      </c>
      <c r="F78" s="6" t="s">
        <v>3738</v>
      </c>
      <c r="G78" s="8">
        <v>726800</v>
      </c>
      <c r="H78" s="160" t="s">
        <v>3739</v>
      </c>
      <c r="I78" s="6" t="s">
        <v>2656</v>
      </c>
      <c r="J78" s="6"/>
      <c r="K78" s="179"/>
      <c r="L78" s="54"/>
      <c r="M78" s="6"/>
      <c r="N78" s="6" t="s">
        <v>6132</v>
      </c>
      <c r="O78" s="297" t="s">
        <v>7264</v>
      </c>
      <c r="P78" s="468" t="s">
        <v>7265</v>
      </c>
      <c r="Q78" s="6" t="s">
        <v>6941</v>
      </c>
      <c r="R78" s="54"/>
    </row>
    <row r="79" spans="1:18" ht="25.5">
      <c r="A79" s="6" t="s">
        <v>3740</v>
      </c>
      <c r="B79" s="6" t="s">
        <v>6872</v>
      </c>
      <c r="C79" s="22" t="s">
        <v>3168</v>
      </c>
      <c r="D79" s="179"/>
      <c r="E79" s="6" t="s">
        <v>3741</v>
      </c>
      <c r="F79" s="6" t="s">
        <v>1556</v>
      </c>
      <c r="G79" s="64">
        <v>394000</v>
      </c>
      <c r="H79" s="160" t="s">
        <v>3682</v>
      </c>
      <c r="I79" s="6" t="s">
        <v>1828</v>
      </c>
      <c r="J79" s="6" t="s">
        <v>1824</v>
      </c>
      <c r="K79" s="179"/>
      <c r="L79" s="54" t="s">
        <v>1859</v>
      </c>
      <c r="M79" s="475"/>
      <c r="N79" s="475" t="s">
        <v>1808</v>
      </c>
      <c r="O79" s="297" t="s">
        <v>7266</v>
      </c>
      <c r="P79" s="468" t="s">
        <v>7267</v>
      </c>
      <c r="Q79" s="6" t="s">
        <v>6064</v>
      </c>
      <c r="R79" s="54"/>
    </row>
    <row r="80" spans="1:18" ht="38.25">
      <c r="A80" s="6" t="s">
        <v>3742</v>
      </c>
      <c r="B80" s="6" t="s">
        <v>3743</v>
      </c>
      <c r="C80" s="22" t="s">
        <v>62</v>
      </c>
      <c r="D80" s="179"/>
      <c r="E80" s="6" t="s">
        <v>3744</v>
      </c>
      <c r="F80" s="6" t="s">
        <v>3745</v>
      </c>
      <c r="G80" s="6"/>
      <c r="H80" s="160" t="s">
        <v>3746</v>
      </c>
      <c r="I80" s="6" t="s">
        <v>2656</v>
      </c>
      <c r="J80" s="6"/>
      <c r="K80" s="179"/>
      <c r="L80" s="54"/>
      <c r="M80" s="6"/>
      <c r="N80" s="6" t="s">
        <v>6132</v>
      </c>
      <c r="O80" s="297" t="s">
        <v>7268</v>
      </c>
      <c r="P80" s="468" t="s">
        <v>7269</v>
      </c>
      <c r="Q80" s="6" t="s">
        <v>6955</v>
      </c>
      <c r="R80" s="54"/>
    </row>
    <row r="81" spans="1:18" ht="25.5">
      <c r="A81" s="6" t="s">
        <v>3747</v>
      </c>
      <c r="B81" s="6"/>
      <c r="C81" s="22" t="s">
        <v>3155</v>
      </c>
      <c r="D81" s="179"/>
      <c r="E81" s="6" t="s">
        <v>3748</v>
      </c>
      <c r="F81" s="6" t="s">
        <v>1556</v>
      </c>
      <c r="G81" s="64">
        <v>1200000</v>
      </c>
      <c r="H81" s="160" t="s">
        <v>3682</v>
      </c>
      <c r="I81" s="6" t="s">
        <v>1828</v>
      </c>
      <c r="J81" s="6" t="s">
        <v>1824</v>
      </c>
      <c r="K81" s="179"/>
      <c r="L81" s="54"/>
      <c r="M81" s="475"/>
      <c r="N81" s="475" t="s">
        <v>1808</v>
      </c>
      <c r="O81" s="297" t="s">
        <v>7270</v>
      </c>
      <c r="P81" s="468" t="s">
        <v>7271</v>
      </c>
      <c r="Q81" s="6" t="s">
        <v>6064</v>
      </c>
      <c r="R81" s="54"/>
    </row>
    <row r="82" spans="1:18" ht="38.25">
      <c r="A82" s="6" t="s">
        <v>3749</v>
      </c>
      <c r="B82" s="6" t="s">
        <v>6872</v>
      </c>
      <c r="C82" s="22" t="s">
        <v>62</v>
      </c>
      <c r="D82" s="179"/>
      <c r="E82" s="6" t="s">
        <v>3750</v>
      </c>
      <c r="F82" s="6" t="s">
        <v>3751</v>
      </c>
      <c r="G82" s="64">
        <v>1986200</v>
      </c>
      <c r="H82" s="160" t="s">
        <v>3752</v>
      </c>
      <c r="I82" s="6" t="s">
        <v>1828</v>
      </c>
      <c r="J82" s="6"/>
      <c r="K82" s="179"/>
      <c r="L82" s="54"/>
      <c r="M82" s="6"/>
      <c r="N82" s="6" t="s">
        <v>6179</v>
      </c>
      <c r="O82" s="297" t="s">
        <v>7272</v>
      </c>
      <c r="P82" s="468" t="s">
        <v>7273</v>
      </c>
      <c r="Q82" s="6" t="s">
        <v>7274</v>
      </c>
      <c r="R82" s="54"/>
    </row>
    <row r="83" spans="1:18" ht="51">
      <c r="A83" s="6" t="s">
        <v>3753</v>
      </c>
      <c r="B83" s="6" t="s">
        <v>6872</v>
      </c>
      <c r="C83" s="22" t="s">
        <v>62</v>
      </c>
      <c r="D83" s="179"/>
      <c r="E83" s="6" t="s">
        <v>3754</v>
      </c>
      <c r="F83" s="6" t="s">
        <v>7275</v>
      </c>
      <c r="G83" s="64">
        <v>1923000</v>
      </c>
      <c r="H83" s="148" t="s">
        <v>3756</v>
      </c>
      <c r="I83" s="6" t="s">
        <v>1828</v>
      </c>
      <c r="J83" s="6"/>
      <c r="K83" s="179"/>
      <c r="L83" s="54"/>
      <c r="M83" s="6"/>
      <c r="N83" s="6" t="s">
        <v>6179</v>
      </c>
      <c r="O83" s="297" t="s">
        <v>7276</v>
      </c>
      <c r="P83" s="468" t="s">
        <v>7277</v>
      </c>
      <c r="Q83" s="6" t="s">
        <v>7274</v>
      </c>
      <c r="R83" s="54"/>
    </row>
    <row r="84" spans="1:18" ht="33" customHeight="1">
      <c r="A84" s="6" t="s">
        <v>3757</v>
      </c>
      <c r="B84" s="6" t="s">
        <v>6872</v>
      </c>
      <c r="C84" s="22" t="s">
        <v>1383</v>
      </c>
      <c r="D84" s="179"/>
      <c r="E84" s="6" t="s">
        <v>3758</v>
      </c>
      <c r="F84" s="6" t="s">
        <v>3449</v>
      </c>
      <c r="G84" s="64">
        <v>121500</v>
      </c>
      <c r="H84" s="160"/>
      <c r="I84" s="6" t="s">
        <v>1828</v>
      </c>
      <c r="J84" s="6"/>
      <c r="K84" s="179"/>
      <c r="L84" s="54" t="s">
        <v>1859</v>
      </c>
      <c r="M84" s="475"/>
      <c r="N84" s="475" t="s">
        <v>1808</v>
      </c>
      <c r="O84" s="297" t="s">
        <v>7278</v>
      </c>
      <c r="P84" s="468" t="s">
        <v>7279</v>
      </c>
      <c r="Q84" s="6" t="s">
        <v>6064</v>
      </c>
      <c r="R84" s="54"/>
    </row>
    <row r="85" spans="1:18" ht="25.5">
      <c r="A85" s="6" t="s">
        <v>3759</v>
      </c>
      <c r="B85" s="6" t="s">
        <v>6872</v>
      </c>
      <c r="C85" s="22" t="s">
        <v>3155</v>
      </c>
      <c r="D85" s="179"/>
      <c r="E85" s="6" t="s">
        <v>3760</v>
      </c>
      <c r="F85" s="6" t="s">
        <v>1556</v>
      </c>
      <c r="G85" s="64">
        <v>3000000</v>
      </c>
      <c r="H85" s="160" t="s">
        <v>3682</v>
      </c>
      <c r="I85" s="6" t="s">
        <v>1828</v>
      </c>
      <c r="J85" s="6" t="s">
        <v>1824</v>
      </c>
      <c r="K85" s="179"/>
      <c r="L85" s="54"/>
      <c r="M85" s="475"/>
      <c r="N85" s="475" t="s">
        <v>1808</v>
      </c>
      <c r="O85" s="291" t="s">
        <v>7280</v>
      </c>
      <c r="P85" s="468" t="s">
        <v>7281</v>
      </c>
      <c r="Q85" s="6" t="s">
        <v>6064</v>
      </c>
      <c r="R85" s="54"/>
    </row>
    <row r="86" spans="1:18" ht="38.25">
      <c r="A86" s="6" t="s">
        <v>3761</v>
      </c>
      <c r="B86" s="6" t="s">
        <v>6872</v>
      </c>
      <c r="C86" s="22" t="s">
        <v>62</v>
      </c>
      <c r="D86" s="179"/>
      <c r="E86" s="6" t="s">
        <v>3433</v>
      </c>
      <c r="F86" s="6" t="s">
        <v>3762</v>
      </c>
      <c r="G86" s="64">
        <v>793460</v>
      </c>
      <c r="H86" s="6"/>
      <c r="I86" s="6"/>
      <c r="J86" s="6"/>
      <c r="K86" s="179"/>
      <c r="L86" s="54"/>
      <c r="M86" s="6"/>
      <c r="N86" s="6" t="s">
        <v>6132</v>
      </c>
      <c r="O86" s="297" t="s">
        <v>7282</v>
      </c>
      <c r="P86" s="468" t="s">
        <v>7283</v>
      </c>
      <c r="Q86" s="6" t="s">
        <v>6064</v>
      </c>
      <c r="R86" s="54"/>
    </row>
    <row r="87" spans="1:18" ht="25.5">
      <c r="A87" s="6" t="s">
        <v>3764</v>
      </c>
      <c r="B87" s="6" t="s">
        <v>6872</v>
      </c>
      <c r="C87" s="22" t="s">
        <v>1730</v>
      </c>
      <c r="D87" s="179"/>
      <c r="E87" s="6" t="s">
        <v>3765</v>
      </c>
      <c r="F87" s="6" t="s">
        <v>3631</v>
      </c>
      <c r="G87" s="8">
        <v>165000</v>
      </c>
      <c r="H87" s="6" t="s">
        <v>2508</v>
      </c>
      <c r="I87" s="6" t="s">
        <v>1828</v>
      </c>
      <c r="J87" s="6" t="s">
        <v>1824</v>
      </c>
      <c r="K87" s="179"/>
      <c r="L87" s="54"/>
      <c r="M87" s="475"/>
      <c r="N87" s="475" t="s">
        <v>1808</v>
      </c>
      <c r="O87" s="291" t="s">
        <v>7284</v>
      </c>
      <c r="P87" s="468" t="s">
        <v>7285</v>
      </c>
      <c r="Q87" s="6" t="s">
        <v>7286</v>
      </c>
      <c r="R87" s="54"/>
    </row>
    <row r="88" spans="1:18" ht="39" customHeight="1">
      <c r="A88" s="6" t="s">
        <v>3766</v>
      </c>
      <c r="B88" s="6" t="s">
        <v>6872</v>
      </c>
      <c r="C88" s="22" t="s">
        <v>3168</v>
      </c>
      <c r="D88" s="179"/>
      <c r="E88" s="6" t="s">
        <v>3767</v>
      </c>
      <c r="F88" s="6" t="s">
        <v>3064</v>
      </c>
      <c r="G88" s="64">
        <v>200000</v>
      </c>
      <c r="H88" s="160" t="s">
        <v>3768</v>
      </c>
      <c r="I88" s="6" t="s">
        <v>2611</v>
      </c>
      <c r="J88" s="6" t="s">
        <v>1824</v>
      </c>
      <c r="K88" s="179"/>
      <c r="L88" s="54" t="s">
        <v>1859</v>
      </c>
      <c r="M88" s="475"/>
      <c r="N88" s="475" t="s">
        <v>1808</v>
      </c>
      <c r="O88" s="297" t="s">
        <v>7287</v>
      </c>
      <c r="P88" s="468" t="s">
        <v>7288</v>
      </c>
      <c r="Q88" s="6" t="s">
        <v>6410</v>
      </c>
      <c r="R88" s="54"/>
    </row>
    <row r="89" spans="1:18" ht="51">
      <c r="A89" s="6" t="s">
        <v>3769</v>
      </c>
      <c r="B89" s="6" t="s">
        <v>2328</v>
      </c>
      <c r="C89" s="22" t="s">
        <v>2724</v>
      </c>
      <c r="D89" s="179"/>
      <c r="E89" s="6" t="s">
        <v>3770</v>
      </c>
      <c r="F89" s="6" t="s">
        <v>3771</v>
      </c>
      <c r="G89" s="64">
        <v>78200</v>
      </c>
      <c r="H89" s="160" t="s">
        <v>3772</v>
      </c>
      <c r="I89" s="6" t="s">
        <v>2656</v>
      </c>
      <c r="J89" s="6"/>
      <c r="K89" s="179"/>
      <c r="L89" s="54"/>
      <c r="M89" s="6"/>
      <c r="N89" s="6" t="s">
        <v>6132</v>
      </c>
      <c r="O89" s="297" t="s">
        <v>7289</v>
      </c>
      <c r="P89" s="468" t="s">
        <v>7290</v>
      </c>
      <c r="Q89" s="6" t="s">
        <v>6137</v>
      </c>
      <c r="R89" s="54"/>
    </row>
    <row r="90" spans="1:18" ht="38.25">
      <c r="A90" s="6" t="s">
        <v>3773</v>
      </c>
      <c r="B90" s="6" t="s">
        <v>2328</v>
      </c>
      <c r="C90" s="22" t="s">
        <v>62</v>
      </c>
      <c r="D90" s="179"/>
      <c r="E90" s="6" t="s">
        <v>3774</v>
      </c>
      <c r="F90" s="6" t="s">
        <v>3775</v>
      </c>
      <c r="G90" s="64">
        <v>522500</v>
      </c>
      <c r="H90" s="160" t="s">
        <v>3776</v>
      </c>
      <c r="I90" s="6" t="s">
        <v>6370</v>
      </c>
      <c r="J90" s="6"/>
      <c r="K90" s="179"/>
      <c r="L90" s="54"/>
      <c r="M90" s="6"/>
      <c r="N90" s="6" t="s">
        <v>6132</v>
      </c>
      <c r="O90" s="297" t="s">
        <v>7291</v>
      </c>
      <c r="P90" s="468" t="s">
        <v>7292</v>
      </c>
      <c r="Q90" s="6" t="s">
        <v>6217</v>
      </c>
      <c r="R90" s="54"/>
    </row>
    <row r="91" spans="1:18" ht="38.25">
      <c r="A91" s="6" t="s">
        <v>3777</v>
      </c>
      <c r="B91" s="6" t="s">
        <v>2328</v>
      </c>
      <c r="C91" s="22" t="s">
        <v>3781</v>
      </c>
      <c r="D91" s="179"/>
      <c r="E91" s="6" t="s">
        <v>3778</v>
      </c>
      <c r="F91" s="6" t="s">
        <v>3779</v>
      </c>
      <c r="G91" s="64">
        <v>70625</v>
      </c>
      <c r="H91" s="160" t="s">
        <v>3780</v>
      </c>
      <c r="I91" s="6" t="s">
        <v>1828</v>
      </c>
      <c r="J91" s="6"/>
      <c r="K91" s="179"/>
      <c r="L91" s="54"/>
      <c r="M91" s="6"/>
      <c r="N91" s="6" t="s">
        <v>6132</v>
      </c>
      <c r="O91" s="297" t="s">
        <v>7293</v>
      </c>
      <c r="P91" s="468" t="s">
        <v>7294</v>
      </c>
      <c r="Q91" s="6" t="s">
        <v>6092</v>
      </c>
      <c r="R91" s="54"/>
    </row>
    <row r="92" spans="1:18" ht="38.25">
      <c r="A92" s="6" t="s">
        <v>3782</v>
      </c>
      <c r="B92" s="6" t="s">
        <v>2328</v>
      </c>
      <c r="C92" s="22" t="s">
        <v>62</v>
      </c>
      <c r="D92" s="179"/>
      <c r="E92" s="6" t="s">
        <v>3784</v>
      </c>
      <c r="F92" s="6" t="s">
        <v>3785</v>
      </c>
      <c r="G92" s="6" t="s">
        <v>3783</v>
      </c>
      <c r="H92" s="160" t="s">
        <v>3786</v>
      </c>
      <c r="I92" s="6" t="s">
        <v>1828</v>
      </c>
      <c r="J92" s="6"/>
      <c r="K92" s="179"/>
      <c r="L92" s="54"/>
      <c r="M92" s="6"/>
      <c r="N92" s="6" t="s">
        <v>6132</v>
      </c>
      <c r="O92" s="297" t="s">
        <v>7295</v>
      </c>
      <c r="P92" s="468" t="s">
        <v>7296</v>
      </c>
      <c r="Q92" s="6" t="s">
        <v>6217</v>
      </c>
      <c r="R92" s="54"/>
    </row>
    <row r="93" spans="1:18" ht="38.25">
      <c r="A93" s="6" t="s">
        <v>3787</v>
      </c>
      <c r="B93" s="6" t="s">
        <v>2328</v>
      </c>
      <c r="C93" s="22" t="s">
        <v>62</v>
      </c>
      <c r="D93" s="179"/>
      <c r="E93" s="6" t="s">
        <v>3774</v>
      </c>
      <c r="F93" s="6" t="s">
        <v>3788</v>
      </c>
      <c r="G93" s="64">
        <v>650000</v>
      </c>
      <c r="H93" s="160" t="s">
        <v>3789</v>
      </c>
      <c r="I93" s="6" t="s">
        <v>6370</v>
      </c>
      <c r="J93" s="6"/>
      <c r="K93" s="179"/>
      <c r="L93" s="54"/>
      <c r="M93" s="6"/>
      <c r="N93" s="6" t="s">
        <v>6132</v>
      </c>
      <c r="O93" s="291" t="s">
        <v>7297</v>
      </c>
      <c r="P93" s="468" t="s">
        <v>7298</v>
      </c>
      <c r="Q93" s="6" t="s">
        <v>6217</v>
      </c>
      <c r="R93" s="54"/>
    </row>
    <row r="94" spans="1:18" ht="38.25">
      <c r="A94" s="6" t="s">
        <v>3790</v>
      </c>
      <c r="B94" s="6" t="s">
        <v>2328</v>
      </c>
      <c r="C94" s="22" t="s">
        <v>3791</v>
      </c>
      <c r="D94" s="179"/>
      <c r="E94" s="6" t="s">
        <v>3792</v>
      </c>
      <c r="F94" s="6" t="s">
        <v>3793</v>
      </c>
      <c r="G94" s="64">
        <v>143175</v>
      </c>
      <c r="H94" s="160" t="s">
        <v>3794</v>
      </c>
      <c r="I94" s="6" t="s">
        <v>1828</v>
      </c>
      <c r="J94" s="6"/>
      <c r="K94" s="179"/>
      <c r="L94" s="54"/>
      <c r="M94" s="6"/>
      <c r="N94" s="6" t="s">
        <v>7299</v>
      </c>
      <c r="O94" s="297" t="s">
        <v>7300</v>
      </c>
      <c r="P94" s="468" t="s">
        <v>7301</v>
      </c>
      <c r="Q94" s="6" t="s">
        <v>6137</v>
      </c>
      <c r="R94" s="54"/>
    </row>
    <row r="95" spans="1:18" ht="25.5">
      <c r="A95" s="6" t="s">
        <v>3795</v>
      </c>
      <c r="B95" s="6" t="s">
        <v>2328</v>
      </c>
      <c r="C95" s="22" t="s">
        <v>2728</v>
      </c>
      <c r="D95" s="179"/>
      <c r="E95" s="6" t="s">
        <v>3796</v>
      </c>
      <c r="F95" s="6" t="s">
        <v>3797</v>
      </c>
      <c r="G95" s="64">
        <v>515560</v>
      </c>
      <c r="H95" s="160" t="s">
        <v>3798</v>
      </c>
      <c r="I95" s="6" t="s">
        <v>1828</v>
      </c>
      <c r="J95" s="6"/>
      <c r="K95" s="179"/>
      <c r="L95" s="54"/>
      <c r="M95" s="160"/>
      <c r="N95" s="160" t="s">
        <v>6132</v>
      </c>
      <c r="O95" s="297" t="s">
        <v>7302</v>
      </c>
      <c r="P95" s="468" t="s">
        <v>7303</v>
      </c>
      <c r="Q95" s="6" t="s">
        <v>1867</v>
      </c>
      <c r="R95" s="54"/>
    </row>
    <row r="96" spans="1:18" ht="25.5">
      <c r="A96" s="6" t="s">
        <v>3799</v>
      </c>
      <c r="B96" s="6" t="s">
        <v>3096</v>
      </c>
      <c r="C96" s="22" t="s">
        <v>2724</v>
      </c>
      <c r="D96" s="179"/>
      <c r="E96" s="6" t="s">
        <v>3800</v>
      </c>
      <c r="F96" s="6" t="s">
        <v>3801</v>
      </c>
      <c r="G96" s="8">
        <v>2000000</v>
      </c>
      <c r="H96" s="160" t="s">
        <v>3682</v>
      </c>
      <c r="I96" s="6" t="s">
        <v>1828</v>
      </c>
      <c r="J96" s="6" t="s">
        <v>1824</v>
      </c>
      <c r="K96" s="179"/>
      <c r="L96" s="54"/>
      <c r="M96" s="475"/>
      <c r="N96" s="475" t="s">
        <v>1808</v>
      </c>
      <c r="O96" s="291" t="s">
        <v>7304</v>
      </c>
      <c r="P96" s="468" t="s">
        <v>7305</v>
      </c>
      <c r="Q96" s="6" t="s">
        <v>6064</v>
      </c>
      <c r="R96" s="54"/>
    </row>
    <row r="97" spans="1:18" ht="38.25">
      <c r="A97" s="6" t="s">
        <v>3802</v>
      </c>
      <c r="B97" s="6" t="s">
        <v>6872</v>
      </c>
      <c r="C97" s="22" t="s">
        <v>62</v>
      </c>
      <c r="D97" s="179"/>
      <c r="E97" s="6" t="s">
        <v>3803</v>
      </c>
      <c r="F97" s="6" t="s">
        <v>3804</v>
      </c>
      <c r="G97" s="64">
        <v>6232775</v>
      </c>
      <c r="H97" s="160" t="s">
        <v>3805</v>
      </c>
      <c r="I97" s="6" t="s">
        <v>1828</v>
      </c>
      <c r="J97" s="6"/>
      <c r="K97" s="179"/>
      <c r="L97" s="54"/>
      <c r="M97" s="6"/>
      <c r="N97" s="6" t="s">
        <v>6132</v>
      </c>
      <c r="O97" s="291" t="s">
        <v>7306</v>
      </c>
      <c r="P97" s="468" t="s">
        <v>7307</v>
      </c>
      <c r="Q97" s="6" t="s">
        <v>7308</v>
      </c>
      <c r="R97" s="54"/>
    </row>
    <row r="98" spans="1:18" ht="38.25">
      <c r="A98" s="6" t="s">
        <v>3806</v>
      </c>
      <c r="B98" s="6" t="s">
        <v>6872</v>
      </c>
      <c r="C98" s="22" t="s">
        <v>62</v>
      </c>
      <c r="D98" s="179"/>
      <c r="E98" s="6" t="s">
        <v>3807</v>
      </c>
      <c r="F98" s="6" t="s">
        <v>3808</v>
      </c>
      <c r="G98" s="8">
        <v>1297977.67</v>
      </c>
      <c r="H98" s="6"/>
      <c r="I98" s="6" t="s">
        <v>2051</v>
      </c>
      <c r="J98" s="6"/>
      <c r="K98" s="179"/>
      <c r="L98" s="54"/>
      <c r="M98" s="6"/>
      <c r="N98" s="6" t="s">
        <v>6132</v>
      </c>
      <c r="O98" s="297" t="s">
        <v>7309</v>
      </c>
      <c r="P98" s="468" t="s">
        <v>7310</v>
      </c>
      <c r="Q98" s="6" t="s">
        <v>6170</v>
      </c>
      <c r="R98" s="54"/>
    </row>
    <row r="99" spans="1:18" ht="25.5">
      <c r="A99" s="6" t="s">
        <v>3809</v>
      </c>
      <c r="B99" s="6" t="s">
        <v>6872</v>
      </c>
      <c r="C99" s="22" t="s">
        <v>62</v>
      </c>
      <c r="D99" s="179"/>
      <c r="E99" s="6" t="s">
        <v>3810</v>
      </c>
      <c r="F99" s="6" t="s">
        <v>3811</v>
      </c>
      <c r="G99" s="8">
        <v>1036115.4</v>
      </c>
      <c r="H99" s="6"/>
      <c r="I99" s="6" t="s">
        <v>2051</v>
      </c>
      <c r="J99" s="6"/>
      <c r="K99" s="179"/>
      <c r="L99" s="54"/>
      <c r="M99" s="6"/>
      <c r="N99" s="6" t="s">
        <v>6132</v>
      </c>
      <c r="O99" s="297" t="s">
        <v>7311</v>
      </c>
      <c r="P99" s="468" t="s">
        <v>7312</v>
      </c>
      <c r="Q99" s="6" t="s">
        <v>6137</v>
      </c>
      <c r="R99" s="54"/>
    </row>
    <row r="100" spans="1:18" ht="114.75">
      <c r="A100" s="6" t="s">
        <v>3812</v>
      </c>
      <c r="B100" s="6" t="s">
        <v>6872</v>
      </c>
      <c r="C100" s="22" t="s">
        <v>1383</v>
      </c>
      <c r="D100" s="179"/>
      <c r="E100" s="6" t="s">
        <v>3813</v>
      </c>
      <c r="F100" s="6" t="s">
        <v>3814</v>
      </c>
      <c r="G100" s="64">
        <v>60100</v>
      </c>
      <c r="H100" s="6" t="s">
        <v>3815</v>
      </c>
      <c r="I100" s="6" t="s">
        <v>1828</v>
      </c>
      <c r="J100" s="6"/>
      <c r="K100" s="180" t="s">
        <v>3816</v>
      </c>
      <c r="L100" s="54" t="s">
        <v>1859</v>
      </c>
      <c r="M100" s="475"/>
      <c r="N100" s="475" t="s">
        <v>1808</v>
      </c>
      <c r="O100" s="6"/>
      <c r="P100" s="468" t="s">
        <v>7313</v>
      </c>
      <c r="Q100" s="6" t="s">
        <v>6064</v>
      </c>
      <c r="R100" s="54"/>
    </row>
    <row r="101" spans="1:18" ht="102">
      <c r="A101" s="6" t="s">
        <v>3817</v>
      </c>
      <c r="B101" s="6" t="s">
        <v>6872</v>
      </c>
      <c r="C101" s="22" t="s">
        <v>3168</v>
      </c>
      <c r="D101" s="179"/>
      <c r="E101" s="6" t="s">
        <v>3818</v>
      </c>
      <c r="F101" s="6" t="s">
        <v>3819</v>
      </c>
      <c r="G101" s="64">
        <v>50000</v>
      </c>
      <c r="H101" s="6"/>
      <c r="I101" s="6"/>
      <c r="J101" s="6"/>
      <c r="K101" s="180" t="s">
        <v>3820</v>
      </c>
      <c r="L101" s="54" t="s">
        <v>1859</v>
      </c>
      <c r="M101" s="475"/>
      <c r="N101" s="475" t="s">
        <v>1808</v>
      </c>
      <c r="O101" s="6"/>
      <c r="P101" s="468" t="s">
        <v>7314</v>
      </c>
      <c r="Q101" s="6" t="s">
        <v>6064</v>
      </c>
      <c r="R101" s="54"/>
    </row>
    <row r="102" spans="1:18" ht="178.5">
      <c r="A102" s="6" t="s">
        <v>3821</v>
      </c>
      <c r="B102" s="6" t="s">
        <v>6872</v>
      </c>
      <c r="C102" s="22" t="s">
        <v>1383</v>
      </c>
      <c r="D102" s="179"/>
      <c r="E102" s="6" t="s">
        <v>3822</v>
      </c>
      <c r="F102" s="6" t="s">
        <v>3823</v>
      </c>
      <c r="G102" s="64">
        <v>40000</v>
      </c>
      <c r="H102" s="6" t="s">
        <v>3824</v>
      </c>
      <c r="I102" s="6" t="s">
        <v>1828</v>
      </c>
      <c r="J102" s="6"/>
      <c r="K102" s="180" t="s">
        <v>3825</v>
      </c>
      <c r="L102" s="54" t="s">
        <v>1859</v>
      </c>
      <c r="M102" s="475"/>
      <c r="N102" s="475" t="s">
        <v>1808</v>
      </c>
      <c r="O102" s="6"/>
      <c r="P102" s="468" t="s">
        <v>7315</v>
      </c>
      <c r="Q102" s="6" t="s">
        <v>6064</v>
      </c>
      <c r="R102" s="54"/>
    </row>
    <row r="103" spans="1:18" ht="25.5">
      <c r="A103" s="181" t="s">
        <v>3826</v>
      </c>
      <c r="B103" s="181" t="s">
        <v>6872</v>
      </c>
      <c r="C103" s="184" t="s">
        <v>3827</v>
      </c>
      <c r="D103" s="183"/>
      <c r="E103" s="181" t="s">
        <v>3827</v>
      </c>
      <c r="F103" s="181" t="s">
        <v>3827</v>
      </c>
      <c r="G103" s="181" t="s">
        <v>3827</v>
      </c>
      <c r="H103" s="181" t="s">
        <v>3827</v>
      </c>
      <c r="I103" s="181"/>
      <c r="J103" s="181"/>
      <c r="K103" s="183" t="s">
        <v>3827</v>
      </c>
      <c r="L103" s="515"/>
      <c r="M103" s="516"/>
      <c r="N103" s="516" t="s">
        <v>1808</v>
      </c>
      <c r="O103" s="181"/>
      <c r="P103" s="181"/>
      <c r="Q103" s="181" t="s">
        <v>3827</v>
      </c>
      <c r="R103" s="515"/>
    </row>
    <row r="104" spans="1:18" ht="140.25">
      <c r="A104" s="6" t="s">
        <v>3828</v>
      </c>
      <c r="B104" s="6" t="s">
        <v>6872</v>
      </c>
      <c r="C104" s="22" t="s">
        <v>3168</v>
      </c>
      <c r="D104" s="179"/>
      <c r="E104" s="6" t="s">
        <v>3829</v>
      </c>
      <c r="F104" s="6" t="s">
        <v>3830</v>
      </c>
      <c r="G104" s="64">
        <v>60000</v>
      </c>
      <c r="H104" s="6" t="s">
        <v>3831</v>
      </c>
      <c r="I104" s="6" t="s">
        <v>1828</v>
      </c>
      <c r="J104" s="6"/>
      <c r="K104" s="180" t="s">
        <v>3832</v>
      </c>
      <c r="L104" s="54" t="s">
        <v>1859</v>
      </c>
      <c r="M104" s="475"/>
      <c r="N104" s="475" t="s">
        <v>1808</v>
      </c>
      <c r="O104" s="6"/>
      <c r="P104" s="468" t="s">
        <v>7316</v>
      </c>
      <c r="Q104" s="6" t="s">
        <v>6064</v>
      </c>
      <c r="R104" s="54"/>
    </row>
    <row r="105" spans="1:18" ht="127.5">
      <c r="A105" s="6" t="s">
        <v>3833</v>
      </c>
      <c r="B105" s="6" t="s">
        <v>6872</v>
      </c>
      <c r="C105" s="22" t="s">
        <v>394</v>
      </c>
      <c r="D105" s="179"/>
      <c r="E105" s="6" t="s">
        <v>3834</v>
      </c>
      <c r="F105" s="6" t="s">
        <v>3835</v>
      </c>
      <c r="G105" s="214">
        <v>55000</v>
      </c>
      <c r="H105" s="6" t="s">
        <v>3836</v>
      </c>
      <c r="I105" s="6" t="s">
        <v>5647</v>
      </c>
      <c r="J105" s="6"/>
      <c r="K105" s="180" t="s">
        <v>3837</v>
      </c>
      <c r="L105" s="54" t="s">
        <v>1853</v>
      </c>
      <c r="M105" s="475"/>
      <c r="N105" s="475" t="s">
        <v>1808</v>
      </c>
      <c r="O105" s="6"/>
      <c r="P105" s="468" t="s">
        <v>7317</v>
      </c>
      <c r="Q105" s="6" t="s">
        <v>6071</v>
      </c>
      <c r="R105" s="54"/>
    </row>
    <row r="106" spans="1:18" ht="102">
      <c r="A106" s="6" t="s">
        <v>3838</v>
      </c>
      <c r="B106" s="6" t="s">
        <v>6872</v>
      </c>
      <c r="C106" s="22" t="s">
        <v>3168</v>
      </c>
      <c r="D106" s="179"/>
      <c r="E106" s="6" t="s">
        <v>3839</v>
      </c>
      <c r="F106" s="6" t="s">
        <v>3840</v>
      </c>
      <c r="G106" s="64">
        <v>100000</v>
      </c>
      <c r="H106" s="6" t="s">
        <v>3841</v>
      </c>
      <c r="I106" s="6" t="s">
        <v>1828</v>
      </c>
      <c r="J106" s="6"/>
      <c r="K106" s="180" t="s">
        <v>3842</v>
      </c>
      <c r="L106" s="54" t="s">
        <v>1859</v>
      </c>
      <c r="M106" s="475"/>
      <c r="N106" s="475" t="s">
        <v>1808</v>
      </c>
      <c r="O106" s="6"/>
      <c r="P106" s="468" t="s">
        <v>7318</v>
      </c>
      <c r="Q106" s="6" t="s">
        <v>6064</v>
      </c>
      <c r="R106" s="54"/>
    </row>
    <row r="107" spans="1:18" ht="63.75">
      <c r="A107" s="6" t="s">
        <v>3843</v>
      </c>
      <c r="B107" s="6" t="s">
        <v>6872</v>
      </c>
      <c r="C107" s="22" t="s">
        <v>586</v>
      </c>
      <c r="D107" s="179"/>
      <c r="E107" s="6" t="s">
        <v>3844</v>
      </c>
      <c r="F107" s="6" t="s">
        <v>3845</v>
      </c>
      <c r="G107" s="8">
        <v>15950</v>
      </c>
      <c r="H107" s="6" t="s">
        <v>3846</v>
      </c>
      <c r="I107" s="6" t="s">
        <v>2656</v>
      </c>
      <c r="J107" s="6"/>
      <c r="K107" s="180" t="s">
        <v>3847</v>
      </c>
      <c r="L107" s="54"/>
      <c r="M107" s="6"/>
      <c r="N107" s="6" t="s">
        <v>6179</v>
      </c>
      <c r="O107" s="6"/>
      <c r="P107" s="468" t="s">
        <v>7319</v>
      </c>
      <c r="Q107" s="6" t="s">
        <v>6137</v>
      </c>
      <c r="R107" s="54"/>
    </row>
    <row r="108" spans="1:18" ht="89.25">
      <c r="A108" s="6" t="s">
        <v>3848</v>
      </c>
      <c r="B108" s="6" t="s">
        <v>6872</v>
      </c>
      <c r="C108" s="22" t="s">
        <v>3168</v>
      </c>
      <c r="D108" s="179"/>
      <c r="E108" s="6" t="s">
        <v>3849</v>
      </c>
      <c r="F108" s="6" t="s">
        <v>3850</v>
      </c>
      <c r="G108" s="64">
        <v>100000</v>
      </c>
      <c r="H108" s="6" t="s">
        <v>3851</v>
      </c>
      <c r="I108" s="6" t="s">
        <v>1828</v>
      </c>
      <c r="J108" s="6"/>
      <c r="K108" s="180" t="s">
        <v>3852</v>
      </c>
      <c r="L108" s="54" t="s">
        <v>1859</v>
      </c>
      <c r="M108" s="475"/>
      <c r="N108" s="475" t="s">
        <v>1808</v>
      </c>
      <c r="O108" s="6"/>
      <c r="P108" s="468" t="s">
        <v>7320</v>
      </c>
      <c r="Q108" s="6" t="s">
        <v>6071</v>
      </c>
      <c r="R108" s="54"/>
    </row>
    <row r="109" spans="1:18" ht="76.5">
      <c r="A109" s="6" t="s">
        <v>3853</v>
      </c>
      <c r="B109" s="6" t="s">
        <v>6872</v>
      </c>
      <c r="C109" s="22" t="s">
        <v>394</v>
      </c>
      <c r="D109" s="179"/>
      <c r="E109" s="6" t="s">
        <v>3419</v>
      </c>
      <c r="F109" s="6" t="s">
        <v>3854</v>
      </c>
      <c r="G109" s="214">
        <v>58000</v>
      </c>
      <c r="H109" s="6" t="s">
        <v>3855</v>
      </c>
      <c r="I109" s="6" t="s">
        <v>2460</v>
      </c>
      <c r="J109" s="6"/>
      <c r="K109" s="180" t="s">
        <v>3856</v>
      </c>
      <c r="L109" s="54" t="s">
        <v>1853</v>
      </c>
      <c r="M109" s="475"/>
      <c r="N109" s="475" t="s">
        <v>1808</v>
      </c>
      <c r="O109" s="6"/>
      <c r="P109" s="468" t="s">
        <v>7321</v>
      </c>
      <c r="Q109" s="6" t="s">
        <v>6071</v>
      </c>
      <c r="R109" s="54"/>
    </row>
    <row r="110" spans="1:18" ht="114.75">
      <c r="A110" s="6" t="s">
        <v>3857</v>
      </c>
      <c r="B110" s="6" t="s">
        <v>6872</v>
      </c>
      <c r="C110" s="22" t="s">
        <v>1730</v>
      </c>
      <c r="D110" s="179"/>
      <c r="E110" s="6" t="s">
        <v>3858</v>
      </c>
      <c r="F110" s="6" t="s">
        <v>3859</v>
      </c>
      <c r="G110" s="8">
        <v>90015.75</v>
      </c>
      <c r="H110" s="6" t="s">
        <v>3860</v>
      </c>
      <c r="I110" s="6" t="s">
        <v>2460</v>
      </c>
      <c r="J110" s="6"/>
      <c r="K110" s="180" t="s">
        <v>3861</v>
      </c>
      <c r="L110" s="54"/>
      <c r="M110" s="475"/>
      <c r="N110" s="475" t="s">
        <v>1808</v>
      </c>
      <c r="O110" s="6"/>
      <c r="P110" s="468" t="s">
        <v>7322</v>
      </c>
      <c r="Q110" s="6" t="s">
        <v>6137</v>
      </c>
      <c r="R110" s="54"/>
    </row>
    <row r="111" spans="1:18" ht="102">
      <c r="A111" s="6" t="s">
        <v>3862</v>
      </c>
      <c r="B111" s="6" t="s">
        <v>6872</v>
      </c>
      <c r="C111" s="22" t="s">
        <v>1730</v>
      </c>
      <c r="D111" s="179"/>
      <c r="E111" s="6" t="s">
        <v>3863</v>
      </c>
      <c r="F111" s="6" t="s">
        <v>3859</v>
      </c>
      <c r="G111" s="8">
        <v>94505</v>
      </c>
      <c r="H111" s="6" t="s">
        <v>3860</v>
      </c>
      <c r="I111" s="6" t="s">
        <v>2460</v>
      </c>
      <c r="J111" s="6"/>
      <c r="K111" s="180" t="s">
        <v>3864</v>
      </c>
      <c r="L111" s="54"/>
      <c r="M111" s="475"/>
      <c r="N111" s="475" t="s">
        <v>1808</v>
      </c>
      <c r="O111" s="6"/>
      <c r="P111" s="468" t="s">
        <v>7323</v>
      </c>
      <c r="Q111" s="6" t="s">
        <v>6071</v>
      </c>
      <c r="R111" s="54"/>
    </row>
    <row r="112" spans="1:18" ht="140.25">
      <c r="A112" s="6" t="s">
        <v>3865</v>
      </c>
      <c r="B112" s="6" t="s">
        <v>6872</v>
      </c>
      <c r="C112" s="22" t="s">
        <v>1730</v>
      </c>
      <c r="D112" s="179"/>
      <c r="E112" s="6" t="s">
        <v>3866</v>
      </c>
      <c r="F112" s="6" t="s">
        <v>3867</v>
      </c>
      <c r="G112" s="8">
        <v>98105</v>
      </c>
      <c r="H112" s="6"/>
      <c r="I112" s="6"/>
      <c r="J112" s="6"/>
      <c r="K112" s="180" t="s">
        <v>3868</v>
      </c>
      <c r="L112" s="54"/>
      <c r="M112" s="475"/>
      <c r="N112" s="475" t="s">
        <v>1808</v>
      </c>
      <c r="O112" s="6"/>
      <c r="P112" s="468" t="s">
        <v>7324</v>
      </c>
      <c r="Q112" s="6" t="s">
        <v>6137</v>
      </c>
      <c r="R112" s="54"/>
    </row>
    <row r="113" spans="1:18" ht="140.25">
      <c r="A113" s="6" t="s">
        <v>3869</v>
      </c>
      <c r="B113" s="6" t="s">
        <v>6872</v>
      </c>
      <c r="C113" s="22" t="s">
        <v>394</v>
      </c>
      <c r="D113" s="179"/>
      <c r="E113" s="6" t="s">
        <v>3870</v>
      </c>
      <c r="F113" s="6" t="s">
        <v>3871</v>
      </c>
      <c r="G113" s="214">
        <v>46000</v>
      </c>
      <c r="H113" s="6" t="s">
        <v>3872</v>
      </c>
      <c r="I113" s="6" t="s">
        <v>6314</v>
      </c>
      <c r="J113" s="6"/>
      <c r="K113" s="180" t="s">
        <v>3873</v>
      </c>
      <c r="L113" s="54" t="s">
        <v>1853</v>
      </c>
      <c r="M113" s="475"/>
      <c r="N113" s="475" t="s">
        <v>1808</v>
      </c>
      <c r="O113" s="6"/>
      <c r="P113" s="468" t="s">
        <v>7325</v>
      </c>
      <c r="Q113" s="6" t="s">
        <v>6071</v>
      </c>
      <c r="R113" s="54"/>
    </row>
    <row r="114" spans="1:18" ht="178.5">
      <c r="A114" s="6" t="s">
        <v>3874</v>
      </c>
      <c r="B114" s="6" t="s">
        <v>6872</v>
      </c>
      <c r="C114" s="22" t="s">
        <v>3168</v>
      </c>
      <c r="D114" s="179"/>
      <c r="E114" s="6" t="s">
        <v>3875</v>
      </c>
      <c r="F114" s="6" t="s">
        <v>3876</v>
      </c>
      <c r="G114" s="64">
        <v>99000</v>
      </c>
      <c r="H114" s="6" t="s">
        <v>3877</v>
      </c>
      <c r="I114" s="6" t="s">
        <v>1828</v>
      </c>
      <c r="J114" s="6"/>
      <c r="K114" s="180" t="s">
        <v>3878</v>
      </c>
      <c r="L114" s="54" t="s">
        <v>1859</v>
      </c>
      <c r="M114" s="475"/>
      <c r="N114" s="475" t="s">
        <v>1808</v>
      </c>
      <c r="O114" s="6"/>
      <c r="P114" s="468" t="s">
        <v>7326</v>
      </c>
      <c r="Q114" s="6" t="s">
        <v>6064</v>
      </c>
      <c r="R114" s="54"/>
    </row>
    <row r="115" spans="1:18" ht="165.75">
      <c r="A115" s="6" t="s">
        <v>3879</v>
      </c>
      <c r="B115" s="6" t="s">
        <v>6872</v>
      </c>
      <c r="C115" s="22" t="s">
        <v>1763</v>
      </c>
      <c r="D115" s="179"/>
      <c r="E115" s="6" t="s">
        <v>3880</v>
      </c>
      <c r="F115" s="6" t="s">
        <v>3881</v>
      </c>
      <c r="G115" s="64">
        <v>18400</v>
      </c>
      <c r="H115" s="6" t="s">
        <v>3882</v>
      </c>
      <c r="I115" s="6" t="s">
        <v>1828</v>
      </c>
      <c r="J115" s="6"/>
      <c r="K115" s="180" t="s">
        <v>3883</v>
      </c>
      <c r="L115" s="54" t="s">
        <v>1859</v>
      </c>
      <c r="M115" s="6"/>
      <c r="N115" s="6" t="s">
        <v>6179</v>
      </c>
      <c r="O115" s="6"/>
      <c r="P115" s="468" t="s">
        <v>7327</v>
      </c>
      <c r="Q115" s="6" t="s">
        <v>6217</v>
      </c>
      <c r="R115" s="54"/>
    </row>
    <row r="116" spans="1:18" ht="140.25">
      <c r="A116" s="6" t="s">
        <v>3884</v>
      </c>
      <c r="B116" s="6" t="s">
        <v>6872</v>
      </c>
      <c r="C116" s="22" t="s">
        <v>1763</v>
      </c>
      <c r="D116" s="179"/>
      <c r="E116" s="6" t="s">
        <v>3885</v>
      </c>
      <c r="F116" s="6" t="s">
        <v>3886</v>
      </c>
      <c r="G116" s="64">
        <v>78000</v>
      </c>
      <c r="H116" s="6" t="s">
        <v>3397</v>
      </c>
      <c r="I116" s="6" t="s">
        <v>2656</v>
      </c>
      <c r="J116" s="6"/>
      <c r="K116" s="180" t="s">
        <v>3887</v>
      </c>
      <c r="L116" s="54" t="s">
        <v>1859</v>
      </c>
      <c r="M116" s="6"/>
      <c r="N116" s="6" t="s">
        <v>6132</v>
      </c>
      <c r="O116" s="6"/>
      <c r="P116" s="468" t="s">
        <v>7328</v>
      </c>
      <c r="Q116" s="6" t="s">
        <v>6217</v>
      </c>
      <c r="R116" s="54"/>
    </row>
    <row r="117" spans="1:18" ht="165.75">
      <c r="A117" s="6" t="s">
        <v>3888</v>
      </c>
      <c r="B117" s="6" t="s">
        <v>6872</v>
      </c>
      <c r="C117" s="22" t="s">
        <v>1383</v>
      </c>
      <c r="D117" s="179"/>
      <c r="E117" s="6" t="s">
        <v>3889</v>
      </c>
      <c r="F117" s="6" t="s">
        <v>3890</v>
      </c>
      <c r="G117" s="64">
        <v>24750</v>
      </c>
      <c r="H117" s="6" t="s">
        <v>3891</v>
      </c>
      <c r="I117" s="6" t="s">
        <v>1828</v>
      </c>
      <c r="J117" s="6"/>
      <c r="K117" s="180" t="s">
        <v>3892</v>
      </c>
      <c r="L117" s="54" t="s">
        <v>1859</v>
      </c>
      <c r="M117" s="6"/>
      <c r="N117" s="6" t="s">
        <v>6179</v>
      </c>
      <c r="O117" s="6"/>
      <c r="P117" s="468" t="s">
        <v>7329</v>
      </c>
      <c r="Q117" s="6" t="s">
        <v>6217</v>
      </c>
      <c r="R117" s="54"/>
    </row>
    <row r="118" spans="1:18" ht="127.5">
      <c r="A118" s="6" t="s">
        <v>3893</v>
      </c>
      <c r="B118" s="6" t="s">
        <v>6872</v>
      </c>
      <c r="C118" s="22" t="s">
        <v>1763</v>
      </c>
      <c r="D118" s="179"/>
      <c r="E118" s="6" t="s">
        <v>3894</v>
      </c>
      <c r="F118" s="6" t="s">
        <v>3895</v>
      </c>
      <c r="G118" s="64">
        <v>6900</v>
      </c>
      <c r="H118" s="6"/>
      <c r="I118" s="6"/>
      <c r="J118" s="6"/>
      <c r="K118" s="180" t="s">
        <v>3896</v>
      </c>
      <c r="L118" s="54" t="s">
        <v>1859</v>
      </c>
      <c r="M118" s="6"/>
      <c r="N118" s="6" t="s">
        <v>6179</v>
      </c>
      <c r="O118" s="6"/>
      <c r="P118" s="468" t="s">
        <v>7330</v>
      </c>
      <c r="Q118" s="6" t="s">
        <v>6217</v>
      </c>
      <c r="R118" s="54"/>
    </row>
    <row r="119" spans="1:18" ht="165.75">
      <c r="A119" s="6" t="s">
        <v>3897</v>
      </c>
      <c r="B119" s="6" t="s">
        <v>6872</v>
      </c>
      <c r="C119" s="22" t="s">
        <v>3168</v>
      </c>
      <c r="D119" s="179"/>
      <c r="E119" s="6" t="s">
        <v>3898</v>
      </c>
      <c r="F119" s="6" t="s">
        <v>3899</v>
      </c>
      <c r="G119" s="64">
        <v>50000</v>
      </c>
      <c r="H119" s="6"/>
      <c r="I119" s="6"/>
      <c r="J119" s="6"/>
      <c r="K119" s="180" t="s">
        <v>7331</v>
      </c>
      <c r="L119" s="54" t="s">
        <v>1859</v>
      </c>
      <c r="M119" s="475"/>
      <c r="N119" s="475" t="s">
        <v>1808</v>
      </c>
      <c r="O119" s="6"/>
      <c r="P119" s="468" t="s">
        <v>7332</v>
      </c>
      <c r="Q119" s="6" t="s">
        <v>6064</v>
      </c>
      <c r="R119" s="54"/>
    </row>
    <row r="120" spans="1:18" ht="178.5">
      <c r="A120" s="6" t="s">
        <v>3901</v>
      </c>
      <c r="B120" s="6" t="s">
        <v>6872</v>
      </c>
      <c r="C120" s="22" t="s">
        <v>3168</v>
      </c>
      <c r="D120" s="179"/>
      <c r="E120" s="6" t="s">
        <v>3902</v>
      </c>
      <c r="F120" s="6" t="s">
        <v>3903</v>
      </c>
      <c r="G120" s="64">
        <v>100000</v>
      </c>
      <c r="H120" s="6" t="s">
        <v>3851</v>
      </c>
      <c r="I120" s="6" t="s">
        <v>1828</v>
      </c>
      <c r="J120" s="6"/>
      <c r="K120" s="180" t="s">
        <v>7333</v>
      </c>
      <c r="L120" s="54" t="s">
        <v>1859</v>
      </c>
      <c r="M120" s="475"/>
      <c r="N120" s="475" t="s">
        <v>1808</v>
      </c>
      <c r="O120" s="6"/>
      <c r="P120" s="468" t="s">
        <v>7334</v>
      </c>
      <c r="Q120" s="6" t="s">
        <v>6064</v>
      </c>
      <c r="R120" s="54"/>
    </row>
    <row r="121" spans="1:18" ht="140.25">
      <c r="A121" s="6" t="s">
        <v>3905</v>
      </c>
      <c r="B121" s="6" t="s">
        <v>6872</v>
      </c>
      <c r="C121" s="22" t="s">
        <v>1500</v>
      </c>
      <c r="D121" s="179"/>
      <c r="E121" s="6" t="s">
        <v>3906</v>
      </c>
      <c r="F121" s="6" t="s">
        <v>3907</v>
      </c>
      <c r="G121" s="64">
        <v>28000</v>
      </c>
      <c r="H121" s="6" t="s">
        <v>3841</v>
      </c>
      <c r="I121" s="6" t="s">
        <v>1828</v>
      </c>
      <c r="J121" s="6"/>
      <c r="K121" s="180" t="s">
        <v>3908</v>
      </c>
      <c r="L121" s="54" t="s">
        <v>1859</v>
      </c>
      <c r="M121" s="6"/>
      <c r="N121" s="6" t="s">
        <v>6179</v>
      </c>
      <c r="O121" s="6"/>
      <c r="P121" s="468" t="s">
        <v>7335</v>
      </c>
      <c r="Q121" s="6" t="s">
        <v>6217</v>
      </c>
      <c r="R121" s="54"/>
    </row>
    <row r="122" spans="1:18" ht="165.75">
      <c r="A122" s="6" t="s">
        <v>3909</v>
      </c>
      <c r="B122" s="6" t="s">
        <v>6872</v>
      </c>
      <c r="C122" s="22" t="s">
        <v>1763</v>
      </c>
      <c r="D122" s="179"/>
      <c r="E122" s="6" t="s">
        <v>3910</v>
      </c>
      <c r="F122" s="6" t="s">
        <v>811</v>
      </c>
      <c r="G122" s="64">
        <v>99000</v>
      </c>
      <c r="H122" s="6" t="s">
        <v>3841</v>
      </c>
      <c r="I122" s="6" t="s">
        <v>1828</v>
      </c>
      <c r="J122" s="6"/>
      <c r="K122" s="180" t="s">
        <v>3911</v>
      </c>
      <c r="L122" s="54" t="s">
        <v>1859</v>
      </c>
      <c r="M122" s="475"/>
      <c r="N122" s="475" t="s">
        <v>1808</v>
      </c>
      <c r="O122" s="6"/>
      <c r="P122" s="468" t="s">
        <v>7336</v>
      </c>
      <c r="Q122" s="6" t="s">
        <v>6217</v>
      </c>
      <c r="R122" s="54"/>
    </row>
    <row r="123" spans="1:18" ht="178.5">
      <c r="A123" s="6" t="s">
        <v>3912</v>
      </c>
      <c r="B123" s="6" t="s">
        <v>6872</v>
      </c>
      <c r="C123" s="22" t="s">
        <v>394</v>
      </c>
      <c r="D123" s="179"/>
      <c r="E123" s="6" t="s">
        <v>3913</v>
      </c>
      <c r="F123" s="6" t="s">
        <v>840</v>
      </c>
      <c r="G123" s="214">
        <v>52000</v>
      </c>
      <c r="H123" s="6" t="s">
        <v>3841</v>
      </c>
      <c r="I123" s="6" t="s">
        <v>1828</v>
      </c>
      <c r="J123" s="6"/>
      <c r="K123" s="180" t="s">
        <v>3914</v>
      </c>
      <c r="L123" s="54" t="s">
        <v>1853</v>
      </c>
      <c r="M123" s="475"/>
      <c r="N123" s="475" t="s">
        <v>1808</v>
      </c>
      <c r="O123" s="6"/>
      <c r="P123" s="468" t="s">
        <v>7337</v>
      </c>
      <c r="Q123" s="6" t="s">
        <v>6071</v>
      </c>
      <c r="R123" s="54"/>
    </row>
    <row r="124" spans="1:18" ht="178.5">
      <c r="A124" s="6" t="s">
        <v>3915</v>
      </c>
      <c r="B124" s="6" t="s">
        <v>6872</v>
      </c>
      <c r="C124" s="22" t="s">
        <v>1782</v>
      </c>
      <c r="D124" s="179"/>
      <c r="E124" s="6" t="s">
        <v>3916</v>
      </c>
      <c r="F124" s="6" t="s">
        <v>811</v>
      </c>
      <c r="G124" s="64">
        <v>43000</v>
      </c>
      <c r="H124" s="6" t="s">
        <v>3841</v>
      </c>
      <c r="I124" s="6" t="s">
        <v>1828</v>
      </c>
      <c r="J124" s="6"/>
      <c r="K124" s="180" t="s">
        <v>3917</v>
      </c>
      <c r="L124" s="54"/>
      <c r="M124" s="475"/>
      <c r="N124" s="475" t="s">
        <v>1808</v>
      </c>
      <c r="O124" s="6"/>
      <c r="P124" s="468" t="s">
        <v>7338</v>
      </c>
      <c r="Q124" s="6" t="s">
        <v>6064</v>
      </c>
      <c r="R124" s="54"/>
    </row>
    <row r="125" spans="1:18" ht="102">
      <c r="A125" s="6" t="s">
        <v>3918</v>
      </c>
      <c r="B125" s="6" t="s">
        <v>6872</v>
      </c>
      <c r="C125" s="22" t="s">
        <v>3168</v>
      </c>
      <c r="D125" s="179"/>
      <c r="E125" s="6" t="s">
        <v>3919</v>
      </c>
      <c r="F125" s="6" t="s">
        <v>3920</v>
      </c>
      <c r="G125" s="64">
        <v>100000</v>
      </c>
      <c r="H125" s="6" t="s">
        <v>3921</v>
      </c>
      <c r="I125" s="6" t="s">
        <v>2611</v>
      </c>
      <c r="J125" s="6"/>
      <c r="K125" s="180" t="s">
        <v>3922</v>
      </c>
      <c r="L125" s="54" t="s">
        <v>1859</v>
      </c>
      <c r="M125" s="475"/>
      <c r="N125" s="475" t="s">
        <v>1808</v>
      </c>
      <c r="O125" s="6"/>
      <c r="P125" s="468" t="s">
        <v>7339</v>
      </c>
      <c r="Q125" s="6" t="s">
        <v>6137</v>
      </c>
      <c r="R125" s="54"/>
    </row>
    <row r="126" spans="1:18" ht="127.5">
      <c r="A126" s="6" t="s">
        <v>3923</v>
      </c>
      <c r="B126" s="6" t="s">
        <v>6872</v>
      </c>
      <c r="C126" s="22" t="s">
        <v>1383</v>
      </c>
      <c r="D126" s="179"/>
      <c r="E126" s="6" t="s">
        <v>3924</v>
      </c>
      <c r="F126" s="6" t="s">
        <v>3340</v>
      </c>
      <c r="G126" s="64">
        <v>28500</v>
      </c>
      <c r="H126" s="6" t="s">
        <v>3925</v>
      </c>
      <c r="I126" s="6" t="s">
        <v>1828</v>
      </c>
      <c r="J126" s="6"/>
      <c r="K126" s="180" t="s">
        <v>3926</v>
      </c>
      <c r="L126" s="54" t="s">
        <v>1859</v>
      </c>
      <c r="M126" s="475"/>
      <c r="N126" s="475" t="s">
        <v>1808</v>
      </c>
      <c r="O126" s="6"/>
      <c r="P126" s="468" t="s">
        <v>7340</v>
      </c>
      <c r="Q126" s="6" t="s">
        <v>6064</v>
      </c>
      <c r="R126" s="54"/>
    </row>
    <row r="127" spans="1:18" ht="153">
      <c r="A127" s="6" t="s">
        <v>3927</v>
      </c>
      <c r="B127" s="6" t="s">
        <v>6872</v>
      </c>
      <c r="C127" s="22" t="s">
        <v>394</v>
      </c>
      <c r="D127" s="179"/>
      <c r="E127" s="6" t="s">
        <v>3928</v>
      </c>
      <c r="F127" s="6" t="s">
        <v>3929</v>
      </c>
      <c r="G127" s="214">
        <v>37400</v>
      </c>
      <c r="H127" s="6" t="s">
        <v>3930</v>
      </c>
      <c r="I127" s="6" t="s">
        <v>2656</v>
      </c>
      <c r="J127" s="6"/>
      <c r="K127" s="180" t="s">
        <v>3931</v>
      </c>
      <c r="L127" s="54" t="s">
        <v>1853</v>
      </c>
      <c r="M127" s="475"/>
      <c r="N127" s="475" t="s">
        <v>1808</v>
      </c>
      <c r="O127" s="6"/>
      <c r="P127" s="468" t="s">
        <v>7341</v>
      </c>
      <c r="Q127" s="6" t="s">
        <v>6071</v>
      </c>
      <c r="R127" s="54"/>
    </row>
    <row r="128" spans="1:18" ht="140.25">
      <c r="A128" s="6" t="s">
        <v>3932</v>
      </c>
      <c r="B128" s="6" t="s">
        <v>6872</v>
      </c>
      <c r="C128" s="22" t="s">
        <v>394</v>
      </c>
      <c r="D128" s="179"/>
      <c r="E128" s="6" t="s">
        <v>3933</v>
      </c>
      <c r="F128" s="6" t="s">
        <v>3934</v>
      </c>
      <c r="G128" s="214">
        <v>46600</v>
      </c>
      <c r="H128" s="6" t="s">
        <v>3935</v>
      </c>
      <c r="I128" s="6" t="s">
        <v>6314</v>
      </c>
      <c r="J128" s="6"/>
      <c r="K128" s="180" t="s">
        <v>3936</v>
      </c>
      <c r="L128" s="54" t="s">
        <v>1853</v>
      </c>
      <c r="M128" s="475"/>
      <c r="N128" s="475" t="s">
        <v>1808</v>
      </c>
      <c r="O128" s="6"/>
      <c r="P128" s="468" t="s">
        <v>7342</v>
      </c>
      <c r="Q128" s="6" t="s">
        <v>6071</v>
      </c>
      <c r="R128" s="54"/>
    </row>
    <row r="129" spans="1:18" ht="165.75">
      <c r="A129" s="6" t="s">
        <v>3937</v>
      </c>
      <c r="B129" s="6" t="s">
        <v>6872</v>
      </c>
      <c r="C129" s="22" t="s">
        <v>1141</v>
      </c>
      <c r="D129" s="179"/>
      <c r="E129" s="6" t="s">
        <v>3938</v>
      </c>
      <c r="F129" s="6" t="s">
        <v>3939</v>
      </c>
      <c r="G129" s="8">
        <v>88006.86</v>
      </c>
      <c r="H129" s="6" t="s">
        <v>3940</v>
      </c>
      <c r="I129" s="6" t="s">
        <v>2467</v>
      </c>
      <c r="J129" s="6"/>
      <c r="K129" s="180" t="s">
        <v>3941</v>
      </c>
      <c r="L129" s="54"/>
      <c r="M129" s="475"/>
      <c r="N129" s="475" t="s">
        <v>1808</v>
      </c>
      <c r="O129" s="6"/>
      <c r="P129" s="468" t="s">
        <v>7343</v>
      </c>
      <c r="Q129" s="6" t="s">
        <v>6137</v>
      </c>
      <c r="R129" s="54"/>
    </row>
    <row r="130" spans="1:18" ht="165.75">
      <c r="A130" s="6" t="s">
        <v>3942</v>
      </c>
      <c r="B130" s="6" t="s">
        <v>6872</v>
      </c>
      <c r="C130" s="22" t="s">
        <v>1141</v>
      </c>
      <c r="D130" s="6"/>
      <c r="E130" s="6" t="s">
        <v>3943</v>
      </c>
      <c r="F130" s="6" t="s">
        <v>3939</v>
      </c>
      <c r="G130" s="8">
        <v>39629.879999999997</v>
      </c>
      <c r="H130" s="6" t="s">
        <v>3940</v>
      </c>
      <c r="I130" s="6" t="s">
        <v>2467</v>
      </c>
      <c r="J130" s="6"/>
      <c r="K130" s="180" t="s">
        <v>3944</v>
      </c>
      <c r="L130" s="54"/>
      <c r="M130" s="475"/>
      <c r="N130" s="475" t="s">
        <v>1808</v>
      </c>
      <c r="O130" s="6"/>
      <c r="P130" s="468" t="s">
        <v>7344</v>
      </c>
      <c r="Q130" s="6" t="s">
        <v>6137</v>
      </c>
      <c r="R130" s="54"/>
    </row>
    <row r="131" spans="1:18" ht="140.25">
      <c r="A131" s="6" t="s">
        <v>3945</v>
      </c>
      <c r="B131" s="6" t="s">
        <v>6872</v>
      </c>
      <c r="C131" s="22" t="s">
        <v>394</v>
      </c>
      <c r="D131" s="179"/>
      <c r="E131" s="6" t="s">
        <v>3913</v>
      </c>
      <c r="F131" s="6" t="s">
        <v>840</v>
      </c>
      <c r="G131" s="214">
        <v>97500</v>
      </c>
      <c r="H131" s="6" t="s">
        <v>3841</v>
      </c>
      <c r="I131" s="6" t="s">
        <v>1828</v>
      </c>
      <c r="J131" s="6"/>
      <c r="K131" s="180" t="s">
        <v>3946</v>
      </c>
      <c r="L131" s="54" t="s">
        <v>1853</v>
      </c>
      <c r="M131" s="475"/>
      <c r="N131" s="475" t="s">
        <v>1808</v>
      </c>
      <c r="O131" s="6"/>
      <c r="P131" s="468" t="s">
        <v>7345</v>
      </c>
      <c r="Q131" s="6" t="s">
        <v>6071</v>
      </c>
      <c r="R131" s="54"/>
    </row>
    <row r="132" spans="1:18" ht="165.75">
      <c r="A132" s="6" t="s">
        <v>3947</v>
      </c>
      <c r="B132" s="6" t="s">
        <v>6872</v>
      </c>
      <c r="C132" s="22" t="s">
        <v>586</v>
      </c>
      <c r="D132" s="179"/>
      <c r="E132" s="6" t="s">
        <v>3948</v>
      </c>
      <c r="F132" s="6" t="s">
        <v>3949</v>
      </c>
      <c r="G132" s="8">
        <v>12640</v>
      </c>
      <c r="H132" s="6" t="s">
        <v>3950</v>
      </c>
      <c r="I132" s="6" t="s">
        <v>1828</v>
      </c>
      <c r="J132" s="6"/>
      <c r="K132" s="180" t="s">
        <v>3951</v>
      </c>
      <c r="L132" s="54"/>
      <c r="M132" s="6"/>
      <c r="N132" s="6" t="s">
        <v>6132</v>
      </c>
      <c r="O132" s="6"/>
      <c r="P132" s="468" t="s">
        <v>7346</v>
      </c>
      <c r="Q132" s="6" t="s">
        <v>6092</v>
      </c>
      <c r="R132" s="54"/>
    </row>
    <row r="133" spans="1:18" ht="102">
      <c r="A133" s="6" t="s">
        <v>3952</v>
      </c>
      <c r="B133" s="6" t="s">
        <v>6872</v>
      </c>
      <c r="C133" s="22" t="s">
        <v>394</v>
      </c>
      <c r="D133" s="179"/>
      <c r="E133" s="6" t="s">
        <v>3928</v>
      </c>
      <c r="F133" s="6" t="s">
        <v>3953</v>
      </c>
      <c r="G133" s="214">
        <v>45800</v>
      </c>
      <c r="H133" s="6" t="s">
        <v>3954</v>
      </c>
      <c r="I133" s="6" t="s">
        <v>2467</v>
      </c>
      <c r="J133" s="6"/>
      <c r="K133" s="180" t="s">
        <v>7347</v>
      </c>
      <c r="L133" s="54" t="s">
        <v>1853</v>
      </c>
      <c r="M133" s="475"/>
      <c r="N133" s="475" t="s">
        <v>1808</v>
      </c>
      <c r="O133" s="6"/>
      <c r="P133" s="468" t="s">
        <v>7348</v>
      </c>
      <c r="Q133" s="6" t="s">
        <v>6071</v>
      </c>
      <c r="R133" s="54"/>
    </row>
    <row r="134" spans="1:18" ht="140.25">
      <c r="A134" s="6" t="s">
        <v>3956</v>
      </c>
      <c r="B134" s="6" t="s">
        <v>6872</v>
      </c>
      <c r="C134" s="22" t="s">
        <v>1141</v>
      </c>
      <c r="D134" s="179"/>
      <c r="E134" s="6" t="s">
        <v>3957</v>
      </c>
      <c r="F134" s="6" t="s">
        <v>3939</v>
      </c>
      <c r="G134" s="64">
        <v>69273</v>
      </c>
      <c r="H134" s="6" t="s">
        <v>3940</v>
      </c>
      <c r="I134" s="6" t="s">
        <v>2467</v>
      </c>
      <c r="J134" s="6"/>
      <c r="K134" s="180" t="s">
        <v>3958</v>
      </c>
      <c r="L134" s="54"/>
      <c r="M134" s="475"/>
      <c r="N134" s="475" t="s">
        <v>1808</v>
      </c>
      <c r="O134" s="6"/>
      <c r="P134" s="468" t="s">
        <v>7349</v>
      </c>
      <c r="Q134" s="6" t="s">
        <v>6137</v>
      </c>
      <c r="R134" s="54"/>
    </row>
    <row r="135" spans="1:18" ht="76.5">
      <c r="A135" s="6" t="s">
        <v>3959</v>
      </c>
      <c r="B135" s="6" t="s">
        <v>6872</v>
      </c>
      <c r="C135" s="22" t="s">
        <v>1730</v>
      </c>
      <c r="D135" s="179"/>
      <c r="E135" s="6" t="s">
        <v>3960</v>
      </c>
      <c r="F135" s="6" t="s">
        <v>3961</v>
      </c>
      <c r="G135" s="8">
        <v>100000</v>
      </c>
      <c r="H135" s="6" t="s">
        <v>3921</v>
      </c>
      <c r="I135" s="6" t="s">
        <v>2611</v>
      </c>
      <c r="J135" s="6"/>
      <c r="K135" s="180" t="s">
        <v>3962</v>
      </c>
      <c r="L135" s="54"/>
      <c r="M135" s="475"/>
      <c r="N135" s="475" t="s">
        <v>1808</v>
      </c>
      <c r="O135" s="6"/>
      <c r="P135" s="468" t="s">
        <v>7350</v>
      </c>
      <c r="Q135" s="6" t="s">
        <v>6137</v>
      </c>
      <c r="R135" s="54"/>
    </row>
    <row r="136" spans="1:18" ht="114.75">
      <c r="A136" s="6" t="s">
        <v>3963</v>
      </c>
      <c r="B136" s="6" t="s">
        <v>6872</v>
      </c>
      <c r="C136" s="22" t="s">
        <v>394</v>
      </c>
      <c r="D136" s="179"/>
      <c r="E136" s="6" t="s">
        <v>3419</v>
      </c>
      <c r="F136" s="6" t="s">
        <v>3964</v>
      </c>
      <c r="G136" s="214">
        <v>67200</v>
      </c>
      <c r="H136" s="6" t="s">
        <v>3965</v>
      </c>
      <c r="I136" s="6" t="s">
        <v>2460</v>
      </c>
      <c r="J136" s="6"/>
      <c r="K136" s="180" t="s">
        <v>3966</v>
      </c>
      <c r="L136" s="54" t="s">
        <v>1853</v>
      </c>
      <c r="M136" s="475"/>
      <c r="N136" s="475" t="s">
        <v>1808</v>
      </c>
      <c r="O136" s="6"/>
      <c r="P136" s="468" t="s">
        <v>7351</v>
      </c>
      <c r="Q136" s="6" t="s">
        <v>6071</v>
      </c>
      <c r="R136" s="54"/>
    </row>
    <row r="137" spans="1:18" ht="114.75">
      <c r="A137" s="6" t="s">
        <v>3967</v>
      </c>
      <c r="B137" s="6" t="s">
        <v>6872</v>
      </c>
      <c r="C137" s="22" t="s">
        <v>1763</v>
      </c>
      <c r="D137" s="179"/>
      <c r="E137" s="6" t="s">
        <v>3968</v>
      </c>
      <c r="F137" s="6" t="s">
        <v>3969</v>
      </c>
      <c r="G137" s="64">
        <v>68000</v>
      </c>
      <c r="H137" s="6" t="s">
        <v>3970</v>
      </c>
      <c r="I137" s="6" t="s">
        <v>2656</v>
      </c>
      <c r="J137" s="6"/>
      <c r="K137" s="180" t="s">
        <v>3971</v>
      </c>
      <c r="L137" s="54" t="s">
        <v>1859</v>
      </c>
      <c r="M137" s="475"/>
      <c r="N137" s="475" t="s">
        <v>1808</v>
      </c>
      <c r="O137" s="6"/>
      <c r="P137" s="468" t="s">
        <v>7352</v>
      </c>
      <c r="Q137" s="6" t="s">
        <v>6064</v>
      </c>
      <c r="R137" s="54"/>
    </row>
    <row r="138" spans="1:18" ht="178.5">
      <c r="A138" s="6" t="s">
        <v>3972</v>
      </c>
      <c r="B138" s="6" t="s">
        <v>6872</v>
      </c>
      <c r="C138" s="22" t="s">
        <v>394</v>
      </c>
      <c r="D138" s="179"/>
      <c r="E138" s="6" t="s">
        <v>3973</v>
      </c>
      <c r="F138" s="6" t="s">
        <v>3974</v>
      </c>
      <c r="G138" s="214">
        <v>63800</v>
      </c>
      <c r="H138" s="6"/>
      <c r="I138" s="6"/>
      <c r="J138" s="6"/>
      <c r="K138" s="180" t="s">
        <v>3975</v>
      </c>
      <c r="L138" s="54" t="s">
        <v>1853</v>
      </c>
      <c r="M138" s="475"/>
      <c r="N138" s="475" t="s">
        <v>1808</v>
      </c>
      <c r="O138" s="6"/>
      <c r="P138" s="468" t="s">
        <v>7353</v>
      </c>
      <c r="Q138" s="6" t="s">
        <v>6071</v>
      </c>
      <c r="R138" s="54"/>
    </row>
    <row r="139" spans="1:18" ht="165.75">
      <c r="A139" s="6" t="s">
        <v>3976</v>
      </c>
      <c r="B139" s="6" t="s">
        <v>6872</v>
      </c>
      <c r="C139" s="22" t="s">
        <v>1141</v>
      </c>
      <c r="D139" s="179"/>
      <c r="E139" s="6" t="s">
        <v>3977</v>
      </c>
      <c r="F139" s="6" t="s">
        <v>3939</v>
      </c>
      <c r="G139" s="8">
        <v>84114.45</v>
      </c>
      <c r="H139" s="6" t="s">
        <v>3940</v>
      </c>
      <c r="I139" s="6" t="s">
        <v>2467</v>
      </c>
      <c r="J139" s="6"/>
      <c r="K139" s="180" t="s">
        <v>7354</v>
      </c>
      <c r="L139" s="54"/>
      <c r="M139" s="475"/>
      <c r="N139" s="475" t="s">
        <v>1808</v>
      </c>
      <c r="O139" s="6"/>
      <c r="P139" s="468" t="s">
        <v>7355</v>
      </c>
      <c r="Q139" s="6" t="s">
        <v>6137</v>
      </c>
      <c r="R139" s="54"/>
    </row>
    <row r="140" spans="1:18" ht="89.25">
      <c r="A140" s="6" t="s">
        <v>3979</v>
      </c>
      <c r="B140" s="6" t="s">
        <v>6872</v>
      </c>
      <c r="C140" s="22" t="s">
        <v>394</v>
      </c>
      <c r="D140" s="179"/>
      <c r="E140" s="6" t="s">
        <v>3419</v>
      </c>
      <c r="F140" s="6" t="s">
        <v>3980</v>
      </c>
      <c r="G140" s="214">
        <v>68000</v>
      </c>
      <c r="H140" s="6" t="s">
        <v>3405</v>
      </c>
      <c r="I140" s="6" t="s">
        <v>5647</v>
      </c>
      <c r="J140" s="6"/>
      <c r="K140" s="180" t="s">
        <v>3981</v>
      </c>
      <c r="L140" s="54" t="s">
        <v>1853</v>
      </c>
      <c r="M140" s="475"/>
      <c r="N140" s="475" t="s">
        <v>1808</v>
      </c>
      <c r="O140" s="6"/>
      <c r="P140" s="468" t="s">
        <v>7356</v>
      </c>
      <c r="Q140" s="6" t="s">
        <v>6071</v>
      </c>
      <c r="R140" s="54"/>
    </row>
    <row r="141" spans="1:18" ht="127.5">
      <c r="A141" s="6" t="s">
        <v>3982</v>
      </c>
      <c r="B141" s="6" t="s">
        <v>6872</v>
      </c>
      <c r="C141" s="22" t="s">
        <v>1383</v>
      </c>
      <c r="D141" s="179"/>
      <c r="E141" s="6" t="s">
        <v>3983</v>
      </c>
      <c r="F141" s="6" t="s">
        <v>811</v>
      </c>
      <c r="G141" s="64">
        <v>83480</v>
      </c>
      <c r="H141" s="6" t="s">
        <v>3500</v>
      </c>
      <c r="I141" s="6" t="s">
        <v>1828</v>
      </c>
      <c r="J141" s="6"/>
      <c r="K141" s="180" t="s">
        <v>3984</v>
      </c>
      <c r="L141" s="54" t="s">
        <v>1859</v>
      </c>
      <c r="M141" s="475"/>
      <c r="N141" s="475" t="s">
        <v>1808</v>
      </c>
      <c r="O141" s="6"/>
      <c r="P141" s="468" t="s">
        <v>7357</v>
      </c>
      <c r="Q141" s="6" t="s">
        <v>6064</v>
      </c>
      <c r="R141" s="54"/>
    </row>
    <row r="142" spans="1:18" ht="89.25">
      <c r="A142" s="6" t="s">
        <v>3985</v>
      </c>
      <c r="B142" s="6" t="s">
        <v>6872</v>
      </c>
      <c r="C142" s="22" t="s">
        <v>1383</v>
      </c>
      <c r="D142" s="179"/>
      <c r="E142" s="6" t="s">
        <v>3986</v>
      </c>
      <c r="F142" s="6" t="s">
        <v>3987</v>
      </c>
      <c r="G142" s="64">
        <v>67200</v>
      </c>
      <c r="H142" s="6" t="s">
        <v>3988</v>
      </c>
      <c r="I142" s="6" t="s">
        <v>2609</v>
      </c>
      <c r="J142" s="6"/>
      <c r="K142" s="180" t="s">
        <v>3989</v>
      </c>
      <c r="L142" s="54" t="s">
        <v>1859</v>
      </c>
      <c r="M142" s="475"/>
      <c r="N142" s="475" t="s">
        <v>1808</v>
      </c>
      <c r="O142" s="6"/>
      <c r="P142" s="468" t="s">
        <v>7358</v>
      </c>
      <c r="Q142" s="6" t="s">
        <v>6071</v>
      </c>
      <c r="R142" s="54"/>
    </row>
    <row r="143" spans="1:18" ht="89.25">
      <c r="A143" s="6" t="s">
        <v>3990</v>
      </c>
      <c r="B143" s="6" t="s">
        <v>6872</v>
      </c>
      <c r="C143" s="22" t="s">
        <v>394</v>
      </c>
      <c r="D143" s="179"/>
      <c r="E143" s="6" t="s">
        <v>3991</v>
      </c>
      <c r="F143" s="6" t="s">
        <v>3987</v>
      </c>
      <c r="G143" s="214">
        <v>71800</v>
      </c>
      <c r="H143" s="6" t="s">
        <v>3988</v>
      </c>
      <c r="I143" s="6" t="s">
        <v>2609</v>
      </c>
      <c r="J143" s="6"/>
      <c r="K143" s="180" t="s">
        <v>3989</v>
      </c>
      <c r="L143" s="54" t="s">
        <v>1853</v>
      </c>
      <c r="M143" s="475"/>
      <c r="N143" s="475" t="s">
        <v>1808</v>
      </c>
      <c r="O143" s="6"/>
      <c r="P143" s="468" t="s">
        <v>7359</v>
      </c>
      <c r="Q143" s="6" t="s">
        <v>6071</v>
      </c>
      <c r="R143" s="54"/>
    </row>
    <row r="144" spans="1:18" ht="102">
      <c r="A144" s="6" t="s">
        <v>3992</v>
      </c>
      <c r="B144" s="6" t="s">
        <v>6872</v>
      </c>
      <c r="C144" s="22" t="s">
        <v>3168</v>
      </c>
      <c r="D144" s="179"/>
      <c r="E144" s="6" t="s">
        <v>3993</v>
      </c>
      <c r="F144" s="6" t="s">
        <v>811</v>
      </c>
      <c r="G144" s="64">
        <v>100000</v>
      </c>
      <c r="H144" s="6" t="s">
        <v>3841</v>
      </c>
      <c r="I144" s="6" t="s">
        <v>1828</v>
      </c>
      <c r="J144" s="6"/>
      <c r="K144" s="180" t="s">
        <v>7360</v>
      </c>
      <c r="L144" s="54" t="s">
        <v>1859</v>
      </c>
      <c r="M144" s="475"/>
      <c r="N144" s="475" t="s">
        <v>1808</v>
      </c>
      <c r="O144" s="6"/>
      <c r="P144" s="468" t="s">
        <v>7361</v>
      </c>
      <c r="Q144" s="6" t="s">
        <v>6064</v>
      </c>
      <c r="R144" s="54"/>
    </row>
    <row r="145" spans="1:18" ht="114.75">
      <c r="A145" s="6" t="s">
        <v>3995</v>
      </c>
      <c r="B145" s="6" t="s">
        <v>6872</v>
      </c>
      <c r="C145" s="22" t="s">
        <v>3168</v>
      </c>
      <c r="D145" s="179"/>
      <c r="E145" s="6" t="s">
        <v>3996</v>
      </c>
      <c r="F145" s="6" t="s">
        <v>3997</v>
      </c>
      <c r="G145" s="64">
        <v>50000</v>
      </c>
      <c r="H145" s="6"/>
      <c r="I145" s="6"/>
      <c r="J145" s="6"/>
      <c r="K145" s="180" t="s">
        <v>3998</v>
      </c>
      <c r="L145" s="54" t="s">
        <v>1859</v>
      </c>
      <c r="M145" s="475"/>
      <c r="N145" s="475" t="s">
        <v>1808</v>
      </c>
      <c r="O145" s="6"/>
      <c r="P145" s="468" t="s">
        <v>7362</v>
      </c>
      <c r="Q145" s="6" t="s">
        <v>6064</v>
      </c>
      <c r="R145" s="54"/>
    </row>
    <row r="146" spans="1:18" ht="25.5">
      <c r="A146" s="181" t="s">
        <v>3999</v>
      </c>
      <c r="B146" s="181" t="s">
        <v>6872</v>
      </c>
      <c r="C146" s="181" t="s">
        <v>3827</v>
      </c>
      <c r="D146" s="181"/>
      <c r="E146" s="181" t="s">
        <v>3827</v>
      </c>
      <c r="F146" s="181" t="s">
        <v>3827</v>
      </c>
      <c r="G146" s="181" t="s">
        <v>3827</v>
      </c>
      <c r="H146" s="181" t="s">
        <v>3827</v>
      </c>
      <c r="I146" s="181"/>
      <c r="J146" s="181"/>
      <c r="K146" s="181" t="s">
        <v>3827</v>
      </c>
      <c r="L146" s="181"/>
      <c r="M146" s="516"/>
      <c r="N146" s="516" t="s">
        <v>1808</v>
      </c>
      <c r="O146" s="181"/>
      <c r="P146" s="181"/>
      <c r="Q146" s="181" t="s">
        <v>3827</v>
      </c>
      <c r="R146" s="181"/>
    </row>
    <row r="147" spans="1:18" ht="127.5">
      <c r="A147" s="6" t="s">
        <v>4000</v>
      </c>
      <c r="B147" s="6" t="s">
        <v>6872</v>
      </c>
      <c r="C147" s="22" t="s">
        <v>1763</v>
      </c>
      <c r="D147" s="179"/>
      <c r="E147" s="6" t="s">
        <v>4001</v>
      </c>
      <c r="F147" s="6" t="s">
        <v>4002</v>
      </c>
      <c r="G147" s="64">
        <v>10500</v>
      </c>
      <c r="H147" s="6" t="s">
        <v>4003</v>
      </c>
      <c r="I147" s="6" t="s">
        <v>1828</v>
      </c>
      <c r="J147" s="6"/>
      <c r="K147" s="180" t="s">
        <v>7363</v>
      </c>
      <c r="L147" s="54" t="s">
        <v>1859</v>
      </c>
      <c r="M147" s="6"/>
      <c r="N147" s="6" t="s">
        <v>6132</v>
      </c>
      <c r="O147" s="6"/>
      <c r="P147" s="468" t="s">
        <v>7364</v>
      </c>
      <c r="Q147" s="6" t="s">
        <v>7365</v>
      </c>
      <c r="R147" s="54"/>
    </row>
    <row r="148" spans="1:18" ht="127.5">
      <c r="A148" s="6" t="s">
        <v>4005</v>
      </c>
      <c r="B148" s="6" t="s">
        <v>6872</v>
      </c>
      <c r="C148" s="22" t="s">
        <v>1383</v>
      </c>
      <c r="D148" s="179"/>
      <c r="E148" s="6" t="s">
        <v>4006</v>
      </c>
      <c r="F148" s="6" t="s">
        <v>4007</v>
      </c>
      <c r="G148" s="64">
        <v>15000</v>
      </c>
      <c r="H148" s="6" t="s">
        <v>4008</v>
      </c>
      <c r="I148" s="6" t="s">
        <v>1828</v>
      </c>
      <c r="J148" s="6"/>
      <c r="K148" s="180" t="s">
        <v>4009</v>
      </c>
      <c r="L148" s="54" t="s">
        <v>1859</v>
      </c>
      <c r="M148" s="6"/>
      <c r="N148" s="6" t="s">
        <v>6132</v>
      </c>
      <c r="O148" s="6"/>
      <c r="P148" s="468" t="s">
        <v>7366</v>
      </c>
      <c r="Q148" s="6" t="s">
        <v>6064</v>
      </c>
      <c r="R148" s="54"/>
    </row>
    <row r="149" spans="1:18" ht="127.5">
      <c r="A149" s="6" t="s">
        <v>4010</v>
      </c>
      <c r="B149" s="6" t="s">
        <v>6872</v>
      </c>
      <c r="C149" s="22" t="s">
        <v>394</v>
      </c>
      <c r="D149" s="179"/>
      <c r="E149" s="6" t="s">
        <v>3391</v>
      </c>
      <c r="F149" s="6" t="s">
        <v>4011</v>
      </c>
      <c r="G149" s="214">
        <v>65200</v>
      </c>
      <c r="H149" s="6" t="s">
        <v>4012</v>
      </c>
      <c r="I149" s="6" t="s">
        <v>7367</v>
      </c>
      <c r="J149" s="6"/>
      <c r="K149" s="180" t="s">
        <v>4013</v>
      </c>
      <c r="L149" s="54" t="s">
        <v>1853</v>
      </c>
      <c r="M149" s="475"/>
      <c r="N149" s="475" t="s">
        <v>1808</v>
      </c>
      <c r="O149" s="6"/>
      <c r="P149" s="468" t="s">
        <v>7368</v>
      </c>
      <c r="Q149" s="6" t="s">
        <v>6071</v>
      </c>
      <c r="R149" s="54"/>
    </row>
    <row r="150" spans="1:18" ht="140.25">
      <c r="A150" s="6" t="s">
        <v>4014</v>
      </c>
      <c r="B150" s="6" t="s">
        <v>6872</v>
      </c>
      <c r="C150" s="22" t="s">
        <v>1730</v>
      </c>
      <c r="D150" s="179"/>
      <c r="E150" s="6" t="s">
        <v>4015</v>
      </c>
      <c r="F150" s="6" t="s">
        <v>3859</v>
      </c>
      <c r="G150" s="8">
        <v>99998</v>
      </c>
      <c r="H150" s="6" t="s">
        <v>4016</v>
      </c>
      <c r="I150" s="6" t="s">
        <v>2460</v>
      </c>
      <c r="J150" s="6"/>
      <c r="K150" s="180" t="s">
        <v>4017</v>
      </c>
      <c r="L150" s="54"/>
      <c r="M150" s="475"/>
      <c r="N150" s="475" t="s">
        <v>1808</v>
      </c>
      <c r="O150" s="6"/>
      <c r="P150" s="468" t="s">
        <v>7369</v>
      </c>
      <c r="Q150" s="6" t="s">
        <v>6064</v>
      </c>
      <c r="R150" s="54"/>
    </row>
    <row r="151" spans="1:18" ht="165.75">
      <c r="A151" s="6" t="s">
        <v>4018</v>
      </c>
      <c r="B151" s="6" t="s">
        <v>6872</v>
      </c>
      <c r="C151" s="22" t="s">
        <v>1383</v>
      </c>
      <c r="D151" s="179"/>
      <c r="E151" s="6" t="s">
        <v>4019</v>
      </c>
      <c r="F151" s="6" t="s">
        <v>4020</v>
      </c>
      <c r="G151" s="64">
        <v>66000</v>
      </c>
      <c r="H151" s="6" t="s">
        <v>4021</v>
      </c>
      <c r="I151" s="6" t="s">
        <v>1828</v>
      </c>
      <c r="J151" s="6"/>
      <c r="K151" s="180" t="s">
        <v>7370</v>
      </c>
      <c r="L151" s="54" t="s">
        <v>1859</v>
      </c>
      <c r="M151" s="475"/>
      <c r="N151" s="475" t="s">
        <v>1808</v>
      </c>
      <c r="O151" s="6"/>
      <c r="P151" s="468" t="s">
        <v>7371</v>
      </c>
      <c r="Q151" s="6" t="s">
        <v>6064</v>
      </c>
      <c r="R151" s="54"/>
    </row>
    <row r="152" spans="1:18" ht="153">
      <c r="A152" s="6" t="s">
        <v>4023</v>
      </c>
      <c r="B152" s="6" t="s">
        <v>6872</v>
      </c>
      <c r="C152" s="22" t="s">
        <v>394</v>
      </c>
      <c r="D152" s="179"/>
      <c r="E152" s="6" t="s">
        <v>3419</v>
      </c>
      <c r="F152" s="6" t="s">
        <v>4024</v>
      </c>
      <c r="G152" s="214">
        <v>62000</v>
      </c>
      <c r="H152" s="6" t="s">
        <v>4025</v>
      </c>
      <c r="I152" s="6" t="s">
        <v>2609</v>
      </c>
      <c r="J152" s="6"/>
      <c r="K152" s="180" t="s">
        <v>4026</v>
      </c>
      <c r="L152" s="54" t="s">
        <v>1853</v>
      </c>
      <c r="M152" s="475"/>
      <c r="N152" s="475" t="s">
        <v>1808</v>
      </c>
      <c r="O152" s="6"/>
      <c r="P152" s="468" t="s">
        <v>7372</v>
      </c>
      <c r="Q152" s="6" t="s">
        <v>6071</v>
      </c>
      <c r="R152" s="54"/>
    </row>
    <row r="153" spans="1:18" ht="140.25">
      <c r="A153" s="6" t="s">
        <v>4027</v>
      </c>
      <c r="B153" s="6" t="s">
        <v>6872</v>
      </c>
      <c r="C153" s="22" t="s">
        <v>394</v>
      </c>
      <c r="D153" s="179"/>
      <c r="E153" s="6" t="s">
        <v>4028</v>
      </c>
      <c r="F153" s="6" t="s">
        <v>4029</v>
      </c>
      <c r="G153" s="214">
        <v>51000</v>
      </c>
      <c r="H153" s="6" t="s">
        <v>4030</v>
      </c>
      <c r="I153" s="6" t="s">
        <v>6314</v>
      </c>
      <c r="J153" s="6"/>
      <c r="K153" s="180" t="s">
        <v>4031</v>
      </c>
      <c r="L153" s="54" t="s">
        <v>1853</v>
      </c>
      <c r="M153" s="475"/>
      <c r="N153" s="475" t="s">
        <v>1808</v>
      </c>
      <c r="O153" s="6"/>
      <c r="P153" s="468" t="s">
        <v>7373</v>
      </c>
      <c r="Q153" s="6" t="s">
        <v>6071</v>
      </c>
      <c r="R153" s="54"/>
    </row>
    <row r="154" spans="1:18" ht="89.25">
      <c r="A154" s="6" t="s">
        <v>4032</v>
      </c>
      <c r="B154" s="6" t="s">
        <v>6872</v>
      </c>
      <c r="C154" s="22" t="s">
        <v>394</v>
      </c>
      <c r="D154" s="179"/>
      <c r="E154" s="6" t="s">
        <v>3391</v>
      </c>
      <c r="F154" s="6" t="s">
        <v>4033</v>
      </c>
      <c r="G154" s="214">
        <v>58500</v>
      </c>
      <c r="H154" s="6"/>
      <c r="I154" s="6"/>
      <c r="J154" s="6"/>
      <c r="K154" s="180" t="s">
        <v>4034</v>
      </c>
      <c r="L154" s="54" t="s">
        <v>1853</v>
      </c>
      <c r="M154" s="475"/>
      <c r="N154" s="475" t="s">
        <v>1808</v>
      </c>
      <c r="O154" s="6"/>
      <c r="P154" s="468" t="s">
        <v>7374</v>
      </c>
      <c r="Q154" s="6" t="s">
        <v>6071</v>
      </c>
      <c r="R154" s="54"/>
    </row>
    <row r="155" spans="1:18" ht="140.25">
      <c r="A155" s="6" t="s">
        <v>4035</v>
      </c>
      <c r="B155" s="6" t="s">
        <v>6872</v>
      </c>
      <c r="C155" s="22" t="s">
        <v>1763</v>
      </c>
      <c r="D155" s="179"/>
      <c r="E155" s="6" t="s">
        <v>4036</v>
      </c>
      <c r="F155" s="6" t="s">
        <v>4037</v>
      </c>
      <c r="G155" s="64">
        <v>50000</v>
      </c>
      <c r="H155" s="6" t="s">
        <v>4038</v>
      </c>
      <c r="I155" s="6" t="s">
        <v>2656</v>
      </c>
      <c r="J155" s="6"/>
      <c r="K155" s="180" t="s">
        <v>4039</v>
      </c>
      <c r="L155" s="54" t="s">
        <v>1859</v>
      </c>
      <c r="M155" s="6"/>
      <c r="N155" s="6" t="s">
        <v>6132</v>
      </c>
      <c r="O155" s="6"/>
      <c r="P155" s="468" t="s">
        <v>7375</v>
      </c>
      <c r="Q155" s="6" t="s">
        <v>7365</v>
      </c>
      <c r="R155" s="54"/>
    </row>
    <row r="156" spans="1:18" ht="76.5">
      <c r="A156" s="6" t="s">
        <v>4040</v>
      </c>
      <c r="B156" s="6" t="s">
        <v>6872</v>
      </c>
      <c r="C156" s="22" t="s">
        <v>394</v>
      </c>
      <c r="D156" s="179"/>
      <c r="E156" s="6" t="s">
        <v>4041</v>
      </c>
      <c r="F156" s="6" t="s">
        <v>4042</v>
      </c>
      <c r="G156" s="214">
        <v>42000</v>
      </c>
      <c r="H156" s="6"/>
      <c r="I156" s="6"/>
      <c r="J156" s="6"/>
      <c r="K156" s="180" t="s">
        <v>4043</v>
      </c>
      <c r="L156" s="54" t="s">
        <v>1853</v>
      </c>
      <c r="M156" s="475"/>
      <c r="N156" s="475" t="s">
        <v>1808</v>
      </c>
      <c r="O156" s="6"/>
      <c r="P156" s="468" t="s">
        <v>7376</v>
      </c>
      <c r="Q156" s="6" t="s">
        <v>6071</v>
      </c>
      <c r="R156" s="54"/>
    </row>
    <row r="157" spans="1:18" ht="102">
      <c r="A157" s="6" t="s">
        <v>4044</v>
      </c>
      <c r="B157" s="6" t="s">
        <v>6872</v>
      </c>
      <c r="C157" s="22" t="s">
        <v>394</v>
      </c>
      <c r="D157" s="179"/>
      <c r="E157" s="6" t="s">
        <v>4045</v>
      </c>
      <c r="F157" s="6" t="s">
        <v>4046</v>
      </c>
      <c r="G157" s="214">
        <v>32000</v>
      </c>
      <c r="H157" s="6"/>
      <c r="I157" s="6"/>
      <c r="J157" s="6"/>
      <c r="K157" s="180" t="s">
        <v>4047</v>
      </c>
      <c r="L157" s="54" t="s">
        <v>1853</v>
      </c>
      <c r="M157" s="475"/>
      <c r="N157" s="475" t="s">
        <v>1808</v>
      </c>
      <c r="O157" s="6"/>
      <c r="P157" s="468" t="s">
        <v>7377</v>
      </c>
      <c r="Q157" s="6" t="s">
        <v>6071</v>
      </c>
      <c r="R157" s="54"/>
    </row>
    <row r="158" spans="1:18" ht="89.25">
      <c r="A158" s="6" t="s">
        <v>4048</v>
      </c>
      <c r="B158" s="6" t="s">
        <v>6872</v>
      </c>
      <c r="C158" s="22" t="s">
        <v>394</v>
      </c>
      <c r="D158" s="179"/>
      <c r="E158" s="6" t="s">
        <v>3419</v>
      </c>
      <c r="F158" s="6" t="s">
        <v>4049</v>
      </c>
      <c r="G158" s="214">
        <v>38000</v>
      </c>
      <c r="H158" s="6"/>
      <c r="I158" s="6"/>
      <c r="J158" s="6"/>
      <c r="K158" s="180" t="s">
        <v>4050</v>
      </c>
      <c r="L158" s="54" t="s">
        <v>1853</v>
      </c>
      <c r="M158" s="475"/>
      <c r="N158" s="475" t="s">
        <v>1808</v>
      </c>
      <c r="O158" s="6"/>
      <c r="P158" s="468" t="s">
        <v>7378</v>
      </c>
      <c r="Q158" s="6" t="s">
        <v>6071</v>
      </c>
      <c r="R158" s="54"/>
    </row>
    <row r="159" spans="1:18" ht="102">
      <c r="A159" s="6" t="s">
        <v>4051</v>
      </c>
      <c r="B159" s="6" t="s">
        <v>6872</v>
      </c>
      <c r="C159" s="22" t="s">
        <v>394</v>
      </c>
      <c r="D159" s="179"/>
      <c r="E159" s="6" t="s">
        <v>4052</v>
      </c>
      <c r="F159" s="6" t="s">
        <v>4053</v>
      </c>
      <c r="G159" s="214">
        <v>68000</v>
      </c>
      <c r="H159" s="6" t="s">
        <v>4054</v>
      </c>
      <c r="I159" s="6" t="s">
        <v>6783</v>
      </c>
      <c r="J159" s="6"/>
      <c r="K159" s="180" t="s">
        <v>4055</v>
      </c>
      <c r="L159" s="54" t="s">
        <v>1853</v>
      </c>
      <c r="M159" s="475"/>
      <c r="N159" s="475" t="s">
        <v>1808</v>
      </c>
      <c r="O159" s="6"/>
      <c r="P159" s="468" t="s">
        <v>7379</v>
      </c>
      <c r="Q159" s="6" t="s">
        <v>6071</v>
      </c>
      <c r="R159" s="54"/>
    </row>
    <row r="160" spans="1:18" ht="102">
      <c r="A160" s="6" t="s">
        <v>4056</v>
      </c>
      <c r="B160" s="6" t="s">
        <v>6872</v>
      </c>
      <c r="C160" s="22" t="s">
        <v>3092</v>
      </c>
      <c r="D160" s="179"/>
      <c r="E160" s="6" t="s">
        <v>4057</v>
      </c>
      <c r="F160" s="6" t="s">
        <v>3333</v>
      </c>
      <c r="G160" s="64">
        <v>95135</v>
      </c>
      <c r="H160" s="6" t="s">
        <v>4058</v>
      </c>
      <c r="I160" s="6" t="s">
        <v>1828</v>
      </c>
      <c r="J160" s="6"/>
      <c r="K160" s="180" t="s">
        <v>4059</v>
      </c>
      <c r="L160" s="54"/>
      <c r="M160" s="475"/>
      <c r="N160" s="475" t="s">
        <v>1808</v>
      </c>
      <c r="O160" s="6"/>
      <c r="P160" s="468" t="s">
        <v>7380</v>
      </c>
      <c r="Q160" s="6" t="s">
        <v>6137</v>
      </c>
      <c r="R160" s="54"/>
    </row>
    <row r="161" spans="1:18" ht="114.75">
      <c r="A161" s="6" t="s">
        <v>4060</v>
      </c>
      <c r="B161" s="6" t="s">
        <v>6872</v>
      </c>
      <c r="C161" s="22" t="s">
        <v>3168</v>
      </c>
      <c r="D161" s="179"/>
      <c r="E161" s="6" t="s">
        <v>4061</v>
      </c>
      <c r="F161" s="6" t="s">
        <v>4062</v>
      </c>
      <c r="G161" s="64">
        <v>39200</v>
      </c>
      <c r="H161" s="6" t="s">
        <v>4063</v>
      </c>
      <c r="I161" s="6" t="s">
        <v>2449</v>
      </c>
      <c r="J161" s="6"/>
      <c r="K161" s="180" t="s">
        <v>4064</v>
      </c>
      <c r="L161" s="54" t="s">
        <v>1859</v>
      </c>
      <c r="M161" s="475"/>
      <c r="N161" s="475" t="s">
        <v>1808</v>
      </c>
      <c r="O161" s="6"/>
      <c r="P161" s="468" t="s">
        <v>7381</v>
      </c>
      <c r="Q161" s="6" t="s">
        <v>6071</v>
      </c>
      <c r="R161" s="54"/>
    </row>
    <row r="162" spans="1:18" ht="25.5">
      <c r="A162" s="181" t="s">
        <v>4065</v>
      </c>
      <c r="B162" s="181" t="s">
        <v>6872</v>
      </c>
      <c r="C162" s="184" t="s">
        <v>3827</v>
      </c>
      <c r="D162" s="183"/>
      <c r="E162" s="181" t="s">
        <v>3827</v>
      </c>
      <c r="F162" s="181" t="s">
        <v>3827</v>
      </c>
      <c r="G162" s="181" t="s">
        <v>3827</v>
      </c>
      <c r="H162" s="181" t="s">
        <v>3827</v>
      </c>
      <c r="I162" s="181"/>
      <c r="J162" s="181"/>
      <c r="K162" s="183" t="s">
        <v>3827</v>
      </c>
      <c r="L162" s="515"/>
      <c r="M162" s="516"/>
      <c r="N162" s="516" t="s">
        <v>1808</v>
      </c>
      <c r="O162" s="181"/>
      <c r="P162" s="181"/>
      <c r="Q162" s="181" t="s">
        <v>3827</v>
      </c>
      <c r="R162" s="515"/>
    </row>
    <row r="163" spans="1:18" ht="127.5">
      <c r="A163" s="6" t="s">
        <v>4066</v>
      </c>
      <c r="B163" s="6" t="s">
        <v>6872</v>
      </c>
      <c r="C163" s="22" t="s">
        <v>1383</v>
      </c>
      <c r="D163" s="179"/>
      <c r="E163" s="6" t="s">
        <v>4067</v>
      </c>
      <c r="F163" s="6" t="s">
        <v>4068</v>
      </c>
      <c r="G163" s="64">
        <v>50000</v>
      </c>
      <c r="H163" s="6" t="s">
        <v>4058</v>
      </c>
      <c r="I163" s="6" t="s">
        <v>1828</v>
      </c>
      <c r="J163" s="6"/>
      <c r="K163" s="180" t="s">
        <v>4069</v>
      </c>
      <c r="L163" s="54" t="s">
        <v>1859</v>
      </c>
      <c r="M163" s="475"/>
      <c r="N163" s="475" t="s">
        <v>1808</v>
      </c>
      <c r="O163" s="6"/>
      <c r="P163" s="291" t="s">
        <v>7382</v>
      </c>
      <c r="Q163" s="6" t="s">
        <v>6170</v>
      </c>
      <c r="R163" s="54"/>
    </row>
    <row r="164" spans="1:18" ht="165.75">
      <c r="A164" s="6" t="s">
        <v>4070</v>
      </c>
      <c r="B164" s="6" t="s">
        <v>6872</v>
      </c>
      <c r="C164" s="22" t="s">
        <v>394</v>
      </c>
      <c r="D164" s="179"/>
      <c r="E164" s="6" t="s">
        <v>4071</v>
      </c>
      <c r="F164" s="6" t="s">
        <v>4072</v>
      </c>
      <c r="G164" s="214">
        <v>70000</v>
      </c>
      <c r="H164" s="6" t="s">
        <v>4073</v>
      </c>
      <c r="I164" s="6" t="s">
        <v>6314</v>
      </c>
      <c r="J164" s="6"/>
      <c r="K164" s="180" t="s">
        <v>4074</v>
      </c>
      <c r="L164" s="54" t="s">
        <v>1853</v>
      </c>
      <c r="M164" s="475"/>
      <c r="N164" s="475" t="s">
        <v>1808</v>
      </c>
      <c r="O164" s="6"/>
      <c r="P164" s="468" t="s">
        <v>7383</v>
      </c>
      <c r="Q164" s="6" t="s">
        <v>6071</v>
      </c>
      <c r="R164" s="54"/>
    </row>
    <row r="165" spans="1:18" ht="102">
      <c r="A165" s="6" t="s">
        <v>4075</v>
      </c>
      <c r="B165" s="6" t="s">
        <v>6872</v>
      </c>
      <c r="C165" s="22" t="s">
        <v>586</v>
      </c>
      <c r="D165" s="179"/>
      <c r="E165" s="6" t="s">
        <v>4076</v>
      </c>
      <c r="F165" s="6" t="s">
        <v>4077</v>
      </c>
      <c r="G165" s="64">
        <v>8500</v>
      </c>
      <c r="H165" s="6" t="s">
        <v>4078</v>
      </c>
      <c r="I165" s="6" t="s">
        <v>1828</v>
      </c>
      <c r="J165" s="6"/>
      <c r="K165" s="180" t="s">
        <v>7384</v>
      </c>
      <c r="L165" s="54"/>
      <c r="M165" s="475"/>
      <c r="N165" s="475" t="s">
        <v>6132</v>
      </c>
      <c r="O165" s="6"/>
      <c r="P165" s="468" t="s">
        <v>7385</v>
      </c>
      <c r="Q165" s="6" t="s">
        <v>6724</v>
      </c>
      <c r="R165" s="54"/>
    </row>
    <row r="166" spans="1:18" ht="89.25">
      <c r="A166" s="6" t="s">
        <v>4080</v>
      </c>
      <c r="B166" s="6" t="s">
        <v>6872</v>
      </c>
      <c r="C166" s="22" t="s">
        <v>1383</v>
      </c>
      <c r="D166" s="179"/>
      <c r="E166" s="6" t="s">
        <v>4081</v>
      </c>
      <c r="F166" s="6" t="s">
        <v>4082</v>
      </c>
      <c r="G166" s="64">
        <v>50000</v>
      </c>
      <c r="H166" s="6" t="s">
        <v>3925</v>
      </c>
      <c r="I166" s="6" t="s">
        <v>1828</v>
      </c>
      <c r="J166" s="6"/>
      <c r="K166" s="180" t="s">
        <v>4083</v>
      </c>
      <c r="L166" s="54" t="s">
        <v>1859</v>
      </c>
      <c r="M166" s="475"/>
      <c r="N166" s="475" t="s">
        <v>1808</v>
      </c>
      <c r="O166" s="6"/>
      <c r="P166" s="468" t="s">
        <v>7386</v>
      </c>
      <c r="Q166" s="6" t="s">
        <v>6064</v>
      </c>
      <c r="R166" s="54"/>
    </row>
    <row r="167" spans="1:18" ht="114.75">
      <c r="A167" s="6" t="s">
        <v>4084</v>
      </c>
      <c r="B167" s="6" t="s">
        <v>6872</v>
      </c>
      <c r="C167" s="22" t="s">
        <v>1141</v>
      </c>
      <c r="D167" s="179"/>
      <c r="E167" s="6" t="s">
        <v>4085</v>
      </c>
      <c r="F167" s="6" t="s">
        <v>4086</v>
      </c>
      <c r="G167" s="64">
        <v>49880</v>
      </c>
      <c r="H167" s="6" t="s">
        <v>4087</v>
      </c>
      <c r="I167" s="6" t="s">
        <v>2613</v>
      </c>
      <c r="J167" s="6"/>
      <c r="K167" s="180" t="s">
        <v>4088</v>
      </c>
      <c r="L167" s="54"/>
      <c r="M167" s="475"/>
      <c r="N167" s="475" t="s">
        <v>1808</v>
      </c>
      <c r="O167" s="6"/>
      <c r="P167" s="468" t="s">
        <v>7387</v>
      </c>
      <c r="Q167" s="6" t="s">
        <v>6137</v>
      </c>
      <c r="R167" s="54"/>
    </row>
    <row r="168" spans="1:18" ht="12.75">
      <c r="A168" s="6"/>
      <c r="B168" s="6"/>
      <c r="C168" s="22"/>
      <c r="D168" s="179"/>
      <c r="E168" s="6"/>
      <c r="F168" s="6"/>
      <c r="G168" s="214"/>
      <c r="H168" s="6"/>
      <c r="I168" s="6"/>
      <c r="J168" s="6"/>
      <c r="K168" s="179"/>
      <c r="L168" s="54"/>
      <c r="M168" s="6"/>
      <c r="N168" s="6"/>
      <c r="O168" s="6"/>
      <c r="P168" s="6"/>
      <c r="Q168" s="6"/>
      <c r="R168" s="54"/>
    </row>
    <row r="169" spans="1:18" ht="12.75">
      <c r="A169" s="6"/>
      <c r="B169" s="6"/>
      <c r="C169" s="22"/>
      <c r="D169" s="179"/>
      <c r="E169" s="6"/>
      <c r="F169" s="6"/>
      <c r="G169" s="214"/>
      <c r="H169" s="6"/>
      <c r="I169" s="6"/>
      <c r="J169" s="6"/>
      <c r="K169" s="179"/>
      <c r="L169" s="54"/>
      <c r="M169" s="6"/>
      <c r="N169" s="6"/>
      <c r="O169" s="6"/>
      <c r="P169" s="6"/>
      <c r="Q169" s="6"/>
      <c r="R169" s="54"/>
    </row>
    <row r="170" spans="1:18" ht="12.75">
      <c r="A170" s="6"/>
      <c r="B170" s="6"/>
      <c r="C170" s="22"/>
      <c r="D170" s="179"/>
      <c r="E170" s="6"/>
      <c r="F170" s="6"/>
      <c r="G170" s="214"/>
      <c r="H170" s="6"/>
      <c r="I170" s="6"/>
      <c r="J170" s="6"/>
      <c r="K170" s="179"/>
      <c r="L170" s="54"/>
      <c r="M170" s="6"/>
      <c r="N170" s="6"/>
      <c r="O170" s="6"/>
      <c r="P170" s="6"/>
      <c r="Q170" s="6"/>
      <c r="R170" s="54"/>
    </row>
    <row r="171" spans="1:18" ht="12.75">
      <c r="A171" s="6"/>
      <c r="B171" s="6"/>
      <c r="C171" s="22"/>
      <c r="D171" s="179"/>
      <c r="E171" s="6"/>
      <c r="F171" s="6"/>
      <c r="G171" s="214"/>
      <c r="H171" s="6"/>
      <c r="I171" s="6"/>
      <c r="J171" s="6"/>
      <c r="K171" s="179"/>
      <c r="L171" s="54"/>
      <c r="M171" s="6"/>
      <c r="N171" s="6"/>
      <c r="O171" s="6"/>
      <c r="P171" s="6"/>
      <c r="Q171" s="6"/>
      <c r="R171" s="54"/>
    </row>
    <row r="172" spans="1:18" ht="12.75">
      <c r="A172" s="6"/>
      <c r="B172" s="6"/>
      <c r="C172" s="22"/>
      <c r="D172" s="179"/>
      <c r="E172" s="6"/>
      <c r="F172" s="6"/>
      <c r="G172" s="214"/>
      <c r="H172" s="6"/>
      <c r="I172" s="6"/>
      <c r="J172" s="6"/>
      <c r="K172" s="179"/>
      <c r="L172" s="54"/>
      <c r="M172" s="6"/>
      <c r="N172" s="6"/>
      <c r="O172" s="6"/>
      <c r="P172" s="6"/>
      <c r="Q172" s="6"/>
      <c r="R172" s="54"/>
    </row>
    <row r="173" spans="1:18" ht="12.75">
      <c r="A173" s="6"/>
      <c r="B173" s="6"/>
      <c r="C173" s="22"/>
      <c r="D173" s="179"/>
      <c r="E173" s="6"/>
      <c r="F173" s="6"/>
      <c r="G173" s="214"/>
      <c r="H173" s="6"/>
      <c r="I173" s="6" t="s">
        <v>997</v>
      </c>
      <c r="J173" s="6"/>
      <c r="K173" s="179"/>
      <c r="L173" s="54"/>
      <c r="M173" s="6"/>
      <c r="N173" s="6"/>
      <c r="O173" s="6"/>
      <c r="P173" s="6"/>
      <c r="Q173" s="6"/>
      <c r="R173" s="54"/>
    </row>
    <row r="174" spans="1:18" ht="12.75">
      <c r="A174" s="6"/>
      <c r="B174" s="6"/>
      <c r="C174" s="22"/>
      <c r="D174" s="179"/>
      <c r="E174" s="6"/>
      <c r="F174" s="6"/>
      <c r="G174" s="214"/>
      <c r="H174" s="6"/>
      <c r="I174" s="6"/>
      <c r="J174" s="6"/>
      <c r="K174" s="179"/>
      <c r="L174" s="54"/>
      <c r="M174" s="6"/>
      <c r="N174" s="6"/>
      <c r="O174" s="6"/>
      <c r="P174" s="6"/>
      <c r="Q174" s="6"/>
      <c r="R174" s="54"/>
    </row>
    <row r="175" spans="1:18" ht="12.75">
      <c r="A175" s="6"/>
      <c r="B175" s="6"/>
      <c r="C175" s="22"/>
      <c r="D175" s="179"/>
      <c r="E175" s="6"/>
      <c r="F175" s="6"/>
      <c r="G175" s="214"/>
      <c r="H175" s="6"/>
      <c r="I175" s="6"/>
      <c r="J175" s="6"/>
      <c r="K175" s="179"/>
      <c r="L175" s="54"/>
      <c r="M175" s="6"/>
      <c r="N175" s="6"/>
      <c r="O175" s="6"/>
      <c r="P175" s="6"/>
      <c r="Q175" s="6"/>
      <c r="R175" s="54"/>
    </row>
    <row r="176" spans="1:18" ht="12.75">
      <c r="A176" s="6"/>
      <c r="B176" s="6"/>
      <c r="C176" s="22"/>
      <c r="D176" s="179"/>
      <c r="E176" s="6"/>
      <c r="F176" s="6"/>
      <c r="G176" s="214"/>
      <c r="H176" s="6"/>
      <c r="I176" s="6"/>
      <c r="J176" s="6"/>
      <c r="K176" s="179"/>
      <c r="L176" s="54"/>
      <c r="M176" s="6"/>
      <c r="N176" s="6"/>
      <c r="O176" s="6"/>
      <c r="P176" s="6"/>
      <c r="Q176" s="6"/>
      <c r="R176" s="54"/>
    </row>
    <row r="177" spans="1:18" ht="12.75">
      <c r="A177" s="6"/>
      <c r="B177" s="6"/>
      <c r="C177" s="22"/>
      <c r="D177" s="179"/>
      <c r="E177" s="6"/>
      <c r="F177" s="6"/>
      <c r="G177" s="214"/>
      <c r="H177" s="6"/>
      <c r="I177" s="6"/>
      <c r="J177" s="6"/>
      <c r="K177" s="179"/>
      <c r="L177" s="54"/>
      <c r="M177" s="6"/>
      <c r="N177" s="6"/>
      <c r="O177" s="6"/>
      <c r="P177" s="6"/>
      <c r="Q177" s="6"/>
      <c r="R177" s="54"/>
    </row>
    <row r="178" spans="1:18" ht="12.75">
      <c r="A178" s="6"/>
      <c r="B178" s="6"/>
      <c r="C178" s="22"/>
      <c r="D178" s="179"/>
      <c r="E178" s="6"/>
      <c r="F178" s="6"/>
      <c r="G178" s="214"/>
      <c r="H178" s="6"/>
      <c r="I178" s="6"/>
      <c r="J178" s="6"/>
      <c r="K178" s="179"/>
      <c r="L178" s="54"/>
      <c r="M178" s="6"/>
      <c r="N178" s="6"/>
      <c r="O178" s="6"/>
      <c r="P178" s="6"/>
      <c r="Q178" s="6"/>
      <c r="R178" s="54"/>
    </row>
    <row r="179" spans="1:18" ht="12.75">
      <c r="A179" s="6"/>
      <c r="B179" s="6"/>
      <c r="C179" s="22"/>
      <c r="D179" s="179"/>
      <c r="E179" s="6"/>
      <c r="F179" s="6"/>
      <c r="G179" s="214"/>
      <c r="H179" s="6"/>
      <c r="I179" s="6"/>
      <c r="J179" s="6"/>
      <c r="K179" s="179"/>
      <c r="L179" s="54"/>
      <c r="M179" s="6"/>
      <c r="N179" s="6"/>
      <c r="O179" s="6"/>
      <c r="P179" s="6"/>
      <c r="Q179" s="6"/>
      <c r="R179" s="54"/>
    </row>
  </sheetData>
  <hyperlinks>
    <hyperlink ref="O2" r:id="rId1" xr:uid="{00000000-0004-0000-1600-000000000000}"/>
    <hyperlink ref="P2" r:id="rId2" xr:uid="{00000000-0004-0000-1600-000001000000}"/>
    <hyperlink ref="O3" r:id="rId3" xr:uid="{00000000-0004-0000-1600-000002000000}"/>
    <hyperlink ref="P3" r:id="rId4" xr:uid="{00000000-0004-0000-1600-000003000000}"/>
    <hyperlink ref="O4" r:id="rId5" xr:uid="{00000000-0004-0000-1600-000004000000}"/>
    <hyperlink ref="P4" r:id="rId6" xr:uid="{00000000-0004-0000-1600-000005000000}"/>
    <hyperlink ref="O5" r:id="rId7" xr:uid="{00000000-0004-0000-1600-000006000000}"/>
    <hyperlink ref="P5" r:id="rId8" xr:uid="{00000000-0004-0000-1600-000007000000}"/>
    <hyperlink ref="O6" r:id="rId9" xr:uid="{00000000-0004-0000-1600-000008000000}"/>
    <hyperlink ref="P6" r:id="rId10" xr:uid="{00000000-0004-0000-1600-000009000000}"/>
    <hyperlink ref="O7" r:id="rId11" xr:uid="{00000000-0004-0000-1600-00000A000000}"/>
    <hyperlink ref="P7" r:id="rId12" xr:uid="{00000000-0004-0000-1600-00000B000000}"/>
    <hyperlink ref="O8" r:id="rId13" xr:uid="{00000000-0004-0000-1600-00000C000000}"/>
    <hyperlink ref="P8" r:id="rId14" xr:uid="{00000000-0004-0000-1600-00000D000000}"/>
    <hyperlink ref="O9" r:id="rId15" xr:uid="{00000000-0004-0000-1600-00000E000000}"/>
    <hyperlink ref="P9" r:id="rId16" xr:uid="{00000000-0004-0000-1600-00000F000000}"/>
    <hyperlink ref="O10" r:id="rId17" xr:uid="{00000000-0004-0000-1600-000010000000}"/>
    <hyperlink ref="P10" r:id="rId18" xr:uid="{00000000-0004-0000-1600-000011000000}"/>
    <hyperlink ref="O11" r:id="rId19" xr:uid="{00000000-0004-0000-1600-000012000000}"/>
    <hyperlink ref="P11" r:id="rId20" xr:uid="{00000000-0004-0000-1600-000013000000}"/>
    <hyperlink ref="O12" r:id="rId21" xr:uid="{00000000-0004-0000-1600-000014000000}"/>
    <hyperlink ref="P12" r:id="rId22" xr:uid="{00000000-0004-0000-1600-000015000000}"/>
    <hyperlink ref="O13" r:id="rId23" xr:uid="{00000000-0004-0000-1600-000016000000}"/>
    <hyperlink ref="P13" r:id="rId24" xr:uid="{00000000-0004-0000-1600-000017000000}"/>
    <hyperlink ref="O14" r:id="rId25" xr:uid="{00000000-0004-0000-1600-000018000000}"/>
    <hyperlink ref="P14" r:id="rId26" xr:uid="{00000000-0004-0000-1600-000019000000}"/>
    <hyperlink ref="O15" r:id="rId27" xr:uid="{00000000-0004-0000-1600-00001A000000}"/>
    <hyperlink ref="P15" r:id="rId28" xr:uid="{00000000-0004-0000-1600-00001B000000}"/>
    <hyperlink ref="O16" r:id="rId29" xr:uid="{00000000-0004-0000-1600-00001C000000}"/>
    <hyperlink ref="P16" r:id="rId30" xr:uid="{00000000-0004-0000-1600-00001D000000}"/>
    <hyperlink ref="O17" r:id="rId31" xr:uid="{00000000-0004-0000-1600-00001E000000}"/>
    <hyperlink ref="P17" r:id="rId32" xr:uid="{00000000-0004-0000-1600-00001F000000}"/>
    <hyperlink ref="O18" r:id="rId33" xr:uid="{00000000-0004-0000-1600-000020000000}"/>
    <hyperlink ref="P18" r:id="rId34" xr:uid="{00000000-0004-0000-1600-000021000000}"/>
    <hyperlink ref="O19" r:id="rId35" xr:uid="{00000000-0004-0000-1600-000022000000}"/>
    <hyperlink ref="P19" r:id="rId36" xr:uid="{00000000-0004-0000-1600-000023000000}"/>
    <hyperlink ref="O20" r:id="rId37" xr:uid="{00000000-0004-0000-1600-000024000000}"/>
    <hyperlink ref="P20" r:id="rId38" xr:uid="{00000000-0004-0000-1600-000025000000}"/>
    <hyperlink ref="O21" r:id="rId39" xr:uid="{00000000-0004-0000-1600-000026000000}"/>
    <hyperlink ref="P21" r:id="rId40" xr:uid="{00000000-0004-0000-1600-000027000000}"/>
    <hyperlink ref="O22" r:id="rId41" xr:uid="{00000000-0004-0000-1600-000028000000}"/>
    <hyperlink ref="P22" r:id="rId42" xr:uid="{00000000-0004-0000-1600-000029000000}"/>
    <hyperlink ref="O23" r:id="rId43" xr:uid="{00000000-0004-0000-1600-00002A000000}"/>
    <hyperlink ref="P23" r:id="rId44" xr:uid="{00000000-0004-0000-1600-00002B000000}"/>
    <hyperlink ref="O24" r:id="rId45" xr:uid="{00000000-0004-0000-1600-00002C000000}"/>
    <hyperlink ref="P24" r:id="rId46" xr:uid="{00000000-0004-0000-1600-00002D000000}"/>
    <hyperlink ref="O25" r:id="rId47" xr:uid="{00000000-0004-0000-1600-00002E000000}"/>
    <hyperlink ref="P25" r:id="rId48" xr:uid="{00000000-0004-0000-1600-00002F000000}"/>
    <hyperlink ref="O26" r:id="rId49" xr:uid="{00000000-0004-0000-1600-000030000000}"/>
    <hyperlink ref="P26" r:id="rId50" xr:uid="{00000000-0004-0000-1600-000031000000}"/>
    <hyperlink ref="O27" r:id="rId51" xr:uid="{00000000-0004-0000-1600-000032000000}"/>
    <hyperlink ref="P27" r:id="rId52" xr:uid="{00000000-0004-0000-1600-000033000000}"/>
    <hyperlink ref="O28" r:id="rId53" xr:uid="{00000000-0004-0000-1600-000034000000}"/>
    <hyperlink ref="P28" r:id="rId54" xr:uid="{00000000-0004-0000-1600-000035000000}"/>
    <hyperlink ref="O29" r:id="rId55" xr:uid="{00000000-0004-0000-1600-000036000000}"/>
    <hyperlink ref="P29" r:id="rId56" xr:uid="{00000000-0004-0000-1600-000037000000}"/>
    <hyperlink ref="O30" r:id="rId57" xr:uid="{00000000-0004-0000-1600-000038000000}"/>
    <hyperlink ref="P30" r:id="rId58" xr:uid="{00000000-0004-0000-1600-000039000000}"/>
    <hyperlink ref="O31" r:id="rId59" xr:uid="{00000000-0004-0000-1600-00003A000000}"/>
    <hyperlink ref="P31" r:id="rId60" xr:uid="{00000000-0004-0000-1600-00003B000000}"/>
    <hyperlink ref="O32" r:id="rId61" xr:uid="{00000000-0004-0000-1600-00003C000000}"/>
    <hyperlink ref="P32" r:id="rId62" xr:uid="{00000000-0004-0000-1600-00003D000000}"/>
    <hyperlink ref="O33" r:id="rId63" xr:uid="{00000000-0004-0000-1600-00003E000000}"/>
    <hyperlink ref="P33" r:id="rId64" xr:uid="{00000000-0004-0000-1600-00003F000000}"/>
    <hyperlink ref="O34" r:id="rId65" xr:uid="{00000000-0004-0000-1600-000040000000}"/>
    <hyperlink ref="P34" r:id="rId66" xr:uid="{00000000-0004-0000-1600-000041000000}"/>
    <hyperlink ref="O35" r:id="rId67" xr:uid="{00000000-0004-0000-1600-000042000000}"/>
    <hyperlink ref="P35" r:id="rId68" xr:uid="{00000000-0004-0000-1600-000043000000}"/>
    <hyperlink ref="O36" r:id="rId69" xr:uid="{00000000-0004-0000-1600-000044000000}"/>
    <hyperlink ref="P36" r:id="rId70" xr:uid="{00000000-0004-0000-1600-000045000000}"/>
    <hyperlink ref="O37" r:id="rId71" xr:uid="{00000000-0004-0000-1600-000046000000}"/>
    <hyperlink ref="P37" r:id="rId72" xr:uid="{00000000-0004-0000-1600-000047000000}"/>
    <hyperlink ref="O38" r:id="rId73" xr:uid="{00000000-0004-0000-1600-000048000000}"/>
    <hyperlink ref="P38" r:id="rId74" xr:uid="{00000000-0004-0000-1600-000049000000}"/>
    <hyperlink ref="O39" r:id="rId75" xr:uid="{00000000-0004-0000-1600-00004A000000}"/>
    <hyperlink ref="P39" r:id="rId76" xr:uid="{00000000-0004-0000-1600-00004B000000}"/>
    <hyperlink ref="O40" r:id="rId77" xr:uid="{00000000-0004-0000-1600-00004C000000}"/>
    <hyperlink ref="P40" r:id="rId78" xr:uid="{00000000-0004-0000-1600-00004D000000}"/>
    <hyperlink ref="O41" r:id="rId79" xr:uid="{00000000-0004-0000-1600-00004E000000}"/>
    <hyperlink ref="P41" r:id="rId80" xr:uid="{00000000-0004-0000-1600-00004F000000}"/>
    <hyperlink ref="O42" r:id="rId81" xr:uid="{00000000-0004-0000-1600-000050000000}"/>
    <hyperlink ref="P42" r:id="rId82" xr:uid="{00000000-0004-0000-1600-000051000000}"/>
    <hyperlink ref="O43" r:id="rId83" xr:uid="{00000000-0004-0000-1600-000052000000}"/>
    <hyperlink ref="P43" r:id="rId84" xr:uid="{00000000-0004-0000-1600-000053000000}"/>
    <hyperlink ref="O44" r:id="rId85" xr:uid="{00000000-0004-0000-1600-000054000000}"/>
    <hyperlink ref="P44" r:id="rId86" xr:uid="{00000000-0004-0000-1600-000055000000}"/>
    <hyperlink ref="O45" r:id="rId87" xr:uid="{00000000-0004-0000-1600-000056000000}"/>
    <hyperlink ref="P45" r:id="rId88" xr:uid="{00000000-0004-0000-1600-000057000000}"/>
    <hyperlink ref="O46" r:id="rId89" xr:uid="{00000000-0004-0000-1600-000058000000}"/>
    <hyperlink ref="P46" r:id="rId90" xr:uid="{00000000-0004-0000-1600-000059000000}"/>
    <hyperlink ref="O47" r:id="rId91" xr:uid="{00000000-0004-0000-1600-00005A000000}"/>
    <hyperlink ref="P47" r:id="rId92" xr:uid="{00000000-0004-0000-1600-00005B000000}"/>
    <hyperlink ref="O48" r:id="rId93" xr:uid="{00000000-0004-0000-1600-00005C000000}"/>
    <hyperlink ref="P48" r:id="rId94" xr:uid="{00000000-0004-0000-1600-00005D000000}"/>
    <hyperlink ref="O49" r:id="rId95" xr:uid="{00000000-0004-0000-1600-00005E000000}"/>
    <hyperlink ref="P49" r:id="rId96" xr:uid="{00000000-0004-0000-1600-00005F000000}"/>
    <hyperlink ref="O50" r:id="rId97" xr:uid="{00000000-0004-0000-1600-000060000000}"/>
    <hyperlink ref="P50" r:id="rId98" xr:uid="{00000000-0004-0000-1600-000061000000}"/>
    <hyperlink ref="O51" r:id="rId99" xr:uid="{00000000-0004-0000-1600-000062000000}"/>
    <hyperlink ref="P51" r:id="rId100" xr:uid="{00000000-0004-0000-1600-000063000000}"/>
    <hyperlink ref="O52" r:id="rId101" xr:uid="{00000000-0004-0000-1600-000064000000}"/>
    <hyperlink ref="P52" r:id="rId102" xr:uid="{00000000-0004-0000-1600-000065000000}"/>
    <hyperlink ref="O53" r:id="rId103" xr:uid="{00000000-0004-0000-1600-000066000000}"/>
    <hyperlink ref="P53" r:id="rId104" xr:uid="{00000000-0004-0000-1600-000067000000}"/>
    <hyperlink ref="O54" r:id="rId105" xr:uid="{00000000-0004-0000-1600-000068000000}"/>
    <hyperlink ref="P54" r:id="rId106" xr:uid="{00000000-0004-0000-1600-000069000000}"/>
    <hyperlink ref="O55" r:id="rId107" xr:uid="{00000000-0004-0000-1600-00006A000000}"/>
    <hyperlink ref="P55" r:id="rId108" xr:uid="{00000000-0004-0000-1600-00006B000000}"/>
    <hyperlink ref="O56" r:id="rId109" xr:uid="{00000000-0004-0000-1600-00006C000000}"/>
    <hyperlink ref="P56" r:id="rId110" xr:uid="{00000000-0004-0000-1600-00006D000000}"/>
    <hyperlink ref="O57" r:id="rId111" xr:uid="{00000000-0004-0000-1600-00006E000000}"/>
    <hyperlink ref="P57" r:id="rId112" xr:uid="{00000000-0004-0000-1600-00006F000000}"/>
    <hyperlink ref="O58" r:id="rId113" xr:uid="{00000000-0004-0000-1600-000070000000}"/>
    <hyperlink ref="P58" r:id="rId114" xr:uid="{00000000-0004-0000-1600-000071000000}"/>
    <hyperlink ref="O59" r:id="rId115" xr:uid="{00000000-0004-0000-1600-000072000000}"/>
    <hyperlink ref="P59" r:id="rId116" xr:uid="{00000000-0004-0000-1600-000073000000}"/>
    <hyperlink ref="O60" r:id="rId117" xr:uid="{00000000-0004-0000-1600-000074000000}"/>
    <hyperlink ref="P60" r:id="rId118" xr:uid="{00000000-0004-0000-1600-000075000000}"/>
    <hyperlink ref="O61" r:id="rId119" xr:uid="{00000000-0004-0000-1600-000076000000}"/>
    <hyperlink ref="P61" r:id="rId120" xr:uid="{00000000-0004-0000-1600-000077000000}"/>
    <hyperlink ref="O62" r:id="rId121" xr:uid="{00000000-0004-0000-1600-000078000000}"/>
    <hyperlink ref="P62" r:id="rId122" xr:uid="{00000000-0004-0000-1600-000079000000}"/>
    <hyperlink ref="O63" r:id="rId123" xr:uid="{00000000-0004-0000-1600-00007A000000}"/>
    <hyperlink ref="P63" r:id="rId124" xr:uid="{00000000-0004-0000-1600-00007B000000}"/>
    <hyperlink ref="O64" r:id="rId125" xr:uid="{00000000-0004-0000-1600-00007C000000}"/>
    <hyperlink ref="P64" r:id="rId126" xr:uid="{00000000-0004-0000-1600-00007D000000}"/>
    <hyperlink ref="O65" r:id="rId127" xr:uid="{00000000-0004-0000-1600-00007E000000}"/>
    <hyperlink ref="P65" r:id="rId128" xr:uid="{00000000-0004-0000-1600-00007F000000}"/>
    <hyperlink ref="O66" r:id="rId129" xr:uid="{00000000-0004-0000-1600-000080000000}"/>
    <hyperlink ref="P66" r:id="rId130" xr:uid="{00000000-0004-0000-1600-000081000000}"/>
    <hyperlink ref="O67" r:id="rId131" xr:uid="{00000000-0004-0000-1600-000082000000}"/>
    <hyperlink ref="P67" r:id="rId132" xr:uid="{00000000-0004-0000-1600-000083000000}"/>
    <hyperlink ref="O68" r:id="rId133" xr:uid="{00000000-0004-0000-1600-000084000000}"/>
    <hyperlink ref="P68" r:id="rId134" xr:uid="{00000000-0004-0000-1600-000085000000}"/>
    <hyperlink ref="O69" r:id="rId135" xr:uid="{00000000-0004-0000-1600-000086000000}"/>
    <hyperlink ref="P69" r:id="rId136" xr:uid="{00000000-0004-0000-1600-000087000000}"/>
    <hyperlink ref="O70" r:id="rId137" xr:uid="{00000000-0004-0000-1600-000088000000}"/>
    <hyperlink ref="P70" r:id="rId138" xr:uid="{00000000-0004-0000-1600-000089000000}"/>
    <hyperlink ref="O71" r:id="rId139" xr:uid="{00000000-0004-0000-1600-00008A000000}"/>
    <hyperlink ref="P71" r:id="rId140" xr:uid="{00000000-0004-0000-1600-00008B000000}"/>
    <hyperlink ref="O72" r:id="rId141" xr:uid="{00000000-0004-0000-1600-00008C000000}"/>
    <hyperlink ref="P72" r:id="rId142" xr:uid="{00000000-0004-0000-1600-00008D000000}"/>
    <hyperlink ref="O73" r:id="rId143" xr:uid="{00000000-0004-0000-1600-00008E000000}"/>
    <hyperlink ref="P73" r:id="rId144" xr:uid="{00000000-0004-0000-1600-00008F000000}"/>
    <hyperlink ref="O74" r:id="rId145" xr:uid="{00000000-0004-0000-1600-000090000000}"/>
    <hyperlink ref="P74" r:id="rId146" xr:uid="{00000000-0004-0000-1600-000091000000}"/>
    <hyperlink ref="O75" r:id="rId147" xr:uid="{00000000-0004-0000-1600-000092000000}"/>
    <hyperlink ref="P75" r:id="rId148" xr:uid="{00000000-0004-0000-1600-000093000000}"/>
    <hyperlink ref="O76" r:id="rId149" xr:uid="{00000000-0004-0000-1600-000094000000}"/>
    <hyperlink ref="P76" r:id="rId150" xr:uid="{00000000-0004-0000-1600-000095000000}"/>
    <hyperlink ref="O77" r:id="rId151" xr:uid="{00000000-0004-0000-1600-000096000000}"/>
    <hyperlink ref="P77" r:id="rId152" xr:uid="{00000000-0004-0000-1600-000097000000}"/>
    <hyperlink ref="O78" r:id="rId153" xr:uid="{00000000-0004-0000-1600-000098000000}"/>
    <hyperlink ref="P78" r:id="rId154" xr:uid="{00000000-0004-0000-1600-000099000000}"/>
    <hyperlink ref="O79" r:id="rId155" xr:uid="{00000000-0004-0000-1600-00009A000000}"/>
    <hyperlink ref="P79" r:id="rId156" xr:uid="{00000000-0004-0000-1600-00009B000000}"/>
    <hyperlink ref="O80" r:id="rId157" xr:uid="{00000000-0004-0000-1600-00009C000000}"/>
    <hyperlink ref="P80" r:id="rId158" xr:uid="{00000000-0004-0000-1600-00009D000000}"/>
    <hyperlink ref="O81" r:id="rId159" xr:uid="{00000000-0004-0000-1600-00009E000000}"/>
    <hyperlink ref="P81" r:id="rId160" xr:uid="{00000000-0004-0000-1600-00009F000000}"/>
    <hyperlink ref="O82" r:id="rId161" xr:uid="{00000000-0004-0000-1600-0000A0000000}"/>
    <hyperlink ref="P82" r:id="rId162" xr:uid="{00000000-0004-0000-1600-0000A1000000}"/>
    <hyperlink ref="O83" r:id="rId163" xr:uid="{00000000-0004-0000-1600-0000A2000000}"/>
    <hyperlink ref="P83" r:id="rId164" xr:uid="{00000000-0004-0000-1600-0000A3000000}"/>
    <hyperlink ref="O84" r:id="rId165" xr:uid="{00000000-0004-0000-1600-0000A4000000}"/>
    <hyperlink ref="P84" r:id="rId166" xr:uid="{00000000-0004-0000-1600-0000A5000000}"/>
    <hyperlink ref="O85" r:id="rId167" xr:uid="{00000000-0004-0000-1600-0000A6000000}"/>
    <hyperlink ref="P85" r:id="rId168" xr:uid="{00000000-0004-0000-1600-0000A7000000}"/>
    <hyperlink ref="O86" r:id="rId169" xr:uid="{00000000-0004-0000-1600-0000A8000000}"/>
    <hyperlink ref="P86" r:id="rId170" xr:uid="{00000000-0004-0000-1600-0000A9000000}"/>
    <hyperlink ref="O87" r:id="rId171" xr:uid="{00000000-0004-0000-1600-0000AA000000}"/>
    <hyperlink ref="P87" r:id="rId172" xr:uid="{00000000-0004-0000-1600-0000AB000000}"/>
    <hyperlink ref="O88" r:id="rId173" xr:uid="{00000000-0004-0000-1600-0000AC000000}"/>
    <hyperlink ref="P88" r:id="rId174" xr:uid="{00000000-0004-0000-1600-0000AD000000}"/>
    <hyperlink ref="O89" r:id="rId175" xr:uid="{00000000-0004-0000-1600-0000AE000000}"/>
    <hyperlink ref="P89" r:id="rId176" xr:uid="{00000000-0004-0000-1600-0000AF000000}"/>
    <hyperlink ref="O90" r:id="rId177" xr:uid="{00000000-0004-0000-1600-0000B0000000}"/>
    <hyperlink ref="P90" r:id="rId178" xr:uid="{00000000-0004-0000-1600-0000B1000000}"/>
    <hyperlink ref="O91" r:id="rId179" xr:uid="{00000000-0004-0000-1600-0000B2000000}"/>
    <hyperlink ref="P91" r:id="rId180" xr:uid="{00000000-0004-0000-1600-0000B3000000}"/>
    <hyperlink ref="O92" r:id="rId181" xr:uid="{00000000-0004-0000-1600-0000B4000000}"/>
    <hyperlink ref="P92" r:id="rId182" xr:uid="{00000000-0004-0000-1600-0000B5000000}"/>
    <hyperlink ref="O93" r:id="rId183" xr:uid="{00000000-0004-0000-1600-0000B6000000}"/>
    <hyperlink ref="P93" r:id="rId184" xr:uid="{00000000-0004-0000-1600-0000B7000000}"/>
    <hyperlink ref="O94" r:id="rId185" xr:uid="{00000000-0004-0000-1600-0000B8000000}"/>
    <hyperlink ref="P94" r:id="rId186" xr:uid="{00000000-0004-0000-1600-0000B9000000}"/>
    <hyperlink ref="O95" r:id="rId187" xr:uid="{00000000-0004-0000-1600-0000BA000000}"/>
    <hyperlink ref="P95" r:id="rId188" xr:uid="{00000000-0004-0000-1600-0000BB000000}"/>
    <hyperlink ref="O96" r:id="rId189" xr:uid="{00000000-0004-0000-1600-0000BC000000}"/>
    <hyperlink ref="P96" r:id="rId190" xr:uid="{00000000-0004-0000-1600-0000BD000000}"/>
    <hyperlink ref="O97" r:id="rId191" xr:uid="{00000000-0004-0000-1600-0000BE000000}"/>
    <hyperlink ref="P97" r:id="rId192" xr:uid="{00000000-0004-0000-1600-0000BF000000}"/>
    <hyperlink ref="O98" r:id="rId193" xr:uid="{00000000-0004-0000-1600-0000C0000000}"/>
    <hyperlink ref="P98" r:id="rId194" xr:uid="{00000000-0004-0000-1600-0000C1000000}"/>
    <hyperlink ref="O99" r:id="rId195" xr:uid="{00000000-0004-0000-1600-0000C2000000}"/>
    <hyperlink ref="P99" r:id="rId196" xr:uid="{00000000-0004-0000-1600-0000C3000000}"/>
    <hyperlink ref="P100" r:id="rId197" xr:uid="{00000000-0004-0000-1600-0000C4000000}"/>
    <hyperlink ref="P101" r:id="rId198" xr:uid="{00000000-0004-0000-1600-0000C5000000}"/>
    <hyperlink ref="P102" r:id="rId199" xr:uid="{00000000-0004-0000-1600-0000C6000000}"/>
    <hyperlink ref="P104" r:id="rId200" xr:uid="{00000000-0004-0000-1600-0000C7000000}"/>
    <hyperlink ref="P105" r:id="rId201" xr:uid="{00000000-0004-0000-1600-0000C8000000}"/>
    <hyperlink ref="P106" r:id="rId202" xr:uid="{00000000-0004-0000-1600-0000C9000000}"/>
    <hyperlink ref="P107" r:id="rId203" xr:uid="{00000000-0004-0000-1600-0000CA000000}"/>
    <hyperlink ref="P108" r:id="rId204" xr:uid="{00000000-0004-0000-1600-0000CB000000}"/>
    <hyperlink ref="P109" r:id="rId205" xr:uid="{00000000-0004-0000-1600-0000CC000000}"/>
    <hyperlink ref="P110" r:id="rId206" xr:uid="{00000000-0004-0000-1600-0000CD000000}"/>
    <hyperlink ref="P111" r:id="rId207" xr:uid="{00000000-0004-0000-1600-0000CE000000}"/>
    <hyperlink ref="P112" r:id="rId208" xr:uid="{00000000-0004-0000-1600-0000CF000000}"/>
    <hyperlink ref="P113" r:id="rId209" xr:uid="{00000000-0004-0000-1600-0000D0000000}"/>
    <hyperlink ref="P114" r:id="rId210" xr:uid="{00000000-0004-0000-1600-0000D1000000}"/>
    <hyperlink ref="P115" r:id="rId211" xr:uid="{00000000-0004-0000-1600-0000D2000000}"/>
    <hyperlink ref="P116" r:id="rId212" xr:uid="{00000000-0004-0000-1600-0000D3000000}"/>
    <hyperlink ref="P117" r:id="rId213" xr:uid="{00000000-0004-0000-1600-0000D4000000}"/>
    <hyperlink ref="P118" r:id="rId214" xr:uid="{00000000-0004-0000-1600-0000D5000000}"/>
    <hyperlink ref="P119" r:id="rId215" xr:uid="{00000000-0004-0000-1600-0000D6000000}"/>
    <hyperlink ref="P120" r:id="rId216" xr:uid="{00000000-0004-0000-1600-0000D7000000}"/>
    <hyperlink ref="P121" r:id="rId217" xr:uid="{00000000-0004-0000-1600-0000D8000000}"/>
    <hyperlink ref="P122" r:id="rId218" xr:uid="{00000000-0004-0000-1600-0000D9000000}"/>
    <hyperlink ref="P123" r:id="rId219" xr:uid="{00000000-0004-0000-1600-0000DA000000}"/>
    <hyperlink ref="P124" r:id="rId220" xr:uid="{00000000-0004-0000-1600-0000DB000000}"/>
    <hyperlink ref="P125" r:id="rId221" xr:uid="{00000000-0004-0000-1600-0000DC000000}"/>
    <hyperlink ref="P126" r:id="rId222" xr:uid="{00000000-0004-0000-1600-0000DD000000}"/>
    <hyperlink ref="P127" r:id="rId223" xr:uid="{00000000-0004-0000-1600-0000DE000000}"/>
    <hyperlink ref="P128" r:id="rId224" xr:uid="{00000000-0004-0000-1600-0000DF000000}"/>
    <hyperlink ref="P129" r:id="rId225" xr:uid="{00000000-0004-0000-1600-0000E0000000}"/>
    <hyperlink ref="P130" r:id="rId226" xr:uid="{00000000-0004-0000-1600-0000E1000000}"/>
    <hyperlink ref="P131" r:id="rId227" xr:uid="{00000000-0004-0000-1600-0000E2000000}"/>
    <hyperlink ref="P132" r:id="rId228" xr:uid="{00000000-0004-0000-1600-0000E3000000}"/>
    <hyperlink ref="P133" r:id="rId229" xr:uid="{00000000-0004-0000-1600-0000E4000000}"/>
    <hyperlink ref="P134" r:id="rId230" xr:uid="{00000000-0004-0000-1600-0000E5000000}"/>
    <hyperlink ref="P135" r:id="rId231" xr:uid="{00000000-0004-0000-1600-0000E6000000}"/>
    <hyperlink ref="P136" r:id="rId232" xr:uid="{00000000-0004-0000-1600-0000E7000000}"/>
    <hyperlink ref="P137" r:id="rId233" xr:uid="{00000000-0004-0000-1600-0000E8000000}"/>
    <hyperlink ref="P138" r:id="rId234" xr:uid="{00000000-0004-0000-1600-0000E9000000}"/>
    <hyperlink ref="P139" r:id="rId235" xr:uid="{00000000-0004-0000-1600-0000EA000000}"/>
    <hyperlink ref="P140" r:id="rId236" xr:uid="{00000000-0004-0000-1600-0000EB000000}"/>
    <hyperlink ref="P141" r:id="rId237" xr:uid="{00000000-0004-0000-1600-0000EC000000}"/>
    <hyperlink ref="P142" r:id="rId238" xr:uid="{00000000-0004-0000-1600-0000ED000000}"/>
    <hyperlink ref="P143" r:id="rId239" xr:uid="{00000000-0004-0000-1600-0000EE000000}"/>
    <hyperlink ref="P144" r:id="rId240" xr:uid="{00000000-0004-0000-1600-0000EF000000}"/>
    <hyperlink ref="P145" r:id="rId241" xr:uid="{00000000-0004-0000-1600-0000F0000000}"/>
    <hyperlink ref="P147" r:id="rId242" xr:uid="{00000000-0004-0000-1600-0000F1000000}"/>
    <hyperlink ref="P148" r:id="rId243" xr:uid="{00000000-0004-0000-1600-0000F2000000}"/>
    <hyperlink ref="P149" r:id="rId244" xr:uid="{00000000-0004-0000-1600-0000F3000000}"/>
    <hyperlink ref="P150" r:id="rId245" xr:uid="{00000000-0004-0000-1600-0000F4000000}"/>
    <hyperlink ref="P151" r:id="rId246" xr:uid="{00000000-0004-0000-1600-0000F5000000}"/>
    <hyperlink ref="P152" r:id="rId247" xr:uid="{00000000-0004-0000-1600-0000F6000000}"/>
    <hyperlink ref="P153" r:id="rId248" xr:uid="{00000000-0004-0000-1600-0000F7000000}"/>
    <hyperlink ref="P154" r:id="rId249" xr:uid="{00000000-0004-0000-1600-0000F8000000}"/>
    <hyperlink ref="P155" r:id="rId250" xr:uid="{00000000-0004-0000-1600-0000F9000000}"/>
    <hyperlink ref="P156" r:id="rId251" xr:uid="{00000000-0004-0000-1600-0000FA000000}"/>
    <hyperlink ref="P157" r:id="rId252" xr:uid="{00000000-0004-0000-1600-0000FB000000}"/>
    <hyperlink ref="P158" r:id="rId253" xr:uid="{00000000-0004-0000-1600-0000FC000000}"/>
    <hyperlink ref="P159" r:id="rId254" xr:uid="{00000000-0004-0000-1600-0000FD000000}"/>
    <hyperlink ref="P160" r:id="rId255" xr:uid="{00000000-0004-0000-1600-0000FE000000}"/>
    <hyperlink ref="P161" r:id="rId256" xr:uid="{00000000-0004-0000-1600-0000FF000000}"/>
    <hyperlink ref="P163" r:id="rId257" xr:uid="{00000000-0004-0000-1600-000000010000}"/>
    <hyperlink ref="P164" r:id="rId258" xr:uid="{00000000-0004-0000-1600-000001010000}"/>
    <hyperlink ref="P165" r:id="rId259" xr:uid="{00000000-0004-0000-1600-000002010000}"/>
    <hyperlink ref="P166" r:id="rId260" xr:uid="{00000000-0004-0000-1600-000003010000}"/>
    <hyperlink ref="P167" r:id="rId261" xr:uid="{00000000-0004-0000-1600-00000401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S18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2" max="2" width="12.85546875" customWidth="1"/>
    <col min="3" max="3" width="31" customWidth="1"/>
    <col min="4" max="4" width="21.7109375" customWidth="1"/>
    <col min="5" max="5" width="53.28515625" customWidth="1"/>
    <col min="6" max="6" width="48.7109375" customWidth="1"/>
    <col min="7" max="7" width="25.85546875" customWidth="1"/>
    <col min="8" max="8" width="29.42578125" customWidth="1"/>
    <col min="9" max="9" width="15.7109375" customWidth="1"/>
    <col min="10" max="10" width="31.5703125" customWidth="1"/>
    <col min="11" max="11" width="53.28515625" customWidth="1"/>
    <col min="12" max="13" width="17.85546875" customWidth="1"/>
    <col min="14" max="14" width="14.28515625" customWidth="1"/>
    <col min="15" max="15" width="35.140625" customWidth="1"/>
    <col min="16" max="16" width="14.28515625" customWidth="1"/>
    <col min="17" max="17" width="15.5703125" customWidth="1"/>
    <col min="18" max="18" width="30.42578125" customWidth="1"/>
  </cols>
  <sheetData>
    <row r="1" spans="1:19" ht="36" customHeight="1">
      <c r="A1" s="274" t="s">
        <v>6259</v>
      </c>
      <c r="B1" s="274" t="s">
        <v>389</v>
      </c>
      <c r="C1" s="274" t="s">
        <v>4</v>
      </c>
      <c r="D1" s="274" t="s">
        <v>5</v>
      </c>
      <c r="E1" s="274" t="s">
        <v>6</v>
      </c>
      <c r="F1" s="274" t="s">
        <v>7</v>
      </c>
      <c r="G1" s="274" t="s">
        <v>5627</v>
      </c>
      <c r="H1" s="274" t="s">
        <v>8</v>
      </c>
      <c r="I1" s="274" t="s">
        <v>1821</v>
      </c>
      <c r="J1" s="274" t="s">
        <v>5634</v>
      </c>
      <c r="K1" s="274" t="s">
        <v>1822</v>
      </c>
      <c r="L1" s="274" t="s">
        <v>5631</v>
      </c>
      <c r="M1" s="274" t="s">
        <v>7388</v>
      </c>
      <c r="N1" s="274" t="s">
        <v>6261</v>
      </c>
      <c r="O1" s="274" t="s">
        <v>6471</v>
      </c>
      <c r="P1" s="274" t="s">
        <v>6060</v>
      </c>
      <c r="Q1" s="274" t="s">
        <v>6413</v>
      </c>
      <c r="R1" s="319" t="s">
        <v>5633</v>
      </c>
      <c r="S1" s="517" t="s">
        <v>5628</v>
      </c>
    </row>
    <row r="2" spans="1:19" ht="25.5">
      <c r="A2" s="61">
        <v>42005</v>
      </c>
      <c r="B2" s="9" t="s">
        <v>6872</v>
      </c>
      <c r="C2" s="22" t="s">
        <v>3075</v>
      </c>
      <c r="D2" s="178"/>
      <c r="E2" s="164" t="s">
        <v>4089</v>
      </c>
      <c r="F2" s="158" t="s">
        <v>3076</v>
      </c>
      <c r="G2" s="64">
        <v>384896</v>
      </c>
      <c r="H2" s="292" t="s">
        <v>1938</v>
      </c>
      <c r="I2" s="6" t="s">
        <v>7389</v>
      </c>
      <c r="J2" s="472" t="s">
        <v>7390</v>
      </c>
      <c r="K2" s="178"/>
      <c r="L2" s="6"/>
      <c r="M2" s="6" t="s">
        <v>6179</v>
      </c>
      <c r="N2" s="53"/>
      <c r="O2" s="518" t="s">
        <v>7391</v>
      </c>
      <c r="P2" s="9" t="s">
        <v>6189</v>
      </c>
      <c r="Q2" s="6" t="s">
        <v>1824</v>
      </c>
      <c r="R2" s="52"/>
      <c r="S2" s="9"/>
    </row>
    <row r="3" spans="1:19" ht="25.5">
      <c r="A3" s="61">
        <v>42036</v>
      </c>
      <c r="B3" s="9" t="s">
        <v>6872</v>
      </c>
      <c r="C3" s="22" t="s">
        <v>3109</v>
      </c>
      <c r="D3" s="179"/>
      <c r="E3" s="22" t="s">
        <v>4091</v>
      </c>
      <c r="F3" s="6" t="s">
        <v>4092</v>
      </c>
      <c r="G3" s="6"/>
      <c r="H3" s="160" t="s">
        <v>4093</v>
      </c>
      <c r="I3" s="6" t="s">
        <v>7389</v>
      </c>
      <c r="J3" s="291" t="s">
        <v>7392</v>
      </c>
      <c r="K3" s="179"/>
      <c r="L3" s="6"/>
      <c r="M3" s="6" t="s">
        <v>6132</v>
      </c>
      <c r="N3" s="53"/>
      <c r="O3" s="489" t="s">
        <v>7393</v>
      </c>
      <c r="P3" s="9" t="s">
        <v>6092</v>
      </c>
      <c r="Q3" s="6"/>
      <c r="R3" s="52"/>
      <c r="S3" s="9"/>
    </row>
    <row r="4" spans="1:19" ht="25.5">
      <c r="A4" s="61">
        <v>42064</v>
      </c>
      <c r="B4" s="9" t="s">
        <v>6872</v>
      </c>
      <c r="C4" s="22" t="s">
        <v>3097</v>
      </c>
      <c r="D4" s="179"/>
      <c r="E4" s="22" t="s">
        <v>4094</v>
      </c>
      <c r="F4" s="292" t="s">
        <v>4095</v>
      </c>
      <c r="G4" s="6"/>
      <c r="H4" s="160" t="s">
        <v>4096</v>
      </c>
      <c r="I4" s="6" t="s">
        <v>7389</v>
      </c>
      <c r="J4" s="291" t="s">
        <v>7394</v>
      </c>
      <c r="K4" s="179"/>
      <c r="L4" s="6"/>
      <c r="M4" s="6" t="s">
        <v>6132</v>
      </c>
      <c r="N4" s="53"/>
      <c r="O4" s="518" t="s">
        <v>7395</v>
      </c>
      <c r="P4" s="9" t="s">
        <v>6064</v>
      </c>
      <c r="Q4" s="6"/>
      <c r="R4" s="52"/>
      <c r="S4" s="9"/>
    </row>
    <row r="5" spans="1:19" ht="38.25">
      <c r="A5" s="61">
        <v>42095</v>
      </c>
      <c r="B5" s="9" t="s">
        <v>6872</v>
      </c>
      <c r="C5" s="22" t="s">
        <v>62</v>
      </c>
      <c r="D5" s="179"/>
      <c r="E5" s="22" t="s">
        <v>4097</v>
      </c>
      <c r="F5" s="6" t="s">
        <v>7396</v>
      </c>
      <c r="G5" s="6"/>
      <c r="H5" s="160" t="s">
        <v>4099</v>
      </c>
      <c r="I5" s="6" t="s">
        <v>7397</v>
      </c>
      <c r="J5" s="297" t="s">
        <v>7398</v>
      </c>
      <c r="K5" s="179"/>
      <c r="L5" s="6"/>
      <c r="M5" s="6" t="s">
        <v>6179</v>
      </c>
      <c r="N5" s="53"/>
      <c r="O5" s="489" t="s">
        <v>7399</v>
      </c>
      <c r="P5" s="9" t="s">
        <v>6064</v>
      </c>
      <c r="Q5" s="6"/>
      <c r="R5" s="52"/>
      <c r="S5" s="9"/>
    </row>
    <row r="6" spans="1:19" ht="81" customHeight="1">
      <c r="A6" s="61">
        <v>42125</v>
      </c>
      <c r="B6" s="9" t="s">
        <v>6872</v>
      </c>
      <c r="C6" s="22"/>
      <c r="D6" s="179"/>
      <c r="E6" s="22" t="s">
        <v>4101</v>
      </c>
      <c r="F6" s="6" t="s">
        <v>7400</v>
      </c>
      <c r="G6" s="6" t="s">
        <v>7401</v>
      </c>
      <c r="H6" s="6"/>
      <c r="I6" s="6"/>
      <c r="J6" s="291" t="s">
        <v>7402</v>
      </c>
      <c r="K6" s="179"/>
      <c r="L6" s="6"/>
      <c r="M6" s="6" t="s">
        <v>7403</v>
      </c>
      <c r="N6" s="53"/>
      <c r="O6" s="489" t="s">
        <v>7404</v>
      </c>
      <c r="P6" s="9" t="s">
        <v>6064</v>
      </c>
      <c r="Q6" s="6"/>
      <c r="R6" s="52"/>
      <c r="S6" s="6" t="s">
        <v>7405</v>
      </c>
    </row>
    <row r="7" spans="1:19" ht="25.5">
      <c r="A7" s="61">
        <v>42156</v>
      </c>
      <c r="B7" s="9" t="s">
        <v>6872</v>
      </c>
      <c r="C7" s="22"/>
      <c r="D7" s="179"/>
      <c r="E7" s="22" t="s">
        <v>4103</v>
      </c>
      <c r="F7" s="6" t="s">
        <v>4104</v>
      </c>
      <c r="G7" s="64">
        <v>744000</v>
      </c>
      <c r="H7" s="292" t="s">
        <v>1938</v>
      </c>
      <c r="I7" s="6" t="s">
        <v>7389</v>
      </c>
      <c r="J7" s="291" t="s">
        <v>7406</v>
      </c>
      <c r="K7" s="179"/>
      <c r="L7" s="6"/>
      <c r="M7" s="6" t="s">
        <v>22</v>
      </c>
      <c r="N7" s="53"/>
      <c r="O7" s="489" t="s">
        <v>7407</v>
      </c>
      <c r="P7" s="9" t="s">
        <v>6064</v>
      </c>
      <c r="Q7" s="6" t="s">
        <v>1824</v>
      </c>
      <c r="R7" s="52"/>
      <c r="S7" s="9"/>
    </row>
    <row r="8" spans="1:19" ht="25.5">
      <c r="A8" s="62">
        <v>42186</v>
      </c>
      <c r="B8" s="9" t="s">
        <v>6872</v>
      </c>
      <c r="C8" s="22"/>
      <c r="D8" s="179"/>
      <c r="E8" s="22" t="s">
        <v>4105</v>
      </c>
      <c r="F8" s="6" t="s">
        <v>4106</v>
      </c>
      <c r="G8" s="64">
        <v>7796082</v>
      </c>
      <c r="H8" s="292" t="s">
        <v>1938</v>
      </c>
      <c r="I8" s="6" t="s">
        <v>7389</v>
      </c>
      <c r="J8" s="291" t="s">
        <v>7408</v>
      </c>
      <c r="K8" s="179"/>
      <c r="L8" s="6"/>
      <c r="M8" s="6" t="s">
        <v>22</v>
      </c>
      <c r="N8" s="53"/>
      <c r="O8" s="489" t="s">
        <v>7409</v>
      </c>
      <c r="P8" s="9" t="s">
        <v>6064</v>
      </c>
      <c r="Q8" s="6" t="s">
        <v>1824</v>
      </c>
      <c r="R8" s="52"/>
      <c r="S8" s="9"/>
    </row>
    <row r="9" spans="1:19" ht="25.5">
      <c r="A9" s="61">
        <v>42217</v>
      </c>
      <c r="B9" s="9" t="s">
        <v>6872</v>
      </c>
      <c r="C9" s="22" t="s">
        <v>1383</v>
      </c>
      <c r="D9" s="178"/>
      <c r="E9" s="164" t="s">
        <v>4107</v>
      </c>
      <c r="F9" s="158" t="s">
        <v>4108</v>
      </c>
      <c r="G9" s="514">
        <v>500000</v>
      </c>
      <c r="H9" s="292" t="s">
        <v>1938</v>
      </c>
      <c r="I9" s="6" t="s">
        <v>7389</v>
      </c>
      <c r="J9" s="472" t="s">
        <v>7410</v>
      </c>
      <c r="K9" s="178"/>
      <c r="L9" s="6"/>
      <c r="M9" s="6" t="s">
        <v>22</v>
      </c>
      <c r="N9" s="53"/>
      <c r="O9" s="489" t="s">
        <v>7411</v>
      </c>
      <c r="P9" s="9" t="s">
        <v>6064</v>
      </c>
      <c r="Q9" s="6" t="s">
        <v>1824</v>
      </c>
      <c r="R9" s="52"/>
      <c r="S9" s="9"/>
    </row>
    <row r="10" spans="1:19" ht="38.25">
      <c r="A10" s="61">
        <v>42248</v>
      </c>
      <c r="B10" s="9" t="s">
        <v>6872</v>
      </c>
      <c r="C10" s="22" t="s">
        <v>1383</v>
      </c>
      <c r="D10" s="179"/>
      <c r="E10" s="22" t="s">
        <v>4109</v>
      </c>
      <c r="F10" s="6" t="s">
        <v>4110</v>
      </c>
      <c r="G10" s="64">
        <v>1000000</v>
      </c>
      <c r="H10" s="160" t="s">
        <v>4111</v>
      </c>
      <c r="I10" s="6" t="s">
        <v>7389</v>
      </c>
      <c r="J10" s="291" t="s">
        <v>7412</v>
      </c>
      <c r="K10" s="179"/>
      <c r="L10" s="6"/>
      <c r="M10" s="6" t="s">
        <v>22</v>
      </c>
      <c r="N10" s="53"/>
      <c r="O10" s="489" t="s">
        <v>7413</v>
      </c>
      <c r="P10" s="9" t="s">
        <v>6064</v>
      </c>
      <c r="Q10" s="6" t="s">
        <v>1824</v>
      </c>
      <c r="R10" s="52"/>
      <c r="S10" s="9"/>
    </row>
    <row r="11" spans="1:19" ht="25.5">
      <c r="A11" s="62">
        <v>42278</v>
      </c>
      <c r="B11" s="9" t="s">
        <v>6872</v>
      </c>
      <c r="C11" s="22" t="s">
        <v>1383</v>
      </c>
      <c r="D11" s="179"/>
      <c r="E11" s="22" t="s">
        <v>4112</v>
      </c>
      <c r="F11" s="6" t="s">
        <v>4113</v>
      </c>
      <c r="G11" s="8">
        <v>500000</v>
      </c>
      <c r="H11" s="292" t="s">
        <v>4114</v>
      </c>
      <c r="I11" s="6" t="s">
        <v>7389</v>
      </c>
      <c r="J11" s="297" t="s">
        <v>7414</v>
      </c>
      <c r="K11" s="179"/>
      <c r="L11" s="6"/>
      <c r="M11" s="6" t="s">
        <v>22</v>
      </c>
      <c r="N11" s="53"/>
      <c r="O11" s="489" t="s">
        <v>7415</v>
      </c>
      <c r="P11" s="9" t="s">
        <v>6064</v>
      </c>
      <c r="Q11" s="6" t="s">
        <v>1824</v>
      </c>
      <c r="R11" s="52"/>
      <c r="S11" s="9"/>
    </row>
    <row r="12" spans="1:19" ht="38.25">
      <c r="A12" s="62">
        <v>42309</v>
      </c>
      <c r="B12" s="9" t="s">
        <v>6872</v>
      </c>
      <c r="C12" s="22" t="s">
        <v>62</v>
      </c>
      <c r="D12" s="179"/>
      <c r="E12" s="22" t="s">
        <v>4115</v>
      </c>
      <c r="F12" s="6" t="s">
        <v>4116</v>
      </c>
      <c r="G12" s="6" t="s">
        <v>7416</v>
      </c>
      <c r="H12" s="160" t="s">
        <v>4117</v>
      </c>
      <c r="I12" s="6" t="s">
        <v>7389</v>
      </c>
      <c r="J12" s="291" t="s">
        <v>7417</v>
      </c>
      <c r="K12" s="179"/>
      <c r="L12" s="6"/>
      <c r="M12" s="6" t="s">
        <v>6132</v>
      </c>
      <c r="N12" s="53"/>
      <c r="O12" s="489" t="s">
        <v>7418</v>
      </c>
      <c r="P12" s="9" t="s">
        <v>6137</v>
      </c>
      <c r="Q12" s="6"/>
      <c r="R12" s="52"/>
      <c r="S12" s="9"/>
    </row>
    <row r="13" spans="1:19" ht="38.25">
      <c r="A13" s="62">
        <v>42339</v>
      </c>
      <c r="B13" s="9" t="s">
        <v>6872</v>
      </c>
      <c r="C13" s="22" t="s">
        <v>3168</v>
      </c>
      <c r="D13" s="179"/>
      <c r="E13" s="22" t="s">
        <v>4118</v>
      </c>
      <c r="F13" s="6" t="s">
        <v>4119</v>
      </c>
      <c r="G13" s="64">
        <v>500000</v>
      </c>
      <c r="H13" s="6" t="s">
        <v>2508</v>
      </c>
      <c r="I13" s="6" t="s">
        <v>7389</v>
      </c>
      <c r="J13" s="291" t="s">
        <v>7419</v>
      </c>
      <c r="K13" s="179"/>
      <c r="L13" s="6"/>
      <c r="M13" s="6" t="s">
        <v>22</v>
      </c>
      <c r="N13" s="53"/>
      <c r="O13" s="519" t="s">
        <v>7420</v>
      </c>
      <c r="P13" s="9" t="s">
        <v>6064</v>
      </c>
      <c r="Q13" s="6" t="s">
        <v>1824</v>
      </c>
      <c r="R13" s="52"/>
      <c r="S13" s="9"/>
    </row>
    <row r="14" spans="1:19" ht="25.5">
      <c r="A14" s="6" t="s">
        <v>4120</v>
      </c>
      <c r="B14" s="9" t="s">
        <v>6872</v>
      </c>
      <c r="C14" s="22" t="s">
        <v>1383</v>
      </c>
      <c r="D14" s="179"/>
      <c r="E14" s="22" t="s">
        <v>4121</v>
      </c>
      <c r="F14" s="158" t="s">
        <v>4122</v>
      </c>
      <c r="G14" s="64">
        <v>500000</v>
      </c>
      <c r="H14" s="6" t="s">
        <v>2508</v>
      </c>
      <c r="I14" s="6" t="s">
        <v>7389</v>
      </c>
      <c r="J14" s="291" t="s">
        <v>7421</v>
      </c>
      <c r="K14" s="179"/>
      <c r="L14" s="6"/>
      <c r="M14" s="6" t="s">
        <v>22</v>
      </c>
      <c r="N14" s="53"/>
      <c r="O14" s="489" t="s">
        <v>7422</v>
      </c>
      <c r="P14" s="9" t="s">
        <v>6064</v>
      </c>
      <c r="Q14" s="6" t="s">
        <v>1824</v>
      </c>
      <c r="R14" s="52"/>
      <c r="S14" s="9"/>
    </row>
    <row r="15" spans="1:19" ht="25.5">
      <c r="A15" s="6" t="s">
        <v>4123</v>
      </c>
      <c r="B15" s="9" t="s">
        <v>6872</v>
      </c>
      <c r="C15" s="22" t="s">
        <v>1383</v>
      </c>
      <c r="D15" s="179"/>
      <c r="E15" s="22" t="s">
        <v>4124</v>
      </c>
      <c r="F15" s="158" t="s">
        <v>4119</v>
      </c>
      <c r="G15" s="64">
        <v>500000</v>
      </c>
      <c r="H15" s="6" t="s">
        <v>2508</v>
      </c>
      <c r="I15" s="6" t="s">
        <v>7389</v>
      </c>
      <c r="J15" s="291" t="s">
        <v>7423</v>
      </c>
      <c r="K15" s="179"/>
      <c r="L15" s="6"/>
      <c r="M15" s="6" t="s">
        <v>22</v>
      </c>
      <c r="N15" s="53"/>
      <c r="O15" s="489" t="s">
        <v>7424</v>
      </c>
      <c r="P15" s="9" t="s">
        <v>6064</v>
      </c>
      <c r="Q15" s="6" t="s">
        <v>1824</v>
      </c>
      <c r="R15" s="52"/>
      <c r="S15" s="9"/>
    </row>
    <row r="16" spans="1:19" ht="38.25">
      <c r="A16" s="6" t="s">
        <v>4125</v>
      </c>
      <c r="B16" s="9" t="s">
        <v>6872</v>
      </c>
      <c r="C16" s="22" t="s">
        <v>1383</v>
      </c>
      <c r="D16" s="178"/>
      <c r="E16" s="164" t="s">
        <v>4126</v>
      </c>
      <c r="F16" s="6" t="s">
        <v>4127</v>
      </c>
      <c r="G16" s="64">
        <v>500000</v>
      </c>
      <c r="H16" s="6" t="s">
        <v>7425</v>
      </c>
      <c r="I16" s="6"/>
      <c r="J16" s="472" t="s">
        <v>7426</v>
      </c>
      <c r="K16" s="178"/>
      <c r="L16" s="6"/>
      <c r="M16" s="6" t="s">
        <v>22</v>
      </c>
      <c r="N16" s="53"/>
      <c r="O16" s="489" t="s">
        <v>7427</v>
      </c>
      <c r="P16" s="9" t="s">
        <v>6064</v>
      </c>
      <c r="Q16" s="6" t="s">
        <v>1824</v>
      </c>
      <c r="R16" s="52"/>
      <c r="S16" s="9"/>
    </row>
    <row r="17" spans="1:19" ht="38.25">
      <c r="A17" s="6" t="s">
        <v>4128</v>
      </c>
      <c r="B17" s="9" t="s">
        <v>6872</v>
      </c>
      <c r="C17" s="22" t="s">
        <v>1383</v>
      </c>
      <c r="D17" s="179"/>
      <c r="E17" s="22" t="s">
        <v>4129</v>
      </c>
      <c r="F17" s="6" t="s">
        <v>3571</v>
      </c>
      <c r="G17" s="64">
        <v>500000</v>
      </c>
      <c r="H17" s="6" t="s">
        <v>7425</v>
      </c>
      <c r="I17" s="6"/>
      <c r="J17" s="291" t="s">
        <v>7428</v>
      </c>
      <c r="K17" s="179"/>
      <c r="L17" s="6"/>
      <c r="M17" s="6" t="s">
        <v>22</v>
      </c>
      <c r="N17" s="53"/>
      <c r="O17" s="489" t="s">
        <v>7429</v>
      </c>
      <c r="P17" s="9" t="s">
        <v>6064</v>
      </c>
      <c r="Q17" s="6"/>
      <c r="R17" s="52"/>
      <c r="S17" s="9"/>
    </row>
    <row r="18" spans="1:19" ht="32.25" customHeight="1">
      <c r="A18" s="6" t="s">
        <v>4130</v>
      </c>
      <c r="B18" s="9" t="s">
        <v>6872</v>
      </c>
      <c r="C18" s="22" t="s">
        <v>2993</v>
      </c>
      <c r="D18" s="179"/>
      <c r="E18" s="22" t="s">
        <v>4131</v>
      </c>
      <c r="F18" s="6" t="s">
        <v>4132</v>
      </c>
      <c r="G18" s="64">
        <v>230000</v>
      </c>
      <c r="H18" s="6"/>
      <c r="I18" s="6"/>
      <c r="J18" s="297" t="s">
        <v>7430</v>
      </c>
      <c r="K18" s="179"/>
      <c r="L18" s="6"/>
      <c r="M18" s="6" t="s">
        <v>22</v>
      </c>
      <c r="N18" s="53"/>
      <c r="O18" s="489" t="s">
        <v>7431</v>
      </c>
      <c r="P18" s="9" t="s">
        <v>6064</v>
      </c>
      <c r="Q18" s="6"/>
      <c r="R18" s="52"/>
      <c r="S18" s="9"/>
    </row>
    <row r="19" spans="1:19" ht="27.75" customHeight="1">
      <c r="A19" s="6" t="s">
        <v>4133</v>
      </c>
      <c r="B19" s="9" t="s">
        <v>6872</v>
      </c>
      <c r="C19" s="22" t="s">
        <v>2993</v>
      </c>
      <c r="D19" s="179"/>
      <c r="E19" s="22" t="s">
        <v>4134</v>
      </c>
      <c r="F19" s="6" t="s">
        <v>4132</v>
      </c>
      <c r="G19" s="64">
        <v>220000</v>
      </c>
      <c r="H19" s="6"/>
      <c r="I19" s="6"/>
      <c r="J19" s="291" t="s">
        <v>7432</v>
      </c>
      <c r="K19" s="179"/>
      <c r="L19" s="6"/>
      <c r="M19" s="6" t="s">
        <v>22</v>
      </c>
      <c r="N19" s="53"/>
      <c r="O19" s="489" t="s">
        <v>7433</v>
      </c>
      <c r="P19" s="9" t="s">
        <v>6064</v>
      </c>
      <c r="Q19" s="6"/>
      <c r="R19" s="52"/>
      <c r="S19" s="9"/>
    </row>
    <row r="20" spans="1:19" ht="38.25">
      <c r="A20" s="6" t="s">
        <v>4135</v>
      </c>
      <c r="B20" s="9" t="s">
        <v>6872</v>
      </c>
      <c r="C20" s="22" t="s">
        <v>3092</v>
      </c>
      <c r="D20" s="179"/>
      <c r="E20" s="22" t="s">
        <v>4136</v>
      </c>
      <c r="F20" s="6" t="s">
        <v>4137</v>
      </c>
      <c r="G20" s="64">
        <v>366000</v>
      </c>
      <c r="H20" s="160" t="s">
        <v>4138</v>
      </c>
      <c r="I20" s="6" t="s">
        <v>7434</v>
      </c>
      <c r="J20" s="291" t="s">
        <v>7435</v>
      </c>
      <c r="K20" s="179"/>
      <c r="L20" s="6"/>
      <c r="M20" s="6" t="s">
        <v>6179</v>
      </c>
      <c r="N20" s="53"/>
      <c r="O20" s="489" t="s">
        <v>7436</v>
      </c>
      <c r="P20" s="9" t="s">
        <v>6064</v>
      </c>
      <c r="Q20" s="6"/>
      <c r="R20" s="52"/>
      <c r="S20" s="9"/>
    </row>
    <row r="21" spans="1:19" ht="25.5">
      <c r="A21" s="6" t="s">
        <v>4139</v>
      </c>
      <c r="B21" s="9" t="s">
        <v>6872</v>
      </c>
      <c r="C21" s="22"/>
      <c r="D21" s="179"/>
      <c r="E21" s="22" t="s">
        <v>4140</v>
      </c>
      <c r="F21" s="6" t="s">
        <v>4141</v>
      </c>
      <c r="G21" s="64">
        <v>200000</v>
      </c>
      <c r="H21" s="292" t="s">
        <v>1938</v>
      </c>
      <c r="I21" s="6" t="s">
        <v>7389</v>
      </c>
      <c r="J21" s="291" t="s">
        <v>7437</v>
      </c>
      <c r="K21" s="179"/>
      <c r="L21" s="6"/>
      <c r="M21" s="6" t="s">
        <v>22</v>
      </c>
      <c r="N21" s="53"/>
      <c r="O21" s="489" t="s">
        <v>7438</v>
      </c>
      <c r="P21" s="9" t="s">
        <v>6064</v>
      </c>
      <c r="Q21" s="6" t="s">
        <v>1824</v>
      </c>
      <c r="R21" s="52"/>
      <c r="S21" s="9"/>
    </row>
    <row r="22" spans="1:19" ht="38.25">
      <c r="A22" s="6" t="s">
        <v>4142</v>
      </c>
      <c r="B22" s="9" t="s">
        <v>6872</v>
      </c>
      <c r="C22" s="22" t="s">
        <v>62</v>
      </c>
      <c r="D22" s="179"/>
      <c r="E22" s="22" t="s">
        <v>4143</v>
      </c>
      <c r="F22" s="6" t="s">
        <v>4144</v>
      </c>
      <c r="G22" s="64">
        <v>1800000</v>
      </c>
      <c r="H22" s="160" t="s">
        <v>4145</v>
      </c>
      <c r="I22" s="6" t="s">
        <v>7389</v>
      </c>
      <c r="J22" s="291" t="s">
        <v>7439</v>
      </c>
      <c r="K22" s="179"/>
      <c r="L22" s="6"/>
      <c r="M22" s="6" t="s">
        <v>6179</v>
      </c>
      <c r="N22" s="53"/>
      <c r="O22" s="489" t="s">
        <v>7440</v>
      </c>
      <c r="P22" s="9" t="s">
        <v>6064</v>
      </c>
      <c r="Q22" s="6"/>
      <c r="R22" s="52"/>
      <c r="S22" s="9"/>
    </row>
    <row r="23" spans="1:19" ht="51">
      <c r="A23" s="6" t="s">
        <v>4146</v>
      </c>
      <c r="B23" s="9" t="s">
        <v>6872</v>
      </c>
      <c r="C23" s="22" t="s">
        <v>3168</v>
      </c>
      <c r="D23" s="179"/>
      <c r="E23" s="22" t="s">
        <v>4147</v>
      </c>
      <c r="F23" s="6" t="s">
        <v>4148</v>
      </c>
      <c r="G23" s="64">
        <v>160000</v>
      </c>
      <c r="H23" s="292" t="s">
        <v>4149</v>
      </c>
      <c r="I23" s="6" t="s">
        <v>1828</v>
      </c>
      <c r="J23" s="297" t="s">
        <v>7441</v>
      </c>
      <c r="K23" s="179"/>
      <c r="L23" s="6"/>
      <c r="M23" s="6" t="s">
        <v>22</v>
      </c>
      <c r="N23" s="53"/>
      <c r="O23" s="489" t="s">
        <v>7442</v>
      </c>
      <c r="P23" s="9" t="s">
        <v>6064</v>
      </c>
      <c r="Q23" s="6" t="s">
        <v>1824</v>
      </c>
      <c r="R23" s="52"/>
      <c r="S23" s="9"/>
    </row>
    <row r="24" spans="1:19" ht="33" customHeight="1">
      <c r="A24" s="6" t="s">
        <v>4150</v>
      </c>
      <c r="B24" s="9" t="s">
        <v>6872</v>
      </c>
      <c r="C24" s="22" t="s">
        <v>4151</v>
      </c>
      <c r="D24" s="179"/>
      <c r="E24" s="22" t="s">
        <v>4152</v>
      </c>
      <c r="F24" s="6" t="s">
        <v>811</v>
      </c>
      <c r="G24" s="64">
        <v>220000</v>
      </c>
      <c r="H24" s="292" t="s">
        <v>4149</v>
      </c>
      <c r="I24" s="6" t="s">
        <v>1828</v>
      </c>
      <c r="J24" s="297" t="s">
        <v>7443</v>
      </c>
      <c r="K24" s="179"/>
      <c r="L24" s="6"/>
      <c r="M24" s="6" t="s">
        <v>22</v>
      </c>
      <c r="N24" s="53"/>
      <c r="O24" s="489" t="s">
        <v>7444</v>
      </c>
      <c r="P24" s="9" t="s">
        <v>6064</v>
      </c>
      <c r="Q24" s="6" t="s">
        <v>1824</v>
      </c>
      <c r="R24" s="52"/>
      <c r="S24" s="9"/>
    </row>
    <row r="25" spans="1:19" ht="63.75">
      <c r="A25" s="6" t="s">
        <v>4153</v>
      </c>
      <c r="B25" s="9" t="s">
        <v>6872</v>
      </c>
      <c r="C25" s="22"/>
      <c r="D25" s="179"/>
      <c r="E25" s="22" t="s">
        <v>4154</v>
      </c>
      <c r="F25" s="6" t="s">
        <v>4155</v>
      </c>
      <c r="G25" s="151">
        <v>954000</v>
      </c>
      <c r="H25" s="6"/>
      <c r="I25" s="6" t="s">
        <v>7445</v>
      </c>
      <c r="J25" s="297" t="s">
        <v>7446</v>
      </c>
      <c r="K25" s="179"/>
      <c r="L25" s="6"/>
      <c r="M25" s="6" t="s">
        <v>22</v>
      </c>
      <c r="N25" s="53"/>
      <c r="O25" s="489" t="s">
        <v>7447</v>
      </c>
      <c r="P25" s="9" t="s">
        <v>6064</v>
      </c>
      <c r="Q25" s="6" t="s">
        <v>1824</v>
      </c>
      <c r="R25" s="179" t="s">
        <v>7448</v>
      </c>
      <c r="S25" s="9"/>
    </row>
    <row r="26" spans="1:19" ht="63.75">
      <c r="A26" s="6" t="s">
        <v>4156</v>
      </c>
      <c r="B26" s="9" t="s">
        <v>6872</v>
      </c>
      <c r="C26" s="22"/>
      <c r="D26" s="179"/>
      <c r="E26" s="22" t="s">
        <v>4157</v>
      </c>
      <c r="F26" s="6" t="s">
        <v>4158</v>
      </c>
      <c r="G26" s="151">
        <v>575000</v>
      </c>
      <c r="H26" s="6"/>
      <c r="I26" s="6" t="s">
        <v>7449</v>
      </c>
      <c r="J26" s="291" t="s">
        <v>7450</v>
      </c>
      <c r="K26" s="179"/>
      <c r="L26" s="6"/>
      <c r="M26" s="6" t="s">
        <v>22</v>
      </c>
      <c r="N26" s="53"/>
      <c r="O26" s="489" t="s">
        <v>7451</v>
      </c>
      <c r="P26" s="9" t="s">
        <v>6064</v>
      </c>
      <c r="Q26" s="6" t="s">
        <v>1824</v>
      </c>
      <c r="R26" s="179" t="s">
        <v>7452</v>
      </c>
      <c r="S26" s="9"/>
    </row>
    <row r="27" spans="1:19" ht="63.75">
      <c r="A27" s="6" t="s">
        <v>4159</v>
      </c>
      <c r="B27" s="9" t="s">
        <v>6872</v>
      </c>
      <c r="C27" s="22"/>
      <c r="D27" s="179"/>
      <c r="E27" s="22" t="s">
        <v>4160</v>
      </c>
      <c r="F27" s="6" t="s">
        <v>4161</v>
      </c>
      <c r="G27" s="151">
        <v>800000</v>
      </c>
      <c r="H27" s="6"/>
      <c r="I27" s="6" t="s">
        <v>7453</v>
      </c>
      <c r="J27" s="297" t="s">
        <v>7454</v>
      </c>
      <c r="K27" s="179"/>
      <c r="L27" s="6"/>
      <c r="M27" s="6" t="s">
        <v>22</v>
      </c>
      <c r="N27" s="53"/>
      <c r="O27" s="489" t="s">
        <v>7455</v>
      </c>
      <c r="P27" s="9" t="s">
        <v>6064</v>
      </c>
      <c r="Q27" s="6" t="s">
        <v>1824</v>
      </c>
      <c r="R27" s="179" t="s">
        <v>7456</v>
      </c>
      <c r="S27" s="9"/>
    </row>
    <row r="28" spans="1:19" ht="34.5" customHeight="1">
      <c r="A28" s="6" t="s">
        <v>4162</v>
      </c>
      <c r="B28" s="9" t="s">
        <v>6872</v>
      </c>
      <c r="C28" s="22" t="s">
        <v>394</v>
      </c>
      <c r="D28" s="179"/>
      <c r="E28" s="22" t="s">
        <v>4163</v>
      </c>
      <c r="F28" s="6" t="s">
        <v>581</v>
      </c>
      <c r="G28" s="64">
        <v>375000</v>
      </c>
      <c r="H28" s="6"/>
      <c r="I28" s="6" t="s">
        <v>7457</v>
      </c>
      <c r="J28" s="291" t="s">
        <v>7458</v>
      </c>
      <c r="K28" s="179"/>
      <c r="L28" s="6"/>
      <c r="M28" s="6" t="s">
        <v>22</v>
      </c>
      <c r="N28" s="53"/>
      <c r="O28" s="489" t="s">
        <v>7459</v>
      </c>
      <c r="P28" s="9" t="s">
        <v>6071</v>
      </c>
      <c r="Q28" s="6" t="s">
        <v>1824</v>
      </c>
      <c r="R28" s="179" t="s">
        <v>7460</v>
      </c>
      <c r="S28" s="9"/>
    </row>
    <row r="29" spans="1:19" ht="63.75">
      <c r="A29" s="6" t="s">
        <v>4164</v>
      </c>
      <c r="B29" s="9" t="s">
        <v>6872</v>
      </c>
      <c r="C29" s="22" t="s">
        <v>3097</v>
      </c>
      <c r="D29" s="179"/>
      <c r="E29" s="22" t="s">
        <v>4165</v>
      </c>
      <c r="F29" s="6" t="s">
        <v>4166</v>
      </c>
      <c r="G29" s="8">
        <v>243000</v>
      </c>
      <c r="H29" s="6"/>
      <c r="I29" s="6"/>
      <c r="J29" s="291" t="s">
        <v>7461</v>
      </c>
      <c r="K29" s="179"/>
      <c r="L29" s="6"/>
      <c r="M29" s="6" t="s">
        <v>22</v>
      </c>
      <c r="N29" s="53"/>
      <c r="O29" s="489" t="s">
        <v>7462</v>
      </c>
      <c r="P29" s="9" t="s">
        <v>6064</v>
      </c>
      <c r="Q29" s="6" t="s">
        <v>1824</v>
      </c>
      <c r="R29" s="52"/>
      <c r="S29" s="9"/>
    </row>
    <row r="30" spans="1:19" ht="25.5">
      <c r="A30" s="6" t="s">
        <v>4167</v>
      </c>
      <c r="B30" s="9" t="s">
        <v>6872</v>
      </c>
      <c r="C30" s="22" t="s">
        <v>3097</v>
      </c>
      <c r="D30" s="179"/>
      <c r="E30" s="22" t="s">
        <v>4168</v>
      </c>
      <c r="F30" s="6" t="s">
        <v>4169</v>
      </c>
      <c r="G30" s="64">
        <v>106000</v>
      </c>
      <c r="H30" s="292" t="s">
        <v>4170</v>
      </c>
      <c r="I30" s="6" t="s">
        <v>1828</v>
      </c>
      <c r="J30" s="297" t="s">
        <v>7463</v>
      </c>
      <c r="K30" s="179"/>
      <c r="L30" s="6"/>
      <c r="M30" s="6" t="s">
        <v>6132</v>
      </c>
      <c r="N30" s="53"/>
      <c r="O30" s="489" t="s">
        <v>7464</v>
      </c>
      <c r="P30" s="9" t="s">
        <v>6064</v>
      </c>
      <c r="Q30" s="6"/>
      <c r="R30" s="52"/>
      <c r="S30" s="9"/>
    </row>
    <row r="31" spans="1:19" ht="25.5">
      <c r="A31" s="6" t="s">
        <v>4171</v>
      </c>
      <c r="B31" s="9" t="s">
        <v>6872</v>
      </c>
      <c r="C31" s="22" t="s">
        <v>394</v>
      </c>
      <c r="D31" s="179"/>
      <c r="E31" s="22" t="s">
        <v>4172</v>
      </c>
      <c r="F31" s="6" t="s">
        <v>1478</v>
      </c>
      <c r="G31" s="64">
        <v>168660</v>
      </c>
      <c r="H31" s="6"/>
      <c r="I31" s="6" t="s">
        <v>7465</v>
      </c>
      <c r="J31" s="291" t="s">
        <v>7466</v>
      </c>
      <c r="K31" s="179"/>
      <c r="L31" s="6"/>
      <c r="M31" s="6" t="s">
        <v>22</v>
      </c>
      <c r="N31" s="53"/>
      <c r="O31" s="489" t="s">
        <v>7467</v>
      </c>
      <c r="P31" s="9" t="s">
        <v>6071</v>
      </c>
      <c r="Q31" s="6" t="s">
        <v>1824</v>
      </c>
      <c r="R31" s="52"/>
      <c r="S31" s="9"/>
    </row>
    <row r="32" spans="1:19" ht="38.25">
      <c r="A32" s="6" t="s">
        <v>4173</v>
      </c>
      <c r="B32" s="9" t="s">
        <v>6872</v>
      </c>
      <c r="C32" s="22" t="s">
        <v>7468</v>
      </c>
      <c r="D32" s="179"/>
      <c r="E32" s="22" t="s">
        <v>4175</v>
      </c>
      <c r="F32" s="6" t="s">
        <v>4176</v>
      </c>
      <c r="G32" s="64">
        <v>200000</v>
      </c>
      <c r="H32" s="6" t="s">
        <v>4149</v>
      </c>
      <c r="I32" s="6" t="s">
        <v>1828</v>
      </c>
      <c r="J32" s="297" t="s">
        <v>7469</v>
      </c>
      <c r="K32" s="179"/>
      <c r="L32" s="6"/>
      <c r="M32" s="6" t="s">
        <v>22</v>
      </c>
      <c r="N32" s="53"/>
      <c r="O32" s="489" t="s">
        <v>7470</v>
      </c>
      <c r="P32" s="9" t="s">
        <v>6064</v>
      </c>
      <c r="Q32" s="6" t="s">
        <v>1824</v>
      </c>
      <c r="R32" s="52"/>
      <c r="S32" s="9"/>
    </row>
    <row r="33" spans="1:19" ht="25.5">
      <c r="A33" s="6" t="s">
        <v>4177</v>
      </c>
      <c r="B33" s="9" t="s">
        <v>6872</v>
      </c>
      <c r="C33" s="140" t="s">
        <v>3168</v>
      </c>
      <c r="D33" s="179"/>
      <c r="E33" s="22" t="s">
        <v>4178</v>
      </c>
      <c r="F33" s="6" t="s">
        <v>811</v>
      </c>
      <c r="G33" s="64">
        <v>176000</v>
      </c>
      <c r="H33" s="6" t="s">
        <v>4149</v>
      </c>
      <c r="I33" s="6" t="s">
        <v>1828</v>
      </c>
      <c r="J33" s="297" t="s">
        <v>7471</v>
      </c>
      <c r="K33" s="179"/>
      <c r="L33" s="6"/>
      <c r="M33" s="6" t="s">
        <v>22</v>
      </c>
      <c r="N33" s="53"/>
      <c r="O33" s="489" t="s">
        <v>7472</v>
      </c>
      <c r="P33" s="9" t="s">
        <v>6064</v>
      </c>
      <c r="Q33" s="6" t="s">
        <v>1824</v>
      </c>
      <c r="R33" s="52"/>
      <c r="S33" s="9"/>
    </row>
    <row r="34" spans="1:19" ht="25.5">
      <c r="A34" s="6" t="s">
        <v>4179</v>
      </c>
      <c r="B34" s="9" t="s">
        <v>6872</v>
      </c>
      <c r="C34" s="22" t="s">
        <v>3168</v>
      </c>
      <c r="D34" s="179"/>
      <c r="E34" s="22" t="s">
        <v>4180</v>
      </c>
      <c r="F34" s="6" t="s">
        <v>811</v>
      </c>
      <c r="G34" s="64">
        <v>272000</v>
      </c>
      <c r="H34" s="6" t="s">
        <v>4149</v>
      </c>
      <c r="I34" s="6" t="s">
        <v>1828</v>
      </c>
      <c r="J34" s="297" t="s">
        <v>7473</v>
      </c>
      <c r="K34" s="179"/>
      <c r="L34" s="6"/>
      <c r="M34" s="6" t="s">
        <v>22</v>
      </c>
      <c r="N34" s="53"/>
      <c r="O34" s="489" t="s">
        <v>7474</v>
      </c>
      <c r="P34" s="9" t="s">
        <v>6064</v>
      </c>
      <c r="Q34" s="6" t="s">
        <v>1824</v>
      </c>
      <c r="R34" s="52"/>
      <c r="S34" s="9"/>
    </row>
    <row r="35" spans="1:19" ht="63.75">
      <c r="A35" s="6" t="s">
        <v>4181</v>
      </c>
      <c r="B35" s="9" t="s">
        <v>6872</v>
      </c>
      <c r="C35" s="22"/>
      <c r="D35" s="179"/>
      <c r="E35" s="22" t="s">
        <v>4165</v>
      </c>
      <c r="F35" s="160" t="s">
        <v>4166</v>
      </c>
      <c r="G35" s="64">
        <v>147000</v>
      </c>
      <c r="H35" s="6"/>
      <c r="I35" s="6"/>
      <c r="J35" s="291" t="s">
        <v>7475</v>
      </c>
      <c r="K35" s="179"/>
      <c r="L35" s="6"/>
      <c r="M35" s="6" t="s">
        <v>22</v>
      </c>
      <c r="N35" s="53"/>
      <c r="O35" s="489" t="s">
        <v>7476</v>
      </c>
      <c r="P35" s="9" t="s">
        <v>6064</v>
      </c>
      <c r="Q35" s="6" t="s">
        <v>1824</v>
      </c>
      <c r="R35" s="52"/>
      <c r="S35" s="9"/>
    </row>
    <row r="36" spans="1:19" ht="25.5">
      <c r="A36" s="6" t="s">
        <v>4182</v>
      </c>
      <c r="B36" s="9" t="s">
        <v>6872</v>
      </c>
      <c r="C36" s="22" t="s">
        <v>1383</v>
      </c>
      <c r="D36" s="179"/>
      <c r="E36" s="22" t="s">
        <v>4183</v>
      </c>
      <c r="F36" s="6" t="s">
        <v>4184</v>
      </c>
      <c r="G36" s="64">
        <v>250000</v>
      </c>
      <c r="H36" s="292" t="s">
        <v>4185</v>
      </c>
      <c r="I36" s="6" t="s">
        <v>6809</v>
      </c>
      <c r="J36" s="291" t="s">
        <v>7477</v>
      </c>
      <c r="K36" s="179"/>
      <c r="L36" s="6"/>
      <c r="M36" s="6" t="s">
        <v>22</v>
      </c>
      <c r="N36" s="53"/>
      <c r="O36" s="489" t="s">
        <v>7478</v>
      </c>
      <c r="P36" s="9" t="s">
        <v>6064</v>
      </c>
      <c r="Q36" s="6" t="s">
        <v>1824</v>
      </c>
      <c r="R36" s="52"/>
      <c r="S36" s="9"/>
    </row>
    <row r="37" spans="1:19" ht="63.75">
      <c r="A37" s="6" t="s">
        <v>4186</v>
      </c>
      <c r="B37" s="9" t="s">
        <v>6872</v>
      </c>
      <c r="C37" s="22" t="s">
        <v>62</v>
      </c>
      <c r="D37" s="179"/>
      <c r="E37" s="22" t="s">
        <v>4187</v>
      </c>
      <c r="F37" s="6" t="s">
        <v>4188</v>
      </c>
      <c r="G37" s="64">
        <v>2000000</v>
      </c>
      <c r="H37" s="160" t="s">
        <v>4189</v>
      </c>
      <c r="I37" s="6" t="s">
        <v>2449</v>
      </c>
      <c r="J37" s="297" t="s">
        <v>7479</v>
      </c>
      <c r="K37" s="179"/>
      <c r="L37" s="6"/>
      <c r="M37" s="6" t="s">
        <v>6179</v>
      </c>
      <c r="N37" s="53"/>
      <c r="O37" s="489" t="s">
        <v>7480</v>
      </c>
      <c r="P37" s="9" t="s">
        <v>6064</v>
      </c>
      <c r="Q37" s="6"/>
      <c r="R37" s="52"/>
      <c r="S37" s="9"/>
    </row>
    <row r="38" spans="1:19" ht="25.5">
      <c r="A38" s="6" t="s">
        <v>4190</v>
      </c>
      <c r="B38" s="9" t="s">
        <v>6872</v>
      </c>
      <c r="C38" s="22" t="s">
        <v>3092</v>
      </c>
      <c r="D38" s="179"/>
      <c r="E38" s="22" t="s">
        <v>4191</v>
      </c>
      <c r="F38" s="6" t="s">
        <v>4192</v>
      </c>
      <c r="G38" s="64">
        <v>818000</v>
      </c>
      <c r="H38" s="6"/>
      <c r="I38" s="6"/>
      <c r="J38" s="297" t="s">
        <v>7481</v>
      </c>
      <c r="K38" s="179"/>
      <c r="L38" s="6"/>
      <c r="M38" s="6" t="s">
        <v>22</v>
      </c>
      <c r="N38" s="53"/>
      <c r="O38" s="489" t="s">
        <v>7482</v>
      </c>
      <c r="P38" s="9" t="s">
        <v>6064</v>
      </c>
      <c r="Q38" s="6"/>
      <c r="R38" s="52"/>
      <c r="S38" s="9"/>
    </row>
    <row r="39" spans="1:19" ht="25.5">
      <c r="A39" s="6" t="s">
        <v>4193</v>
      </c>
      <c r="B39" s="9" t="s">
        <v>6872</v>
      </c>
      <c r="C39" s="22" t="s">
        <v>1141</v>
      </c>
      <c r="D39" s="179"/>
      <c r="E39" s="22" t="s">
        <v>4194</v>
      </c>
      <c r="F39" s="6" t="s">
        <v>4195</v>
      </c>
      <c r="G39" s="8">
        <v>53759.67</v>
      </c>
      <c r="H39" s="6" t="s">
        <v>4196</v>
      </c>
      <c r="I39" s="6" t="s">
        <v>2656</v>
      </c>
      <c r="J39" s="291" t="s">
        <v>7483</v>
      </c>
      <c r="K39" s="179"/>
      <c r="L39" s="6"/>
      <c r="M39" s="6" t="s">
        <v>22</v>
      </c>
      <c r="N39" s="53"/>
      <c r="O39" s="489" t="s">
        <v>7484</v>
      </c>
      <c r="P39" s="9" t="s">
        <v>6064</v>
      </c>
      <c r="Q39" s="6"/>
      <c r="R39" s="52"/>
      <c r="S39" s="9"/>
    </row>
    <row r="40" spans="1:19" ht="25.5">
      <c r="A40" s="6" t="s">
        <v>4197</v>
      </c>
      <c r="B40" s="9" t="s">
        <v>6872</v>
      </c>
      <c r="C40" s="22" t="s">
        <v>652</v>
      </c>
      <c r="D40" s="179"/>
      <c r="E40" s="22" t="s">
        <v>4198</v>
      </c>
      <c r="F40" s="6" t="s">
        <v>4199</v>
      </c>
      <c r="G40" s="64">
        <v>1135672</v>
      </c>
      <c r="H40" s="292" t="s">
        <v>4200</v>
      </c>
      <c r="I40" s="6" t="s">
        <v>2656</v>
      </c>
      <c r="J40" s="291" t="s">
        <v>7485</v>
      </c>
      <c r="K40" s="179"/>
      <c r="L40" s="6"/>
      <c r="M40" s="6" t="s">
        <v>6132</v>
      </c>
      <c r="N40" s="53"/>
      <c r="O40" s="489" t="s">
        <v>7486</v>
      </c>
      <c r="P40" s="9" t="s">
        <v>6064</v>
      </c>
      <c r="Q40" s="6"/>
      <c r="R40" s="52"/>
      <c r="S40" s="9"/>
    </row>
    <row r="41" spans="1:19" ht="38.25">
      <c r="A41" s="6" t="s">
        <v>4201</v>
      </c>
      <c r="B41" s="9" t="s">
        <v>6872</v>
      </c>
      <c r="C41" s="22" t="s">
        <v>394</v>
      </c>
      <c r="D41" s="179"/>
      <c r="E41" s="22" t="s">
        <v>4202</v>
      </c>
      <c r="F41" s="6" t="s">
        <v>4176</v>
      </c>
      <c r="G41" s="64">
        <v>191150</v>
      </c>
      <c r="H41" s="292" t="s">
        <v>4149</v>
      </c>
      <c r="I41" s="6" t="s">
        <v>1828</v>
      </c>
      <c r="J41" s="291" t="s">
        <v>7487</v>
      </c>
      <c r="K41" s="179"/>
      <c r="L41" s="6"/>
      <c r="M41" s="6" t="s">
        <v>22</v>
      </c>
      <c r="N41" s="53"/>
      <c r="O41" s="489" t="s">
        <v>7488</v>
      </c>
      <c r="P41" s="9" t="s">
        <v>6064</v>
      </c>
      <c r="Q41" s="6" t="s">
        <v>1824</v>
      </c>
      <c r="R41" s="52"/>
      <c r="S41" s="9"/>
    </row>
    <row r="42" spans="1:19" ht="38.25">
      <c r="A42" s="6" t="s">
        <v>4203</v>
      </c>
      <c r="B42" s="9" t="s">
        <v>6872</v>
      </c>
      <c r="C42" s="22"/>
      <c r="D42" s="179"/>
      <c r="E42" s="22" t="s">
        <v>4204</v>
      </c>
      <c r="F42" s="6" t="s">
        <v>4205</v>
      </c>
      <c r="G42" s="6"/>
      <c r="H42" s="160" t="s">
        <v>4206</v>
      </c>
      <c r="I42" s="6" t="s">
        <v>2609</v>
      </c>
      <c r="J42" s="297" t="s">
        <v>7489</v>
      </c>
      <c r="K42" s="179"/>
      <c r="L42" s="6"/>
      <c r="M42" s="6" t="s">
        <v>6132</v>
      </c>
      <c r="N42" s="53"/>
      <c r="O42" s="489" t="s">
        <v>7490</v>
      </c>
      <c r="P42" s="9" t="s">
        <v>7491</v>
      </c>
      <c r="Q42" s="6"/>
      <c r="R42" s="52"/>
      <c r="S42" s="9"/>
    </row>
    <row r="43" spans="1:19" ht="25.5">
      <c r="A43" s="6" t="s">
        <v>4207</v>
      </c>
      <c r="B43" s="9" t="s">
        <v>6872</v>
      </c>
      <c r="C43" s="22"/>
      <c r="D43" s="179"/>
      <c r="E43" s="22" t="s">
        <v>4208</v>
      </c>
      <c r="F43" s="6" t="s">
        <v>4209</v>
      </c>
      <c r="G43" s="64">
        <v>30000</v>
      </c>
      <c r="H43" s="160" t="s">
        <v>4210</v>
      </c>
      <c r="I43" s="6" t="s">
        <v>1828</v>
      </c>
      <c r="J43" s="291" t="s">
        <v>7492</v>
      </c>
      <c r="K43" s="179"/>
      <c r="L43" s="6"/>
      <c r="M43" s="6" t="s">
        <v>6132</v>
      </c>
      <c r="N43" s="53"/>
      <c r="O43" s="489" t="s">
        <v>7493</v>
      </c>
      <c r="P43" s="9" t="s">
        <v>6064</v>
      </c>
      <c r="Q43" s="6"/>
      <c r="R43" s="52"/>
      <c r="S43" s="9"/>
    </row>
    <row r="44" spans="1:19" ht="38.25">
      <c r="A44" s="6" t="s">
        <v>4211</v>
      </c>
      <c r="B44" s="9" t="s">
        <v>6872</v>
      </c>
      <c r="C44" s="22" t="s">
        <v>394</v>
      </c>
      <c r="D44" s="179"/>
      <c r="E44" s="22" t="s">
        <v>4212</v>
      </c>
      <c r="F44" s="6" t="s">
        <v>4213</v>
      </c>
      <c r="G44" s="64">
        <v>107900</v>
      </c>
      <c r="H44" s="292" t="s">
        <v>3311</v>
      </c>
      <c r="I44" s="6" t="s">
        <v>2467</v>
      </c>
      <c r="J44" s="291" t="s">
        <v>7494</v>
      </c>
      <c r="K44" s="179"/>
      <c r="L44" s="6"/>
      <c r="M44" s="6" t="s">
        <v>22</v>
      </c>
      <c r="N44" s="53"/>
      <c r="O44" s="489" t="s">
        <v>7495</v>
      </c>
      <c r="P44" s="9" t="s">
        <v>6071</v>
      </c>
      <c r="Q44" s="6" t="s">
        <v>1824</v>
      </c>
      <c r="R44" s="52"/>
      <c r="S44" s="9"/>
    </row>
    <row r="45" spans="1:19" ht="25.5">
      <c r="A45" s="6" t="s">
        <v>4214</v>
      </c>
      <c r="B45" s="9"/>
      <c r="C45" s="22" t="s">
        <v>3092</v>
      </c>
      <c r="D45" s="179"/>
      <c r="E45" s="22" t="s">
        <v>4191</v>
      </c>
      <c r="F45" s="6" t="s">
        <v>4215</v>
      </c>
      <c r="G45" s="64">
        <v>531000</v>
      </c>
      <c r="H45" s="292" t="s">
        <v>4216</v>
      </c>
      <c r="I45" s="6" t="s">
        <v>1828</v>
      </c>
      <c r="J45" s="291" t="s">
        <v>7496</v>
      </c>
      <c r="K45" s="179"/>
      <c r="L45" s="6"/>
      <c r="M45" s="6" t="s">
        <v>22</v>
      </c>
      <c r="N45" s="53"/>
      <c r="O45" s="489" t="s">
        <v>7497</v>
      </c>
      <c r="P45" s="9" t="s">
        <v>6064</v>
      </c>
      <c r="Q45" s="6" t="s">
        <v>1824</v>
      </c>
      <c r="R45" s="52"/>
      <c r="S45" s="9"/>
    </row>
    <row r="46" spans="1:19" ht="63.75">
      <c r="A46" s="6" t="s">
        <v>4217</v>
      </c>
      <c r="B46" s="9" t="s">
        <v>6872</v>
      </c>
      <c r="C46" s="22" t="s">
        <v>1141</v>
      </c>
      <c r="D46" s="179"/>
      <c r="E46" s="22" t="s">
        <v>4218</v>
      </c>
      <c r="F46" s="6" t="s">
        <v>4219</v>
      </c>
      <c r="G46" s="151">
        <v>138019.25</v>
      </c>
      <c r="H46" s="292" t="s">
        <v>4220</v>
      </c>
      <c r="I46" s="6" t="s">
        <v>2449</v>
      </c>
      <c r="J46" s="291" t="s">
        <v>7498</v>
      </c>
      <c r="K46" s="179"/>
      <c r="L46" s="6"/>
      <c r="M46" s="6" t="s">
        <v>22</v>
      </c>
      <c r="N46" s="53"/>
      <c r="O46" s="489" t="s">
        <v>7499</v>
      </c>
      <c r="P46" s="9" t="s">
        <v>6064</v>
      </c>
      <c r="Q46" s="6"/>
      <c r="R46" s="52"/>
      <c r="S46" s="9"/>
    </row>
    <row r="47" spans="1:19" ht="63.75">
      <c r="A47" s="6" t="s">
        <v>4221</v>
      </c>
      <c r="B47" s="9" t="s">
        <v>6872</v>
      </c>
      <c r="C47" s="22" t="s">
        <v>62</v>
      </c>
      <c r="D47" s="178"/>
      <c r="E47" s="164" t="s">
        <v>4222</v>
      </c>
      <c r="F47" s="6" t="s">
        <v>4223</v>
      </c>
      <c r="G47" s="64">
        <v>195000</v>
      </c>
      <c r="H47" s="160" t="s">
        <v>4224</v>
      </c>
      <c r="I47" s="6" t="s">
        <v>2656</v>
      </c>
      <c r="J47" s="472" t="s">
        <v>7500</v>
      </c>
      <c r="K47" s="178"/>
      <c r="L47" s="6"/>
      <c r="M47" s="6" t="s">
        <v>6132</v>
      </c>
      <c r="N47" s="53"/>
      <c r="O47" s="489" t="s">
        <v>7501</v>
      </c>
      <c r="P47" s="9" t="s">
        <v>6064</v>
      </c>
      <c r="Q47" s="6"/>
      <c r="R47" s="52"/>
      <c r="S47" s="9"/>
    </row>
    <row r="48" spans="1:19" ht="38.25">
      <c r="A48" s="6" t="s">
        <v>4225</v>
      </c>
      <c r="B48" s="9" t="s">
        <v>6872</v>
      </c>
      <c r="C48" s="22" t="s">
        <v>62</v>
      </c>
      <c r="D48" s="179"/>
      <c r="E48" s="22" t="s">
        <v>4226</v>
      </c>
      <c r="F48" s="6" t="s">
        <v>4227</v>
      </c>
      <c r="G48" s="64">
        <v>1930000</v>
      </c>
      <c r="H48" s="160" t="s">
        <v>4228</v>
      </c>
      <c r="I48" s="6" t="s">
        <v>2656</v>
      </c>
      <c r="J48" s="297" t="s">
        <v>7502</v>
      </c>
      <c r="K48" s="179"/>
      <c r="L48" s="6"/>
      <c r="M48" s="6" t="s">
        <v>6179</v>
      </c>
      <c r="N48" s="53"/>
      <c r="O48" s="489" t="s">
        <v>7503</v>
      </c>
      <c r="P48" s="9" t="s">
        <v>6064</v>
      </c>
      <c r="Q48" s="6"/>
      <c r="R48" s="52"/>
      <c r="S48" s="9"/>
    </row>
    <row r="49" spans="1:19" ht="35.25" customHeight="1">
      <c r="A49" s="6" t="s">
        <v>4229</v>
      </c>
      <c r="B49" s="9" t="s">
        <v>6872</v>
      </c>
      <c r="C49" s="22" t="s">
        <v>68</v>
      </c>
      <c r="D49" s="179"/>
      <c r="E49" s="22" t="s">
        <v>4230</v>
      </c>
      <c r="F49" s="6" t="s">
        <v>4231</v>
      </c>
      <c r="G49" s="64">
        <v>480000</v>
      </c>
      <c r="H49" s="160" t="s">
        <v>4232</v>
      </c>
      <c r="I49" s="6" t="s">
        <v>1828</v>
      </c>
      <c r="J49" s="291" t="s">
        <v>7504</v>
      </c>
      <c r="K49" s="179"/>
      <c r="L49" s="6"/>
      <c r="M49" s="6" t="s">
        <v>6132</v>
      </c>
      <c r="N49" s="53"/>
      <c r="O49" s="489" t="s">
        <v>7505</v>
      </c>
      <c r="P49" s="9" t="s">
        <v>6104</v>
      </c>
      <c r="Q49" s="6"/>
      <c r="R49" s="52"/>
      <c r="S49" s="9"/>
    </row>
    <row r="50" spans="1:19" ht="38.25">
      <c r="A50" s="6" t="s">
        <v>4233</v>
      </c>
      <c r="B50" s="9" t="s">
        <v>6872</v>
      </c>
      <c r="C50" s="22" t="s">
        <v>3168</v>
      </c>
      <c r="D50" s="179"/>
      <c r="E50" s="22" t="s">
        <v>4234</v>
      </c>
      <c r="F50" s="6" t="s">
        <v>4235</v>
      </c>
      <c r="G50" s="151">
        <v>556600</v>
      </c>
      <c r="H50" s="6" t="s">
        <v>4149</v>
      </c>
      <c r="I50" s="6" t="s">
        <v>1828</v>
      </c>
      <c r="J50" s="291" t="s">
        <v>7506</v>
      </c>
      <c r="K50" s="179"/>
      <c r="L50" s="6"/>
      <c r="M50" s="6" t="s">
        <v>22</v>
      </c>
      <c r="N50" s="53"/>
      <c r="O50" s="489" t="s">
        <v>7507</v>
      </c>
      <c r="P50" s="9" t="s">
        <v>6064</v>
      </c>
      <c r="Q50" s="6" t="s">
        <v>1824</v>
      </c>
      <c r="R50" s="52"/>
      <c r="S50" s="9"/>
    </row>
    <row r="51" spans="1:19" ht="51">
      <c r="A51" s="6" t="s">
        <v>4236</v>
      </c>
      <c r="B51" s="9" t="s">
        <v>6872</v>
      </c>
      <c r="C51" s="22"/>
      <c r="D51" s="179"/>
      <c r="E51" s="22" t="s">
        <v>4237</v>
      </c>
      <c r="F51" s="6" t="s">
        <v>4238</v>
      </c>
      <c r="G51" s="6"/>
      <c r="H51" s="292" t="s">
        <v>4239</v>
      </c>
      <c r="I51" s="6" t="s">
        <v>6370</v>
      </c>
      <c r="J51" s="297" t="s">
        <v>7508</v>
      </c>
      <c r="K51" s="179"/>
      <c r="L51" s="6"/>
      <c r="M51" s="6" t="s">
        <v>6132</v>
      </c>
      <c r="N51" s="53"/>
      <c r="O51" s="489" t="s">
        <v>7509</v>
      </c>
      <c r="P51" s="9" t="s">
        <v>6064</v>
      </c>
      <c r="Q51" s="6"/>
      <c r="R51" s="52"/>
      <c r="S51" s="9"/>
    </row>
    <row r="52" spans="1:19" ht="25.5">
      <c r="A52" s="6" t="s">
        <v>4240</v>
      </c>
      <c r="B52" s="9" t="s">
        <v>6872</v>
      </c>
      <c r="C52" s="22"/>
      <c r="D52" s="179"/>
      <c r="E52" s="22" t="s">
        <v>4241</v>
      </c>
      <c r="F52" s="6" t="s">
        <v>4242</v>
      </c>
      <c r="G52" s="6" t="s">
        <v>7510</v>
      </c>
      <c r="H52" s="6" t="s">
        <v>4149</v>
      </c>
      <c r="I52" s="6" t="s">
        <v>1828</v>
      </c>
      <c r="J52" s="291" t="s">
        <v>7511</v>
      </c>
      <c r="K52" s="179"/>
      <c r="L52" s="6"/>
      <c r="M52" s="6" t="s">
        <v>22</v>
      </c>
      <c r="N52" s="53"/>
      <c r="O52" s="489" t="s">
        <v>7512</v>
      </c>
      <c r="P52" s="9" t="s">
        <v>6064</v>
      </c>
      <c r="Q52" s="6" t="s">
        <v>1824</v>
      </c>
      <c r="R52" s="52"/>
      <c r="S52" s="9"/>
    </row>
    <row r="53" spans="1:19" ht="51">
      <c r="A53" s="6" t="s">
        <v>4243</v>
      </c>
      <c r="B53" s="9" t="s">
        <v>6872</v>
      </c>
      <c r="C53" s="22" t="s">
        <v>1383</v>
      </c>
      <c r="D53" s="179"/>
      <c r="E53" s="22" t="s">
        <v>4244</v>
      </c>
      <c r="F53" s="6" t="s">
        <v>1753</v>
      </c>
      <c r="G53" s="64">
        <v>1225800</v>
      </c>
      <c r="H53" s="6" t="s">
        <v>4149</v>
      </c>
      <c r="I53" s="6" t="s">
        <v>1828</v>
      </c>
      <c r="J53" s="297" t="s">
        <v>7513</v>
      </c>
      <c r="K53" s="179"/>
      <c r="L53" s="6"/>
      <c r="M53" s="6" t="s">
        <v>22</v>
      </c>
      <c r="N53" s="53"/>
      <c r="O53" s="489" t="s">
        <v>7514</v>
      </c>
      <c r="P53" s="9" t="s">
        <v>6064</v>
      </c>
      <c r="Q53" s="6" t="s">
        <v>1824</v>
      </c>
      <c r="R53" s="52"/>
      <c r="S53" s="9"/>
    </row>
    <row r="54" spans="1:19" ht="25.5">
      <c r="A54" s="6" t="s">
        <v>4245</v>
      </c>
      <c r="B54" s="9" t="s">
        <v>6872</v>
      </c>
      <c r="C54" s="22" t="s">
        <v>1383</v>
      </c>
      <c r="D54" s="179"/>
      <c r="E54" s="22" t="s">
        <v>4246</v>
      </c>
      <c r="F54" s="6" t="s">
        <v>1753</v>
      </c>
      <c r="G54" s="64">
        <v>210250</v>
      </c>
      <c r="H54" s="6" t="s">
        <v>4149</v>
      </c>
      <c r="I54" s="6" t="s">
        <v>1828</v>
      </c>
      <c r="J54" s="291" t="s">
        <v>7515</v>
      </c>
      <c r="K54" s="179"/>
      <c r="L54" s="6"/>
      <c r="M54" s="6" t="s">
        <v>22</v>
      </c>
      <c r="N54" s="53"/>
      <c r="O54" s="489" t="s">
        <v>7516</v>
      </c>
      <c r="P54" s="9" t="s">
        <v>6064</v>
      </c>
      <c r="Q54" s="6" t="s">
        <v>1824</v>
      </c>
      <c r="R54" s="52"/>
      <c r="S54" s="9"/>
    </row>
    <row r="55" spans="1:19" ht="33" customHeight="1">
      <c r="A55" s="6" t="s">
        <v>4247</v>
      </c>
      <c r="B55" s="9" t="s">
        <v>6872</v>
      </c>
      <c r="C55" s="22" t="s">
        <v>1383</v>
      </c>
      <c r="D55" s="179"/>
      <c r="E55" s="22" t="s">
        <v>4248</v>
      </c>
      <c r="F55" s="6" t="s">
        <v>4249</v>
      </c>
      <c r="G55" s="64">
        <v>888000</v>
      </c>
      <c r="H55" s="6"/>
      <c r="I55" s="6" t="s">
        <v>2656</v>
      </c>
      <c r="J55" s="297" t="s">
        <v>7517</v>
      </c>
      <c r="K55" s="179"/>
      <c r="L55" s="6"/>
      <c r="M55" s="6" t="s">
        <v>22</v>
      </c>
      <c r="N55" s="53"/>
      <c r="O55" s="489" t="s">
        <v>7518</v>
      </c>
      <c r="P55" s="9" t="s">
        <v>6064</v>
      </c>
      <c r="Q55" s="6" t="s">
        <v>1824</v>
      </c>
      <c r="R55" s="52"/>
      <c r="S55" s="9"/>
    </row>
    <row r="56" spans="1:19" ht="38.25">
      <c r="A56" s="6" t="s">
        <v>4250</v>
      </c>
      <c r="B56" s="9" t="s">
        <v>6872</v>
      </c>
      <c r="C56" s="22" t="s">
        <v>68</v>
      </c>
      <c r="D56" s="179"/>
      <c r="E56" s="22" t="s">
        <v>4251</v>
      </c>
      <c r="F56" s="6" t="s">
        <v>4252</v>
      </c>
      <c r="G56" s="64">
        <v>41440</v>
      </c>
      <c r="H56" s="160" t="s">
        <v>4253</v>
      </c>
      <c r="I56" s="6" t="s">
        <v>2656</v>
      </c>
      <c r="J56" s="291" t="s">
        <v>7519</v>
      </c>
      <c r="K56" s="179"/>
      <c r="L56" s="6"/>
      <c r="M56" s="6" t="s">
        <v>6132</v>
      </c>
      <c r="N56" s="53"/>
      <c r="O56" s="489" t="s">
        <v>7520</v>
      </c>
      <c r="P56" s="9" t="s">
        <v>6064</v>
      </c>
      <c r="Q56" s="6"/>
      <c r="R56" s="52"/>
      <c r="S56" s="9"/>
    </row>
    <row r="57" spans="1:19" ht="25.5">
      <c r="A57" s="6" t="s">
        <v>4254</v>
      </c>
      <c r="B57" s="9" t="s">
        <v>6872</v>
      </c>
      <c r="C57" s="22" t="s">
        <v>68</v>
      </c>
      <c r="D57" s="179"/>
      <c r="E57" s="22" t="s">
        <v>4255</v>
      </c>
      <c r="F57" s="6" t="s">
        <v>4256</v>
      </c>
      <c r="G57" s="64">
        <v>604800</v>
      </c>
      <c r="H57" s="160" t="s">
        <v>4257</v>
      </c>
      <c r="I57" s="6" t="s">
        <v>1828</v>
      </c>
      <c r="J57" s="291" t="s">
        <v>7521</v>
      </c>
      <c r="K57" s="179"/>
      <c r="L57" s="6"/>
      <c r="M57" s="6" t="s">
        <v>6132</v>
      </c>
      <c r="N57" s="53"/>
      <c r="O57" s="489" t="s">
        <v>7522</v>
      </c>
      <c r="P57" s="9" t="s">
        <v>6064</v>
      </c>
      <c r="Q57" s="6"/>
      <c r="R57" s="52"/>
      <c r="S57" s="9"/>
    </row>
    <row r="58" spans="1:19" ht="38.25">
      <c r="A58" s="6" t="s">
        <v>4258</v>
      </c>
      <c r="B58" s="9" t="s">
        <v>6872</v>
      </c>
      <c r="C58" s="22" t="s">
        <v>62</v>
      </c>
      <c r="D58" s="179"/>
      <c r="E58" s="22" t="s">
        <v>4259</v>
      </c>
      <c r="F58" s="6" t="s">
        <v>4260</v>
      </c>
      <c r="G58" s="8">
        <v>958369.8</v>
      </c>
      <c r="H58" s="160" t="s">
        <v>4261</v>
      </c>
      <c r="I58" s="6" t="s">
        <v>2467</v>
      </c>
      <c r="J58" s="297" t="s">
        <v>7523</v>
      </c>
      <c r="K58" s="179"/>
      <c r="L58" s="6"/>
      <c r="M58" s="6" t="s">
        <v>6132</v>
      </c>
      <c r="N58" s="53"/>
      <c r="O58" s="489" t="s">
        <v>7524</v>
      </c>
      <c r="P58" s="9" t="s">
        <v>6064</v>
      </c>
      <c r="Q58" s="6"/>
      <c r="R58" s="52"/>
      <c r="S58" s="9"/>
    </row>
    <row r="59" spans="1:19" ht="38.25">
      <c r="A59" s="6" t="s">
        <v>4262</v>
      </c>
      <c r="B59" s="9" t="s">
        <v>6872</v>
      </c>
      <c r="C59" s="22" t="s">
        <v>62</v>
      </c>
      <c r="D59" s="179"/>
      <c r="E59" s="22" t="s">
        <v>4263</v>
      </c>
      <c r="F59" s="6" t="s">
        <v>4264</v>
      </c>
      <c r="G59" s="64">
        <v>410000</v>
      </c>
      <c r="H59" s="160" t="s">
        <v>4265</v>
      </c>
      <c r="I59" s="6" t="s">
        <v>2656</v>
      </c>
      <c r="J59" s="291" t="s">
        <v>7525</v>
      </c>
      <c r="K59" s="179"/>
      <c r="L59" s="6"/>
      <c r="M59" s="6" t="s">
        <v>6132</v>
      </c>
      <c r="N59" s="53"/>
      <c r="O59" s="489" t="s">
        <v>7526</v>
      </c>
      <c r="P59" s="9" t="s">
        <v>6064</v>
      </c>
      <c r="Q59" s="6"/>
      <c r="R59" s="52"/>
      <c r="S59" s="9"/>
    </row>
    <row r="60" spans="1:19" ht="38.25">
      <c r="A60" s="6" t="s">
        <v>4266</v>
      </c>
      <c r="B60" s="9" t="s">
        <v>6872</v>
      </c>
      <c r="C60" s="22" t="s">
        <v>62</v>
      </c>
      <c r="D60" s="179"/>
      <c r="E60" s="22" t="s">
        <v>4267</v>
      </c>
      <c r="F60" s="6" t="s">
        <v>4268</v>
      </c>
      <c r="G60" s="64">
        <v>1956500</v>
      </c>
      <c r="H60" s="160" t="s">
        <v>4269</v>
      </c>
      <c r="I60" s="6" t="s">
        <v>2656</v>
      </c>
      <c r="J60" s="291" t="s">
        <v>7527</v>
      </c>
      <c r="K60" s="179"/>
      <c r="L60" s="6"/>
      <c r="M60" s="6" t="s">
        <v>6179</v>
      </c>
      <c r="N60" s="53"/>
      <c r="O60" s="489" t="s">
        <v>7528</v>
      </c>
      <c r="P60" s="9" t="s">
        <v>6064</v>
      </c>
      <c r="Q60" s="6"/>
      <c r="R60" s="52"/>
      <c r="S60" s="9"/>
    </row>
    <row r="61" spans="1:19" ht="38.25">
      <c r="A61" s="6" t="s">
        <v>4270</v>
      </c>
      <c r="B61" s="9" t="s">
        <v>6872</v>
      </c>
      <c r="C61" s="22" t="s">
        <v>62</v>
      </c>
      <c r="D61" s="179"/>
      <c r="E61" s="22" t="s">
        <v>4271</v>
      </c>
      <c r="F61" s="6" t="s">
        <v>4272</v>
      </c>
      <c r="G61" s="64">
        <v>1900000</v>
      </c>
      <c r="H61" s="160" t="s">
        <v>4273</v>
      </c>
      <c r="I61" s="6" t="s">
        <v>2656</v>
      </c>
      <c r="J61" s="291" t="s">
        <v>7529</v>
      </c>
      <c r="K61" s="179"/>
      <c r="L61" s="6"/>
      <c r="M61" s="6" t="s">
        <v>6132</v>
      </c>
      <c r="N61" s="53"/>
      <c r="O61" s="489" t="s">
        <v>7530</v>
      </c>
      <c r="P61" s="9" t="s">
        <v>6064</v>
      </c>
      <c r="Q61" s="6"/>
      <c r="R61" s="52"/>
      <c r="S61" s="9"/>
    </row>
    <row r="62" spans="1:19" ht="38.25">
      <c r="A62" s="6" t="s">
        <v>4274</v>
      </c>
      <c r="B62" s="9" t="s">
        <v>6872</v>
      </c>
      <c r="C62" s="22" t="s">
        <v>62</v>
      </c>
      <c r="D62" s="179"/>
      <c r="E62" s="22" t="s">
        <v>4275</v>
      </c>
      <c r="F62" s="6" t="s">
        <v>4276</v>
      </c>
      <c r="G62" s="64">
        <v>598728</v>
      </c>
      <c r="H62" s="160" t="s">
        <v>4277</v>
      </c>
      <c r="I62" s="6" t="s">
        <v>2613</v>
      </c>
      <c r="J62" s="291" t="s">
        <v>7531</v>
      </c>
      <c r="K62" s="179"/>
      <c r="L62" s="6"/>
      <c r="M62" s="6" t="s">
        <v>6132</v>
      </c>
      <c r="N62" s="53"/>
      <c r="O62" s="489" t="s">
        <v>7532</v>
      </c>
      <c r="P62" s="9" t="s">
        <v>6064</v>
      </c>
      <c r="Q62" s="6"/>
      <c r="R62" s="52"/>
      <c r="S62" s="9"/>
    </row>
    <row r="63" spans="1:19" ht="34.5" customHeight="1">
      <c r="A63" s="6" t="s">
        <v>4278</v>
      </c>
      <c r="B63" s="9" t="s">
        <v>6872</v>
      </c>
      <c r="C63" s="22" t="s">
        <v>62</v>
      </c>
      <c r="D63" s="179"/>
      <c r="E63" s="22" t="s">
        <v>807</v>
      </c>
      <c r="F63" s="6" t="s">
        <v>811</v>
      </c>
      <c r="G63" s="64">
        <v>420000</v>
      </c>
      <c r="H63" s="6" t="s">
        <v>4149</v>
      </c>
      <c r="I63" s="6" t="s">
        <v>1828</v>
      </c>
      <c r="J63" s="291" t="s">
        <v>7533</v>
      </c>
      <c r="K63" s="179"/>
      <c r="L63" s="6"/>
      <c r="M63" s="6"/>
      <c r="N63" s="53"/>
      <c r="O63" s="489" t="s">
        <v>7534</v>
      </c>
      <c r="P63" s="9" t="s">
        <v>6064</v>
      </c>
      <c r="Q63" s="6" t="s">
        <v>1824</v>
      </c>
      <c r="R63" s="52"/>
      <c r="S63" s="9"/>
    </row>
    <row r="64" spans="1:19" ht="12.75">
      <c r="A64" s="520"/>
      <c r="B64" s="521"/>
      <c r="C64" s="522"/>
      <c r="D64" s="523"/>
      <c r="E64" s="522"/>
      <c r="F64" s="520"/>
      <c r="G64" s="524"/>
      <c r="H64" s="520"/>
      <c r="I64" s="520"/>
      <c r="J64" s="520"/>
      <c r="K64" s="525"/>
      <c r="L64" s="520"/>
      <c r="M64" s="520"/>
      <c r="N64" s="526"/>
      <c r="O64" s="521"/>
      <c r="P64" s="521"/>
      <c r="Q64" s="520"/>
      <c r="R64" s="527"/>
      <c r="S64" s="521"/>
    </row>
    <row r="65" spans="1:19" ht="51">
      <c r="A65" s="6" t="s">
        <v>4279</v>
      </c>
      <c r="B65" s="9" t="s">
        <v>6872</v>
      </c>
      <c r="C65" s="22"/>
      <c r="D65" s="179"/>
      <c r="E65" s="22" t="s">
        <v>4280</v>
      </c>
      <c r="F65" s="6" t="s">
        <v>4281</v>
      </c>
      <c r="G65" s="64">
        <v>30000</v>
      </c>
      <c r="H65" s="6" t="s">
        <v>4282</v>
      </c>
      <c r="I65" s="6" t="s">
        <v>1847</v>
      </c>
      <c r="J65" s="6"/>
      <c r="K65" s="180" t="s">
        <v>7535</v>
      </c>
      <c r="L65" s="6"/>
      <c r="M65" s="6" t="s">
        <v>22</v>
      </c>
      <c r="N65" s="53"/>
      <c r="O65" s="489" t="s">
        <v>7536</v>
      </c>
      <c r="P65" s="9" t="s">
        <v>6064</v>
      </c>
      <c r="Q65" s="6"/>
      <c r="R65" s="52"/>
      <c r="S65" s="9"/>
    </row>
    <row r="66" spans="1:19" ht="63.75">
      <c r="A66" s="6" t="s">
        <v>4283</v>
      </c>
      <c r="B66" s="9" t="s">
        <v>6872</v>
      </c>
      <c r="C66" s="22"/>
      <c r="D66" s="179"/>
      <c r="E66" s="22" t="s">
        <v>4284</v>
      </c>
      <c r="F66" s="6" t="s">
        <v>4285</v>
      </c>
      <c r="G66" s="64">
        <v>50000</v>
      </c>
      <c r="H66" s="6" t="s">
        <v>4286</v>
      </c>
      <c r="I66" s="6" t="s">
        <v>1847</v>
      </c>
      <c r="J66" s="6"/>
      <c r="K66" s="180" t="s">
        <v>7537</v>
      </c>
      <c r="L66" s="6"/>
      <c r="M66" s="6" t="s">
        <v>6132</v>
      </c>
      <c r="N66" s="53"/>
      <c r="O66" s="489" t="s">
        <v>7538</v>
      </c>
      <c r="P66" s="9" t="s">
        <v>6941</v>
      </c>
      <c r="Q66" s="6"/>
      <c r="R66" s="52"/>
      <c r="S66" s="9"/>
    </row>
    <row r="67" spans="1:19" ht="76.5">
      <c r="A67" s="6" t="s">
        <v>4287</v>
      </c>
      <c r="B67" s="9" t="s">
        <v>6872</v>
      </c>
      <c r="C67" s="22"/>
      <c r="D67" s="179"/>
      <c r="E67" s="22" t="s">
        <v>4288</v>
      </c>
      <c r="F67" s="6" t="s">
        <v>4289</v>
      </c>
      <c r="G67" s="64">
        <v>27176</v>
      </c>
      <c r="H67" s="6" t="s">
        <v>4290</v>
      </c>
      <c r="I67" s="6" t="s">
        <v>7539</v>
      </c>
      <c r="J67" s="6"/>
      <c r="K67" s="180" t="s">
        <v>7540</v>
      </c>
      <c r="L67" s="6"/>
      <c r="M67" s="6" t="s">
        <v>22</v>
      </c>
      <c r="N67" s="53"/>
      <c r="O67" s="489" t="s">
        <v>7541</v>
      </c>
      <c r="P67" s="9" t="s">
        <v>6941</v>
      </c>
      <c r="Q67" s="6"/>
      <c r="R67" s="52"/>
      <c r="S67" s="9"/>
    </row>
    <row r="68" spans="1:19" ht="38.25">
      <c r="A68" s="6" t="s">
        <v>4291</v>
      </c>
      <c r="B68" s="9" t="s">
        <v>6872</v>
      </c>
      <c r="C68" s="22"/>
      <c r="D68" s="179"/>
      <c r="E68" s="22" t="s">
        <v>4292</v>
      </c>
      <c r="F68" s="6" t="s">
        <v>4293</v>
      </c>
      <c r="G68" s="8">
        <v>41880</v>
      </c>
      <c r="H68" s="6"/>
      <c r="I68" s="6"/>
      <c r="J68" s="6"/>
      <c r="K68" s="180" t="s">
        <v>7542</v>
      </c>
      <c r="L68" s="6"/>
      <c r="M68" s="6" t="s">
        <v>6132</v>
      </c>
      <c r="N68" s="53"/>
      <c r="O68" s="489" t="s">
        <v>7543</v>
      </c>
      <c r="P68" s="9" t="s">
        <v>6064</v>
      </c>
      <c r="Q68" s="6"/>
      <c r="R68" s="52"/>
      <c r="S68" s="9"/>
    </row>
    <row r="69" spans="1:19" ht="51">
      <c r="A69" s="6" t="s">
        <v>4294</v>
      </c>
      <c r="B69" s="9" t="s">
        <v>6872</v>
      </c>
      <c r="C69" s="22"/>
      <c r="D69" s="179"/>
      <c r="E69" s="22" t="s">
        <v>4295</v>
      </c>
      <c r="F69" s="6" t="s">
        <v>4161</v>
      </c>
      <c r="G69" s="64">
        <v>90000</v>
      </c>
      <c r="H69" s="6" t="s">
        <v>4296</v>
      </c>
      <c r="I69" s="6" t="s">
        <v>7389</v>
      </c>
      <c r="J69" s="6"/>
      <c r="K69" s="180" t="s">
        <v>7544</v>
      </c>
      <c r="L69" s="6"/>
      <c r="M69" s="6" t="s">
        <v>22</v>
      </c>
      <c r="N69" s="53"/>
      <c r="O69" s="489" t="s">
        <v>7545</v>
      </c>
      <c r="P69" s="9" t="s">
        <v>6071</v>
      </c>
      <c r="Q69" s="6"/>
      <c r="R69" s="52"/>
      <c r="S69" s="9"/>
    </row>
    <row r="70" spans="1:19" ht="63.75">
      <c r="A70" s="6" t="s">
        <v>4297</v>
      </c>
      <c r="B70" s="9" t="s">
        <v>6872</v>
      </c>
      <c r="C70" s="22"/>
      <c r="D70" s="179"/>
      <c r="E70" s="22" t="s">
        <v>4298</v>
      </c>
      <c r="F70" s="6" t="s">
        <v>4281</v>
      </c>
      <c r="G70" s="64">
        <v>30000</v>
      </c>
      <c r="H70" s="6" t="s">
        <v>7546</v>
      </c>
      <c r="I70" s="6" t="s">
        <v>7389</v>
      </c>
      <c r="J70" s="6"/>
      <c r="K70" s="528" t="s">
        <v>7547</v>
      </c>
      <c r="L70" s="6"/>
      <c r="M70" s="6" t="s">
        <v>22</v>
      </c>
      <c r="N70" s="53"/>
      <c r="O70" s="489" t="s">
        <v>7548</v>
      </c>
      <c r="P70" s="9" t="s">
        <v>6064</v>
      </c>
      <c r="Q70" s="6"/>
      <c r="R70" s="52"/>
      <c r="S70" s="9"/>
    </row>
    <row r="71" spans="1:19" ht="25.5">
      <c r="A71" s="6" t="s">
        <v>4300</v>
      </c>
      <c r="B71" s="9" t="s">
        <v>6872</v>
      </c>
      <c r="C71" s="22"/>
      <c r="D71" s="179"/>
      <c r="E71" s="22" t="s">
        <v>4301</v>
      </c>
      <c r="F71" s="6" t="s">
        <v>4302</v>
      </c>
      <c r="G71" s="8">
        <v>16250</v>
      </c>
      <c r="H71" s="6" t="s">
        <v>4303</v>
      </c>
      <c r="I71" s="6"/>
      <c r="J71" s="6"/>
      <c r="K71" s="180" t="s">
        <v>7549</v>
      </c>
      <c r="L71" s="6"/>
      <c r="M71" s="6" t="s">
        <v>6132</v>
      </c>
      <c r="N71" s="53"/>
      <c r="O71" s="489" t="s">
        <v>7550</v>
      </c>
      <c r="P71" s="9" t="s">
        <v>6064</v>
      </c>
      <c r="Q71" s="6"/>
      <c r="R71" s="52"/>
      <c r="S71" s="9"/>
    </row>
    <row r="72" spans="1:19" ht="38.25">
      <c r="A72" s="6" t="s">
        <v>4304</v>
      </c>
      <c r="B72" s="9" t="s">
        <v>6872</v>
      </c>
      <c r="C72" s="22"/>
      <c r="D72" s="179"/>
      <c r="E72" s="22" t="s">
        <v>4305</v>
      </c>
      <c r="F72" s="6" t="s">
        <v>4302</v>
      </c>
      <c r="G72" s="64">
        <v>50000</v>
      </c>
      <c r="H72" s="6"/>
      <c r="I72" s="6"/>
      <c r="J72" s="6"/>
      <c r="K72" s="180" t="s">
        <v>7551</v>
      </c>
      <c r="L72" s="6"/>
      <c r="M72" s="6" t="s">
        <v>6132</v>
      </c>
      <c r="N72" s="53"/>
      <c r="O72" s="489" t="s">
        <v>7552</v>
      </c>
      <c r="P72" s="9" t="s">
        <v>6064</v>
      </c>
      <c r="Q72" s="6"/>
      <c r="R72" s="52"/>
      <c r="S72" s="9"/>
    </row>
    <row r="73" spans="1:19" ht="89.25">
      <c r="A73" s="6" t="s">
        <v>4306</v>
      </c>
      <c r="B73" s="9" t="s">
        <v>6872</v>
      </c>
      <c r="C73" s="22"/>
      <c r="D73" s="179"/>
      <c r="E73" s="22" t="s">
        <v>4307</v>
      </c>
      <c r="F73" s="6" t="s">
        <v>4308</v>
      </c>
      <c r="G73" s="64">
        <v>50000</v>
      </c>
      <c r="H73" s="6" t="s">
        <v>4309</v>
      </c>
      <c r="I73" s="6" t="s">
        <v>7457</v>
      </c>
      <c r="J73" s="6"/>
      <c r="K73" s="180" t="s">
        <v>7553</v>
      </c>
      <c r="L73" s="6"/>
      <c r="M73" s="6" t="s">
        <v>6132</v>
      </c>
      <c r="N73" s="53"/>
      <c r="O73" s="489" t="s">
        <v>7554</v>
      </c>
      <c r="P73" s="9" t="s">
        <v>6064</v>
      </c>
      <c r="Q73" s="6"/>
      <c r="R73" s="52"/>
      <c r="S73" s="9"/>
    </row>
    <row r="74" spans="1:19" ht="25.5">
      <c r="A74" s="6" t="s">
        <v>4310</v>
      </c>
      <c r="B74" s="9" t="s">
        <v>6872</v>
      </c>
      <c r="C74" s="22"/>
      <c r="D74" s="179"/>
      <c r="E74" s="22" t="s">
        <v>4311</v>
      </c>
      <c r="F74" s="6" t="s">
        <v>4312</v>
      </c>
      <c r="G74" s="64">
        <v>50000</v>
      </c>
      <c r="H74" s="6" t="s">
        <v>4313</v>
      </c>
      <c r="I74" s="6" t="s">
        <v>7389</v>
      </c>
      <c r="J74" s="6"/>
      <c r="K74" s="180" t="s">
        <v>7555</v>
      </c>
      <c r="L74" s="6"/>
      <c r="M74" s="6" t="s">
        <v>6179</v>
      </c>
      <c r="N74" s="53"/>
      <c r="O74" s="489" t="s">
        <v>7556</v>
      </c>
      <c r="P74" s="9" t="s">
        <v>6064</v>
      </c>
      <c r="Q74" s="6"/>
      <c r="R74" s="52"/>
      <c r="S74" s="9"/>
    </row>
    <row r="75" spans="1:19" ht="63.75">
      <c r="A75" s="6" t="s">
        <v>4314</v>
      </c>
      <c r="B75" s="9" t="s">
        <v>6872</v>
      </c>
      <c r="C75" s="22"/>
      <c r="D75" s="179"/>
      <c r="E75" s="22" t="s">
        <v>4315</v>
      </c>
      <c r="F75" s="6" t="s">
        <v>4316</v>
      </c>
      <c r="G75" s="64">
        <v>40000</v>
      </c>
      <c r="H75" s="6"/>
      <c r="I75" s="6"/>
      <c r="J75" s="6"/>
      <c r="K75" s="180" t="s">
        <v>7557</v>
      </c>
      <c r="L75" s="6"/>
      <c r="M75" s="6" t="s">
        <v>6132</v>
      </c>
      <c r="N75" s="53"/>
      <c r="O75" s="489" t="s">
        <v>7558</v>
      </c>
      <c r="P75" s="9" t="s">
        <v>6064</v>
      </c>
      <c r="Q75" s="6"/>
      <c r="R75" s="52"/>
      <c r="S75" s="9"/>
    </row>
    <row r="76" spans="1:19" ht="76.5">
      <c r="A76" s="6" t="s">
        <v>4317</v>
      </c>
      <c r="B76" s="9" t="s">
        <v>6872</v>
      </c>
      <c r="C76" s="22"/>
      <c r="D76" s="179"/>
      <c r="E76" s="22" t="s">
        <v>4318</v>
      </c>
      <c r="F76" s="6" t="s">
        <v>4319</v>
      </c>
      <c r="G76" s="64">
        <v>99000</v>
      </c>
      <c r="H76" s="6"/>
      <c r="I76" s="6"/>
      <c r="J76" s="6"/>
      <c r="K76" s="180" t="s">
        <v>7559</v>
      </c>
      <c r="L76" s="6"/>
      <c r="M76" s="6" t="s">
        <v>22</v>
      </c>
      <c r="N76" s="53"/>
      <c r="O76" s="489" t="s">
        <v>7560</v>
      </c>
      <c r="P76" s="9" t="s">
        <v>6064</v>
      </c>
      <c r="Q76" s="6"/>
      <c r="R76" s="52"/>
      <c r="S76" s="9"/>
    </row>
    <row r="77" spans="1:19" ht="76.5">
      <c r="A77" s="6" t="s">
        <v>4320</v>
      </c>
      <c r="B77" s="9" t="s">
        <v>6872</v>
      </c>
      <c r="C77" s="22"/>
      <c r="D77" s="179"/>
      <c r="E77" s="22" t="s">
        <v>4321</v>
      </c>
      <c r="F77" s="6" t="s">
        <v>4322</v>
      </c>
      <c r="G77" s="8">
        <v>20660</v>
      </c>
      <c r="H77" s="6"/>
      <c r="I77" s="6"/>
      <c r="J77" s="6"/>
      <c r="K77" s="180" t="s">
        <v>7561</v>
      </c>
      <c r="L77" s="6"/>
      <c r="M77" s="6" t="s">
        <v>22</v>
      </c>
      <c r="N77" s="53"/>
      <c r="O77" s="489" t="s">
        <v>7562</v>
      </c>
      <c r="P77" s="9" t="s">
        <v>6189</v>
      </c>
      <c r="Q77" s="6"/>
      <c r="R77" s="52"/>
      <c r="S77" s="9"/>
    </row>
    <row r="78" spans="1:19" ht="51">
      <c r="A78" s="6" t="s">
        <v>4323</v>
      </c>
      <c r="B78" s="9" t="s">
        <v>6872</v>
      </c>
      <c r="C78" s="22"/>
      <c r="D78" s="179"/>
      <c r="E78" s="22" t="s">
        <v>4324</v>
      </c>
      <c r="F78" s="6" t="s">
        <v>4325</v>
      </c>
      <c r="G78" s="64">
        <v>77500</v>
      </c>
      <c r="H78" s="6"/>
      <c r="I78" s="6"/>
      <c r="J78" s="6"/>
      <c r="K78" s="180" t="s">
        <v>7563</v>
      </c>
      <c r="L78" s="6"/>
      <c r="M78" s="6" t="s">
        <v>22</v>
      </c>
      <c r="N78" s="53"/>
      <c r="O78" s="489" t="s">
        <v>7564</v>
      </c>
      <c r="P78" s="9" t="s">
        <v>6064</v>
      </c>
      <c r="Q78" s="6"/>
      <c r="R78" s="52"/>
      <c r="S78" s="9"/>
    </row>
    <row r="79" spans="1:19" ht="127.5">
      <c r="A79" s="6" t="s">
        <v>4326</v>
      </c>
      <c r="B79" s="9" t="s">
        <v>6872</v>
      </c>
      <c r="C79" s="22"/>
      <c r="D79" s="179"/>
      <c r="E79" s="22" t="s">
        <v>4327</v>
      </c>
      <c r="F79" s="6" t="s">
        <v>4328</v>
      </c>
      <c r="G79" s="8">
        <v>15875</v>
      </c>
      <c r="H79" s="6" t="s">
        <v>4329</v>
      </c>
      <c r="I79" s="6" t="s">
        <v>7457</v>
      </c>
      <c r="J79" s="6"/>
      <c r="K79" s="180" t="s">
        <v>7565</v>
      </c>
      <c r="L79" s="6"/>
      <c r="M79" s="6" t="s">
        <v>6132</v>
      </c>
      <c r="N79" s="53"/>
      <c r="O79" s="489" t="s">
        <v>7566</v>
      </c>
      <c r="P79" s="9" t="s">
        <v>6064</v>
      </c>
      <c r="Q79" s="6"/>
      <c r="R79" s="52"/>
      <c r="S79" s="9"/>
    </row>
    <row r="80" spans="1:19" ht="76.5">
      <c r="A80" s="6" t="s">
        <v>4330</v>
      </c>
      <c r="B80" s="9" t="s">
        <v>6872</v>
      </c>
      <c r="C80" s="22"/>
      <c r="D80" s="179"/>
      <c r="E80" s="22" t="s">
        <v>4331</v>
      </c>
      <c r="F80" s="6" t="s">
        <v>4332</v>
      </c>
      <c r="G80" s="8">
        <v>84805</v>
      </c>
      <c r="H80" s="6" t="s">
        <v>4333</v>
      </c>
      <c r="I80" s="6" t="s">
        <v>7397</v>
      </c>
      <c r="J80" s="6"/>
      <c r="K80" s="180" t="s">
        <v>7567</v>
      </c>
      <c r="L80" s="6"/>
      <c r="M80" s="6" t="s">
        <v>22</v>
      </c>
      <c r="N80" s="53"/>
      <c r="O80" s="489" t="s">
        <v>7568</v>
      </c>
      <c r="P80" s="9" t="s">
        <v>6064</v>
      </c>
      <c r="Q80" s="6"/>
      <c r="R80" s="52"/>
      <c r="S80" s="9"/>
    </row>
    <row r="81" spans="1:19" ht="51">
      <c r="A81" s="6" t="s">
        <v>4334</v>
      </c>
      <c r="B81" s="9" t="s">
        <v>6872</v>
      </c>
      <c r="C81" s="22"/>
      <c r="D81" s="179"/>
      <c r="E81" s="22" t="s">
        <v>4335</v>
      </c>
      <c r="F81" s="6" t="s">
        <v>3859</v>
      </c>
      <c r="G81" s="64">
        <v>65000</v>
      </c>
      <c r="H81" s="6" t="s">
        <v>4336</v>
      </c>
      <c r="I81" s="6" t="s">
        <v>7569</v>
      </c>
      <c r="J81" s="6"/>
      <c r="K81" s="180" t="s">
        <v>7570</v>
      </c>
      <c r="L81" s="6"/>
      <c r="M81" s="6" t="s">
        <v>22</v>
      </c>
      <c r="N81" s="53"/>
      <c r="O81" s="489" t="s">
        <v>7571</v>
      </c>
      <c r="P81" s="9" t="s">
        <v>6064</v>
      </c>
      <c r="Q81" s="6"/>
      <c r="R81" s="52"/>
      <c r="S81" s="9"/>
    </row>
    <row r="82" spans="1:19" ht="51">
      <c r="A82" s="6" t="s">
        <v>4337</v>
      </c>
      <c r="B82" s="9" t="s">
        <v>6872</v>
      </c>
      <c r="C82" s="22"/>
      <c r="D82" s="179"/>
      <c r="E82" s="22" t="s">
        <v>4338</v>
      </c>
      <c r="F82" s="6" t="s">
        <v>4339</v>
      </c>
      <c r="G82" s="64">
        <v>16100</v>
      </c>
      <c r="H82" s="6"/>
      <c r="I82" s="6"/>
      <c r="J82" s="6"/>
      <c r="K82" s="180" t="s">
        <v>7572</v>
      </c>
      <c r="L82" s="6"/>
      <c r="M82" s="6" t="s">
        <v>6179</v>
      </c>
      <c r="N82" s="53"/>
      <c r="O82" s="489" t="s">
        <v>7571</v>
      </c>
      <c r="P82" s="9" t="s">
        <v>6064</v>
      </c>
      <c r="Q82" s="6"/>
      <c r="R82" s="52"/>
      <c r="S82" s="9"/>
    </row>
    <row r="83" spans="1:19" ht="38.25">
      <c r="A83" s="6" t="s">
        <v>4340</v>
      </c>
      <c r="B83" s="9" t="s">
        <v>6872</v>
      </c>
      <c r="C83" s="22"/>
      <c r="D83" s="179"/>
      <c r="E83" s="22" t="s">
        <v>4341</v>
      </c>
      <c r="F83" s="6" t="s">
        <v>4342</v>
      </c>
      <c r="G83" s="64">
        <v>55000</v>
      </c>
      <c r="H83" s="6" t="s">
        <v>4343</v>
      </c>
      <c r="I83" s="6" t="s">
        <v>7573</v>
      </c>
      <c r="J83" s="6"/>
      <c r="K83" s="180" t="s">
        <v>7574</v>
      </c>
      <c r="L83" s="6"/>
      <c r="M83" s="6" t="s">
        <v>22</v>
      </c>
      <c r="N83" s="53"/>
      <c r="O83" s="489" t="s">
        <v>7575</v>
      </c>
      <c r="P83" s="9" t="s">
        <v>6071</v>
      </c>
      <c r="Q83" s="6"/>
      <c r="R83" s="52"/>
      <c r="S83" s="9"/>
    </row>
    <row r="84" spans="1:19" ht="89.25">
      <c r="A84" s="6" t="s">
        <v>4344</v>
      </c>
      <c r="B84" s="9" t="s">
        <v>6872</v>
      </c>
      <c r="C84" s="22"/>
      <c r="D84" s="179"/>
      <c r="E84" s="22" t="s">
        <v>4345</v>
      </c>
      <c r="F84" s="6" t="s">
        <v>4346</v>
      </c>
      <c r="G84" s="64">
        <v>100000</v>
      </c>
      <c r="H84" s="6" t="s">
        <v>4347</v>
      </c>
      <c r="I84" s="6" t="s">
        <v>7389</v>
      </c>
      <c r="J84" s="6"/>
      <c r="K84" s="180" t="s">
        <v>7576</v>
      </c>
      <c r="L84" s="6"/>
      <c r="M84" s="6" t="s">
        <v>22</v>
      </c>
      <c r="N84" s="53"/>
      <c r="O84" s="489" t="s">
        <v>7577</v>
      </c>
      <c r="P84" s="9" t="s">
        <v>6064</v>
      </c>
      <c r="Q84" s="6"/>
      <c r="R84" s="52"/>
      <c r="S84" s="9"/>
    </row>
    <row r="85" spans="1:19" ht="89.25">
      <c r="A85" s="6" t="s">
        <v>4348</v>
      </c>
      <c r="B85" s="9" t="s">
        <v>6872</v>
      </c>
      <c r="C85" s="22"/>
      <c r="D85" s="179"/>
      <c r="E85" s="22" t="s">
        <v>4349</v>
      </c>
      <c r="F85" s="6" t="s">
        <v>4350</v>
      </c>
      <c r="G85" s="64">
        <v>48800</v>
      </c>
      <c r="H85" s="6"/>
      <c r="I85" s="6"/>
      <c r="J85" s="6"/>
      <c r="K85" s="180" t="s">
        <v>7578</v>
      </c>
      <c r="L85" s="6"/>
      <c r="M85" s="6" t="s">
        <v>6179</v>
      </c>
      <c r="N85" s="53"/>
      <c r="O85" s="489" t="s">
        <v>7579</v>
      </c>
      <c r="P85" s="9" t="s">
        <v>6064</v>
      </c>
      <c r="Q85" s="6"/>
      <c r="R85" s="52"/>
      <c r="S85" s="9"/>
    </row>
    <row r="86" spans="1:19" ht="51">
      <c r="A86" s="6" t="s">
        <v>4351</v>
      </c>
      <c r="B86" s="9" t="s">
        <v>6872</v>
      </c>
      <c r="C86" s="22"/>
      <c r="D86" s="179"/>
      <c r="E86" s="22" t="s">
        <v>4352</v>
      </c>
      <c r="F86" s="6" t="s">
        <v>4353</v>
      </c>
      <c r="G86" s="64">
        <v>48000</v>
      </c>
      <c r="H86" s="6" t="s">
        <v>4354</v>
      </c>
      <c r="I86" s="6" t="s">
        <v>7389</v>
      </c>
      <c r="J86" s="6"/>
      <c r="K86" s="180" t="s">
        <v>7580</v>
      </c>
      <c r="L86" s="6"/>
      <c r="M86" s="6" t="s">
        <v>6132</v>
      </c>
      <c r="N86" s="53"/>
      <c r="O86" s="489" t="s">
        <v>7581</v>
      </c>
      <c r="P86" s="9" t="s">
        <v>6064</v>
      </c>
      <c r="Q86" s="6"/>
      <c r="R86" s="52"/>
      <c r="S86" s="9"/>
    </row>
    <row r="87" spans="1:19" ht="51">
      <c r="A87" s="6" t="s">
        <v>4355</v>
      </c>
      <c r="B87" s="9" t="s">
        <v>6872</v>
      </c>
      <c r="C87" s="22"/>
      <c r="D87" s="179"/>
      <c r="E87" s="22" t="s">
        <v>4356</v>
      </c>
      <c r="F87" s="6" t="s">
        <v>2331</v>
      </c>
      <c r="G87" s="64">
        <v>73000</v>
      </c>
      <c r="H87" s="6"/>
      <c r="I87" s="6"/>
      <c r="J87" s="6"/>
      <c r="K87" s="180" t="s">
        <v>7582</v>
      </c>
      <c r="L87" s="6"/>
      <c r="M87" s="6" t="s">
        <v>22</v>
      </c>
      <c r="N87" s="53"/>
      <c r="O87" s="489" t="s">
        <v>7583</v>
      </c>
      <c r="P87" s="9" t="s">
        <v>6064</v>
      </c>
      <c r="Q87" s="6"/>
      <c r="R87" s="52"/>
      <c r="S87" s="9"/>
    </row>
    <row r="88" spans="1:19" ht="38.25">
      <c r="A88" s="6" t="s">
        <v>4357</v>
      </c>
      <c r="B88" s="9" t="s">
        <v>6872</v>
      </c>
      <c r="C88" s="22"/>
      <c r="D88" s="179"/>
      <c r="E88" s="22" t="s">
        <v>4358</v>
      </c>
      <c r="F88" s="6" t="s">
        <v>4359</v>
      </c>
      <c r="G88" s="64">
        <v>55000</v>
      </c>
      <c r="H88" s="6" t="s">
        <v>4360</v>
      </c>
      <c r="I88" s="6" t="s">
        <v>7573</v>
      </c>
      <c r="J88" s="6"/>
      <c r="K88" s="528" t="s">
        <v>7584</v>
      </c>
      <c r="L88" s="6"/>
      <c r="M88" s="6" t="s">
        <v>22</v>
      </c>
      <c r="N88" s="53"/>
      <c r="O88" s="489" t="s">
        <v>7585</v>
      </c>
      <c r="P88" s="9" t="s">
        <v>6071</v>
      </c>
      <c r="Q88" s="6"/>
      <c r="R88" s="52"/>
      <c r="S88" s="9"/>
    </row>
    <row r="89" spans="1:19" ht="38.25">
      <c r="A89" s="6" t="s">
        <v>4361</v>
      </c>
      <c r="B89" s="9" t="s">
        <v>6872</v>
      </c>
      <c r="C89" s="22"/>
      <c r="D89" s="179"/>
      <c r="E89" s="22" t="s">
        <v>4362</v>
      </c>
      <c r="F89" s="6" t="s">
        <v>4363</v>
      </c>
      <c r="G89" s="64">
        <v>50000</v>
      </c>
      <c r="H89" s="6"/>
      <c r="I89" s="6"/>
      <c r="J89" s="6"/>
      <c r="K89" s="180" t="s">
        <v>7586</v>
      </c>
      <c r="L89" s="6"/>
      <c r="M89" s="6" t="s">
        <v>22</v>
      </c>
      <c r="N89" s="53"/>
      <c r="O89" s="489" t="s">
        <v>7587</v>
      </c>
      <c r="P89" s="9" t="s">
        <v>6071</v>
      </c>
      <c r="Q89" s="6"/>
      <c r="R89" s="52"/>
      <c r="S89" s="9"/>
    </row>
    <row r="90" spans="1:19" ht="51">
      <c r="A90" s="6" t="s">
        <v>4364</v>
      </c>
      <c r="B90" s="9" t="s">
        <v>6872</v>
      </c>
      <c r="C90" s="22"/>
      <c r="D90" s="179"/>
      <c r="E90" s="22" t="s">
        <v>4365</v>
      </c>
      <c r="F90" s="6" t="s">
        <v>4366</v>
      </c>
      <c r="G90" s="64">
        <v>39000</v>
      </c>
      <c r="H90" s="6"/>
      <c r="I90" s="6"/>
      <c r="J90" s="6"/>
      <c r="K90" s="180" t="s">
        <v>7588</v>
      </c>
      <c r="L90" s="6"/>
      <c r="M90" s="6" t="s">
        <v>6132</v>
      </c>
      <c r="N90" s="53"/>
      <c r="O90" s="489" t="s">
        <v>7589</v>
      </c>
      <c r="P90" s="9" t="s">
        <v>6064</v>
      </c>
      <c r="Q90" s="6"/>
      <c r="R90" s="52"/>
      <c r="S90" s="9"/>
    </row>
    <row r="91" spans="1:19" ht="76.5">
      <c r="A91" s="6" t="s">
        <v>4367</v>
      </c>
      <c r="B91" s="9" t="s">
        <v>6872</v>
      </c>
      <c r="C91" s="22"/>
      <c r="D91" s="179"/>
      <c r="E91" s="22" t="s">
        <v>4368</v>
      </c>
      <c r="F91" s="6" t="s">
        <v>4369</v>
      </c>
      <c r="G91" s="8">
        <v>99860</v>
      </c>
      <c r="H91" s="6" t="s">
        <v>4370</v>
      </c>
      <c r="I91" s="6" t="s">
        <v>7389</v>
      </c>
      <c r="J91" s="6"/>
      <c r="K91" s="180" t="s">
        <v>7590</v>
      </c>
      <c r="L91" s="6"/>
      <c r="M91" s="6" t="s">
        <v>6132</v>
      </c>
      <c r="N91" s="53"/>
      <c r="O91" s="489" t="s">
        <v>7591</v>
      </c>
      <c r="P91" s="9" t="s">
        <v>6064</v>
      </c>
      <c r="Q91" s="6"/>
      <c r="R91" s="52"/>
      <c r="S91" s="9"/>
    </row>
    <row r="92" spans="1:19" ht="51">
      <c r="A92" s="6" t="s">
        <v>4371</v>
      </c>
      <c r="B92" s="9" t="s">
        <v>6872</v>
      </c>
      <c r="C92" s="22"/>
      <c r="D92" s="179"/>
      <c r="E92" s="22" t="s">
        <v>4372</v>
      </c>
      <c r="F92" s="6" t="s">
        <v>4366</v>
      </c>
      <c r="G92" s="64">
        <v>65000</v>
      </c>
      <c r="H92" s="6"/>
      <c r="I92" s="6"/>
      <c r="J92" s="6"/>
      <c r="K92" s="180" t="s">
        <v>7588</v>
      </c>
      <c r="L92" s="6"/>
      <c r="M92" s="6" t="s">
        <v>6132</v>
      </c>
      <c r="N92" s="53"/>
      <c r="O92" s="489" t="s">
        <v>7592</v>
      </c>
      <c r="P92" s="9" t="s">
        <v>6064</v>
      </c>
      <c r="Q92" s="6"/>
      <c r="R92" s="52"/>
      <c r="S92" s="9"/>
    </row>
    <row r="93" spans="1:19" ht="51">
      <c r="A93" s="6" t="s">
        <v>4373</v>
      </c>
      <c r="B93" s="9" t="s">
        <v>6872</v>
      </c>
      <c r="C93" s="22"/>
      <c r="D93" s="179"/>
      <c r="E93" s="22" t="s">
        <v>4374</v>
      </c>
      <c r="F93" s="6" t="s">
        <v>4366</v>
      </c>
      <c r="G93" s="64">
        <v>39000</v>
      </c>
      <c r="H93" s="6"/>
      <c r="I93" s="6"/>
      <c r="J93" s="6"/>
      <c r="K93" s="180" t="s">
        <v>7588</v>
      </c>
      <c r="L93" s="6"/>
      <c r="M93" s="6" t="s">
        <v>6132</v>
      </c>
      <c r="N93" s="53"/>
      <c r="O93" s="489" t="s">
        <v>7593</v>
      </c>
      <c r="P93" s="9" t="s">
        <v>6064</v>
      </c>
      <c r="Q93" s="6"/>
      <c r="R93" s="52"/>
      <c r="S93" s="9"/>
    </row>
    <row r="94" spans="1:19" ht="76.5">
      <c r="A94" s="6" t="s">
        <v>4375</v>
      </c>
      <c r="B94" s="9" t="s">
        <v>6872</v>
      </c>
      <c r="C94" s="22"/>
      <c r="D94" s="179"/>
      <c r="E94" s="22" t="s">
        <v>4376</v>
      </c>
      <c r="F94" s="6" t="s">
        <v>4377</v>
      </c>
      <c r="G94" s="8">
        <v>76569.679999999993</v>
      </c>
      <c r="H94" s="6" t="s">
        <v>4378</v>
      </c>
      <c r="I94" s="6" t="s">
        <v>7539</v>
      </c>
      <c r="J94" s="6"/>
      <c r="K94" s="180" t="s">
        <v>7594</v>
      </c>
      <c r="L94" s="6"/>
      <c r="M94" s="6" t="s">
        <v>6132</v>
      </c>
      <c r="N94" s="53"/>
      <c r="O94" s="489" t="s">
        <v>7595</v>
      </c>
      <c r="P94" s="9" t="s">
        <v>6064</v>
      </c>
      <c r="Q94" s="6"/>
      <c r="R94" s="52"/>
      <c r="S94" s="9"/>
    </row>
    <row r="95" spans="1:19" ht="89.25">
      <c r="A95" s="6" t="s">
        <v>4379</v>
      </c>
      <c r="B95" s="9" t="s">
        <v>6872</v>
      </c>
      <c r="C95" s="22"/>
      <c r="D95" s="179"/>
      <c r="E95" s="22" t="s">
        <v>4380</v>
      </c>
      <c r="F95" s="6" t="s">
        <v>4381</v>
      </c>
      <c r="G95" s="64">
        <v>99000</v>
      </c>
      <c r="H95" s="6" t="s">
        <v>4382</v>
      </c>
      <c r="I95" s="6" t="s">
        <v>7389</v>
      </c>
      <c r="J95" s="6"/>
      <c r="K95" s="180" t="s">
        <v>7596</v>
      </c>
      <c r="L95" s="6"/>
      <c r="M95" s="6" t="s">
        <v>6132</v>
      </c>
      <c r="N95" s="53"/>
      <c r="O95" s="489" t="s">
        <v>7595</v>
      </c>
      <c r="P95" s="9" t="s">
        <v>6064</v>
      </c>
      <c r="Q95" s="6"/>
      <c r="R95" s="52"/>
      <c r="S95" s="9"/>
    </row>
    <row r="96" spans="1:19" ht="51">
      <c r="A96" s="6" t="s">
        <v>4383</v>
      </c>
      <c r="B96" s="9" t="s">
        <v>6872</v>
      </c>
      <c r="C96" s="22"/>
      <c r="D96" s="179"/>
      <c r="E96" s="22" t="s">
        <v>4384</v>
      </c>
      <c r="F96" s="6" t="s">
        <v>4381</v>
      </c>
      <c r="G96" s="64">
        <v>35000</v>
      </c>
      <c r="H96" s="6" t="s">
        <v>4382</v>
      </c>
      <c r="I96" s="6" t="s">
        <v>7389</v>
      </c>
      <c r="J96" s="6"/>
      <c r="K96" s="180" t="s">
        <v>7597</v>
      </c>
      <c r="L96" s="6"/>
      <c r="M96" s="6" t="s">
        <v>6132</v>
      </c>
      <c r="N96" s="53"/>
      <c r="O96" s="489" t="s">
        <v>7598</v>
      </c>
      <c r="P96" s="9" t="s">
        <v>6064</v>
      </c>
      <c r="Q96" s="6"/>
      <c r="R96" s="52"/>
      <c r="S96" s="9"/>
    </row>
    <row r="97" spans="1:19" ht="89.25">
      <c r="A97" s="6" t="s">
        <v>4385</v>
      </c>
      <c r="B97" s="9" t="s">
        <v>6872</v>
      </c>
      <c r="C97" s="22"/>
      <c r="D97" s="179"/>
      <c r="E97" s="22" t="s">
        <v>4387</v>
      </c>
      <c r="F97" s="6" t="s">
        <v>4388</v>
      </c>
      <c r="G97" s="64">
        <v>75000</v>
      </c>
      <c r="H97" s="6" t="s">
        <v>3322</v>
      </c>
      <c r="I97" s="6" t="s">
        <v>7389</v>
      </c>
      <c r="J97" s="6"/>
      <c r="K97" s="180" t="s">
        <v>7599</v>
      </c>
      <c r="L97" s="6"/>
      <c r="M97" s="6" t="s">
        <v>22</v>
      </c>
      <c r="N97" s="53"/>
      <c r="O97" s="489" t="s">
        <v>7600</v>
      </c>
      <c r="P97" s="9" t="s">
        <v>6064</v>
      </c>
      <c r="Q97" s="6"/>
      <c r="R97" s="52"/>
      <c r="S97" s="9"/>
    </row>
    <row r="98" spans="1:19" ht="114.75">
      <c r="A98" s="6" t="s">
        <v>4389</v>
      </c>
      <c r="B98" s="9" t="s">
        <v>6872</v>
      </c>
      <c r="C98" s="22"/>
      <c r="D98" s="179"/>
      <c r="E98" s="22" t="s">
        <v>4390</v>
      </c>
      <c r="F98" s="6" t="s">
        <v>4391</v>
      </c>
      <c r="G98" s="64">
        <v>58000</v>
      </c>
      <c r="H98" s="6" t="s">
        <v>4392</v>
      </c>
      <c r="I98" s="9" t="s">
        <v>6874</v>
      </c>
      <c r="J98" s="6"/>
      <c r="K98" s="180" t="s">
        <v>7601</v>
      </c>
      <c r="L98" s="6"/>
      <c r="M98" s="6" t="s">
        <v>22</v>
      </c>
      <c r="N98" s="53"/>
      <c r="O98" s="489" t="s">
        <v>7602</v>
      </c>
      <c r="P98" s="9" t="s">
        <v>6071</v>
      </c>
      <c r="Q98" s="6"/>
      <c r="R98" s="52"/>
      <c r="S98" s="9"/>
    </row>
    <row r="99" spans="1:19" ht="51">
      <c r="A99" s="6" t="s">
        <v>4393</v>
      </c>
      <c r="B99" s="9" t="s">
        <v>6872</v>
      </c>
      <c r="C99" s="22"/>
      <c r="D99" s="179"/>
      <c r="E99" s="22" t="s">
        <v>4394</v>
      </c>
      <c r="F99" s="6" t="s">
        <v>4395</v>
      </c>
      <c r="G99" s="64">
        <v>80000</v>
      </c>
      <c r="H99" s="6"/>
      <c r="I99" s="6"/>
      <c r="J99" s="6"/>
      <c r="K99" s="180" t="s">
        <v>7603</v>
      </c>
      <c r="L99" s="6"/>
      <c r="M99" s="6" t="s">
        <v>6132</v>
      </c>
      <c r="N99" s="53"/>
      <c r="O99" s="489" t="s">
        <v>7604</v>
      </c>
      <c r="P99" s="9" t="s">
        <v>6064</v>
      </c>
      <c r="Q99" s="6"/>
      <c r="R99" s="52"/>
      <c r="S99" s="9"/>
    </row>
    <row r="100" spans="1:19" ht="25.5">
      <c r="A100" s="529" t="s">
        <v>7605</v>
      </c>
      <c r="B100" s="529" t="s">
        <v>3827</v>
      </c>
      <c r="C100" s="529" t="s">
        <v>3827</v>
      </c>
      <c r="D100" s="529"/>
      <c r="E100" s="529" t="s">
        <v>3827</v>
      </c>
      <c r="F100" s="529" t="s">
        <v>3827</v>
      </c>
      <c r="G100" s="529" t="s">
        <v>3827</v>
      </c>
      <c r="H100" s="529" t="s">
        <v>3827</v>
      </c>
      <c r="I100" s="529"/>
      <c r="J100" s="529"/>
      <c r="K100" s="529" t="s">
        <v>3827</v>
      </c>
      <c r="L100" s="529"/>
      <c r="M100" s="529" t="s">
        <v>22</v>
      </c>
      <c r="N100" s="530"/>
      <c r="O100" s="530"/>
      <c r="P100" s="530" t="s">
        <v>3827</v>
      </c>
      <c r="Q100" s="529"/>
      <c r="R100" s="530"/>
      <c r="S100" s="530"/>
    </row>
    <row r="101" spans="1:19" ht="63.75">
      <c r="A101" s="6" t="s">
        <v>4396</v>
      </c>
      <c r="B101" s="9" t="s">
        <v>6872</v>
      </c>
      <c r="C101" s="22"/>
      <c r="D101" s="179"/>
      <c r="E101" s="22" t="s">
        <v>4397</v>
      </c>
      <c r="F101" s="6" t="s">
        <v>4398</v>
      </c>
      <c r="G101" s="64">
        <v>34008</v>
      </c>
      <c r="H101" s="6" t="s">
        <v>4399</v>
      </c>
      <c r="I101" s="6" t="s">
        <v>7434</v>
      </c>
      <c r="J101" s="6"/>
      <c r="K101" s="180" t="s">
        <v>7606</v>
      </c>
      <c r="L101" s="6"/>
      <c r="M101" s="6" t="s">
        <v>22</v>
      </c>
      <c r="N101" s="53"/>
      <c r="O101" s="489" t="s">
        <v>7607</v>
      </c>
      <c r="P101" s="9" t="s">
        <v>6064</v>
      </c>
      <c r="Q101" s="6"/>
      <c r="R101" s="52"/>
      <c r="S101" s="9"/>
    </row>
    <row r="102" spans="1:19" ht="51">
      <c r="A102" s="6" t="s">
        <v>4400</v>
      </c>
      <c r="B102" s="9" t="s">
        <v>6872</v>
      </c>
      <c r="C102" s="22"/>
      <c r="D102" s="179"/>
      <c r="E102" s="22" t="s">
        <v>4401</v>
      </c>
      <c r="F102" s="6" t="s">
        <v>4402</v>
      </c>
      <c r="G102" s="64">
        <v>17400</v>
      </c>
      <c r="H102" s="6" t="s">
        <v>4403</v>
      </c>
      <c r="I102" s="6" t="s">
        <v>7389</v>
      </c>
      <c r="J102" s="6"/>
      <c r="K102" s="180" t="s">
        <v>7608</v>
      </c>
      <c r="L102" s="6"/>
      <c r="M102" s="6" t="s">
        <v>6179</v>
      </c>
      <c r="N102" s="53"/>
      <c r="O102" s="489" t="s">
        <v>7609</v>
      </c>
      <c r="P102" s="9" t="s">
        <v>6064</v>
      </c>
      <c r="Q102" s="6"/>
      <c r="R102" s="52"/>
      <c r="S102" s="9"/>
    </row>
    <row r="103" spans="1:19" ht="51">
      <c r="A103" s="6" t="s">
        <v>4404</v>
      </c>
      <c r="B103" s="9" t="s">
        <v>6872</v>
      </c>
      <c r="C103" s="22"/>
      <c r="D103" s="179"/>
      <c r="E103" s="22" t="s">
        <v>4405</v>
      </c>
      <c r="F103" s="6" t="s">
        <v>4406</v>
      </c>
      <c r="G103" s="64">
        <v>50000</v>
      </c>
      <c r="H103" s="6" t="s">
        <v>4407</v>
      </c>
      <c r="I103" s="6" t="s">
        <v>7610</v>
      </c>
      <c r="J103" s="6"/>
      <c r="K103" s="180" t="s">
        <v>7611</v>
      </c>
      <c r="L103" s="6"/>
      <c r="M103" s="6" t="s">
        <v>22</v>
      </c>
      <c r="N103" s="53"/>
      <c r="O103" s="489" t="s">
        <v>7612</v>
      </c>
      <c r="P103" s="9" t="s">
        <v>6933</v>
      </c>
      <c r="Q103" s="6"/>
      <c r="R103" s="52"/>
      <c r="S103" s="9"/>
    </row>
    <row r="104" spans="1:19" ht="102">
      <c r="A104" s="6" t="s">
        <v>4408</v>
      </c>
      <c r="B104" s="9" t="s">
        <v>6872</v>
      </c>
      <c r="C104" s="22"/>
      <c r="D104" s="179"/>
      <c r="E104" s="22" t="s">
        <v>4409</v>
      </c>
      <c r="F104" s="6" t="s">
        <v>4410</v>
      </c>
      <c r="G104" s="64">
        <v>100000</v>
      </c>
      <c r="H104" s="6"/>
      <c r="I104" s="6"/>
      <c r="J104" s="6"/>
      <c r="K104" s="180" t="s">
        <v>7613</v>
      </c>
      <c r="L104" s="6"/>
      <c r="M104" s="6" t="s">
        <v>22</v>
      </c>
      <c r="N104" s="53"/>
      <c r="O104" s="489" t="s">
        <v>7614</v>
      </c>
      <c r="P104" s="9" t="s">
        <v>6933</v>
      </c>
      <c r="Q104" s="6"/>
      <c r="R104" s="52"/>
      <c r="S104" s="9"/>
    </row>
    <row r="105" spans="1:19" ht="63.75">
      <c r="A105" s="6" t="s">
        <v>4411</v>
      </c>
      <c r="B105" s="9" t="s">
        <v>6872</v>
      </c>
      <c r="C105" s="22"/>
      <c r="D105" s="179"/>
      <c r="E105" s="22" t="s">
        <v>4412</v>
      </c>
      <c r="F105" s="6" t="s">
        <v>4413</v>
      </c>
      <c r="G105" s="64">
        <v>21600</v>
      </c>
      <c r="H105" s="6" t="s">
        <v>4414</v>
      </c>
      <c r="I105" s="6" t="s">
        <v>7615</v>
      </c>
      <c r="J105" s="6"/>
      <c r="K105" s="180" t="s">
        <v>7616</v>
      </c>
      <c r="L105" s="6"/>
      <c r="M105" s="6" t="s">
        <v>6179</v>
      </c>
      <c r="N105" s="53"/>
      <c r="O105" s="489" t="s">
        <v>7617</v>
      </c>
      <c r="P105" s="9" t="s">
        <v>6064</v>
      </c>
      <c r="Q105" s="6"/>
      <c r="R105" s="52"/>
      <c r="S105" s="9"/>
    </row>
    <row r="106" spans="1:19" ht="76.5">
      <c r="A106" s="6" t="s">
        <v>4415</v>
      </c>
      <c r="B106" s="9" t="s">
        <v>6872</v>
      </c>
      <c r="C106" s="22"/>
      <c r="D106" s="179"/>
      <c r="E106" s="22" t="s">
        <v>4416</v>
      </c>
      <c r="F106" s="6" t="s">
        <v>4417</v>
      </c>
      <c r="G106" s="64">
        <v>48000</v>
      </c>
      <c r="H106" s="6" t="s">
        <v>4418</v>
      </c>
      <c r="I106" s="6" t="s">
        <v>7573</v>
      </c>
      <c r="J106" s="6"/>
      <c r="K106" s="180" t="s">
        <v>7618</v>
      </c>
      <c r="L106" s="6"/>
      <c r="M106" s="6" t="s">
        <v>6132</v>
      </c>
      <c r="N106" s="53"/>
      <c r="O106" s="489" t="s">
        <v>7619</v>
      </c>
      <c r="P106" s="9" t="s">
        <v>6064</v>
      </c>
      <c r="Q106" s="6"/>
      <c r="R106" s="52"/>
      <c r="S106" s="9"/>
    </row>
    <row r="107" spans="1:19" ht="76.5">
      <c r="A107" s="6" t="s">
        <v>4419</v>
      </c>
      <c r="B107" s="9" t="s">
        <v>6872</v>
      </c>
      <c r="C107" s="22"/>
      <c r="D107" s="179"/>
      <c r="E107" s="22" t="s">
        <v>4416</v>
      </c>
      <c r="F107" s="6" t="s">
        <v>4420</v>
      </c>
      <c r="G107" s="64">
        <v>48000</v>
      </c>
      <c r="H107" s="6" t="s">
        <v>4421</v>
      </c>
      <c r="I107" s="6" t="s">
        <v>7573</v>
      </c>
      <c r="J107" s="6"/>
      <c r="K107" s="180" t="s">
        <v>7620</v>
      </c>
      <c r="L107" s="6"/>
      <c r="M107" s="6" t="s">
        <v>6179</v>
      </c>
      <c r="N107" s="53"/>
      <c r="O107" s="489" t="s">
        <v>7621</v>
      </c>
      <c r="P107" s="9" t="s">
        <v>6064</v>
      </c>
      <c r="Q107" s="6"/>
      <c r="R107" s="52"/>
      <c r="S107" s="9"/>
    </row>
    <row r="108" spans="1:19" ht="38.25">
      <c r="A108" s="6" t="s">
        <v>4422</v>
      </c>
      <c r="B108" s="9" t="s">
        <v>6872</v>
      </c>
      <c r="C108" s="22"/>
      <c r="D108" s="179"/>
      <c r="E108" s="22" t="s">
        <v>4423</v>
      </c>
      <c r="F108" s="6" t="s">
        <v>4424</v>
      </c>
      <c r="G108" s="64">
        <v>26000</v>
      </c>
      <c r="H108" s="6" t="s">
        <v>4425</v>
      </c>
      <c r="I108" s="6" t="s">
        <v>7539</v>
      </c>
      <c r="J108" s="6"/>
      <c r="K108" s="180" t="s">
        <v>7622</v>
      </c>
      <c r="L108" s="6"/>
      <c r="M108" s="6" t="s">
        <v>6132</v>
      </c>
      <c r="N108" s="53"/>
      <c r="O108" s="489" t="s">
        <v>7623</v>
      </c>
      <c r="P108" s="9" t="s">
        <v>6064</v>
      </c>
      <c r="Q108" s="6"/>
      <c r="R108" s="52"/>
      <c r="S108" s="9"/>
    </row>
    <row r="109" spans="1:19" ht="89.25">
      <c r="A109" s="6" t="s">
        <v>4426</v>
      </c>
      <c r="B109" s="9" t="s">
        <v>6872</v>
      </c>
      <c r="C109" s="22"/>
      <c r="D109" s="179"/>
      <c r="E109" s="22" t="s">
        <v>4427</v>
      </c>
      <c r="F109" s="6" t="s">
        <v>4428</v>
      </c>
      <c r="G109" s="64">
        <v>42000</v>
      </c>
      <c r="H109" s="6"/>
      <c r="I109" s="6"/>
      <c r="J109" s="6"/>
      <c r="K109" s="180" t="s">
        <v>7624</v>
      </c>
      <c r="L109" s="6"/>
      <c r="M109" s="6" t="s">
        <v>22</v>
      </c>
      <c r="N109" s="53"/>
      <c r="O109" s="489" t="s">
        <v>7625</v>
      </c>
      <c r="P109" s="9" t="s">
        <v>6933</v>
      </c>
      <c r="Q109" s="6"/>
      <c r="R109" s="52"/>
      <c r="S109" s="9"/>
    </row>
    <row r="110" spans="1:19" ht="76.5">
      <c r="A110" s="6" t="s">
        <v>4429</v>
      </c>
      <c r="B110" s="9" t="s">
        <v>6872</v>
      </c>
      <c r="C110" s="22"/>
      <c r="D110" s="179"/>
      <c r="E110" s="22" t="s">
        <v>4430</v>
      </c>
      <c r="F110" s="6" t="s">
        <v>4431</v>
      </c>
      <c r="G110" s="64">
        <v>64000</v>
      </c>
      <c r="H110" s="6" t="s">
        <v>4414</v>
      </c>
      <c r="I110" s="6" t="s">
        <v>7615</v>
      </c>
      <c r="J110" s="6"/>
      <c r="K110" s="180" t="s">
        <v>7626</v>
      </c>
      <c r="L110" s="6"/>
      <c r="M110" s="6" t="s">
        <v>22</v>
      </c>
      <c r="N110" s="53"/>
      <c r="O110" s="489" t="s">
        <v>7627</v>
      </c>
      <c r="P110" s="9" t="s">
        <v>6071</v>
      </c>
      <c r="Q110" s="6"/>
      <c r="R110" s="52"/>
      <c r="S110" s="9"/>
    </row>
    <row r="111" spans="1:19" ht="76.5">
      <c r="A111" s="6" t="s">
        <v>4432</v>
      </c>
      <c r="B111" s="9" t="s">
        <v>6872</v>
      </c>
      <c r="C111" s="22"/>
      <c r="D111" s="179"/>
      <c r="E111" s="22" t="s">
        <v>4433</v>
      </c>
      <c r="F111" s="6" t="s">
        <v>4434</v>
      </c>
      <c r="G111" s="64">
        <v>14390</v>
      </c>
      <c r="H111" s="6" t="s">
        <v>4435</v>
      </c>
      <c r="I111" s="6" t="s">
        <v>7389</v>
      </c>
      <c r="J111" s="6"/>
      <c r="K111" s="180" t="s">
        <v>7628</v>
      </c>
      <c r="L111" s="6"/>
      <c r="M111" s="6" t="s">
        <v>6132</v>
      </c>
      <c r="N111" s="53"/>
      <c r="O111" s="489" t="s">
        <v>7629</v>
      </c>
      <c r="P111" s="9" t="s">
        <v>7630</v>
      </c>
      <c r="Q111" s="6"/>
      <c r="R111" s="52"/>
      <c r="S111" s="9"/>
    </row>
    <row r="112" spans="1:19" ht="76.5">
      <c r="A112" s="6" t="s">
        <v>4436</v>
      </c>
      <c r="B112" s="9" t="s">
        <v>6872</v>
      </c>
      <c r="C112" s="22"/>
      <c r="D112" s="179"/>
      <c r="E112" s="22" t="s">
        <v>4437</v>
      </c>
      <c r="F112" s="6" t="s">
        <v>4438</v>
      </c>
      <c r="G112" s="64">
        <v>77550</v>
      </c>
      <c r="H112" s="6" t="s">
        <v>4439</v>
      </c>
      <c r="I112" s="6" t="s">
        <v>7389</v>
      </c>
      <c r="J112" s="6"/>
      <c r="K112" s="180" t="s">
        <v>7631</v>
      </c>
      <c r="L112" s="6"/>
      <c r="M112" s="6" t="s">
        <v>22</v>
      </c>
      <c r="N112" s="53"/>
      <c r="O112" s="489" t="s">
        <v>7632</v>
      </c>
      <c r="P112" s="9" t="s">
        <v>6064</v>
      </c>
      <c r="Q112" s="6"/>
      <c r="R112" s="52"/>
      <c r="S112" s="9"/>
    </row>
    <row r="113" spans="1:19" ht="102">
      <c r="A113" s="6" t="s">
        <v>4440</v>
      </c>
      <c r="B113" s="9" t="s">
        <v>6872</v>
      </c>
      <c r="C113" s="22"/>
      <c r="D113" s="179"/>
      <c r="E113" s="22" t="s">
        <v>4441</v>
      </c>
      <c r="F113" s="6" t="s">
        <v>4442</v>
      </c>
      <c r="G113" s="64">
        <v>50000</v>
      </c>
      <c r="H113" s="6" t="s">
        <v>4443</v>
      </c>
      <c r="I113" s="6" t="s">
        <v>7389</v>
      </c>
      <c r="J113" s="6"/>
      <c r="K113" s="180" t="s">
        <v>7633</v>
      </c>
      <c r="L113" s="6"/>
      <c r="M113" s="6" t="s">
        <v>22</v>
      </c>
      <c r="N113" s="53"/>
      <c r="O113" s="489" t="s">
        <v>7634</v>
      </c>
      <c r="P113" s="9" t="s">
        <v>6064</v>
      </c>
      <c r="Q113" s="6"/>
      <c r="R113" s="52"/>
      <c r="S113" s="9"/>
    </row>
    <row r="114" spans="1:19" ht="63.75">
      <c r="A114" s="6" t="s">
        <v>4444</v>
      </c>
      <c r="B114" s="9" t="s">
        <v>6872</v>
      </c>
      <c r="C114" s="22"/>
      <c r="D114" s="179"/>
      <c r="E114" s="22" t="s">
        <v>4445</v>
      </c>
      <c r="F114" s="6" t="s">
        <v>4446</v>
      </c>
      <c r="G114" s="64">
        <v>25000</v>
      </c>
      <c r="H114" s="6" t="s">
        <v>4447</v>
      </c>
      <c r="I114" s="6" t="s">
        <v>7397</v>
      </c>
      <c r="J114" s="6"/>
      <c r="K114" s="180" t="s">
        <v>7635</v>
      </c>
      <c r="L114" s="6"/>
      <c r="M114" s="6" t="s">
        <v>22</v>
      </c>
      <c r="N114" s="53"/>
      <c r="O114" s="489" t="s">
        <v>7636</v>
      </c>
      <c r="P114" s="9" t="s">
        <v>6064</v>
      </c>
      <c r="Q114" s="6"/>
      <c r="R114" s="52"/>
      <c r="S114" s="9"/>
    </row>
    <row r="115" spans="1:19" ht="102">
      <c r="A115" s="6" t="s">
        <v>4448</v>
      </c>
      <c r="B115" s="9" t="s">
        <v>6872</v>
      </c>
      <c r="C115" s="22"/>
      <c r="D115" s="179"/>
      <c r="E115" s="22" t="s">
        <v>4449</v>
      </c>
      <c r="F115" s="6" t="s">
        <v>4450</v>
      </c>
      <c r="G115" s="64">
        <v>107900</v>
      </c>
      <c r="H115" s="6" t="s">
        <v>3500</v>
      </c>
      <c r="I115" s="6" t="s">
        <v>7389</v>
      </c>
      <c r="J115" s="6"/>
      <c r="K115" s="180" t="s">
        <v>7637</v>
      </c>
      <c r="L115" s="6"/>
      <c r="M115" s="6" t="s">
        <v>22</v>
      </c>
      <c r="N115" s="53"/>
      <c r="O115" s="489" t="s">
        <v>7638</v>
      </c>
      <c r="P115" s="9" t="s">
        <v>6071</v>
      </c>
      <c r="Q115" s="6"/>
      <c r="R115" s="52"/>
      <c r="S115" s="9"/>
    </row>
    <row r="116" spans="1:19" ht="63.75">
      <c r="A116" s="6" t="s">
        <v>4451</v>
      </c>
      <c r="B116" s="9" t="s">
        <v>6872</v>
      </c>
      <c r="C116" s="22"/>
      <c r="D116" s="179"/>
      <c r="E116" s="22" t="s">
        <v>4452</v>
      </c>
      <c r="F116" s="6" t="s">
        <v>4453</v>
      </c>
      <c r="G116" s="64">
        <v>61500</v>
      </c>
      <c r="H116" s="6" t="s">
        <v>4454</v>
      </c>
      <c r="I116" s="6" t="s">
        <v>7389</v>
      </c>
      <c r="J116" s="6"/>
      <c r="K116" s="180" t="s">
        <v>7639</v>
      </c>
      <c r="L116" s="6"/>
      <c r="M116" s="6" t="s">
        <v>22</v>
      </c>
      <c r="N116" s="53"/>
      <c r="O116" s="489" t="s">
        <v>7640</v>
      </c>
      <c r="P116" s="9" t="s">
        <v>6104</v>
      </c>
      <c r="Q116" s="6"/>
      <c r="R116" s="52"/>
      <c r="S116" s="9"/>
    </row>
    <row r="117" spans="1:19" ht="63.75">
      <c r="A117" s="6" t="s">
        <v>4455</v>
      </c>
      <c r="B117" s="9" t="s">
        <v>6872</v>
      </c>
      <c r="C117" s="22"/>
      <c r="D117" s="179"/>
      <c r="E117" s="22" t="s">
        <v>4456</v>
      </c>
      <c r="F117" s="6" t="s">
        <v>4457</v>
      </c>
      <c r="G117" s="8">
        <v>30110.75</v>
      </c>
      <c r="H117" s="6" t="s">
        <v>4458</v>
      </c>
      <c r="I117" s="6" t="s">
        <v>7539</v>
      </c>
      <c r="J117" s="6"/>
      <c r="K117" s="180" t="s">
        <v>7641</v>
      </c>
      <c r="L117" s="6"/>
      <c r="M117" s="6" t="s">
        <v>22</v>
      </c>
      <c r="N117" s="53"/>
      <c r="O117" s="489" t="s">
        <v>7642</v>
      </c>
      <c r="P117" s="9" t="s">
        <v>6137</v>
      </c>
      <c r="Q117" s="6"/>
      <c r="R117" s="52"/>
      <c r="S117" s="9"/>
    </row>
    <row r="118" spans="1:19" ht="102">
      <c r="A118" s="6" t="s">
        <v>4459</v>
      </c>
      <c r="B118" s="9" t="s">
        <v>6872</v>
      </c>
      <c r="C118" s="22"/>
      <c r="D118" s="179"/>
      <c r="E118" s="22" t="s">
        <v>4460</v>
      </c>
      <c r="F118" s="6" t="s">
        <v>4461</v>
      </c>
      <c r="G118" s="64">
        <v>81000</v>
      </c>
      <c r="H118" s="6" t="s">
        <v>4462</v>
      </c>
      <c r="I118" s="6" t="s">
        <v>7643</v>
      </c>
      <c r="J118" s="6"/>
      <c r="K118" s="180" t="s">
        <v>7644</v>
      </c>
      <c r="L118" s="6"/>
      <c r="M118" s="6" t="s">
        <v>6179</v>
      </c>
      <c r="N118" s="53"/>
      <c r="O118" s="489" t="s">
        <v>7645</v>
      </c>
      <c r="P118" s="9" t="s">
        <v>6941</v>
      </c>
      <c r="Q118" s="6"/>
      <c r="R118" s="52"/>
      <c r="S118" s="9"/>
    </row>
    <row r="119" spans="1:19" ht="63.75">
      <c r="A119" s="6" t="s">
        <v>4463</v>
      </c>
      <c r="B119" s="9" t="s">
        <v>6872</v>
      </c>
      <c r="C119" s="22"/>
      <c r="D119" s="179"/>
      <c r="E119" s="22" t="s">
        <v>4464</v>
      </c>
      <c r="F119" s="6" t="s">
        <v>4465</v>
      </c>
      <c r="G119" s="64">
        <v>86000</v>
      </c>
      <c r="H119" s="6" t="s">
        <v>4466</v>
      </c>
      <c r="I119" s="6" t="s">
        <v>7434</v>
      </c>
      <c r="J119" s="6"/>
      <c r="K119" s="180" t="s">
        <v>7646</v>
      </c>
      <c r="L119" s="6"/>
      <c r="M119" s="6" t="s">
        <v>22</v>
      </c>
      <c r="N119" s="53"/>
      <c r="O119" s="489" t="s">
        <v>7647</v>
      </c>
      <c r="P119" s="9" t="s">
        <v>6064</v>
      </c>
      <c r="Q119" s="6"/>
      <c r="R119" s="52"/>
      <c r="S119" s="9"/>
    </row>
    <row r="120" spans="1:19" ht="51">
      <c r="A120" s="6" t="s">
        <v>4467</v>
      </c>
      <c r="B120" s="9" t="s">
        <v>6872</v>
      </c>
      <c r="C120" s="22"/>
      <c r="D120" s="179"/>
      <c r="E120" s="22" t="s">
        <v>4468</v>
      </c>
      <c r="F120" s="6" t="s">
        <v>4469</v>
      </c>
      <c r="G120" s="64">
        <v>94600</v>
      </c>
      <c r="H120" s="6" t="s">
        <v>4470</v>
      </c>
      <c r="I120" s="6" t="s">
        <v>7573</v>
      </c>
      <c r="J120" s="6"/>
      <c r="K120" s="180" t="s">
        <v>7648</v>
      </c>
      <c r="L120" s="6"/>
      <c r="M120" s="6" t="s">
        <v>22</v>
      </c>
      <c r="N120" s="53"/>
      <c r="O120" s="489" t="s">
        <v>7649</v>
      </c>
      <c r="P120" s="9" t="s">
        <v>6064</v>
      </c>
      <c r="Q120" s="6"/>
      <c r="R120" s="52"/>
      <c r="S120" s="9"/>
    </row>
    <row r="121" spans="1:19" ht="63.75">
      <c r="A121" s="6" t="s">
        <v>4471</v>
      </c>
      <c r="B121" s="9" t="s">
        <v>6872</v>
      </c>
      <c r="C121" s="22"/>
      <c r="D121" s="179"/>
      <c r="E121" s="22" t="s">
        <v>4472</v>
      </c>
      <c r="F121" s="6" t="s">
        <v>811</v>
      </c>
      <c r="G121" s="64">
        <v>47000</v>
      </c>
      <c r="H121" s="6" t="s">
        <v>4382</v>
      </c>
      <c r="I121" s="6" t="s">
        <v>7389</v>
      </c>
      <c r="J121" s="6"/>
      <c r="K121" s="180" t="s">
        <v>7650</v>
      </c>
      <c r="L121" s="6"/>
      <c r="M121" s="6" t="s">
        <v>22</v>
      </c>
      <c r="N121" s="53"/>
      <c r="O121" s="489" t="s">
        <v>7651</v>
      </c>
      <c r="P121" s="9" t="s">
        <v>6064</v>
      </c>
      <c r="Q121" s="6"/>
      <c r="R121" s="52"/>
      <c r="S121" s="9"/>
    </row>
    <row r="122" spans="1:19" ht="102">
      <c r="A122" s="6" t="s">
        <v>4473</v>
      </c>
      <c r="B122" s="9" t="s">
        <v>6872</v>
      </c>
      <c r="C122" s="22"/>
      <c r="D122" s="179"/>
      <c r="E122" s="22" t="s">
        <v>7652</v>
      </c>
      <c r="F122" s="6" t="s">
        <v>4475</v>
      </c>
      <c r="G122" s="6" t="s">
        <v>7653</v>
      </c>
      <c r="H122" s="6" t="s">
        <v>4476</v>
      </c>
      <c r="I122" s="6" t="s">
        <v>7539</v>
      </c>
      <c r="J122" s="6"/>
      <c r="K122" s="180" t="s">
        <v>7654</v>
      </c>
      <c r="L122" s="6"/>
      <c r="M122" s="6" t="s">
        <v>22</v>
      </c>
      <c r="N122" s="53"/>
      <c r="O122" s="489" t="s">
        <v>7655</v>
      </c>
      <c r="P122" s="9" t="s">
        <v>6137</v>
      </c>
      <c r="Q122" s="6"/>
      <c r="R122" s="52"/>
      <c r="S122" s="9"/>
    </row>
    <row r="123" spans="1:19" ht="89.25">
      <c r="A123" s="6" t="s">
        <v>4477</v>
      </c>
      <c r="B123" s="9" t="s">
        <v>6872</v>
      </c>
      <c r="C123" s="22"/>
      <c r="D123" s="179"/>
      <c r="E123" s="22" t="s">
        <v>4478</v>
      </c>
      <c r="F123" s="6" t="s">
        <v>4479</v>
      </c>
      <c r="G123" s="6" t="s">
        <v>7656</v>
      </c>
      <c r="H123" s="6" t="s">
        <v>4480</v>
      </c>
      <c r="I123" s="6" t="s">
        <v>7434</v>
      </c>
      <c r="J123" s="6"/>
      <c r="K123" s="180" t="s">
        <v>7657</v>
      </c>
      <c r="L123" s="6"/>
      <c r="M123" s="6" t="s">
        <v>22</v>
      </c>
      <c r="N123" s="53"/>
      <c r="O123" s="489" t="s">
        <v>7658</v>
      </c>
      <c r="P123" s="9" t="s">
        <v>6941</v>
      </c>
      <c r="Q123" s="6"/>
      <c r="R123" s="52"/>
      <c r="S123" s="9"/>
    </row>
    <row r="124" spans="1:19" ht="63.75">
      <c r="A124" s="6" t="s">
        <v>4481</v>
      </c>
      <c r="B124" s="9" t="s">
        <v>6872</v>
      </c>
      <c r="C124" s="22"/>
      <c r="D124" s="179"/>
      <c r="E124" s="22" t="s">
        <v>4482</v>
      </c>
      <c r="F124" s="6" t="s">
        <v>4483</v>
      </c>
      <c r="G124" s="64">
        <v>67200</v>
      </c>
      <c r="H124" s="6"/>
      <c r="I124" s="6"/>
      <c r="J124" s="6"/>
      <c r="K124" s="180" t="s">
        <v>7659</v>
      </c>
      <c r="L124" s="6"/>
      <c r="M124" s="6" t="s">
        <v>22</v>
      </c>
      <c r="N124" s="53"/>
      <c r="O124" s="489" t="s">
        <v>7660</v>
      </c>
      <c r="P124" s="9" t="s">
        <v>6064</v>
      </c>
      <c r="Q124" s="6"/>
      <c r="R124" s="52"/>
      <c r="S124" s="9"/>
    </row>
    <row r="125" spans="1:19" ht="12.75">
      <c r="A125" s="6"/>
      <c r="B125" s="9"/>
      <c r="C125" s="22"/>
      <c r="D125" s="179"/>
      <c r="E125" s="22"/>
      <c r="F125" s="6"/>
      <c r="G125" s="6"/>
      <c r="H125" s="6"/>
      <c r="I125" s="6"/>
      <c r="J125" s="6"/>
      <c r="K125" s="179"/>
      <c r="L125" s="6"/>
      <c r="M125" s="6"/>
      <c r="N125" s="53"/>
      <c r="O125" s="491"/>
      <c r="P125" s="9"/>
      <c r="Q125" s="6"/>
      <c r="R125" s="52"/>
      <c r="S125" s="9"/>
    </row>
    <row r="126" spans="1:19" ht="12.75">
      <c r="A126" s="6"/>
      <c r="B126" s="9"/>
      <c r="C126" s="22"/>
      <c r="D126" s="179"/>
      <c r="E126" s="22"/>
      <c r="F126" s="6"/>
      <c r="G126" s="6"/>
      <c r="H126" s="6"/>
      <c r="I126" s="6"/>
      <c r="J126" s="6"/>
      <c r="K126" s="179"/>
      <c r="L126" s="6"/>
      <c r="M126" s="6"/>
      <c r="N126" s="53"/>
      <c r="O126" s="491"/>
      <c r="P126" s="9"/>
      <c r="Q126" s="6"/>
      <c r="R126" s="52"/>
      <c r="S126" s="9"/>
    </row>
    <row r="127" spans="1:19" ht="12.75">
      <c r="A127" s="6"/>
      <c r="B127" s="9"/>
      <c r="C127" s="22"/>
      <c r="D127" s="179"/>
      <c r="E127" s="22"/>
      <c r="F127" s="6"/>
      <c r="G127" s="6"/>
      <c r="H127" s="6"/>
      <c r="I127" s="6"/>
      <c r="J127" s="6"/>
      <c r="K127" s="179"/>
      <c r="L127" s="6"/>
      <c r="M127" s="6"/>
      <c r="N127" s="53"/>
      <c r="O127" s="491"/>
      <c r="P127" s="9"/>
      <c r="Q127" s="6"/>
      <c r="R127" s="52"/>
      <c r="S127" s="9"/>
    </row>
    <row r="128" spans="1:19" ht="12.75">
      <c r="A128" s="6"/>
      <c r="B128" s="9"/>
      <c r="C128" s="22"/>
      <c r="D128" s="179"/>
      <c r="E128" s="22"/>
      <c r="F128" s="6"/>
      <c r="G128" s="6"/>
      <c r="H128" s="6"/>
      <c r="I128" s="6"/>
      <c r="J128" s="6"/>
      <c r="K128" s="179"/>
      <c r="L128" s="6"/>
      <c r="M128" s="6"/>
      <c r="N128" s="53"/>
      <c r="O128" s="9"/>
      <c r="P128" s="9"/>
      <c r="Q128" s="6"/>
      <c r="R128" s="52"/>
      <c r="S128" s="9"/>
    </row>
    <row r="129" spans="1:19" ht="12.75">
      <c r="A129" s="6"/>
      <c r="B129" s="9"/>
      <c r="C129" s="22"/>
      <c r="D129" s="179"/>
      <c r="E129" s="22"/>
      <c r="F129" s="6"/>
      <c r="G129" s="6"/>
      <c r="H129" s="6"/>
      <c r="I129" s="6"/>
      <c r="J129" s="6"/>
      <c r="K129" s="179"/>
      <c r="L129" s="6"/>
      <c r="M129" s="6"/>
      <c r="N129" s="53"/>
      <c r="O129" s="9"/>
      <c r="P129" s="9"/>
      <c r="Q129" s="6"/>
      <c r="R129" s="52"/>
      <c r="S129" s="9"/>
    </row>
    <row r="130" spans="1:19" ht="12.75">
      <c r="A130" s="6"/>
      <c r="B130" s="9"/>
      <c r="C130" s="22"/>
      <c r="D130" s="179"/>
      <c r="E130" s="22"/>
      <c r="F130" s="6"/>
      <c r="G130" s="6"/>
      <c r="H130" s="6"/>
      <c r="I130" s="6"/>
      <c r="J130" s="6"/>
      <c r="K130" s="179"/>
      <c r="L130" s="6"/>
      <c r="M130" s="6"/>
      <c r="N130" s="53"/>
      <c r="O130" s="9"/>
      <c r="P130" s="9"/>
      <c r="Q130" s="6"/>
      <c r="R130" s="52"/>
      <c r="S130" s="9"/>
    </row>
    <row r="131" spans="1:19" ht="12.75">
      <c r="A131" s="6"/>
      <c r="B131" s="9"/>
      <c r="C131" s="22"/>
      <c r="D131" s="179"/>
      <c r="E131" s="22"/>
      <c r="F131" s="6"/>
      <c r="G131" s="6"/>
      <c r="H131" s="6"/>
      <c r="I131" s="6"/>
      <c r="J131" s="6"/>
      <c r="K131" s="179"/>
      <c r="L131" s="6"/>
      <c r="M131" s="6"/>
      <c r="N131" s="53"/>
      <c r="O131" s="9"/>
      <c r="P131" s="9"/>
      <c r="Q131" s="6"/>
      <c r="R131" s="52"/>
      <c r="S131" s="9"/>
    </row>
    <row r="132" spans="1:19" ht="12.75">
      <c r="A132" s="6"/>
      <c r="B132" s="9"/>
      <c r="C132" s="22"/>
      <c r="D132" s="179"/>
      <c r="E132" s="22"/>
      <c r="F132" s="6"/>
      <c r="G132" s="6"/>
      <c r="H132" s="6"/>
      <c r="I132" s="6"/>
      <c r="J132" s="6"/>
      <c r="K132" s="179"/>
      <c r="L132" s="6"/>
      <c r="M132" s="6"/>
      <c r="N132" s="53"/>
      <c r="O132" s="9"/>
      <c r="P132" s="9"/>
      <c r="Q132" s="6"/>
      <c r="R132" s="52"/>
      <c r="S132" s="9"/>
    </row>
    <row r="133" spans="1:19" ht="12.75">
      <c r="A133" s="6"/>
      <c r="B133" s="9"/>
      <c r="C133" s="22"/>
      <c r="D133" s="179"/>
      <c r="E133" s="22"/>
      <c r="F133" s="6"/>
      <c r="G133" s="6"/>
      <c r="H133" s="6"/>
      <c r="I133" s="6"/>
      <c r="J133" s="6"/>
      <c r="K133" s="179"/>
      <c r="L133" s="6"/>
      <c r="M133" s="6"/>
      <c r="N133" s="53"/>
      <c r="O133" s="9"/>
      <c r="P133" s="9"/>
      <c r="Q133" s="6"/>
      <c r="R133" s="52"/>
      <c r="S133" s="9"/>
    </row>
    <row r="134" spans="1:19" ht="12.75">
      <c r="A134" s="6"/>
      <c r="B134" s="9"/>
      <c r="C134" s="22"/>
      <c r="D134" s="179"/>
      <c r="E134" s="22"/>
      <c r="F134" s="6"/>
      <c r="G134" s="6"/>
      <c r="H134" s="6"/>
      <c r="I134" s="6"/>
      <c r="J134" s="6"/>
      <c r="K134" s="179"/>
      <c r="L134" s="6"/>
      <c r="M134" s="6"/>
      <c r="N134" s="53"/>
      <c r="O134" s="9"/>
      <c r="P134" s="9"/>
      <c r="Q134" s="6"/>
      <c r="R134" s="52"/>
      <c r="S134" s="9"/>
    </row>
    <row r="135" spans="1:19" ht="12.75">
      <c r="A135" s="6"/>
      <c r="B135" s="9"/>
      <c r="C135" s="22"/>
      <c r="D135" s="179"/>
      <c r="E135" s="22"/>
      <c r="F135" s="6"/>
      <c r="G135" s="6"/>
      <c r="H135" s="6"/>
      <c r="I135" s="6"/>
      <c r="J135" s="6"/>
      <c r="K135" s="179"/>
      <c r="L135" s="6"/>
      <c r="M135" s="6"/>
      <c r="N135" s="53"/>
      <c r="O135" s="9"/>
      <c r="P135" s="9"/>
      <c r="Q135" s="6"/>
      <c r="R135" s="52"/>
      <c r="S135" s="9"/>
    </row>
    <row r="136" spans="1:19" ht="12.75">
      <c r="A136" s="6"/>
      <c r="B136" s="9"/>
      <c r="C136" s="22"/>
      <c r="D136" s="179"/>
      <c r="E136" s="22"/>
      <c r="F136" s="6"/>
      <c r="G136" s="6"/>
      <c r="H136" s="6"/>
      <c r="I136" s="6"/>
      <c r="J136" s="6"/>
      <c r="K136" s="179"/>
      <c r="L136" s="6"/>
      <c r="M136" s="6"/>
      <c r="N136" s="53"/>
      <c r="O136" s="9"/>
      <c r="P136" s="9"/>
      <c r="Q136" s="6"/>
      <c r="R136" s="52"/>
      <c r="S136" s="9"/>
    </row>
    <row r="137" spans="1:19" ht="12.75">
      <c r="A137" s="6"/>
      <c r="B137" s="9"/>
      <c r="C137" s="22"/>
      <c r="D137" s="179"/>
      <c r="E137" s="22"/>
      <c r="F137" s="6"/>
      <c r="G137" s="6"/>
      <c r="H137" s="6"/>
      <c r="I137" s="6"/>
      <c r="J137" s="6"/>
      <c r="K137" s="179"/>
      <c r="L137" s="6"/>
      <c r="M137" s="6"/>
      <c r="N137" s="53"/>
      <c r="O137" s="9"/>
      <c r="P137" s="9"/>
      <c r="Q137" s="6"/>
      <c r="R137" s="52"/>
      <c r="S137" s="9"/>
    </row>
    <row r="138" spans="1:19" ht="12.75">
      <c r="A138" s="6"/>
      <c r="B138" s="9"/>
      <c r="C138" s="22"/>
      <c r="D138" s="179"/>
      <c r="E138" s="22"/>
      <c r="F138" s="6"/>
      <c r="G138" s="6"/>
      <c r="H138" s="6"/>
      <c r="I138" s="6"/>
      <c r="J138" s="6"/>
      <c r="K138" s="179"/>
      <c r="L138" s="6"/>
      <c r="M138" s="6"/>
      <c r="N138" s="53"/>
      <c r="O138" s="9"/>
      <c r="P138" s="9"/>
      <c r="Q138" s="6"/>
      <c r="R138" s="52"/>
      <c r="S138" s="9"/>
    </row>
    <row r="139" spans="1:19" ht="12.75">
      <c r="A139" s="6"/>
      <c r="B139" s="9"/>
      <c r="C139" s="22"/>
      <c r="D139" s="179"/>
      <c r="E139" s="22"/>
      <c r="F139" s="6"/>
      <c r="G139" s="6"/>
      <c r="H139" s="6"/>
      <c r="I139" s="6"/>
      <c r="J139" s="6"/>
      <c r="K139" s="179"/>
      <c r="L139" s="6"/>
      <c r="M139" s="6"/>
      <c r="N139" s="53"/>
      <c r="O139" s="9"/>
      <c r="P139" s="9"/>
      <c r="Q139" s="6"/>
      <c r="R139" s="52"/>
      <c r="S139" s="9"/>
    </row>
    <row r="140" spans="1:19" ht="12.75">
      <c r="A140" s="6"/>
      <c r="B140" s="9"/>
      <c r="C140" s="22"/>
      <c r="D140" s="179"/>
      <c r="E140" s="22"/>
      <c r="F140" s="6"/>
      <c r="G140" s="6"/>
      <c r="H140" s="6"/>
      <c r="I140" s="6"/>
      <c r="J140" s="6"/>
      <c r="K140" s="179"/>
      <c r="L140" s="6"/>
      <c r="M140" s="6"/>
      <c r="N140" s="53"/>
      <c r="O140" s="9"/>
      <c r="P140" s="9"/>
      <c r="Q140" s="6"/>
      <c r="R140" s="52"/>
      <c r="S140" s="9"/>
    </row>
    <row r="141" spans="1:19" ht="12.75">
      <c r="A141" s="6"/>
      <c r="B141" s="9"/>
      <c r="C141" s="22"/>
      <c r="D141" s="179"/>
      <c r="E141" s="22"/>
      <c r="F141" s="6"/>
      <c r="G141" s="6"/>
      <c r="H141" s="6"/>
      <c r="I141" s="6"/>
      <c r="J141" s="6"/>
      <c r="K141" s="179"/>
      <c r="L141" s="6"/>
      <c r="M141" s="6"/>
      <c r="N141" s="53"/>
      <c r="O141" s="9"/>
      <c r="P141" s="9"/>
      <c r="Q141" s="6"/>
      <c r="R141" s="52"/>
      <c r="S141" s="9"/>
    </row>
    <row r="142" spans="1:19" ht="12.75">
      <c r="A142" s="6"/>
      <c r="B142" s="9"/>
      <c r="C142" s="22"/>
      <c r="D142" s="179"/>
      <c r="E142" s="22"/>
      <c r="F142" s="6"/>
      <c r="G142" s="6"/>
      <c r="H142" s="6"/>
      <c r="I142" s="6"/>
      <c r="J142" s="6"/>
      <c r="K142" s="179"/>
      <c r="L142" s="6"/>
      <c r="M142" s="6"/>
      <c r="N142" s="53"/>
      <c r="O142" s="9"/>
      <c r="P142" s="9"/>
      <c r="Q142" s="6"/>
      <c r="R142" s="52"/>
      <c r="S142" s="9"/>
    </row>
    <row r="143" spans="1:19" ht="12.75">
      <c r="A143" s="6"/>
      <c r="B143" s="9"/>
      <c r="C143" s="22"/>
      <c r="D143" s="179"/>
      <c r="E143" s="22"/>
      <c r="F143" s="6"/>
      <c r="G143" s="6"/>
      <c r="H143" s="6"/>
      <c r="I143" s="6"/>
      <c r="J143" s="6"/>
      <c r="K143" s="179"/>
      <c r="L143" s="6"/>
      <c r="M143" s="6"/>
      <c r="N143" s="53"/>
      <c r="O143" s="9"/>
      <c r="P143" s="9"/>
      <c r="Q143" s="6"/>
      <c r="R143" s="52"/>
      <c r="S143" s="9"/>
    </row>
    <row r="144" spans="1:19" ht="12.75">
      <c r="A144" s="6"/>
      <c r="B144" s="9"/>
      <c r="C144" s="22"/>
      <c r="D144" s="179"/>
      <c r="E144" s="22"/>
      <c r="F144" s="6"/>
      <c r="G144" s="6"/>
      <c r="H144" s="6"/>
      <c r="I144" s="6"/>
      <c r="J144" s="6"/>
      <c r="K144" s="179"/>
      <c r="L144" s="6"/>
      <c r="M144" s="6"/>
      <c r="N144" s="53"/>
      <c r="O144" s="9"/>
      <c r="P144" s="9"/>
      <c r="Q144" s="6"/>
      <c r="R144" s="52"/>
      <c r="S144" s="9"/>
    </row>
    <row r="145" spans="1:19" ht="12.75">
      <c r="A145" s="6"/>
      <c r="B145" s="9"/>
      <c r="C145" s="22"/>
      <c r="D145" s="179"/>
      <c r="E145" s="22"/>
      <c r="F145" s="6"/>
      <c r="G145" s="6"/>
      <c r="H145" s="6"/>
      <c r="I145" s="6"/>
      <c r="J145" s="6"/>
      <c r="K145" s="179"/>
      <c r="L145" s="6"/>
      <c r="M145" s="6"/>
      <c r="N145" s="53"/>
      <c r="O145" s="9"/>
      <c r="P145" s="9"/>
      <c r="Q145" s="6"/>
      <c r="R145" s="52"/>
      <c r="S145" s="9"/>
    </row>
    <row r="146" spans="1:19" ht="12.75">
      <c r="A146" s="6"/>
      <c r="B146" s="9"/>
      <c r="C146" s="22"/>
      <c r="D146" s="179"/>
      <c r="E146" s="22"/>
      <c r="F146" s="6"/>
      <c r="G146" s="6"/>
      <c r="H146" s="6"/>
      <c r="I146" s="6"/>
      <c r="J146" s="6"/>
      <c r="K146" s="179"/>
      <c r="L146" s="6"/>
      <c r="M146" s="6"/>
      <c r="N146" s="53"/>
      <c r="O146" s="9"/>
      <c r="P146" s="9"/>
      <c r="Q146" s="6"/>
      <c r="R146" s="52"/>
      <c r="S146" s="9"/>
    </row>
    <row r="147" spans="1:19" ht="12.75">
      <c r="A147" s="6"/>
      <c r="B147" s="9"/>
      <c r="C147" s="22"/>
      <c r="D147" s="179"/>
      <c r="E147" s="22"/>
      <c r="F147" s="6"/>
      <c r="G147" s="6"/>
      <c r="H147" s="6"/>
      <c r="I147" s="6"/>
      <c r="J147" s="6"/>
      <c r="K147" s="179"/>
      <c r="L147" s="6"/>
      <c r="M147" s="6"/>
      <c r="N147" s="53"/>
      <c r="O147" s="9"/>
      <c r="P147" s="9"/>
      <c r="Q147" s="6"/>
      <c r="R147" s="52"/>
      <c r="S147" s="9"/>
    </row>
    <row r="148" spans="1:19" ht="12.75">
      <c r="A148" s="6"/>
      <c r="B148" s="9"/>
      <c r="C148" s="22"/>
      <c r="D148" s="179"/>
      <c r="E148" s="22"/>
      <c r="F148" s="6"/>
      <c r="G148" s="6"/>
      <c r="H148" s="6"/>
      <c r="I148" s="6"/>
      <c r="J148" s="6"/>
      <c r="K148" s="179"/>
      <c r="L148" s="6"/>
      <c r="M148" s="6"/>
      <c r="N148" s="53"/>
      <c r="O148" s="9"/>
      <c r="P148" s="9"/>
      <c r="Q148" s="6"/>
      <c r="R148" s="52"/>
      <c r="S148" s="9"/>
    </row>
    <row r="149" spans="1:19" ht="12.75">
      <c r="A149" s="6"/>
      <c r="B149" s="9"/>
      <c r="C149" s="22"/>
      <c r="D149" s="179"/>
      <c r="E149" s="22"/>
      <c r="F149" s="6"/>
      <c r="G149" s="6"/>
      <c r="H149" s="6"/>
      <c r="I149" s="6"/>
      <c r="J149" s="6"/>
      <c r="K149" s="179"/>
      <c r="L149" s="6"/>
      <c r="M149" s="6"/>
      <c r="N149" s="53"/>
      <c r="O149" s="9"/>
      <c r="P149" s="9"/>
      <c r="Q149" s="6"/>
      <c r="R149" s="52"/>
      <c r="S149" s="9"/>
    </row>
    <row r="150" spans="1:19" ht="12.75">
      <c r="A150" s="6"/>
      <c r="B150" s="9"/>
      <c r="C150" s="22"/>
      <c r="D150" s="179"/>
      <c r="E150" s="22"/>
      <c r="F150" s="6"/>
      <c r="G150" s="6"/>
      <c r="H150" s="6"/>
      <c r="I150" s="6"/>
      <c r="J150" s="6"/>
      <c r="K150" s="179"/>
      <c r="L150" s="6"/>
      <c r="M150" s="6"/>
      <c r="N150" s="53"/>
      <c r="O150" s="9"/>
      <c r="P150" s="9"/>
      <c r="Q150" s="6"/>
      <c r="R150" s="52"/>
      <c r="S150" s="9"/>
    </row>
    <row r="151" spans="1:19" ht="12.75">
      <c r="A151" s="6"/>
      <c r="B151" s="9"/>
      <c r="C151" s="22"/>
      <c r="D151" s="179"/>
      <c r="E151" s="22"/>
      <c r="F151" s="6"/>
      <c r="G151" s="6"/>
      <c r="H151" s="6"/>
      <c r="I151" s="6"/>
      <c r="J151" s="6"/>
      <c r="K151" s="179"/>
      <c r="L151" s="6"/>
      <c r="M151" s="6"/>
      <c r="N151" s="53"/>
      <c r="O151" s="9"/>
      <c r="P151" s="9"/>
      <c r="Q151" s="6"/>
      <c r="R151" s="52"/>
      <c r="S151" s="9"/>
    </row>
    <row r="152" spans="1:19" ht="12.75">
      <c r="A152" s="6"/>
      <c r="B152" s="9"/>
      <c r="C152" s="22"/>
      <c r="D152" s="179"/>
      <c r="E152" s="22"/>
      <c r="F152" s="6"/>
      <c r="G152" s="6"/>
      <c r="H152" s="6"/>
      <c r="I152" s="6"/>
      <c r="J152" s="6"/>
      <c r="K152" s="179"/>
      <c r="L152" s="6"/>
      <c r="M152" s="6"/>
      <c r="N152" s="53"/>
      <c r="O152" s="9"/>
      <c r="P152" s="9"/>
      <c r="Q152" s="6"/>
      <c r="R152" s="52"/>
      <c r="S152" s="9"/>
    </row>
    <row r="153" spans="1:19" ht="12.75">
      <c r="A153" s="6"/>
      <c r="B153" s="9"/>
      <c r="C153" s="22"/>
      <c r="D153" s="179"/>
      <c r="E153" s="22"/>
      <c r="F153" s="6"/>
      <c r="G153" s="6"/>
      <c r="H153" s="6"/>
      <c r="I153" s="6"/>
      <c r="J153" s="6"/>
      <c r="K153" s="179"/>
      <c r="L153" s="6"/>
      <c r="M153" s="6"/>
      <c r="N153" s="53"/>
      <c r="O153" s="9"/>
      <c r="P153" s="9"/>
      <c r="Q153" s="6"/>
      <c r="R153" s="52"/>
      <c r="S153" s="9"/>
    </row>
    <row r="154" spans="1:19" ht="12.75">
      <c r="A154" s="6"/>
      <c r="B154" s="9"/>
      <c r="C154" s="22"/>
      <c r="D154" s="179"/>
      <c r="E154" s="22"/>
      <c r="F154" s="6"/>
      <c r="G154" s="6"/>
      <c r="H154" s="6"/>
      <c r="I154" s="6"/>
      <c r="J154" s="6"/>
      <c r="K154" s="179"/>
      <c r="L154" s="6"/>
      <c r="M154" s="6"/>
      <c r="N154" s="53"/>
      <c r="O154" s="9"/>
      <c r="P154" s="9"/>
      <c r="Q154" s="6"/>
      <c r="R154" s="52"/>
      <c r="S154" s="9"/>
    </row>
    <row r="155" spans="1:19" ht="12.75">
      <c r="A155" s="6"/>
      <c r="B155" s="9"/>
      <c r="C155" s="22"/>
      <c r="D155" s="179"/>
      <c r="E155" s="22"/>
      <c r="F155" s="6"/>
      <c r="G155" s="6"/>
      <c r="H155" s="6"/>
      <c r="I155" s="6"/>
      <c r="J155" s="6"/>
      <c r="K155" s="179"/>
      <c r="L155" s="6"/>
      <c r="M155" s="6"/>
      <c r="N155" s="53"/>
      <c r="O155" s="9"/>
      <c r="P155" s="9"/>
      <c r="Q155" s="6"/>
      <c r="R155" s="52"/>
      <c r="S155" s="9"/>
    </row>
    <row r="156" spans="1:19" ht="12.75">
      <c r="A156" s="6"/>
      <c r="B156" s="9"/>
      <c r="C156" s="22"/>
      <c r="D156" s="179"/>
      <c r="E156" s="22"/>
      <c r="F156" s="6"/>
      <c r="G156" s="6"/>
      <c r="H156" s="6"/>
      <c r="I156" s="6"/>
      <c r="J156" s="6"/>
      <c r="K156" s="179"/>
      <c r="L156" s="6"/>
      <c r="M156" s="6"/>
      <c r="N156" s="53"/>
      <c r="O156" s="9"/>
      <c r="P156" s="9"/>
      <c r="Q156" s="6"/>
      <c r="R156" s="52"/>
      <c r="S156" s="9"/>
    </row>
    <row r="157" spans="1:19" ht="12.75">
      <c r="A157" s="6"/>
      <c r="B157" s="9"/>
      <c r="C157" s="22"/>
      <c r="D157" s="179"/>
      <c r="E157" s="22"/>
      <c r="F157" s="6"/>
      <c r="G157" s="6"/>
      <c r="H157" s="6"/>
      <c r="I157" s="6"/>
      <c r="J157" s="6"/>
      <c r="K157" s="179"/>
      <c r="L157" s="6"/>
      <c r="M157" s="6"/>
      <c r="N157" s="53"/>
      <c r="O157" s="9"/>
      <c r="P157" s="9"/>
      <c r="Q157" s="6"/>
      <c r="R157" s="52"/>
      <c r="S157" s="9"/>
    </row>
    <row r="158" spans="1:19" ht="12.75">
      <c r="A158" s="6"/>
      <c r="B158" s="9"/>
      <c r="C158" s="22"/>
      <c r="D158" s="179"/>
      <c r="E158" s="22"/>
      <c r="F158" s="6"/>
      <c r="G158" s="6"/>
      <c r="H158" s="6"/>
      <c r="I158" s="6"/>
      <c r="J158" s="6"/>
      <c r="K158" s="179"/>
      <c r="L158" s="6"/>
      <c r="M158" s="6"/>
      <c r="N158" s="53"/>
      <c r="O158" s="9"/>
      <c r="P158" s="9"/>
      <c r="Q158" s="6"/>
      <c r="R158" s="52"/>
      <c r="S158" s="9"/>
    </row>
    <row r="159" spans="1:19" ht="12.75">
      <c r="A159" s="6"/>
      <c r="B159" s="9"/>
      <c r="C159" s="22"/>
      <c r="D159" s="179"/>
      <c r="E159" s="22"/>
      <c r="F159" s="6"/>
      <c r="G159" s="6"/>
      <c r="H159" s="6"/>
      <c r="I159" s="6"/>
      <c r="J159" s="6"/>
      <c r="K159" s="179"/>
      <c r="L159" s="6"/>
      <c r="M159" s="6"/>
      <c r="N159" s="53"/>
      <c r="O159" s="9"/>
      <c r="P159" s="9"/>
      <c r="Q159" s="6"/>
      <c r="R159" s="52"/>
      <c r="S159" s="9"/>
    </row>
    <row r="160" spans="1:19" ht="12.75">
      <c r="A160" s="6"/>
      <c r="B160" s="9"/>
      <c r="C160" s="22"/>
      <c r="D160" s="179"/>
      <c r="E160" s="22"/>
      <c r="F160" s="6"/>
      <c r="G160" s="6"/>
      <c r="H160" s="6"/>
      <c r="I160" s="6"/>
      <c r="J160" s="6"/>
      <c r="K160" s="179"/>
      <c r="L160" s="6"/>
      <c r="M160" s="6"/>
      <c r="N160" s="53"/>
      <c r="O160" s="9"/>
      <c r="P160" s="9"/>
      <c r="Q160" s="6"/>
      <c r="R160" s="52"/>
      <c r="S160" s="9"/>
    </row>
    <row r="161" spans="1:19" ht="12.75">
      <c r="A161" s="6"/>
      <c r="B161" s="9"/>
      <c r="C161" s="22"/>
      <c r="D161" s="179"/>
      <c r="E161" s="22"/>
      <c r="F161" s="6"/>
      <c r="G161" s="6"/>
      <c r="H161" s="6"/>
      <c r="I161" s="6"/>
      <c r="J161" s="6"/>
      <c r="K161" s="179"/>
      <c r="L161" s="6"/>
      <c r="M161" s="6"/>
      <c r="N161" s="53"/>
      <c r="O161" s="9"/>
      <c r="P161" s="9"/>
      <c r="Q161" s="6"/>
      <c r="R161" s="52"/>
      <c r="S161" s="9"/>
    </row>
    <row r="162" spans="1:19" ht="12.75">
      <c r="A162" s="6"/>
      <c r="B162" s="9"/>
      <c r="C162" s="22"/>
      <c r="D162" s="179"/>
      <c r="E162" s="22"/>
      <c r="F162" s="6"/>
      <c r="G162" s="6"/>
      <c r="H162" s="6"/>
      <c r="I162" s="6"/>
      <c r="J162" s="6"/>
      <c r="K162" s="179"/>
      <c r="L162" s="6"/>
      <c r="M162" s="6"/>
      <c r="N162" s="53"/>
      <c r="O162" s="9"/>
      <c r="P162" s="9"/>
      <c r="Q162" s="6"/>
      <c r="R162" s="52"/>
      <c r="S162" s="9"/>
    </row>
    <row r="163" spans="1:19" ht="12.75">
      <c r="A163" s="6"/>
      <c r="B163" s="9"/>
      <c r="C163" s="22"/>
      <c r="D163" s="179"/>
      <c r="E163" s="22"/>
      <c r="F163" s="6"/>
      <c r="G163" s="6"/>
      <c r="H163" s="6"/>
      <c r="I163" s="6"/>
      <c r="J163" s="6"/>
      <c r="K163" s="179"/>
      <c r="L163" s="6"/>
      <c r="M163" s="6"/>
      <c r="N163" s="53"/>
      <c r="O163" s="9"/>
      <c r="P163" s="9"/>
      <c r="Q163" s="6"/>
      <c r="R163" s="52"/>
      <c r="S163" s="9"/>
    </row>
    <row r="164" spans="1:19" ht="12.75">
      <c r="A164" s="6"/>
      <c r="B164" s="9"/>
      <c r="C164" s="22"/>
      <c r="D164" s="179"/>
      <c r="E164" s="22"/>
      <c r="F164" s="6"/>
      <c r="G164" s="6"/>
      <c r="H164" s="6"/>
      <c r="I164" s="6"/>
      <c r="J164" s="6"/>
      <c r="K164" s="179"/>
      <c r="L164" s="6"/>
      <c r="M164" s="6"/>
      <c r="N164" s="53"/>
      <c r="O164" s="9"/>
      <c r="P164" s="9"/>
      <c r="Q164" s="6"/>
      <c r="R164" s="52"/>
      <c r="S164" s="9"/>
    </row>
    <row r="165" spans="1:19" ht="12.75">
      <c r="A165" s="6"/>
      <c r="B165" s="9"/>
      <c r="C165" s="22"/>
      <c r="D165" s="179"/>
      <c r="E165" s="22"/>
      <c r="F165" s="6"/>
      <c r="G165" s="6"/>
      <c r="H165" s="6"/>
      <c r="I165" s="6"/>
      <c r="J165" s="6"/>
      <c r="K165" s="179"/>
      <c r="L165" s="6"/>
      <c r="M165" s="6"/>
      <c r="N165" s="53"/>
      <c r="O165" s="9"/>
      <c r="P165" s="9"/>
      <c r="Q165" s="6"/>
      <c r="R165" s="52"/>
      <c r="S165" s="9"/>
    </row>
    <row r="166" spans="1:19" ht="12.75">
      <c r="A166" s="6"/>
      <c r="B166" s="9"/>
      <c r="C166" s="22"/>
      <c r="D166" s="179"/>
      <c r="E166" s="22"/>
      <c r="F166" s="6"/>
      <c r="G166" s="6"/>
      <c r="H166" s="6"/>
      <c r="I166" s="6"/>
      <c r="J166" s="6"/>
      <c r="K166" s="179"/>
      <c r="L166" s="6"/>
      <c r="M166" s="6"/>
      <c r="N166" s="53"/>
      <c r="O166" s="9"/>
      <c r="P166" s="9"/>
      <c r="Q166" s="6"/>
      <c r="R166" s="52"/>
      <c r="S166" s="9"/>
    </row>
    <row r="167" spans="1:19" ht="12.75">
      <c r="A167" s="6"/>
      <c r="B167" s="9"/>
      <c r="C167" s="22"/>
      <c r="D167" s="179"/>
      <c r="E167" s="22"/>
      <c r="F167" s="6"/>
      <c r="G167" s="6"/>
      <c r="H167" s="6"/>
      <c r="I167" s="6"/>
      <c r="J167" s="6"/>
      <c r="K167" s="179"/>
      <c r="L167" s="6"/>
      <c r="M167" s="6"/>
      <c r="N167" s="53"/>
      <c r="O167" s="9"/>
      <c r="P167" s="9"/>
      <c r="Q167" s="6"/>
      <c r="R167" s="52"/>
      <c r="S167" s="9"/>
    </row>
    <row r="168" spans="1:19" ht="12.75">
      <c r="A168" s="6"/>
      <c r="B168" s="9"/>
      <c r="C168" s="22"/>
      <c r="D168" s="179"/>
      <c r="E168" s="22"/>
      <c r="F168" s="6"/>
      <c r="G168" s="6"/>
      <c r="H168" s="6"/>
      <c r="I168" s="6"/>
      <c r="J168" s="6"/>
      <c r="K168" s="179"/>
      <c r="L168" s="6"/>
      <c r="M168" s="6"/>
      <c r="N168" s="53"/>
      <c r="O168" s="9"/>
      <c r="P168" s="9"/>
      <c r="Q168" s="6"/>
      <c r="R168" s="52"/>
      <c r="S168" s="9"/>
    </row>
    <row r="169" spans="1:19" ht="12.75">
      <c r="A169" s="6"/>
      <c r="B169" s="9"/>
      <c r="C169" s="22"/>
      <c r="D169" s="179"/>
      <c r="E169" s="22"/>
      <c r="F169" s="6"/>
      <c r="G169" s="6"/>
      <c r="H169" s="6"/>
      <c r="I169" s="6"/>
      <c r="J169" s="6"/>
      <c r="K169" s="179"/>
      <c r="L169" s="6"/>
      <c r="M169" s="6"/>
      <c r="N169" s="53"/>
      <c r="O169" s="9"/>
      <c r="P169" s="9"/>
      <c r="Q169" s="6"/>
      <c r="R169" s="52"/>
      <c r="S169" s="9"/>
    </row>
    <row r="170" spans="1:19" ht="12.75">
      <c r="A170" s="6"/>
      <c r="B170" s="9"/>
      <c r="C170" s="22"/>
      <c r="D170" s="179"/>
      <c r="E170" s="22"/>
      <c r="F170" s="6"/>
      <c r="G170" s="6"/>
      <c r="H170" s="6"/>
      <c r="I170" s="6"/>
      <c r="J170" s="6"/>
      <c r="K170" s="179"/>
      <c r="L170" s="6"/>
      <c r="M170" s="6"/>
      <c r="N170" s="53"/>
      <c r="O170" s="9"/>
      <c r="P170" s="9"/>
      <c r="Q170" s="6"/>
      <c r="R170" s="52"/>
      <c r="S170" s="9"/>
    </row>
    <row r="171" spans="1:19" ht="12.75">
      <c r="A171" s="6"/>
      <c r="B171" s="9"/>
      <c r="C171" s="22"/>
      <c r="D171" s="179"/>
      <c r="E171" s="22"/>
      <c r="F171" s="6"/>
      <c r="G171" s="6"/>
      <c r="H171" s="6"/>
      <c r="I171" s="6"/>
      <c r="J171" s="6"/>
      <c r="K171" s="179"/>
      <c r="L171" s="6"/>
      <c r="M171" s="6"/>
      <c r="N171" s="53"/>
      <c r="O171" s="9"/>
      <c r="P171" s="9"/>
      <c r="Q171" s="6"/>
      <c r="R171" s="52"/>
      <c r="S171" s="9"/>
    </row>
    <row r="172" spans="1:19" ht="12.75">
      <c r="A172" s="6"/>
      <c r="B172" s="9"/>
      <c r="C172" s="22"/>
      <c r="D172" s="179"/>
      <c r="E172" s="22"/>
      <c r="F172" s="6"/>
      <c r="G172" s="6"/>
      <c r="H172" s="6"/>
      <c r="I172" s="6"/>
      <c r="J172" s="6"/>
      <c r="K172" s="179"/>
      <c r="L172" s="6"/>
      <c r="M172" s="6"/>
      <c r="N172" s="53"/>
      <c r="O172" s="9"/>
      <c r="P172" s="9"/>
      <c r="Q172" s="6"/>
      <c r="R172" s="52"/>
      <c r="S172" s="9"/>
    </row>
    <row r="173" spans="1:19" ht="12.75">
      <c r="A173" s="6"/>
      <c r="B173" s="9"/>
      <c r="C173" s="22"/>
      <c r="D173" s="179"/>
      <c r="E173" s="22"/>
      <c r="F173" s="6"/>
      <c r="G173" s="6"/>
      <c r="H173" s="6"/>
      <c r="I173" s="6"/>
      <c r="J173" s="6"/>
      <c r="K173" s="179"/>
      <c r="L173" s="6"/>
      <c r="M173" s="6"/>
      <c r="N173" s="53"/>
      <c r="O173" s="9"/>
      <c r="P173" s="9"/>
      <c r="Q173" s="6"/>
      <c r="R173" s="52"/>
      <c r="S173" s="9"/>
    </row>
    <row r="174" spans="1:19" ht="12.75">
      <c r="A174" s="6"/>
      <c r="B174" s="9"/>
      <c r="C174" s="22"/>
      <c r="D174" s="179"/>
      <c r="E174" s="22"/>
      <c r="F174" s="6"/>
      <c r="G174" s="6"/>
      <c r="H174" s="6"/>
      <c r="I174" s="6"/>
      <c r="J174" s="6"/>
      <c r="K174" s="179"/>
      <c r="L174" s="6"/>
      <c r="M174" s="6"/>
      <c r="N174" s="53"/>
      <c r="O174" s="9"/>
      <c r="P174" s="9"/>
      <c r="Q174" s="6"/>
      <c r="R174" s="52"/>
      <c r="S174" s="9"/>
    </row>
    <row r="175" spans="1:19" ht="12.75">
      <c r="A175" s="6"/>
      <c r="B175" s="9"/>
      <c r="C175" s="22"/>
      <c r="D175" s="179"/>
      <c r="E175" s="22"/>
      <c r="F175" s="6"/>
      <c r="G175" s="6"/>
      <c r="H175" s="6"/>
      <c r="I175" s="6"/>
      <c r="J175" s="6"/>
      <c r="K175" s="179"/>
      <c r="L175" s="6"/>
      <c r="M175" s="6"/>
      <c r="N175" s="53"/>
      <c r="O175" s="9"/>
      <c r="P175" s="9"/>
      <c r="Q175" s="6"/>
      <c r="R175" s="52"/>
      <c r="S175" s="9"/>
    </row>
    <row r="176" spans="1:19" ht="12.75">
      <c r="A176" s="6"/>
      <c r="B176" s="9"/>
      <c r="C176" s="22"/>
      <c r="D176" s="179"/>
      <c r="E176" s="22"/>
      <c r="F176" s="6"/>
      <c r="G176" s="6"/>
      <c r="H176" s="6"/>
      <c r="I176" s="6"/>
      <c r="J176" s="6"/>
      <c r="K176" s="179"/>
      <c r="L176" s="6"/>
      <c r="M176" s="6"/>
      <c r="N176" s="53"/>
      <c r="O176" s="9"/>
      <c r="P176" s="9"/>
      <c r="Q176" s="6"/>
      <c r="R176" s="52"/>
      <c r="S176" s="9"/>
    </row>
    <row r="177" spans="1:19" ht="12.75">
      <c r="A177" s="6"/>
      <c r="B177" s="9"/>
      <c r="C177" s="22"/>
      <c r="D177" s="179"/>
      <c r="E177" s="22"/>
      <c r="F177" s="6"/>
      <c r="G177" s="6"/>
      <c r="H177" s="6"/>
      <c r="I177" s="6"/>
      <c r="J177" s="6"/>
      <c r="K177" s="179"/>
      <c r="L177" s="6"/>
      <c r="M177" s="6"/>
      <c r="N177" s="53"/>
      <c r="O177" s="9"/>
      <c r="P177" s="9"/>
      <c r="Q177" s="6"/>
      <c r="R177" s="52"/>
      <c r="S177" s="9"/>
    </row>
    <row r="178" spans="1:19" ht="12.75">
      <c r="A178" s="6"/>
      <c r="B178" s="9"/>
      <c r="C178" s="22"/>
      <c r="D178" s="179"/>
      <c r="E178" s="22"/>
      <c r="F178" s="6"/>
      <c r="G178" s="6"/>
      <c r="H178" s="6"/>
      <c r="I178" s="6"/>
      <c r="J178" s="6"/>
      <c r="K178" s="179"/>
      <c r="L178" s="6"/>
      <c r="M178" s="6"/>
      <c r="N178" s="53"/>
      <c r="O178" s="9"/>
      <c r="P178" s="9"/>
      <c r="Q178" s="6"/>
      <c r="R178" s="52"/>
      <c r="S178" s="9"/>
    </row>
    <row r="179" spans="1:19" ht="12.75">
      <c r="A179" s="6"/>
      <c r="B179" s="9"/>
      <c r="C179" s="22"/>
      <c r="D179" s="179"/>
      <c r="E179" s="22"/>
      <c r="F179" s="6"/>
      <c r="G179" s="6"/>
      <c r="H179" s="6"/>
      <c r="I179" s="6"/>
      <c r="J179" s="6"/>
      <c r="K179" s="179"/>
      <c r="L179" s="6"/>
      <c r="M179" s="6"/>
      <c r="N179" s="53"/>
      <c r="O179" s="9"/>
      <c r="P179" s="9"/>
      <c r="Q179" s="6"/>
      <c r="R179" s="52"/>
      <c r="S179" s="9"/>
    </row>
    <row r="180" spans="1:19" ht="12.75">
      <c r="A180" s="6"/>
      <c r="B180" s="9"/>
      <c r="C180" s="22"/>
      <c r="D180" s="179"/>
      <c r="E180" s="22"/>
      <c r="F180" s="6"/>
      <c r="G180" s="6"/>
      <c r="H180" s="6"/>
      <c r="I180" s="6"/>
      <c r="J180" s="6"/>
      <c r="K180" s="179"/>
      <c r="L180" s="6"/>
      <c r="M180" s="6"/>
      <c r="N180" s="53"/>
      <c r="O180" s="9"/>
      <c r="P180" s="9"/>
      <c r="Q180" s="6"/>
      <c r="R180" s="52"/>
      <c r="S180" s="9"/>
    </row>
    <row r="181" spans="1:19" ht="12.75">
      <c r="A181" s="6"/>
      <c r="B181" s="9"/>
      <c r="C181" s="22"/>
      <c r="D181" s="179"/>
      <c r="E181" s="22"/>
      <c r="F181" s="6"/>
      <c r="G181" s="6"/>
      <c r="H181" s="6"/>
      <c r="I181" s="6"/>
      <c r="J181" s="6"/>
      <c r="K181" s="179"/>
      <c r="L181" s="6"/>
      <c r="M181" s="6"/>
      <c r="N181" s="53"/>
      <c r="O181" s="9"/>
      <c r="P181" s="9"/>
      <c r="Q181" s="6"/>
      <c r="R181" s="52"/>
      <c r="S181" s="9"/>
    </row>
  </sheetData>
  <hyperlinks>
    <hyperlink ref="J2" r:id="rId1" xr:uid="{00000000-0004-0000-1700-000000000000}"/>
    <hyperlink ref="O2" r:id="rId2" xr:uid="{00000000-0004-0000-1700-000001000000}"/>
    <hyperlink ref="J3" r:id="rId3" xr:uid="{00000000-0004-0000-1700-000002000000}"/>
    <hyperlink ref="O3" r:id="rId4" xr:uid="{00000000-0004-0000-1700-000003000000}"/>
    <hyperlink ref="J4" r:id="rId5" xr:uid="{00000000-0004-0000-1700-000004000000}"/>
    <hyperlink ref="O4" r:id="rId6" xr:uid="{00000000-0004-0000-1700-000005000000}"/>
    <hyperlink ref="J5" r:id="rId7" xr:uid="{00000000-0004-0000-1700-000006000000}"/>
    <hyperlink ref="O5" r:id="rId8" xr:uid="{00000000-0004-0000-1700-000007000000}"/>
    <hyperlink ref="J6" r:id="rId9" xr:uid="{00000000-0004-0000-1700-000008000000}"/>
    <hyperlink ref="O6" r:id="rId10" xr:uid="{00000000-0004-0000-1700-000009000000}"/>
    <hyperlink ref="J7" r:id="rId11" xr:uid="{00000000-0004-0000-1700-00000A000000}"/>
    <hyperlink ref="O7" r:id="rId12" xr:uid="{00000000-0004-0000-1700-00000B000000}"/>
    <hyperlink ref="J8" r:id="rId13" xr:uid="{00000000-0004-0000-1700-00000C000000}"/>
    <hyperlink ref="O8" r:id="rId14" xr:uid="{00000000-0004-0000-1700-00000D000000}"/>
    <hyperlink ref="J9" r:id="rId15" xr:uid="{00000000-0004-0000-1700-00000E000000}"/>
    <hyperlink ref="O9" r:id="rId16" xr:uid="{00000000-0004-0000-1700-00000F000000}"/>
    <hyperlink ref="J10" r:id="rId17" xr:uid="{00000000-0004-0000-1700-000010000000}"/>
    <hyperlink ref="O10" r:id="rId18" xr:uid="{00000000-0004-0000-1700-000011000000}"/>
    <hyperlink ref="J11" r:id="rId19" xr:uid="{00000000-0004-0000-1700-000012000000}"/>
    <hyperlink ref="O11" r:id="rId20" xr:uid="{00000000-0004-0000-1700-000013000000}"/>
    <hyperlink ref="J12" r:id="rId21" xr:uid="{00000000-0004-0000-1700-000014000000}"/>
    <hyperlink ref="O12" r:id="rId22" xr:uid="{00000000-0004-0000-1700-000015000000}"/>
    <hyperlink ref="J13" r:id="rId23" xr:uid="{00000000-0004-0000-1700-000016000000}"/>
    <hyperlink ref="O13" r:id="rId24" xr:uid="{00000000-0004-0000-1700-000017000000}"/>
    <hyperlink ref="J14" r:id="rId25" xr:uid="{00000000-0004-0000-1700-000018000000}"/>
    <hyperlink ref="O14" r:id="rId26" xr:uid="{00000000-0004-0000-1700-000019000000}"/>
    <hyperlink ref="J15" r:id="rId27" xr:uid="{00000000-0004-0000-1700-00001A000000}"/>
    <hyperlink ref="O15" r:id="rId28" xr:uid="{00000000-0004-0000-1700-00001B000000}"/>
    <hyperlink ref="J16" r:id="rId29" xr:uid="{00000000-0004-0000-1700-00001C000000}"/>
    <hyperlink ref="O16" r:id="rId30" xr:uid="{00000000-0004-0000-1700-00001D000000}"/>
    <hyperlink ref="J17" r:id="rId31" xr:uid="{00000000-0004-0000-1700-00001E000000}"/>
    <hyperlink ref="O17" r:id="rId32" xr:uid="{00000000-0004-0000-1700-00001F000000}"/>
    <hyperlink ref="J18" r:id="rId33" xr:uid="{00000000-0004-0000-1700-000020000000}"/>
    <hyperlink ref="O18" r:id="rId34" xr:uid="{00000000-0004-0000-1700-000021000000}"/>
    <hyperlink ref="J19" r:id="rId35" xr:uid="{00000000-0004-0000-1700-000022000000}"/>
    <hyperlink ref="O19" r:id="rId36" xr:uid="{00000000-0004-0000-1700-000023000000}"/>
    <hyperlink ref="J20" r:id="rId37" xr:uid="{00000000-0004-0000-1700-000024000000}"/>
    <hyperlink ref="O20" r:id="rId38" xr:uid="{00000000-0004-0000-1700-000025000000}"/>
    <hyperlink ref="J21" r:id="rId39" xr:uid="{00000000-0004-0000-1700-000026000000}"/>
    <hyperlink ref="O21" r:id="rId40" xr:uid="{00000000-0004-0000-1700-000027000000}"/>
    <hyperlink ref="J22" r:id="rId41" xr:uid="{00000000-0004-0000-1700-000028000000}"/>
    <hyperlink ref="O22" r:id="rId42" xr:uid="{00000000-0004-0000-1700-000029000000}"/>
    <hyperlink ref="J23" r:id="rId43" xr:uid="{00000000-0004-0000-1700-00002A000000}"/>
    <hyperlink ref="O23" r:id="rId44" xr:uid="{00000000-0004-0000-1700-00002B000000}"/>
    <hyperlink ref="J24" r:id="rId45" xr:uid="{00000000-0004-0000-1700-00002C000000}"/>
    <hyperlink ref="O24" r:id="rId46" xr:uid="{00000000-0004-0000-1700-00002D000000}"/>
    <hyperlink ref="J25" r:id="rId47" xr:uid="{00000000-0004-0000-1700-00002E000000}"/>
    <hyperlink ref="O25" r:id="rId48" xr:uid="{00000000-0004-0000-1700-00002F000000}"/>
    <hyperlink ref="J26" r:id="rId49" xr:uid="{00000000-0004-0000-1700-000030000000}"/>
    <hyperlink ref="O26" r:id="rId50" xr:uid="{00000000-0004-0000-1700-000031000000}"/>
    <hyperlink ref="J27" r:id="rId51" xr:uid="{00000000-0004-0000-1700-000032000000}"/>
    <hyperlink ref="O27" r:id="rId52" xr:uid="{00000000-0004-0000-1700-000033000000}"/>
    <hyperlink ref="J28" r:id="rId53" xr:uid="{00000000-0004-0000-1700-000034000000}"/>
    <hyperlink ref="O28" r:id="rId54" xr:uid="{00000000-0004-0000-1700-000035000000}"/>
    <hyperlink ref="J29" r:id="rId55" xr:uid="{00000000-0004-0000-1700-000036000000}"/>
    <hyperlink ref="O29" r:id="rId56" xr:uid="{00000000-0004-0000-1700-000037000000}"/>
    <hyperlink ref="J30" r:id="rId57" xr:uid="{00000000-0004-0000-1700-000038000000}"/>
    <hyperlink ref="O30" r:id="rId58" xr:uid="{00000000-0004-0000-1700-000039000000}"/>
    <hyperlink ref="J31" r:id="rId59" xr:uid="{00000000-0004-0000-1700-00003A000000}"/>
    <hyperlink ref="O31" r:id="rId60" xr:uid="{00000000-0004-0000-1700-00003B000000}"/>
    <hyperlink ref="J32" r:id="rId61" xr:uid="{00000000-0004-0000-1700-00003C000000}"/>
    <hyperlink ref="O32" r:id="rId62" xr:uid="{00000000-0004-0000-1700-00003D000000}"/>
    <hyperlink ref="J33" r:id="rId63" xr:uid="{00000000-0004-0000-1700-00003E000000}"/>
    <hyperlink ref="O33" r:id="rId64" xr:uid="{00000000-0004-0000-1700-00003F000000}"/>
    <hyperlink ref="J34" r:id="rId65" xr:uid="{00000000-0004-0000-1700-000040000000}"/>
    <hyperlink ref="O34" r:id="rId66" xr:uid="{00000000-0004-0000-1700-000041000000}"/>
    <hyperlink ref="J35" r:id="rId67" xr:uid="{00000000-0004-0000-1700-000042000000}"/>
    <hyperlink ref="O35" r:id="rId68" xr:uid="{00000000-0004-0000-1700-000043000000}"/>
    <hyperlink ref="J36" r:id="rId69" xr:uid="{00000000-0004-0000-1700-000044000000}"/>
    <hyperlink ref="O36" r:id="rId70" xr:uid="{00000000-0004-0000-1700-000045000000}"/>
    <hyperlink ref="J37" r:id="rId71" xr:uid="{00000000-0004-0000-1700-000046000000}"/>
    <hyperlink ref="O37" r:id="rId72" xr:uid="{00000000-0004-0000-1700-000047000000}"/>
    <hyperlink ref="J38" r:id="rId73" xr:uid="{00000000-0004-0000-1700-000048000000}"/>
    <hyperlink ref="O38" r:id="rId74" xr:uid="{00000000-0004-0000-1700-000049000000}"/>
    <hyperlink ref="J39" r:id="rId75" xr:uid="{00000000-0004-0000-1700-00004A000000}"/>
    <hyperlink ref="O39" r:id="rId76" xr:uid="{00000000-0004-0000-1700-00004B000000}"/>
    <hyperlink ref="J40" r:id="rId77" xr:uid="{00000000-0004-0000-1700-00004C000000}"/>
    <hyperlink ref="O40" r:id="rId78" xr:uid="{00000000-0004-0000-1700-00004D000000}"/>
    <hyperlink ref="J41" r:id="rId79" xr:uid="{00000000-0004-0000-1700-00004E000000}"/>
    <hyperlink ref="O41" r:id="rId80" xr:uid="{00000000-0004-0000-1700-00004F000000}"/>
    <hyperlink ref="J42" r:id="rId81" xr:uid="{00000000-0004-0000-1700-000050000000}"/>
    <hyperlink ref="O42" r:id="rId82" xr:uid="{00000000-0004-0000-1700-000051000000}"/>
    <hyperlink ref="J43" r:id="rId83" xr:uid="{00000000-0004-0000-1700-000052000000}"/>
    <hyperlink ref="O43" r:id="rId84" xr:uid="{00000000-0004-0000-1700-000053000000}"/>
    <hyperlink ref="J44" r:id="rId85" xr:uid="{00000000-0004-0000-1700-000054000000}"/>
    <hyperlink ref="O44" r:id="rId86" xr:uid="{00000000-0004-0000-1700-000055000000}"/>
    <hyperlink ref="J45" r:id="rId87" xr:uid="{00000000-0004-0000-1700-000056000000}"/>
    <hyperlink ref="O45" r:id="rId88" xr:uid="{00000000-0004-0000-1700-000057000000}"/>
    <hyperlink ref="J46" r:id="rId89" xr:uid="{00000000-0004-0000-1700-000058000000}"/>
    <hyperlink ref="O46" r:id="rId90" xr:uid="{00000000-0004-0000-1700-000059000000}"/>
    <hyperlink ref="J47" r:id="rId91" xr:uid="{00000000-0004-0000-1700-00005A000000}"/>
    <hyperlink ref="O47" r:id="rId92" xr:uid="{00000000-0004-0000-1700-00005B000000}"/>
    <hyperlink ref="J48" r:id="rId93" xr:uid="{00000000-0004-0000-1700-00005C000000}"/>
    <hyperlink ref="O48" r:id="rId94" xr:uid="{00000000-0004-0000-1700-00005D000000}"/>
    <hyperlink ref="J49" r:id="rId95" xr:uid="{00000000-0004-0000-1700-00005E000000}"/>
    <hyperlink ref="O49" r:id="rId96" xr:uid="{00000000-0004-0000-1700-00005F000000}"/>
    <hyperlink ref="J50" r:id="rId97" xr:uid="{00000000-0004-0000-1700-000060000000}"/>
    <hyperlink ref="O50" r:id="rId98" xr:uid="{00000000-0004-0000-1700-000061000000}"/>
    <hyperlink ref="J51" r:id="rId99" xr:uid="{00000000-0004-0000-1700-000062000000}"/>
    <hyperlink ref="O51" r:id="rId100" xr:uid="{00000000-0004-0000-1700-000063000000}"/>
    <hyperlink ref="J52" r:id="rId101" xr:uid="{00000000-0004-0000-1700-000064000000}"/>
    <hyperlink ref="O52" r:id="rId102" xr:uid="{00000000-0004-0000-1700-000065000000}"/>
    <hyperlink ref="J53" r:id="rId103" xr:uid="{00000000-0004-0000-1700-000066000000}"/>
    <hyperlink ref="O53" r:id="rId104" xr:uid="{00000000-0004-0000-1700-000067000000}"/>
    <hyperlink ref="J54" r:id="rId105" xr:uid="{00000000-0004-0000-1700-000068000000}"/>
    <hyperlink ref="O54" r:id="rId106" xr:uid="{00000000-0004-0000-1700-000069000000}"/>
    <hyperlink ref="J55" r:id="rId107" xr:uid="{00000000-0004-0000-1700-00006A000000}"/>
    <hyperlink ref="O55" r:id="rId108" xr:uid="{00000000-0004-0000-1700-00006B000000}"/>
    <hyperlink ref="J56" r:id="rId109" xr:uid="{00000000-0004-0000-1700-00006C000000}"/>
    <hyperlink ref="O56" r:id="rId110" xr:uid="{00000000-0004-0000-1700-00006D000000}"/>
    <hyperlink ref="J57" r:id="rId111" xr:uid="{00000000-0004-0000-1700-00006E000000}"/>
    <hyperlink ref="O57" r:id="rId112" xr:uid="{00000000-0004-0000-1700-00006F000000}"/>
    <hyperlink ref="J58" r:id="rId113" xr:uid="{00000000-0004-0000-1700-000070000000}"/>
    <hyperlink ref="O58" r:id="rId114" xr:uid="{00000000-0004-0000-1700-000071000000}"/>
    <hyperlink ref="J59" r:id="rId115" xr:uid="{00000000-0004-0000-1700-000072000000}"/>
    <hyperlink ref="O59" r:id="rId116" xr:uid="{00000000-0004-0000-1700-000073000000}"/>
    <hyperlink ref="J60" r:id="rId117" xr:uid="{00000000-0004-0000-1700-000074000000}"/>
    <hyperlink ref="O60" r:id="rId118" xr:uid="{00000000-0004-0000-1700-000075000000}"/>
    <hyperlink ref="J61" r:id="rId119" xr:uid="{00000000-0004-0000-1700-000076000000}"/>
    <hyperlink ref="O61" r:id="rId120" xr:uid="{00000000-0004-0000-1700-000077000000}"/>
    <hyperlink ref="J62" r:id="rId121" xr:uid="{00000000-0004-0000-1700-000078000000}"/>
    <hyperlink ref="O62" r:id="rId122" xr:uid="{00000000-0004-0000-1700-000079000000}"/>
    <hyperlink ref="J63" r:id="rId123" xr:uid="{00000000-0004-0000-1700-00007A000000}"/>
    <hyperlink ref="O63" r:id="rId124" xr:uid="{00000000-0004-0000-1700-00007B000000}"/>
    <hyperlink ref="O65" r:id="rId125" xr:uid="{00000000-0004-0000-1700-00007C000000}"/>
    <hyperlink ref="O66" r:id="rId126" xr:uid="{00000000-0004-0000-1700-00007D000000}"/>
    <hyperlink ref="O67" r:id="rId127" xr:uid="{00000000-0004-0000-1700-00007E000000}"/>
    <hyperlink ref="O68" r:id="rId128" xr:uid="{00000000-0004-0000-1700-00007F000000}"/>
    <hyperlink ref="O69" r:id="rId129" xr:uid="{00000000-0004-0000-1700-000080000000}"/>
    <hyperlink ref="O70" r:id="rId130" xr:uid="{00000000-0004-0000-1700-000081000000}"/>
    <hyperlink ref="O71" r:id="rId131" xr:uid="{00000000-0004-0000-1700-000082000000}"/>
    <hyperlink ref="O72" r:id="rId132" xr:uid="{00000000-0004-0000-1700-000083000000}"/>
    <hyperlink ref="O73" r:id="rId133" xr:uid="{00000000-0004-0000-1700-000084000000}"/>
    <hyperlink ref="O74" r:id="rId134" xr:uid="{00000000-0004-0000-1700-000085000000}"/>
    <hyperlink ref="O75" r:id="rId135" xr:uid="{00000000-0004-0000-1700-000086000000}"/>
    <hyperlink ref="O76" r:id="rId136" xr:uid="{00000000-0004-0000-1700-000087000000}"/>
    <hyperlink ref="O77" r:id="rId137" xr:uid="{00000000-0004-0000-1700-000088000000}"/>
    <hyperlink ref="O78" r:id="rId138" xr:uid="{00000000-0004-0000-1700-000089000000}"/>
    <hyperlink ref="O79" r:id="rId139" xr:uid="{00000000-0004-0000-1700-00008A000000}"/>
    <hyperlink ref="O80" r:id="rId140" xr:uid="{00000000-0004-0000-1700-00008B000000}"/>
    <hyperlink ref="O81" r:id="rId141" xr:uid="{00000000-0004-0000-1700-00008C000000}"/>
    <hyperlink ref="O82" r:id="rId142" xr:uid="{00000000-0004-0000-1700-00008D000000}"/>
    <hyperlink ref="O83" r:id="rId143" xr:uid="{00000000-0004-0000-1700-00008E000000}"/>
    <hyperlink ref="O84" r:id="rId144" xr:uid="{00000000-0004-0000-1700-00008F000000}"/>
    <hyperlink ref="O85" r:id="rId145" xr:uid="{00000000-0004-0000-1700-000090000000}"/>
    <hyperlink ref="O86" r:id="rId146" xr:uid="{00000000-0004-0000-1700-000091000000}"/>
    <hyperlink ref="O87" r:id="rId147" xr:uid="{00000000-0004-0000-1700-000092000000}"/>
    <hyperlink ref="O88" r:id="rId148" xr:uid="{00000000-0004-0000-1700-000093000000}"/>
    <hyperlink ref="O89" r:id="rId149" xr:uid="{00000000-0004-0000-1700-000094000000}"/>
    <hyperlink ref="O90" r:id="rId150" xr:uid="{00000000-0004-0000-1700-000095000000}"/>
    <hyperlink ref="O91" r:id="rId151" xr:uid="{00000000-0004-0000-1700-000096000000}"/>
    <hyperlink ref="O92" r:id="rId152" xr:uid="{00000000-0004-0000-1700-000097000000}"/>
    <hyperlink ref="O93" r:id="rId153" xr:uid="{00000000-0004-0000-1700-000098000000}"/>
    <hyperlink ref="O94" r:id="rId154" xr:uid="{00000000-0004-0000-1700-000099000000}"/>
    <hyperlink ref="O95" r:id="rId155" xr:uid="{00000000-0004-0000-1700-00009A000000}"/>
    <hyperlink ref="O96" r:id="rId156" xr:uid="{00000000-0004-0000-1700-00009B000000}"/>
    <hyperlink ref="O97" r:id="rId157" xr:uid="{00000000-0004-0000-1700-00009C000000}"/>
    <hyperlink ref="O98" r:id="rId158" xr:uid="{00000000-0004-0000-1700-00009D000000}"/>
    <hyperlink ref="O99" r:id="rId159" xr:uid="{00000000-0004-0000-1700-00009E000000}"/>
    <hyperlink ref="O101" r:id="rId160" xr:uid="{00000000-0004-0000-1700-00009F000000}"/>
    <hyperlink ref="O102" r:id="rId161" xr:uid="{00000000-0004-0000-1700-0000A0000000}"/>
    <hyperlink ref="O103" r:id="rId162" xr:uid="{00000000-0004-0000-1700-0000A1000000}"/>
    <hyperlink ref="O104" r:id="rId163" xr:uid="{00000000-0004-0000-1700-0000A2000000}"/>
    <hyperlink ref="O105" r:id="rId164" xr:uid="{00000000-0004-0000-1700-0000A3000000}"/>
    <hyperlink ref="O106" r:id="rId165" xr:uid="{00000000-0004-0000-1700-0000A4000000}"/>
    <hyperlink ref="O107" r:id="rId166" xr:uid="{00000000-0004-0000-1700-0000A5000000}"/>
    <hyperlink ref="O108" r:id="rId167" xr:uid="{00000000-0004-0000-1700-0000A6000000}"/>
    <hyperlink ref="O109" r:id="rId168" xr:uid="{00000000-0004-0000-1700-0000A7000000}"/>
    <hyperlink ref="O110" r:id="rId169" xr:uid="{00000000-0004-0000-1700-0000A8000000}"/>
    <hyperlink ref="O111" r:id="rId170" xr:uid="{00000000-0004-0000-1700-0000A9000000}"/>
    <hyperlink ref="O112" r:id="rId171" xr:uid="{00000000-0004-0000-1700-0000AA000000}"/>
    <hyperlink ref="O113" r:id="rId172" xr:uid="{00000000-0004-0000-1700-0000AB000000}"/>
    <hyperlink ref="O114" r:id="rId173" xr:uid="{00000000-0004-0000-1700-0000AC000000}"/>
    <hyperlink ref="O115" r:id="rId174" xr:uid="{00000000-0004-0000-1700-0000AD000000}"/>
    <hyperlink ref="O116" r:id="rId175" xr:uid="{00000000-0004-0000-1700-0000AE000000}"/>
    <hyperlink ref="O117" r:id="rId176" xr:uid="{00000000-0004-0000-1700-0000AF000000}"/>
    <hyperlink ref="O118" r:id="rId177" xr:uid="{00000000-0004-0000-1700-0000B0000000}"/>
    <hyperlink ref="O119" r:id="rId178" xr:uid="{00000000-0004-0000-1700-0000B1000000}"/>
    <hyperlink ref="O120" r:id="rId179" xr:uid="{00000000-0004-0000-1700-0000B2000000}"/>
    <hyperlink ref="O121" r:id="rId180" xr:uid="{00000000-0004-0000-1700-0000B3000000}"/>
    <hyperlink ref="O122" r:id="rId181" xr:uid="{00000000-0004-0000-1700-0000B4000000}"/>
    <hyperlink ref="O123" r:id="rId182" xr:uid="{00000000-0004-0000-1700-0000B5000000}"/>
    <hyperlink ref="O124" r:id="rId183" xr:uid="{00000000-0004-0000-1700-0000B6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S2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2" max="2" width="12.7109375" customWidth="1"/>
    <col min="3" max="3" width="17.140625" customWidth="1"/>
    <col min="4" max="4" width="16.42578125" hidden="1" customWidth="1"/>
    <col min="5" max="5" width="37.140625" customWidth="1"/>
    <col min="6" max="6" width="53.28515625" customWidth="1"/>
    <col min="7" max="7" width="48.7109375" customWidth="1"/>
    <col min="8" max="8" width="21.85546875" customWidth="1"/>
    <col min="9" max="9" width="38.7109375" customWidth="1"/>
    <col min="10" max="10" width="30.7109375" customWidth="1"/>
    <col min="11" max="11" width="53.28515625" customWidth="1"/>
    <col min="12" max="14" width="15.5703125" customWidth="1"/>
    <col min="15" max="15" width="35.28515625" customWidth="1"/>
    <col min="16" max="16" width="25.85546875" customWidth="1"/>
    <col min="17" max="17" width="15.7109375" customWidth="1"/>
    <col min="19" max="19" width="22.140625" customWidth="1"/>
  </cols>
  <sheetData>
    <row r="1" spans="1:19" ht="25.5">
      <c r="A1" s="466" t="s">
        <v>6259</v>
      </c>
      <c r="B1" s="466" t="s">
        <v>4</v>
      </c>
      <c r="C1" s="466" t="s">
        <v>389</v>
      </c>
      <c r="D1" s="274" t="s">
        <v>7661</v>
      </c>
      <c r="E1" s="274" t="s">
        <v>5634</v>
      </c>
      <c r="F1" s="274" t="s">
        <v>6</v>
      </c>
      <c r="G1" s="274" t="s">
        <v>7</v>
      </c>
      <c r="H1" s="492" t="s">
        <v>5627</v>
      </c>
      <c r="I1" s="274" t="s">
        <v>8</v>
      </c>
      <c r="J1" s="466" t="s">
        <v>1821</v>
      </c>
      <c r="K1" s="274" t="s">
        <v>1822</v>
      </c>
      <c r="L1" s="274" t="s">
        <v>5631</v>
      </c>
      <c r="M1" s="274" t="s">
        <v>6260</v>
      </c>
      <c r="N1" s="274" t="s">
        <v>6261</v>
      </c>
      <c r="O1" s="274" t="s">
        <v>7662</v>
      </c>
      <c r="P1" s="274" t="s">
        <v>6060</v>
      </c>
      <c r="Q1" s="466" t="s">
        <v>1818</v>
      </c>
      <c r="R1" s="319" t="s">
        <v>5633</v>
      </c>
      <c r="S1" s="318" t="s">
        <v>5628</v>
      </c>
    </row>
    <row r="2" spans="1:19" ht="30.75" customHeight="1">
      <c r="A2" s="61">
        <v>41640</v>
      </c>
      <c r="B2" s="6" t="s">
        <v>1383</v>
      </c>
      <c r="C2" s="9" t="s">
        <v>6872</v>
      </c>
      <c r="D2" s="178"/>
      <c r="E2" s="472" t="s">
        <v>7663</v>
      </c>
      <c r="F2" s="158" t="s">
        <v>4484</v>
      </c>
      <c r="G2" s="158" t="s">
        <v>4485</v>
      </c>
      <c r="H2" s="8">
        <v>336300</v>
      </c>
      <c r="I2" s="292"/>
      <c r="J2" s="6"/>
      <c r="K2" s="178"/>
      <c r="L2" s="179"/>
      <c r="M2" s="6" t="s">
        <v>22</v>
      </c>
      <c r="N2" s="9"/>
      <c r="O2" s="52"/>
      <c r="P2" s="9" t="s">
        <v>6189</v>
      </c>
      <c r="Q2" s="6" t="s">
        <v>1824</v>
      </c>
      <c r="R2" s="10"/>
      <c r="S2" s="6"/>
    </row>
    <row r="3" spans="1:19" ht="30" customHeight="1">
      <c r="A3" s="61">
        <v>41671</v>
      </c>
      <c r="B3" s="6" t="s">
        <v>1383</v>
      </c>
      <c r="C3" s="9" t="s">
        <v>6872</v>
      </c>
      <c r="D3" s="179"/>
      <c r="E3" s="291" t="s">
        <v>7664</v>
      </c>
      <c r="F3" s="6" t="s">
        <v>4486</v>
      </c>
      <c r="G3" s="6" t="s">
        <v>2331</v>
      </c>
      <c r="H3" s="8">
        <v>2023600</v>
      </c>
      <c r="I3" s="160" t="s">
        <v>4487</v>
      </c>
      <c r="J3" s="6" t="s">
        <v>7389</v>
      </c>
      <c r="K3" s="179"/>
      <c r="L3" s="179"/>
      <c r="M3" s="6" t="s">
        <v>22</v>
      </c>
      <c r="N3" s="9"/>
      <c r="O3" s="52"/>
      <c r="P3" s="9" t="s">
        <v>6064</v>
      </c>
      <c r="Q3" s="6" t="s">
        <v>1824</v>
      </c>
      <c r="R3" s="10"/>
      <c r="S3" s="6"/>
    </row>
    <row r="4" spans="1:19" ht="39.75" customHeight="1">
      <c r="A4" s="61">
        <v>41699</v>
      </c>
      <c r="B4" s="6" t="s">
        <v>62</v>
      </c>
      <c r="C4" s="9" t="s">
        <v>6872</v>
      </c>
      <c r="D4" s="179"/>
      <c r="E4" s="291" t="s">
        <v>7665</v>
      </c>
      <c r="F4" s="6" t="s">
        <v>4488</v>
      </c>
      <c r="G4" s="292" t="s">
        <v>4489</v>
      </c>
      <c r="H4" s="8">
        <v>491892</v>
      </c>
      <c r="I4" s="160" t="s">
        <v>4490</v>
      </c>
      <c r="J4" s="6" t="s">
        <v>7389</v>
      </c>
      <c r="K4" s="179"/>
      <c r="L4" s="179"/>
      <c r="M4" s="6" t="s">
        <v>6132</v>
      </c>
      <c r="N4" s="9"/>
      <c r="O4" s="52"/>
      <c r="P4" s="9" t="s">
        <v>6064</v>
      </c>
      <c r="Q4" s="6"/>
      <c r="R4" s="10"/>
      <c r="S4" s="6"/>
    </row>
    <row r="5" spans="1:19" ht="30" customHeight="1">
      <c r="A5" s="61">
        <v>41730</v>
      </c>
      <c r="B5" s="6" t="s">
        <v>4151</v>
      </c>
      <c r="C5" s="9" t="s">
        <v>6872</v>
      </c>
      <c r="D5" s="179"/>
      <c r="E5" s="291" t="s">
        <v>7666</v>
      </c>
      <c r="F5" s="6" t="s">
        <v>4491</v>
      </c>
      <c r="G5" s="6" t="s">
        <v>2331</v>
      </c>
      <c r="H5" s="8">
        <v>178000</v>
      </c>
      <c r="I5" s="160" t="s">
        <v>4487</v>
      </c>
      <c r="J5" s="6" t="s">
        <v>7389</v>
      </c>
      <c r="K5" s="179"/>
      <c r="L5" s="179"/>
      <c r="M5" s="6" t="s">
        <v>22</v>
      </c>
      <c r="N5" s="9"/>
      <c r="O5" s="52"/>
      <c r="P5" s="9" t="s">
        <v>6064</v>
      </c>
      <c r="Q5" s="6" t="s">
        <v>1824</v>
      </c>
      <c r="R5" s="10"/>
      <c r="S5" s="6"/>
    </row>
    <row r="6" spans="1:19" ht="36" customHeight="1">
      <c r="A6" s="61">
        <v>41760</v>
      </c>
      <c r="B6" s="6" t="s">
        <v>3075</v>
      </c>
      <c r="C6" s="9" t="s">
        <v>6872</v>
      </c>
      <c r="D6" s="179"/>
      <c r="E6" s="291" t="s">
        <v>7667</v>
      </c>
      <c r="F6" s="6" t="s">
        <v>4492</v>
      </c>
      <c r="G6" s="6" t="s">
        <v>4493</v>
      </c>
      <c r="H6" s="8"/>
      <c r="I6" s="160" t="s">
        <v>4487</v>
      </c>
      <c r="J6" s="6" t="s">
        <v>7389</v>
      </c>
      <c r="K6" s="179"/>
      <c r="L6" s="179"/>
      <c r="M6" s="6" t="s">
        <v>22</v>
      </c>
      <c r="N6" s="9"/>
      <c r="O6" s="52"/>
      <c r="P6" s="9" t="s">
        <v>6189</v>
      </c>
      <c r="Q6" s="6" t="s">
        <v>1824</v>
      </c>
      <c r="R6" s="10"/>
      <c r="S6" s="6"/>
    </row>
    <row r="7" spans="1:19" ht="38.25">
      <c r="A7" s="61">
        <v>41791</v>
      </c>
      <c r="B7" s="6" t="s">
        <v>68</v>
      </c>
      <c r="C7" s="9" t="s">
        <v>6872</v>
      </c>
      <c r="D7" s="179"/>
      <c r="E7" s="291" t="s">
        <v>7668</v>
      </c>
      <c r="F7" s="6" t="s">
        <v>4494</v>
      </c>
      <c r="G7" s="6" t="s">
        <v>4495</v>
      </c>
      <c r="H7" s="8">
        <v>880971</v>
      </c>
      <c r="I7" s="160" t="s">
        <v>4496</v>
      </c>
      <c r="J7" s="6" t="s">
        <v>7389</v>
      </c>
      <c r="K7" s="179"/>
      <c r="L7" s="179"/>
      <c r="M7" s="6" t="s">
        <v>6132</v>
      </c>
      <c r="N7" s="9"/>
      <c r="O7" s="52"/>
      <c r="P7" s="9" t="s">
        <v>6064</v>
      </c>
      <c r="Q7" s="6"/>
      <c r="R7" s="10"/>
      <c r="S7" s="6" t="s">
        <v>7669</v>
      </c>
    </row>
    <row r="8" spans="1:19" ht="37.5" customHeight="1">
      <c r="A8" s="62">
        <v>41821</v>
      </c>
      <c r="B8" s="6"/>
      <c r="C8" s="9" t="s">
        <v>6872</v>
      </c>
      <c r="D8" s="179"/>
      <c r="E8" s="297" t="s">
        <v>7670</v>
      </c>
      <c r="F8" s="6" t="s">
        <v>4497</v>
      </c>
      <c r="G8" s="6" t="s">
        <v>4498</v>
      </c>
      <c r="H8" s="8">
        <v>400000</v>
      </c>
      <c r="I8" s="292" t="s">
        <v>4487</v>
      </c>
      <c r="J8" s="6" t="s">
        <v>7389</v>
      </c>
      <c r="K8" s="179"/>
      <c r="L8" s="179"/>
      <c r="M8" s="6" t="s">
        <v>22</v>
      </c>
      <c r="N8" s="9"/>
      <c r="O8" s="52"/>
      <c r="P8" s="9" t="s">
        <v>6189</v>
      </c>
      <c r="Q8" s="6" t="s">
        <v>1824</v>
      </c>
      <c r="R8" s="10"/>
      <c r="S8" s="6"/>
    </row>
    <row r="9" spans="1:19" ht="38.25">
      <c r="A9" s="61">
        <v>41852</v>
      </c>
      <c r="B9" s="6" t="s">
        <v>1383</v>
      </c>
      <c r="C9" s="9" t="s">
        <v>6872</v>
      </c>
      <c r="D9" s="178"/>
      <c r="E9" s="472" t="s">
        <v>7671</v>
      </c>
      <c r="F9" s="158" t="s">
        <v>4499</v>
      </c>
      <c r="G9" s="158" t="s">
        <v>4500</v>
      </c>
      <c r="H9" s="470">
        <v>200000</v>
      </c>
      <c r="I9" s="292" t="s">
        <v>4487</v>
      </c>
      <c r="J9" s="6" t="s">
        <v>7389</v>
      </c>
      <c r="K9" s="178"/>
      <c r="L9" s="179"/>
      <c r="M9" s="6" t="s">
        <v>22</v>
      </c>
      <c r="N9" s="9"/>
      <c r="O9" s="52"/>
      <c r="P9" s="9" t="s">
        <v>6064</v>
      </c>
      <c r="Q9" s="6" t="s">
        <v>1824</v>
      </c>
      <c r="R9" s="10"/>
      <c r="S9" s="6"/>
    </row>
    <row r="10" spans="1:19" ht="25.5">
      <c r="A10" s="61">
        <v>41883</v>
      </c>
      <c r="B10" s="6" t="s">
        <v>1383</v>
      </c>
      <c r="C10" s="9" t="s">
        <v>6872</v>
      </c>
      <c r="D10" s="179"/>
      <c r="E10" s="297" t="s">
        <v>7672</v>
      </c>
      <c r="F10" s="6" t="s">
        <v>4501</v>
      </c>
      <c r="G10" s="6" t="s">
        <v>4502</v>
      </c>
      <c r="H10" s="8">
        <v>200000</v>
      </c>
      <c r="I10" s="292" t="s">
        <v>4487</v>
      </c>
      <c r="J10" s="6" t="s">
        <v>7389</v>
      </c>
      <c r="K10" s="179"/>
      <c r="L10" s="179"/>
      <c r="M10" s="6" t="s">
        <v>22</v>
      </c>
      <c r="N10" s="9"/>
      <c r="O10" s="52"/>
      <c r="P10" s="9" t="s">
        <v>6064</v>
      </c>
      <c r="Q10" s="6" t="s">
        <v>1824</v>
      </c>
      <c r="R10" s="10"/>
      <c r="S10" s="6"/>
    </row>
    <row r="11" spans="1:19" ht="38.25">
      <c r="A11" s="62">
        <v>41913</v>
      </c>
      <c r="B11" s="6"/>
      <c r="C11" s="9" t="s">
        <v>6872</v>
      </c>
      <c r="D11" s="179"/>
      <c r="E11" s="297" t="s">
        <v>7673</v>
      </c>
      <c r="F11" s="6" t="s">
        <v>4503</v>
      </c>
      <c r="G11" s="6" t="s">
        <v>2171</v>
      </c>
      <c r="H11" s="8">
        <v>750000</v>
      </c>
      <c r="I11" s="160" t="s">
        <v>4504</v>
      </c>
      <c r="J11" s="6" t="s">
        <v>7457</v>
      </c>
      <c r="K11" s="179"/>
      <c r="L11" s="179"/>
      <c r="M11" s="6" t="s">
        <v>22</v>
      </c>
      <c r="N11" s="9"/>
      <c r="O11" s="52"/>
      <c r="P11" s="9" t="s">
        <v>6933</v>
      </c>
      <c r="Q11" s="6" t="s">
        <v>1824</v>
      </c>
      <c r="R11" s="10"/>
      <c r="S11" s="6"/>
    </row>
    <row r="12" spans="1:19" ht="63.75">
      <c r="A12" s="62">
        <v>41944</v>
      </c>
      <c r="B12" s="6" t="s">
        <v>4787</v>
      </c>
      <c r="C12" s="9" t="s">
        <v>6872</v>
      </c>
      <c r="D12" s="179"/>
      <c r="E12" s="297" t="s">
        <v>7674</v>
      </c>
      <c r="F12" s="6" t="s">
        <v>4505</v>
      </c>
      <c r="G12" s="6" t="s">
        <v>4506</v>
      </c>
      <c r="H12" s="8">
        <v>235000</v>
      </c>
      <c r="I12" s="160" t="s">
        <v>2508</v>
      </c>
      <c r="J12" s="6" t="s">
        <v>7389</v>
      </c>
      <c r="K12" s="179"/>
      <c r="L12" s="179"/>
      <c r="M12" s="6" t="s">
        <v>22</v>
      </c>
      <c r="N12" s="9"/>
      <c r="O12" s="52"/>
      <c r="P12" s="9" t="s">
        <v>6064</v>
      </c>
      <c r="Q12" s="6" t="s">
        <v>1824</v>
      </c>
      <c r="R12" s="10"/>
      <c r="S12" s="6"/>
    </row>
    <row r="13" spans="1:19" ht="42.75" customHeight="1">
      <c r="A13" s="6" t="s">
        <v>4507</v>
      </c>
      <c r="B13" s="6" t="s">
        <v>1383</v>
      </c>
      <c r="C13" s="9" t="s">
        <v>6872</v>
      </c>
      <c r="D13" s="179"/>
      <c r="E13" s="297" t="s">
        <v>7675</v>
      </c>
      <c r="F13" s="6" t="s">
        <v>4508</v>
      </c>
      <c r="G13" s="6" t="s">
        <v>4509</v>
      </c>
      <c r="H13" s="8">
        <v>200000</v>
      </c>
      <c r="I13" s="6" t="s">
        <v>3686</v>
      </c>
      <c r="J13" s="6" t="s">
        <v>7539</v>
      </c>
      <c r="K13" s="179"/>
      <c r="L13" s="179"/>
      <c r="M13" s="6" t="s">
        <v>22</v>
      </c>
      <c r="N13" s="9"/>
      <c r="O13" s="52"/>
      <c r="P13" s="9" t="s">
        <v>6064</v>
      </c>
      <c r="Q13" s="6"/>
      <c r="R13" s="10"/>
      <c r="S13" s="6"/>
    </row>
    <row r="14" spans="1:19" ht="46.5" customHeight="1">
      <c r="A14" s="6" t="s">
        <v>4510</v>
      </c>
      <c r="B14" s="6" t="s">
        <v>1383</v>
      </c>
      <c r="C14" s="9" t="s">
        <v>6872</v>
      </c>
      <c r="D14" s="179"/>
      <c r="E14" s="297" t="s">
        <v>7676</v>
      </c>
      <c r="F14" s="6" t="s">
        <v>4511</v>
      </c>
      <c r="G14" s="158" t="s">
        <v>4512</v>
      </c>
      <c r="H14" s="8">
        <v>200000</v>
      </c>
      <c r="I14" s="6"/>
      <c r="J14" s="6"/>
      <c r="K14" s="179"/>
      <c r="L14" s="179"/>
      <c r="M14" s="6" t="s">
        <v>22</v>
      </c>
      <c r="N14" s="9"/>
      <c r="O14" s="52"/>
      <c r="P14" s="9" t="s">
        <v>6064</v>
      </c>
      <c r="Q14" s="6"/>
      <c r="R14" s="10"/>
      <c r="S14" s="6"/>
    </row>
    <row r="15" spans="1:19" ht="48" customHeight="1">
      <c r="A15" s="6" t="s">
        <v>4513</v>
      </c>
      <c r="B15" s="6" t="s">
        <v>1383</v>
      </c>
      <c r="C15" s="9" t="s">
        <v>6872</v>
      </c>
      <c r="D15" s="179"/>
      <c r="E15" s="297" t="s">
        <v>7677</v>
      </c>
      <c r="F15" s="6" t="s">
        <v>4514</v>
      </c>
      <c r="G15" s="158" t="s">
        <v>4515</v>
      </c>
      <c r="H15" s="8">
        <v>200000</v>
      </c>
      <c r="I15" s="160" t="s">
        <v>2293</v>
      </c>
      <c r="J15" s="6" t="s">
        <v>7539</v>
      </c>
      <c r="K15" s="179"/>
      <c r="L15" s="179"/>
      <c r="M15" s="6" t="s">
        <v>22</v>
      </c>
      <c r="N15" s="9"/>
      <c r="O15" s="52"/>
      <c r="P15" s="9" t="s">
        <v>6064</v>
      </c>
      <c r="Q15" s="6" t="s">
        <v>1824</v>
      </c>
      <c r="R15" s="10"/>
      <c r="S15" s="6"/>
    </row>
    <row r="16" spans="1:19" ht="25.5">
      <c r="A16" s="6" t="s">
        <v>4516</v>
      </c>
      <c r="B16" s="6" t="s">
        <v>62</v>
      </c>
      <c r="C16" s="9" t="s">
        <v>6872</v>
      </c>
      <c r="D16" s="178"/>
      <c r="E16" s="472" t="s">
        <v>7678</v>
      </c>
      <c r="F16" s="158" t="s">
        <v>4517</v>
      </c>
      <c r="G16" s="6" t="s">
        <v>4518</v>
      </c>
      <c r="H16" s="8" t="s">
        <v>7679</v>
      </c>
      <c r="I16" s="6" t="s">
        <v>4519</v>
      </c>
      <c r="J16" s="6"/>
      <c r="K16" s="178"/>
      <c r="L16" s="179"/>
      <c r="M16" s="6" t="s">
        <v>6179</v>
      </c>
      <c r="N16" s="9"/>
      <c r="O16" s="52"/>
      <c r="P16" s="9" t="s">
        <v>6064</v>
      </c>
      <c r="Q16" s="6"/>
      <c r="R16" s="10"/>
      <c r="S16" s="6"/>
    </row>
    <row r="17" spans="1:19" ht="25.5">
      <c r="A17" s="6" t="s">
        <v>4520</v>
      </c>
      <c r="B17" s="6"/>
      <c r="C17" s="9" t="s">
        <v>6872</v>
      </c>
      <c r="D17" s="179"/>
      <c r="E17" s="291" t="s">
        <v>7680</v>
      </c>
      <c r="F17" s="6" t="s">
        <v>4522</v>
      </c>
      <c r="G17" s="6" t="s">
        <v>4523</v>
      </c>
      <c r="H17" s="8"/>
      <c r="I17" s="6"/>
      <c r="J17" s="6"/>
      <c r="K17" s="179"/>
      <c r="L17" s="179"/>
      <c r="M17" s="6" t="s">
        <v>6179</v>
      </c>
      <c r="N17" s="9"/>
      <c r="O17" s="52"/>
      <c r="P17" s="9" t="s">
        <v>6064</v>
      </c>
      <c r="Q17" s="6"/>
      <c r="R17" s="10"/>
      <c r="S17" s="6"/>
    </row>
    <row r="18" spans="1:19" ht="25.5">
      <c r="A18" s="6" t="s">
        <v>4524</v>
      </c>
      <c r="B18" s="6" t="s">
        <v>1383</v>
      </c>
      <c r="C18" s="9" t="s">
        <v>6872</v>
      </c>
      <c r="D18" s="179"/>
      <c r="E18" s="291" t="s">
        <v>7681</v>
      </c>
      <c r="F18" s="6" t="s">
        <v>4525</v>
      </c>
      <c r="G18" s="6" t="s">
        <v>4526</v>
      </c>
      <c r="H18" s="8">
        <v>200000</v>
      </c>
      <c r="I18" s="6" t="s">
        <v>4487</v>
      </c>
      <c r="J18" s="6"/>
      <c r="K18" s="179"/>
      <c r="L18" s="179"/>
      <c r="M18" s="6" t="s">
        <v>22</v>
      </c>
      <c r="N18" s="9"/>
      <c r="O18" s="52"/>
      <c r="P18" s="9" t="s">
        <v>6064</v>
      </c>
      <c r="Q18" s="6" t="s">
        <v>1824</v>
      </c>
      <c r="R18" s="10"/>
      <c r="S18" s="6"/>
    </row>
    <row r="19" spans="1:19" ht="89.25">
      <c r="A19" s="6" t="s">
        <v>4527</v>
      </c>
      <c r="B19" s="6"/>
      <c r="C19" s="9" t="s">
        <v>6872</v>
      </c>
      <c r="D19" s="179"/>
      <c r="E19" s="297" t="s">
        <v>7682</v>
      </c>
      <c r="F19" s="6" t="s">
        <v>4528</v>
      </c>
      <c r="G19" s="6" t="s">
        <v>4529</v>
      </c>
      <c r="H19" s="30">
        <v>320000</v>
      </c>
      <c r="I19" s="6"/>
      <c r="J19" s="6"/>
      <c r="K19" s="179"/>
      <c r="L19" s="179"/>
      <c r="M19" s="6" t="s">
        <v>22</v>
      </c>
      <c r="N19" s="9"/>
      <c r="O19" s="52"/>
      <c r="P19" s="9" t="s">
        <v>6933</v>
      </c>
      <c r="Q19" s="6" t="s">
        <v>1824</v>
      </c>
      <c r="R19" s="10"/>
      <c r="S19" s="6" t="s">
        <v>7683</v>
      </c>
    </row>
    <row r="20" spans="1:19" ht="50.25" customHeight="1">
      <c r="A20" s="6" t="s">
        <v>4530</v>
      </c>
      <c r="B20" s="6" t="s">
        <v>7684</v>
      </c>
      <c r="C20" s="9" t="s">
        <v>6872</v>
      </c>
      <c r="D20" s="179"/>
      <c r="E20" s="297" t="s">
        <v>7685</v>
      </c>
      <c r="F20" s="6" t="s">
        <v>4531</v>
      </c>
      <c r="G20" s="6" t="s">
        <v>4493</v>
      </c>
      <c r="H20" s="8">
        <v>250000</v>
      </c>
      <c r="I20" s="160" t="s">
        <v>4487</v>
      </c>
      <c r="J20" s="6" t="s">
        <v>7389</v>
      </c>
      <c r="K20" s="179"/>
      <c r="L20" s="179"/>
      <c r="M20" s="6" t="s">
        <v>22</v>
      </c>
      <c r="N20" s="9"/>
      <c r="O20" s="52"/>
      <c r="P20" s="9" t="s">
        <v>7686</v>
      </c>
      <c r="Q20" s="6" t="s">
        <v>1824</v>
      </c>
      <c r="R20" s="10"/>
      <c r="S20" s="6"/>
    </row>
    <row r="21" spans="1:19" ht="46.5" customHeight="1">
      <c r="A21" s="6" t="s">
        <v>4532</v>
      </c>
      <c r="B21" s="6"/>
      <c r="C21" s="9" t="s">
        <v>6872</v>
      </c>
      <c r="D21" s="179"/>
      <c r="E21" s="297" t="s">
        <v>7687</v>
      </c>
      <c r="F21" s="6" t="s">
        <v>4533</v>
      </c>
      <c r="G21" s="6" t="s">
        <v>4534</v>
      </c>
      <c r="H21" s="30">
        <v>800000</v>
      </c>
      <c r="I21" s="292"/>
      <c r="J21" s="6"/>
      <c r="K21" s="179"/>
      <c r="L21" s="179"/>
      <c r="M21" s="6" t="s">
        <v>22</v>
      </c>
      <c r="N21" s="9"/>
      <c r="O21" s="52"/>
      <c r="P21" s="9" t="s">
        <v>6933</v>
      </c>
      <c r="Q21" s="6"/>
      <c r="R21" s="10"/>
      <c r="S21" s="6" t="s">
        <v>7688</v>
      </c>
    </row>
    <row r="22" spans="1:19" ht="25.5">
      <c r="A22" s="6" t="s">
        <v>4535</v>
      </c>
      <c r="B22" s="6" t="s">
        <v>3092</v>
      </c>
      <c r="C22" s="9" t="s">
        <v>6872</v>
      </c>
      <c r="D22" s="179"/>
      <c r="E22" s="297" t="s">
        <v>7689</v>
      </c>
      <c r="F22" s="6" t="s">
        <v>4536</v>
      </c>
      <c r="G22" s="6" t="s">
        <v>4537</v>
      </c>
      <c r="H22" s="8">
        <v>522000</v>
      </c>
      <c r="I22" s="160" t="s">
        <v>4538</v>
      </c>
      <c r="J22" s="6" t="s">
        <v>7539</v>
      </c>
      <c r="K22" s="179"/>
      <c r="L22" s="179"/>
      <c r="M22" s="6" t="s">
        <v>22</v>
      </c>
      <c r="N22" s="9"/>
      <c r="O22" s="52"/>
      <c r="P22" s="9" t="s">
        <v>6189</v>
      </c>
      <c r="Q22" s="6"/>
      <c r="R22" s="10"/>
      <c r="S22" s="6"/>
    </row>
    <row r="23" spans="1:19" ht="25.5">
      <c r="A23" s="6" t="s">
        <v>4539</v>
      </c>
      <c r="B23" s="6"/>
      <c r="C23" s="9" t="s">
        <v>6872</v>
      </c>
      <c r="D23" s="179"/>
      <c r="E23" s="297" t="s">
        <v>7690</v>
      </c>
      <c r="F23" s="6" t="s">
        <v>4540</v>
      </c>
      <c r="G23" s="6" t="s">
        <v>4541</v>
      </c>
      <c r="H23" s="8">
        <v>850000</v>
      </c>
      <c r="I23" s="531" t="s">
        <v>4542</v>
      </c>
      <c r="J23" s="6" t="s">
        <v>7569</v>
      </c>
      <c r="K23" s="179"/>
      <c r="L23" s="179"/>
      <c r="M23" s="6" t="s">
        <v>22</v>
      </c>
      <c r="N23" s="9"/>
      <c r="O23" s="489" t="s">
        <v>7691</v>
      </c>
      <c r="P23" s="9" t="s">
        <v>6933</v>
      </c>
      <c r="Q23" s="6" t="s">
        <v>1824</v>
      </c>
      <c r="R23" s="10"/>
      <c r="S23" s="6"/>
    </row>
    <row r="24" spans="1:19" ht="51">
      <c r="A24" s="6" t="s">
        <v>4543</v>
      </c>
      <c r="B24" s="6" t="s">
        <v>652</v>
      </c>
      <c r="C24" s="9" t="s">
        <v>6872</v>
      </c>
      <c r="D24" s="179"/>
      <c r="E24" s="297" t="s">
        <v>7692</v>
      </c>
      <c r="F24" s="6" t="s">
        <v>4544</v>
      </c>
      <c r="G24" s="6" t="s">
        <v>7693</v>
      </c>
      <c r="H24" s="8">
        <v>231600</v>
      </c>
      <c r="I24" s="160" t="s">
        <v>4546</v>
      </c>
      <c r="J24" s="6" t="s">
        <v>7694</v>
      </c>
      <c r="K24" s="179"/>
      <c r="L24" s="179"/>
      <c r="M24" s="6" t="s">
        <v>6179</v>
      </c>
      <c r="N24" s="9"/>
      <c r="O24" s="52"/>
      <c r="P24" s="9" t="s">
        <v>6933</v>
      </c>
      <c r="Q24" s="6"/>
      <c r="R24" s="10"/>
      <c r="S24" s="6"/>
    </row>
    <row r="25" spans="1:19" ht="38.25">
      <c r="A25" s="6" t="s">
        <v>7695</v>
      </c>
      <c r="B25" s="6" t="s">
        <v>3538</v>
      </c>
      <c r="C25" s="9" t="s">
        <v>2328</v>
      </c>
      <c r="D25" s="179"/>
      <c r="E25" s="297" t="s">
        <v>7696</v>
      </c>
      <c r="F25" s="6" t="s">
        <v>7697</v>
      </c>
      <c r="G25" s="6" t="s">
        <v>7698</v>
      </c>
      <c r="H25" s="8"/>
      <c r="I25" s="6" t="s">
        <v>7699</v>
      </c>
      <c r="J25" s="6" t="s">
        <v>7643</v>
      </c>
      <c r="K25" s="179"/>
      <c r="L25" s="179"/>
      <c r="M25" s="6" t="s">
        <v>6132</v>
      </c>
      <c r="N25" s="9"/>
      <c r="O25" s="52"/>
      <c r="P25" s="9" t="s">
        <v>6064</v>
      </c>
      <c r="Q25" s="6"/>
      <c r="R25" s="10"/>
      <c r="S25" s="6"/>
    </row>
    <row r="26" spans="1:19" ht="38.25">
      <c r="A26" s="6" t="s">
        <v>7700</v>
      </c>
      <c r="B26" s="6" t="s">
        <v>3538</v>
      </c>
      <c r="C26" s="9" t="s">
        <v>2328</v>
      </c>
      <c r="D26" s="179"/>
      <c r="E26" s="297" t="s">
        <v>7701</v>
      </c>
      <c r="F26" s="6" t="s">
        <v>7702</v>
      </c>
      <c r="G26" s="6" t="s">
        <v>7703</v>
      </c>
      <c r="H26" s="8"/>
      <c r="I26" s="6" t="s">
        <v>7704</v>
      </c>
      <c r="J26" s="6" t="s">
        <v>7573</v>
      </c>
      <c r="K26" s="179"/>
      <c r="L26" s="179"/>
      <c r="M26" s="6" t="s">
        <v>6132</v>
      </c>
      <c r="N26" s="9"/>
      <c r="O26" s="52"/>
      <c r="P26" s="9" t="s">
        <v>6064</v>
      </c>
      <c r="Q26" s="6"/>
      <c r="R26" s="10"/>
      <c r="S26" s="6"/>
    </row>
    <row r="27" spans="1:19" ht="37.5" customHeight="1">
      <c r="A27" s="6" t="s">
        <v>4547</v>
      </c>
      <c r="B27" s="6" t="s">
        <v>62</v>
      </c>
      <c r="C27" s="9" t="s">
        <v>6872</v>
      </c>
      <c r="D27" s="179"/>
      <c r="E27" s="291" t="s">
        <v>7705</v>
      </c>
      <c r="F27" s="6" t="s">
        <v>4548</v>
      </c>
      <c r="G27" s="6" t="s">
        <v>4549</v>
      </c>
      <c r="H27" s="8">
        <v>1121750</v>
      </c>
      <c r="I27" s="6" t="s">
        <v>4550</v>
      </c>
      <c r="J27" s="6" t="s">
        <v>7573</v>
      </c>
      <c r="K27" s="179"/>
      <c r="L27" s="179"/>
      <c r="M27" s="6" t="s">
        <v>6179</v>
      </c>
      <c r="N27" s="9"/>
      <c r="O27" s="52"/>
      <c r="P27" s="9" t="s">
        <v>6170</v>
      </c>
      <c r="Q27" s="6"/>
      <c r="R27" s="10"/>
      <c r="S27" s="6"/>
    </row>
    <row r="28" spans="1:19" ht="34.5" customHeight="1">
      <c r="A28" s="6" t="s">
        <v>4551</v>
      </c>
      <c r="B28" s="6" t="s">
        <v>62</v>
      </c>
      <c r="C28" s="9" t="s">
        <v>6872</v>
      </c>
      <c r="D28" s="179"/>
      <c r="E28" s="291" t="s">
        <v>7706</v>
      </c>
      <c r="F28" s="6" t="s">
        <v>4552</v>
      </c>
      <c r="G28" s="6" t="s">
        <v>4553</v>
      </c>
      <c r="H28" s="8">
        <v>1000000</v>
      </c>
      <c r="I28" s="6" t="s">
        <v>4554</v>
      </c>
      <c r="J28" s="6" t="s">
        <v>7389</v>
      </c>
      <c r="K28" s="179"/>
      <c r="L28" s="179"/>
      <c r="M28" s="6" t="s">
        <v>6179</v>
      </c>
      <c r="N28" s="9"/>
      <c r="O28" s="52"/>
      <c r="P28" s="9" t="s">
        <v>6170</v>
      </c>
      <c r="Q28" s="6"/>
      <c r="R28" s="10"/>
      <c r="S28" s="6"/>
    </row>
    <row r="29" spans="1:19" ht="26.25" customHeight="1">
      <c r="A29" s="6" t="s">
        <v>4555</v>
      </c>
      <c r="B29" s="6" t="s">
        <v>1231</v>
      </c>
      <c r="C29" s="9" t="s">
        <v>6872</v>
      </c>
      <c r="D29" s="179"/>
      <c r="E29" s="291" t="s">
        <v>7707</v>
      </c>
      <c r="F29" s="6" t="s">
        <v>4556</v>
      </c>
      <c r="G29" s="6" t="s">
        <v>4557</v>
      </c>
      <c r="H29" s="8">
        <v>200000</v>
      </c>
      <c r="I29" s="6" t="s">
        <v>4558</v>
      </c>
      <c r="J29" s="6" t="s">
        <v>7389</v>
      </c>
      <c r="K29" s="179"/>
      <c r="L29" s="179"/>
      <c r="M29" s="6" t="s">
        <v>22</v>
      </c>
      <c r="N29" s="9"/>
      <c r="O29" s="52"/>
      <c r="P29" s="9" t="s">
        <v>6064</v>
      </c>
      <c r="Q29" s="6"/>
      <c r="R29" s="10"/>
      <c r="S29" s="6"/>
    </row>
    <row r="30" spans="1:19" ht="24.75" customHeight="1">
      <c r="A30" s="6" t="s">
        <v>4559</v>
      </c>
      <c r="B30" s="6" t="s">
        <v>1141</v>
      </c>
      <c r="C30" s="9" t="s">
        <v>6872</v>
      </c>
      <c r="D30" s="179"/>
      <c r="E30" s="297" t="s">
        <v>7708</v>
      </c>
      <c r="F30" s="6" t="s">
        <v>4560</v>
      </c>
      <c r="G30" s="6" t="s">
        <v>4561</v>
      </c>
      <c r="H30" s="8">
        <v>78604</v>
      </c>
      <c r="I30" s="292" t="s">
        <v>4562</v>
      </c>
      <c r="J30" s="6" t="s">
        <v>7539</v>
      </c>
      <c r="K30" s="179"/>
      <c r="L30" s="179"/>
      <c r="M30" s="6" t="s">
        <v>22</v>
      </c>
      <c r="N30" s="9"/>
      <c r="O30" s="52"/>
      <c r="P30" s="9" t="s">
        <v>6137</v>
      </c>
      <c r="Q30" s="6"/>
      <c r="R30" s="10"/>
      <c r="S30" s="6"/>
    </row>
    <row r="31" spans="1:19" ht="38.25">
      <c r="A31" s="6" t="s">
        <v>4563</v>
      </c>
      <c r="B31" s="6" t="s">
        <v>3092</v>
      </c>
      <c r="C31" s="9" t="s">
        <v>6872</v>
      </c>
      <c r="D31" s="179"/>
      <c r="E31" s="297" t="s">
        <v>7709</v>
      </c>
      <c r="F31" s="6" t="s">
        <v>4564</v>
      </c>
      <c r="G31" s="6" t="s">
        <v>4565</v>
      </c>
      <c r="H31" s="8">
        <v>430000</v>
      </c>
      <c r="I31" s="532" t="s">
        <v>4566</v>
      </c>
      <c r="J31" s="6" t="s">
        <v>7389</v>
      </c>
      <c r="K31" s="179"/>
      <c r="L31" s="179"/>
      <c r="M31" s="6" t="s">
        <v>22</v>
      </c>
      <c r="N31" s="9"/>
      <c r="O31" s="52"/>
      <c r="P31" s="9" t="s">
        <v>6189</v>
      </c>
      <c r="Q31" s="6" t="s">
        <v>1824</v>
      </c>
      <c r="R31" s="10"/>
      <c r="S31" s="6"/>
    </row>
    <row r="32" spans="1:19" ht="25.5">
      <c r="A32" s="6" t="s">
        <v>7710</v>
      </c>
      <c r="B32" s="6"/>
      <c r="C32" s="9"/>
      <c r="D32" s="179"/>
      <c r="E32" s="297" t="s">
        <v>7711</v>
      </c>
      <c r="F32" s="6" t="s">
        <v>4522</v>
      </c>
      <c r="G32" s="6" t="s">
        <v>4523</v>
      </c>
      <c r="H32" s="8"/>
      <c r="I32" s="6"/>
      <c r="J32" s="6"/>
      <c r="K32" s="179"/>
      <c r="L32" s="179"/>
      <c r="M32" s="6" t="s">
        <v>6179</v>
      </c>
      <c r="N32" s="9"/>
      <c r="O32" s="52"/>
      <c r="P32" s="9" t="s">
        <v>7712</v>
      </c>
      <c r="Q32" s="6"/>
      <c r="R32" s="10"/>
      <c r="S32" s="6"/>
    </row>
    <row r="33" spans="1:19" ht="22.5" customHeight="1">
      <c r="A33" s="6" t="s">
        <v>4567</v>
      </c>
      <c r="B33" s="9" t="s">
        <v>3075</v>
      </c>
      <c r="C33" s="9" t="s">
        <v>6872</v>
      </c>
      <c r="D33" s="179"/>
      <c r="E33" s="297" t="s">
        <v>7713</v>
      </c>
      <c r="F33" s="6" t="s">
        <v>4568</v>
      </c>
      <c r="G33" s="6" t="s">
        <v>4569</v>
      </c>
      <c r="H33" s="8">
        <v>132000</v>
      </c>
      <c r="I33" s="6" t="s">
        <v>4487</v>
      </c>
      <c r="J33" s="6" t="s">
        <v>7389</v>
      </c>
      <c r="K33" s="179"/>
      <c r="L33" s="179"/>
      <c r="M33" s="6" t="s">
        <v>22</v>
      </c>
      <c r="N33" s="9"/>
      <c r="O33" s="52"/>
      <c r="P33" s="9" t="s">
        <v>7712</v>
      </c>
      <c r="Q33" s="6" t="s">
        <v>1824</v>
      </c>
      <c r="R33" s="10"/>
      <c r="S33" s="6"/>
    </row>
    <row r="34" spans="1:19" ht="51">
      <c r="A34" s="6" t="s">
        <v>4570</v>
      </c>
      <c r="B34" s="6" t="s">
        <v>7714</v>
      </c>
      <c r="C34" s="9" t="s">
        <v>6872</v>
      </c>
      <c r="D34" s="179"/>
      <c r="E34" s="297" t="s">
        <v>7715</v>
      </c>
      <c r="F34" s="6" t="s">
        <v>4571</v>
      </c>
      <c r="G34" s="6" t="s">
        <v>7716</v>
      </c>
      <c r="H34" s="8">
        <v>247000</v>
      </c>
      <c r="I34" s="6" t="s">
        <v>4573</v>
      </c>
      <c r="J34" s="6" t="s">
        <v>7643</v>
      </c>
      <c r="K34" s="179"/>
      <c r="L34" s="6"/>
      <c r="M34" s="6" t="s">
        <v>7717</v>
      </c>
      <c r="N34" s="9"/>
      <c r="O34" s="52"/>
      <c r="P34" s="9" t="s">
        <v>6104</v>
      </c>
      <c r="Q34" s="6"/>
      <c r="R34" s="10"/>
      <c r="S34" s="6"/>
    </row>
    <row r="35" spans="1:19" ht="38.25">
      <c r="A35" s="6" t="s">
        <v>4718</v>
      </c>
      <c r="B35" s="6" t="s">
        <v>3705</v>
      </c>
      <c r="C35" s="9" t="s">
        <v>2328</v>
      </c>
      <c r="D35" s="179"/>
      <c r="E35" s="297" t="s">
        <v>7718</v>
      </c>
      <c r="F35" s="6" t="s">
        <v>7719</v>
      </c>
      <c r="G35" s="160" t="s">
        <v>7720</v>
      </c>
      <c r="H35" s="8"/>
      <c r="I35" s="6" t="s">
        <v>7721</v>
      </c>
      <c r="J35" s="6" t="s">
        <v>7539</v>
      </c>
      <c r="K35" s="179"/>
      <c r="L35" s="179"/>
      <c r="M35" s="6" t="s">
        <v>6132</v>
      </c>
      <c r="N35" s="9"/>
      <c r="O35" s="52"/>
      <c r="P35" s="9" t="s">
        <v>6064</v>
      </c>
      <c r="Q35" s="6"/>
      <c r="R35" s="10"/>
      <c r="S35" s="6"/>
    </row>
    <row r="36" spans="1:19" ht="25.5">
      <c r="A36" s="6" t="s">
        <v>4574</v>
      </c>
      <c r="B36" s="6" t="s">
        <v>62</v>
      </c>
      <c r="C36" s="9" t="s">
        <v>6872</v>
      </c>
      <c r="D36" s="179"/>
      <c r="E36" s="297" t="s">
        <v>7722</v>
      </c>
      <c r="F36" s="6" t="s">
        <v>4575</v>
      </c>
      <c r="G36" s="6" t="s">
        <v>4576</v>
      </c>
      <c r="H36" s="8">
        <v>1793500</v>
      </c>
      <c r="I36" s="160" t="s">
        <v>4577</v>
      </c>
      <c r="J36" s="6" t="s">
        <v>7389</v>
      </c>
      <c r="K36" s="179"/>
      <c r="L36" s="179"/>
      <c r="M36" s="6" t="s">
        <v>6132</v>
      </c>
      <c r="N36" s="9"/>
      <c r="O36" s="52"/>
      <c r="P36" s="9" t="s">
        <v>6170</v>
      </c>
      <c r="Q36" s="6"/>
      <c r="R36" s="10"/>
      <c r="S36" s="6"/>
    </row>
    <row r="37" spans="1:19" ht="76.5">
      <c r="A37" s="6" t="s">
        <v>4578</v>
      </c>
      <c r="B37" s="6"/>
      <c r="C37" s="9" t="s">
        <v>6872</v>
      </c>
      <c r="D37" s="203"/>
      <c r="E37" s="533" t="s">
        <v>7723</v>
      </c>
      <c r="F37" s="161" t="s">
        <v>4579</v>
      </c>
      <c r="G37" s="160" t="s">
        <v>4580</v>
      </c>
      <c r="H37" s="30">
        <v>1271400</v>
      </c>
      <c r="I37" s="160" t="s">
        <v>4581</v>
      </c>
      <c r="J37" s="6" t="s">
        <v>7389</v>
      </c>
      <c r="K37" s="203"/>
      <c r="L37" s="179"/>
      <c r="M37" s="6" t="s">
        <v>22</v>
      </c>
      <c r="N37" s="9"/>
      <c r="O37" s="52"/>
      <c r="P37" s="9" t="s">
        <v>6933</v>
      </c>
      <c r="Q37" s="6"/>
      <c r="R37" s="10"/>
      <c r="S37" s="6" t="s">
        <v>7724</v>
      </c>
    </row>
    <row r="38" spans="1:19" ht="25.5">
      <c r="A38" s="6" t="s">
        <v>7725</v>
      </c>
      <c r="B38" s="6"/>
      <c r="C38" s="9"/>
      <c r="D38" s="179"/>
      <c r="E38" s="297" t="s">
        <v>7726</v>
      </c>
      <c r="F38" s="6" t="s">
        <v>7727</v>
      </c>
      <c r="G38" s="6" t="s">
        <v>7728</v>
      </c>
      <c r="H38" s="8"/>
      <c r="I38" s="6" t="s">
        <v>7729</v>
      </c>
      <c r="J38" s="6" t="s">
        <v>7434</v>
      </c>
      <c r="K38" s="179"/>
      <c r="L38" s="179"/>
      <c r="M38" s="6" t="s">
        <v>6132</v>
      </c>
      <c r="N38" s="9"/>
      <c r="O38" s="52"/>
      <c r="P38" s="9" t="s">
        <v>6104</v>
      </c>
      <c r="Q38" s="6"/>
      <c r="R38" s="10"/>
      <c r="S38" s="6"/>
    </row>
    <row r="39" spans="1:19" ht="38.25">
      <c r="A39" s="6" t="s">
        <v>4582</v>
      </c>
      <c r="B39" s="6" t="s">
        <v>62</v>
      </c>
      <c r="C39" s="9" t="s">
        <v>6872</v>
      </c>
      <c r="D39" s="179"/>
      <c r="E39" s="297" t="s">
        <v>7730</v>
      </c>
      <c r="F39" s="6" t="s">
        <v>4583</v>
      </c>
      <c r="G39" s="6" t="s">
        <v>4584</v>
      </c>
      <c r="H39" s="8">
        <v>1000000</v>
      </c>
      <c r="I39" s="6" t="s">
        <v>4585</v>
      </c>
      <c r="J39" s="6" t="s">
        <v>7434</v>
      </c>
      <c r="K39" s="179"/>
      <c r="L39" s="179"/>
      <c r="M39" s="6" t="s">
        <v>6179</v>
      </c>
      <c r="N39" s="9"/>
      <c r="O39" s="52"/>
      <c r="P39" s="9" t="s">
        <v>6170</v>
      </c>
      <c r="Q39" s="6"/>
      <c r="R39" s="10"/>
      <c r="S39" s="6"/>
    </row>
    <row r="40" spans="1:19" ht="38.25">
      <c r="A40" s="6" t="s">
        <v>4586</v>
      </c>
      <c r="B40" s="6" t="s">
        <v>62</v>
      </c>
      <c r="C40" s="9" t="s">
        <v>6872</v>
      </c>
      <c r="D40" s="179"/>
      <c r="E40" s="297" t="s">
        <v>7731</v>
      </c>
      <c r="F40" s="6" t="s">
        <v>4587</v>
      </c>
      <c r="G40" s="6" t="s">
        <v>4588</v>
      </c>
      <c r="H40" s="8">
        <v>2500000</v>
      </c>
      <c r="I40" s="160" t="s">
        <v>4589</v>
      </c>
      <c r="J40" s="6" t="s">
        <v>7539</v>
      </c>
      <c r="K40" s="179"/>
      <c r="L40" s="179"/>
      <c r="M40" s="6" t="s">
        <v>6179</v>
      </c>
      <c r="N40" s="9"/>
      <c r="O40" s="52"/>
      <c r="P40" s="9" t="s">
        <v>6092</v>
      </c>
      <c r="Q40" s="6"/>
      <c r="R40" s="10"/>
      <c r="S40" s="6"/>
    </row>
    <row r="41" spans="1:19" ht="21" customHeight="1">
      <c r="A41" s="6" t="s">
        <v>4590</v>
      </c>
      <c r="B41" s="6" t="s">
        <v>62</v>
      </c>
      <c r="C41" s="161" t="s">
        <v>6872</v>
      </c>
      <c r="D41" s="179"/>
      <c r="E41" s="297" t="s">
        <v>7732</v>
      </c>
      <c r="F41" s="6" t="s">
        <v>4591</v>
      </c>
      <c r="G41" s="6" t="s">
        <v>4592</v>
      </c>
      <c r="H41" s="8">
        <v>1850000</v>
      </c>
      <c r="I41" s="160" t="s">
        <v>4593</v>
      </c>
      <c r="J41" s="6" t="s">
        <v>7539</v>
      </c>
      <c r="K41" s="179"/>
      <c r="L41" s="179"/>
      <c r="M41" s="6" t="s">
        <v>6132</v>
      </c>
      <c r="N41" s="9"/>
      <c r="O41" s="52"/>
      <c r="P41" s="9" t="s">
        <v>6092</v>
      </c>
      <c r="Q41" s="6"/>
      <c r="R41" s="10"/>
      <c r="S41" s="6"/>
    </row>
    <row r="42" spans="1:19" ht="25.5">
      <c r="A42" s="6" t="s">
        <v>4594</v>
      </c>
      <c r="B42" s="6" t="s">
        <v>1383</v>
      </c>
      <c r="C42" s="9" t="s">
        <v>6872</v>
      </c>
      <c r="D42" s="179"/>
      <c r="E42" s="291" t="s">
        <v>7733</v>
      </c>
      <c r="F42" s="6" t="s">
        <v>4595</v>
      </c>
      <c r="G42" s="6" t="s">
        <v>1689</v>
      </c>
      <c r="H42" s="8">
        <v>632000</v>
      </c>
      <c r="I42" s="161" t="s">
        <v>4487</v>
      </c>
      <c r="J42" s="6" t="s">
        <v>7389</v>
      </c>
      <c r="K42" s="179"/>
      <c r="L42" s="179"/>
      <c r="M42" s="6" t="s">
        <v>22</v>
      </c>
      <c r="N42" s="9"/>
      <c r="O42" s="52"/>
      <c r="P42" s="9" t="s">
        <v>6933</v>
      </c>
      <c r="Q42" s="6" t="s">
        <v>1824</v>
      </c>
      <c r="R42" s="10"/>
      <c r="S42" s="6"/>
    </row>
    <row r="43" spans="1:19" ht="25.5">
      <c r="A43" s="6" t="s">
        <v>4596</v>
      </c>
      <c r="B43" s="6" t="s">
        <v>68</v>
      </c>
      <c r="C43" s="9" t="s">
        <v>6872</v>
      </c>
      <c r="D43" s="179"/>
      <c r="E43" s="297" t="s">
        <v>7734</v>
      </c>
      <c r="F43" s="6" t="s">
        <v>4597</v>
      </c>
      <c r="G43" s="6" t="s">
        <v>4598</v>
      </c>
      <c r="H43" s="8">
        <v>993412.5</v>
      </c>
      <c r="I43" s="160" t="s">
        <v>4599</v>
      </c>
      <c r="J43" s="6" t="s">
        <v>7389</v>
      </c>
      <c r="K43" s="179"/>
      <c r="L43" s="179"/>
      <c r="M43" s="6" t="s">
        <v>6132</v>
      </c>
      <c r="N43" s="9"/>
      <c r="O43" s="52"/>
      <c r="P43" s="9" t="s">
        <v>6941</v>
      </c>
      <c r="Q43" s="6"/>
      <c r="R43" s="10"/>
      <c r="S43" s="6"/>
    </row>
    <row r="44" spans="1:19" ht="25.5">
      <c r="A44" s="6" t="s">
        <v>4600</v>
      </c>
      <c r="B44" s="6" t="s">
        <v>62</v>
      </c>
      <c r="C44" s="9" t="s">
        <v>6872</v>
      </c>
      <c r="D44" s="179"/>
      <c r="E44" s="297" t="s">
        <v>7735</v>
      </c>
      <c r="F44" s="6" t="s">
        <v>4601</v>
      </c>
      <c r="G44" s="6" t="s">
        <v>4602</v>
      </c>
      <c r="H44" s="8">
        <v>618554</v>
      </c>
      <c r="I44" s="160" t="s">
        <v>4603</v>
      </c>
      <c r="J44" s="6" t="s">
        <v>7389</v>
      </c>
      <c r="K44" s="179"/>
      <c r="L44" s="179"/>
      <c r="M44" s="6" t="s">
        <v>6132</v>
      </c>
      <c r="N44" s="9"/>
      <c r="O44" s="52"/>
      <c r="P44" s="9" t="s">
        <v>6170</v>
      </c>
      <c r="Q44" s="6"/>
      <c r="R44" s="10"/>
      <c r="S44" s="6"/>
    </row>
    <row r="45" spans="1:19" ht="25.5">
      <c r="A45" s="6" t="s">
        <v>4604</v>
      </c>
      <c r="B45" s="6" t="s">
        <v>68</v>
      </c>
      <c r="C45" s="9" t="s">
        <v>6872</v>
      </c>
      <c r="D45" s="179"/>
      <c r="E45" s="297" t="s">
        <v>7736</v>
      </c>
      <c r="F45" s="6" t="s">
        <v>4605</v>
      </c>
      <c r="G45" s="6" t="s">
        <v>4606</v>
      </c>
      <c r="H45" s="8">
        <v>958103</v>
      </c>
      <c r="I45" s="160" t="s">
        <v>4607</v>
      </c>
      <c r="J45" s="6" t="s">
        <v>7539</v>
      </c>
      <c r="K45" s="179"/>
      <c r="L45" s="179"/>
      <c r="M45" s="6" t="s">
        <v>6132</v>
      </c>
      <c r="N45" s="9"/>
      <c r="O45" s="52"/>
      <c r="P45" s="9" t="s">
        <v>6104</v>
      </c>
      <c r="Q45" s="6"/>
      <c r="R45" s="10"/>
      <c r="S45" s="6" t="s">
        <v>7737</v>
      </c>
    </row>
    <row r="46" spans="1:19" ht="25.5">
      <c r="A46" s="6" t="s">
        <v>4608</v>
      </c>
      <c r="B46" s="6" t="s">
        <v>3168</v>
      </c>
      <c r="C46" s="9" t="s">
        <v>6872</v>
      </c>
      <c r="D46" s="179"/>
      <c r="E46" s="291" t="s">
        <v>7738</v>
      </c>
      <c r="F46" s="6" t="s">
        <v>4609</v>
      </c>
      <c r="G46" s="6" t="s">
        <v>1689</v>
      </c>
      <c r="H46" s="8">
        <v>250000</v>
      </c>
      <c r="I46" s="292" t="s">
        <v>4487</v>
      </c>
      <c r="J46" s="6" t="s">
        <v>7389</v>
      </c>
      <c r="K46" s="179"/>
      <c r="L46" s="179"/>
      <c r="M46" s="6" t="s">
        <v>22</v>
      </c>
      <c r="N46" s="9"/>
      <c r="O46" s="52"/>
      <c r="P46" s="9" t="s">
        <v>6064</v>
      </c>
      <c r="Q46" s="6" t="s">
        <v>1824</v>
      </c>
      <c r="R46" s="10"/>
      <c r="S46" s="6"/>
    </row>
    <row r="47" spans="1:19" ht="12.75">
      <c r="A47" s="61">
        <v>41640</v>
      </c>
      <c r="B47" s="6"/>
      <c r="C47" s="9"/>
      <c r="D47" s="178"/>
      <c r="E47" s="158"/>
      <c r="F47" s="158" t="s">
        <v>4611</v>
      </c>
      <c r="G47" s="6"/>
      <c r="H47" s="8"/>
      <c r="I47" s="160"/>
      <c r="J47" s="9"/>
      <c r="K47" s="178"/>
      <c r="L47" s="179"/>
      <c r="M47" s="6" t="s">
        <v>22</v>
      </c>
      <c r="N47" s="9"/>
      <c r="O47" s="52"/>
      <c r="P47" s="9" t="s">
        <v>6064</v>
      </c>
      <c r="Q47" s="6"/>
      <c r="R47" s="10"/>
      <c r="S47" s="6"/>
    </row>
    <row r="48" spans="1:19" ht="38.25">
      <c r="A48" s="61">
        <v>41671</v>
      </c>
      <c r="B48" s="6" t="s">
        <v>2993</v>
      </c>
      <c r="C48" s="9" t="s">
        <v>6872</v>
      </c>
      <c r="D48" s="179"/>
      <c r="E48" s="6"/>
      <c r="F48" s="6" t="s">
        <v>4612</v>
      </c>
      <c r="G48" s="6" t="s">
        <v>4613</v>
      </c>
      <c r="H48" s="8">
        <v>53797</v>
      </c>
      <c r="I48" s="160" t="s">
        <v>4614</v>
      </c>
      <c r="J48" s="9"/>
      <c r="K48" s="179"/>
      <c r="L48" s="179"/>
      <c r="M48" s="6" t="s">
        <v>6179</v>
      </c>
      <c r="N48" s="9"/>
      <c r="O48" s="52"/>
      <c r="P48" s="9" t="s">
        <v>6104</v>
      </c>
      <c r="Q48" s="6" t="s">
        <v>1824</v>
      </c>
      <c r="R48" s="10"/>
      <c r="S48" s="6"/>
    </row>
    <row r="49" spans="1:19" ht="25.5">
      <c r="A49" s="61">
        <v>41699</v>
      </c>
      <c r="B49" s="6"/>
      <c r="C49" s="9" t="s">
        <v>6872</v>
      </c>
      <c r="D49" s="179"/>
      <c r="E49" s="6"/>
      <c r="F49" s="6" t="s">
        <v>4615</v>
      </c>
      <c r="G49" s="6" t="s">
        <v>4616</v>
      </c>
      <c r="H49" s="8">
        <v>44640</v>
      </c>
      <c r="I49" s="160"/>
      <c r="J49" s="9" t="s">
        <v>7389</v>
      </c>
      <c r="K49" s="179"/>
      <c r="L49" s="179"/>
      <c r="M49" s="6" t="s">
        <v>22</v>
      </c>
      <c r="N49" s="6"/>
      <c r="O49" s="179"/>
      <c r="P49" s="6" t="s">
        <v>7739</v>
      </c>
      <c r="Q49" s="6" t="s">
        <v>1824</v>
      </c>
      <c r="R49" s="10" t="s">
        <v>2412</v>
      </c>
      <c r="S49" s="6"/>
    </row>
    <row r="50" spans="1:19" ht="25.5">
      <c r="A50" s="61">
        <v>41730</v>
      </c>
      <c r="B50" s="6" t="s">
        <v>4787</v>
      </c>
      <c r="C50" s="9" t="s">
        <v>6872</v>
      </c>
      <c r="D50" s="179"/>
      <c r="E50" s="6"/>
      <c r="F50" s="6" t="s">
        <v>4617</v>
      </c>
      <c r="G50" s="6" t="s">
        <v>4618</v>
      </c>
      <c r="H50" s="8">
        <v>60000</v>
      </c>
      <c r="I50" s="6" t="s">
        <v>4619</v>
      </c>
      <c r="J50" s="9"/>
      <c r="K50" s="179"/>
      <c r="L50" s="179"/>
      <c r="M50" s="6" t="s">
        <v>22</v>
      </c>
      <c r="N50" s="6"/>
      <c r="O50" s="179"/>
      <c r="P50" s="6" t="s">
        <v>7739</v>
      </c>
      <c r="Q50" s="6" t="s">
        <v>1824</v>
      </c>
      <c r="R50" s="10" t="s">
        <v>2412</v>
      </c>
      <c r="S50" s="6"/>
    </row>
    <row r="51" spans="1:19" ht="25.5">
      <c r="A51" s="61">
        <v>41760</v>
      </c>
      <c r="B51" s="6" t="s">
        <v>3092</v>
      </c>
      <c r="C51" s="9" t="s">
        <v>6872</v>
      </c>
      <c r="D51" s="179"/>
      <c r="E51" s="6"/>
      <c r="F51" s="6" t="s">
        <v>4620</v>
      </c>
      <c r="G51" s="6" t="s">
        <v>4621</v>
      </c>
      <c r="H51" s="8">
        <v>98000</v>
      </c>
      <c r="I51" s="292" t="s">
        <v>4622</v>
      </c>
      <c r="J51" s="9" t="s">
        <v>7457</v>
      </c>
      <c r="K51" s="179"/>
      <c r="L51" s="179"/>
      <c r="M51" s="6" t="s">
        <v>6179</v>
      </c>
      <c r="N51" s="6"/>
      <c r="O51" s="179"/>
      <c r="P51" s="6" t="s">
        <v>6364</v>
      </c>
      <c r="Q51" s="6" t="s">
        <v>7740</v>
      </c>
      <c r="R51" s="10" t="s">
        <v>1231</v>
      </c>
      <c r="S51" s="6"/>
    </row>
    <row r="52" spans="1:19" ht="12.75">
      <c r="A52" s="61">
        <v>41791</v>
      </c>
      <c r="B52" s="6" t="s">
        <v>4787</v>
      </c>
      <c r="C52" s="9" t="s">
        <v>6872</v>
      </c>
      <c r="D52" s="179"/>
      <c r="E52" s="6"/>
      <c r="F52" s="6" t="s">
        <v>4623</v>
      </c>
      <c r="G52" s="6" t="s">
        <v>4624</v>
      </c>
      <c r="H52" s="8">
        <v>50000</v>
      </c>
      <c r="I52" s="6" t="s">
        <v>4625</v>
      </c>
      <c r="J52" s="9" t="s">
        <v>7389</v>
      </c>
      <c r="K52" s="179"/>
      <c r="L52" s="179"/>
      <c r="M52" s="6" t="s">
        <v>6132</v>
      </c>
      <c r="N52" s="6"/>
      <c r="O52" s="179"/>
      <c r="P52" s="6" t="s">
        <v>7739</v>
      </c>
      <c r="Q52" s="6" t="s">
        <v>1824</v>
      </c>
      <c r="R52" s="10" t="s">
        <v>2412</v>
      </c>
      <c r="S52" s="6"/>
    </row>
    <row r="53" spans="1:19" ht="12.75">
      <c r="A53" s="61">
        <v>41821</v>
      </c>
      <c r="B53" s="6" t="s">
        <v>394</v>
      </c>
      <c r="C53" s="9" t="s">
        <v>6872</v>
      </c>
      <c r="D53" s="179"/>
      <c r="E53" s="6"/>
      <c r="F53" s="6" t="s">
        <v>4626</v>
      </c>
      <c r="G53" s="6" t="s">
        <v>840</v>
      </c>
      <c r="H53" s="8">
        <v>80000</v>
      </c>
      <c r="I53" s="6" t="s">
        <v>4627</v>
      </c>
      <c r="J53" s="9" t="s">
        <v>7389</v>
      </c>
      <c r="K53" s="179"/>
      <c r="L53" s="179"/>
      <c r="M53" s="6" t="s">
        <v>22</v>
      </c>
      <c r="N53" s="6"/>
      <c r="O53" s="179"/>
      <c r="P53" s="6" t="s">
        <v>7741</v>
      </c>
      <c r="Q53" s="6" t="s">
        <v>1824</v>
      </c>
      <c r="R53" s="10" t="s">
        <v>2412</v>
      </c>
      <c r="S53" s="6"/>
    </row>
    <row r="54" spans="1:19" ht="25.5">
      <c r="A54" s="61">
        <v>41852</v>
      </c>
      <c r="B54" s="6" t="s">
        <v>1763</v>
      </c>
      <c r="C54" s="9" t="s">
        <v>6872</v>
      </c>
      <c r="D54" s="179"/>
      <c r="E54" s="6"/>
      <c r="F54" s="6" t="s">
        <v>4628</v>
      </c>
      <c r="G54" s="6" t="s">
        <v>4629</v>
      </c>
      <c r="H54" s="8">
        <v>13700</v>
      </c>
      <c r="I54" s="6" t="s">
        <v>4630</v>
      </c>
      <c r="J54" s="9" t="s">
        <v>7389</v>
      </c>
      <c r="K54" s="179"/>
      <c r="L54" s="179"/>
      <c r="M54" s="6" t="s">
        <v>6132</v>
      </c>
      <c r="N54" s="6"/>
      <c r="O54" s="179"/>
      <c r="P54" s="6" t="s">
        <v>6092</v>
      </c>
      <c r="Q54" s="6" t="s">
        <v>7742</v>
      </c>
      <c r="R54" s="10" t="s">
        <v>2412</v>
      </c>
      <c r="S54" s="6"/>
    </row>
    <row r="55" spans="1:19" ht="38.25">
      <c r="A55" s="61">
        <v>41883</v>
      </c>
      <c r="B55" s="6" t="s">
        <v>1763</v>
      </c>
      <c r="C55" s="9" t="s">
        <v>6872</v>
      </c>
      <c r="D55" s="179"/>
      <c r="E55" s="6"/>
      <c r="F55" s="6" t="s">
        <v>4631</v>
      </c>
      <c r="G55" s="6" t="s">
        <v>4632</v>
      </c>
      <c r="H55" s="8">
        <v>5000</v>
      </c>
      <c r="I55" s="6" t="s">
        <v>4633</v>
      </c>
      <c r="J55" s="9" t="s">
        <v>7539</v>
      </c>
      <c r="K55" s="179"/>
      <c r="L55" s="179"/>
      <c r="M55" s="6" t="s">
        <v>6132</v>
      </c>
      <c r="N55" s="6"/>
      <c r="O55" s="179"/>
      <c r="P55" s="6" t="s">
        <v>7741</v>
      </c>
      <c r="Q55" s="6" t="s">
        <v>1824</v>
      </c>
      <c r="R55" s="10" t="s">
        <v>2412</v>
      </c>
      <c r="S55" s="6"/>
    </row>
    <row r="56" spans="1:19" ht="76.5">
      <c r="A56" s="61">
        <v>41913</v>
      </c>
      <c r="B56" s="6"/>
      <c r="C56" s="9" t="s">
        <v>6872</v>
      </c>
      <c r="D56" s="179"/>
      <c r="E56" s="6"/>
      <c r="F56" s="6" t="s">
        <v>4635</v>
      </c>
      <c r="G56" s="6" t="s">
        <v>4636</v>
      </c>
      <c r="H56" s="8">
        <v>47031.75</v>
      </c>
      <c r="I56" s="160" t="s">
        <v>4637</v>
      </c>
      <c r="J56" s="9" t="s">
        <v>7367</v>
      </c>
      <c r="K56" s="179"/>
      <c r="L56" s="179"/>
      <c r="M56" s="6" t="s">
        <v>22</v>
      </c>
      <c r="N56" s="6"/>
      <c r="O56" s="179"/>
      <c r="P56" s="6" t="s">
        <v>6364</v>
      </c>
      <c r="Q56" s="6" t="s">
        <v>7743</v>
      </c>
      <c r="R56" s="10" t="s">
        <v>1231</v>
      </c>
      <c r="S56" s="6"/>
    </row>
    <row r="57" spans="1:19" ht="25.5">
      <c r="A57" s="61">
        <v>41944</v>
      </c>
      <c r="B57" s="6" t="s">
        <v>394</v>
      </c>
      <c r="C57" s="9" t="s">
        <v>6872</v>
      </c>
      <c r="D57" s="179"/>
      <c r="E57" s="6"/>
      <c r="F57" s="6" t="s">
        <v>4638</v>
      </c>
      <c r="G57" s="6" t="s">
        <v>844</v>
      </c>
      <c r="H57" s="8">
        <v>34000</v>
      </c>
      <c r="I57" s="160" t="s">
        <v>4639</v>
      </c>
      <c r="J57" s="9" t="s">
        <v>7643</v>
      </c>
      <c r="K57" s="179"/>
      <c r="L57" s="179"/>
      <c r="M57" s="6" t="s">
        <v>22</v>
      </c>
      <c r="N57" s="6"/>
      <c r="O57" s="179"/>
      <c r="P57" s="6" t="s">
        <v>7741</v>
      </c>
      <c r="Q57" s="6" t="s">
        <v>1824</v>
      </c>
      <c r="R57" s="10" t="s">
        <v>611</v>
      </c>
      <c r="S57" s="6"/>
    </row>
    <row r="58" spans="1:19" ht="12.75">
      <c r="A58" s="61">
        <v>41974</v>
      </c>
      <c r="B58" s="6" t="s">
        <v>394</v>
      </c>
      <c r="C58" s="9" t="s">
        <v>6872</v>
      </c>
      <c r="D58" s="179"/>
      <c r="E58" s="6"/>
      <c r="F58" s="6" t="s">
        <v>4640</v>
      </c>
      <c r="G58" s="6" t="s">
        <v>1593</v>
      </c>
      <c r="H58" s="8">
        <v>58000</v>
      </c>
      <c r="I58" s="160" t="s">
        <v>4641</v>
      </c>
      <c r="J58" s="9" t="s">
        <v>7573</v>
      </c>
      <c r="K58" s="179"/>
      <c r="L58" s="179"/>
      <c r="M58" s="6" t="s">
        <v>22</v>
      </c>
      <c r="N58" s="6"/>
      <c r="O58" s="179"/>
      <c r="P58" s="6" t="s">
        <v>7741</v>
      </c>
      <c r="Q58" s="6" t="s">
        <v>1824</v>
      </c>
      <c r="R58" s="10" t="s">
        <v>611</v>
      </c>
      <c r="S58" s="6"/>
    </row>
    <row r="59" spans="1:19" ht="12.75">
      <c r="A59" s="6" t="s">
        <v>4642</v>
      </c>
      <c r="B59" s="6" t="s">
        <v>1383</v>
      </c>
      <c r="C59" s="9" t="s">
        <v>6872</v>
      </c>
      <c r="D59" s="179"/>
      <c r="E59" s="6"/>
      <c r="F59" s="6" t="s">
        <v>4528</v>
      </c>
      <c r="G59" s="6" t="s">
        <v>4643</v>
      </c>
      <c r="H59" s="8">
        <v>320000</v>
      </c>
      <c r="I59" s="160" t="s">
        <v>4644</v>
      </c>
      <c r="J59" s="9" t="s">
        <v>7434</v>
      </c>
      <c r="K59" s="179"/>
      <c r="L59" s="179"/>
      <c r="M59" s="6" t="s">
        <v>22</v>
      </c>
      <c r="N59" s="6"/>
      <c r="O59" s="179"/>
      <c r="P59" s="6" t="s">
        <v>6064</v>
      </c>
      <c r="Q59" s="6" t="s">
        <v>1824</v>
      </c>
      <c r="R59" s="10" t="s">
        <v>2412</v>
      </c>
      <c r="S59" s="6"/>
    </row>
    <row r="60" spans="1:19" ht="38.25">
      <c r="A60" s="6" t="s">
        <v>4510</v>
      </c>
      <c r="B60" s="6" t="s">
        <v>3168</v>
      </c>
      <c r="C60" s="9" t="s">
        <v>6872</v>
      </c>
      <c r="D60" s="179"/>
      <c r="E60" s="6"/>
      <c r="F60" s="6" t="s">
        <v>4645</v>
      </c>
      <c r="G60" s="6" t="s">
        <v>4646</v>
      </c>
      <c r="H60" s="8">
        <v>50000</v>
      </c>
      <c r="I60" s="160" t="s">
        <v>4647</v>
      </c>
      <c r="J60" s="9" t="s">
        <v>7744</v>
      </c>
      <c r="K60" s="179"/>
      <c r="L60" s="179"/>
      <c r="M60" s="6" t="s">
        <v>22</v>
      </c>
      <c r="N60" s="6"/>
      <c r="O60" s="179"/>
      <c r="P60" s="6" t="s">
        <v>7741</v>
      </c>
      <c r="Q60" s="6" t="s">
        <v>7743</v>
      </c>
      <c r="R60" s="10" t="s">
        <v>2412</v>
      </c>
      <c r="S60" s="6"/>
    </row>
    <row r="61" spans="1:19" ht="25.5">
      <c r="A61" s="6" t="s">
        <v>4648</v>
      </c>
      <c r="B61" s="6" t="s">
        <v>394</v>
      </c>
      <c r="C61" s="9" t="s">
        <v>6872</v>
      </c>
      <c r="D61" s="179"/>
      <c r="E61" s="6"/>
      <c r="F61" s="6"/>
      <c r="G61" s="6" t="s">
        <v>4649</v>
      </c>
      <c r="H61" s="8">
        <v>38000</v>
      </c>
      <c r="I61" s="160" t="s">
        <v>4650</v>
      </c>
      <c r="J61" s="9" t="s">
        <v>7573</v>
      </c>
      <c r="K61" s="179"/>
      <c r="L61" s="179"/>
      <c r="M61" s="6" t="s">
        <v>22</v>
      </c>
      <c r="N61" s="6"/>
      <c r="O61" s="179"/>
      <c r="P61" s="6" t="s">
        <v>7741</v>
      </c>
      <c r="Q61" s="6" t="s">
        <v>7743</v>
      </c>
      <c r="R61" s="10" t="s">
        <v>611</v>
      </c>
      <c r="S61" s="6"/>
    </row>
    <row r="62" spans="1:19" ht="25.5">
      <c r="A62" s="6" t="s">
        <v>4651</v>
      </c>
      <c r="B62" s="6" t="s">
        <v>1383</v>
      </c>
      <c r="C62" s="9" t="s">
        <v>6872</v>
      </c>
      <c r="D62" s="179"/>
      <c r="E62" s="6"/>
      <c r="F62" s="6" t="s">
        <v>4652</v>
      </c>
      <c r="G62" s="6" t="s">
        <v>4653</v>
      </c>
      <c r="H62" s="8">
        <v>27000</v>
      </c>
      <c r="I62" s="160" t="s">
        <v>4654</v>
      </c>
      <c r="J62" s="9" t="s">
        <v>7389</v>
      </c>
      <c r="K62" s="179"/>
      <c r="L62" s="179"/>
      <c r="M62" s="6" t="s">
        <v>22</v>
      </c>
      <c r="N62" s="6"/>
      <c r="O62" s="179"/>
      <c r="P62" s="6" t="s">
        <v>6064</v>
      </c>
      <c r="Q62" s="6" t="s">
        <v>7745</v>
      </c>
      <c r="R62" s="10" t="s">
        <v>2412</v>
      </c>
      <c r="S62" s="6"/>
    </row>
    <row r="63" spans="1:19" ht="38.25">
      <c r="A63" s="6" t="s">
        <v>4520</v>
      </c>
      <c r="B63" s="6" t="s">
        <v>394</v>
      </c>
      <c r="C63" s="9" t="s">
        <v>6872</v>
      </c>
      <c r="D63" s="179"/>
      <c r="E63" s="6"/>
      <c r="F63" s="6" t="s">
        <v>4655</v>
      </c>
      <c r="G63" s="6" t="s">
        <v>854</v>
      </c>
      <c r="H63" s="8">
        <v>120000</v>
      </c>
      <c r="I63" s="6" t="s">
        <v>4656</v>
      </c>
      <c r="J63" s="9" t="s">
        <v>7457</v>
      </c>
      <c r="K63" s="179"/>
      <c r="L63" s="179"/>
      <c r="M63" s="6" t="s">
        <v>22</v>
      </c>
      <c r="N63" s="6"/>
      <c r="O63" s="179"/>
      <c r="P63" s="6" t="s">
        <v>7741</v>
      </c>
      <c r="Q63" s="6" t="s">
        <v>1824</v>
      </c>
      <c r="R63" s="10" t="s">
        <v>611</v>
      </c>
      <c r="S63" s="6"/>
    </row>
    <row r="64" spans="1:19" ht="25.5">
      <c r="A64" s="6" t="s">
        <v>4657</v>
      </c>
      <c r="B64" s="6" t="s">
        <v>3168</v>
      </c>
      <c r="C64" s="9" t="s">
        <v>6872</v>
      </c>
      <c r="D64" s="179"/>
      <c r="E64" s="6"/>
      <c r="F64" s="6" t="s">
        <v>4658</v>
      </c>
      <c r="G64" s="6" t="s">
        <v>4659</v>
      </c>
      <c r="H64" s="8">
        <v>50000</v>
      </c>
      <c r="I64" s="6" t="s">
        <v>4660</v>
      </c>
      <c r="J64" s="9" t="s">
        <v>7389</v>
      </c>
      <c r="K64" s="179"/>
      <c r="L64" s="179"/>
      <c r="M64" s="6" t="s">
        <v>22</v>
      </c>
      <c r="N64" s="6"/>
      <c r="O64" s="179"/>
      <c r="P64" s="6" t="s">
        <v>7741</v>
      </c>
      <c r="Q64" s="6" t="s">
        <v>1824</v>
      </c>
      <c r="R64" s="10" t="s">
        <v>2412</v>
      </c>
      <c r="S64" s="6"/>
    </row>
    <row r="65" spans="1:19" ht="38.25">
      <c r="A65" s="6" t="s">
        <v>4661</v>
      </c>
      <c r="B65" s="6" t="s">
        <v>1383</v>
      </c>
      <c r="C65" s="9" t="s">
        <v>6872</v>
      </c>
      <c r="D65" s="179"/>
      <c r="E65" s="6"/>
      <c r="F65" s="6" t="s">
        <v>4662</v>
      </c>
      <c r="G65" s="6" t="s">
        <v>854</v>
      </c>
      <c r="H65" s="8">
        <v>100000</v>
      </c>
      <c r="I65" s="6" t="s">
        <v>4663</v>
      </c>
      <c r="J65" s="9" t="s">
        <v>7457</v>
      </c>
      <c r="K65" s="179"/>
      <c r="L65" s="179"/>
      <c r="M65" s="6" t="s">
        <v>22</v>
      </c>
      <c r="N65" s="6"/>
      <c r="O65" s="179"/>
      <c r="P65" s="6" t="s">
        <v>7741</v>
      </c>
      <c r="Q65" s="6" t="s">
        <v>1824</v>
      </c>
      <c r="R65" s="10" t="s">
        <v>2412</v>
      </c>
      <c r="S65" s="6"/>
    </row>
    <row r="66" spans="1:19" ht="25.5">
      <c r="A66" s="6" t="s">
        <v>4524</v>
      </c>
      <c r="B66" s="6" t="s">
        <v>652</v>
      </c>
      <c r="C66" s="9" t="s">
        <v>6872</v>
      </c>
      <c r="D66" s="179"/>
      <c r="E66" s="6"/>
      <c r="F66" s="6" t="s">
        <v>4664</v>
      </c>
      <c r="G66" s="6" t="s">
        <v>4665</v>
      </c>
      <c r="H66" s="8">
        <v>346753.22</v>
      </c>
      <c r="I66" s="6" t="s">
        <v>4666</v>
      </c>
      <c r="J66" s="9" t="s">
        <v>7389</v>
      </c>
      <c r="K66" s="179"/>
      <c r="L66" s="179"/>
      <c r="M66" s="6" t="s">
        <v>22</v>
      </c>
      <c r="N66" s="6"/>
      <c r="O66" s="179"/>
      <c r="P66" s="6" t="s">
        <v>7741</v>
      </c>
      <c r="Q66" s="6" t="s">
        <v>7742</v>
      </c>
      <c r="R66" s="10" t="s">
        <v>611</v>
      </c>
      <c r="S66" s="6"/>
    </row>
    <row r="67" spans="1:19" ht="12.75">
      <c r="A67" s="6" t="s">
        <v>4527</v>
      </c>
      <c r="B67" s="6" t="s">
        <v>1383</v>
      </c>
      <c r="C67" s="9" t="s">
        <v>6872</v>
      </c>
      <c r="D67" s="179"/>
      <c r="E67" s="6"/>
      <c r="F67" s="6" t="s">
        <v>4667</v>
      </c>
      <c r="G67" s="6" t="s">
        <v>854</v>
      </c>
      <c r="H67" s="8">
        <v>100000</v>
      </c>
      <c r="I67" s="6" t="s">
        <v>4668</v>
      </c>
      <c r="J67" s="9" t="s">
        <v>7434</v>
      </c>
      <c r="K67" s="179"/>
      <c r="L67" s="179"/>
      <c r="M67" s="6" t="s">
        <v>22</v>
      </c>
      <c r="N67" s="6"/>
      <c r="O67" s="179"/>
      <c r="P67" s="6" t="s">
        <v>6064</v>
      </c>
      <c r="Q67" s="6"/>
      <c r="R67" s="10" t="s">
        <v>2412</v>
      </c>
      <c r="S67" s="6"/>
    </row>
    <row r="68" spans="1:19" ht="12.75">
      <c r="A68" s="6" t="s">
        <v>4530</v>
      </c>
      <c r="B68" s="6" t="s">
        <v>1141</v>
      </c>
      <c r="C68" s="9" t="s">
        <v>6872</v>
      </c>
      <c r="D68" s="179"/>
      <c r="E68" s="6"/>
      <c r="F68" s="6" t="s">
        <v>4669</v>
      </c>
      <c r="G68" s="6" t="s">
        <v>4670</v>
      </c>
      <c r="H68" s="8">
        <v>96889</v>
      </c>
      <c r="I68" s="6" t="s">
        <v>4671</v>
      </c>
      <c r="J68" s="9" t="s">
        <v>7694</v>
      </c>
      <c r="K68" s="179"/>
      <c r="L68" s="179"/>
      <c r="M68" s="6" t="s">
        <v>22</v>
      </c>
      <c r="N68" s="6"/>
      <c r="O68" s="179"/>
      <c r="P68" s="6" t="s">
        <v>6364</v>
      </c>
      <c r="Q68" s="6" t="s">
        <v>7743</v>
      </c>
      <c r="R68" s="10" t="s">
        <v>2412</v>
      </c>
      <c r="S68" s="6"/>
    </row>
    <row r="69" spans="1:19" ht="12.75">
      <c r="A69" s="6" t="s">
        <v>4532</v>
      </c>
      <c r="B69" s="6" t="s">
        <v>1383</v>
      </c>
      <c r="C69" s="9" t="s">
        <v>6872</v>
      </c>
      <c r="D69" s="179"/>
      <c r="E69" s="6"/>
      <c r="F69" s="6" t="s">
        <v>4672</v>
      </c>
      <c r="G69" s="6" t="s">
        <v>4673</v>
      </c>
      <c r="H69" s="8">
        <v>67600</v>
      </c>
      <c r="I69" s="6" t="s">
        <v>3417</v>
      </c>
      <c r="J69" s="9" t="s">
        <v>7389</v>
      </c>
      <c r="K69" s="179"/>
      <c r="L69" s="179"/>
      <c r="M69" s="6" t="s">
        <v>22</v>
      </c>
      <c r="N69" s="6"/>
      <c r="O69" s="179"/>
      <c r="P69" s="6" t="s">
        <v>6064</v>
      </c>
      <c r="Q69" s="6" t="s">
        <v>7745</v>
      </c>
      <c r="R69" s="10" t="s">
        <v>2412</v>
      </c>
      <c r="S69" s="6"/>
    </row>
    <row r="70" spans="1:19" ht="25.5">
      <c r="A70" s="6" t="s">
        <v>4535</v>
      </c>
      <c r="B70" s="6" t="s">
        <v>3092</v>
      </c>
      <c r="C70" s="9" t="s">
        <v>6872</v>
      </c>
      <c r="D70" s="179"/>
      <c r="E70" s="6"/>
      <c r="F70" s="6" t="s">
        <v>4674</v>
      </c>
      <c r="G70" s="6" t="s">
        <v>4675</v>
      </c>
      <c r="H70" s="8">
        <v>64800</v>
      </c>
      <c r="I70" s="6" t="s">
        <v>4676</v>
      </c>
      <c r="J70" s="9" t="s">
        <v>7389</v>
      </c>
      <c r="K70" s="179"/>
      <c r="L70" s="179"/>
      <c r="M70" s="6" t="s">
        <v>22</v>
      </c>
      <c r="N70" s="6"/>
      <c r="O70" s="179"/>
      <c r="P70" s="6" t="s">
        <v>6364</v>
      </c>
      <c r="Q70" s="6" t="s">
        <v>7745</v>
      </c>
      <c r="R70" s="10" t="s">
        <v>1231</v>
      </c>
      <c r="S70" s="6"/>
    </row>
    <row r="71" spans="1:19" ht="38.25">
      <c r="A71" s="6" t="s">
        <v>4539</v>
      </c>
      <c r="B71" s="6" t="s">
        <v>3092</v>
      </c>
      <c r="C71" s="9" t="s">
        <v>6872</v>
      </c>
      <c r="D71" s="179"/>
      <c r="E71" s="6"/>
      <c r="F71" s="6" t="s">
        <v>4677</v>
      </c>
      <c r="G71" s="6" t="s">
        <v>4675</v>
      </c>
      <c r="H71" s="8">
        <v>99600</v>
      </c>
      <c r="I71" s="6" t="s">
        <v>4676</v>
      </c>
      <c r="J71" s="9" t="s">
        <v>7389</v>
      </c>
      <c r="K71" s="179"/>
      <c r="L71" s="179"/>
      <c r="M71" s="6" t="s">
        <v>22</v>
      </c>
      <c r="N71" s="6"/>
      <c r="O71" s="179"/>
      <c r="P71" s="6" t="s">
        <v>6364</v>
      </c>
      <c r="Q71" s="6" t="s">
        <v>7745</v>
      </c>
      <c r="R71" s="10" t="s">
        <v>1231</v>
      </c>
      <c r="S71" s="6"/>
    </row>
    <row r="72" spans="1:19" ht="38.25">
      <c r="A72" s="6" t="s">
        <v>4678</v>
      </c>
      <c r="B72" s="6" t="s">
        <v>3092</v>
      </c>
      <c r="C72" s="9" t="s">
        <v>6872</v>
      </c>
      <c r="D72" s="179"/>
      <c r="E72" s="6"/>
      <c r="F72" s="6" t="s">
        <v>4679</v>
      </c>
      <c r="G72" s="6" t="s">
        <v>4675</v>
      </c>
      <c r="H72" s="8">
        <v>48000</v>
      </c>
      <c r="I72" s="6" t="s">
        <v>4676</v>
      </c>
      <c r="J72" s="9" t="s">
        <v>7389</v>
      </c>
      <c r="K72" s="179"/>
      <c r="L72" s="179"/>
      <c r="M72" s="6" t="s">
        <v>22</v>
      </c>
      <c r="N72" s="6"/>
      <c r="O72" s="179"/>
      <c r="P72" s="6" t="s">
        <v>6364</v>
      </c>
      <c r="Q72" s="6" t="s">
        <v>7745</v>
      </c>
      <c r="R72" s="10" t="s">
        <v>1231</v>
      </c>
      <c r="S72" s="6"/>
    </row>
    <row r="73" spans="1:19" ht="12.75">
      <c r="A73" s="6" t="s">
        <v>4680</v>
      </c>
      <c r="B73" s="6" t="s">
        <v>1383</v>
      </c>
      <c r="C73" s="9" t="s">
        <v>6872</v>
      </c>
      <c r="D73" s="179"/>
      <c r="E73" s="6"/>
      <c r="F73" s="6" t="s">
        <v>4681</v>
      </c>
      <c r="G73" s="6" t="s">
        <v>838</v>
      </c>
      <c r="H73" s="8">
        <v>100000</v>
      </c>
      <c r="I73" s="6" t="s">
        <v>4682</v>
      </c>
      <c r="J73" s="9" t="s">
        <v>7569</v>
      </c>
      <c r="K73" s="179"/>
      <c r="L73" s="179"/>
      <c r="M73" s="6" t="s">
        <v>22</v>
      </c>
      <c r="N73" s="6"/>
      <c r="O73" s="468" t="s">
        <v>7746</v>
      </c>
      <c r="P73" s="6" t="s">
        <v>6064</v>
      </c>
      <c r="Q73" s="6" t="s">
        <v>1824</v>
      </c>
      <c r="R73" s="10" t="s">
        <v>611</v>
      </c>
      <c r="S73" s="6"/>
    </row>
    <row r="74" spans="1:19" ht="12.75">
      <c r="A74" s="6" t="s">
        <v>4683</v>
      </c>
      <c r="B74" s="6" t="s">
        <v>113</v>
      </c>
      <c r="C74" s="9" t="s">
        <v>6872</v>
      </c>
      <c r="D74" s="179"/>
      <c r="E74" s="6"/>
      <c r="F74" s="6" t="s">
        <v>4684</v>
      </c>
      <c r="G74" s="6" t="s">
        <v>575</v>
      </c>
      <c r="H74" s="8">
        <v>37000</v>
      </c>
      <c r="I74" s="6" t="s">
        <v>1938</v>
      </c>
      <c r="J74" s="9" t="s">
        <v>7389</v>
      </c>
      <c r="K74" s="179"/>
      <c r="L74" s="179"/>
      <c r="M74" s="6" t="s">
        <v>22</v>
      </c>
      <c r="N74" s="6"/>
      <c r="O74" s="179"/>
      <c r="P74" s="6" t="s">
        <v>6064</v>
      </c>
      <c r="Q74" s="6" t="s">
        <v>1824</v>
      </c>
      <c r="R74" s="10" t="s">
        <v>611</v>
      </c>
      <c r="S74" s="6"/>
    </row>
    <row r="75" spans="1:19" ht="25.5">
      <c r="A75" s="6" t="s">
        <v>4685</v>
      </c>
      <c r="B75" s="6" t="s">
        <v>394</v>
      </c>
      <c r="C75" s="9" t="s">
        <v>6872</v>
      </c>
      <c r="D75" s="179"/>
      <c r="E75" s="6"/>
      <c r="F75" s="6" t="s">
        <v>4686</v>
      </c>
      <c r="G75" s="6" t="s">
        <v>1346</v>
      </c>
      <c r="H75" s="8">
        <v>55600</v>
      </c>
      <c r="I75" s="6" t="s">
        <v>1938</v>
      </c>
      <c r="J75" s="9" t="s">
        <v>7367</v>
      </c>
      <c r="K75" s="179"/>
      <c r="L75" s="179"/>
      <c r="M75" s="6" t="s">
        <v>22</v>
      </c>
      <c r="N75" s="6"/>
      <c r="O75" s="179"/>
      <c r="P75" s="6" t="s">
        <v>7741</v>
      </c>
      <c r="Q75" s="6" t="s">
        <v>7747</v>
      </c>
      <c r="R75" s="10" t="s">
        <v>611</v>
      </c>
      <c r="S75" s="6"/>
    </row>
    <row r="76" spans="1:19" ht="25.5">
      <c r="A76" s="6" t="s">
        <v>4547</v>
      </c>
      <c r="B76" s="6" t="s">
        <v>394</v>
      </c>
      <c r="C76" s="9" t="s">
        <v>6872</v>
      </c>
      <c r="D76" s="179"/>
      <c r="E76" s="6"/>
      <c r="F76" s="6" t="s">
        <v>4687</v>
      </c>
      <c r="G76" s="6" t="s">
        <v>1593</v>
      </c>
      <c r="H76" s="8">
        <v>28000</v>
      </c>
      <c r="I76" s="6" t="s">
        <v>4688</v>
      </c>
      <c r="J76" s="9" t="s">
        <v>7573</v>
      </c>
      <c r="K76" s="179"/>
      <c r="L76" s="179"/>
      <c r="M76" s="6" t="s">
        <v>22</v>
      </c>
      <c r="N76" s="6"/>
      <c r="O76" s="179"/>
      <c r="P76" s="6" t="s">
        <v>7741</v>
      </c>
      <c r="Q76" s="6" t="s">
        <v>7747</v>
      </c>
      <c r="R76" s="10" t="s">
        <v>611</v>
      </c>
      <c r="S76" s="6"/>
    </row>
    <row r="77" spans="1:19" ht="25.5">
      <c r="A77" s="6" t="s">
        <v>4689</v>
      </c>
      <c r="B77" s="6" t="s">
        <v>394</v>
      </c>
      <c r="C77" s="9" t="s">
        <v>6872</v>
      </c>
      <c r="D77" s="179"/>
      <c r="E77" s="6"/>
      <c r="F77" s="6" t="s">
        <v>4690</v>
      </c>
      <c r="G77" s="6" t="s">
        <v>1605</v>
      </c>
      <c r="H77" s="8">
        <v>34000</v>
      </c>
      <c r="I77" s="6" t="s">
        <v>4691</v>
      </c>
      <c r="J77" s="9" t="s">
        <v>7694</v>
      </c>
      <c r="K77" s="179"/>
      <c r="L77" s="179"/>
      <c r="M77" s="6" t="s">
        <v>22</v>
      </c>
      <c r="N77" s="6"/>
      <c r="O77" s="179"/>
      <c r="P77" s="6" t="s">
        <v>7741</v>
      </c>
      <c r="Q77" s="6" t="s">
        <v>7747</v>
      </c>
      <c r="R77" s="10" t="s">
        <v>611</v>
      </c>
      <c r="S77" s="6"/>
    </row>
    <row r="78" spans="1:19" ht="25.5">
      <c r="A78" s="6" t="s">
        <v>4692</v>
      </c>
      <c r="B78" s="6" t="s">
        <v>394</v>
      </c>
      <c r="C78" s="9" t="s">
        <v>6872</v>
      </c>
      <c r="D78" s="179"/>
      <c r="E78" s="6"/>
      <c r="F78" s="6" t="s">
        <v>4693</v>
      </c>
      <c r="G78" s="6" t="s">
        <v>1605</v>
      </c>
      <c r="H78" s="8">
        <v>26000</v>
      </c>
      <c r="I78" s="6" t="s">
        <v>4694</v>
      </c>
      <c r="J78" s="9" t="s">
        <v>7694</v>
      </c>
      <c r="K78" s="179"/>
      <c r="L78" s="179"/>
      <c r="M78" s="6" t="s">
        <v>22</v>
      </c>
      <c r="N78" s="6"/>
      <c r="O78" s="179"/>
      <c r="P78" s="6" t="s">
        <v>7741</v>
      </c>
      <c r="Q78" s="6" t="s">
        <v>7747</v>
      </c>
      <c r="R78" s="10" t="s">
        <v>611</v>
      </c>
      <c r="S78" s="6"/>
    </row>
    <row r="79" spans="1:19" ht="25.5">
      <c r="A79" s="6" t="s">
        <v>4695</v>
      </c>
      <c r="B79" s="6" t="s">
        <v>7748</v>
      </c>
      <c r="C79" s="9" t="s">
        <v>6872</v>
      </c>
      <c r="D79" s="179"/>
      <c r="E79" s="6"/>
      <c r="F79" s="6" t="s">
        <v>4696</v>
      </c>
      <c r="G79" s="6" t="s">
        <v>1605</v>
      </c>
      <c r="H79" s="8">
        <v>68045.67</v>
      </c>
      <c r="I79" s="6" t="s">
        <v>4697</v>
      </c>
      <c r="J79" s="9" t="s">
        <v>7569</v>
      </c>
      <c r="K79" s="179"/>
      <c r="L79" s="179"/>
      <c r="M79" s="6" t="s">
        <v>22</v>
      </c>
      <c r="N79" s="6"/>
      <c r="O79" s="468" t="s">
        <v>7749</v>
      </c>
      <c r="P79" s="6" t="s">
        <v>6364</v>
      </c>
      <c r="Q79" s="6" t="s">
        <v>7747</v>
      </c>
      <c r="R79" s="10" t="s">
        <v>2412</v>
      </c>
      <c r="S79" s="6"/>
    </row>
    <row r="80" spans="1:19" ht="25.5">
      <c r="A80" s="6" t="s">
        <v>4559</v>
      </c>
      <c r="B80" s="6" t="s">
        <v>1383</v>
      </c>
      <c r="C80" s="9" t="s">
        <v>6872</v>
      </c>
      <c r="D80" s="179"/>
      <c r="E80" s="6"/>
      <c r="F80" s="6" t="s">
        <v>4698</v>
      </c>
      <c r="G80" s="6" t="s">
        <v>4699</v>
      </c>
      <c r="H80" s="8">
        <v>100000</v>
      </c>
      <c r="I80" s="6" t="s">
        <v>1938</v>
      </c>
      <c r="J80" s="9" t="s">
        <v>7389</v>
      </c>
      <c r="K80" s="179"/>
      <c r="L80" s="179"/>
      <c r="M80" s="6" t="s">
        <v>22</v>
      </c>
      <c r="N80" s="6"/>
      <c r="O80" s="179"/>
      <c r="P80" s="6" t="s">
        <v>6064</v>
      </c>
      <c r="Q80" s="6" t="s">
        <v>7747</v>
      </c>
      <c r="R80" s="10" t="s">
        <v>2412</v>
      </c>
      <c r="S80" s="6"/>
    </row>
    <row r="81" spans="1:19" ht="25.5">
      <c r="A81" s="6" t="s">
        <v>4700</v>
      </c>
      <c r="B81" s="6" t="s">
        <v>1763</v>
      </c>
      <c r="C81" s="9" t="s">
        <v>6872</v>
      </c>
      <c r="D81" s="179"/>
      <c r="E81" s="6"/>
      <c r="F81" s="6" t="s">
        <v>4701</v>
      </c>
      <c r="G81" s="6" t="s">
        <v>4702</v>
      </c>
      <c r="H81" s="8">
        <v>7800</v>
      </c>
      <c r="I81" s="6" t="s">
        <v>1938</v>
      </c>
      <c r="J81" s="9" t="s">
        <v>7389</v>
      </c>
      <c r="K81" s="179"/>
      <c r="L81" s="179"/>
      <c r="M81" s="6" t="s">
        <v>6179</v>
      </c>
      <c r="N81" s="6"/>
      <c r="O81" s="179"/>
      <c r="P81" s="6" t="s">
        <v>6064</v>
      </c>
      <c r="Q81" s="6" t="s">
        <v>7747</v>
      </c>
      <c r="R81" s="10" t="s">
        <v>2412</v>
      </c>
      <c r="S81" s="6"/>
    </row>
    <row r="82" spans="1:19" ht="38.25">
      <c r="A82" s="6" t="s">
        <v>4703</v>
      </c>
      <c r="B82" s="6" t="s">
        <v>3168</v>
      </c>
      <c r="C82" s="9" t="s">
        <v>6872</v>
      </c>
      <c r="D82" s="179"/>
      <c r="E82" s="6"/>
      <c r="F82" s="6" t="s">
        <v>4704</v>
      </c>
      <c r="G82" s="6" t="s">
        <v>4705</v>
      </c>
      <c r="H82" s="8">
        <v>50000</v>
      </c>
      <c r="I82" s="6" t="s">
        <v>4706</v>
      </c>
      <c r="J82" s="9" t="s">
        <v>7389</v>
      </c>
      <c r="K82" s="179"/>
      <c r="L82" s="179"/>
      <c r="M82" s="6" t="s">
        <v>22</v>
      </c>
      <c r="N82" s="6"/>
      <c r="O82" s="179"/>
      <c r="P82" s="6" t="s">
        <v>7741</v>
      </c>
      <c r="Q82" s="6" t="s">
        <v>7743</v>
      </c>
      <c r="R82" s="10" t="s">
        <v>2412</v>
      </c>
      <c r="S82" s="6"/>
    </row>
    <row r="83" spans="1:19" ht="12.75">
      <c r="A83" s="6" t="s">
        <v>4707</v>
      </c>
      <c r="B83" s="6" t="s">
        <v>1763</v>
      </c>
      <c r="C83" s="9" t="s">
        <v>6872</v>
      </c>
      <c r="D83" s="179"/>
      <c r="E83" s="6"/>
      <c r="F83" s="6" t="s">
        <v>4708</v>
      </c>
      <c r="G83" s="6" t="s">
        <v>575</v>
      </c>
      <c r="H83" s="8">
        <v>38500</v>
      </c>
      <c r="I83" s="6" t="s">
        <v>1938</v>
      </c>
      <c r="J83" s="9" t="s">
        <v>7389</v>
      </c>
      <c r="K83" s="179"/>
      <c r="L83" s="179"/>
      <c r="M83" s="6"/>
      <c r="N83" s="6"/>
      <c r="O83" s="179"/>
      <c r="P83" s="6" t="s">
        <v>6064</v>
      </c>
      <c r="Q83" s="6" t="s">
        <v>1824</v>
      </c>
      <c r="R83" s="10" t="s">
        <v>2412</v>
      </c>
      <c r="S83" s="6"/>
    </row>
    <row r="84" spans="1:19" ht="25.5">
      <c r="A84" s="6" t="s">
        <v>4709</v>
      </c>
      <c r="B84" s="6" t="s">
        <v>1763</v>
      </c>
      <c r="C84" s="9" t="s">
        <v>6872</v>
      </c>
      <c r="D84" s="179"/>
      <c r="E84" s="6"/>
      <c r="F84" s="6" t="s">
        <v>4710</v>
      </c>
      <c r="G84" s="6" t="s">
        <v>4711</v>
      </c>
      <c r="H84" s="8">
        <v>26000</v>
      </c>
      <c r="I84" s="6" t="s">
        <v>1938</v>
      </c>
      <c r="J84" s="9" t="s">
        <v>7389</v>
      </c>
      <c r="K84" s="179"/>
      <c r="L84" s="179"/>
      <c r="M84" s="6" t="s">
        <v>6179</v>
      </c>
      <c r="N84" s="6"/>
      <c r="O84" s="179"/>
      <c r="P84" s="6" t="s">
        <v>6064</v>
      </c>
      <c r="Q84" s="6" t="s">
        <v>7747</v>
      </c>
      <c r="R84" s="10" t="s">
        <v>2412</v>
      </c>
      <c r="S84" s="6"/>
    </row>
    <row r="85" spans="1:19" ht="25.5">
      <c r="A85" s="6" t="s">
        <v>4567</v>
      </c>
      <c r="B85" s="6" t="s">
        <v>1763</v>
      </c>
      <c r="C85" s="9" t="s">
        <v>6872</v>
      </c>
      <c r="D85" s="179"/>
      <c r="E85" s="6"/>
      <c r="F85" s="6" t="s">
        <v>4712</v>
      </c>
      <c r="G85" s="6" t="s">
        <v>4713</v>
      </c>
      <c r="H85" s="8">
        <v>46500</v>
      </c>
      <c r="I85" s="6" t="s">
        <v>1938</v>
      </c>
      <c r="J85" s="9" t="s">
        <v>7389</v>
      </c>
      <c r="K85" s="179"/>
      <c r="L85" s="179"/>
      <c r="M85" s="6" t="s">
        <v>6132</v>
      </c>
      <c r="N85" s="6"/>
      <c r="O85" s="179"/>
      <c r="P85" s="6" t="s">
        <v>6064</v>
      </c>
      <c r="Q85" s="6" t="s">
        <v>7747</v>
      </c>
      <c r="R85" s="10" t="s">
        <v>2412</v>
      </c>
      <c r="S85" s="6"/>
    </row>
    <row r="86" spans="1:19" ht="12.75">
      <c r="A86" s="6" t="s">
        <v>4714</v>
      </c>
      <c r="B86" s="6" t="s">
        <v>3168</v>
      </c>
      <c r="C86" s="9" t="s">
        <v>6872</v>
      </c>
      <c r="D86" s="179"/>
      <c r="E86" s="6"/>
      <c r="F86" s="6" t="s">
        <v>4715</v>
      </c>
      <c r="G86" s="6" t="s">
        <v>4716</v>
      </c>
      <c r="H86" s="8">
        <v>55000</v>
      </c>
      <c r="I86" s="6" t="s">
        <v>4717</v>
      </c>
      <c r="J86" s="9" t="s">
        <v>7389</v>
      </c>
      <c r="K86" s="179"/>
      <c r="L86" s="179"/>
      <c r="M86" s="6" t="s">
        <v>22</v>
      </c>
      <c r="N86" s="6"/>
      <c r="O86" s="179"/>
      <c r="P86" s="6" t="s">
        <v>7741</v>
      </c>
      <c r="Q86" s="6" t="s">
        <v>7743</v>
      </c>
      <c r="R86" s="10" t="s">
        <v>2412</v>
      </c>
      <c r="S86" s="6"/>
    </row>
    <row r="87" spans="1:19" ht="25.5">
      <c r="A87" s="6" t="s">
        <v>7750</v>
      </c>
      <c r="B87" s="6" t="s">
        <v>7748</v>
      </c>
      <c r="C87" s="9" t="s">
        <v>2328</v>
      </c>
      <c r="D87" s="179"/>
      <c r="E87" s="6"/>
      <c r="F87" s="6" t="s">
        <v>7751</v>
      </c>
      <c r="G87" s="6" t="s">
        <v>7752</v>
      </c>
      <c r="H87" s="8"/>
      <c r="I87" s="6" t="s">
        <v>7753</v>
      </c>
      <c r="J87" s="9" t="s">
        <v>7615</v>
      </c>
      <c r="K87" s="179"/>
      <c r="L87" s="179"/>
      <c r="M87" s="6" t="s">
        <v>6132</v>
      </c>
      <c r="N87" s="6"/>
      <c r="O87" s="468" t="s">
        <v>7754</v>
      </c>
      <c r="P87" s="6" t="s">
        <v>6364</v>
      </c>
      <c r="Q87" s="6" t="s">
        <v>7743</v>
      </c>
      <c r="R87" s="10" t="s">
        <v>2412</v>
      </c>
      <c r="S87" s="6"/>
    </row>
    <row r="88" spans="1:19" ht="25.5">
      <c r="A88" s="6" t="s">
        <v>4718</v>
      </c>
      <c r="B88" s="6" t="s">
        <v>652</v>
      </c>
      <c r="C88" s="9" t="s">
        <v>6872</v>
      </c>
      <c r="D88" s="179"/>
      <c r="E88" s="6"/>
      <c r="F88" s="6" t="s">
        <v>4719</v>
      </c>
      <c r="G88" s="6" t="s">
        <v>4720</v>
      </c>
      <c r="H88" s="8">
        <v>100000</v>
      </c>
      <c r="I88" s="6" t="s">
        <v>4721</v>
      </c>
      <c r="J88" s="9" t="s">
        <v>7389</v>
      </c>
      <c r="K88" s="179"/>
      <c r="L88" s="179"/>
      <c r="M88" s="6" t="s">
        <v>6132</v>
      </c>
      <c r="N88" s="6"/>
      <c r="O88" s="179"/>
      <c r="P88" s="6" t="s">
        <v>6092</v>
      </c>
      <c r="Q88" s="6" t="s">
        <v>7742</v>
      </c>
      <c r="R88" s="10" t="s">
        <v>611</v>
      </c>
      <c r="S88" s="6"/>
    </row>
    <row r="89" spans="1:19" ht="25.5">
      <c r="A89" s="6" t="s">
        <v>4574</v>
      </c>
      <c r="B89" s="6" t="s">
        <v>7755</v>
      </c>
      <c r="C89" s="9" t="s">
        <v>6872</v>
      </c>
      <c r="D89" s="179"/>
      <c r="E89" s="6"/>
      <c r="F89" s="6" t="s">
        <v>4722</v>
      </c>
      <c r="G89" s="6" t="s">
        <v>4723</v>
      </c>
      <c r="H89" s="8">
        <v>106960</v>
      </c>
      <c r="I89" s="6"/>
      <c r="J89" s="9" t="s">
        <v>7389</v>
      </c>
      <c r="K89" s="179"/>
      <c r="L89" s="179"/>
      <c r="M89" s="6" t="s">
        <v>6132</v>
      </c>
      <c r="N89" s="6"/>
      <c r="O89" s="179"/>
      <c r="P89" s="6" t="s">
        <v>6064</v>
      </c>
      <c r="Q89" s="6" t="s">
        <v>7742</v>
      </c>
      <c r="R89" s="10" t="s">
        <v>611</v>
      </c>
      <c r="S89" s="6"/>
    </row>
    <row r="90" spans="1:19" ht="12.75">
      <c r="A90" s="6"/>
      <c r="B90" s="6"/>
      <c r="C90" s="9"/>
      <c r="D90" s="179"/>
      <c r="E90" s="6"/>
      <c r="F90" s="6"/>
      <c r="G90" s="6"/>
      <c r="H90" s="8"/>
      <c r="I90" s="6"/>
      <c r="J90" s="9"/>
      <c r="K90" s="179"/>
      <c r="L90" s="179"/>
      <c r="M90" s="6"/>
      <c r="N90" s="6"/>
      <c r="O90" s="6"/>
      <c r="P90" s="6"/>
      <c r="Q90" s="6"/>
      <c r="R90" s="10"/>
      <c r="S90" s="6"/>
    </row>
    <row r="91" spans="1:19" ht="12.75">
      <c r="A91" s="6"/>
      <c r="B91" s="6"/>
      <c r="C91" s="9"/>
      <c r="D91" s="179"/>
      <c r="E91" s="6"/>
      <c r="F91" s="6"/>
      <c r="G91" s="6"/>
      <c r="H91" s="8"/>
      <c r="I91" s="6"/>
      <c r="J91" s="9"/>
      <c r="K91" s="179"/>
      <c r="L91" s="179"/>
      <c r="M91" s="6"/>
      <c r="N91" s="6"/>
      <c r="O91" s="6"/>
      <c r="P91" s="6"/>
      <c r="Q91" s="6"/>
      <c r="R91" s="10"/>
      <c r="S91" s="6"/>
    </row>
    <row r="92" spans="1:19" ht="12.75">
      <c r="A92" s="6"/>
      <c r="B92" s="6"/>
      <c r="C92" s="9"/>
      <c r="D92" s="179"/>
      <c r="E92" s="6"/>
      <c r="F92" s="6"/>
      <c r="G92" s="6"/>
      <c r="H92" s="8"/>
      <c r="I92" s="6"/>
      <c r="J92" s="9"/>
      <c r="K92" s="179"/>
      <c r="L92" s="179"/>
      <c r="M92" s="6"/>
      <c r="N92" s="6"/>
      <c r="O92" s="6"/>
      <c r="P92" s="6"/>
      <c r="Q92" s="6"/>
      <c r="R92" s="10"/>
      <c r="S92" s="6"/>
    </row>
    <row r="93" spans="1:19" ht="12.75">
      <c r="A93" s="6"/>
      <c r="B93" s="6"/>
      <c r="C93" s="9"/>
      <c r="D93" s="179"/>
      <c r="E93" s="6"/>
      <c r="F93" s="6"/>
      <c r="G93" s="6"/>
      <c r="H93" s="8"/>
      <c r="I93" s="6"/>
      <c r="J93" s="9"/>
      <c r="K93" s="179"/>
      <c r="L93" s="179"/>
      <c r="M93" s="6"/>
      <c r="N93" s="6"/>
      <c r="O93" s="6"/>
      <c r="P93" s="6"/>
      <c r="Q93" s="6"/>
      <c r="R93" s="10"/>
      <c r="S93" s="6"/>
    </row>
    <row r="94" spans="1:19" ht="12.75">
      <c r="A94" s="6"/>
      <c r="B94" s="6"/>
      <c r="C94" s="9"/>
      <c r="D94" s="179"/>
      <c r="E94" s="6"/>
      <c r="F94" s="6"/>
      <c r="G94" s="6"/>
      <c r="H94" s="8"/>
      <c r="I94" s="6"/>
      <c r="J94" s="9"/>
      <c r="K94" s="179"/>
      <c r="L94" s="179"/>
      <c r="M94" s="6"/>
      <c r="N94" s="6"/>
      <c r="O94" s="6"/>
      <c r="P94" s="6"/>
      <c r="Q94" s="6"/>
      <c r="R94" s="10"/>
      <c r="S94" s="6"/>
    </row>
    <row r="95" spans="1:19" ht="12.75">
      <c r="A95" s="6"/>
      <c r="B95" s="6"/>
      <c r="C95" s="9"/>
      <c r="D95" s="179"/>
      <c r="E95" s="6"/>
      <c r="F95" s="6"/>
      <c r="G95" s="6"/>
      <c r="H95" s="8"/>
      <c r="I95" s="6"/>
      <c r="J95" s="9"/>
      <c r="K95" s="179"/>
      <c r="L95" s="179"/>
      <c r="M95" s="6"/>
      <c r="N95" s="6"/>
      <c r="O95" s="6"/>
      <c r="P95" s="6"/>
      <c r="Q95" s="6"/>
      <c r="R95" s="10"/>
      <c r="S95" s="6"/>
    </row>
    <row r="96" spans="1:19" ht="12.75">
      <c r="A96" s="6"/>
      <c r="B96" s="6"/>
      <c r="C96" s="9"/>
      <c r="D96" s="179"/>
      <c r="E96" s="6"/>
      <c r="F96" s="6"/>
      <c r="G96" s="6"/>
      <c r="H96" s="8"/>
      <c r="I96" s="6"/>
      <c r="J96" s="9"/>
      <c r="K96" s="179"/>
      <c r="L96" s="179"/>
      <c r="M96" s="6"/>
      <c r="N96" s="6"/>
      <c r="O96" s="6"/>
      <c r="P96" s="6"/>
      <c r="Q96" s="6"/>
      <c r="R96" s="10"/>
      <c r="S96" s="6"/>
    </row>
    <row r="97" spans="1:19" ht="12.75">
      <c r="A97" s="6"/>
      <c r="B97" s="6"/>
      <c r="C97" s="9"/>
      <c r="D97" s="179"/>
      <c r="E97" s="6"/>
      <c r="F97" s="6"/>
      <c r="G97" s="6"/>
      <c r="H97" s="8"/>
      <c r="I97" s="6"/>
      <c r="J97" s="9"/>
      <c r="K97" s="179"/>
      <c r="L97" s="179"/>
      <c r="M97" s="6"/>
      <c r="N97" s="6"/>
      <c r="O97" s="6"/>
      <c r="P97" s="6"/>
      <c r="Q97" s="6"/>
      <c r="R97" s="10"/>
      <c r="S97" s="6"/>
    </row>
    <row r="98" spans="1:19" ht="12.75">
      <c r="A98" s="6"/>
      <c r="B98" s="6"/>
      <c r="C98" s="9"/>
      <c r="D98" s="179"/>
      <c r="E98" s="6"/>
      <c r="F98" s="6"/>
      <c r="G98" s="6"/>
      <c r="H98" s="8"/>
      <c r="I98" s="6"/>
      <c r="J98" s="9"/>
      <c r="K98" s="179"/>
      <c r="L98" s="179"/>
      <c r="M98" s="6"/>
      <c r="N98" s="6"/>
      <c r="O98" s="6"/>
      <c r="P98" s="6"/>
      <c r="Q98" s="6"/>
      <c r="R98" s="10"/>
      <c r="S98" s="6"/>
    </row>
    <row r="99" spans="1:19" ht="12.75">
      <c r="A99" s="6"/>
      <c r="B99" s="6"/>
      <c r="C99" s="9"/>
      <c r="D99" s="179"/>
      <c r="E99" s="6"/>
      <c r="F99" s="6"/>
      <c r="G99" s="6"/>
      <c r="H99" s="8"/>
      <c r="I99" s="6"/>
      <c r="J99" s="9"/>
      <c r="K99" s="179"/>
      <c r="L99" s="179"/>
      <c r="M99" s="6"/>
      <c r="N99" s="6"/>
      <c r="O99" s="6"/>
      <c r="P99" s="6"/>
      <c r="Q99" s="6"/>
      <c r="R99" s="10"/>
      <c r="S99" s="6"/>
    </row>
    <row r="100" spans="1:19" ht="12.75">
      <c r="A100" s="6"/>
      <c r="B100" s="6"/>
      <c r="C100" s="9"/>
      <c r="D100" s="179"/>
      <c r="E100" s="6"/>
      <c r="F100" s="6"/>
      <c r="G100" s="6"/>
      <c r="H100" s="8"/>
      <c r="I100" s="6"/>
      <c r="J100" s="9"/>
      <c r="K100" s="179"/>
      <c r="L100" s="179"/>
      <c r="M100" s="6"/>
      <c r="N100" s="6"/>
      <c r="O100" s="6"/>
      <c r="P100" s="6"/>
      <c r="Q100" s="6"/>
      <c r="R100" s="10"/>
      <c r="S100" s="6"/>
    </row>
    <row r="101" spans="1:19" ht="12.75">
      <c r="A101" s="6"/>
      <c r="B101" s="6"/>
      <c r="C101" s="9"/>
      <c r="D101" s="179"/>
      <c r="E101" s="6"/>
      <c r="F101" s="6"/>
      <c r="G101" s="6"/>
      <c r="H101" s="8"/>
      <c r="I101" s="6"/>
      <c r="J101" s="9"/>
      <c r="K101" s="179"/>
      <c r="L101" s="179"/>
      <c r="M101" s="6"/>
      <c r="N101" s="6"/>
      <c r="O101" s="6"/>
      <c r="P101" s="6"/>
      <c r="Q101" s="6"/>
      <c r="R101" s="10"/>
      <c r="S101" s="6"/>
    </row>
    <row r="102" spans="1:19" ht="12.75">
      <c r="A102" s="6"/>
      <c r="B102" s="6"/>
      <c r="C102" s="9"/>
      <c r="D102" s="179"/>
      <c r="E102" s="6"/>
      <c r="F102" s="6"/>
      <c r="G102" s="6"/>
      <c r="H102" s="8"/>
      <c r="I102" s="6"/>
      <c r="J102" s="9"/>
      <c r="K102" s="179"/>
      <c r="L102" s="179"/>
      <c r="M102" s="6"/>
      <c r="N102" s="6"/>
      <c r="O102" s="6"/>
      <c r="P102" s="6"/>
      <c r="Q102" s="6"/>
      <c r="R102" s="10"/>
      <c r="S102" s="6"/>
    </row>
    <row r="103" spans="1:19" ht="12.75">
      <c r="A103" s="6"/>
      <c r="B103" s="6"/>
      <c r="C103" s="9"/>
      <c r="D103" s="179"/>
      <c r="E103" s="6"/>
      <c r="F103" s="6"/>
      <c r="G103" s="6"/>
      <c r="H103" s="8"/>
      <c r="I103" s="6"/>
      <c r="J103" s="9"/>
      <c r="K103" s="179"/>
      <c r="L103" s="179"/>
      <c r="M103" s="6"/>
      <c r="N103" s="6"/>
      <c r="O103" s="6"/>
      <c r="P103" s="6"/>
      <c r="Q103" s="6"/>
      <c r="R103" s="10"/>
      <c r="S103" s="6"/>
    </row>
    <row r="104" spans="1:19" ht="12.75">
      <c r="A104" s="6"/>
      <c r="B104" s="6"/>
      <c r="C104" s="9"/>
      <c r="D104" s="179"/>
      <c r="E104" s="6"/>
      <c r="F104" s="6"/>
      <c r="G104" s="6"/>
      <c r="H104" s="8"/>
      <c r="I104" s="6"/>
      <c r="J104" s="9"/>
      <c r="K104" s="179"/>
      <c r="L104" s="179"/>
      <c r="M104" s="6"/>
      <c r="N104" s="6"/>
      <c r="O104" s="6"/>
      <c r="P104" s="6"/>
      <c r="Q104" s="6"/>
      <c r="R104" s="10"/>
      <c r="S104" s="6"/>
    </row>
    <row r="105" spans="1:19" ht="12.75">
      <c r="A105" s="6"/>
      <c r="B105" s="6"/>
      <c r="C105" s="9"/>
      <c r="D105" s="179"/>
      <c r="E105" s="6"/>
      <c r="F105" s="6"/>
      <c r="G105" s="6"/>
      <c r="H105" s="8"/>
      <c r="I105" s="6"/>
      <c r="J105" s="9"/>
      <c r="K105" s="179"/>
      <c r="L105" s="179"/>
      <c r="M105" s="6"/>
      <c r="N105" s="6"/>
      <c r="O105" s="6"/>
      <c r="P105" s="6"/>
      <c r="Q105" s="6"/>
      <c r="R105" s="10"/>
      <c r="S105" s="6"/>
    </row>
    <row r="106" spans="1:19" ht="12.75">
      <c r="A106" s="6"/>
      <c r="B106" s="6"/>
      <c r="C106" s="9"/>
      <c r="D106" s="179"/>
      <c r="E106" s="6"/>
      <c r="F106" s="6"/>
      <c r="G106" s="6"/>
      <c r="H106" s="8"/>
      <c r="I106" s="6"/>
      <c r="J106" s="9"/>
      <c r="K106" s="179"/>
      <c r="L106" s="179"/>
      <c r="M106" s="6"/>
      <c r="N106" s="6"/>
      <c r="O106" s="6"/>
      <c r="P106" s="6"/>
      <c r="Q106" s="6"/>
      <c r="R106" s="10"/>
      <c r="S106" s="6"/>
    </row>
    <row r="107" spans="1:19" ht="12.75">
      <c r="A107" s="6"/>
      <c r="B107" s="6"/>
      <c r="C107" s="9"/>
      <c r="D107" s="179"/>
      <c r="E107" s="6"/>
      <c r="F107" s="6"/>
      <c r="G107" s="6"/>
      <c r="H107" s="8"/>
      <c r="I107" s="6"/>
      <c r="J107" s="9"/>
      <c r="K107" s="179"/>
      <c r="L107" s="179"/>
      <c r="M107" s="6"/>
      <c r="N107" s="6"/>
      <c r="O107" s="6"/>
      <c r="P107" s="6"/>
      <c r="Q107" s="6"/>
      <c r="R107" s="10"/>
      <c r="S107" s="6"/>
    </row>
    <row r="108" spans="1:19" ht="12.75">
      <c r="A108" s="6"/>
      <c r="B108" s="6"/>
      <c r="C108" s="9"/>
      <c r="D108" s="179"/>
      <c r="E108" s="6"/>
      <c r="F108" s="6"/>
      <c r="G108" s="6"/>
      <c r="H108" s="8"/>
      <c r="I108" s="6"/>
      <c r="J108" s="9"/>
      <c r="K108" s="179"/>
      <c r="L108" s="179"/>
      <c r="M108" s="6"/>
      <c r="N108" s="6"/>
      <c r="O108" s="6"/>
      <c r="P108" s="6"/>
      <c r="Q108" s="6"/>
      <c r="R108" s="10"/>
      <c r="S108" s="6"/>
    </row>
    <row r="109" spans="1:19" ht="12.75">
      <c r="A109" s="6"/>
      <c r="B109" s="6"/>
      <c r="C109" s="9"/>
      <c r="D109" s="179"/>
      <c r="E109" s="6"/>
      <c r="F109" s="6"/>
      <c r="G109" s="6"/>
      <c r="H109" s="8"/>
      <c r="I109" s="6"/>
      <c r="J109" s="9"/>
      <c r="K109" s="179"/>
      <c r="L109" s="179"/>
      <c r="M109" s="6"/>
      <c r="N109" s="6"/>
      <c r="O109" s="6"/>
      <c r="P109" s="6"/>
      <c r="Q109" s="6"/>
      <c r="R109" s="10"/>
      <c r="S109" s="6"/>
    </row>
    <row r="110" spans="1:19" ht="12.75">
      <c r="A110" s="6"/>
      <c r="B110" s="6"/>
      <c r="C110" s="9"/>
      <c r="D110" s="179"/>
      <c r="E110" s="6"/>
      <c r="F110" s="6"/>
      <c r="G110" s="6"/>
      <c r="H110" s="8"/>
      <c r="I110" s="6"/>
      <c r="J110" s="9"/>
      <c r="K110" s="179"/>
      <c r="L110" s="179"/>
      <c r="M110" s="6"/>
      <c r="N110" s="6"/>
      <c r="O110" s="6"/>
      <c r="P110" s="6"/>
      <c r="Q110" s="6"/>
      <c r="R110" s="10"/>
      <c r="S110" s="6"/>
    </row>
    <row r="111" spans="1:19" ht="12.75">
      <c r="A111" s="6"/>
      <c r="B111" s="6"/>
      <c r="C111" s="9"/>
      <c r="D111" s="179"/>
      <c r="E111" s="6"/>
      <c r="F111" s="6"/>
      <c r="G111" s="6"/>
      <c r="H111" s="8"/>
      <c r="I111" s="6"/>
      <c r="J111" s="9"/>
      <c r="K111" s="179"/>
      <c r="L111" s="179"/>
      <c r="M111" s="6"/>
      <c r="N111" s="6"/>
      <c r="O111" s="6"/>
      <c r="P111" s="6"/>
      <c r="Q111" s="6"/>
      <c r="R111" s="10"/>
      <c r="S111" s="6"/>
    </row>
    <row r="112" spans="1:19" ht="12.75">
      <c r="A112" s="6"/>
      <c r="B112" s="6"/>
      <c r="C112" s="9"/>
      <c r="D112" s="179"/>
      <c r="E112" s="6"/>
      <c r="F112" s="6"/>
      <c r="G112" s="6"/>
      <c r="H112" s="8"/>
      <c r="I112" s="6"/>
      <c r="J112" s="9"/>
      <c r="K112" s="179"/>
      <c r="L112" s="179"/>
      <c r="M112" s="6"/>
      <c r="N112" s="6"/>
      <c r="O112" s="6"/>
      <c r="P112" s="6"/>
      <c r="Q112" s="6"/>
      <c r="R112" s="10"/>
      <c r="S112" s="6"/>
    </row>
    <row r="113" spans="1:19" ht="12.75">
      <c r="A113" s="6"/>
      <c r="B113" s="6"/>
      <c r="C113" s="9"/>
      <c r="D113" s="179"/>
      <c r="E113" s="6"/>
      <c r="F113" s="6"/>
      <c r="G113" s="6"/>
      <c r="H113" s="8"/>
      <c r="I113" s="6"/>
      <c r="J113" s="9"/>
      <c r="K113" s="179"/>
      <c r="L113" s="179"/>
      <c r="M113" s="6"/>
      <c r="N113" s="6"/>
      <c r="O113" s="6"/>
      <c r="P113" s="6"/>
      <c r="Q113" s="6"/>
      <c r="R113" s="10"/>
      <c r="S113" s="6"/>
    </row>
    <row r="114" spans="1:19" ht="12.75">
      <c r="A114" s="6"/>
      <c r="B114" s="6"/>
      <c r="C114" s="9"/>
      <c r="D114" s="179"/>
      <c r="E114" s="6"/>
      <c r="F114" s="6"/>
      <c r="G114" s="6"/>
      <c r="H114" s="8"/>
      <c r="I114" s="6"/>
      <c r="J114" s="9"/>
      <c r="K114" s="179"/>
      <c r="L114" s="179"/>
      <c r="M114" s="6"/>
      <c r="N114" s="6"/>
      <c r="O114" s="6"/>
      <c r="P114" s="6"/>
      <c r="Q114" s="6"/>
      <c r="R114" s="10"/>
      <c r="S114" s="6"/>
    </row>
    <row r="115" spans="1:19" ht="12.75">
      <c r="A115" s="6"/>
      <c r="B115" s="6"/>
      <c r="C115" s="9"/>
      <c r="D115" s="179"/>
      <c r="E115" s="6"/>
      <c r="F115" s="6"/>
      <c r="G115" s="6"/>
      <c r="H115" s="8"/>
      <c r="I115" s="6"/>
      <c r="J115" s="9"/>
      <c r="K115" s="179"/>
      <c r="L115" s="179"/>
      <c r="M115" s="6"/>
      <c r="N115" s="6"/>
      <c r="O115" s="6"/>
      <c r="P115" s="6"/>
      <c r="Q115" s="6"/>
      <c r="R115" s="10"/>
      <c r="S115" s="6"/>
    </row>
    <row r="116" spans="1:19" ht="12.75">
      <c r="A116" s="6"/>
      <c r="B116" s="6"/>
      <c r="C116" s="9"/>
      <c r="D116" s="179"/>
      <c r="E116" s="6"/>
      <c r="F116" s="6"/>
      <c r="G116" s="6"/>
      <c r="H116" s="8"/>
      <c r="I116" s="6"/>
      <c r="J116" s="9"/>
      <c r="K116" s="179"/>
      <c r="L116" s="179"/>
      <c r="M116" s="6"/>
      <c r="N116" s="6"/>
      <c r="O116" s="6"/>
      <c r="P116" s="6"/>
      <c r="Q116" s="6"/>
      <c r="R116" s="10"/>
      <c r="S116" s="6"/>
    </row>
    <row r="117" spans="1:19" ht="12.75">
      <c r="A117" s="6"/>
      <c r="B117" s="6"/>
      <c r="C117" s="9"/>
      <c r="D117" s="179"/>
      <c r="E117" s="6"/>
      <c r="F117" s="6"/>
      <c r="G117" s="6"/>
      <c r="H117" s="8"/>
      <c r="I117" s="6"/>
      <c r="J117" s="9"/>
      <c r="K117" s="179"/>
      <c r="L117" s="179"/>
      <c r="M117" s="6"/>
      <c r="N117" s="6"/>
      <c r="O117" s="6"/>
      <c r="P117" s="6"/>
      <c r="Q117" s="6"/>
      <c r="R117" s="10"/>
      <c r="S117" s="6"/>
    </row>
    <row r="118" spans="1:19" ht="12.75">
      <c r="A118" s="6"/>
      <c r="B118" s="6"/>
      <c r="C118" s="9"/>
      <c r="D118" s="179"/>
      <c r="E118" s="6"/>
      <c r="F118" s="6"/>
      <c r="G118" s="6"/>
      <c r="H118" s="8"/>
      <c r="I118" s="6"/>
      <c r="J118" s="9"/>
      <c r="K118" s="179"/>
      <c r="L118" s="179"/>
      <c r="M118" s="6"/>
      <c r="N118" s="6"/>
      <c r="O118" s="6"/>
      <c r="P118" s="6"/>
      <c r="Q118" s="6"/>
      <c r="R118" s="10"/>
      <c r="S118" s="6"/>
    </row>
    <row r="119" spans="1:19" ht="12.75">
      <c r="A119" s="6"/>
      <c r="B119" s="6"/>
      <c r="C119" s="9"/>
      <c r="D119" s="179"/>
      <c r="E119" s="6"/>
      <c r="F119" s="6"/>
      <c r="G119" s="6"/>
      <c r="H119" s="8"/>
      <c r="I119" s="6"/>
      <c r="J119" s="9"/>
      <c r="K119" s="179"/>
      <c r="L119" s="179"/>
      <c r="M119" s="6"/>
      <c r="N119" s="6"/>
      <c r="O119" s="6"/>
      <c r="P119" s="6"/>
      <c r="Q119" s="6"/>
      <c r="R119" s="10"/>
      <c r="S119" s="6"/>
    </row>
    <row r="120" spans="1:19" ht="12.75">
      <c r="A120" s="6"/>
      <c r="B120" s="6"/>
      <c r="C120" s="9"/>
      <c r="D120" s="179"/>
      <c r="E120" s="6"/>
      <c r="F120" s="6"/>
      <c r="G120" s="6"/>
      <c r="H120" s="8"/>
      <c r="I120" s="6"/>
      <c r="J120" s="9"/>
      <c r="K120" s="179"/>
      <c r="L120" s="179"/>
      <c r="M120" s="6"/>
      <c r="N120" s="6"/>
      <c r="O120" s="6"/>
      <c r="P120" s="6"/>
      <c r="Q120" s="6"/>
      <c r="R120" s="10"/>
      <c r="S120" s="6"/>
    </row>
    <row r="121" spans="1:19" ht="12.75">
      <c r="A121" s="6"/>
      <c r="B121" s="6"/>
      <c r="C121" s="9"/>
      <c r="D121" s="179"/>
      <c r="E121" s="6"/>
      <c r="F121" s="6"/>
      <c r="G121" s="6"/>
      <c r="H121" s="8"/>
      <c r="I121" s="6"/>
      <c r="J121" s="9"/>
      <c r="K121" s="179"/>
      <c r="L121" s="179"/>
      <c r="M121" s="6"/>
      <c r="N121" s="6"/>
      <c r="O121" s="6"/>
      <c r="P121" s="6"/>
      <c r="Q121" s="6"/>
      <c r="R121" s="10"/>
      <c r="S121" s="6"/>
    </row>
    <row r="122" spans="1:19" ht="12.75">
      <c r="A122" s="6"/>
      <c r="B122" s="6"/>
      <c r="C122" s="9"/>
      <c r="D122" s="179"/>
      <c r="E122" s="6"/>
      <c r="F122" s="6"/>
      <c r="G122" s="6"/>
      <c r="H122" s="8"/>
      <c r="I122" s="6"/>
      <c r="J122" s="9"/>
      <c r="K122" s="179"/>
      <c r="L122" s="179"/>
      <c r="M122" s="6"/>
      <c r="N122" s="6"/>
      <c r="O122" s="6"/>
      <c r="P122" s="6"/>
      <c r="Q122" s="6"/>
      <c r="R122" s="10"/>
      <c r="S122" s="6"/>
    </row>
    <row r="123" spans="1:19" ht="12.75">
      <c r="A123" s="6"/>
      <c r="B123" s="6"/>
      <c r="C123" s="9"/>
      <c r="D123" s="179"/>
      <c r="E123" s="6"/>
      <c r="F123" s="6"/>
      <c r="G123" s="6"/>
      <c r="H123" s="8"/>
      <c r="I123" s="6"/>
      <c r="J123" s="9"/>
      <c r="K123" s="179"/>
      <c r="L123" s="179"/>
      <c r="M123" s="6"/>
      <c r="N123" s="6"/>
      <c r="O123" s="6"/>
      <c r="P123" s="6"/>
      <c r="Q123" s="6"/>
      <c r="R123" s="10"/>
      <c r="S123" s="6"/>
    </row>
    <row r="124" spans="1:19" ht="12.75">
      <c r="A124" s="6"/>
      <c r="B124" s="6"/>
      <c r="C124" s="9"/>
      <c r="D124" s="179"/>
      <c r="E124" s="6"/>
      <c r="F124" s="6"/>
      <c r="G124" s="6"/>
      <c r="H124" s="8"/>
      <c r="I124" s="6"/>
      <c r="J124" s="9"/>
      <c r="K124" s="179"/>
      <c r="L124" s="179"/>
      <c r="M124" s="6"/>
      <c r="N124" s="6"/>
      <c r="O124" s="6"/>
      <c r="P124" s="6"/>
      <c r="Q124" s="6"/>
      <c r="R124" s="10"/>
      <c r="S124" s="6"/>
    </row>
    <row r="125" spans="1:19" ht="12.75">
      <c r="A125" s="6"/>
      <c r="B125" s="6"/>
      <c r="C125" s="9"/>
      <c r="D125" s="179"/>
      <c r="E125" s="6"/>
      <c r="F125" s="6"/>
      <c r="G125" s="6"/>
      <c r="H125" s="8"/>
      <c r="I125" s="6"/>
      <c r="J125" s="9"/>
      <c r="K125" s="179"/>
      <c r="L125" s="179"/>
      <c r="M125" s="6"/>
      <c r="N125" s="6"/>
      <c r="O125" s="6"/>
      <c r="P125" s="6"/>
      <c r="Q125" s="6"/>
      <c r="R125" s="10"/>
      <c r="S125" s="6"/>
    </row>
    <row r="126" spans="1:19" ht="12.75">
      <c r="A126" s="6"/>
      <c r="B126" s="6"/>
      <c r="C126" s="9"/>
      <c r="D126" s="179"/>
      <c r="E126" s="6"/>
      <c r="F126" s="6"/>
      <c r="G126" s="6"/>
      <c r="H126" s="8"/>
      <c r="I126" s="6"/>
      <c r="J126" s="9"/>
      <c r="K126" s="179"/>
      <c r="L126" s="179"/>
      <c r="M126" s="6"/>
      <c r="N126" s="6"/>
      <c r="O126" s="6"/>
      <c r="P126" s="6"/>
      <c r="Q126" s="6"/>
      <c r="R126" s="10"/>
      <c r="S126" s="6"/>
    </row>
    <row r="127" spans="1:19" ht="12.75">
      <c r="A127" s="6"/>
      <c r="B127" s="6"/>
      <c r="C127" s="9"/>
      <c r="D127" s="179"/>
      <c r="E127" s="6"/>
      <c r="F127" s="6"/>
      <c r="G127" s="6"/>
      <c r="H127" s="8"/>
      <c r="I127" s="6"/>
      <c r="J127" s="9"/>
      <c r="K127" s="179"/>
      <c r="L127" s="179"/>
      <c r="M127" s="6"/>
      <c r="N127" s="6"/>
      <c r="O127" s="6"/>
      <c r="P127" s="6"/>
      <c r="Q127" s="6"/>
      <c r="R127" s="10"/>
      <c r="S127" s="6"/>
    </row>
    <row r="128" spans="1:19" ht="12.75">
      <c r="A128" s="6"/>
      <c r="B128" s="6"/>
      <c r="C128" s="9"/>
      <c r="D128" s="179"/>
      <c r="E128" s="6"/>
      <c r="F128" s="6"/>
      <c r="G128" s="6"/>
      <c r="H128" s="8"/>
      <c r="I128" s="6"/>
      <c r="J128" s="9"/>
      <c r="K128" s="179"/>
      <c r="L128" s="179"/>
      <c r="M128" s="6"/>
      <c r="N128" s="6"/>
      <c r="O128" s="6"/>
      <c r="P128" s="6"/>
      <c r="Q128" s="6"/>
      <c r="R128" s="10"/>
      <c r="S128" s="6"/>
    </row>
    <row r="129" spans="1:19" ht="12.75">
      <c r="A129" s="6"/>
      <c r="B129" s="6"/>
      <c r="C129" s="9"/>
      <c r="D129" s="179"/>
      <c r="E129" s="6"/>
      <c r="F129" s="6"/>
      <c r="G129" s="6"/>
      <c r="H129" s="8"/>
      <c r="I129" s="6"/>
      <c r="J129" s="9"/>
      <c r="K129" s="179"/>
      <c r="L129" s="179"/>
      <c r="M129" s="6"/>
      <c r="N129" s="6"/>
      <c r="O129" s="6"/>
      <c r="P129" s="6"/>
      <c r="Q129" s="6"/>
      <c r="R129" s="10"/>
      <c r="S129" s="6"/>
    </row>
    <row r="130" spans="1:19" ht="12.75">
      <c r="A130" s="6"/>
      <c r="B130" s="6"/>
      <c r="C130" s="9"/>
      <c r="D130" s="179"/>
      <c r="E130" s="6"/>
      <c r="F130" s="6"/>
      <c r="G130" s="6"/>
      <c r="H130" s="8"/>
      <c r="I130" s="6"/>
      <c r="J130" s="9"/>
      <c r="K130" s="179"/>
      <c r="L130" s="179"/>
      <c r="M130" s="6"/>
      <c r="N130" s="6"/>
      <c r="O130" s="6"/>
      <c r="P130" s="6"/>
      <c r="Q130" s="6"/>
      <c r="R130" s="10"/>
      <c r="S130" s="6"/>
    </row>
    <row r="131" spans="1:19" ht="12.75">
      <c r="A131" s="6"/>
      <c r="B131" s="6"/>
      <c r="C131" s="9"/>
      <c r="D131" s="179"/>
      <c r="E131" s="6"/>
      <c r="F131" s="6"/>
      <c r="G131" s="6"/>
      <c r="H131" s="8"/>
      <c r="I131" s="6"/>
      <c r="J131" s="9"/>
      <c r="K131" s="179"/>
      <c r="L131" s="179"/>
      <c r="M131" s="6"/>
      <c r="N131" s="6"/>
      <c r="O131" s="6"/>
      <c r="P131" s="6"/>
      <c r="Q131" s="6"/>
      <c r="R131" s="10"/>
      <c r="S131" s="6"/>
    </row>
    <row r="132" spans="1:19" ht="12.75">
      <c r="A132" s="6"/>
      <c r="B132" s="6"/>
      <c r="C132" s="9"/>
      <c r="D132" s="179"/>
      <c r="E132" s="6"/>
      <c r="F132" s="6"/>
      <c r="G132" s="6"/>
      <c r="H132" s="8"/>
      <c r="I132" s="6"/>
      <c r="J132" s="9"/>
      <c r="K132" s="179"/>
      <c r="L132" s="179"/>
      <c r="M132" s="6"/>
      <c r="N132" s="6"/>
      <c r="O132" s="6"/>
      <c r="P132" s="6"/>
      <c r="Q132" s="6"/>
      <c r="R132" s="10"/>
      <c r="S132" s="6"/>
    </row>
    <row r="133" spans="1:19" ht="12.75">
      <c r="A133" s="6"/>
      <c r="B133" s="6"/>
      <c r="C133" s="9"/>
      <c r="D133" s="179"/>
      <c r="E133" s="6"/>
      <c r="F133" s="6"/>
      <c r="G133" s="6"/>
      <c r="H133" s="8"/>
      <c r="I133" s="6"/>
      <c r="J133" s="9"/>
      <c r="K133" s="179"/>
      <c r="L133" s="179"/>
      <c r="M133" s="6"/>
      <c r="N133" s="6"/>
      <c r="O133" s="6"/>
      <c r="P133" s="6"/>
      <c r="Q133" s="6"/>
      <c r="R133" s="10"/>
      <c r="S133" s="6"/>
    </row>
    <row r="134" spans="1:19" ht="12.75">
      <c r="A134" s="6"/>
      <c r="B134" s="6"/>
      <c r="C134" s="9"/>
      <c r="D134" s="179"/>
      <c r="E134" s="6"/>
      <c r="F134" s="6"/>
      <c r="G134" s="6"/>
      <c r="H134" s="8"/>
      <c r="I134" s="6"/>
      <c r="J134" s="9"/>
      <c r="K134" s="179"/>
      <c r="L134" s="179"/>
      <c r="M134" s="6"/>
      <c r="N134" s="6"/>
      <c r="O134" s="6"/>
      <c r="P134" s="6"/>
      <c r="Q134" s="6"/>
      <c r="R134" s="10"/>
      <c r="S134" s="6"/>
    </row>
    <row r="135" spans="1:19" ht="12.75">
      <c r="A135" s="6"/>
      <c r="B135" s="6"/>
      <c r="C135" s="9"/>
      <c r="D135" s="179"/>
      <c r="E135" s="6"/>
      <c r="F135" s="6"/>
      <c r="G135" s="6"/>
      <c r="H135" s="8"/>
      <c r="I135" s="6"/>
      <c r="J135" s="9"/>
      <c r="K135" s="179"/>
      <c r="L135" s="179"/>
      <c r="M135" s="6"/>
      <c r="N135" s="6"/>
      <c r="O135" s="6"/>
      <c r="P135" s="6"/>
      <c r="Q135" s="6"/>
      <c r="R135" s="10"/>
      <c r="S135" s="6"/>
    </row>
    <row r="136" spans="1:19" ht="12.75">
      <c r="A136" s="6"/>
      <c r="B136" s="6"/>
      <c r="C136" s="9"/>
      <c r="D136" s="179"/>
      <c r="E136" s="6"/>
      <c r="F136" s="6"/>
      <c r="G136" s="6"/>
      <c r="H136" s="8"/>
      <c r="I136" s="6"/>
      <c r="J136" s="9"/>
      <c r="K136" s="179"/>
      <c r="L136" s="179"/>
      <c r="M136" s="6"/>
      <c r="N136" s="6"/>
      <c r="O136" s="6"/>
      <c r="P136" s="6"/>
      <c r="Q136" s="6"/>
      <c r="R136" s="10"/>
      <c r="S136" s="6"/>
    </row>
    <row r="137" spans="1:19" ht="12.75">
      <c r="A137" s="6"/>
      <c r="B137" s="6"/>
      <c r="C137" s="9"/>
      <c r="D137" s="179"/>
      <c r="E137" s="6"/>
      <c r="F137" s="6"/>
      <c r="G137" s="6"/>
      <c r="H137" s="8"/>
      <c r="I137" s="6"/>
      <c r="J137" s="9"/>
      <c r="K137" s="179"/>
      <c r="L137" s="179"/>
      <c r="M137" s="6"/>
      <c r="N137" s="6"/>
      <c r="O137" s="6"/>
      <c r="P137" s="6"/>
      <c r="Q137" s="6"/>
      <c r="R137" s="10"/>
      <c r="S137" s="6"/>
    </row>
    <row r="138" spans="1:19" ht="12.75">
      <c r="A138" s="6"/>
      <c r="B138" s="6"/>
      <c r="C138" s="9"/>
      <c r="D138" s="179"/>
      <c r="E138" s="6"/>
      <c r="F138" s="6"/>
      <c r="G138" s="6"/>
      <c r="H138" s="8"/>
      <c r="I138" s="6"/>
      <c r="J138" s="9"/>
      <c r="K138" s="179"/>
      <c r="L138" s="179"/>
      <c r="M138" s="6"/>
      <c r="N138" s="6"/>
      <c r="O138" s="6"/>
      <c r="P138" s="6"/>
      <c r="Q138" s="6"/>
      <c r="R138" s="10"/>
      <c r="S138" s="6"/>
    </row>
    <row r="139" spans="1:19" ht="12.75">
      <c r="A139" s="6"/>
      <c r="B139" s="6"/>
      <c r="C139" s="9"/>
      <c r="D139" s="179"/>
      <c r="E139" s="6"/>
      <c r="F139" s="6"/>
      <c r="G139" s="6"/>
      <c r="H139" s="8"/>
      <c r="I139" s="6"/>
      <c r="J139" s="9"/>
      <c r="K139" s="179"/>
      <c r="L139" s="179"/>
      <c r="M139" s="6"/>
      <c r="N139" s="6"/>
      <c r="O139" s="6"/>
      <c r="P139" s="6"/>
      <c r="Q139" s="6"/>
      <c r="R139" s="10"/>
      <c r="S139" s="6"/>
    </row>
    <row r="140" spans="1:19" ht="12.75">
      <c r="A140" s="6"/>
      <c r="B140" s="6"/>
      <c r="C140" s="9"/>
      <c r="D140" s="179"/>
      <c r="E140" s="6"/>
      <c r="F140" s="6"/>
      <c r="G140" s="6"/>
      <c r="H140" s="8"/>
      <c r="I140" s="6"/>
      <c r="J140" s="9"/>
      <c r="K140" s="179"/>
      <c r="L140" s="179"/>
      <c r="M140" s="6"/>
      <c r="N140" s="6"/>
      <c r="O140" s="6"/>
      <c r="P140" s="6"/>
      <c r="Q140" s="6"/>
      <c r="R140" s="10"/>
      <c r="S140" s="6"/>
    </row>
    <row r="141" spans="1:19" ht="12.75">
      <c r="A141" s="6"/>
      <c r="B141" s="6"/>
      <c r="C141" s="9"/>
      <c r="D141" s="179"/>
      <c r="E141" s="6"/>
      <c r="F141" s="6"/>
      <c r="G141" s="6"/>
      <c r="H141" s="8"/>
      <c r="I141" s="6"/>
      <c r="J141" s="9"/>
      <c r="K141" s="179"/>
      <c r="L141" s="179"/>
      <c r="M141" s="6"/>
      <c r="N141" s="6"/>
      <c r="O141" s="6"/>
      <c r="P141" s="6"/>
      <c r="Q141" s="6"/>
      <c r="R141" s="10"/>
      <c r="S141" s="6"/>
    </row>
    <row r="142" spans="1:19" ht="12.75">
      <c r="A142" s="6"/>
      <c r="B142" s="6"/>
      <c r="C142" s="9"/>
      <c r="D142" s="179"/>
      <c r="E142" s="6"/>
      <c r="F142" s="6"/>
      <c r="G142" s="6"/>
      <c r="H142" s="8"/>
      <c r="I142" s="6"/>
      <c r="J142" s="9"/>
      <c r="K142" s="179"/>
      <c r="L142" s="179"/>
      <c r="M142" s="6"/>
      <c r="N142" s="6"/>
      <c r="O142" s="6"/>
      <c r="P142" s="6"/>
      <c r="Q142" s="6"/>
      <c r="R142" s="10"/>
      <c r="S142" s="6"/>
    </row>
    <row r="143" spans="1:19" ht="12.75">
      <c r="A143" s="6"/>
      <c r="B143" s="6"/>
      <c r="C143" s="9"/>
      <c r="D143" s="179"/>
      <c r="E143" s="6"/>
      <c r="F143" s="6"/>
      <c r="G143" s="6"/>
      <c r="H143" s="8"/>
      <c r="I143" s="6"/>
      <c r="J143" s="9"/>
      <c r="K143" s="179"/>
      <c r="L143" s="179"/>
      <c r="M143" s="6"/>
      <c r="N143" s="6"/>
      <c r="O143" s="6"/>
      <c r="P143" s="6"/>
      <c r="Q143" s="6"/>
      <c r="R143" s="10"/>
      <c r="S143" s="6"/>
    </row>
    <row r="144" spans="1:19" ht="12.75">
      <c r="A144" s="6"/>
      <c r="B144" s="6"/>
      <c r="C144" s="9"/>
      <c r="D144" s="179"/>
      <c r="E144" s="6"/>
      <c r="F144" s="6"/>
      <c r="G144" s="6"/>
      <c r="H144" s="8"/>
      <c r="I144" s="6"/>
      <c r="J144" s="9"/>
      <c r="K144" s="179"/>
      <c r="L144" s="179"/>
      <c r="M144" s="6"/>
      <c r="N144" s="6"/>
      <c r="O144" s="6"/>
      <c r="P144" s="6"/>
      <c r="Q144" s="6"/>
      <c r="R144" s="10"/>
      <c r="S144" s="6"/>
    </row>
    <row r="145" spans="1:19" ht="12.75">
      <c r="A145" s="6"/>
      <c r="B145" s="6"/>
      <c r="C145" s="9"/>
      <c r="D145" s="179"/>
      <c r="E145" s="6"/>
      <c r="F145" s="6"/>
      <c r="G145" s="6"/>
      <c r="H145" s="8"/>
      <c r="I145" s="6"/>
      <c r="J145" s="9"/>
      <c r="K145" s="179"/>
      <c r="L145" s="179"/>
      <c r="M145" s="6"/>
      <c r="N145" s="6"/>
      <c r="O145" s="6"/>
      <c r="P145" s="6"/>
      <c r="Q145" s="6"/>
      <c r="R145" s="10"/>
      <c r="S145" s="6"/>
    </row>
    <row r="146" spans="1:19" ht="12.75">
      <c r="A146" s="6"/>
      <c r="B146" s="6"/>
      <c r="C146" s="9"/>
      <c r="D146" s="179"/>
      <c r="E146" s="6"/>
      <c r="F146" s="6"/>
      <c r="G146" s="6"/>
      <c r="H146" s="8"/>
      <c r="I146" s="6"/>
      <c r="J146" s="9"/>
      <c r="K146" s="179"/>
      <c r="L146" s="179"/>
      <c r="M146" s="6"/>
      <c r="N146" s="6"/>
      <c r="O146" s="6"/>
      <c r="P146" s="6"/>
      <c r="Q146" s="6"/>
      <c r="R146" s="10"/>
      <c r="S146" s="6"/>
    </row>
    <row r="147" spans="1:19" ht="12.75">
      <c r="A147" s="6"/>
      <c r="B147" s="6"/>
      <c r="C147" s="9"/>
      <c r="D147" s="179"/>
      <c r="E147" s="6"/>
      <c r="F147" s="6"/>
      <c r="G147" s="6"/>
      <c r="H147" s="8"/>
      <c r="I147" s="6"/>
      <c r="J147" s="9"/>
      <c r="K147" s="179"/>
      <c r="L147" s="179"/>
      <c r="M147" s="6"/>
      <c r="N147" s="6"/>
      <c r="O147" s="6"/>
      <c r="P147" s="6"/>
      <c r="Q147" s="6"/>
      <c r="R147" s="10"/>
      <c r="S147" s="6"/>
    </row>
    <row r="148" spans="1:19" ht="12.75">
      <c r="A148" s="6"/>
      <c r="B148" s="6"/>
      <c r="C148" s="9"/>
      <c r="D148" s="179"/>
      <c r="E148" s="6"/>
      <c r="F148" s="6"/>
      <c r="G148" s="6"/>
      <c r="H148" s="8"/>
      <c r="I148" s="6"/>
      <c r="J148" s="9"/>
      <c r="K148" s="179"/>
      <c r="L148" s="179"/>
      <c r="M148" s="6"/>
      <c r="N148" s="6"/>
      <c r="O148" s="6"/>
      <c r="P148" s="6"/>
      <c r="Q148" s="6"/>
      <c r="R148" s="10"/>
      <c r="S148" s="6"/>
    </row>
    <row r="149" spans="1:19" ht="12.75">
      <c r="A149" s="6"/>
      <c r="B149" s="6"/>
      <c r="C149" s="9"/>
      <c r="D149" s="179"/>
      <c r="E149" s="6"/>
      <c r="F149" s="6"/>
      <c r="G149" s="6"/>
      <c r="H149" s="8"/>
      <c r="I149" s="6"/>
      <c r="J149" s="9"/>
      <c r="K149" s="179"/>
      <c r="L149" s="179"/>
      <c r="M149" s="6"/>
      <c r="N149" s="6"/>
      <c r="O149" s="6"/>
      <c r="P149" s="6"/>
      <c r="Q149" s="6"/>
      <c r="R149" s="10"/>
      <c r="S149" s="6"/>
    </row>
    <row r="150" spans="1:19" ht="12.75">
      <c r="A150" s="6"/>
      <c r="B150" s="6"/>
      <c r="C150" s="9"/>
      <c r="D150" s="179"/>
      <c r="E150" s="6"/>
      <c r="F150" s="6"/>
      <c r="G150" s="6"/>
      <c r="H150" s="8"/>
      <c r="I150" s="6"/>
      <c r="J150" s="9"/>
      <c r="K150" s="179"/>
      <c r="L150" s="179"/>
      <c r="M150" s="6"/>
      <c r="N150" s="6"/>
      <c r="O150" s="6"/>
      <c r="P150" s="6"/>
      <c r="Q150" s="6"/>
      <c r="R150" s="10"/>
      <c r="S150" s="6"/>
    </row>
    <row r="151" spans="1:19" ht="12.75">
      <c r="A151" s="6"/>
      <c r="B151" s="6"/>
      <c r="C151" s="9"/>
      <c r="D151" s="179"/>
      <c r="E151" s="6"/>
      <c r="F151" s="6"/>
      <c r="G151" s="6"/>
      <c r="H151" s="8"/>
      <c r="I151" s="6"/>
      <c r="J151" s="9"/>
      <c r="K151" s="179"/>
      <c r="L151" s="179"/>
      <c r="M151" s="6"/>
      <c r="N151" s="6"/>
      <c r="O151" s="6"/>
      <c r="P151" s="6"/>
      <c r="Q151" s="6"/>
      <c r="R151" s="10"/>
      <c r="S151" s="6"/>
    </row>
    <row r="152" spans="1:19" ht="12.75">
      <c r="A152" s="6"/>
      <c r="B152" s="6"/>
      <c r="C152" s="9"/>
      <c r="D152" s="179"/>
      <c r="E152" s="6"/>
      <c r="F152" s="6"/>
      <c r="G152" s="6"/>
      <c r="H152" s="8"/>
      <c r="I152" s="6"/>
      <c r="J152" s="9"/>
      <c r="K152" s="179"/>
      <c r="L152" s="179"/>
      <c r="M152" s="6"/>
      <c r="N152" s="6"/>
      <c r="O152" s="6"/>
      <c r="P152" s="6"/>
      <c r="Q152" s="6"/>
      <c r="R152" s="10"/>
      <c r="S152" s="6"/>
    </row>
    <row r="153" spans="1:19" ht="12.75">
      <c r="A153" s="6"/>
      <c r="B153" s="6"/>
      <c r="C153" s="9"/>
      <c r="D153" s="179"/>
      <c r="E153" s="6"/>
      <c r="F153" s="6"/>
      <c r="G153" s="6"/>
      <c r="H153" s="8"/>
      <c r="I153" s="6"/>
      <c r="J153" s="9"/>
      <c r="K153" s="179"/>
      <c r="L153" s="179"/>
      <c r="M153" s="6"/>
      <c r="N153" s="6"/>
      <c r="O153" s="6"/>
      <c r="P153" s="6"/>
      <c r="Q153" s="6"/>
      <c r="R153" s="10"/>
      <c r="S153" s="6"/>
    </row>
    <row r="154" spans="1:19" ht="12.75">
      <c r="A154" s="6"/>
      <c r="B154" s="6"/>
      <c r="C154" s="9"/>
      <c r="D154" s="179"/>
      <c r="E154" s="6"/>
      <c r="F154" s="6"/>
      <c r="G154" s="6"/>
      <c r="H154" s="8"/>
      <c r="I154" s="6"/>
      <c r="J154" s="9"/>
      <c r="K154" s="179"/>
      <c r="L154" s="179"/>
      <c r="M154" s="6"/>
      <c r="N154" s="6"/>
      <c r="O154" s="6"/>
      <c r="P154" s="6"/>
      <c r="Q154" s="6"/>
      <c r="R154" s="10"/>
      <c r="S154" s="6"/>
    </row>
    <row r="155" spans="1:19" ht="12.75">
      <c r="A155" s="6"/>
      <c r="B155" s="6"/>
      <c r="C155" s="9"/>
      <c r="D155" s="179"/>
      <c r="E155" s="6"/>
      <c r="F155" s="6"/>
      <c r="G155" s="6"/>
      <c r="H155" s="8"/>
      <c r="I155" s="6"/>
      <c r="J155" s="9"/>
      <c r="K155" s="179"/>
      <c r="L155" s="179"/>
      <c r="M155" s="6"/>
      <c r="N155" s="6"/>
      <c r="O155" s="6"/>
      <c r="P155" s="6"/>
      <c r="Q155" s="6"/>
      <c r="R155" s="10"/>
      <c r="S155" s="6"/>
    </row>
    <row r="156" spans="1:19" ht="12.75">
      <c r="A156" s="6"/>
      <c r="B156" s="6"/>
      <c r="C156" s="9"/>
      <c r="D156" s="179"/>
      <c r="E156" s="6"/>
      <c r="F156" s="6"/>
      <c r="G156" s="6"/>
      <c r="H156" s="8"/>
      <c r="I156" s="6"/>
      <c r="J156" s="9"/>
      <c r="K156" s="179"/>
      <c r="L156" s="179"/>
      <c r="M156" s="6"/>
      <c r="N156" s="6"/>
      <c r="O156" s="6"/>
      <c r="P156" s="6"/>
      <c r="Q156" s="6"/>
      <c r="R156" s="10"/>
      <c r="S156" s="6"/>
    </row>
    <row r="157" spans="1:19" ht="12.75">
      <c r="A157" s="6"/>
      <c r="B157" s="6"/>
      <c r="C157" s="9"/>
      <c r="D157" s="179"/>
      <c r="E157" s="6"/>
      <c r="F157" s="6"/>
      <c r="G157" s="6"/>
      <c r="H157" s="8"/>
      <c r="I157" s="6"/>
      <c r="J157" s="9"/>
      <c r="K157" s="179"/>
      <c r="L157" s="179"/>
      <c r="M157" s="6"/>
      <c r="N157" s="6"/>
      <c r="O157" s="6"/>
      <c r="P157" s="6"/>
      <c r="Q157" s="6"/>
      <c r="R157" s="10"/>
      <c r="S157" s="6"/>
    </row>
    <row r="158" spans="1:19" ht="12.75">
      <c r="A158" s="6"/>
      <c r="B158" s="6"/>
      <c r="C158" s="9"/>
      <c r="D158" s="179"/>
      <c r="E158" s="6"/>
      <c r="F158" s="6"/>
      <c r="G158" s="6"/>
      <c r="H158" s="8"/>
      <c r="I158" s="6"/>
      <c r="J158" s="9"/>
      <c r="K158" s="179"/>
      <c r="L158" s="179"/>
      <c r="M158" s="6"/>
      <c r="N158" s="6"/>
      <c r="O158" s="6"/>
      <c r="P158" s="6"/>
      <c r="Q158" s="6"/>
      <c r="R158" s="10"/>
      <c r="S158" s="6"/>
    </row>
    <row r="159" spans="1:19" ht="12.75">
      <c r="A159" s="6"/>
      <c r="B159" s="6"/>
      <c r="C159" s="9"/>
      <c r="D159" s="179"/>
      <c r="E159" s="6"/>
      <c r="F159" s="6"/>
      <c r="G159" s="6"/>
      <c r="H159" s="8"/>
      <c r="I159" s="6"/>
      <c r="J159" s="9"/>
      <c r="K159" s="179"/>
      <c r="L159" s="179"/>
      <c r="M159" s="6"/>
      <c r="N159" s="6"/>
      <c r="O159" s="6"/>
      <c r="P159" s="6"/>
      <c r="Q159" s="6"/>
      <c r="R159" s="10"/>
      <c r="S159" s="6"/>
    </row>
    <row r="160" spans="1:19" ht="12.75">
      <c r="A160" s="6"/>
      <c r="B160" s="6"/>
      <c r="C160" s="9"/>
      <c r="D160" s="179"/>
      <c r="E160" s="6"/>
      <c r="F160" s="6"/>
      <c r="G160" s="6"/>
      <c r="H160" s="8"/>
      <c r="I160" s="6"/>
      <c r="J160" s="9"/>
      <c r="K160" s="179"/>
      <c r="L160" s="179"/>
      <c r="M160" s="6"/>
      <c r="N160" s="6"/>
      <c r="O160" s="6"/>
      <c r="P160" s="6"/>
      <c r="Q160" s="6"/>
      <c r="R160" s="10"/>
      <c r="S160" s="6"/>
    </row>
    <row r="161" spans="1:19" ht="12.75">
      <c r="A161" s="6"/>
      <c r="B161" s="6"/>
      <c r="C161" s="9"/>
      <c r="D161" s="179"/>
      <c r="E161" s="6"/>
      <c r="F161" s="6"/>
      <c r="G161" s="6"/>
      <c r="H161" s="8"/>
      <c r="I161" s="6"/>
      <c r="J161" s="9"/>
      <c r="K161" s="179"/>
      <c r="L161" s="179"/>
      <c r="M161" s="6"/>
      <c r="N161" s="6"/>
      <c r="O161" s="6"/>
      <c r="P161" s="6"/>
      <c r="Q161" s="6"/>
      <c r="R161" s="10"/>
      <c r="S161" s="6"/>
    </row>
    <row r="162" spans="1:19" ht="12.75">
      <c r="A162" s="6"/>
      <c r="B162" s="6"/>
      <c r="C162" s="9"/>
      <c r="D162" s="179"/>
      <c r="E162" s="6"/>
      <c r="F162" s="6"/>
      <c r="G162" s="6"/>
      <c r="H162" s="8"/>
      <c r="I162" s="6"/>
      <c r="J162" s="9"/>
      <c r="K162" s="179"/>
      <c r="L162" s="179"/>
      <c r="M162" s="6"/>
      <c r="N162" s="6"/>
      <c r="O162" s="6"/>
      <c r="P162" s="6"/>
      <c r="Q162" s="6"/>
      <c r="R162" s="10"/>
      <c r="S162" s="6"/>
    </row>
    <row r="163" spans="1:19" ht="12.75">
      <c r="A163" s="6"/>
      <c r="B163" s="6"/>
      <c r="C163" s="9"/>
      <c r="D163" s="179"/>
      <c r="E163" s="6"/>
      <c r="F163" s="6"/>
      <c r="G163" s="6"/>
      <c r="H163" s="8"/>
      <c r="I163" s="6"/>
      <c r="J163" s="9"/>
      <c r="K163" s="179"/>
      <c r="L163" s="179"/>
      <c r="M163" s="6"/>
      <c r="N163" s="6"/>
      <c r="O163" s="6"/>
      <c r="P163" s="6"/>
      <c r="Q163" s="6"/>
      <c r="R163" s="10"/>
      <c r="S163" s="6"/>
    </row>
    <row r="164" spans="1:19" ht="12.75">
      <c r="A164" s="6"/>
      <c r="B164" s="6"/>
      <c r="C164" s="9"/>
      <c r="D164" s="179"/>
      <c r="E164" s="6"/>
      <c r="F164" s="6"/>
      <c r="G164" s="6"/>
      <c r="H164" s="8"/>
      <c r="I164" s="6"/>
      <c r="J164" s="9"/>
      <c r="K164" s="179"/>
      <c r="L164" s="179"/>
      <c r="M164" s="6"/>
      <c r="N164" s="6"/>
      <c r="O164" s="6"/>
      <c r="P164" s="6"/>
      <c r="Q164" s="6"/>
      <c r="R164" s="10"/>
      <c r="S164" s="6"/>
    </row>
    <row r="165" spans="1:19" ht="12.75">
      <c r="A165" s="6"/>
      <c r="B165" s="6"/>
      <c r="C165" s="9"/>
      <c r="D165" s="179"/>
      <c r="E165" s="6"/>
      <c r="F165" s="6"/>
      <c r="G165" s="6"/>
      <c r="H165" s="8"/>
      <c r="I165" s="6"/>
      <c r="J165" s="9"/>
      <c r="K165" s="179"/>
      <c r="L165" s="179"/>
      <c r="M165" s="6"/>
      <c r="N165" s="6"/>
      <c r="O165" s="6"/>
      <c r="P165" s="6"/>
      <c r="Q165" s="6"/>
      <c r="R165" s="10"/>
      <c r="S165" s="6"/>
    </row>
    <row r="166" spans="1:19" ht="12.75">
      <c r="A166" s="6"/>
      <c r="B166" s="6"/>
      <c r="C166" s="9"/>
      <c r="D166" s="179"/>
      <c r="E166" s="6"/>
      <c r="F166" s="6"/>
      <c r="G166" s="6"/>
      <c r="H166" s="8"/>
      <c r="I166" s="6"/>
      <c r="J166" s="9"/>
      <c r="K166" s="179"/>
      <c r="L166" s="179"/>
      <c r="M166" s="6"/>
      <c r="N166" s="6"/>
      <c r="O166" s="6"/>
      <c r="P166" s="6"/>
      <c r="Q166" s="6"/>
      <c r="R166" s="10"/>
      <c r="S166" s="6"/>
    </row>
    <row r="167" spans="1:19" ht="12.75">
      <c r="A167" s="6"/>
      <c r="B167" s="6"/>
      <c r="C167" s="9"/>
      <c r="D167" s="179"/>
      <c r="E167" s="6"/>
      <c r="F167" s="6"/>
      <c r="G167" s="6"/>
      <c r="H167" s="8"/>
      <c r="I167" s="6"/>
      <c r="J167" s="9"/>
      <c r="K167" s="179"/>
      <c r="L167" s="179"/>
      <c r="M167" s="6"/>
      <c r="N167" s="6"/>
      <c r="O167" s="6"/>
      <c r="P167" s="6"/>
      <c r="Q167" s="6"/>
      <c r="R167" s="10"/>
      <c r="S167" s="6"/>
    </row>
    <row r="168" spans="1:19" ht="12.75">
      <c r="A168" s="6"/>
      <c r="B168" s="6"/>
      <c r="C168" s="9"/>
      <c r="D168" s="179"/>
      <c r="E168" s="6"/>
      <c r="F168" s="6"/>
      <c r="G168" s="6"/>
      <c r="H168" s="8"/>
      <c r="I168" s="6"/>
      <c r="J168" s="9"/>
      <c r="K168" s="179"/>
      <c r="L168" s="179"/>
      <c r="M168" s="6"/>
      <c r="N168" s="6"/>
      <c r="O168" s="6"/>
      <c r="P168" s="6"/>
      <c r="Q168" s="6"/>
      <c r="R168" s="10"/>
      <c r="S168" s="6"/>
    </row>
    <row r="169" spans="1:19" ht="12.75">
      <c r="A169" s="6"/>
      <c r="B169" s="6"/>
      <c r="C169" s="9"/>
      <c r="D169" s="179"/>
      <c r="E169" s="6"/>
      <c r="F169" s="6"/>
      <c r="G169" s="6"/>
      <c r="H169" s="8"/>
      <c r="I169" s="6"/>
      <c r="J169" s="9"/>
      <c r="K169" s="179"/>
      <c r="L169" s="179"/>
      <c r="M169" s="6"/>
      <c r="N169" s="6"/>
      <c r="O169" s="6"/>
      <c r="P169" s="6"/>
      <c r="Q169" s="6"/>
      <c r="R169" s="10"/>
      <c r="S169" s="6"/>
    </row>
    <row r="170" spans="1:19" ht="12.75">
      <c r="A170" s="6"/>
      <c r="B170" s="6"/>
      <c r="C170" s="9"/>
      <c r="D170" s="179"/>
      <c r="E170" s="6"/>
      <c r="F170" s="6"/>
      <c r="G170" s="6"/>
      <c r="H170" s="8"/>
      <c r="I170" s="6"/>
      <c r="J170" s="9"/>
      <c r="K170" s="179"/>
      <c r="L170" s="179"/>
      <c r="M170" s="6"/>
      <c r="N170" s="6"/>
      <c r="O170" s="6"/>
      <c r="P170" s="6"/>
      <c r="Q170" s="6"/>
      <c r="R170" s="10"/>
      <c r="S170" s="6"/>
    </row>
    <row r="171" spans="1:19" ht="12.75">
      <c r="A171" s="6"/>
      <c r="B171" s="6"/>
      <c r="C171" s="9"/>
      <c r="D171" s="179"/>
      <c r="E171" s="6"/>
      <c r="F171" s="6"/>
      <c r="G171" s="6"/>
      <c r="H171" s="8"/>
      <c r="I171" s="6"/>
      <c r="J171" s="9"/>
      <c r="K171" s="179"/>
      <c r="L171" s="179"/>
      <c r="M171" s="6"/>
      <c r="N171" s="6"/>
      <c r="O171" s="6"/>
      <c r="P171" s="6"/>
      <c r="Q171" s="6"/>
      <c r="R171" s="10"/>
      <c r="S171" s="6"/>
    </row>
    <row r="172" spans="1:19" ht="12.75">
      <c r="A172" s="6"/>
      <c r="B172" s="6"/>
      <c r="C172" s="9"/>
      <c r="D172" s="179"/>
      <c r="E172" s="6"/>
      <c r="F172" s="6"/>
      <c r="G172" s="6"/>
      <c r="H172" s="8"/>
      <c r="I172" s="6"/>
      <c r="J172" s="9"/>
      <c r="K172" s="179"/>
      <c r="L172" s="179"/>
      <c r="M172" s="6"/>
      <c r="N172" s="6"/>
      <c r="O172" s="6"/>
      <c r="P172" s="6"/>
      <c r="Q172" s="6"/>
      <c r="R172" s="10"/>
      <c r="S172" s="6"/>
    </row>
    <row r="173" spans="1:19" ht="12.75">
      <c r="A173" s="6"/>
      <c r="B173" s="6"/>
      <c r="C173" s="9"/>
      <c r="D173" s="179"/>
      <c r="E173" s="6"/>
      <c r="F173" s="6"/>
      <c r="G173" s="6"/>
      <c r="H173" s="8"/>
      <c r="I173" s="6"/>
      <c r="J173" s="9"/>
      <c r="K173" s="179"/>
      <c r="L173" s="179"/>
      <c r="M173" s="6"/>
      <c r="N173" s="6"/>
      <c r="O173" s="6"/>
      <c r="P173" s="6"/>
      <c r="Q173" s="6"/>
      <c r="R173" s="10"/>
      <c r="S173" s="6"/>
    </row>
    <row r="174" spans="1:19" ht="12.75">
      <c r="A174" s="6"/>
      <c r="B174" s="6"/>
      <c r="C174" s="9"/>
      <c r="D174" s="179"/>
      <c r="E174" s="6"/>
      <c r="F174" s="6"/>
      <c r="G174" s="6"/>
      <c r="H174" s="8"/>
      <c r="I174" s="6"/>
      <c r="J174" s="9"/>
      <c r="K174" s="179"/>
      <c r="L174" s="179"/>
      <c r="M174" s="6"/>
      <c r="N174" s="6"/>
      <c r="O174" s="6"/>
      <c r="P174" s="6"/>
      <c r="Q174" s="6"/>
      <c r="R174" s="10"/>
      <c r="S174" s="6"/>
    </row>
    <row r="175" spans="1:19" ht="12.75">
      <c r="A175" s="6"/>
      <c r="B175" s="6"/>
      <c r="C175" s="9"/>
      <c r="D175" s="179"/>
      <c r="E175" s="6"/>
      <c r="F175" s="6"/>
      <c r="G175" s="6"/>
      <c r="H175" s="8"/>
      <c r="I175" s="6"/>
      <c r="J175" s="9"/>
      <c r="K175" s="179"/>
      <c r="L175" s="179"/>
      <c r="M175" s="6"/>
      <c r="N175" s="6"/>
      <c r="O175" s="6"/>
      <c r="P175" s="6"/>
      <c r="Q175" s="6"/>
      <c r="R175" s="10"/>
      <c r="S175" s="6"/>
    </row>
    <row r="176" spans="1:19" ht="12.75">
      <c r="A176" s="6"/>
      <c r="B176" s="6"/>
      <c r="C176" s="9"/>
      <c r="D176" s="179"/>
      <c r="E176" s="6"/>
      <c r="F176" s="6"/>
      <c r="G176" s="6"/>
      <c r="H176" s="8"/>
      <c r="I176" s="6"/>
      <c r="J176" s="9"/>
      <c r="K176" s="179"/>
      <c r="L176" s="179"/>
      <c r="M176" s="6"/>
      <c r="N176" s="6"/>
      <c r="O176" s="6"/>
      <c r="P176" s="6"/>
      <c r="Q176" s="6"/>
      <c r="R176" s="10"/>
      <c r="S176" s="6"/>
    </row>
    <row r="177" spans="1:19" ht="12.75">
      <c r="A177" s="6"/>
      <c r="B177" s="6"/>
      <c r="C177" s="9"/>
      <c r="D177" s="179"/>
      <c r="E177" s="6"/>
      <c r="F177" s="6"/>
      <c r="G177" s="6"/>
      <c r="H177" s="8"/>
      <c r="I177" s="6"/>
      <c r="J177" s="9"/>
      <c r="K177" s="179"/>
      <c r="L177" s="179"/>
      <c r="M177" s="6"/>
      <c r="N177" s="6"/>
      <c r="O177" s="6"/>
      <c r="P177" s="6"/>
      <c r="Q177" s="6"/>
      <c r="R177" s="10"/>
      <c r="S177" s="6"/>
    </row>
    <row r="178" spans="1:19" ht="12.75">
      <c r="A178" s="6"/>
      <c r="B178" s="6"/>
      <c r="C178" s="9"/>
      <c r="D178" s="179"/>
      <c r="E178" s="6"/>
      <c r="F178" s="6"/>
      <c r="G178" s="6"/>
      <c r="H178" s="8"/>
      <c r="I178" s="6"/>
      <c r="J178" s="9"/>
      <c r="K178" s="179"/>
      <c r="L178" s="179"/>
      <c r="M178" s="6"/>
      <c r="N178" s="6"/>
      <c r="O178" s="6"/>
      <c r="P178" s="6"/>
      <c r="Q178" s="6"/>
      <c r="R178" s="10"/>
      <c r="S178" s="6"/>
    </row>
    <row r="179" spans="1:19" ht="12.75">
      <c r="A179" s="6"/>
      <c r="B179" s="6"/>
      <c r="C179" s="9"/>
      <c r="D179" s="179"/>
      <c r="E179" s="6"/>
      <c r="F179" s="6"/>
      <c r="G179" s="6"/>
      <c r="H179" s="8"/>
      <c r="I179" s="6"/>
      <c r="J179" s="9"/>
      <c r="K179" s="179"/>
      <c r="L179" s="179"/>
      <c r="M179" s="6"/>
      <c r="N179" s="6"/>
      <c r="O179" s="6"/>
      <c r="P179" s="6"/>
      <c r="Q179" s="6"/>
      <c r="R179" s="10"/>
      <c r="S179" s="6"/>
    </row>
    <row r="180" spans="1:19" ht="12.75">
      <c r="A180" s="6"/>
      <c r="B180" s="6"/>
      <c r="C180" s="9"/>
      <c r="D180" s="179"/>
      <c r="E180" s="6"/>
      <c r="F180" s="6"/>
      <c r="G180" s="6"/>
      <c r="H180" s="8"/>
      <c r="I180" s="6"/>
      <c r="J180" s="9"/>
      <c r="K180" s="179"/>
      <c r="L180" s="179"/>
      <c r="M180" s="6"/>
      <c r="N180" s="6"/>
      <c r="O180" s="6"/>
      <c r="P180" s="6"/>
      <c r="Q180" s="6"/>
      <c r="R180" s="10"/>
      <c r="S180" s="6"/>
    </row>
    <row r="181" spans="1:19" ht="12.75">
      <c r="A181" s="6"/>
      <c r="B181" s="6"/>
      <c r="C181" s="9"/>
      <c r="D181" s="179"/>
      <c r="E181" s="6"/>
      <c r="F181" s="6"/>
      <c r="G181" s="6"/>
      <c r="H181" s="8"/>
      <c r="I181" s="6"/>
      <c r="J181" s="9"/>
      <c r="K181" s="179"/>
      <c r="L181" s="179"/>
      <c r="M181" s="6"/>
      <c r="N181" s="6"/>
      <c r="O181" s="6"/>
      <c r="P181" s="6"/>
      <c r="Q181" s="6"/>
      <c r="R181" s="10"/>
      <c r="S181" s="6"/>
    </row>
    <row r="182" spans="1:19" ht="12.75">
      <c r="A182" s="6"/>
      <c r="B182" s="6"/>
      <c r="C182" s="9"/>
      <c r="D182" s="179"/>
      <c r="E182" s="6"/>
      <c r="F182" s="6"/>
      <c r="G182" s="6"/>
      <c r="H182" s="8"/>
      <c r="I182" s="6"/>
      <c r="J182" s="9"/>
      <c r="K182" s="179"/>
      <c r="L182" s="179"/>
      <c r="M182" s="6"/>
      <c r="N182" s="6"/>
      <c r="O182" s="6"/>
      <c r="P182" s="6"/>
      <c r="Q182" s="6"/>
      <c r="R182" s="10"/>
      <c r="S182" s="6"/>
    </row>
    <row r="183" spans="1:19" ht="12.75">
      <c r="A183" s="6"/>
      <c r="B183" s="6"/>
      <c r="C183" s="9"/>
      <c r="D183" s="179"/>
      <c r="E183" s="6"/>
      <c r="F183" s="6"/>
      <c r="G183" s="6"/>
      <c r="H183" s="8"/>
      <c r="I183" s="6"/>
      <c r="J183" s="9"/>
      <c r="K183" s="179"/>
      <c r="L183" s="179"/>
      <c r="M183" s="6"/>
      <c r="N183" s="6"/>
      <c r="O183" s="6"/>
      <c r="P183" s="6"/>
      <c r="Q183" s="6"/>
      <c r="R183" s="10"/>
      <c r="S183" s="6"/>
    </row>
    <row r="184" spans="1:19" ht="12.75">
      <c r="A184" s="6"/>
      <c r="B184" s="6"/>
      <c r="C184" s="9"/>
      <c r="D184" s="179"/>
      <c r="E184" s="6"/>
      <c r="F184" s="6"/>
      <c r="G184" s="6"/>
      <c r="H184" s="8"/>
      <c r="I184" s="6"/>
      <c r="J184" s="9"/>
      <c r="K184" s="179"/>
      <c r="L184" s="179"/>
      <c r="M184" s="6"/>
      <c r="N184" s="6"/>
      <c r="O184" s="6"/>
      <c r="P184" s="6"/>
      <c r="Q184" s="6"/>
      <c r="R184" s="10"/>
      <c r="S184" s="6"/>
    </row>
    <row r="185" spans="1:19" ht="12.75">
      <c r="A185" s="6"/>
      <c r="B185" s="6"/>
      <c r="C185" s="9"/>
      <c r="D185" s="179"/>
      <c r="E185" s="6"/>
      <c r="F185" s="6"/>
      <c r="G185" s="6"/>
      <c r="H185" s="8"/>
      <c r="I185" s="6"/>
      <c r="J185" s="9"/>
      <c r="K185" s="179"/>
      <c r="L185" s="179"/>
      <c r="M185" s="6"/>
      <c r="N185" s="6"/>
      <c r="O185" s="6"/>
      <c r="P185" s="6"/>
      <c r="Q185" s="6"/>
      <c r="R185" s="10"/>
      <c r="S185" s="6"/>
    </row>
    <row r="186" spans="1:19" ht="12.75">
      <c r="A186" s="6"/>
      <c r="B186" s="6"/>
      <c r="C186" s="9"/>
      <c r="D186" s="179"/>
      <c r="E186" s="6"/>
      <c r="F186" s="6"/>
      <c r="G186" s="6"/>
      <c r="H186" s="8"/>
      <c r="I186" s="6"/>
      <c r="J186" s="9"/>
      <c r="K186" s="179"/>
      <c r="L186" s="179"/>
      <c r="M186" s="6"/>
      <c r="N186" s="6"/>
      <c r="O186" s="6"/>
      <c r="P186" s="6"/>
      <c r="Q186" s="6"/>
      <c r="R186" s="10"/>
      <c r="S186" s="6"/>
    </row>
    <row r="187" spans="1:19" ht="12.75">
      <c r="A187" s="6"/>
      <c r="B187" s="6"/>
      <c r="C187" s="9"/>
      <c r="D187" s="179"/>
      <c r="E187" s="6"/>
      <c r="F187" s="6"/>
      <c r="G187" s="6"/>
      <c r="H187" s="8"/>
      <c r="I187" s="6"/>
      <c r="J187" s="9"/>
      <c r="K187" s="179"/>
      <c r="L187" s="179"/>
      <c r="M187" s="6"/>
      <c r="N187" s="6"/>
      <c r="O187" s="6"/>
      <c r="P187" s="6"/>
      <c r="Q187" s="6"/>
      <c r="R187" s="10"/>
      <c r="S187" s="6"/>
    </row>
    <row r="188" spans="1:19" ht="12.75">
      <c r="A188" s="6"/>
      <c r="B188" s="6"/>
      <c r="C188" s="9"/>
      <c r="D188" s="179"/>
      <c r="E188" s="6"/>
      <c r="F188" s="6"/>
      <c r="G188" s="6"/>
      <c r="H188" s="8"/>
      <c r="I188" s="6"/>
      <c r="J188" s="9"/>
      <c r="K188" s="179"/>
      <c r="L188" s="179"/>
      <c r="M188" s="6"/>
      <c r="N188" s="6"/>
      <c r="O188" s="6"/>
      <c r="P188" s="6"/>
      <c r="Q188" s="6"/>
      <c r="R188" s="10"/>
      <c r="S188" s="6"/>
    </row>
    <row r="189" spans="1:19" ht="12.75">
      <c r="A189" s="6"/>
      <c r="B189" s="6"/>
      <c r="C189" s="9"/>
      <c r="D189" s="179"/>
      <c r="E189" s="6"/>
      <c r="F189" s="6"/>
      <c r="G189" s="6"/>
      <c r="H189" s="8"/>
      <c r="I189" s="6"/>
      <c r="J189" s="9"/>
      <c r="K189" s="179"/>
      <c r="L189" s="179"/>
      <c r="M189" s="6"/>
      <c r="N189" s="6"/>
      <c r="O189" s="6"/>
      <c r="P189" s="6"/>
      <c r="Q189" s="6"/>
      <c r="R189" s="10"/>
      <c r="S189" s="6"/>
    </row>
    <row r="190" spans="1:19" ht="12.75">
      <c r="A190" s="6"/>
      <c r="B190" s="6"/>
      <c r="C190" s="9"/>
      <c r="D190" s="179"/>
      <c r="E190" s="6"/>
      <c r="F190" s="6"/>
      <c r="G190" s="6"/>
      <c r="H190" s="8"/>
      <c r="I190" s="6"/>
      <c r="J190" s="9"/>
      <c r="K190" s="179"/>
      <c r="L190" s="179"/>
      <c r="M190" s="6"/>
      <c r="N190" s="6"/>
      <c r="O190" s="6"/>
      <c r="P190" s="6"/>
      <c r="Q190" s="6"/>
      <c r="R190" s="10"/>
      <c r="S190" s="6"/>
    </row>
    <row r="191" spans="1:19" ht="12.75">
      <c r="A191" s="6"/>
      <c r="B191" s="6"/>
      <c r="C191" s="9"/>
      <c r="D191" s="179"/>
      <c r="E191" s="6"/>
      <c r="F191" s="6"/>
      <c r="G191" s="6"/>
      <c r="H191" s="8"/>
      <c r="I191" s="6"/>
      <c r="J191" s="9"/>
      <c r="K191" s="179"/>
      <c r="L191" s="179"/>
      <c r="M191" s="6"/>
      <c r="N191" s="6"/>
      <c r="O191" s="6"/>
      <c r="P191" s="6"/>
      <c r="Q191" s="6"/>
      <c r="R191" s="10"/>
      <c r="S191" s="6"/>
    </row>
    <row r="192" spans="1:19" ht="12.75">
      <c r="A192" s="6"/>
      <c r="B192" s="6"/>
      <c r="C192" s="9"/>
      <c r="D192" s="179"/>
      <c r="E192" s="6"/>
      <c r="F192" s="6"/>
      <c r="G192" s="6"/>
      <c r="H192" s="8"/>
      <c r="I192" s="6"/>
      <c r="J192" s="9"/>
      <c r="K192" s="179"/>
      <c r="L192" s="179"/>
      <c r="M192" s="6"/>
      <c r="N192" s="6"/>
      <c r="O192" s="6"/>
      <c r="P192" s="6"/>
      <c r="Q192" s="6"/>
      <c r="R192" s="10"/>
      <c r="S192" s="6"/>
    </row>
    <row r="193" spans="1:19" ht="12.75">
      <c r="A193" s="6"/>
      <c r="B193" s="6"/>
      <c r="C193" s="9"/>
      <c r="D193" s="179"/>
      <c r="E193" s="6"/>
      <c r="F193" s="6"/>
      <c r="G193" s="6"/>
      <c r="H193" s="8"/>
      <c r="I193" s="6"/>
      <c r="J193" s="9"/>
      <c r="K193" s="179"/>
      <c r="L193" s="179"/>
      <c r="M193" s="6"/>
      <c r="N193" s="6"/>
      <c r="O193" s="6"/>
      <c r="P193" s="6"/>
      <c r="Q193" s="6"/>
      <c r="R193" s="10"/>
      <c r="S193" s="6"/>
    </row>
    <row r="194" spans="1:19" ht="12.75">
      <c r="A194" s="6"/>
      <c r="B194" s="6"/>
      <c r="C194" s="9"/>
      <c r="D194" s="179"/>
      <c r="E194" s="6"/>
      <c r="F194" s="6"/>
      <c r="G194" s="6"/>
      <c r="H194" s="8"/>
      <c r="I194" s="6"/>
      <c r="J194" s="9"/>
      <c r="K194" s="179"/>
      <c r="L194" s="179"/>
      <c r="M194" s="6"/>
      <c r="N194" s="6"/>
      <c r="O194" s="6"/>
      <c r="P194" s="6"/>
      <c r="Q194" s="6"/>
      <c r="R194" s="10"/>
      <c r="S194" s="6"/>
    </row>
    <row r="195" spans="1:19" ht="12.75">
      <c r="A195" s="6"/>
      <c r="B195" s="6"/>
      <c r="C195" s="9"/>
      <c r="D195" s="179"/>
      <c r="E195" s="6"/>
      <c r="F195" s="6"/>
      <c r="G195" s="6"/>
      <c r="H195" s="8"/>
      <c r="I195" s="6"/>
      <c r="J195" s="9"/>
      <c r="K195" s="179"/>
      <c r="L195" s="179"/>
      <c r="M195" s="6"/>
      <c r="N195" s="6"/>
      <c r="O195" s="6"/>
      <c r="P195" s="6"/>
      <c r="Q195" s="6"/>
      <c r="R195" s="10"/>
      <c r="S195" s="6"/>
    </row>
    <row r="196" spans="1:19" ht="12.75">
      <c r="A196" s="6"/>
      <c r="B196" s="6"/>
      <c r="C196" s="9"/>
      <c r="D196" s="179"/>
      <c r="E196" s="6"/>
      <c r="F196" s="6"/>
      <c r="G196" s="6"/>
      <c r="H196" s="8"/>
      <c r="I196" s="6"/>
      <c r="J196" s="9"/>
      <c r="K196" s="179"/>
      <c r="L196" s="179"/>
      <c r="M196" s="6"/>
      <c r="N196" s="6"/>
      <c r="O196" s="6"/>
      <c r="P196" s="6"/>
      <c r="Q196" s="6"/>
      <c r="R196" s="10"/>
      <c r="S196" s="6"/>
    </row>
    <row r="197" spans="1:19" ht="12.75">
      <c r="A197" s="6"/>
      <c r="B197" s="6"/>
      <c r="C197" s="9"/>
      <c r="D197" s="179"/>
      <c r="E197" s="6"/>
      <c r="F197" s="6"/>
      <c r="G197" s="6"/>
      <c r="H197" s="8"/>
      <c r="I197" s="6"/>
      <c r="J197" s="9"/>
      <c r="K197" s="179"/>
      <c r="L197" s="179"/>
      <c r="M197" s="6"/>
      <c r="N197" s="6"/>
      <c r="O197" s="6"/>
      <c r="P197" s="6"/>
      <c r="Q197" s="6"/>
      <c r="R197" s="10"/>
      <c r="S197" s="6"/>
    </row>
    <row r="198" spans="1:19" ht="12.75">
      <c r="A198" s="6"/>
      <c r="B198" s="6"/>
      <c r="C198" s="9"/>
      <c r="D198" s="179"/>
      <c r="E198" s="6"/>
      <c r="F198" s="6"/>
      <c r="G198" s="6"/>
      <c r="H198" s="8"/>
      <c r="I198" s="6"/>
      <c r="J198" s="9"/>
      <c r="K198" s="179"/>
      <c r="L198" s="179"/>
      <c r="M198" s="6"/>
      <c r="N198" s="6"/>
      <c r="O198" s="6"/>
      <c r="P198" s="6"/>
      <c r="Q198" s="6"/>
      <c r="R198" s="10"/>
      <c r="S198" s="6"/>
    </row>
    <row r="199" spans="1:19" ht="12.75">
      <c r="A199" s="6"/>
      <c r="B199" s="6"/>
      <c r="C199" s="9"/>
      <c r="D199" s="179"/>
      <c r="E199" s="6"/>
      <c r="F199" s="6"/>
      <c r="G199" s="6"/>
      <c r="H199" s="8"/>
      <c r="I199" s="6"/>
      <c r="J199" s="9"/>
      <c r="K199" s="179"/>
      <c r="L199" s="179"/>
      <c r="M199" s="6"/>
      <c r="N199" s="6"/>
      <c r="O199" s="6"/>
      <c r="P199" s="6"/>
      <c r="Q199" s="6"/>
      <c r="R199" s="10"/>
      <c r="S199" s="6"/>
    </row>
    <row r="200" spans="1:19" ht="12.75">
      <c r="A200" s="6"/>
      <c r="B200" s="6"/>
      <c r="C200" s="9"/>
      <c r="D200" s="179"/>
      <c r="E200" s="6"/>
      <c r="F200" s="6"/>
      <c r="G200" s="6"/>
      <c r="H200" s="8"/>
      <c r="I200" s="6"/>
      <c r="J200" s="9"/>
      <c r="K200" s="179"/>
      <c r="L200" s="179"/>
      <c r="M200" s="6"/>
      <c r="N200" s="6"/>
      <c r="O200" s="6"/>
      <c r="P200" s="6"/>
      <c r="Q200" s="6"/>
      <c r="R200" s="10"/>
      <c r="S200" s="6"/>
    </row>
  </sheetData>
  <dataValidations count="7">
    <dataValidation type="list" allowBlank="1" sqref="B2:B200" xr:uid="{00000000-0002-0000-1800-000000000000}">
      <formula1>"IPRAP,IBED,IBID,Testing and Analyses,TechniCom,ISP,IGF,Accreditation,Enforcement,ISTE,ACU-N,ACU-I,MAP,PMAP,TBED,DTTC,VFP,I-TECH,IBED 2,DATBED,YET,CAMPI,MPEX,DTTC,TIFT"</formula1>
    </dataValidation>
    <dataValidation type="list" allowBlank="1" showInputMessage="1" prompt="Click and enter a value from the list of items" sqref="C2:C200" xr:uid="{00000000-0002-0000-1800-000001000000}">
      <formula1>"Allocation,Termination,Guidelines"</formula1>
    </dataValidation>
    <dataValidation type="list" allowBlank="1" sqref="R2:R200" xr:uid="{00000000-0002-0000-1800-000002000000}">
      <formula1>"TIPD,IDD,IBOD,Legal"</formula1>
    </dataValidation>
    <dataValidation type="list" allowBlank="1" sqref="L2:M200" xr:uid="{00000000-0002-0000-1800-000003000000}">
      <formula1>"Male,Female,NA"</formula1>
    </dataValidation>
    <dataValidation type="list" allowBlank="1" sqref="Q2:Q200" xr:uid="{00000000-0002-0000-1800-000004000000}">
      <formula1>"Government,Government-DOST,Private Individual,MSMEs,Inventor,Inventor Org,Academia,Private Org"</formula1>
    </dataValidation>
    <dataValidation type="list" allowBlank="1" sqref="J2:J200" xr:uid="{00000000-0002-0000-1800-000005000000}">
      <formula1>"Region I – Ilocos Region,Region II – Cagayan Valley,Region III – Central Luzon,Region IV‑A – CALABARZON,MIMAROPA Region,Region V – Bicol Region,Region VI – Western Visayas,Region VII – Central Visayas,Region VIII – Eastern Visayas,Region IX – Zamboanga Pe"&amp;"ninsula,Region X – Northern Mindanao,Region XI – Davao Region,Region XII – SOCCSKSARGEN,Region XIII – Caraga,NCR – National Capital Region,CAR – Cordillera Administrative Region,BARMM – Bangsamoro Autonomous Region in Muslim Mindanao"</formula1>
    </dataValidation>
    <dataValidation type="list" allowBlank="1" sqref="N2:N200 P2:P200" xr:uid="{00000000-0002-0000-1800-000006000000}">
      <formula1>"Agriculture,Promotion,Engineering,Food Processing/Packaging,Health,Environment,Arts and Crafts,Information Technology,Financial and Investment,Knowledge Management"</formula1>
    </dataValidation>
  </dataValidations>
  <hyperlinks>
    <hyperlink ref="E2" r:id="rId1" xr:uid="{00000000-0004-0000-1800-000000000000}"/>
    <hyperlink ref="E3" r:id="rId2" xr:uid="{00000000-0004-0000-1800-000001000000}"/>
    <hyperlink ref="E4" r:id="rId3" xr:uid="{00000000-0004-0000-1800-000002000000}"/>
    <hyperlink ref="E5" r:id="rId4" xr:uid="{00000000-0004-0000-1800-000003000000}"/>
    <hyperlink ref="E6" r:id="rId5" xr:uid="{00000000-0004-0000-1800-000004000000}"/>
    <hyperlink ref="E7" r:id="rId6" xr:uid="{00000000-0004-0000-1800-000005000000}"/>
    <hyperlink ref="E8" r:id="rId7" xr:uid="{00000000-0004-0000-1800-000006000000}"/>
    <hyperlink ref="E9" r:id="rId8" xr:uid="{00000000-0004-0000-1800-000007000000}"/>
    <hyperlink ref="E10" r:id="rId9" xr:uid="{00000000-0004-0000-1800-000008000000}"/>
    <hyperlink ref="E11" r:id="rId10" xr:uid="{00000000-0004-0000-1800-000009000000}"/>
    <hyperlink ref="E12" r:id="rId11" xr:uid="{00000000-0004-0000-1800-00000A000000}"/>
    <hyperlink ref="E13" r:id="rId12" xr:uid="{00000000-0004-0000-1800-00000B000000}"/>
    <hyperlink ref="E14" r:id="rId13" xr:uid="{00000000-0004-0000-1800-00000C000000}"/>
    <hyperlink ref="E15" r:id="rId14" xr:uid="{00000000-0004-0000-1800-00000D000000}"/>
    <hyperlink ref="E16" r:id="rId15" xr:uid="{00000000-0004-0000-1800-00000E000000}"/>
    <hyperlink ref="E17" r:id="rId16" xr:uid="{00000000-0004-0000-1800-00000F000000}"/>
    <hyperlink ref="E18" r:id="rId17" xr:uid="{00000000-0004-0000-1800-000010000000}"/>
    <hyperlink ref="E19" r:id="rId18" xr:uid="{00000000-0004-0000-1800-000011000000}"/>
    <hyperlink ref="E20" r:id="rId19" xr:uid="{00000000-0004-0000-1800-000012000000}"/>
    <hyperlink ref="E21" r:id="rId20" xr:uid="{00000000-0004-0000-1800-000013000000}"/>
    <hyperlink ref="E22" r:id="rId21" xr:uid="{00000000-0004-0000-1800-000014000000}"/>
    <hyperlink ref="E23" r:id="rId22" xr:uid="{00000000-0004-0000-1800-000015000000}"/>
    <hyperlink ref="O23" r:id="rId23" xr:uid="{00000000-0004-0000-1800-000016000000}"/>
    <hyperlink ref="E24" r:id="rId24" xr:uid="{00000000-0004-0000-1800-000017000000}"/>
    <hyperlink ref="E25" r:id="rId25" xr:uid="{00000000-0004-0000-1800-000018000000}"/>
    <hyperlink ref="E26" r:id="rId26" xr:uid="{00000000-0004-0000-1800-000019000000}"/>
    <hyperlink ref="E27" r:id="rId27" xr:uid="{00000000-0004-0000-1800-00001A000000}"/>
    <hyperlink ref="E28" r:id="rId28" xr:uid="{00000000-0004-0000-1800-00001B000000}"/>
    <hyperlink ref="E29" r:id="rId29" xr:uid="{00000000-0004-0000-1800-00001C000000}"/>
    <hyperlink ref="E30" r:id="rId30" xr:uid="{00000000-0004-0000-1800-00001D000000}"/>
    <hyperlink ref="E31" r:id="rId31" xr:uid="{00000000-0004-0000-1800-00001E000000}"/>
    <hyperlink ref="E32" r:id="rId32" xr:uid="{00000000-0004-0000-1800-00001F000000}"/>
    <hyperlink ref="E33" r:id="rId33" xr:uid="{00000000-0004-0000-1800-000020000000}"/>
    <hyperlink ref="E34" r:id="rId34" xr:uid="{00000000-0004-0000-1800-000021000000}"/>
    <hyperlink ref="E35" r:id="rId35" xr:uid="{00000000-0004-0000-1800-000022000000}"/>
    <hyperlink ref="E36" r:id="rId36" xr:uid="{00000000-0004-0000-1800-000023000000}"/>
    <hyperlink ref="E37" r:id="rId37" xr:uid="{00000000-0004-0000-1800-000024000000}"/>
    <hyperlink ref="E38" r:id="rId38" xr:uid="{00000000-0004-0000-1800-000025000000}"/>
    <hyperlink ref="E39" r:id="rId39" xr:uid="{00000000-0004-0000-1800-000026000000}"/>
    <hyperlink ref="E40" r:id="rId40" xr:uid="{00000000-0004-0000-1800-000027000000}"/>
    <hyperlink ref="E41" r:id="rId41" xr:uid="{00000000-0004-0000-1800-000028000000}"/>
    <hyperlink ref="E42" r:id="rId42" xr:uid="{00000000-0004-0000-1800-000029000000}"/>
    <hyperlink ref="E43" r:id="rId43" xr:uid="{00000000-0004-0000-1800-00002A000000}"/>
    <hyperlink ref="E44" r:id="rId44" xr:uid="{00000000-0004-0000-1800-00002B000000}"/>
    <hyperlink ref="E45" r:id="rId45" xr:uid="{00000000-0004-0000-1800-00002C000000}"/>
    <hyperlink ref="E46" r:id="rId46" xr:uid="{00000000-0004-0000-1800-00002D000000}"/>
    <hyperlink ref="O73" r:id="rId47" xr:uid="{00000000-0004-0000-1800-00002E000000}"/>
    <hyperlink ref="O79" r:id="rId48" xr:uid="{00000000-0004-0000-1800-00002F000000}"/>
    <hyperlink ref="O87" r:id="rId49" xr:uid="{00000000-0004-0000-1800-00003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S150"/>
  <sheetViews>
    <sheetView workbookViewId="0">
      <pane xSplit="1" topLeftCell="B1" activePane="topRight" state="frozen"/>
      <selection pane="topRight" activeCell="C2" sqref="C2"/>
    </sheetView>
  </sheetViews>
  <sheetFormatPr defaultColWidth="12.5703125" defaultRowHeight="15.75" customHeight="1"/>
  <cols>
    <col min="1" max="1" width="15.140625" customWidth="1"/>
    <col min="2" max="2" width="15.5703125" customWidth="1"/>
    <col min="3" max="3" width="14.28515625" customWidth="1"/>
    <col min="4" max="4" width="14.5703125" hidden="1" customWidth="1"/>
    <col min="5" max="5" width="32.85546875" customWidth="1"/>
    <col min="6" max="6" width="67.28515625" customWidth="1"/>
    <col min="7" max="7" width="48.7109375" customWidth="1"/>
    <col min="8" max="8" width="25.85546875" customWidth="1"/>
    <col min="9" max="9" width="45.140625" customWidth="1"/>
    <col min="10" max="10" width="28.42578125" customWidth="1"/>
    <col min="11" max="11" width="36.140625" customWidth="1"/>
    <col min="12" max="13" width="19.7109375" customWidth="1"/>
    <col min="14" max="14" width="15.7109375" customWidth="1"/>
    <col min="15" max="15" width="28.42578125" customWidth="1"/>
    <col min="16" max="16" width="25.5703125" customWidth="1"/>
    <col min="17" max="17" width="21.28515625" customWidth="1"/>
    <col min="18" max="18" width="9.42578125" customWidth="1"/>
    <col min="19" max="19" width="19.5703125" customWidth="1"/>
  </cols>
  <sheetData>
    <row r="1" spans="1:19" ht="35.25" customHeight="1">
      <c r="A1" s="466" t="s">
        <v>6259</v>
      </c>
      <c r="B1" s="466" t="s">
        <v>4</v>
      </c>
      <c r="C1" s="466" t="s">
        <v>389</v>
      </c>
      <c r="D1" s="274" t="s">
        <v>7661</v>
      </c>
      <c r="E1" s="274" t="s">
        <v>5634</v>
      </c>
      <c r="F1" s="274" t="s">
        <v>6</v>
      </c>
      <c r="G1" s="274" t="s">
        <v>7</v>
      </c>
      <c r="H1" s="492" t="s">
        <v>5627</v>
      </c>
      <c r="I1" s="274" t="s">
        <v>8</v>
      </c>
      <c r="J1" s="466" t="s">
        <v>1821</v>
      </c>
      <c r="K1" s="274" t="s">
        <v>1822</v>
      </c>
      <c r="L1" s="274" t="s">
        <v>5631</v>
      </c>
      <c r="M1" s="274" t="s">
        <v>6260</v>
      </c>
      <c r="N1" s="466" t="s">
        <v>6261</v>
      </c>
      <c r="O1" s="466" t="s">
        <v>7662</v>
      </c>
      <c r="P1" s="274" t="s">
        <v>6060</v>
      </c>
      <c r="Q1" s="466" t="s">
        <v>1818</v>
      </c>
      <c r="R1" s="319" t="s">
        <v>5633</v>
      </c>
      <c r="S1" s="318" t="s">
        <v>5628</v>
      </c>
    </row>
    <row r="2" spans="1:19" ht="38.25">
      <c r="A2" s="61">
        <v>41275</v>
      </c>
      <c r="B2" s="6"/>
      <c r="C2" s="9" t="s">
        <v>6872</v>
      </c>
      <c r="D2" s="178"/>
      <c r="E2" s="472" t="s">
        <v>7756</v>
      </c>
      <c r="F2" s="164" t="s">
        <v>4724</v>
      </c>
      <c r="G2" s="158" t="s">
        <v>4725</v>
      </c>
      <c r="H2" s="8">
        <v>400000</v>
      </c>
      <c r="I2" s="292" t="s">
        <v>4726</v>
      </c>
      <c r="J2" s="6" t="s">
        <v>1828</v>
      </c>
      <c r="K2" s="179"/>
      <c r="L2" s="179"/>
      <c r="M2" s="6"/>
      <c r="N2" s="6"/>
      <c r="O2" s="6"/>
      <c r="P2" s="6" t="s">
        <v>1824</v>
      </c>
      <c r="Q2" s="6"/>
      <c r="R2" s="9"/>
      <c r="S2" s="6"/>
    </row>
    <row r="3" spans="1:19" ht="25.5">
      <c r="A3" s="61">
        <v>41334</v>
      </c>
      <c r="B3" s="6" t="s">
        <v>3092</v>
      </c>
      <c r="C3" s="9" t="s">
        <v>6872</v>
      </c>
      <c r="D3" s="179"/>
      <c r="E3" s="291" t="s">
        <v>7757</v>
      </c>
      <c r="F3" s="22" t="s">
        <v>4727</v>
      </c>
      <c r="G3" s="6" t="s">
        <v>4728</v>
      </c>
      <c r="H3" s="8">
        <v>386800</v>
      </c>
      <c r="I3" s="531" t="s">
        <v>4729</v>
      </c>
      <c r="J3" s="6" t="s">
        <v>7694</v>
      </c>
      <c r="K3" s="179"/>
      <c r="L3" s="179"/>
      <c r="M3" s="6" t="s">
        <v>22</v>
      </c>
      <c r="N3" s="6"/>
      <c r="O3" s="6"/>
      <c r="P3" s="6" t="s">
        <v>6137</v>
      </c>
      <c r="Q3" s="6"/>
      <c r="R3" s="9"/>
      <c r="S3" s="6" t="s">
        <v>7758</v>
      </c>
    </row>
    <row r="4" spans="1:19" ht="30" customHeight="1">
      <c r="A4" s="61">
        <v>41426</v>
      </c>
      <c r="B4" s="6" t="s">
        <v>1383</v>
      </c>
      <c r="C4" s="9" t="s">
        <v>6872</v>
      </c>
      <c r="D4" s="179"/>
      <c r="E4" s="297" t="s">
        <v>7759</v>
      </c>
      <c r="F4" s="22" t="s">
        <v>4730</v>
      </c>
      <c r="G4" s="292" t="s">
        <v>1473</v>
      </c>
      <c r="H4" s="8">
        <v>321500</v>
      </c>
      <c r="I4" s="160" t="s">
        <v>2837</v>
      </c>
      <c r="J4" s="6" t="s">
        <v>2656</v>
      </c>
      <c r="K4" s="179"/>
      <c r="L4" s="179"/>
      <c r="M4" s="6"/>
      <c r="N4" s="6"/>
      <c r="O4" s="6"/>
      <c r="P4" s="6" t="s">
        <v>1824</v>
      </c>
      <c r="Q4" s="6"/>
      <c r="R4" s="9"/>
      <c r="S4" s="6"/>
    </row>
    <row r="5" spans="1:19" ht="39.75" customHeight="1">
      <c r="A5" s="61">
        <v>41456</v>
      </c>
      <c r="B5" s="6" t="s">
        <v>1383</v>
      </c>
      <c r="C5" s="9" t="s">
        <v>6872</v>
      </c>
      <c r="D5" s="179"/>
      <c r="E5" s="291" t="s">
        <v>7760</v>
      </c>
      <c r="F5" s="22" t="s">
        <v>4731</v>
      </c>
      <c r="G5" s="6" t="s">
        <v>1680</v>
      </c>
      <c r="H5" s="8">
        <v>450000</v>
      </c>
      <c r="I5" s="160" t="s">
        <v>4732</v>
      </c>
      <c r="J5" s="6" t="s">
        <v>2659</v>
      </c>
      <c r="K5" s="179"/>
      <c r="L5" s="179"/>
      <c r="M5" s="6"/>
      <c r="N5" s="6"/>
      <c r="O5" s="6"/>
      <c r="P5" s="6" t="s">
        <v>1824</v>
      </c>
      <c r="Q5" s="6"/>
      <c r="R5" s="9"/>
      <c r="S5" s="6"/>
    </row>
    <row r="6" spans="1:19" ht="41.25" customHeight="1">
      <c r="A6" s="61">
        <v>41487</v>
      </c>
      <c r="B6" s="6" t="s">
        <v>1383</v>
      </c>
      <c r="C6" s="9" t="s">
        <v>6872</v>
      </c>
      <c r="D6" s="179"/>
      <c r="E6" s="297" t="s">
        <v>7761</v>
      </c>
      <c r="F6" s="22" t="s">
        <v>4733</v>
      </c>
      <c r="G6" s="6" t="s">
        <v>1680</v>
      </c>
      <c r="H6" s="8">
        <v>426000</v>
      </c>
      <c r="I6" s="160" t="s">
        <v>4734</v>
      </c>
      <c r="J6" s="6" t="s">
        <v>1879</v>
      </c>
      <c r="K6" s="179"/>
      <c r="L6" s="179"/>
      <c r="M6" s="6"/>
      <c r="N6" s="6"/>
      <c r="O6" s="6"/>
      <c r="P6" s="6" t="s">
        <v>1824</v>
      </c>
      <c r="Q6" s="6"/>
      <c r="R6" s="9"/>
      <c r="S6" s="6"/>
    </row>
    <row r="7" spans="1:19" ht="33.75" customHeight="1">
      <c r="A7" s="61">
        <v>41518</v>
      </c>
      <c r="B7" s="6"/>
      <c r="C7" s="9" t="s">
        <v>6872</v>
      </c>
      <c r="D7" s="179"/>
      <c r="E7" s="291" t="s">
        <v>7762</v>
      </c>
      <c r="F7" s="22" t="s">
        <v>4735</v>
      </c>
      <c r="G7" s="6" t="s">
        <v>4736</v>
      </c>
      <c r="H7" s="8">
        <v>120000</v>
      </c>
      <c r="I7" s="160" t="s">
        <v>4726</v>
      </c>
      <c r="J7" s="6" t="s">
        <v>1828</v>
      </c>
      <c r="K7" s="179"/>
      <c r="L7" s="179"/>
      <c r="M7" s="6"/>
      <c r="N7" s="6"/>
      <c r="O7" s="6"/>
      <c r="P7" s="6" t="s">
        <v>1824</v>
      </c>
      <c r="Q7" s="6"/>
      <c r="R7" s="9"/>
      <c r="S7" s="6"/>
    </row>
    <row r="8" spans="1:19" ht="51">
      <c r="A8" s="62">
        <v>41548</v>
      </c>
      <c r="B8" s="6" t="s">
        <v>652</v>
      </c>
      <c r="C8" s="9" t="s">
        <v>6872</v>
      </c>
      <c r="D8" s="179"/>
      <c r="E8" s="297" t="s">
        <v>7763</v>
      </c>
      <c r="F8" s="22" t="s">
        <v>4737</v>
      </c>
      <c r="G8" s="6" t="s">
        <v>4738</v>
      </c>
      <c r="H8" s="8">
        <v>613088.85</v>
      </c>
      <c r="I8" s="292" t="s">
        <v>4739</v>
      </c>
      <c r="J8" s="6" t="s">
        <v>5647</v>
      </c>
      <c r="K8" s="179"/>
      <c r="L8" s="179"/>
      <c r="M8" s="6" t="s">
        <v>6132</v>
      </c>
      <c r="N8" s="6"/>
      <c r="O8" s="468" t="s">
        <v>7764</v>
      </c>
      <c r="P8" s="6"/>
      <c r="Q8" s="6"/>
      <c r="R8" s="9"/>
      <c r="S8" s="6" t="s">
        <v>7765</v>
      </c>
    </row>
    <row r="9" spans="1:19" ht="33" customHeight="1">
      <c r="A9" s="61">
        <v>41579</v>
      </c>
      <c r="B9" s="6" t="s">
        <v>62</v>
      </c>
      <c r="C9" s="9" t="s">
        <v>6872</v>
      </c>
      <c r="D9" s="178"/>
      <c r="E9" s="472" t="s">
        <v>7766</v>
      </c>
      <c r="F9" s="164" t="s">
        <v>4740</v>
      </c>
      <c r="G9" s="158" t="s">
        <v>4741</v>
      </c>
      <c r="H9" s="470">
        <v>910963.19999999995</v>
      </c>
      <c r="I9" s="160" t="s">
        <v>4742</v>
      </c>
      <c r="J9" s="6" t="s">
        <v>1828</v>
      </c>
      <c r="K9" s="179"/>
      <c r="L9" s="179"/>
      <c r="M9" s="6" t="s">
        <v>6179</v>
      </c>
      <c r="N9" s="6"/>
      <c r="O9" s="6"/>
      <c r="P9" s="6"/>
      <c r="Q9" s="6"/>
      <c r="R9" s="9"/>
      <c r="S9" s="6"/>
    </row>
    <row r="10" spans="1:19" ht="38.25">
      <c r="A10" s="61">
        <v>41609</v>
      </c>
      <c r="B10" s="6" t="s">
        <v>7767</v>
      </c>
      <c r="C10" s="9" t="s">
        <v>6872</v>
      </c>
      <c r="D10" s="179"/>
      <c r="E10" s="291" t="s">
        <v>7768</v>
      </c>
      <c r="F10" s="22" t="s">
        <v>4743</v>
      </c>
      <c r="G10" s="6" t="s">
        <v>894</v>
      </c>
      <c r="H10" s="534">
        <v>161640</v>
      </c>
      <c r="I10" s="292" t="s">
        <v>2508</v>
      </c>
      <c r="J10" s="6" t="s">
        <v>1828</v>
      </c>
      <c r="K10" s="179"/>
      <c r="L10" s="179"/>
      <c r="M10" s="6" t="s">
        <v>6132</v>
      </c>
      <c r="N10" s="6"/>
      <c r="O10" s="6"/>
      <c r="P10" s="6"/>
      <c r="Q10" s="6"/>
      <c r="R10" s="9"/>
      <c r="S10" s="6"/>
    </row>
    <row r="11" spans="1:19" ht="53.25" customHeight="1">
      <c r="A11" s="6" t="s">
        <v>4744</v>
      </c>
      <c r="B11" s="6" t="s">
        <v>62</v>
      </c>
      <c r="C11" s="9" t="s">
        <v>6872</v>
      </c>
      <c r="D11" s="179"/>
      <c r="E11" s="297" t="s">
        <v>7769</v>
      </c>
      <c r="F11" s="22" t="s">
        <v>7770</v>
      </c>
      <c r="G11" s="6" t="s">
        <v>4746</v>
      </c>
      <c r="H11" s="30">
        <v>1187443.3600000001</v>
      </c>
      <c r="I11" s="160" t="s">
        <v>4747</v>
      </c>
      <c r="J11" s="6" t="s">
        <v>7397</v>
      </c>
      <c r="K11" s="179"/>
      <c r="L11" s="179"/>
      <c r="M11" s="6" t="s">
        <v>6132</v>
      </c>
      <c r="N11" s="6"/>
      <c r="O11" s="6"/>
      <c r="P11" s="6" t="s">
        <v>6137</v>
      </c>
      <c r="Q11" s="6"/>
      <c r="R11" s="9"/>
      <c r="S11" s="6" t="s">
        <v>7771</v>
      </c>
    </row>
    <row r="12" spans="1:19" ht="30" customHeight="1">
      <c r="A12" s="6" t="s">
        <v>4748</v>
      </c>
      <c r="B12" s="6" t="s">
        <v>611</v>
      </c>
      <c r="C12" s="9" t="s">
        <v>6872</v>
      </c>
      <c r="D12" s="179"/>
      <c r="E12" s="297" t="s">
        <v>7772</v>
      </c>
      <c r="F12" s="22" t="s">
        <v>4749</v>
      </c>
      <c r="G12" s="6" t="s">
        <v>811</v>
      </c>
      <c r="H12" s="8">
        <v>91000</v>
      </c>
      <c r="I12" s="160" t="s">
        <v>4726</v>
      </c>
      <c r="J12" s="6" t="s">
        <v>1828</v>
      </c>
      <c r="K12" s="179"/>
      <c r="L12" s="179"/>
      <c r="M12" s="6"/>
      <c r="N12" s="6"/>
      <c r="O12" s="6"/>
      <c r="P12" s="6" t="s">
        <v>1824</v>
      </c>
      <c r="Q12" s="6"/>
      <c r="R12" s="9"/>
      <c r="S12" s="6"/>
    </row>
    <row r="13" spans="1:19" ht="25.5">
      <c r="A13" s="6" t="s">
        <v>4750</v>
      </c>
      <c r="B13" s="6" t="s">
        <v>2093</v>
      </c>
      <c r="C13" s="9" t="s">
        <v>6872</v>
      </c>
      <c r="D13" s="179"/>
      <c r="E13" s="297" t="s">
        <v>7773</v>
      </c>
      <c r="F13" s="22" t="s">
        <v>4751</v>
      </c>
      <c r="G13" s="6" t="s">
        <v>4752</v>
      </c>
      <c r="H13" s="8">
        <v>200000</v>
      </c>
      <c r="I13" s="6" t="s">
        <v>4753</v>
      </c>
      <c r="J13" s="6" t="s">
        <v>1828</v>
      </c>
      <c r="K13" s="179"/>
      <c r="L13" s="179"/>
      <c r="M13" s="6"/>
      <c r="N13" s="6"/>
      <c r="O13" s="6"/>
      <c r="P13" s="6"/>
      <c r="Q13" s="6"/>
      <c r="R13" s="9"/>
      <c r="S13" s="6"/>
    </row>
    <row r="14" spans="1:19" ht="36" customHeight="1">
      <c r="A14" s="6" t="s">
        <v>4754</v>
      </c>
      <c r="B14" s="6" t="s">
        <v>62</v>
      </c>
      <c r="C14" s="9" t="s">
        <v>6872</v>
      </c>
      <c r="D14" s="179"/>
      <c r="E14" s="297" t="s">
        <v>7774</v>
      </c>
      <c r="F14" s="22" t="s">
        <v>4755</v>
      </c>
      <c r="G14" s="158" t="s">
        <v>4756</v>
      </c>
      <c r="H14" s="8">
        <v>486612.2</v>
      </c>
      <c r="I14" s="6" t="s">
        <v>4757</v>
      </c>
      <c r="J14" s="6" t="s">
        <v>7397</v>
      </c>
      <c r="K14" s="179"/>
      <c r="L14" s="179"/>
      <c r="M14" s="6" t="s">
        <v>6132</v>
      </c>
      <c r="N14" s="6"/>
      <c r="O14" s="6"/>
      <c r="P14" s="6" t="s">
        <v>6137</v>
      </c>
      <c r="Q14" s="6"/>
      <c r="R14" s="9"/>
      <c r="S14" s="6"/>
    </row>
    <row r="15" spans="1:19" ht="25.5">
      <c r="A15" s="6" t="s">
        <v>4758</v>
      </c>
      <c r="B15" s="6" t="s">
        <v>62</v>
      </c>
      <c r="C15" s="9" t="s">
        <v>6872</v>
      </c>
      <c r="D15" s="179"/>
      <c r="E15" s="297" t="s">
        <v>7775</v>
      </c>
      <c r="F15" s="22" t="s">
        <v>4759</v>
      </c>
      <c r="G15" s="158" t="s">
        <v>4760</v>
      </c>
      <c r="H15" s="8">
        <v>424015.98</v>
      </c>
      <c r="I15" s="6" t="s">
        <v>4761</v>
      </c>
      <c r="J15" s="6" t="s">
        <v>7397</v>
      </c>
      <c r="K15" s="179"/>
      <c r="L15" s="179"/>
      <c r="M15" s="6" t="s">
        <v>6132</v>
      </c>
      <c r="N15" s="6"/>
      <c r="O15" s="6"/>
      <c r="P15" s="6" t="s">
        <v>6137</v>
      </c>
      <c r="Q15" s="6"/>
      <c r="R15" s="9"/>
      <c r="S15" s="6"/>
    </row>
    <row r="16" spans="1:19" ht="25.5">
      <c r="A16" s="6" t="s">
        <v>4762</v>
      </c>
      <c r="B16" s="6" t="s">
        <v>62</v>
      </c>
      <c r="C16" s="9"/>
      <c r="D16" s="178"/>
      <c r="E16" s="472" t="s">
        <v>7776</v>
      </c>
      <c r="F16" s="164" t="s">
        <v>4763</v>
      </c>
      <c r="G16" s="6" t="s">
        <v>4764</v>
      </c>
      <c r="H16" s="8">
        <v>374000</v>
      </c>
      <c r="I16" s="6" t="s">
        <v>4765</v>
      </c>
      <c r="J16" s="6" t="s">
        <v>7397</v>
      </c>
      <c r="K16" s="179"/>
      <c r="L16" s="179"/>
      <c r="M16" s="6" t="s">
        <v>6132</v>
      </c>
      <c r="N16" s="6"/>
      <c r="O16" s="6"/>
      <c r="P16" s="6" t="s">
        <v>6064</v>
      </c>
      <c r="Q16" s="6"/>
      <c r="R16" s="9"/>
      <c r="S16" s="6"/>
    </row>
    <row r="17" spans="1:19" ht="38.25">
      <c r="A17" s="6" t="s">
        <v>4766</v>
      </c>
      <c r="B17" s="6" t="s">
        <v>62</v>
      </c>
      <c r="C17" s="9" t="s">
        <v>6872</v>
      </c>
      <c r="D17" s="179"/>
      <c r="E17" s="291" t="s">
        <v>7777</v>
      </c>
      <c r="F17" s="22" t="s">
        <v>4767</v>
      </c>
      <c r="G17" s="6" t="s">
        <v>4768</v>
      </c>
      <c r="H17" s="8">
        <v>1071763</v>
      </c>
      <c r="I17" s="6" t="s">
        <v>4769</v>
      </c>
      <c r="J17" s="6" t="s">
        <v>1828</v>
      </c>
      <c r="K17" s="179"/>
      <c r="L17" s="179"/>
      <c r="M17" s="6" t="s">
        <v>6132</v>
      </c>
      <c r="N17" s="6"/>
      <c r="O17" s="6"/>
      <c r="P17" s="6"/>
      <c r="Q17" s="6"/>
      <c r="R17" s="9"/>
      <c r="S17" s="6"/>
    </row>
    <row r="18" spans="1:19" ht="25.5">
      <c r="A18" s="6" t="s">
        <v>4770</v>
      </c>
      <c r="B18" s="6" t="s">
        <v>1383</v>
      </c>
      <c r="C18" s="9" t="s">
        <v>6872</v>
      </c>
      <c r="D18" s="179"/>
      <c r="E18" s="297" t="s">
        <v>7778</v>
      </c>
      <c r="F18" s="22" t="s">
        <v>4771</v>
      </c>
      <c r="G18" s="6" t="s">
        <v>4772</v>
      </c>
      <c r="H18" s="8">
        <v>414500</v>
      </c>
      <c r="I18" s="6" t="s">
        <v>4726</v>
      </c>
      <c r="J18" s="6" t="s">
        <v>7694</v>
      </c>
      <c r="K18" s="179"/>
      <c r="L18" s="179"/>
      <c r="M18" s="6" t="s">
        <v>22</v>
      </c>
      <c r="N18" s="6"/>
      <c r="O18" s="6"/>
      <c r="P18" s="6" t="s">
        <v>7739</v>
      </c>
      <c r="Q18" s="6"/>
      <c r="R18" s="9"/>
      <c r="S18" s="6"/>
    </row>
    <row r="19" spans="1:19" ht="33" customHeight="1">
      <c r="A19" s="6" t="s">
        <v>4773</v>
      </c>
      <c r="B19" s="6" t="s">
        <v>1383</v>
      </c>
      <c r="C19" s="9" t="s">
        <v>6872</v>
      </c>
      <c r="D19" s="179"/>
      <c r="E19" s="291" t="s">
        <v>7779</v>
      </c>
      <c r="F19" s="22" t="s">
        <v>4774</v>
      </c>
      <c r="G19" s="6" t="s">
        <v>4775</v>
      </c>
      <c r="H19" s="8">
        <v>357000</v>
      </c>
      <c r="I19" s="6" t="s">
        <v>2557</v>
      </c>
      <c r="J19" s="6" t="s">
        <v>7694</v>
      </c>
      <c r="K19" s="179"/>
      <c r="L19" s="179"/>
      <c r="M19" s="6" t="s">
        <v>22</v>
      </c>
      <c r="N19" s="6"/>
      <c r="O19" s="6"/>
      <c r="P19" s="6" t="s">
        <v>6064</v>
      </c>
      <c r="Q19" s="6"/>
      <c r="R19" s="9"/>
      <c r="S19" s="6"/>
    </row>
    <row r="20" spans="1:19" ht="38.25">
      <c r="A20" s="6" t="s">
        <v>4776</v>
      </c>
      <c r="B20" s="6" t="s">
        <v>68</v>
      </c>
      <c r="C20" s="9" t="s">
        <v>6872</v>
      </c>
      <c r="D20" s="179"/>
      <c r="E20" s="291" t="s">
        <v>7780</v>
      </c>
      <c r="F20" s="22" t="s">
        <v>4777</v>
      </c>
      <c r="G20" s="6" t="s">
        <v>4778</v>
      </c>
      <c r="H20" s="8">
        <v>3000000</v>
      </c>
      <c r="I20" s="160" t="s">
        <v>4779</v>
      </c>
      <c r="J20" s="6" t="s">
        <v>1828</v>
      </c>
      <c r="K20" s="179"/>
      <c r="L20" s="179"/>
      <c r="M20" s="6" t="s">
        <v>6132</v>
      </c>
      <c r="N20" s="6"/>
      <c r="O20" s="6"/>
      <c r="P20" s="6"/>
      <c r="Q20" s="6"/>
      <c r="R20" s="9"/>
      <c r="S20" s="6"/>
    </row>
    <row r="21" spans="1:19" ht="38.25" customHeight="1">
      <c r="A21" s="6" t="s">
        <v>4780</v>
      </c>
      <c r="B21" s="6" t="s">
        <v>62</v>
      </c>
      <c r="C21" s="161" t="s">
        <v>6872</v>
      </c>
      <c r="D21" s="179"/>
      <c r="E21" s="291" t="s">
        <v>7781</v>
      </c>
      <c r="F21" s="22" t="s">
        <v>4781</v>
      </c>
      <c r="G21" s="6" t="s">
        <v>4782</v>
      </c>
      <c r="H21" s="8">
        <v>297060</v>
      </c>
      <c r="I21" s="160" t="s">
        <v>4783</v>
      </c>
      <c r="J21" s="6" t="s">
        <v>7434</v>
      </c>
      <c r="K21" s="179"/>
      <c r="L21" s="179"/>
      <c r="M21" s="6" t="s">
        <v>6179</v>
      </c>
      <c r="N21" s="6"/>
      <c r="O21" s="6"/>
      <c r="P21" s="6" t="s">
        <v>7782</v>
      </c>
      <c r="Q21" s="6"/>
      <c r="R21" s="9"/>
      <c r="S21" s="6"/>
    </row>
    <row r="22" spans="1:19" ht="25.5">
      <c r="A22" s="6" t="s">
        <v>4784</v>
      </c>
      <c r="B22" s="6" t="s">
        <v>6049</v>
      </c>
      <c r="C22" s="9" t="s">
        <v>6872</v>
      </c>
      <c r="D22" s="179"/>
      <c r="E22" s="291" t="s">
        <v>7783</v>
      </c>
      <c r="F22" s="22" t="s">
        <v>4785</v>
      </c>
      <c r="G22" s="6" t="s">
        <v>1722</v>
      </c>
      <c r="H22" s="8">
        <v>172000</v>
      </c>
      <c r="I22" s="160" t="s">
        <v>2557</v>
      </c>
      <c r="J22" s="6" t="s">
        <v>7694</v>
      </c>
      <c r="K22" s="179"/>
      <c r="L22" s="179"/>
      <c r="M22" s="6" t="s">
        <v>22</v>
      </c>
      <c r="N22" s="6"/>
      <c r="O22" s="6"/>
      <c r="P22" s="6" t="s">
        <v>7782</v>
      </c>
      <c r="Q22" s="6"/>
      <c r="R22" s="9"/>
      <c r="S22" s="6"/>
    </row>
    <row r="23" spans="1:19" ht="25.5">
      <c r="A23" s="6" t="s">
        <v>4786</v>
      </c>
      <c r="B23" s="6" t="s">
        <v>4787</v>
      </c>
      <c r="C23" s="9" t="s">
        <v>6872</v>
      </c>
      <c r="D23" s="179"/>
      <c r="E23" s="291" t="s">
        <v>7784</v>
      </c>
      <c r="F23" s="22" t="s">
        <v>4788</v>
      </c>
      <c r="G23" s="6" t="s">
        <v>4789</v>
      </c>
      <c r="H23" s="8">
        <v>173000</v>
      </c>
      <c r="I23" s="292"/>
      <c r="J23" s="6"/>
      <c r="K23" s="179"/>
      <c r="L23" s="179"/>
      <c r="M23" s="6" t="s">
        <v>22</v>
      </c>
      <c r="N23" s="6"/>
      <c r="O23" s="6"/>
      <c r="P23" s="6" t="s">
        <v>6064</v>
      </c>
      <c r="Q23" s="6"/>
      <c r="R23" s="9"/>
      <c r="S23" s="6"/>
    </row>
    <row r="24" spans="1:19" ht="25.5">
      <c r="A24" s="6" t="s">
        <v>4790</v>
      </c>
      <c r="B24" s="6" t="s">
        <v>7785</v>
      </c>
      <c r="C24" s="9" t="s">
        <v>6872</v>
      </c>
      <c r="D24" s="179"/>
      <c r="E24" s="297" t="s">
        <v>7786</v>
      </c>
      <c r="F24" s="22" t="s">
        <v>4791</v>
      </c>
      <c r="G24" s="6" t="s">
        <v>4792</v>
      </c>
      <c r="H24" s="8">
        <v>445000</v>
      </c>
      <c r="I24" s="160" t="s">
        <v>4793</v>
      </c>
      <c r="J24" s="6" t="s">
        <v>2656</v>
      </c>
      <c r="K24" s="179"/>
      <c r="L24" s="179"/>
      <c r="M24" s="6"/>
      <c r="N24" s="6"/>
      <c r="O24" s="6"/>
      <c r="P24" s="6"/>
      <c r="Q24" s="6"/>
      <c r="R24" s="9"/>
      <c r="S24" s="6"/>
    </row>
    <row r="25" spans="1:19" ht="25.5">
      <c r="A25" s="6" t="s">
        <v>4794</v>
      </c>
      <c r="B25" s="6" t="s">
        <v>4787</v>
      </c>
      <c r="C25" s="161" t="s">
        <v>6872</v>
      </c>
      <c r="D25" s="179"/>
      <c r="E25" s="297" t="s">
        <v>7787</v>
      </c>
      <c r="F25" s="22" t="s">
        <v>4795</v>
      </c>
      <c r="G25" s="6" t="s">
        <v>4796</v>
      </c>
      <c r="H25" s="8">
        <v>228945</v>
      </c>
      <c r="I25" s="6" t="s">
        <v>4797</v>
      </c>
      <c r="J25" s="6" t="s">
        <v>1828</v>
      </c>
      <c r="K25" s="179"/>
      <c r="L25" s="179"/>
      <c r="M25" s="6"/>
      <c r="N25" s="6"/>
      <c r="O25" s="6"/>
      <c r="P25" s="6" t="s">
        <v>1824</v>
      </c>
      <c r="Q25" s="6"/>
      <c r="R25" s="9"/>
      <c r="S25" s="6"/>
    </row>
    <row r="26" spans="1:19" ht="25.5">
      <c r="A26" s="6" t="s">
        <v>4798</v>
      </c>
      <c r="B26" s="6" t="s">
        <v>62</v>
      </c>
      <c r="C26" s="9" t="s">
        <v>6872</v>
      </c>
      <c r="D26" s="179"/>
      <c r="E26" s="291" t="s">
        <v>7788</v>
      </c>
      <c r="F26" s="22" t="s">
        <v>4799</v>
      </c>
      <c r="G26" s="6" t="s">
        <v>4800</v>
      </c>
      <c r="H26" s="8">
        <v>659400</v>
      </c>
      <c r="I26" s="6" t="s">
        <v>4801</v>
      </c>
      <c r="J26" s="6" t="s">
        <v>2656</v>
      </c>
      <c r="K26" s="179"/>
      <c r="L26" s="179"/>
      <c r="M26" s="6" t="s">
        <v>6179</v>
      </c>
      <c r="N26" s="6"/>
      <c r="O26" s="6"/>
      <c r="P26" s="6"/>
      <c r="Q26" s="6"/>
      <c r="R26" s="9"/>
      <c r="S26" s="6"/>
    </row>
    <row r="27" spans="1:19" ht="24.75" customHeight="1">
      <c r="A27" s="6" t="s">
        <v>4802</v>
      </c>
      <c r="B27" s="6" t="s">
        <v>3075</v>
      </c>
      <c r="C27" s="9" t="s">
        <v>6872</v>
      </c>
      <c r="D27" s="179"/>
      <c r="E27" s="297" t="s">
        <v>7789</v>
      </c>
      <c r="F27" s="22" t="s">
        <v>4803</v>
      </c>
      <c r="G27" s="6" t="s">
        <v>4804</v>
      </c>
      <c r="H27" s="8">
        <v>200000</v>
      </c>
      <c r="I27" s="6" t="s">
        <v>4726</v>
      </c>
      <c r="J27" s="6" t="s">
        <v>1828</v>
      </c>
      <c r="K27" s="179"/>
      <c r="L27" s="179"/>
      <c r="M27" s="6"/>
      <c r="N27" s="6"/>
      <c r="O27" s="6"/>
      <c r="P27" s="6" t="s">
        <v>1824</v>
      </c>
      <c r="Q27" s="6"/>
      <c r="R27" s="9"/>
      <c r="S27" s="6"/>
    </row>
    <row r="28" spans="1:19" ht="45" customHeight="1">
      <c r="A28" s="6" t="s">
        <v>4805</v>
      </c>
      <c r="B28" s="6" t="s">
        <v>125</v>
      </c>
      <c r="C28" s="9" t="s">
        <v>6872</v>
      </c>
      <c r="D28" s="179"/>
      <c r="E28" s="297" t="s">
        <v>7790</v>
      </c>
      <c r="F28" s="22" t="s">
        <v>4806</v>
      </c>
      <c r="G28" s="6" t="s">
        <v>4804</v>
      </c>
      <c r="H28" s="30">
        <v>360600</v>
      </c>
      <c r="I28" s="6" t="s">
        <v>4726</v>
      </c>
      <c r="J28" s="6" t="s">
        <v>1828</v>
      </c>
      <c r="K28" s="179"/>
      <c r="L28" s="179"/>
      <c r="M28" s="6"/>
      <c r="N28" s="6"/>
      <c r="O28" s="6"/>
      <c r="P28" s="6" t="s">
        <v>1824</v>
      </c>
      <c r="Q28" s="6"/>
      <c r="R28" s="9"/>
      <c r="S28" s="6" t="s">
        <v>7791</v>
      </c>
    </row>
    <row r="29" spans="1:19" ht="25.5">
      <c r="A29" s="6" t="s">
        <v>4807</v>
      </c>
      <c r="B29" s="6" t="s">
        <v>68</v>
      </c>
      <c r="C29" s="9" t="s">
        <v>6872</v>
      </c>
      <c r="D29" s="179"/>
      <c r="E29" s="297" t="s">
        <v>7792</v>
      </c>
      <c r="F29" s="22" t="s">
        <v>4808</v>
      </c>
      <c r="G29" s="6" t="s">
        <v>4809</v>
      </c>
      <c r="H29" s="8">
        <v>996976</v>
      </c>
      <c r="I29" s="6" t="s">
        <v>4810</v>
      </c>
      <c r="J29" s="6" t="s">
        <v>1828</v>
      </c>
      <c r="K29" s="179"/>
      <c r="L29" s="179"/>
      <c r="M29" s="6" t="s">
        <v>6132</v>
      </c>
      <c r="N29" s="6"/>
      <c r="O29" s="6"/>
      <c r="P29" s="6"/>
      <c r="Q29" s="6"/>
      <c r="R29" s="9"/>
      <c r="S29" s="6" t="s">
        <v>7793</v>
      </c>
    </row>
    <row r="30" spans="1:19" ht="25.5">
      <c r="A30" s="6" t="s">
        <v>4811</v>
      </c>
      <c r="B30" s="6" t="s">
        <v>652</v>
      </c>
      <c r="C30" s="9" t="s">
        <v>6872</v>
      </c>
      <c r="D30" s="179"/>
      <c r="E30" s="297" t="s">
        <v>7794</v>
      </c>
      <c r="F30" s="22" t="s">
        <v>4812</v>
      </c>
      <c r="G30" s="6" t="s">
        <v>4813</v>
      </c>
      <c r="H30" s="13" t="s">
        <v>7795</v>
      </c>
      <c r="I30" s="292" t="s">
        <v>4814</v>
      </c>
      <c r="J30" s="6" t="s">
        <v>2656</v>
      </c>
      <c r="K30" s="179"/>
      <c r="L30" s="179"/>
      <c r="M30" s="6" t="s">
        <v>6132</v>
      </c>
      <c r="N30" s="6"/>
      <c r="O30" s="6"/>
      <c r="P30" s="6"/>
      <c r="Q30" s="6"/>
      <c r="R30" s="9"/>
      <c r="S30" s="6" t="s">
        <v>7796</v>
      </c>
    </row>
    <row r="31" spans="1:19" ht="42" customHeight="1">
      <c r="A31" s="6" t="s">
        <v>4815</v>
      </c>
      <c r="B31" s="6" t="s">
        <v>3092</v>
      </c>
      <c r="C31" s="9" t="s">
        <v>6872</v>
      </c>
      <c r="D31" s="179"/>
      <c r="E31" s="297" t="s">
        <v>7797</v>
      </c>
      <c r="F31" s="22" t="s">
        <v>4816</v>
      </c>
      <c r="G31" s="6" t="s">
        <v>4817</v>
      </c>
      <c r="H31" s="8">
        <v>340000</v>
      </c>
      <c r="I31" s="6" t="s">
        <v>4818</v>
      </c>
      <c r="J31" s="6" t="s">
        <v>2656</v>
      </c>
      <c r="K31" s="179"/>
      <c r="L31" s="179"/>
      <c r="M31" s="6"/>
      <c r="N31" s="6"/>
      <c r="O31" s="6"/>
      <c r="P31" s="6"/>
      <c r="Q31" s="6"/>
      <c r="R31" s="9"/>
      <c r="S31" s="6"/>
    </row>
    <row r="32" spans="1:19" ht="25.5">
      <c r="A32" s="61">
        <v>41275</v>
      </c>
      <c r="B32" s="6" t="s">
        <v>3168</v>
      </c>
      <c r="C32" s="9" t="s">
        <v>6872</v>
      </c>
      <c r="D32" s="179"/>
      <c r="E32" s="6"/>
      <c r="F32" s="22" t="s">
        <v>4819</v>
      </c>
      <c r="G32" s="6" t="s">
        <v>4820</v>
      </c>
      <c r="H32" s="8">
        <v>50000</v>
      </c>
      <c r="I32" s="6" t="s">
        <v>4821</v>
      </c>
      <c r="J32" s="9" t="s">
        <v>7389</v>
      </c>
      <c r="K32" s="179"/>
      <c r="L32" s="179"/>
      <c r="M32" s="6" t="s">
        <v>6132</v>
      </c>
      <c r="N32" s="6"/>
      <c r="O32" s="6"/>
      <c r="P32" s="6" t="s">
        <v>7741</v>
      </c>
      <c r="Q32" s="6" t="s">
        <v>7743</v>
      </c>
      <c r="R32" s="9" t="s">
        <v>2412</v>
      </c>
      <c r="S32" s="6"/>
    </row>
    <row r="33" spans="1:19" ht="12.75">
      <c r="A33" s="61">
        <v>41306</v>
      </c>
      <c r="B33" s="9" t="s">
        <v>1763</v>
      </c>
      <c r="C33" s="9" t="s">
        <v>6872</v>
      </c>
      <c r="D33" s="206"/>
      <c r="E33" s="161"/>
      <c r="F33" s="535" t="s">
        <v>4822</v>
      </c>
      <c r="G33" s="6" t="s">
        <v>4823</v>
      </c>
      <c r="H33" s="8">
        <v>80000</v>
      </c>
      <c r="I33" s="6" t="s">
        <v>4824</v>
      </c>
      <c r="J33" s="9" t="s">
        <v>7539</v>
      </c>
      <c r="K33" s="179"/>
      <c r="L33" s="179"/>
      <c r="M33" s="6" t="s">
        <v>6132</v>
      </c>
      <c r="N33" s="6"/>
      <c r="O33" s="6"/>
      <c r="P33" s="6" t="s">
        <v>6064</v>
      </c>
      <c r="Q33" s="6" t="s">
        <v>7747</v>
      </c>
      <c r="R33" s="9" t="s">
        <v>2412</v>
      </c>
      <c r="S33" s="6"/>
    </row>
    <row r="34" spans="1:19" ht="25.5">
      <c r="A34" s="61">
        <v>41334</v>
      </c>
      <c r="B34" s="6" t="s">
        <v>1383</v>
      </c>
      <c r="C34" s="9" t="s">
        <v>6872</v>
      </c>
      <c r="D34" s="179"/>
      <c r="E34" s="6"/>
      <c r="F34" s="22" t="s">
        <v>4825</v>
      </c>
      <c r="G34" s="6" t="s">
        <v>4826</v>
      </c>
      <c r="H34" s="8">
        <v>21000</v>
      </c>
      <c r="I34" s="6" t="s">
        <v>4827</v>
      </c>
      <c r="J34" s="9" t="s">
        <v>7389</v>
      </c>
      <c r="K34" s="6"/>
      <c r="L34" s="6"/>
      <c r="M34" s="6" t="s">
        <v>22</v>
      </c>
      <c r="N34" s="6"/>
      <c r="O34" s="6"/>
      <c r="P34" s="6" t="s">
        <v>6064</v>
      </c>
      <c r="Q34" s="6" t="s">
        <v>7745</v>
      </c>
      <c r="R34" s="9" t="s">
        <v>2412</v>
      </c>
      <c r="S34" s="6"/>
    </row>
    <row r="35" spans="1:19" ht="25.5">
      <c r="A35" s="61">
        <v>41365</v>
      </c>
      <c r="B35" s="6" t="s">
        <v>3168</v>
      </c>
      <c r="C35" s="9" t="s">
        <v>6872</v>
      </c>
      <c r="D35" s="206"/>
      <c r="E35" s="161"/>
      <c r="F35" s="535" t="s">
        <v>4828</v>
      </c>
      <c r="G35" s="160" t="s">
        <v>4829</v>
      </c>
      <c r="H35" s="8">
        <v>12061.25</v>
      </c>
      <c r="I35" s="6" t="s">
        <v>4830</v>
      </c>
      <c r="J35" s="9" t="s">
        <v>7457</v>
      </c>
      <c r="K35" s="179"/>
      <c r="L35" s="179"/>
      <c r="M35" s="6" t="s">
        <v>22</v>
      </c>
      <c r="N35" s="6"/>
      <c r="O35" s="6"/>
      <c r="P35" s="6" t="s">
        <v>6137</v>
      </c>
      <c r="Q35" s="6" t="s">
        <v>7747</v>
      </c>
      <c r="R35" s="9" t="s">
        <v>2412</v>
      </c>
      <c r="S35" s="6"/>
    </row>
    <row r="36" spans="1:19" ht="25.5">
      <c r="A36" s="61">
        <v>41395</v>
      </c>
      <c r="B36" s="6" t="s">
        <v>6049</v>
      </c>
      <c r="C36" s="9" t="s">
        <v>6872</v>
      </c>
      <c r="D36" s="179"/>
      <c r="E36" s="6"/>
      <c r="F36" s="22" t="s">
        <v>4831</v>
      </c>
      <c r="G36" s="6" t="s">
        <v>4832</v>
      </c>
      <c r="H36" s="8">
        <v>25128</v>
      </c>
      <c r="I36" s="160"/>
      <c r="J36" s="9" t="s">
        <v>7389</v>
      </c>
      <c r="K36" s="179"/>
      <c r="L36" s="179"/>
      <c r="M36" s="6" t="s">
        <v>22</v>
      </c>
      <c r="N36" s="6"/>
      <c r="O36" s="6"/>
      <c r="P36" s="6" t="s">
        <v>6064</v>
      </c>
      <c r="Q36" s="6" t="s">
        <v>7747</v>
      </c>
      <c r="R36" s="9" t="s">
        <v>611</v>
      </c>
      <c r="S36" s="6" t="s">
        <v>7798</v>
      </c>
    </row>
    <row r="37" spans="1:19" ht="25.5">
      <c r="A37" s="61">
        <v>41426</v>
      </c>
      <c r="B37" s="6" t="s">
        <v>6049</v>
      </c>
      <c r="C37" s="9" t="s">
        <v>6872</v>
      </c>
      <c r="D37" s="206"/>
      <c r="E37" s="161"/>
      <c r="F37" s="535" t="s">
        <v>4833</v>
      </c>
      <c r="G37" s="160" t="s">
        <v>4834</v>
      </c>
      <c r="H37" s="8">
        <v>10904.3</v>
      </c>
      <c r="I37" s="160" t="s">
        <v>4835</v>
      </c>
      <c r="J37" s="9" t="s">
        <v>7389</v>
      </c>
      <c r="K37" s="179"/>
      <c r="L37" s="179"/>
      <c r="M37" s="6" t="s">
        <v>22</v>
      </c>
      <c r="N37" s="6"/>
      <c r="O37" s="6"/>
      <c r="P37" s="6" t="s">
        <v>6064</v>
      </c>
      <c r="Q37" s="6" t="s">
        <v>7747</v>
      </c>
      <c r="R37" s="9" t="s">
        <v>611</v>
      </c>
      <c r="S37" s="6" t="s">
        <v>7798</v>
      </c>
    </row>
    <row r="38" spans="1:19" ht="12.75">
      <c r="A38" s="61">
        <v>41456</v>
      </c>
      <c r="B38" s="6" t="s">
        <v>1763</v>
      </c>
      <c r="C38" s="9" t="s">
        <v>6872</v>
      </c>
      <c r="D38" s="179"/>
      <c r="E38" s="6"/>
      <c r="F38" s="22" t="s">
        <v>4836</v>
      </c>
      <c r="G38" s="6" t="s">
        <v>4837</v>
      </c>
      <c r="H38" s="8">
        <v>100000</v>
      </c>
      <c r="I38" s="6" t="s">
        <v>4838</v>
      </c>
      <c r="J38" s="9" t="s">
        <v>7539</v>
      </c>
      <c r="K38" s="179"/>
      <c r="L38" s="179"/>
      <c r="M38" s="6" t="s">
        <v>22</v>
      </c>
      <c r="N38" s="6"/>
      <c r="O38" s="6"/>
      <c r="P38" s="6" t="s">
        <v>6064</v>
      </c>
      <c r="Q38" s="6" t="s">
        <v>7747</v>
      </c>
      <c r="R38" s="9" t="s">
        <v>2412</v>
      </c>
      <c r="S38" s="6"/>
    </row>
    <row r="39" spans="1:19" ht="12.75">
      <c r="A39" s="61">
        <v>41487</v>
      </c>
      <c r="B39" s="6" t="s">
        <v>394</v>
      </c>
      <c r="C39" s="9" t="s">
        <v>6872</v>
      </c>
      <c r="D39" s="179"/>
      <c r="E39" s="6"/>
      <c r="F39" s="22" t="s">
        <v>4839</v>
      </c>
      <c r="G39" s="6" t="s">
        <v>1346</v>
      </c>
      <c r="H39" s="8">
        <v>32000</v>
      </c>
      <c r="I39" s="6" t="s">
        <v>4149</v>
      </c>
      <c r="J39" s="9" t="s">
        <v>7367</v>
      </c>
      <c r="K39" s="179"/>
      <c r="L39" s="179"/>
      <c r="M39" s="6" t="s">
        <v>22</v>
      </c>
      <c r="N39" s="6"/>
      <c r="O39" s="6"/>
      <c r="P39" s="6" t="s">
        <v>7741</v>
      </c>
      <c r="Q39" s="6" t="s">
        <v>7747</v>
      </c>
      <c r="R39" s="9" t="s">
        <v>611</v>
      </c>
      <c r="S39" s="6"/>
    </row>
    <row r="40" spans="1:19" ht="12.75">
      <c r="A40" s="61">
        <v>41518</v>
      </c>
      <c r="B40" s="6" t="s">
        <v>1141</v>
      </c>
      <c r="C40" s="9" t="s">
        <v>6872</v>
      </c>
      <c r="D40" s="179"/>
      <c r="E40" s="6"/>
      <c r="F40" s="22" t="s">
        <v>4840</v>
      </c>
      <c r="G40" s="6" t="s">
        <v>4841</v>
      </c>
      <c r="H40" s="8">
        <v>94895</v>
      </c>
      <c r="I40" s="160" t="s">
        <v>4842</v>
      </c>
      <c r="J40" s="9" t="s">
        <v>7457</v>
      </c>
      <c r="K40" s="179"/>
      <c r="L40" s="179"/>
      <c r="M40" s="6" t="s">
        <v>22</v>
      </c>
      <c r="N40" s="6"/>
      <c r="O40" s="6"/>
      <c r="P40" s="6" t="s">
        <v>6092</v>
      </c>
      <c r="Q40" s="6" t="s">
        <v>7747</v>
      </c>
      <c r="R40" s="9" t="s">
        <v>1231</v>
      </c>
      <c r="S40" s="6"/>
    </row>
    <row r="41" spans="1:19" ht="38.25">
      <c r="A41" s="62">
        <v>41548</v>
      </c>
      <c r="B41" s="6" t="s">
        <v>4787</v>
      </c>
      <c r="C41" s="161" t="s">
        <v>6872</v>
      </c>
      <c r="D41" s="179"/>
      <c r="E41" s="6"/>
      <c r="F41" s="22" t="s">
        <v>4843</v>
      </c>
      <c r="G41" s="6" t="s">
        <v>4844</v>
      </c>
      <c r="H41" s="8">
        <v>84000</v>
      </c>
      <c r="I41" s="160" t="s">
        <v>4845</v>
      </c>
      <c r="J41" s="9" t="s">
        <v>7389</v>
      </c>
      <c r="K41" s="179"/>
      <c r="L41" s="179"/>
      <c r="M41" s="6" t="s">
        <v>22</v>
      </c>
      <c r="N41" s="6"/>
      <c r="O41" s="6"/>
      <c r="P41" s="6" t="s">
        <v>7741</v>
      </c>
      <c r="Q41" s="6" t="s">
        <v>1824</v>
      </c>
      <c r="R41" s="9" t="s">
        <v>2412</v>
      </c>
      <c r="S41" s="6"/>
    </row>
    <row r="42" spans="1:19" ht="12.75">
      <c r="A42" s="6" t="s">
        <v>4846</v>
      </c>
      <c r="B42" s="6" t="s">
        <v>6049</v>
      </c>
      <c r="C42" s="9" t="s">
        <v>6872</v>
      </c>
      <c r="D42" s="179"/>
      <c r="E42" s="6"/>
      <c r="F42" s="22" t="s">
        <v>4847</v>
      </c>
      <c r="G42" s="6" t="s">
        <v>840</v>
      </c>
      <c r="H42" s="8">
        <v>100000</v>
      </c>
      <c r="I42" s="161" t="s">
        <v>4848</v>
      </c>
      <c r="J42" s="9" t="s">
        <v>7389</v>
      </c>
      <c r="K42" s="179"/>
      <c r="L42" s="179"/>
      <c r="M42" s="6" t="s">
        <v>22</v>
      </c>
      <c r="N42" s="6"/>
      <c r="O42" s="6"/>
      <c r="P42" s="6" t="s">
        <v>6064</v>
      </c>
      <c r="Q42" s="6" t="s">
        <v>7747</v>
      </c>
      <c r="R42" s="9" t="s">
        <v>611</v>
      </c>
      <c r="S42" s="6"/>
    </row>
    <row r="43" spans="1:19" ht="12.75">
      <c r="A43" s="62">
        <v>41609</v>
      </c>
      <c r="B43" s="6" t="s">
        <v>6049</v>
      </c>
      <c r="C43" s="9" t="s">
        <v>6872</v>
      </c>
      <c r="D43" s="179"/>
      <c r="E43" s="6"/>
      <c r="F43" s="22" t="s">
        <v>4849</v>
      </c>
      <c r="G43" s="6" t="s">
        <v>1346</v>
      </c>
      <c r="H43" s="8">
        <v>30000</v>
      </c>
      <c r="I43" s="160" t="s">
        <v>4848</v>
      </c>
      <c r="J43" s="9" t="s">
        <v>7367</v>
      </c>
      <c r="K43" s="179"/>
      <c r="L43" s="179"/>
      <c r="M43" s="6" t="s">
        <v>22</v>
      </c>
      <c r="N43" s="6"/>
      <c r="O43" s="6"/>
      <c r="P43" s="6" t="s">
        <v>6064</v>
      </c>
      <c r="Q43" s="6" t="s">
        <v>7747</v>
      </c>
      <c r="R43" s="9" t="s">
        <v>611</v>
      </c>
      <c r="S43" s="6"/>
    </row>
    <row r="44" spans="1:19" ht="25.5">
      <c r="A44" s="6" t="s">
        <v>4744</v>
      </c>
      <c r="B44" s="6" t="s">
        <v>1383</v>
      </c>
      <c r="C44" s="9" t="s">
        <v>6872</v>
      </c>
      <c r="D44" s="179"/>
      <c r="E44" s="6"/>
      <c r="F44" s="22" t="s">
        <v>4850</v>
      </c>
      <c r="G44" s="6" t="s">
        <v>4851</v>
      </c>
      <c r="H44" s="8">
        <v>50000</v>
      </c>
      <c r="I44" s="160" t="s">
        <v>4848</v>
      </c>
      <c r="J44" s="9" t="s">
        <v>7389</v>
      </c>
      <c r="K44" s="179"/>
      <c r="L44" s="179"/>
      <c r="M44" s="6" t="s">
        <v>22</v>
      </c>
      <c r="N44" s="6"/>
      <c r="O44" s="6"/>
      <c r="P44" s="6" t="s">
        <v>6064</v>
      </c>
      <c r="Q44" s="6" t="s">
        <v>7747</v>
      </c>
      <c r="R44" s="9" t="s">
        <v>2412</v>
      </c>
      <c r="S44" s="6" t="s">
        <v>7798</v>
      </c>
    </row>
    <row r="45" spans="1:19" ht="38.25">
      <c r="A45" s="6" t="s">
        <v>4748</v>
      </c>
      <c r="B45" s="6" t="s">
        <v>1383</v>
      </c>
      <c r="C45" s="9" t="s">
        <v>6872</v>
      </c>
      <c r="D45" s="179"/>
      <c r="E45" s="6"/>
      <c r="F45" s="22" t="s">
        <v>4852</v>
      </c>
      <c r="G45" s="6" t="s">
        <v>4853</v>
      </c>
      <c r="H45" s="8">
        <v>35000</v>
      </c>
      <c r="I45" s="160" t="s">
        <v>4848</v>
      </c>
      <c r="J45" s="9" t="s">
        <v>7389</v>
      </c>
      <c r="K45" s="179"/>
      <c r="L45" s="179"/>
      <c r="M45" s="6" t="s">
        <v>22</v>
      </c>
      <c r="N45" s="6"/>
      <c r="O45" s="6"/>
      <c r="P45" s="6" t="s">
        <v>6064</v>
      </c>
      <c r="Q45" s="6" t="s">
        <v>1824</v>
      </c>
      <c r="R45" s="9" t="s">
        <v>2412</v>
      </c>
      <c r="S45" s="6" t="s">
        <v>7799</v>
      </c>
    </row>
    <row r="46" spans="1:19" ht="12.75">
      <c r="A46" s="6" t="s">
        <v>4750</v>
      </c>
      <c r="B46" s="6" t="s">
        <v>1141</v>
      </c>
      <c r="C46" s="9" t="s">
        <v>6872</v>
      </c>
      <c r="D46" s="179"/>
      <c r="E46" s="6"/>
      <c r="F46" s="22" t="s">
        <v>4854</v>
      </c>
      <c r="G46" s="6" t="s">
        <v>4855</v>
      </c>
      <c r="H46" s="8">
        <v>90693</v>
      </c>
      <c r="I46" s="292" t="s">
        <v>4856</v>
      </c>
      <c r="J46" s="9" t="s">
        <v>7397</v>
      </c>
      <c r="K46" s="179"/>
      <c r="L46" s="179"/>
      <c r="M46" s="6" t="s">
        <v>22</v>
      </c>
      <c r="N46" s="6"/>
      <c r="O46" s="6"/>
      <c r="P46" s="6" t="s">
        <v>6364</v>
      </c>
      <c r="Q46" s="6" t="s">
        <v>7743</v>
      </c>
      <c r="R46" s="9" t="s">
        <v>1231</v>
      </c>
      <c r="S46" s="6"/>
    </row>
    <row r="47" spans="1:19" ht="25.5">
      <c r="A47" s="6" t="s">
        <v>4754</v>
      </c>
      <c r="B47" s="6" t="s">
        <v>1763</v>
      </c>
      <c r="C47" s="9" t="s">
        <v>6872</v>
      </c>
      <c r="D47" s="178"/>
      <c r="E47" s="158"/>
      <c r="F47" s="164" t="s">
        <v>4857</v>
      </c>
      <c r="G47" s="6" t="s">
        <v>4858</v>
      </c>
      <c r="H47" s="8">
        <v>60000</v>
      </c>
      <c r="I47" s="160" t="s">
        <v>4859</v>
      </c>
      <c r="J47" s="9" t="s">
        <v>7610</v>
      </c>
      <c r="K47" s="179"/>
      <c r="L47" s="179"/>
      <c r="M47" s="6" t="s">
        <v>22</v>
      </c>
      <c r="N47" s="6"/>
      <c r="O47" s="468" t="s">
        <v>7800</v>
      </c>
      <c r="P47" s="6" t="s">
        <v>6064</v>
      </c>
      <c r="Q47" s="6" t="s">
        <v>7801</v>
      </c>
      <c r="R47" s="9" t="s">
        <v>2412</v>
      </c>
      <c r="S47" s="6"/>
    </row>
    <row r="48" spans="1:19" ht="25.5">
      <c r="A48" s="6" t="s">
        <v>4758</v>
      </c>
      <c r="B48" s="6" t="s">
        <v>62</v>
      </c>
      <c r="C48" s="9" t="s">
        <v>7802</v>
      </c>
      <c r="D48" s="179"/>
      <c r="E48" s="6"/>
      <c r="F48" s="22" t="s">
        <v>7803</v>
      </c>
      <c r="G48" s="6" t="s">
        <v>7804</v>
      </c>
      <c r="H48" s="8"/>
      <c r="I48" s="160" t="s">
        <v>7805</v>
      </c>
      <c r="J48" s="9" t="s">
        <v>7573</v>
      </c>
      <c r="K48" s="179"/>
      <c r="L48" s="179"/>
      <c r="M48" s="6" t="s">
        <v>22</v>
      </c>
      <c r="N48" s="6"/>
      <c r="O48" s="6"/>
      <c r="P48" s="6" t="s">
        <v>6092</v>
      </c>
      <c r="Q48" s="6" t="s">
        <v>7743</v>
      </c>
      <c r="R48" s="9" t="s">
        <v>1231</v>
      </c>
      <c r="S48" s="6"/>
    </row>
    <row r="49" spans="1:19" ht="25.5">
      <c r="A49" s="6" t="s">
        <v>4762</v>
      </c>
      <c r="B49" s="6" t="s">
        <v>1383</v>
      </c>
      <c r="C49" s="9" t="s">
        <v>6872</v>
      </c>
      <c r="D49" s="179"/>
      <c r="E49" s="6"/>
      <c r="F49" s="22" t="s">
        <v>4860</v>
      </c>
      <c r="G49" s="6" t="s">
        <v>4861</v>
      </c>
      <c r="H49" s="8">
        <v>25000</v>
      </c>
      <c r="I49" s="160" t="s">
        <v>4862</v>
      </c>
      <c r="J49" s="9" t="s">
        <v>7389</v>
      </c>
      <c r="K49" s="179"/>
      <c r="L49" s="179"/>
      <c r="M49" s="6" t="s">
        <v>6132</v>
      </c>
      <c r="N49" s="6"/>
      <c r="O49" s="6"/>
      <c r="P49" s="6" t="s">
        <v>7806</v>
      </c>
      <c r="Q49" s="6" t="s">
        <v>7801</v>
      </c>
      <c r="R49" s="9" t="s">
        <v>2412</v>
      </c>
      <c r="S49" s="6"/>
    </row>
    <row r="50" spans="1:19" ht="12.75">
      <c r="A50" s="6" t="s">
        <v>4766</v>
      </c>
      <c r="B50" s="6" t="s">
        <v>62</v>
      </c>
      <c r="C50" s="9" t="s">
        <v>6872</v>
      </c>
      <c r="D50" s="179"/>
      <c r="E50" s="6"/>
      <c r="F50" s="22" t="s">
        <v>4863</v>
      </c>
      <c r="G50" s="6" t="s">
        <v>4864</v>
      </c>
      <c r="H50" s="8">
        <v>97464</v>
      </c>
      <c r="I50" s="6" t="s">
        <v>4865</v>
      </c>
      <c r="J50" s="9" t="s">
        <v>7573</v>
      </c>
      <c r="K50" s="179"/>
      <c r="L50" s="179"/>
      <c r="M50" s="6" t="s">
        <v>22</v>
      </c>
      <c r="N50" s="6"/>
      <c r="O50" s="6"/>
      <c r="P50" s="6" t="s">
        <v>6364</v>
      </c>
      <c r="Q50" s="6" t="s">
        <v>7743</v>
      </c>
      <c r="R50" s="9" t="s">
        <v>1231</v>
      </c>
      <c r="S50" s="6"/>
    </row>
    <row r="51" spans="1:19" ht="12.75">
      <c r="A51" s="6" t="s">
        <v>4770</v>
      </c>
      <c r="B51" s="6" t="s">
        <v>3168</v>
      </c>
      <c r="C51" s="9" t="s">
        <v>6872</v>
      </c>
      <c r="D51" s="179"/>
      <c r="E51" s="6"/>
      <c r="F51" s="22" t="s">
        <v>4866</v>
      </c>
      <c r="G51" s="6" t="s">
        <v>575</v>
      </c>
      <c r="H51" s="8">
        <v>46700</v>
      </c>
      <c r="I51" s="292" t="s">
        <v>4149</v>
      </c>
      <c r="J51" s="9" t="s">
        <v>7389</v>
      </c>
      <c r="K51" s="179"/>
      <c r="L51" s="179"/>
      <c r="M51" s="6" t="s">
        <v>22</v>
      </c>
      <c r="N51" s="6"/>
      <c r="O51" s="6"/>
      <c r="P51" s="6" t="s">
        <v>7741</v>
      </c>
      <c r="Q51" s="6" t="s">
        <v>7747</v>
      </c>
      <c r="R51" s="9" t="s">
        <v>2412</v>
      </c>
      <c r="S51" s="6"/>
    </row>
    <row r="52" spans="1:19" ht="25.5">
      <c r="A52" s="6" t="s">
        <v>4867</v>
      </c>
      <c r="B52" s="6" t="s">
        <v>1383</v>
      </c>
      <c r="C52" s="9" t="s">
        <v>6872</v>
      </c>
      <c r="D52" s="179"/>
      <c r="E52" s="6"/>
      <c r="F52" s="22" t="s">
        <v>4868</v>
      </c>
      <c r="G52" s="6" t="s">
        <v>4869</v>
      </c>
      <c r="H52" s="8">
        <v>6000</v>
      </c>
      <c r="I52" s="6" t="s">
        <v>4870</v>
      </c>
      <c r="J52" s="9" t="s">
        <v>7389</v>
      </c>
      <c r="K52" s="179"/>
      <c r="L52" s="179"/>
      <c r="M52" s="6" t="s">
        <v>22</v>
      </c>
      <c r="N52" s="6"/>
      <c r="O52" s="6"/>
      <c r="P52" s="6" t="s">
        <v>6064</v>
      </c>
      <c r="Q52" s="6" t="s">
        <v>1824</v>
      </c>
      <c r="R52" s="9" t="s">
        <v>2412</v>
      </c>
      <c r="S52" s="6"/>
    </row>
    <row r="53" spans="1:19" ht="12.75">
      <c r="A53" s="6" t="s">
        <v>4871</v>
      </c>
      <c r="B53" s="6" t="s">
        <v>1383</v>
      </c>
      <c r="C53" s="9" t="s">
        <v>6872</v>
      </c>
      <c r="D53" s="179"/>
      <c r="E53" s="6"/>
      <c r="F53" s="22" t="s">
        <v>4872</v>
      </c>
      <c r="G53" s="6" t="s">
        <v>4873</v>
      </c>
      <c r="H53" s="8">
        <v>100000</v>
      </c>
      <c r="I53" s="6" t="s">
        <v>4874</v>
      </c>
      <c r="J53" s="9" t="s">
        <v>7539</v>
      </c>
      <c r="K53" s="179"/>
      <c r="L53" s="179"/>
      <c r="M53" s="6" t="s">
        <v>22</v>
      </c>
      <c r="N53" s="6"/>
      <c r="O53" s="6"/>
      <c r="P53" s="6" t="s">
        <v>6064</v>
      </c>
      <c r="Q53" s="6" t="s">
        <v>7747</v>
      </c>
      <c r="R53" s="9" t="s">
        <v>2412</v>
      </c>
      <c r="S53" s="6"/>
    </row>
    <row r="54" spans="1:19" ht="12.75">
      <c r="A54" s="6" t="s">
        <v>4875</v>
      </c>
      <c r="B54" s="6" t="s">
        <v>394</v>
      </c>
      <c r="C54" s="9" t="s">
        <v>6872</v>
      </c>
      <c r="D54" s="179"/>
      <c r="E54" s="6"/>
      <c r="F54" s="22" t="s">
        <v>4876</v>
      </c>
      <c r="G54" s="6" t="s">
        <v>1508</v>
      </c>
      <c r="H54" s="8">
        <v>37500</v>
      </c>
      <c r="I54" s="6" t="s">
        <v>4877</v>
      </c>
      <c r="J54" s="9" t="s">
        <v>7744</v>
      </c>
      <c r="K54" s="179"/>
      <c r="L54" s="179"/>
      <c r="M54" s="6" t="s">
        <v>22</v>
      </c>
      <c r="N54" s="6"/>
      <c r="O54" s="6"/>
      <c r="P54" s="6" t="s">
        <v>7741</v>
      </c>
      <c r="Q54" s="6" t="s">
        <v>7747</v>
      </c>
      <c r="R54" s="9" t="s">
        <v>611</v>
      </c>
      <c r="S54" s="6"/>
    </row>
    <row r="55" spans="1:19" ht="12.75">
      <c r="A55" s="6" t="s">
        <v>4784</v>
      </c>
      <c r="B55" s="6"/>
      <c r="C55" s="9"/>
      <c r="D55" s="179"/>
      <c r="E55" s="6"/>
      <c r="F55" s="22" t="s">
        <v>4879</v>
      </c>
      <c r="G55" s="6" t="s">
        <v>4880</v>
      </c>
      <c r="H55" s="8"/>
      <c r="I55" s="6"/>
      <c r="J55" s="9"/>
      <c r="K55" s="179"/>
      <c r="L55" s="179"/>
      <c r="M55" s="6" t="s">
        <v>22</v>
      </c>
      <c r="N55" s="6"/>
      <c r="O55" s="6"/>
      <c r="P55" s="6" t="s">
        <v>6064</v>
      </c>
      <c r="Q55" s="6"/>
      <c r="R55" s="9"/>
      <c r="S55" s="6"/>
    </row>
    <row r="56" spans="1:19" ht="25.5">
      <c r="A56" s="6" t="s">
        <v>4786</v>
      </c>
      <c r="B56" s="6" t="s">
        <v>1383</v>
      </c>
      <c r="C56" s="9" t="s">
        <v>6872</v>
      </c>
      <c r="D56" s="179"/>
      <c r="E56" s="6"/>
      <c r="F56" s="22" t="s">
        <v>4882</v>
      </c>
      <c r="G56" s="6" t="s">
        <v>4883</v>
      </c>
      <c r="H56" s="8">
        <v>30500</v>
      </c>
      <c r="I56" s="160" t="s">
        <v>4884</v>
      </c>
      <c r="J56" s="9" t="s">
        <v>7389</v>
      </c>
      <c r="K56" s="179"/>
      <c r="L56" s="179"/>
      <c r="M56" s="6" t="s">
        <v>22</v>
      </c>
      <c r="N56" s="6"/>
      <c r="O56" s="6"/>
      <c r="P56" s="6" t="s">
        <v>6064</v>
      </c>
      <c r="Q56" s="6" t="s">
        <v>7745</v>
      </c>
      <c r="R56" s="9" t="s">
        <v>2412</v>
      </c>
      <c r="S56" s="6" t="s">
        <v>7799</v>
      </c>
    </row>
    <row r="57" spans="1:19" ht="25.5">
      <c r="A57" s="6" t="s">
        <v>4790</v>
      </c>
      <c r="B57" s="6" t="s">
        <v>1383</v>
      </c>
      <c r="C57" s="9" t="s">
        <v>6872</v>
      </c>
      <c r="D57" s="179"/>
      <c r="E57" s="6"/>
      <c r="F57" s="22" t="s">
        <v>4885</v>
      </c>
      <c r="G57" s="6" t="s">
        <v>4886</v>
      </c>
      <c r="H57" s="8">
        <v>84500</v>
      </c>
      <c r="I57" s="160"/>
      <c r="J57" s="9" t="s">
        <v>7389</v>
      </c>
      <c r="K57" s="179"/>
      <c r="L57" s="179"/>
      <c r="M57" s="6" t="s">
        <v>22</v>
      </c>
      <c r="N57" s="6"/>
      <c r="O57" s="6"/>
      <c r="P57" s="6" t="s">
        <v>6064</v>
      </c>
      <c r="Q57" s="6" t="s">
        <v>7745</v>
      </c>
      <c r="R57" s="9" t="s">
        <v>2412</v>
      </c>
      <c r="S57" s="6" t="s">
        <v>7799</v>
      </c>
    </row>
    <row r="58" spans="1:19" ht="25.5">
      <c r="A58" s="6" t="s">
        <v>4887</v>
      </c>
      <c r="B58" s="6" t="s">
        <v>1383</v>
      </c>
      <c r="C58" s="9" t="s">
        <v>6872</v>
      </c>
      <c r="D58" s="179"/>
      <c r="E58" s="6"/>
      <c r="F58" s="22" t="s">
        <v>4888</v>
      </c>
      <c r="G58" s="6" t="s">
        <v>4851</v>
      </c>
      <c r="H58" s="8">
        <v>50000</v>
      </c>
      <c r="I58" s="160"/>
      <c r="J58" s="9" t="s">
        <v>7389</v>
      </c>
      <c r="K58" s="179"/>
      <c r="L58" s="179"/>
      <c r="M58" s="6" t="s">
        <v>22</v>
      </c>
      <c r="N58" s="6"/>
      <c r="O58" s="6"/>
      <c r="P58" s="6" t="s">
        <v>6064</v>
      </c>
      <c r="Q58" s="6" t="s">
        <v>1824</v>
      </c>
      <c r="R58" s="9" t="s">
        <v>2412</v>
      </c>
      <c r="S58" s="6" t="s">
        <v>7799</v>
      </c>
    </row>
    <row r="59" spans="1:19" ht="12.75">
      <c r="A59" s="6" t="s">
        <v>4798</v>
      </c>
      <c r="B59" s="6" t="s">
        <v>1383</v>
      </c>
      <c r="C59" s="9" t="s">
        <v>6872</v>
      </c>
      <c r="D59" s="179"/>
      <c r="E59" s="6"/>
      <c r="F59" s="22" t="s">
        <v>4889</v>
      </c>
      <c r="G59" s="6" t="s">
        <v>1598</v>
      </c>
      <c r="H59" s="8">
        <v>39000</v>
      </c>
      <c r="I59" s="160" t="s">
        <v>4890</v>
      </c>
      <c r="J59" s="9" t="s">
        <v>7397</v>
      </c>
      <c r="K59" s="179"/>
      <c r="L59" s="179"/>
      <c r="M59" s="6" t="s">
        <v>22</v>
      </c>
      <c r="N59" s="6"/>
      <c r="O59" s="6"/>
      <c r="P59" s="6" t="s">
        <v>7741</v>
      </c>
      <c r="Q59" s="6" t="s">
        <v>7747</v>
      </c>
      <c r="R59" s="9" t="s">
        <v>2412</v>
      </c>
      <c r="S59" s="6"/>
    </row>
    <row r="60" spans="1:19" ht="25.5">
      <c r="A60" s="6" t="s">
        <v>4802</v>
      </c>
      <c r="B60" s="6" t="s">
        <v>1383</v>
      </c>
      <c r="C60" s="9" t="s">
        <v>6872</v>
      </c>
      <c r="D60" s="179"/>
      <c r="E60" s="6"/>
      <c r="F60" s="22" t="s">
        <v>4891</v>
      </c>
      <c r="G60" s="6" t="s">
        <v>4892</v>
      </c>
      <c r="H60" s="8">
        <v>50000</v>
      </c>
      <c r="I60" s="160" t="s">
        <v>3686</v>
      </c>
      <c r="J60" s="9" t="s">
        <v>7539</v>
      </c>
      <c r="K60" s="179"/>
      <c r="L60" s="179"/>
      <c r="M60" s="6" t="s">
        <v>22</v>
      </c>
      <c r="N60" s="6"/>
      <c r="O60" s="6"/>
      <c r="P60" s="6" t="s">
        <v>6064</v>
      </c>
      <c r="Q60" s="6" t="s">
        <v>7747</v>
      </c>
      <c r="R60" s="9" t="s">
        <v>2412</v>
      </c>
      <c r="S60" s="6"/>
    </row>
    <row r="61" spans="1:19" ht="12.75">
      <c r="A61" s="6" t="s">
        <v>4805</v>
      </c>
      <c r="B61" s="6" t="s">
        <v>1383</v>
      </c>
      <c r="C61" s="9" t="s">
        <v>6872</v>
      </c>
      <c r="D61" s="179"/>
      <c r="E61" s="6"/>
      <c r="F61" s="22" t="s">
        <v>4893</v>
      </c>
      <c r="G61" s="6" t="s">
        <v>4894</v>
      </c>
      <c r="H61" s="8">
        <v>20000</v>
      </c>
      <c r="I61" s="160" t="s">
        <v>1938</v>
      </c>
      <c r="J61" s="9" t="s">
        <v>7389</v>
      </c>
      <c r="K61" s="179"/>
      <c r="L61" s="179"/>
      <c r="M61" s="6" t="s">
        <v>22</v>
      </c>
      <c r="N61" s="6"/>
      <c r="O61" s="6"/>
      <c r="P61" s="6" t="s">
        <v>6064</v>
      </c>
      <c r="Q61" s="6" t="s">
        <v>7747</v>
      </c>
      <c r="R61" s="9" t="s">
        <v>2412</v>
      </c>
      <c r="S61" s="6"/>
    </row>
    <row r="62" spans="1:19" ht="25.5">
      <c r="A62" s="6" t="s">
        <v>4807</v>
      </c>
      <c r="B62" s="6" t="s">
        <v>1383</v>
      </c>
      <c r="C62" s="9" t="s">
        <v>6872</v>
      </c>
      <c r="D62" s="179"/>
      <c r="E62" s="6"/>
      <c r="F62" s="22" t="s">
        <v>4895</v>
      </c>
      <c r="G62" s="6" t="s">
        <v>4896</v>
      </c>
      <c r="H62" s="8">
        <v>20000</v>
      </c>
      <c r="I62" s="160" t="s">
        <v>4897</v>
      </c>
      <c r="J62" s="9" t="s">
        <v>7389</v>
      </c>
      <c r="K62" s="179"/>
      <c r="L62" s="179"/>
      <c r="M62" s="6" t="s">
        <v>22</v>
      </c>
      <c r="N62" s="6"/>
      <c r="O62" s="6"/>
      <c r="P62" s="6" t="s">
        <v>6064</v>
      </c>
      <c r="Q62" s="6" t="s">
        <v>7747</v>
      </c>
      <c r="R62" s="9" t="s">
        <v>2412</v>
      </c>
      <c r="S62" s="6"/>
    </row>
    <row r="63" spans="1:19" ht="12.75">
      <c r="A63" s="6" t="s">
        <v>4811</v>
      </c>
      <c r="B63" s="6" t="s">
        <v>1383</v>
      </c>
      <c r="C63" s="9" t="s">
        <v>6872</v>
      </c>
      <c r="D63" s="179"/>
      <c r="E63" s="6"/>
      <c r="F63" s="22" t="s">
        <v>4898</v>
      </c>
      <c r="G63" s="6" t="s">
        <v>1889</v>
      </c>
      <c r="H63" s="8">
        <v>20000</v>
      </c>
      <c r="I63" s="6" t="s">
        <v>1938</v>
      </c>
      <c r="J63" s="9" t="s">
        <v>7389</v>
      </c>
      <c r="K63" s="179"/>
      <c r="L63" s="179"/>
      <c r="M63" s="6" t="s">
        <v>22</v>
      </c>
      <c r="N63" s="6"/>
      <c r="O63" s="6"/>
      <c r="P63" s="6" t="s">
        <v>6064</v>
      </c>
      <c r="Q63" s="6" t="s">
        <v>7747</v>
      </c>
      <c r="R63" s="9" t="s">
        <v>2412</v>
      </c>
      <c r="S63" s="6"/>
    </row>
    <row r="64" spans="1:19" ht="12.75">
      <c r="A64" s="6" t="s">
        <v>4815</v>
      </c>
      <c r="B64" s="6" t="s">
        <v>1383</v>
      </c>
      <c r="C64" s="9" t="s">
        <v>6872</v>
      </c>
      <c r="D64" s="179"/>
      <c r="E64" s="6"/>
      <c r="F64" s="22" t="s">
        <v>4899</v>
      </c>
      <c r="G64" s="6" t="s">
        <v>1889</v>
      </c>
      <c r="H64" s="8">
        <v>60000</v>
      </c>
      <c r="I64" s="6" t="s">
        <v>1938</v>
      </c>
      <c r="J64" s="9" t="s">
        <v>7389</v>
      </c>
      <c r="K64" s="179"/>
      <c r="L64" s="179"/>
      <c r="M64" s="6" t="s">
        <v>22</v>
      </c>
      <c r="N64" s="6"/>
      <c r="O64" s="6"/>
      <c r="P64" s="6" t="s">
        <v>6064</v>
      </c>
      <c r="Q64" s="6" t="s">
        <v>7747</v>
      </c>
      <c r="R64" s="9" t="s">
        <v>2412</v>
      </c>
      <c r="S64" s="6"/>
    </row>
    <row r="65" spans="1:19" ht="12.75">
      <c r="A65" s="6" t="s">
        <v>4900</v>
      </c>
      <c r="B65" s="6" t="s">
        <v>1383</v>
      </c>
      <c r="C65" s="9" t="s">
        <v>6872</v>
      </c>
      <c r="D65" s="179"/>
      <c r="E65" s="6"/>
      <c r="F65" s="22" t="s">
        <v>4901</v>
      </c>
      <c r="G65" s="6" t="s">
        <v>4837</v>
      </c>
      <c r="H65" s="8">
        <v>20000</v>
      </c>
      <c r="I65" s="6" t="s">
        <v>1938</v>
      </c>
      <c r="J65" s="9" t="s">
        <v>7389</v>
      </c>
      <c r="K65" s="179"/>
      <c r="L65" s="179"/>
      <c r="M65" s="6" t="s">
        <v>22</v>
      </c>
      <c r="N65" s="6"/>
      <c r="O65" s="6"/>
      <c r="P65" s="6" t="s">
        <v>6064</v>
      </c>
      <c r="Q65" s="6" t="s">
        <v>7747</v>
      </c>
      <c r="R65" s="9" t="s">
        <v>2412</v>
      </c>
      <c r="S65" s="6"/>
    </row>
    <row r="66" spans="1:19" ht="12.75">
      <c r="A66" s="6" t="s">
        <v>4902</v>
      </c>
      <c r="B66" s="6" t="s">
        <v>1383</v>
      </c>
      <c r="C66" s="9" t="s">
        <v>6872</v>
      </c>
      <c r="D66" s="179"/>
      <c r="E66" s="6"/>
      <c r="F66" s="22" t="s">
        <v>4903</v>
      </c>
      <c r="G66" s="6" t="s">
        <v>4904</v>
      </c>
      <c r="H66" s="8">
        <v>20000</v>
      </c>
      <c r="I66" s="6" t="s">
        <v>1938</v>
      </c>
      <c r="J66" s="9" t="s">
        <v>7539</v>
      </c>
      <c r="K66" s="179"/>
      <c r="L66" s="179"/>
      <c r="M66" s="6" t="s">
        <v>22</v>
      </c>
      <c r="N66" s="6"/>
      <c r="O66" s="6"/>
      <c r="P66" s="6" t="s">
        <v>6064</v>
      </c>
      <c r="Q66" s="6" t="s">
        <v>7747</v>
      </c>
      <c r="R66" s="9" t="s">
        <v>2412</v>
      </c>
      <c r="S66" s="6"/>
    </row>
    <row r="67" spans="1:19" ht="12.75">
      <c r="A67" s="6" t="s">
        <v>4905</v>
      </c>
      <c r="B67" s="6" t="s">
        <v>1383</v>
      </c>
      <c r="C67" s="9" t="s">
        <v>6872</v>
      </c>
      <c r="D67" s="179"/>
      <c r="E67" s="6"/>
      <c r="F67" s="22" t="s">
        <v>4906</v>
      </c>
      <c r="G67" s="6" t="s">
        <v>4907</v>
      </c>
      <c r="H67" s="8">
        <v>20000</v>
      </c>
      <c r="I67" s="6" t="s">
        <v>1938</v>
      </c>
      <c r="J67" s="9" t="s">
        <v>7389</v>
      </c>
      <c r="K67" s="179"/>
      <c r="L67" s="179"/>
      <c r="M67" s="6" t="s">
        <v>22</v>
      </c>
      <c r="N67" s="6"/>
      <c r="O67" s="6"/>
      <c r="P67" s="6" t="s">
        <v>6064</v>
      </c>
      <c r="Q67" s="6" t="s">
        <v>7747</v>
      </c>
      <c r="R67" s="9" t="s">
        <v>2412</v>
      </c>
      <c r="S67" s="6"/>
    </row>
    <row r="68" spans="1:19" ht="12.75">
      <c r="A68" s="6" t="s">
        <v>4908</v>
      </c>
      <c r="B68" s="6" t="s">
        <v>1383</v>
      </c>
      <c r="C68" s="9" t="s">
        <v>6872</v>
      </c>
      <c r="D68" s="179"/>
      <c r="E68" s="6"/>
      <c r="F68" s="22" t="s">
        <v>4909</v>
      </c>
      <c r="G68" s="6" t="s">
        <v>4910</v>
      </c>
      <c r="H68" s="8">
        <v>57000</v>
      </c>
      <c r="I68" s="6" t="s">
        <v>1938</v>
      </c>
      <c r="J68" s="9" t="s">
        <v>7643</v>
      </c>
      <c r="K68" s="179"/>
      <c r="L68" s="179"/>
      <c r="M68" s="6" t="s">
        <v>22</v>
      </c>
      <c r="N68" s="6"/>
      <c r="O68" s="6"/>
      <c r="P68" s="6" t="s">
        <v>6064</v>
      </c>
      <c r="Q68" s="6" t="s">
        <v>7747</v>
      </c>
      <c r="R68" s="9" t="s">
        <v>2412</v>
      </c>
      <c r="S68" s="6"/>
    </row>
    <row r="69" spans="1:19" ht="12.75">
      <c r="A69" s="6" t="s">
        <v>4911</v>
      </c>
      <c r="B69" s="6" t="s">
        <v>1383</v>
      </c>
      <c r="C69" s="9" t="s">
        <v>6872</v>
      </c>
      <c r="D69" s="179"/>
      <c r="E69" s="6"/>
      <c r="F69" s="22" t="s">
        <v>4912</v>
      </c>
      <c r="G69" s="6" t="s">
        <v>416</v>
      </c>
      <c r="H69" s="8">
        <v>20000</v>
      </c>
      <c r="I69" s="6" t="s">
        <v>1938</v>
      </c>
      <c r="J69" s="9" t="s">
        <v>7389</v>
      </c>
      <c r="K69" s="179"/>
      <c r="L69" s="179"/>
      <c r="M69" s="6" t="s">
        <v>22</v>
      </c>
      <c r="N69" s="6"/>
      <c r="O69" s="6"/>
      <c r="P69" s="6" t="s">
        <v>6064</v>
      </c>
      <c r="Q69" s="6" t="s">
        <v>7747</v>
      </c>
      <c r="R69" s="9" t="s">
        <v>2412</v>
      </c>
      <c r="S69" s="6"/>
    </row>
    <row r="70" spans="1:19" ht="12.75">
      <c r="A70" s="6" t="s">
        <v>4913</v>
      </c>
      <c r="B70" s="6" t="s">
        <v>6049</v>
      </c>
      <c r="C70" s="9" t="s">
        <v>6872</v>
      </c>
      <c r="D70" s="179"/>
      <c r="E70" s="6"/>
      <c r="F70" s="22" t="s">
        <v>4914</v>
      </c>
      <c r="G70" s="6" t="s">
        <v>1641</v>
      </c>
      <c r="H70" s="8">
        <v>43000</v>
      </c>
      <c r="I70" s="6" t="s">
        <v>4915</v>
      </c>
      <c r="J70" s="9" t="s">
        <v>7694</v>
      </c>
      <c r="K70" s="179"/>
      <c r="L70" s="179"/>
      <c r="M70" s="6" t="s">
        <v>22</v>
      </c>
      <c r="N70" s="6"/>
      <c r="O70" s="6"/>
      <c r="P70" s="6" t="s">
        <v>7782</v>
      </c>
      <c r="Q70" s="6" t="s">
        <v>7747</v>
      </c>
      <c r="R70" s="9" t="s">
        <v>611</v>
      </c>
      <c r="S70" s="6"/>
    </row>
    <row r="71" spans="1:19" ht="12.75">
      <c r="A71" s="6" t="s">
        <v>4916</v>
      </c>
      <c r="B71" s="6" t="s">
        <v>1383</v>
      </c>
      <c r="C71" s="9" t="s">
        <v>6872</v>
      </c>
      <c r="D71" s="179"/>
      <c r="E71" s="6"/>
      <c r="F71" s="22" t="s">
        <v>4917</v>
      </c>
      <c r="G71" s="6" t="s">
        <v>1410</v>
      </c>
      <c r="H71" s="8">
        <v>20000</v>
      </c>
      <c r="I71" s="6" t="s">
        <v>1938</v>
      </c>
      <c r="J71" s="9" t="s">
        <v>7389</v>
      </c>
      <c r="K71" s="179"/>
      <c r="L71" s="179"/>
      <c r="M71" s="6" t="s">
        <v>22</v>
      </c>
      <c r="N71" s="6"/>
      <c r="O71" s="6"/>
      <c r="P71" s="6" t="s">
        <v>6064</v>
      </c>
      <c r="Q71" s="6" t="s">
        <v>7747</v>
      </c>
      <c r="R71" s="9" t="s">
        <v>2412</v>
      </c>
      <c r="S71" s="6"/>
    </row>
    <row r="72" spans="1:19" ht="12.75">
      <c r="A72" s="6" t="s">
        <v>4918</v>
      </c>
      <c r="B72" s="6" t="s">
        <v>1383</v>
      </c>
      <c r="C72" s="9" t="s">
        <v>6872</v>
      </c>
      <c r="D72" s="179"/>
      <c r="E72" s="6"/>
      <c r="F72" s="22" t="s">
        <v>4919</v>
      </c>
      <c r="G72" s="6" t="s">
        <v>1585</v>
      </c>
      <c r="H72" s="8">
        <v>20000</v>
      </c>
      <c r="I72" s="6" t="s">
        <v>1938</v>
      </c>
      <c r="J72" s="9" t="s">
        <v>7389</v>
      </c>
      <c r="K72" s="179"/>
      <c r="L72" s="179"/>
      <c r="M72" s="6" t="s">
        <v>22</v>
      </c>
      <c r="N72" s="6"/>
      <c r="O72" s="6"/>
      <c r="P72" s="6" t="s">
        <v>6064</v>
      </c>
      <c r="Q72" s="6" t="s">
        <v>7747</v>
      </c>
      <c r="R72" s="9" t="s">
        <v>2412</v>
      </c>
      <c r="S72" s="6"/>
    </row>
    <row r="73" spans="1:19" ht="25.5">
      <c r="A73" s="6" t="s">
        <v>4920</v>
      </c>
      <c r="B73" s="6" t="s">
        <v>1383</v>
      </c>
      <c r="C73" s="9" t="s">
        <v>6872</v>
      </c>
      <c r="D73" s="179"/>
      <c r="E73" s="6"/>
      <c r="F73" s="22" t="s">
        <v>4921</v>
      </c>
      <c r="G73" s="6" t="s">
        <v>4922</v>
      </c>
      <c r="H73" s="8">
        <v>50000</v>
      </c>
      <c r="I73" s="6" t="s">
        <v>1938</v>
      </c>
      <c r="J73" s="9" t="s">
        <v>7389</v>
      </c>
      <c r="K73" s="179"/>
      <c r="L73" s="179"/>
      <c r="M73" s="6" t="s">
        <v>22</v>
      </c>
      <c r="N73" s="6"/>
      <c r="O73" s="6"/>
      <c r="P73" s="6" t="s">
        <v>6064</v>
      </c>
      <c r="Q73" s="6" t="s">
        <v>7747</v>
      </c>
      <c r="R73" s="9" t="s">
        <v>2412</v>
      </c>
      <c r="S73" s="6"/>
    </row>
    <row r="74" spans="1:19" ht="25.5">
      <c r="A74" s="6" t="s">
        <v>4923</v>
      </c>
      <c r="B74" s="6" t="s">
        <v>1383</v>
      </c>
      <c r="C74" s="9" t="s">
        <v>6872</v>
      </c>
      <c r="D74" s="179"/>
      <c r="E74" s="6"/>
      <c r="F74" s="22" t="s">
        <v>4924</v>
      </c>
      <c r="G74" s="6" t="s">
        <v>4925</v>
      </c>
      <c r="H74" s="8">
        <v>20000</v>
      </c>
      <c r="I74" s="6" t="s">
        <v>1938</v>
      </c>
      <c r="J74" s="9" t="s">
        <v>7389</v>
      </c>
      <c r="K74" s="179"/>
      <c r="L74" s="179"/>
      <c r="M74" s="6" t="s">
        <v>22</v>
      </c>
      <c r="N74" s="6"/>
      <c r="O74" s="6"/>
      <c r="P74" s="6" t="s">
        <v>6064</v>
      </c>
      <c r="Q74" s="6" t="s">
        <v>7747</v>
      </c>
      <c r="R74" s="9" t="s">
        <v>2412</v>
      </c>
      <c r="S74" s="6"/>
    </row>
    <row r="75" spans="1:19" ht="25.5">
      <c r="A75" s="6" t="s">
        <v>4926</v>
      </c>
      <c r="B75" s="6" t="s">
        <v>7807</v>
      </c>
      <c r="C75" s="9" t="s">
        <v>6872</v>
      </c>
      <c r="D75" s="179"/>
      <c r="E75" s="6"/>
      <c r="F75" s="22" t="s">
        <v>4927</v>
      </c>
      <c r="G75" s="6" t="s">
        <v>1598</v>
      </c>
      <c r="H75" s="8">
        <v>100000</v>
      </c>
      <c r="I75" s="6" t="s">
        <v>4890</v>
      </c>
      <c r="J75" s="9" t="s">
        <v>7397</v>
      </c>
      <c r="K75" s="179"/>
      <c r="L75" s="179"/>
      <c r="M75" s="6" t="s">
        <v>22</v>
      </c>
      <c r="N75" s="6"/>
      <c r="O75" s="6"/>
      <c r="P75" s="6" t="s">
        <v>6364</v>
      </c>
      <c r="Q75" s="6" t="s">
        <v>7747</v>
      </c>
      <c r="R75" s="9" t="s">
        <v>2412</v>
      </c>
      <c r="S75" s="6"/>
    </row>
    <row r="76" spans="1:19" ht="25.5">
      <c r="A76" s="6" t="s">
        <v>4928</v>
      </c>
      <c r="B76" s="6" t="s">
        <v>4787</v>
      </c>
      <c r="C76" s="9" t="s">
        <v>6872</v>
      </c>
      <c r="D76" s="179"/>
      <c r="E76" s="6"/>
      <c r="F76" s="22" t="s">
        <v>4929</v>
      </c>
      <c r="G76" s="6" t="s">
        <v>4930</v>
      </c>
      <c r="H76" s="8">
        <v>84700</v>
      </c>
      <c r="I76" s="6" t="s">
        <v>3733</v>
      </c>
      <c r="J76" s="9" t="s">
        <v>7808</v>
      </c>
      <c r="K76" s="179"/>
      <c r="L76" s="179"/>
      <c r="M76" s="6" t="s">
        <v>6132</v>
      </c>
      <c r="N76" s="6"/>
      <c r="O76" s="6"/>
      <c r="P76" s="6" t="s">
        <v>6137</v>
      </c>
      <c r="Q76" s="6" t="s">
        <v>7747</v>
      </c>
      <c r="R76" s="9" t="s">
        <v>2412</v>
      </c>
      <c r="S76" s="6"/>
    </row>
    <row r="77" spans="1:19" ht="25.5">
      <c r="A77" s="6" t="s">
        <v>4931</v>
      </c>
      <c r="B77" s="6" t="s">
        <v>6049</v>
      </c>
      <c r="C77" s="9" t="s">
        <v>6872</v>
      </c>
      <c r="D77" s="179"/>
      <c r="E77" s="6"/>
      <c r="F77" s="22" t="s">
        <v>4932</v>
      </c>
      <c r="G77" s="6" t="s">
        <v>849</v>
      </c>
      <c r="H77" s="8">
        <v>30000</v>
      </c>
      <c r="I77" s="6" t="s">
        <v>4933</v>
      </c>
      <c r="J77" s="9" t="s">
        <v>7744</v>
      </c>
      <c r="K77" s="179"/>
      <c r="L77" s="179"/>
      <c r="M77" s="6" t="s">
        <v>22</v>
      </c>
      <c r="N77" s="6"/>
      <c r="O77" s="6"/>
      <c r="P77" s="6" t="s">
        <v>6064</v>
      </c>
      <c r="Q77" s="6" t="s">
        <v>7747</v>
      </c>
      <c r="R77" s="9" t="s">
        <v>611</v>
      </c>
      <c r="S77" s="6"/>
    </row>
    <row r="78" spans="1:19" ht="38.25">
      <c r="A78" s="6" t="s">
        <v>4934</v>
      </c>
      <c r="B78" s="6" t="s">
        <v>7807</v>
      </c>
      <c r="C78" s="9" t="s">
        <v>6872</v>
      </c>
      <c r="D78" s="179"/>
      <c r="E78" s="6"/>
      <c r="F78" s="22" t="s">
        <v>4935</v>
      </c>
      <c r="G78" s="6" t="s">
        <v>1598</v>
      </c>
      <c r="H78" s="8">
        <v>100000</v>
      </c>
      <c r="I78" s="6" t="s">
        <v>4890</v>
      </c>
      <c r="J78" s="9" t="s">
        <v>7397</v>
      </c>
      <c r="K78" s="179"/>
      <c r="L78" s="179"/>
      <c r="M78" s="6" t="s">
        <v>22</v>
      </c>
      <c r="N78" s="6"/>
      <c r="O78" s="6"/>
      <c r="P78" s="6" t="s">
        <v>6364</v>
      </c>
      <c r="Q78" s="6" t="s">
        <v>7747</v>
      </c>
      <c r="R78" s="9" t="s">
        <v>2412</v>
      </c>
      <c r="S78" s="6"/>
    </row>
    <row r="79" spans="1:19" ht="25.5">
      <c r="A79" s="6" t="s">
        <v>4936</v>
      </c>
      <c r="B79" s="6" t="s">
        <v>7807</v>
      </c>
      <c r="C79" s="9" t="s">
        <v>6872</v>
      </c>
      <c r="D79" s="179"/>
      <c r="E79" s="6"/>
      <c r="F79" s="22" t="s">
        <v>4937</v>
      </c>
      <c r="G79" s="6" t="s">
        <v>1598</v>
      </c>
      <c r="H79" s="8">
        <v>100000</v>
      </c>
      <c r="I79" s="6" t="s">
        <v>4890</v>
      </c>
      <c r="J79" s="9" t="s">
        <v>7397</v>
      </c>
      <c r="K79" s="179"/>
      <c r="L79" s="179"/>
      <c r="M79" s="6" t="s">
        <v>22</v>
      </c>
      <c r="N79" s="6"/>
      <c r="O79" s="6"/>
      <c r="P79" s="6" t="s">
        <v>6364</v>
      </c>
      <c r="Q79" s="6" t="s">
        <v>7747</v>
      </c>
      <c r="R79" s="9" t="s">
        <v>2412</v>
      </c>
      <c r="S79" s="6"/>
    </row>
    <row r="80" spans="1:19" ht="25.5">
      <c r="A80" s="6" t="s">
        <v>4938</v>
      </c>
      <c r="B80" s="6" t="s">
        <v>394</v>
      </c>
      <c r="C80" s="9" t="s">
        <v>6872</v>
      </c>
      <c r="D80" s="179"/>
      <c r="E80" s="6"/>
      <c r="F80" s="22" t="s">
        <v>4939</v>
      </c>
      <c r="G80" s="6" t="s">
        <v>1593</v>
      </c>
      <c r="H80" s="8">
        <v>36000</v>
      </c>
      <c r="I80" s="6" t="s">
        <v>4940</v>
      </c>
      <c r="J80" s="9" t="s">
        <v>7573</v>
      </c>
      <c r="K80" s="179"/>
      <c r="L80" s="179"/>
      <c r="M80" s="6" t="s">
        <v>22</v>
      </c>
      <c r="N80" s="6"/>
      <c r="O80" s="6"/>
      <c r="P80" s="6" t="s">
        <v>7741</v>
      </c>
      <c r="Q80" s="6" t="s">
        <v>7747</v>
      </c>
      <c r="R80" s="9" t="s">
        <v>611</v>
      </c>
      <c r="S80" s="6"/>
    </row>
    <row r="81" spans="1:19" ht="25.5">
      <c r="A81" s="6" t="s">
        <v>4941</v>
      </c>
      <c r="B81" s="6" t="s">
        <v>1383</v>
      </c>
      <c r="C81" s="9" t="s">
        <v>6872</v>
      </c>
      <c r="D81" s="179"/>
      <c r="E81" s="6"/>
      <c r="F81" s="22" t="s">
        <v>4942</v>
      </c>
      <c r="G81" s="6" t="s">
        <v>4922</v>
      </c>
      <c r="H81" s="8">
        <v>20000</v>
      </c>
      <c r="I81" s="6" t="s">
        <v>1938</v>
      </c>
      <c r="J81" s="9" t="s">
        <v>7389</v>
      </c>
      <c r="K81" s="179"/>
      <c r="L81" s="179"/>
      <c r="M81" s="6" t="s">
        <v>22</v>
      </c>
      <c r="N81" s="6"/>
      <c r="O81" s="6"/>
      <c r="P81" s="6" t="s">
        <v>6064</v>
      </c>
      <c r="Q81" s="6" t="s">
        <v>7747</v>
      </c>
      <c r="R81" s="9" t="s">
        <v>2412</v>
      </c>
      <c r="S81" s="6"/>
    </row>
    <row r="82" spans="1:19" ht="25.5">
      <c r="A82" s="6" t="s">
        <v>4943</v>
      </c>
      <c r="B82" s="6" t="s">
        <v>4787</v>
      </c>
      <c r="C82" s="9" t="s">
        <v>6872</v>
      </c>
      <c r="D82" s="179"/>
      <c r="E82" s="6"/>
      <c r="F82" s="22" t="s">
        <v>4944</v>
      </c>
      <c r="G82" s="6" t="s">
        <v>4945</v>
      </c>
      <c r="H82" s="8">
        <v>30000</v>
      </c>
      <c r="I82" s="6" t="s">
        <v>1938</v>
      </c>
      <c r="J82" s="9" t="s">
        <v>7389</v>
      </c>
      <c r="K82" s="179"/>
      <c r="L82" s="179"/>
      <c r="M82" s="6" t="s">
        <v>22</v>
      </c>
      <c r="N82" s="6"/>
      <c r="O82" s="6"/>
      <c r="P82" s="6" t="s">
        <v>6064</v>
      </c>
      <c r="Q82" s="6" t="s">
        <v>7747</v>
      </c>
      <c r="R82" s="9" t="s">
        <v>2412</v>
      </c>
      <c r="S82" s="6" t="s">
        <v>7799</v>
      </c>
    </row>
    <row r="83" spans="1:19" ht="25.5">
      <c r="A83" s="6" t="s">
        <v>4946</v>
      </c>
      <c r="B83" s="6" t="s">
        <v>1383</v>
      </c>
      <c r="C83" s="9" t="s">
        <v>6872</v>
      </c>
      <c r="D83" s="179"/>
      <c r="E83" s="6"/>
      <c r="F83" s="22" t="s">
        <v>4947</v>
      </c>
      <c r="G83" s="6" t="s">
        <v>4948</v>
      </c>
      <c r="H83" s="8">
        <v>40000</v>
      </c>
      <c r="I83" s="6" t="s">
        <v>4949</v>
      </c>
      <c r="J83" s="9" t="s">
        <v>7569</v>
      </c>
      <c r="K83" s="179"/>
      <c r="L83" s="179"/>
      <c r="M83" s="6" t="s">
        <v>22</v>
      </c>
      <c r="N83" s="6"/>
      <c r="O83" s="479"/>
      <c r="P83" s="6" t="s">
        <v>6064</v>
      </c>
      <c r="Q83" s="6" t="s">
        <v>7747</v>
      </c>
      <c r="R83" s="9" t="s">
        <v>2412</v>
      </c>
      <c r="S83" s="6" t="s">
        <v>7799</v>
      </c>
    </row>
    <row r="84" spans="1:19" ht="25.5">
      <c r="A84" s="6" t="s">
        <v>4950</v>
      </c>
      <c r="B84" s="6" t="s">
        <v>6049</v>
      </c>
      <c r="C84" s="9" t="s">
        <v>6872</v>
      </c>
      <c r="D84" s="179"/>
      <c r="E84" s="6"/>
      <c r="F84" s="22" t="s">
        <v>4951</v>
      </c>
      <c r="G84" s="6" t="s">
        <v>4952</v>
      </c>
      <c r="H84" s="8">
        <v>30000</v>
      </c>
      <c r="I84" s="6" t="s">
        <v>4940</v>
      </c>
      <c r="J84" s="9" t="s">
        <v>7573</v>
      </c>
      <c r="K84" s="179"/>
      <c r="L84" s="179"/>
      <c r="M84" s="6" t="s">
        <v>22</v>
      </c>
      <c r="N84" s="6"/>
      <c r="O84" s="6"/>
      <c r="P84" s="6" t="s">
        <v>6064</v>
      </c>
      <c r="Q84" s="6" t="s">
        <v>7747</v>
      </c>
      <c r="R84" s="9" t="s">
        <v>2412</v>
      </c>
      <c r="S84" s="6" t="s">
        <v>7799</v>
      </c>
    </row>
    <row r="85" spans="1:19" ht="25.5">
      <c r="A85" s="6" t="s">
        <v>4953</v>
      </c>
      <c r="B85" s="6" t="s">
        <v>7809</v>
      </c>
      <c r="C85" s="9" t="s">
        <v>6872</v>
      </c>
      <c r="D85" s="179"/>
      <c r="E85" s="6"/>
      <c r="F85" s="22" t="s">
        <v>4954</v>
      </c>
      <c r="G85" s="6" t="s">
        <v>4955</v>
      </c>
      <c r="H85" s="8">
        <v>50000</v>
      </c>
      <c r="I85" s="6" t="s">
        <v>4956</v>
      </c>
      <c r="J85" s="9" t="s">
        <v>7389</v>
      </c>
      <c r="K85" s="179"/>
      <c r="L85" s="179"/>
      <c r="M85" s="6" t="s">
        <v>6132</v>
      </c>
      <c r="N85" s="6"/>
      <c r="O85" s="6"/>
      <c r="P85" s="6" t="s">
        <v>6430</v>
      </c>
      <c r="Q85" s="6" t="s">
        <v>7742</v>
      </c>
      <c r="R85" s="9" t="s">
        <v>611</v>
      </c>
      <c r="S85" s="6"/>
    </row>
    <row r="86" spans="1:19" ht="25.5">
      <c r="A86" s="6" t="s">
        <v>4957</v>
      </c>
      <c r="B86" s="6" t="s">
        <v>7809</v>
      </c>
      <c r="C86" s="9" t="s">
        <v>6872</v>
      </c>
      <c r="D86" s="179"/>
      <c r="E86" s="6"/>
      <c r="F86" s="22" t="s">
        <v>4958</v>
      </c>
      <c r="G86" s="6" t="s">
        <v>894</v>
      </c>
      <c r="H86" s="8">
        <v>14840</v>
      </c>
      <c r="I86" s="6" t="s">
        <v>4959</v>
      </c>
      <c r="J86" s="9" t="s">
        <v>7389</v>
      </c>
      <c r="K86" s="179"/>
      <c r="L86" s="179"/>
      <c r="M86" s="6" t="s">
        <v>6132</v>
      </c>
      <c r="N86" s="6"/>
      <c r="O86" s="6"/>
      <c r="P86" s="6" t="s">
        <v>6430</v>
      </c>
      <c r="Q86" s="6" t="s">
        <v>7742</v>
      </c>
      <c r="R86" s="9" t="s">
        <v>611</v>
      </c>
      <c r="S86" s="6"/>
    </row>
    <row r="87" spans="1:19" ht="38.25">
      <c r="A87" s="6" t="s">
        <v>4960</v>
      </c>
      <c r="B87" s="6" t="s">
        <v>6049</v>
      </c>
      <c r="C87" s="9" t="s">
        <v>6872</v>
      </c>
      <c r="D87" s="179"/>
      <c r="E87" s="6"/>
      <c r="F87" s="22" t="s">
        <v>4961</v>
      </c>
      <c r="G87" s="6" t="s">
        <v>854</v>
      </c>
      <c r="H87" s="8">
        <v>40000</v>
      </c>
      <c r="I87" s="6" t="s">
        <v>4962</v>
      </c>
      <c r="J87" s="9" t="s">
        <v>7457</v>
      </c>
      <c r="K87" s="179"/>
      <c r="L87" s="179"/>
      <c r="M87" s="6" t="s">
        <v>22</v>
      </c>
      <c r="N87" s="6"/>
      <c r="O87" s="6"/>
      <c r="P87" s="6" t="s">
        <v>6064</v>
      </c>
      <c r="Q87" s="6" t="s">
        <v>7747</v>
      </c>
      <c r="R87" s="9" t="s">
        <v>611</v>
      </c>
      <c r="S87" s="6"/>
    </row>
    <row r="88" spans="1:19" ht="25.5">
      <c r="A88" s="6" t="s">
        <v>4963</v>
      </c>
      <c r="B88" s="6" t="s">
        <v>62</v>
      </c>
      <c r="C88" s="9" t="s">
        <v>6872</v>
      </c>
      <c r="D88" s="179"/>
      <c r="E88" s="6"/>
      <c r="F88" s="22" t="s">
        <v>4964</v>
      </c>
      <c r="G88" s="6" t="s">
        <v>4965</v>
      </c>
      <c r="H88" s="8">
        <v>1000000</v>
      </c>
      <c r="I88" s="6" t="s">
        <v>4966</v>
      </c>
      <c r="J88" s="9" t="s">
        <v>7573</v>
      </c>
      <c r="K88" s="179"/>
      <c r="L88" s="179"/>
      <c r="M88" s="6" t="s">
        <v>6179</v>
      </c>
      <c r="N88" s="6"/>
      <c r="O88" s="6"/>
      <c r="P88" s="6" t="s">
        <v>7806</v>
      </c>
      <c r="Q88" s="6" t="s">
        <v>7745</v>
      </c>
      <c r="R88" s="9" t="s">
        <v>1231</v>
      </c>
      <c r="S88" s="6"/>
    </row>
    <row r="89" spans="1:19" ht="12.75">
      <c r="A89" s="6" t="s">
        <v>4967</v>
      </c>
      <c r="B89" s="6" t="s">
        <v>62</v>
      </c>
      <c r="C89" s="9" t="s">
        <v>6872</v>
      </c>
      <c r="D89" s="179"/>
      <c r="E89" s="6"/>
      <c r="F89" s="22" t="s">
        <v>4968</v>
      </c>
      <c r="G89" s="6" t="s">
        <v>4969</v>
      </c>
      <c r="H89" s="8">
        <v>450155</v>
      </c>
      <c r="I89" s="6" t="s">
        <v>4970</v>
      </c>
      <c r="J89" s="9" t="s">
        <v>7573</v>
      </c>
      <c r="K89" s="179"/>
      <c r="L89" s="179"/>
      <c r="M89" s="6" t="s">
        <v>6179</v>
      </c>
      <c r="N89" s="6"/>
      <c r="O89" s="6"/>
      <c r="P89" s="6" t="s">
        <v>6364</v>
      </c>
      <c r="Q89" s="6" t="s">
        <v>7745</v>
      </c>
      <c r="R89" s="9" t="s">
        <v>1231</v>
      </c>
      <c r="S89" s="6"/>
    </row>
    <row r="90" spans="1:19" ht="38.25">
      <c r="A90" s="6" t="s">
        <v>4971</v>
      </c>
      <c r="B90" s="6" t="s">
        <v>1383</v>
      </c>
      <c r="C90" s="9" t="s">
        <v>6872</v>
      </c>
      <c r="D90" s="179"/>
      <c r="E90" s="6"/>
      <c r="F90" s="22" t="s">
        <v>4972</v>
      </c>
      <c r="G90" s="6" t="s">
        <v>4973</v>
      </c>
      <c r="H90" s="8">
        <v>27500</v>
      </c>
      <c r="I90" s="6" t="s">
        <v>4974</v>
      </c>
      <c r="J90" s="9" t="s">
        <v>7389</v>
      </c>
      <c r="K90" s="179"/>
      <c r="L90" s="179"/>
      <c r="M90" s="6" t="s">
        <v>6132</v>
      </c>
      <c r="N90" s="6"/>
      <c r="O90" s="6"/>
      <c r="P90" s="6" t="s">
        <v>6064</v>
      </c>
      <c r="Q90" s="6" t="s">
        <v>7745</v>
      </c>
      <c r="R90" s="9" t="s">
        <v>2412</v>
      </c>
      <c r="S90" s="6"/>
    </row>
    <row r="91" spans="1:19" ht="25.5">
      <c r="A91" s="6" t="s">
        <v>4975</v>
      </c>
      <c r="B91" s="6" t="s">
        <v>7809</v>
      </c>
      <c r="C91" s="9" t="s">
        <v>6872</v>
      </c>
      <c r="D91" s="179"/>
      <c r="E91" s="6"/>
      <c r="F91" s="22" t="s">
        <v>4976</v>
      </c>
      <c r="G91" s="6" t="s">
        <v>4977</v>
      </c>
      <c r="H91" s="8">
        <v>1050</v>
      </c>
      <c r="I91" s="6" t="s">
        <v>4978</v>
      </c>
      <c r="J91" s="9" t="s">
        <v>7539</v>
      </c>
      <c r="K91" s="179"/>
      <c r="L91" s="179"/>
      <c r="M91" s="6" t="s">
        <v>6132</v>
      </c>
      <c r="N91" s="6"/>
      <c r="O91" s="6"/>
      <c r="P91" s="6" t="s">
        <v>7810</v>
      </c>
      <c r="Q91" s="6" t="s">
        <v>7742</v>
      </c>
      <c r="R91" s="9" t="s">
        <v>611</v>
      </c>
      <c r="S91" s="6"/>
    </row>
    <row r="92" spans="1:19" ht="12.75">
      <c r="A92" s="6" t="s">
        <v>4979</v>
      </c>
      <c r="B92" s="6" t="s">
        <v>6049</v>
      </c>
      <c r="C92" s="9" t="s">
        <v>6872</v>
      </c>
      <c r="D92" s="179"/>
      <c r="E92" s="6"/>
      <c r="F92" s="22" t="s">
        <v>4980</v>
      </c>
      <c r="G92" s="6" t="s">
        <v>842</v>
      </c>
      <c r="H92" s="8">
        <v>30000</v>
      </c>
      <c r="I92" s="6" t="s">
        <v>4981</v>
      </c>
      <c r="J92" s="9" t="s">
        <v>7811</v>
      </c>
      <c r="K92" s="179"/>
      <c r="L92" s="179"/>
      <c r="M92" s="6" t="s">
        <v>22</v>
      </c>
      <c r="N92" s="6"/>
      <c r="O92" s="479"/>
      <c r="P92" s="6" t="s">
        <v>6064</v>
      </c>
      <c r="Q92" s="6" t="s">
        <v>7747</v>
      </c>
      <c r="R92" s="9" t="s">
        <v>611</v>
      </c>
      <c r="S92" s="6"/>
    </row>
    <row r="93" spans="1:19" ht="12.75">
      <c r="A93" s="6"/>
      <c r="B93" s="6"/>
      <c r="C93" s="9"/>
      <c r="D93" s="179"/>
      <c r="E93" s="6"/>
      <c r="F93" s="22"/>
      <c r="G93" s="6"/>
      <c r="H93" s="8"/>
      <c r="I93" s="6"/>
      <c r="J93" s="9"/>
      <c r="K93" s="179"/>
      <c r="L93" s="179"/>
      <c r="M93" s="6"/>
      <c r="N93" s="6"/>
      <c r="O93" s="6"/>
      <c r="P93" s="6"/>
      <c r="Q93" s="6"/>
      <c r="R93" s="9"/>
      <c r="S93" s="6"/>
    </row>
    <row r="94" spans="1:19" ht="12.75">
      <c r="A94" s="6"/>
      <c r="B94" s="6"/>
      <c r="C94" s="9"/>
      <c r="D94" s="179"/>
      <c r="E94" s="6"/>
      <c r="F94" s="22"/>
      <c r="G94" s="6"/>
      <c r="H94" s="8"/>
      <c r="I94" s="6"/>
      <c r="J94" s="9"/>
      <c r="K94" s="179"/>
      <c r="L94" s="179"/>
      <c r="M94" s="6"/>
      <c r="N94" s="6"/>
      <c r="O94" s="6"/>
      <c r="P94" s="6"/>
      <c r="Q94" s="6"/>
      <c r="R94" s="9"/>
      <c r="S94" s="6"/>
    </row>
    <row r="95" spans="1:19" ht="12.75">
      <c r="A95" s="6"/>
      <c r="B95" s="6"/>
      <c r="C95" s="9"/>
      <c r="D95" s="179"/>
      <c r="E95" s="6"/>
      <c r="F95" s="22"/>
      <c r="G95" s="6"/>
      <c r="H95" s="8"/>
      <c r="I95" s="6"/>
      <c r="J95" s="9"/>
      <c r="K95" s="179"/>
      <c r="L95" s="179"/>
      <c r="M95" s="6"/>
      <c r="N95" s="6"/>
      <c r="O95" s="6"/>
      <c r="P95" s="6"/>
      <c r="Q95" s="6"/>
      <c r="R95" s="9"/>
      <c r="S95" s="6"/>
    </row>
    <row r="96" spans="1:19" ht="12.75">
      <c r="A96" s="6"/>
      <c r="B96" s="6"/>
      <c r="C96" s="9"/>
      <c r="D96" s="179"/>
      <c r="E96" s="6"/>
      <c r="F96" s="22"/>
      <c r="G96" s="6"/>
      <c r="H96" s="8"/>
      <c r="I96" s="6"/>
      <c r="J96" s="9"/>
      <c r="K96" s="179"/>
      <c r="L96" s="179"/>
      <c r="M96" s="6"/>
      <c r="N96" s="6"/>
      <c r="O96" s="6"/>
      <c r="P96" s="6"/>
      <c r="Q96" s="6"/>
      <c r="R96" s="9"/>
      <c r="S96" s="6"/>
    </row>
    <row r="97" spans="1:19" ht="12.75">
      <c r="A97" s="6"/>
      <c r="B97" s="6"/>
      <c r="C97" s="9"/>
      <c r="D97" s="179"/>
      <c r="E97" s="6"/>
      <c r="F97" s="22"/>
      <c r="G97" s="6"/>
      <c r="H97" s="8"/>
      <c r="I97" s="6"/>
      <c r="J97" s="9"/>
      <c r="K97" s="179"/>
      <c r="L97" s="179"/>
      <c r="M97" s="6"/>
      <c r="N97" s="6"/>
      <c r="O97" s="6"/>
      <c r="P97" s="6"/>
      <c r="Q97" s="6"/>
      <c r="R97" s="9"/>
      <c r="S97" s="6"/>
    </row>
    <row r="98" spans="1:19" ht="12.75">
      <c r="A98" s="6"/>
      <c r="B98" s="6"/>
      <c r="C98" s="9"/>
      <c r="D98" s="179"/>
      <c r="E98" s="6"/>
      <c r="F98" s="22"/>
      <c r="G98" s="6"/>
      <c r="H98" s="8"/>
      <c r="I98" s="6"/>
      <c r="J98" s="9"/>
      <c r="K98" s="179"/>
      <c r="L98" s="179"/>
      <c r="M98" s="6"/>
      <c r="N98" s="6"/>
      <c r="O98" s="6"/>
      <c r="P98" s="6"/>
      <c r="Q98" s="6"/>
      <c r="R98" s="9"/>
      <c r="S98" s="6"/>
    </row>
    <row r="99" spans="1:19" ht="12.75">
      <c r="A99" s="6"/>
      <c r="B99" s="6"/>
      <c r="C99" s="9"/>
      <c r="D99" s="179"/>
      <c r="E99" s="6"/>
      <c r="F99" s="22"/>
      <c r="G99" s="6"/>
      <c r="H99" s="8"/>
      <c r="I99" s="6"/>
      <c r="J99" s="9"/>
      <c r="K99" s="179"/>
      <c r="L99" s="179"/>
      <c r="M99" s="6"/>
      <c r="N99" s="6"/>
      <c r="O99" s="6"/>
      <c r="P99" s="6"/>
      <c r="Q99" s="6"/>
      <c r="R99" s="9"/>
      <c r="S99" s="6"/>
    </row>
    <row r="100" spans="1:19" ht="12.75">
      <c r="A100" s="6"/>
      <c r="B100" s="6"/>
      <c r="C100" s="9"/>
      <c r="D100" s="179"/>
      <c r="E100" s="6"/>
      <c r="F100" s="22"/>
      <c r="G100" s="6"/>
      <c r="H100" s="8"/>
      <c r="I100" s="6"/>
      <c r="J100" s="9"/>
      <c r="K100" s="179"/>
      <c r="L100" s="179"/>
      <c r="M100" s="6"/>
      <c r="N100" s="6"/>
      <c r="O100" s="6"/>
      <c r="P100" s="6"/>
      <c r="Q100" s="6"/>
      <c r="R100" s="9"/>
      <c r="S100" s="6"/>
    </row>
    <row r="101" spans="1:19" ht="12.75">
      <c r="A101" s="6"/>
      <c r="B101" s="6"/>
      <c r="C101" s="9"/>
      <c r="D101" s="179"/>
      <c r="E101" s="6"/>
      <c r="F101" s="22"/>
      <c r="G101" s="6"/>
      <c r="H101" s="8"/>
      <c r="I101" s="6"/>
      <c r="J101" s="9"/>
      <c r="K101" s="179"/>
      <c r="L101" s="179"/>
      <c r="M101" s="6"/>
      <c r="N101" s="6"/>
      <c r="O101" s="6"/>
      <c r="P101" s="6"/>
      <c r="Q101" s="6"/>
      <c r="R101" s="9"/>
      <c r="S101" s="6"/>
    </row>
    <row r="102" spans="1:19" ht="12.75">
      <c r="A102" s="6"/>
      <c r="B102" s="6"/>
      <c r="C102" s="9"/>
      <c r="D102" s="179"/>
      <c r="E102" s="6"/>
      <c r="F102" s="22"/>
      <c r="G102" s="6"/>
      <c r="H102" s="8"/>
      <c r="I102" s="6"/>
      <c r="J102" s="9"/>
      <c r="K102" s="179"/>
      <c r="L102" s="179"/>
      <c r="M102" s="6"/>
      <c r="N102" s="6"/>
      <c r="O102" s="6"/>
      <c r="P102" s="6"/>
      <c r="Q102" s="6"/>
      <c r="R102" s="9"/>
      <c r="S102" s="6"/>
    </row>
    <row r="103" spans="1:19" ht="12.75">
      <c r="A103" s="6"/>
      <c r="B103" s="6"/>
      <c r="C103" s="9"/>
      <c r="D103" s="179"/>
      <c r="E103" s="6"/>
      <c r="F103" s="22"/>
      <c r="G103" s="6"/>
      <c r="H103" s="8"/>
      <c r="I103" s="6"/>
      <c r="J103" s="9"/>
      <c r="K103" s="179"/>
      <c r="L103" s="179"/>
      <c r="M103" s="6"/>
      <c r="N103" s="6"/>
      <c r="O103" s="6"/>
      <c r="P103" s="6"/>
      <c r="Q103" s="6"/>
      <c r="R103" s="9"/>
      <c r="S103" s="6"/>
    </row>
    <row r="104" spans="1:19" ht="12.75">
      <c r="A104" s="6"/>
      <c r="B104" s="6"/>
      <c r="C104" s="9"/>
      <c r="D104" s="179"/>
      <c r="E104" s="6"/>
      <c r="F104" s="22"/>
      <c r="G104" s="6"/>
      <c r="H104" s="8"/>
      <c r="I104" s="6"/>
      <c r="J104" s="9"/>
      <c r="K104" s="179"/>
      <c r="L104" s="179"/>
      <c r="M104" s="6"/>
      <c r="N104" s="6"/>
      <c r="O104" s="6"/>
      <c r="P104" s="6"/>
      <c r="Q104" s="6"/>
      <c r="R104" s="9"/>
      <c r="S104" s="6"/>
    </row>
    <row r="105" spans="1:19" ht="12.75">
      <c r="A105" s="6"/>
      <c r="B105" s="6"/>
      <c r="C105" s="9"/>
      <c r="D105" s="179"/>
      <c r="E105" s="6"/>
      <c r="F105" s="22"/>
      <c r="G105" s="6"/>
      <c r="H105" s="8"/>
      <c r="I105" s="6"/>
      <c r="J105" s="9"/>
      <c r="K105" s="179"/>
      <c r="L105" s="179"/>
      <c r="M105" s="6"/>
      <c r="N105" s="6"/>
      <c r="O105" s="6"/>
      <c r="P105" s="6"/>
      <c r="Q105" s="6"/>
      <c r="R105" s="9"/>
      <c r="S105" s="6"/>
    </row>
    <row r="106" spans="1:19" ht="12.75">
      <c r="A106" s="6"/>
      <c r="B106" s="6"/>
      <c r="C106" s="9"/>
      <c r="D106" s="179"/>
      <c r="E106" s="6"/>
      <c r="F106" s="22"/>
      <c r="G106" s="6"/>
      <c r="H106" s="8"/>
      <c r="I106" s="6"/>
      <c r="J106" s="9"/>
      <c r="K106" s="179"/>
      <c r="L106" s="179"/>
      <c r="M106" s="6"/>
      <c r="N106" s="6"/>
      <c r="O106" s="6"/>
      <c r="P106" s="6"/>
      <c r="Q106" s="6"/>
      <c r="R106" s="9"/>
      <c r="S106" s="6"/>
    </row>
    <row r="107" spans="1:19" ht="12.75">
      <c r="A107" s="6"/>
      <c r="B107" s="6"/>
      <c r="C107" s="9"/>
      <c r="D107" s="179"/>
      <c r="E107" s="6"/>
      <c r="F107" s="22"/>
      <c r="G107" s="6"/>
      <c r="H107" s="8"/>
      <c r="I107" s="6"/>
      <c r="J107" s="9"/>
      <c r="K107" s="179"/>
      <c r="L107" s="179"/>
      <c r="M107" s="6"/>
      <c r="N107" s="6"/>
      <c r="O107" s="6"/>
      <c r="P107" s="6"/>
      <c r="Q107" s="6"/>
      <c r="R107" s="9"/>
      <c r="S107" s="6"/>
    </row>
    <row r="108" spans="1:19" ht="12.75">
      <c r="A108" s="6"/>
      <c r="B108" s="6"/>
      <c r="C108" s="9"/>
      <c r="D108" s="179"/>
      <c r="E108" s="6"/>
      <c r="F108" s="22"/>
      <c r="G108" s="6"/>
      <c r="H108" s="8"/>
      <c r="I108" s="6"/>
      <c r="J108" s="9"/>
      <c r="K108" s="179"/>
      <c r="L108" s="179"/>
      <c r="M108" s="6"/>
      <c r="N108" s="6"/>
      <c r="O108" s="6"/>
      <c r="P108" s="6"/>
      <c r="Q108" s="6"/>
      <c r="R108" s="9"/>
      <c r="S108" s="6"/>
    </row>
    <row r="109" spans="1:19" ht="12.75">
      <c r="A109" s="6"/>
      <c r="B109" s="6"/>
      <c r="C109" s="9"/>
      <c r="D109" s="179"/>
      <c r="E109" s="6"/>
      <c r="F109" s="22"/>
      <c r="G109" s="6"/>
      <c r="H109" s="8"/>
      <c r="I109" s="6"/>
      <c r="J109" s="9"/>
      <c r="K109" s="179"/>
      <c r="L109" s="179"/>
      <c r="M109" s="6"/>
      <c r="N109" s="6"/>
      <c r="O109" s="6"/>
      <c r="P109" s="6"/>
      <c r="Q109" s="6"/>
      <c r="R109" s="9"/>
      <c r="S109" s="6"/>
    </row>
    <row r="110" spans="1:19" ht="12.75">
      <c r="A110" s="6"/>
      <c r="B110" s="6"/>
      <c r="C110" s="9"/>
      <c r="D110" s="179"/>
      <c r="E110" s="6"/>
      <c r="F110" s="22"/>
      <c r="G110" s="6"/>
      <c r="H110" s="8"/>
      <c r="I110" s="6"/>
      <c r="J110" s="9"/>
      <c r="K110" s="179"/>
      <c r="L110" s="179"/>
      <c r="M110" s="6"/>
      <c r="N110" s="6"/>
      <c r="O110" s="6"/>
      <c r="P110" s="6"/>
      <c r="Q110" s="6"/>
      <c r="R110" s="9"/>
      <c r="S110" s="6"/>
    </row>
    <row r="111" spans="1:19" ht="12.75">
      <c r="A111" s="6"/>
      <c r="B111" s="6"/>
      <c r="C111" s="9"/>
      <c r="D111" s="179"/>
      <c r="E111" s="6"/>
      <c r="F111" s="22"/>
      <c r="G111" s="6"/>
      <c r="H111" s="8"/>
      <c r="I111" s="6"/>
      <c r="J111" s="9"/>
      <c r="K111" s="179"/>
      <c r="L111" s="179"/>
      <c r="M111" s="6"/>
      <c r="N111" s="6"/>
      <c r="O111" s="6"/>
      <c r="P111" s="6"/>
      <c r="Q111" s="6"/>
      <c r="R111" s="9"/>
      <c r="S111" s="6"/>
    </row>
    <row r="112" spans="1:19" ht="12.75">
      <c r="A112" s="6"/>
      <c r="B112" s="6"/>
      <c r="C112" s="9"/>
      <c r="D112" s="179"/>
      <c r="E112" s="6"/>
      <c r="F112" s="22"/>
      <c r="G112" s="6"/>
      <c r="H112" s="8"/>
      <c r="I112" s="6"/>
      <c r="J112" s="9"/>
      <c r="K112" s="179"/>
      <c r="L112" s="179"/>
      <c r="M112" s="6"/>
      <c r="N112" s="6"/>
      <c r="O112" s="6"/>
      <c r="P112" s="6"/>
      <c r="Q112" s="6"/>
      <c r="R112" s="9"/>
      <c r="S112" s="6"/>
    </row>
    <row r="113" spans="1:19" ht="12.75">
      <c r="A113" s="6"/>
      <c r="B113" s="6"/>
      <c r="C113" s="9"/>
      <c r="D113" s="179"/>
      <c r="E113" s="6"/>
      <c r="F113" s="22"/>
      <c r="G113" s="6"/>
      <c r="H113" s="8"/>
      <c r="I113" s="6"/>
      <c r="J113" s="9"/>
      <c r="K113" s="179"/>
      <c r="L113" s="179"/>
      <c r="M113" s="6"/>
      <c r="N113" s="6"/>
      <c r="O113" s="6"/>
      <c r="P113" s="6"/>
      <c r="Q113" s="6"/>
      <c r="R113" s="9"/>
      <c r="S113" s="6"/>
    </row>
    <row r="114" spans="1:19" ht="12.75">
      <c r="A114" s="6"/>
      <c r="B114" s="6"/>
      <c r="C114" s="9"/>
      <c r="D114" s="179"/>
      <c r="E114" s="6"/>
      <c r="F114" s="22"/>
      <c r="G114" s="6"/>
      <c r="H114" s="8"/>
      <c r="I114" s="6"/>
      <c r="J114" s="9"/>
      <c r="K114" s="179"/>
      <c r="L114" s="179"/>
      <c r="M114" s="6"/>
      <c r="N114" s="6"/>
      <c r="O114" s="6"/>
      <c r="P114" s="6"/>
      <c r="Q114" s="6"/>
      <c r="R114" s="9"/>
      <c r="S114" s="6"/>
    </row>
    <row r="115" spans="1:19" ht="12.75">
      <c r="A115" s="6"/>
      <c r="B115" s="6"/>
      <c r="C115" s="9"/>
      <c r="D115" s="179"/>
      <c r="E115" s="6"/>
      <c r="F115" s="22"/>
      <c r="G115" s="6"/>
      <c r="H115" s="8"/>
      <c r="I115" s="6"/>
      <c r="J115" s="9"/>
      <c r="K115" s="179"/>
      <c r="L115" s="179"/>
      <c r="M115" s="6"/>
      <c r="N115" s="6"/>
      <c r="O115" s="6"/>
      <c r="P115" s="6"/>
      <c r="Q115" s="6"/>
      <c r="R115" s="9"/>
      <c r="S115" s="6"/>
    </row>
    <row r="116" spans="1:19" ht="12.75">
      <c r="A116" s="6"/>
      <c r="B116" s="6"/>
      <c r="C116" s="9"/>
      <c r="D116" s="179"/>
      <c r="E116" s="6"/>
      <c r="F116" s="22"/>
      <c r="G116" s="6"/>
      <c r="H116" s="8"/>
      <c r="I116" s="6"/>
      <c r="J116" s="9"/>
      <c r="K116" s="179"/>
      <c r="L116" s="179"/>
      <c r="M116" s="6"/>
      <c r="N116" s="6"/>
      <c r="O116" s="6"/>
      <c r="P116" s="6"/>
      <c r="Q116" s="6"/>
      <c r="R116" s="9"/>
      <c r="S116" s="6"/>
    </row>
    <row r="117" spans="1:19" ht="12.75">
      <c r="A117" s="6"/>
      <c r="B117" s="6"/>
      <c r="C117" s="9"/>
      <c r="D117" s="179"/>
      <c r="E117" s="6"/>
      <c r="F117" s="22"/>
      <c r="G117" s="6"/>
      <c r="H117" s="8"/>
      <c r="I117" s="6"/>
      <c r="J117" s="9"/>
      <c r="K117" s="179"/>
      <c r="L117" s="179"/>
      <c r="M117" s="6"/>
      <c r="N117" s="6"/>
      <c r="O117" s="6"/>
      <c r="P117" s="6"/>
      <c r="Q117" s="6"/>
      <c r="R117" s="9"/>
      <c r="S117" s="6"/>
    </row>
    <row r="118" spans="1:19" ht="12.75">
      <c r="A118" s="6"/>
      <c r="B118" s="6"/>
      <c r="C118" s="9"/>
      <c r="D118" s="179"/>
      <c r="E118" s="6"/>
      <c r="F118" s="22"/>
      <c r="G118" s="6"/>
      <c r="H118" s="8"/>
      <c r="I118" s="6"/>
      <c r="J118" s="9"/>
      <c r="K118" s="179"/>
      <c r="L118" s="179"/>
      <c r="M118" s="6"/>
      <c r="N118" s="6"/>
      <c r="O118" s="6"/>
      <c r="P118" s="6"/>
      <c r="Q118" s="6"/>
      <c r="R118" s="9"/>
      <c r="S118" s="6"/>
    </row>
    <row r="119" spans="1:19" ht="12.75">
      <c r="A119" s="6"/>
      <c r="B119" s="6"/>
      <c r="C119" s="9"/>
      <c r="D119" s="179"/>
      <c r="E119" s="6"/>
      <c r="F119" s="22"/>
      <c r="G119" s="6"/>
      <c r="H119" s="8"/>
      <c r="I119" s="6"/>
      <c r="J119" s="9"/>
      <c r="K119" s="179"/>
      <c r="L119" s="179"/>
      <c r="M119" s="6"/>
      <c r="N119" s="6"/>
      <c r="O119" s="6"/>
      <c r="P119" s="6"/>
      <c r="Q119" s="6"/>
      <c r="R119" s="9"/>
      <c r="S119" s="6"/>
    </row>
    <row r="120" spans="1:19" ht="12.75">
      <c r="A120" s="6"/>
      <c r="B120" s="6"/>
      <c r="C120" s="9"/>
      <c r="D120" s="179"/>
      <c r="E120" s="6"/>
      <c r="F120" s="22"/>
      <c r="G120" s="6"/>
      <c r="H120" s="8"/>
      <c r="I120" s="6"/>
      <c r="J120" s="9"/>
      <c r="K120" s="179"/>
      <c r="L120" s="179"/>
      <c r="M120" s="6"/>
      <c r="N120" s="6"/>
      <c r="O120" s="6"/>
      <c r="P120" s="6"/>
      <c r="Q120" s="6"/>
      <c r="R120" s="9"/>
      <c r="S120" s="6"/>
    </row>
    <row r="121" spans="1:19" ht="12.75">
      <c r="A121" s="6"/>
      <c r="B121" s="6"/>
      <c r="C121" s="9"/>
      <c r="D121" s="179"/>
      <c r="E121" s="6"/>
      <c r="F121" s="22"/>
      <c r="G121" s="6"/>
      <c r="H121" s="8"/>
      <c r="I121" s="6"/>
      <c r="J121" s="9"/>
      <c r="K121" s="179"/>
      <c r="L121" s="179"/>
      <c r="M121" s="6"/>
      <c r="N121" s="6"/>
      <c r="O121" s="6"/>
      <c r="P121" s="6"/>
      <c r="Q121" s="6"/>
      <c r="R121" s="9"/>
      <c r="S121" s="6"/>
    </row>
    <row r="122" spans="1:19" ht="12.75">
      <c r="A122" s="6"/>
      <c r="B122" s="6"/>
      <c r="C122" s="9"/>
      <c r="D122" s="179"/>
      <c r="E122" s="6"/>
      <c r="F122" s="22"/>
      <c r="G122" s="6"/>
      <c r="H122" s="8"/>
      <c r="I122" s="6"/>
      <c r="J122" s="9"/>
      <c r="K122" s="179"/>
      <c r="L122" s="179"/>
      <c r="M122" s="6"/>
      <c r="N122" s="6"/>
      <c r="O122" s="6"/>
      <c r="P122" s="6"/>
      <c r="Q122" s="6"/>
      <c r="R122" s="9"/>
      <c r="S122" s="6"/>
    </row>
    <row r="123" spans="1:19" ht="12.75">
      <c r="A123" s="6"/>
      <c r="B123" s="6"/>
      <c r="C123" s="9"/>
      <c r="D123" s="179"/>
      <c r="E123" s="6"/>
      <c r="F123" s="22"/>
      <c r="G123" s="6"/>
      <c r="H123" s="8"/>
      <c r="I123" s="6"/>
      <c r="J123" s="9"/>
      <c r="K123" s="179"/>
      <c r="L123" s="179"/>
      <c r="M123" s="6"/>
      <c r="N123" s="6"/>
      <c r="O123" s="6"/>
      <c r="P123" s="6"/>
      <c r="Q123" s="6"/>
      <c r="R123" s="9"/>
      <c r="S123" s="6"/>
    </row>
    <row r="124" spans="1:19" ht="12.75">
      <c r="A124" s="6"/>
      <c r="B124" s="6"/>
      <c r="C124" s="9"/>
      <c r="D124" s="179"/>
      <c r="E124" s="6"/>
      <c r="F124" s="22"/>
      <c r="G124" s="6"/>
      <c r="H124" s="8"/>
      <c r="I124" s="6"/>
      <c r="J124" s="9"/>
      <c r="K124" s="179"/>
      <c r="L124" s="179"/>
      <c r="M124" s="6"/>
      <c r="N124" s="6"/>
      <c r="O124" s="6"/>
      <c r="P124" s="6"/>
      <c r="Q124" s="6"/>
      <c r="R124" s="9"/>
      <c r="S124" s="6"/>
    </row>
    <row r="125" spans="1:19" ht="12.75">
      <c r="A125" s="6"/>
      <c r="B125" s="6"/>
      <c r="C125" s="9"/>
      <c r="D125" s="179"/>
      <c r="E125" s="6"/>
      <c r="F125" s="22"/>
      <c r="G125" s="6"/>
      <c r="H125" s="8"/>
      <c r="I125" s="6"/>
      <c r="J125" s="9"/>
      <c r="K125" s="179"/>
      <c r="L125" s="179"/>
      <c r="M125" s="6"/>
      <c r="N125" s="6"/>
      <c r="O125" s="6"/>
      <c r="P125" s="6"/>
      <c r="Q125" s="6"/>
      <c r="R125" s="9"/>
      <c r="S125" s="6"/>
    </row>
    <row r="126" spans="1:19" ht="12.75">
      <c r="A126" s="6"/>
      <c r="B126" s="6"/>
      <c r="C126" s="9"/>
      <c r="D126" s="179"/>
      <c r="E126" s="6"/>
      <c r="F126" s="22"/>
      <c r="G126" s="6"/>
      <c r="H126" s="8"/>
      <c r="I126" s="6"/>
      <c r="J126" s="9"/>
      <c r="K126" s="179"/>
      <c r="L126" s="179"/>
      <c r="M126" s="6"/>
      <c r="N126" s="6"/>
      <c r="O126" s="6"/>
      <c r="P126" s="6"/>
      <c r="Q126" s="6"/>
      <c r="R126" s="9"/>
      <c r="S126" s="6"/>
    </row>
    <row r="127" spans="1:19" ht="12.75">
      <c r="A127" s="6"/>
      <c r="B127" s="6"/>
      <c r="C127" s="9"/>
      <c r="D127" s="179"/>
      <c r="E127" s="6"/>
      <c r="F127" s="22"/>
      <c r="G127" s="6"/>
      <c r="H127" s="8"/>
      <c r="I127" s="6"/>
      <c r="J127" s="9"/>
      <c r="K127" s="179"/>
      <c r="L127" s="179"/>
      <c r="M127" s="6"/>
      <c r="N127" s="6"/>
      <c r="O127" s="6"/>
      <c r="P127" s="6"/>
      <c r="Q127" s="6"/>
      <c r="R127" s="9"/>
      <c r="S127" s="6"/>
    </row>
    <row r="128" spans="1:19" ht="12.75">
      <c r="A128" s="6"/>
      <c r="B128" s="6"/>
      <c r="C128" s="9"/>
      <c r="D128" s="179"/>
      <c r="E128" s="6"/>
      <c r="F128" s="22"/>
      <c r="G128" s="6"/>
      <c r="H128" s="8"/>
      <c r="I128" s="6"/>
      <c r="J128" s="9"/>
      <c r="K128" s="179"/>
      <c r="L128" s="179"/>
      <c r="M128" s="6"/>
      <c r="N128" s="6"/>
      <c r="O128" s="6"/>
      <c r="P128" s="6"/>
      <c r="Q128" s="6"/>
      <c r="R128" s="9"/>
      <c r="S128" s="6"/>
    </row>
    <row r="129" spans="1:19" ht="12.75">
      <c r="A129" s="6"/>
      <c r="B129" s="6"/>
      <c r="C129" s="9"/>
      <c r="D129" s="179"/>
      <c r="E129" s="6"/>
      <c r="F129" s="22"/>
      <c r="G129" s="6"/>
      <c r="H129" s="8"/>
      <c r="I129" s="6"/>
      <c r="J129" s="9"/>
      <c r="K129" s="179"/>
      <c r="L129" s="179"/>
      <c r="M129" s="6"/>
      <c r="N129" s="6"/>
      <c r="O129" s="6"/>
      <c r="P129" s="6"/>
      <c r="Q129" s="6"/>
      <c r="R129" s="9"/>
      <c r="S129" s="6"/>
    </row>
    <row r="130" spans="1:19" ht="12.75">
      <c r="A130" s="6"/>
      <c r="B130" s="6"/>
      <c r="C130" s="9"/>
      <c r="D130" s="179"/>
      <c r="E130" s="6"/>
      <c r="F130" s="22"/>
      <c r="G130" s="6"/>
      <c r="H130" s="8"/>
      <c r="I130" s="6"/>
      <c r="J130" s="9"/>
      <c r="K130" s="179"/>
      <c r="L130" s="179"/>
      <c r="M130" s="6"/>
      <c r="N130" s="6"/>
      <c r="O130" s="6"/>
      <c r="P130" s="6"/>
      <c r="Q130" s="6"/>
      <c r="R130" s="9"/>
      <c r="S130" s="6"/>
    </row>
    <row r="131" spans="1:19" ht="12.75">
      <c r="A131" s="6"/>
      <c r="B131" s="6"/>
      <c r="C131" s="9"/>
      <c r="D131" s="179"/>
      <c r="E131" s="6"/>
      <c r="F131" s="22"/>
      <c r="G131" s="6"/>
      <c r="H131" s="8"/>
      <c r="I131" s="6"/>
      <c r="J131" s="9"/>
      <c r="K131" s="179"/>
      <c r="L131" s="179"/>
      <c r="M131" s="6"/>
      <c r="N131" s="6"/>
      <c r="O131" s="6"/>
      <c r="P131" s="6"/>
      <c r="Q131" s="6"/>
      <c r="R131" s="9"/>
      <c r="S131" s="6"/>
    </row>
    <row r="132" spans="1:19" ht="12.75">
      <c r="A132" s="6"/>
      <c r="B132" s="6"/>
      <c r="C132" s="9"/>
      <c r="D132" s="179"/>
      <c r="E132" s="6"/>
      <c r="F132" s="22"/>
      <c r="G132" s="6"/>
      <c r="H132" s="8"/>
      <c r="I132" s="6"/>
      <c r="J132" s="9"/>
      <c r="K132" s="179"/>
      <c r="L132" s="179"/>
      <c r="M132" s="6"/>
      <c r="N132" s="6"/>
      <c r="O132" s="6"/>
      <c r="P132" s="6"/>
      <c r="Q132" s="6"/>
      <c r="R132" s="9"/>
      <c r="S132" s="6"/>
    </row>
    <row r="133" spans="1:19" ht="12.75">
      <c r="A133" s="6"/>
      <c r="B133" s="6"/>
      <c r="C133" s="9"/>
      <c r="D133" s="179"/>
      <c r="E133" s="6"/>
      <c r="F133" s="22"/>
      <c r="G133" s="6"/>
      <c r="H133" s="8"/>
      <c r="I133" s="6"/>
      <c r="J133" s="9"/>
      <c r="K133" s="179"/>
      <c r="L133" s="179"/>
      <c r="M133" s="6"/>
      <c r="N133" s="6"/>
      <c r="O133" s="6"/>
      <c r="P133" s="6"/>
      <c r="Q133" s="6"/>
      <c r="R133" s="9"/>
      <c r="S133" s="6"/>
    </row>
    <row r="134" spans="1:19" ht="12.75">
      <c r="A134" s="6"/>
      <c r="B134" s="6"/>
      <c r="C134" s="9"/>
      <c r="D134" s="179"/>
      <c r="E134" s="6"/>
      <c r="F134" s="22"/>
      <c r="G134" s="6"/>
      <c r="H134" s="8"/>
      <c r="I134" s="6"/>
      <c r="J134" s="9"/>
      <c r="K134" s="179"/>
      <c r="L134" s="179"/>
      <c r="M134" s="6"/>
      <c r="N134" s="6"/>
      <c r="O134" s="6"/>
      <c r="P134" s="6"/>
      <c r="Q134" s="6"/>
      <c r="R134" s="9"/>
      <c r="S134" s="6"/>
    </row>
    <row r="135" spans="1:19" ht="12.75">
      <c r="A135" s="6"/>
      <c r="B135" s="6"/>
      <c r="C135" s="9"/>
      <c r="D135" s="179"/>
      <c r="E135" s="6"/>
      <c r="F135" s="22"/>
      <c r="G135" s="6"/>
      <c r="H135" s="8"/>
      <c r="I135" s="6"/>
      <c r="J135" s="9"/>
      <c r="K135" s="179"/>
      <c r="L135" s="179"/>
      <c r="M135" s="6"/>
      <c r="N135" s="6"/>
      <c r="O135" s="6"/>
      <c r="P135" s="6"/>
      <c r="Q135" s="6"/>
      <c r="R135" s="9"/>
      <c r="S135" s="6"/>
    </row>
    <row r="136" spans="1:19" ht="12.75">
      <c r="A136" s="6"/>
      <c r="B136" s="6"/>
      <c r="C136" s="9"/>
      <c r="D136" s="179"/>
      <c r="E136" s="6"/>
      <c r="F136" s="22"/>
      <c r="G136" s="6"/>
      <c r="H136" s="8"/>
      <c r="I136" s="6"/>
      <c r="J136" s="9"/>
      <c r="K136" s="179"/>
      <c r="L136" s="179"/>
      <c r="M136" s="6"/>
      <c r="N136" s="6"/>
      <c r="O136" s="6"/>
      <c r="P136" s="6"/>
      <c r="Q136" s="6"/>
      <c r="R136" s="9"/>
      <c r="S136" s="6"/>
    </row>
    <row r="137" spans="1:19" ht="12.75">
      <c r="A137" s="6"/>
      <c r="B137" s="6"/>
      <c r="C137" s="9"/>
      <c r="D137" s="179"/>
      <c r="E137" s="6"/>
      <c r="F137" s="22"/>
      <c r="G137" s="6"/>
      <c r="H137" s="8"/>
      <c r="I137" s="6"/>
      <c r="J137" s="9"/>
      <c r="K137" s="179"/>
      <c r="L137" s="179"/>
      <c r="M137" s="6"/>
      <c r="N137" s="6"/>
      <c r="O137" s="6"/>
      <c r="P137" s="6"/>
      <c r="Q137" s="6"/>
      <c r="R137" s="9"/>
      <c r="S137" s="6"/>
    </row>
    <row r="138" spans="1:19" ht="12.75">
      <c r="A138" s="6"/>
      <c r="B138" s="6"/>
      <c r="C138" s="9"/>
      <c r="D138" s="179"/>
      <c r="E138" s="6"/>
      <c r="F138" s="22"/>
      <c r="G138" s="6"/>
      <c r="H138" s="8"/>
      <c r="I138" s="6"/>
      <c r="J138" s="9"/>
      <c r="K138" s="179"/>
      <c r="L138" s="179"/>
      <c r="M138" s="6"/>
      <c r="N138" s="6"/>
      <c r="O138" s="6"/>
      <c r="P138" s="6"/>
      <c r="Q138" s="6"/>
      <c r="R138" s="9"/>
      <c r="S138" s="6"/>
    </row>
    <row r="139" spans="1:19" ht="12.75">
      <c r="A139" s="6"/>
      <c r="B139" s="6"/>
      <c r="C139" s="9"/>
      <c r="D139" s="179"/>
      <c r="E139" s="6"/>
      <c r="F139" s="22"/>
      <c r="G139" s="6"/>
      <c r="H139" s="8"/>
      <c r="I139" s="6"/>
      <c r="J139" s="9"/>
      <c r="K139" s="179"/>
      <c r="L139" s="179"/>
      <c r="M139" s="6"/>
      <c r="N139" s="6"/>
      <c r="O139" s="6"/>
      <c r="P139" s="6"/>
      <c r="Q139" s="6"/>
      <c r="R139" s="9"/>
      <c r="S139" s="6"/>
    </row>
    <row r="140" spans="1:19" ht="12.75">
      <c r="A140" s="6"/>
      <c r="B140" s="6"/>
      <c r="C140" s="9"/>
      <c r="D140" s="179"/>
      <c r="E140" s="6"/>
      <c r="F140" s="22"/>
      <c r="G140" s="6"/>
      <c r="H140" s="8"/>
      <c r="I140" s="6"/>
      <c r="J140" s="9"/>
      <c r="K140" s="179"/>
      <c r="L140" s="179"/>
      <c r="M140" s="6"/>
      <c r="N140" s="6"/>
      <c r="O140" s="6"/>
      <c r="P140" s="6"/>
      <c r="Q140" s="6"/>
      <c r="R140" s="9"/>
      <c r="S140" s="6"/>
    </row>
    <row r="141" spans="1:19" ht="12.75">
      <c r="A141" s="6"/>
      <c r="B141" s="6"/>
      <c r="C141" s="9"/>
      <c r="D141" s="179"/>
      <c r="E141" s="6"/>
      <c r="F141" s="22"/>
      <c r="G141" s="6"/>
      <c r="H141" s="8"/>
      <c r="I141" s="6"/>
      <c r="J141" s="9"/>
      <c r="K141" s="179"/>
      <c r="L141" s="179"/>
      <c r="M141" s="6"/>
      <c r="N141" s="6"/>
      <c r="O141" s="6"/>
      <c r="P141" s="6"/>
      <c r="Q141" s="6"/>
      <c r="R141" s="9"/>
      <c r="S141" s="6"/>
    </row>
    <row r="142" spans="1:19" ht="12.75">
      <c r="A142" s="6"/>
      <c r="B142" s="6"/>
      <c r="C142" s="9"/>
      <c r="D142" s="179"/>
      <c r="E142" s="6"/>
      <c r="F142" s="22"/>
      <c r="G142" s="6"/>
      <c r="H142" s="8"/>
      <c r="I142" s="6"/>
      <c r="J142" s="9"/>
      <c r="K142" s="179"/>
      <c r="L142" s="179"/>
      <c r="M142" s="6"/>
      <c r="N142" s="6"/>
      <c r="O142" s="6"/>
      <c r="P142" s="6"/>
      <c r="Q142" s="6"/>
      <c r="R142" s="9"/>
      <c r="S142" s="6"/>
    </row>
    <row r="143" spans="1:19" ht="12.75">
      <c r="A143" s="6"/>
      <c r="B143" s="6"/>
      <c r="C143" s="9"/>
      <c r="D143" s="179"/>
      <c r="E143" s="6"/>
      <c r="F143" s="22"/>
      <c r="G143" s="6"/>
      <c r="H143" s="8"/>
      <c r="I143" s="6"/>
      <c r="J143" s="9"/>
      <c r="K143" s="179"/>
      <c r="L143" s="179"/>
      <c r="M143" s="6"/>
      <c r="N143" s="6"/>
      <c r="O143" s="6"/>
      <c r="P143" s="6"/>
      <c r="Q143" s="6"/>
      <c r="R143" s="9"/>
      <c r="S143" s="6"/>
    </row>
    <row r="144" spans="1:19" ht="12.75">
      <c r="A144" s="6"/>
      <c r="B144" s="6"/>
      <c r="C144" s="9"/>
      <c r="D144" s="179"/>
      <c r="E144" s="6"/>
      <c r="F144" s="22"/>
      <c r="G144" s="6"/>
      <c r="H144" s="8"/>
      <c r="I144" s="6"/>
      <c r="J144" s="9"/>
      <c r="K144" s="179"/>
      <c r="L144" s="179"/>
      <c r="M144" s="6"/>
      <c r="N144" s="6"/>
      <c r="O144" s="6"/>
      <c r="P144" s="6"/>
      <c r="Q144" s="6"/>
      <c r="R144" s="9"/>
      <c r="S144" s="6"/>
    </row>
    <row r="145" spans="1:19" ht="12.75">
      <c r="A145" s="6"/>
      <c r="B145" s="6"/>
      <c r="C145" s="9"/>
      <c r="D145" s="179"/>
      <c r="E145" s="6"/>
      <c r="F145" s="22"/>
      <c r="G145" s="6"/>
      <c r="H145" s="8"/>
      <c r="I145" s="6"/>
      <c r="J145" s="9"/>
      <c r="K145" s="179"/>
      <c r="L145" s="179"/>
      <c r="M145" s="6"/>
      <c r="N145" s="6"/>
      <c r="O145" s="6"/>
      <c r="P145" s="6"/>
      <c r="Q145" s="6"/>
      <c r="R145" s="9"/>
      <c r="S145" s="6"/>
    </row>
    <row r="146" spans="1:19" ht="12.75">
      <c r="A146" s="6"/>
      <c r="B146" s="6"/>
      <c r="C146" s="9"/>
      <c r="D146" s="179"/>
      <c r="E146" s="6"/>
      <c r="F146" s="22"/>
      <c r="G146" s="6"/>
      <c r="H146" s="8"/>
      <c r="I146" s="6"/>
      <c r="J146" s="9"/>
      <c r="K146" s="179"/>
      <c r="L146" s="179"/>
      <c r="M146" s="6"/>
      <c r="N146" s="6"/>
      <c r="O146" s="6"/>
      <c r="P146" s="6"/>
      <c r="Q146" s="6"/>
      <c r="R146" s="9"/>
      <c r="S146" s="6"/>
    </row>
    <row r="147" spans="1:19" ht="12.75">
      <c r="A147" s="6"/>
      <c r="B147" s="6"/>
      <c r="C147" s="9"/>
      <c r="D147" s="179"/>
      <c r="E147" s="6"/>
      <c r="F147" s="22"/>
      <c r="G147" s="6"/>
      <c r="H147" s="8"/>
      <c r="I147" s="6"/>
      <c r="J147" s="9"/>
      <c r="K147" s="179"/>
      <c r="L147" s="179"/>
      <c r="M147" s="6"/>
      <c r="N147" s="6"/>
      <c r="O147" s="6"/>
      <c r="P147" s="6"/>
      <c r="Q147" s="6"/>
      <c r="R147" s="9"/>
      <c r="S147" s="6"/>
    </row>
    <row r="148" spans="1:19" ht="12.75">
      <c r="A148" s="6"/>
      <c r="B148" s="6"/>
      <c r="C148" s="9"/>
      <c r="D148" s="179"/>
      <c r="E148" s="6"/>
      <c r="F148" s="22"/>
      <c r="G148" s="6"/>
      <c r="H148" s="8"/>
      <c r="I148" s="6"/>
      <c r="J148" s="9"/>
      <c r="K148" s="179"/>
      <c r="L148" s="179"/>
      <c r="M148" s="6"/>
      <c r="N148" s="6"/>
      <c r="O148" s="6"/>
      <c r="P148" s="6"/>
      <c r="Q148" s="6"/>
      <c r="R148" s="9"/>
      <c r="S148" s="6"/>
    </row>
    <row r="149" spans="1:19" ht="12.75">
      <c r="A149" s="6"/>
      <c r="B149" s="6"/>
      <c r="C149" s="9"/>
      <c r="D149" s="179"/>
      <c r="E149" s="6"/>
      <c r="F149" s="22"/>
      <c r="G149" s="6"/>
      <c r="H149" s="8"/>
      <c r="I149" s="6"/>
      <c r="J149" s="9"/>
      <c r="K149" s="179"/>
      <c r="L149" s="179"/>
      <c r="M149" s="6"/>
      <c r="N149" s="6"/>
      <c r="O149" s="6"/>
      <c r="P149" s="6"/>
      <c r="Q149" s="6"/>
      <c r="R149" s="9"/>
      <c r="S149" s="6"/>
    </row>
    <row r="150" spans="1:19" ht="12.75">
      <c r="A150" s="6"/>
      <c r="B150" s="6"/>
      <c r="C150" s="9"/>
      <c r="D150" s="179"/>
      <c r="E150" s="6"/>
      <c r="F150" s="22"/>
      <c r="G150" s="6"/>
      <c r="H150" s="8"/>
      <c r="I150" s="6"/>
      <c r="J150" s="9"/>
      <c r="K150" s="179"/>
      <c r="L150" s="179"/>
      <c r="M150" s="6"/>
      <c r="N150" s="6"/>
      <c r="O150" s="6"/>
      <c r="P150" s="6"/>
      <c r="Q150" s="6"/>
      <c r="R150" s="9"/>
      <c r="S150" s="6"/>
    </row>
  </sheetData>
  <dataValidations count="7">
    <dataValidation type="list" allowBlank="1" sqref="B2:B150" xr:uid="{00000000-0002-0000-1900-000000000000}">
      <formula1>"IPRAP,IBED,IBID,Testing and Analyses,TechniCom,ISP,IGF,Accreditation,Enforcement,ISTE,RICE/NICE,ACU-N,ACU-I,MAP,PMAP,TBED,DTTC,VFP,I-TECH,IBED 2,DATBED,YET,CAMPI,MPEX,DTTC,TIFT,Pilot"</formula1>
    </dataValidation>
    <dataValidation type="list" allowBlank="1" sqref="R2:R150" xr:uid="{00000000-0002-0000-1900-000001000000}">
      <formula1>"TIPD,IDD,IBOD,Legal"</formula1>
    </dataValidation>
    <dataValidation type="list" allowBlank="1" sqref="K2:M150" xr:uid="{00000000-0002-0000-1900-000002000000}">
      <formula1>"Male,Female,NA"</formula1>
    </dataValidation>
    <dataValidation type="list" allowBlank="1" sqref="N2:N150 Q2:Q150" xr:uid="{00000000-0002-0000-1900-000003000000}">
      <formula1>"Government,Government-DOST,Private Individual,MSMEs,Inventor,Inventor Org,Academia,Private Org"</formula1>
    </dataValidation>
    <dataValidation type="list" allowBlank="1" sqref="J2:J150" xr:uid="{00000000-0002-0000-1900-000004000000}">
      <formula1>"Region I – Ilocos Region,Region II – Cagayan Valley,Region III – Central Luzon,Region IV‑A – CALABARZON,MIMAROPA Region,Region V – Bicol Region,Region VI – Western Visayas,Region VII – Central Visayas,Region VIII – Eastern Visayas,Region IX – Zamboanga Pe"&amp;"ninsula,Region X – Northern Mindanao,Region XI – Davao Region,Region XII – SOCCSKSARGEN,Region XIII – Caraga,NCR – National Capital Region,CAR – Cordillera Administrative Region,BARMM – Bangsamoro Autonomous Region in Muslim Mindanao"</formula1>
    </dataValidation>
    <dataValidation type="list" allowBlank="1" sqref="C2:C150" xr:uid="{00000000-0002-0000-1900-000005000000}">
      <formula1>"Allocation,Termination,Guidelines"</formula1>
    </dataValidation>
    <dataValidation type="list" allowBlank="1" sqref="P2:P150" xr:uid="{00000000-0002-0000-1900-000006000000}">
      <formula1>"Agriculture,Promotion,Engineering,Food Processing/Packaging,Health,Environment,Arts and Crafts,Information Technology,Financial and Investment,Knowledge Management"</formula1>
    </dataValidation>
  </dataValidations>
  <hyperlinks>
    <hyperlink ref="E2" r:id="rId1" xr:uid="{00000000-0004-0000-1900-000000000000}"/>
    <hyperlink ref="E3" r:id="rId2" xr:uid="{00000000-0004-0000-1900-000001000000}"/>
    <hyperlink ref="E4" r:id="rId3" xr:uid="{00000000-0004-0000-1900-000002000000}"/>
    <hyperlink ref="E5" r:id="rId4" xr:uid="{00000000-0004-0000-1900-000003000000}"/>
    <hyperlink ref="E6" r:id="rId5" xr:uid="{00000000-0004-0000-1900-000004000000}"/>
    <hyperlink ref="E7" r:id="rId6" xr:uid="{00000000-0004-0000-1900-000005000000}"/>
    <hyperlink ref="E8" r:id="rId7" xr:uid="{00000000-0004-0000-1900-000006000000}"/>
    <hyperlink ref="O8" r:id="rId8" xr:uid="{00000000-0004-0000-1900-000007000000}"/>
    <hyperlink ref="E9" r:id="rId9" xr:uid="{00000000-0004-0000-1900-000008000000}"/>
    <hyperlink ref="E10" r:id="rId10" xr:uid="{00000000-0004-0000-1900-000009000000}"/>
    <hyperlink ref="E11" r:id="rId11" xr:uid="{00000000-0004-0000-1900-00000A000000}"/>
    <hyperlink ref="E12" r:id="rId12" xr:uid="{00000000-0004-0000-1900-00000B000000}"/>
    <hyperlink ref="E13" r:id="rId13" xr:uid="{00000000-0004-0000-1900-00000C000000}"/>
    <hyperlink ref="E14" r:id="rId14" xr:uid="{00000000-0004-0000-1900-00000D000000}"/>
    <hyperlink ref="E15" r:id="rId15" xr:uid="{00000000-0004-0000-1900-00000E000000}"/>
    <hyperlink ref="E16" r:id="rId16" xr:uid="{00000000-0004-0000-1900-00000F000000}"/>
    <hyperlink ref="E17" r:id="rId17" xr:uid="{00000000-0004-0000-1900-000010000000}"/>
    <hyperlink ref="E18" r:id="rId18" xr:uid="{00000000-0004-0000-1900-000011000000}"/>
    <hyperlink ref="E19" r:id="rId19" xr:uid="{00000000-0004-0000-1900-000012000000}"/>
    <hyperlink ref="E20" r:id="rId20" xr:uid="{00000000-0004-0000-1900-000013000000}"/>
    <hyperlink ref="E21" r:id="rId21" xr:uid="{00000000-0004-0000-1900-000014000000}"/>
    <hyperlink ref="E22" r:id="rId22" xr:uid="{00000000-0004-0000-1900-000015000000}"/>
    <hyperlink ref="E23" r:id="rId23" xr:uid="{00000000-0004-0000-1900-000016000000}"/>
    <hyperlink ref="E24" r:id="rId24" xr:uid="{00000000-0004-0000-1900-000017000000}"/>
    <hyperlink ref="E25" r:id="rId25" xr:uid="{00000000-0004-0000-1900-000018000000}"/>
    <hyperlink ref="E26" r:id="rId26" xr:uid="{00000000-0004-0000-1900-000019000000}"/>
    <hyperlink ref="E27" r:id="rId27" xr:uid="{00000000-0004-0000-1900-00001A000000}"/>
    <hyperlink ref="E28" r:id="rId28" xr:uid="{00000000-0004-0000-1900-00001B000000}"/>
    <hyperlink ref="E29" r:id="rId29" xr:uid="{00000000-0004-0000-1900-00001C000000}"/>
    <hyperlink ref="E30" r:id="rId30" xr:uid="{00000000-0004-0000-1900-00001D000000}"/>
    <hyperlink ref="E31" r:id="rId31" xr:uid="{00000000-0004-0000-1900-00001E000000}"/>
    <hyperlink ref="O47" r:id="rId32" xr:uid="{00000000-0004-0000-1900-00001F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S105"/>
  <sheetViews>
    <sheetView workbookViewId="0">
      <pane xSplit="1" topLeftCell="B1" activePane="topRight" state="frozen"/>
      <selection pane="topRight" activeCell="C2" sqref="C2"/>
    </sheetView>
  </sheetViews>
  <sheetFormatPr defaultColWidth="12.5703125" defaultRowHeight="15.75" customHeight="1"/>
  <cols>
    <col min="1" max="1" width="15.42578125" customWidth="1"/>
    <col min="2" max="2" width="20.42578125" customWidth="1"/>
    <col min="3" max="3" width="14.28515625" customWidth="1"/>
    <col min="4" max="4" width="17.5703125" hidden="1" customWidth="1"/>
    <col min="5" max="5" width="34.5703125" customWidth="1"/>
    <col min="6" max="6" width="45.28515625" customWidth="1"/>
    <col min="7" max="7" width="27.140625" customWidth="1"/>
    <col min="8" max="8" width="25.85546875" customWidth="1"/>
    <col min="9" max="9" width="40.42578125" customWidth="1"/>
    <col min="10" max="10" width="18.42578125" customWidth="1"/>
    <col min="11" max="11" width="72.85546875" customWidth="1"/>
    <col min="12" max="13" width="19.7109375" customWidth="1"/>
    <col min="14" max="14" width="17.5703125" customWidth="1"/>
    <col min="15" max="15" width="31.5703125" customWidth="1"/>
    <col min="16" max="16" width="15.5703125" customWidth="1"/>
    <col min="17" max="17" width="12" customWidth="1"/>
    <col min="19" max="19" width="39" customWidth="1"/>
  </cols>
  <sheetData>
    <row r="1" spans="1:19" ht="31.5" customHeight="1">
      <c r="A1" s="274" t="s">
        <v>6259</v>
      </c>
      <c r="B1" s="274" t="s">
        <v>4</v>
      </c>
      <c r="C1" s="274" t="s">
        <v>389</v>
      </c>
      <c r="D1" s="274" t="s">
        <v>7661</v>
      </c>
      <c r="E1" s="274" t="s">
        <v>5634</v>
      </c>
      <c r="F1" s="274" t="s">
        <v>6</v>
      </c>
      <c r="G1" s="274" t="s">
        <v>7</v>
      </c>
      <c r="H1" s="274" t="s">
        <v>5627</v>
      </c>
      <c r="I1" s="274" t="s">
        <v>8</v>
      </c>
      <c r="J1" s="274" t="s">
        <v>1821</v>
      </c>
      <c r="K1" s="274" t="s">
        <v>1822</v>
      </c>
      <c r="L1" s="274" t="s">
        <v>5631</v>
      </c>
      <c r="M1" s="274" t="s">
        <v>6260</v>
      </c>
      <c r="N1" s="274" t="s">
        <v>6261</v>
      </c>
      <c r="O1" s="274" t="s">
        <v>6471</v>
      </c>
      <c r="P1" s="274" t="s">
        <v>6060</v>
      </c>
      <c r="Q1" s="274" t="s">
        <v>1818</v>
      </c>
      <c r="R1" s="274" t="s">
        <v>7812</v>
      </c>
      <c r="S1" s="318" t="s">
        <v>5628</v>
      </c>
    </row>
    <row r="2" spans="1:19" ht="32.25" customHeight="1">
      <c r="A2" s="61">
        <v>40909</v>
      </c>
      <c r="B2" s="6" t="s">
        <v>4982</v>
      </c>
      <c r="C2" s="6" t="s">
        <v>6872</v>
      </c>
      <c r="D2" s="178"/>
      <c r="E2" s="472" t="s">
        <v>7813</v>
      </c>
      <c r="F2" s="164" t="s">
        <v>4983</v>
      </c>
      <c r="G2" s="158" t="s">
        <v>581</v>
      </c>
      <c r="H2" s="8">
        <v>872700</v>
      </c>
      <c r="I2" s="160" t="s">
        <v>4984</v>
      </c>
      <c r="J2" s="6" t="s">
        <v>6370</v>
      </c>
      <c r="K2" s="178"/>
      <c r="L2" s="536"/>
      <c r="M2" s="475" t="s">
        <v>1808</v>
      </c>
      <c r="N2" s="54"/>
      <c r="O2" s="54"/>
      <c r="P2" s="6" t="s">
        <v>1824</v>
      </c>
      <c r="Q2" s="54"/>
      <c r="R2" s="54"/>
      <c r="S2" s="6" t="s">
        <v>7814</v>
      </c>
    </row>
    <row r="3" spans="1:19" ht="32.25" customHeight="1">
      <c r="A3" s="61">
        <v>40940</v>
      </c>
      <c r="B3" s="6" t="s">
        <v>4982</v>
      </c>
      <c r="C3" s="6" t="s">
        <v>6872</v>
      </c>
      <c r="D3" s="179"/>
      <c r="E3" s="297" t="s">
        <v>7815</v>
      </c>
      <c r="F3" s="22" t="s">
        <v>4985</v>
      </c>
      <c r="G3" s="6" t="s">
        <v>1389</v>
      </c>
      <c r="H3" s="8">
        <v>872700</v>
      </c>
      <c r="I3" s="160" t="s">
        <v>4986</v>
      </c>
      <c r="J3" s="6" t="s">
        <v>2611</v>
      </c>
      <c r="K3" s="179"/>
      <c r="L3" s="536"/>
      <c r="M3" s="475" t="s">
        <v>1808</v>
      </c>
      <c r="N3" s="54"/>
      <c r="O3" s="54"/>
      <c r="P3" s="6" t="s">
        <v>1824</v>
      </c>
      <c r="Q3" s="54"/>
      <c r="R3" s="54"/>
      <c r="S3" s="6" t="s">
        <v>7814</v>
      </c>
    </row>
    <row r="4" spans="1:19" ht="27.75" customHeight="1">
      <c r="A4" s="61">
        <v>40969</v>
      </c>
      <c r="B4" s="6" t="s">
        <v>4987</v>
      </c>
      <c r="C4" s="6" t="s">
        <v>6872</v>
      </c>
      <c r="D4" s="179"/>
      <c r="E4" s="297" t="s">
        <v>7816</v>
      </c>
      <c r="F4" s="22" t="s">
        <v>4988</v>
      </c>
      <c r="G4" s="160" t="s">
        <v>1389</v>
      </c>
      <c r="H4" s="8">
        <v>872700</v>
      </c>
      <c r="I4" s="160" t="s">
        <v>4986</v>
      </c>
      <c r="J4" s="6" t="s">
        <v>2611</v>
      </c>
      <c r="K4" s="179"/>
      <c r="L4" s="536"/>
      <c r="M4" s="475" t="s">
        <v>1808</v>
      </c>
      <c r="N4" s="54"/>
      <c r="O4" s="54"/>
      <c r="P4" s="6" t="s">
        <v>1824</v>
      </c>
      <c r="Q4" s="54"/>
      <c r="R4" s="54"/>
      <c r="S4" s="6" t="s">
        <v>7814</v>
      </c>
    </row>
    <row r="5" spans="1:19" ht="51">
      <c r="A5" s="61">
        <v>41000</v>
      </c>
      <c r="B5" s="6" t="s">
        <v>652</v>
      </c>
      <c r="C5" s="6" t="s">
        <v>6872</v>
      </c>
      <c r="D5" s="179"/>
      <c r="E5" s="297" t="s">
        <v>7817</v>
      </c>
      <c r="F5" s="22" t="s">
        <v>4989</v>
      </c>
      <c r="G5" s="6" t="s">
        <v>4990</v>
      </c>
      <c r="H5" s="30">
        <v>1276000</v>
      </c>
      <c r="I5" s="160" t="s">
        <v>4991</v>
      </c>
      <c r="J5" s="6" t="s">
        <v>1828</v>
      </c>
      <c r="K5" s="179"/>
      <c r="L5" s="536"/>
      <c r="M5" s="475" t="s">
        <v>6132</v>
      </c>
      <c r="N5" s="54"/>
      <c r="O5" s="54"/>
      <c r="P5" s="6" t="s">
        <v>6217</v>
      </c>
      <c r="Q5" s="54"/>
      <c r="R5" s="54"/>
      <c r="S5" s="6" t="s">
        <v>7818</v>
      </c>
    </row>
    <row r="6" spans="1:19" ht="51">
      <c r="A6" s="6" t="s">
        <v>4992</v>
      </c>
      <c r="B6" s="6"/>
      <c r="C6" s="6" t="s">
        <v>6872</v>
      </c>
      <c r="D6" s="179"/>
      <c r="E6" s="291" t="s">
        <v>7819</v>
      </c>
      <c r="F6" s="22" t="s">
        <v>4995</v>
      </c>
      <c r="G6" s="6" t="s">
        <v>2331</v>
      </c>
      <c r="H6" s="6" t="s">
        <v>7820</v>
      </c>
      <c r="I6" s="160" t="s">
        <v>4996</v>
      </c>
      <c r="J6" s="6" t="s">
        <v>1828</v>
      </c>
      <c r="K6" s="179"/>
      <c r="L6" s="536"/>
      <c r="M6" s="475" t="s">
        <v>1808</v>
      </c>
      <c r="N6" s="54"/>
      <c r="O6" s="54"/>
      <c r="P6" s="6" t="s">
        <v>1824</v>
      </c>
      <c r="Q6" s="54"/>
      <c r="R6" s="54"/>
      <c r="S6" s="6" t="s">
        <v>7821</v>
      </c>
    </row>
    <row r="7" spans="1:19" ht="25.5">
      <c r="A7" s="61">
        <v>41091</v>
      </c>
      <c r="B7" s="6"/>
      <c r="C7" s="6" t="s">
        <v>6872</v>
      </c>
      <c r="D7" s="179"/>
      <c r="E7" s="297" t="s">
        <v>7822</v>
      </c>
      <c r="F7" s="22" t="s">
        <v>4997</v>
      </c>
      <c r="G7" s="6" t="s">
        <v>2331</v>
      </c>
      <c r="H7" s="6" t="s">
        <v>7823</v>
      </c>
      <c r="I7" s="160" t="s">
        <v>4996</v>
      </c>
      <c r="J7" s="6" t="s">
        <v>1828</v>
      </c>
      <c r="K7" s="179"/>
      <c r="L7" s="536"/>
      <c r="M7" s="475" t="s">
        <v>1808</v>
      </c>
      <c r="N7" s="54"/>
      <c r="O7" s="54"/>
      <c r="P7" s="6" t="s">
        <v>1824</v>
      </c>
      <c r="Q7" s="54"/>
      <c r="R7" s="54"/>
      <c r="S7" s="6"/>
    </row>
    <row r="8" spans="1:19" ht="23.25" customHeight="1">
      <c r="A8" s="6" t="s">
        <v>4998</v>
      </c>
      <c r="B8" s="6"/>
      <c r="C8" s="6" t="s">
        <v>6872</v>
      </c>
      <c r="D8" s="179"/>
      <c r="E8" s="297" t="s">
        <v>7824</v>
      </c>
      <c r="F8" s="22" t="s">
        <v>4999</v>
      </c>
      <c r="G8" s="6" t="s">
        <v>7825</v>
      </c>
      <c r="H8" s="64">
        <v>680000</v>
      </c>
      <c r="I8" s="160"/>
      <c r="J8" s="6"/>
      <c r="K8" s="179"/>
      <c r="L8" s="536"/>
      <c r="M8" s="475" t="s">
        <v>1808</v>
      </c>
      <c r="N8" s="54"/>
      <c r="O8" s="468" t="s">
        <v>7826</v>
      </c>
      <c r="P8" s="6" t="s">
        <v>1824</v>
      </c>
      <c r="Q8" s="54"/>
      <c r="R8" s="54"/>
      <c r="S8" s="6"/>
    </row>
    <row r="9" spans="1:19" ht="26.25" customHeight="1">
      <c r="A9" s="61">
        <v>41153</v>
      </c>
      <c r="B9" s="6" t="s">
        <v>62</v>
      </c>
      <c r="C9" s="6" t="s">
        <v>6872</v>
      </c>
      <c r="D9" s="178"/>
      <c r="E9" s="472" t="s">
        <v>7827</v>
      </c>
      <c r="F9" s="164" t="s">
        <v>5001</v>
      </c>
      <c r="G9" s="158" t="s">
        <v>5002</v>
      </c>
      <c r="H9" s="514">
        <v>500000</v>
      </c>
      <c r="I9" s="160" t="s">
        <v>5003</v>
      </c>
      <c r="J9" s="6" t="s">
        <v>2611</v>
      </c>
      <c r="K9" s="178"/>
      <c r="L9" s="179"/>
      <c r="M9" s="6" t="s">
        <v>6179</v>
      </c>
      <c r="N9" s="54"/>
      <c r="O9" s="54"/>
      <c r="P9" s="6" t="s">
        <v>6170</v>
      </c>
      <c r="Q9" s="54"/>
      <c r="R9" s="54"/>
      <c r="S9" s="6"/>
    </row>
    <row r="10" spans="1:19" ht="12.75">
      <c r="A10" s="61">
        <v>41183</v>
      </c>
      <c r="B10" s="6" t="s">
        <v>62</v>
      </c>
      <c r="C10" s="6" t="s">
        <v>6872</v>
      </c>
      <c r="D10" s="179"/>
      <c r="E10" s="291" t="s">
        <v>7828</v>
      </c>
      <c r="F10" s="22" t="s">
        <v>5004</v>
      </c>
      <c r="G10" s="6" t="s">
        <v>5005</v>
      </c>
      <c r="H10" s="160" t="s">
        <v>7829</v>
      </c>
      <c r="I10" s="160" t="s">
        <v>5006</v>
      </c>
      <c r="J10" s="6" t="s">
        <v>2467</v>
      </c>
      <c r="K10" s="179"/>
      <c r="L10" s="179"/>
      <c r="M10" s="6" t="s">
        <v>6179</v>
      </c>
      <c r="N10" s="54"/>
      <c r="O10" s="54"/>
      <c r="P10" s="6" t="s">
        <v>6170</v>
      </c>
      <c r="Q10" s="54"/>
      <c r="R10" s="54"/>
      <c r="S10" s="6"/>
    </row>
    <row r="11" spans="1:19" ht="39" customHeight="1">
      <c r="A11" s="62">
        <v>41214</v>
      </c>
      <c r="B11" s="6" t="s">
        <v>4987</v>
      </c>
      <c r="C11" s="158" t="s">
        <v>6872</v>
      </c>
      <c r="D11" s="179"/>
      <c r="E11" s="297" t="s">
        <v>7830</v>
      </c>
      <c r="F11" s="22" t="s">
        <v>5007</v>
      </c>
      <c r="G11" s="6" t="s">
        <v>650</v>
      </c>
      <c r="H11" s="8">
        <v>442700</v>
      </c>
      <c r="I11" s="160" t="s">
        <v>4877</v>
      </c>
      <c r="J11" s="6" t="s">
        <v>6314</v>
      </c>
      <c r="K11" s="179"/>
      <c r="L11" s="536"/>
      <c r="M11" s="475" t="s">
        <v>1808</v>
      </c>
      <c r="N11" s="54"/>
      <c r="O11" s="54"/>
      <c r="P11" s="6" t="s">
        <v>1824</v>
      </c>
      <c r="Q11" s="54"/>
      <c r="R11" s="54"/>
      <c r="S11" s="8" t="s">
        <v>7831</v>
      </c>
    </row>
    <row r="12" spans="1:19" ht="25.5">
      <c r="A12" s="62">
        <v>41244</v>
      </c>
      <c r="B12" s="6" t="s">
        <v>4987</v>
      </c>
      <c r="C12" s="6" t="s">
        <v>6872</v>
      </c>
      <c r="D12" s="179"/>
      <c r="E12" s="297" t="s">
        <v>7832</v>
      </c>
      <c r="F12" s="22" t="s">
        <v>5008</v>
      </c>
      <c r="G12" s="6" t="s">
        <v>5009</v>
      </c>
      <c r="H12" s="8">
        <v>442700</v>
      </c>
      <c r="I12" s="160" t="s">
        <v>5010</v>
      </c>
      <c r="J12" s="6" t="s">
        <v>7833</v>
      </c>
      <c r="K12" s="179"/>
      <c r="L12" s="536"/>
      <c r="M12" s="475" t="s">
        <v>1808</v>
      </c>
      <c r="N12" s="54"/>
      <c r="O12" s="54"/>
      <c r="P12" s="6" t="s">
        <v>1824</v>
      </c>
      <c r="Q12" s="54"/>
      <c r="R12" s="54"/>
      <c r="S12" s="6" t="s">
        <v>7831</v>
      </c>
    </row>
    <row r="13" spans="1:19" ht="38.25">
      <c r="A13" s="6" t="s">
        <v>5011</v>
      </c>
      <c r="B13" s="6"/>
      <c r="C13" s="6" t="s">
        <v>6872</v>
      </c>
      <c r="D13" s="179"/>
      <c r="E13" s="297" t="s">
        <v>7834</v>
      </c>
      <c r="F13" s="22" t="s">
        <v>5012</v>
      </c>
      <c r="G13" s="6" t="s">
        <v>3333</v>
      </c>
      <c r="H13" s="8">
        <v>400000</v>
      </c>
      <c r="I13" s="6" t="s">
        <v>5013</v>
      </c>
      <c r="J13" s="6" t="s">
        <v>7835</v>
      </c>
      <c r="K13" s="179"/>
      <c r="L13" s="536"/>
      <c r="M13" s="475" t="s">
        <v>1808</v>
      </c>
      <c r="N13" s="54"/>
      <c r="O13" s="54"/>
      <c r="P13" s="6" t="s">
        <v>1824</v>
      </c>
      <c r="Q13" s="54"/>
      <c r="R13" s="54"/>
      <c r="S13" s="6"/>
    </row>
    <row r="14" spans="1:19" ht="38.25">
      <c r="A14" s="6" t="s">
        <v>5014</v>
      </c>
      <c r="B14" s="6"/>
      <c r="C14" s="6" t="s">
        <v>6872</v>
      </c>
      <c r="D14" s="179"/>
      <c r="E14" s="291" t="s">
        <v>7836</v>
      </c>
      <c r="F14" s="22" t="s">
        <v>5015</v>
      </c>
      <c r="G14" s="158" t="s">
        <v>2331</v>
      </c>
      <c r="H14" s="8">
        <v>200000</v>
      </c>
      <c r="I14" s="6" t="s">
        <v>5013</v>
      </c>
      <c r="J14" s="6" t="s">
        <v>1828</v>
      </c>
      <c r="K14" s="179"/>
      <c r="L14" s="536"/>
      <c r="M14" s="475" t="s">
        <v>1808</v>
      </c>
      <c r="N14" s="54"/>
      <c r="O14" s="54"/>
      <c r="P14" s="6" t="s">
        <v>1824</v>
      </c>
      <c r="Q14" s="54"/>
      <c r="R14" s="54"/>
      <c r="S14" s="6"/>
    </row>
    <row r="15" spans="1:19" ht="38.25">
      <c r="A15" s="6" t="s">
        <v>5016</v>
      </c>
      <c r="B15" s="6" t="s">
        <v>62</v>
      </c>
      <c r="C15" s="6" t="s">
        <v>6872</v>
      </c>
      <c r="D15" s="179"/>
      <c r="E15" s="297" t="s">
        <v>7837</v>
      </c>
      <c r="F15" s="22" t="s">
        <v>5017</v>
      </c>
      <c r="G15" s="158" t="s">
        <v>4518</v>
      </c>
      <c r="H15" s="8">
        <v>270028.34999999998</v>
      </c>
      <c r="I15" s="6" t="s">
        <v>5018</v>
      </c>
      <c r="J15" s="6" t="s">
        <v>1828</v>
      </c>
      <c r="K15" s="179"/>
      <c r="L15" s="179"/>
      <c r="M15" s="6" t="s">
        <v>6179</v>
      </c>
      <c r="N15" s="54"/>
      <c r="O15" s="54"/>
      <c r="P15" s="6" t="s">
        <v>6170</v>
      </c>
      <c r="Q15" s="54"/>
      <c r="R15" s="54"/>
      <c r="S15" s="6"/>
    </row>
    <row r="16" spans="1:19" ht="38.25">
      <c r="A16" s="6" t="s">
        <v>5019</v>
      </c>
      <c r="B16" s="6" t="s">
        <v>3538</v>
      </c>
      <c r="C16" s="6" t="s">
        <v>6872</v>
      </c>
      <c r="D16" s="178"/>
      <c r="E16" s="472" t="s">
        <v>7838</v>
      </c>
      <c r="F16" s="164" t="s">
        <v>5020</v>
      </c>
      <c r="G16" s="6" t="s">
        <v>722</v>
      </c>
      <c r="H16" s="8">
        <v>154000</v>
      </c>
      <c r="I16" s="6" t="s">
        <v>5021</v>
      </c>
      <c r="J16" s="6" t="s">
        <v>2467</v>
      </c>
      <c r="K16" s="178"/>
      <c r="L16" s="536"/>
      <c r="M16" s="475" t="s">
        <v>1808</v>
      </c>
      <c r="N16" s="54"/>
      <c r="O16" s="54"/>
      <c r="P16" s="6" t="s">
        <v>6217</v>
      </c>
      <c r="Q16" s="54"/>
      <c r="R16" s="54"/>
      <c r="S16" s="6"/>
    </row>
    <row r="17" spans="1:19" ht="51">
      <c r="A17" s="6" t="s">
        <v>5022</v>
      </c>
      <c r="B17" s="6"/>
      <c r="C17" s="6"/>
      <c r="D17" s="179"/>
      <c r="E17" s="297" t="s">
        <v>7839</v>
      </c>
      <c r="F17" s="22" t="s">
        <v>5023</v>
      </c>
      <c r="G17" s="6" t="s">
        <v>5024</v>
      </c>
      <c r="H17" s="64">
        <v>227000</v>
      </c>
      <c r="I17" s="6" t="s">
        <v>5024</v>
      </c>
      <c r="J17" s="6"/>
      <c r="K17" s="179"/>
      <c r="L17" s="536"/>
      <c r="M17" s="475" t="s">
        <v>1808</v>
      </c>
      <c r="N17" s="54"/>
      <c r="O17" s="468" t="s">
        <v>7840</v>
      </c>
      <c r="P17" s="6" t="s">
        <v>6189</v>
      </c>
      <c r="Q17" s="54"/>
      <c r="R17" s="54"/>
      <c r="S17" s="6"/>
    </row>
    <row r="18" spans="1:19" ht="25.5">
      <c r="A18" s="6" t="s">
        <v>5025</v>
      </c>
      <c r="B18" s="6" t="s">
        <v>62</v>
      </c>
      <c r="C18" s="6" t="s">
        <v>6872</v>
      </c>
      <c r="D18" s="179"/>
      <c r="E18" s="297" t="s">
        <v>7841</v>
      </c>
      <c r="F18" s="22" t="s">
        <v>4115</v>
      </c>
      <c r="G18" s="6" t="s">
        <v>5026</v>
      </c>
      <c r="H18" s="8">
        <v>212321.03</v>
      </c>
      <c r="I18" s="6" t="s">
        <v>5027</v>
      </c>
      <c r="J18" s="6" t="s">
        <v>1828</v>
      </c>
      <c r="K18" s="179"/>
      <c r="L18" s="179"/>
      <c r="M18" s="6" t="s">
        <v>6132</v>
      </c>
      <c r="N18" s="54"/>
      <c r="O18" s="54"/>
      <c r="P18" s="6" t="s">
        <v>7842</v>
      </c>
      <c r="Q18" s="54"/>
      <c r="R18" s="54"/>
      <c r="S18" s="6"/>
    </row>
    <row r="19" spans="1:19" ht="25.5">
      <c r="A19" s="6" t="s">
        <v>5028</v>
      </c>
      <c r="B19" s="6" t="s">
        <v>1383</v>
      </c>
      <c r="C19" s="6" t="s">
        <v>6872</v>
      </c>
      <c r="D19" s="179"/>
      <c r="E19" s="297" t="s">
        <v>7843</v>
      </c>
      <c r="F19" s="22" t="s">
        <v>5029</v>
      </c>
      <c r="G19" s="6" t="s">
        <v>1389</v>
      </c>
      <c r="H19" s="8">
        <v>714600</v>
      </c>
      <c r="I19" s="6" t="s">
        <v>4986</v>
      </c>
      <c r="J19" s="6" t="s">
        <v>2611</v>
      </c>
      <c r="K19" s="179"/>
      <c r="L19" s="536"/>
      <c r="M19" s="475" t="s">
        <v>1808</v>
      </c>
      <c r="N19" s="54"/>
      <c r="O19" s="54"/>
      <c r="P19" s="6" t="s">
        <v>6064</v>
      </c>
      <c r="Q19" s="54"/>
      <c r="R19" s="54"/>
      <c r="S19" s="6"/>
    </row>
    <row r="20" spans="1:19" ht="25.5">
      <c r="A20" s="6" t="s">
        <v>5030</v>
      </c>
      <c r="B20" s="6" t="s">
        <v>7844</v>
      </c>
      <c r="C20" s="158" t="s">
        <v>6872</v>
      </c>
      <c r="D20" s="179"/>
      <c r="E20" s="297" t="s">
        <v>7845</v>
      </c>
      <c r="F20" s="22" t="s">
        <v>5032</v>
      </c>
      <c r="G20" s="6" t="s">
        <v>5033</v>
      </c>
      <c r="H20" s="8">
        <v>120000</v>
      </c>
      <c r="I20" s="160" t="s">
        <v>5034</v>
      </c>
      <c r="J20" s="6" t="s">
        <v>1828</v>
      </c>
      <c r="K20" s="179"/>
      <c r="L20" s="536"/>
      <c r="M20" s="475" t="s">
        <v>1808</v>
      </c>
      <c r="N20" s="54"/>
      <c r="O20" s="54"/>
      <c r="P20" s="6" t="s">
        <v>6064</v>
      </c>
      <c r="Q20" s="54"/>
      <c r="R20" s="54"/>
      <c r="S20" s="6"/>
    </row>
    <row r="21" spans="1:19" ht="51">
      <c r="A21" s="6" t="s">
        <v>5035</v>
      </c>
      <c r="B21" s="6" t="s">
        <v>1383</v>
      </c>
      <c r="C21" s="158" t="s">
        <v>6872</v>
      </c>
      <c r="D21" s="179"/>
      <c r="E21" s="297" t="s">
        <v>7846</v>
      </c>
      <c r="F21" s="22" t="s">
        <v>5036</v>
      </c>
      <c r="G21" s="6" t="s">
        <v>5037</v>
      </c>
      <c r="H21" s="64">
        <v>200000</v>
      </c>
      <c r="I21" s="160"/>
      <c r="J21" s="6"/>
      <c r="K21" s="179"/>
      <c r="L21" s="536"/>
      <c r="M21" s="475" t="s">
        <v>1808</v>
      </c>
      <c r="N21" s="54"/>
      <c r="O21" s="468" t="s">
        <v>7840</v>
      </c>
      <c r="P21" s="6" t="s">
        <v>6064</v>
      </c>
      <c r="Q21" s="54"/>
      <c r="R21" s="54"/>
      <c r="S21" s="6"/>
    </row>
    <row r="22" spans="1:19" ht="21" customHeight="1">
      <c r="A22" s="6" t="s">
        <v>5038</v>
      </c>
      <c r="B22" s="6" t="s">
        <v>1383</v>
      </c>
      <c r="C22" s="6" t="s">
        <v>6872</v>
      </c>
      <c r="D22" s="179"/>
      <c r="E22" s="297" t="s">
        <v>7847</v>
      </c>
      <c r="F22" s="22" t="s">
        <v>5039</v>
      </c>
      <c r="G22" s="6" t="s">
        <v>5040</v>
      </c>
      <c r="H22" s="64">
        <v>520000</v>
      </c>
      <c r="I22" s="160" t="s">
        <v>5041</v>
      </c>
      <c r="J22" s="6" t="s">
        <v>6822</v>
      </c>
      <c r="K22" s="179"/>
      <c r="L22" s="536"/>
      <c r="M22" s="475" t="s">
        <v>1808</v>
      </c>
      <c r="N22" s="54"/>
      <c r="O22" s="468" t="s">
        <v>7848</v>
      </c>
      <c r="P22" s="6" t="s">
        <v>6064</v>
      </c>
      <c r="Q22" s="54"/>
      <c r="R22" s="54"/>
      <c r="S22" s="6"/>
    </row>
    <row r="23" spans="1:19" ht="25.5">
      <c r="A23" s="6" t="s">
        <v>5042</v>
      </c>
      <c r="B23" s="6" t="s">
        <v>3705</v>
      </c>
      <c r="C23" s="6" t="s">
        <v>6872</v>
      </c>
      <c r="D23" s="179"/>
      <c r="E23" s="297" t="s">
        <v>7849</v>
      </c>
      <c r="F23" s="22" t="s">
        <v>5044</v>
      </c>
      <c r="G23" s="6" t="s">
        <v>5045</v>
      </c>
      <c r="H23" s="8">
        <v>250000</v>
      </c>
      <c r="I23" s="160" t="s">
        <v>5046</v>
      </c>
      <c r="J23" s="6" t="s">
        <v>1828</v>
      </c>
      <c r="K23" s="179"/>
      <c r="L23" s="536"/>
      <c r="M23" s="475" t="s">
        <v>1808</v>
      </c>
      <c r="N23" s="54"/>
      <c r="O23" s="54"/>
      <c r="P23" s="6" t="s">
        <v>6217</v>
      </c>
      <c r="Q23" s="54"/>
      <c r="R23" s="54"/>
      <c r="S23" s="6"/>
    </row>
    <row r="24" spans="1:19" ht="51">
      <c r="A24" s="6" t="s">
        <v>5047</v>
      </c>
      <c r="B24" s="6" t="s">
        <v>68</v>
      </c>
      <c r="C24" s="6" t="s">
        <v>6872</v>
      </c>
      <c r="D24" s="179"/>
      <c r="E24" s="297" t="s">
        <v>7850</v>
      </c>
      <c r="F24" s="22" t="s">
        <v>5048</v>
      </c>
      <c r="G24" s="6" t="s">
        <v>5049</v>
      </c>
      <c r="H24" s="210" t="s">
        <v>7851</v>
      </c>
      <c r="I24" s="160" t="s">
        <v>5050</v>
      </c>
      <c r="J24" s="6" t="s">
        <v>1828</v>
      </c>
      <c r="K24" s="179"/>
      <c r="L24" s="179"/>
      <c r="M24" s="6" t="s">
        <v>6132</v>
      </c>
      <c r="N24" s="54"/>
      <c r="O24" s="54"/>
      <c r="P24" s="6" t="s">
        <v>7842</v>
      </c>
      <c r="Q24" s="54"/>
      <c r="R24" s="54"/>
      <c r="S24" s="6" t="s">
        <v>7852</v>
      </c>
    </row>
    <row r="25" spans="1:19" ht="76.5">
      <c r="A25" s="6" t="s">
        <v>5051</v>
      </c>
      <c r="B25" s="6" t="s">
        <v>1141</v>
      </c>
      <c r="C25" s="158" t="s">
        <v>6872</v>
      </c>
      <c r="D25" s="179"/>
      <c r="E25" s="297" t="s">
        <v>7853</v>
      </c>
      <c r="F25" s="22" t="s">
        <v>5052</v>
      </c>
      <c r="G25" s="6" t="s">
        <v>2483</v>
      </c>
      <c r="H25" s="30">
        <v>68718</v>
      </c>
      <c r="I25" s="6" t="s">
        <v>5053</v>
      </c>
      <c r="J25" s="6" t="s">
        <v>6370</v>
      </c>
      <c r="K25" s="179"/>
      <c r="L25" s="536"/>
      <c r="M25" s="475" t="s">
        <v>1808</v>
      </c>
      <c r="N25" s="54"/>
      <c r="O25" s="54"/>
      <c r="P25" s="6" t="s">
        <v>7854</v>
      </c>
      <c r="Q25" s="54"/>
      <c r="R25" s="54"/>
      <c r="S25" s="6" t="s">
        <v>7855</v>
      </c>
    </row>
    <row r="26" spans="1:19" ht="63.75">
      <c r="A26" s="6" t="s">
        <v>5054</v>
      </c>
      <c r="B26" s="6" t="s">
        <v>4787</v>
      </c>
      <c r="C26" s="6" t="s">
        <v>6872</v>
      </c>
      <c r="D26" s="179"/>
      <c r="E26" s="297" t="s">
        <v>7856</v>
      </c>
      <c r="F26" s="22" t="s">
        <v>5055</v>
      </c>
      <c r="G26" s="6" t="s">
        <v>5056</v>
      </c>
      <c r="H26" s="64">
        <v>190000</v>
      </c>
      <c r="I26" s="6"/>
      <c r="J26" s="6"/>
      <c r="K26" s="179"/>
      <c r="L26" s="536"/>
      <c r="M26" s="475" t="s">
        <v>1808</v>
      </c>
      <c r="N26" s="54"/>
      <c r="O26" s="468" t="s">
        <v>7857</v>
      </c>
      <c r="P26" s="6" t="s">
        <v>1824</v>
      </c>
      <c r="Q26" s="54"/>
      <c r="R26" s="54"/>
      <c r="S26" s="6"/>
    </row>
    <row r="27" spans="1:19" ht="38.25">
      <c r="A27" s="6" t="s">
        <v>5057</v>
      </c>
      <c r="B27" s="6" t="s">
        <v>652</v>
      </c>
      <c r="C27" s="6" t="s">
        <v>6872</v>
      </c>
      <c r="D27" s="179"/>
      <c r="E27" s="297" t="s">
        <v>7858</v>
      </c>
      <c r="F27" s="22" t="s">
        <v>5058</v>
      </c>
      <c r="G27" s="6" t="s">
        <v>5059</v>
      </c>
      <c r="H27" s="64">
        <v>800000</v>
      </c>
      <c r="I27" s="6" t="s">
        <v>5060</v>
      </c>
      <c r="J27" s="6" t="s">
        <v>2467</v>
      </c>
      <c r="K27" s="179"/>
      <c r="L27" s="179"/>
      <c r="M27" s="6" t="s">
        <v>6132</v>
      </c>
      <c r="N27" s="54"/>
      <c r="O27" s="54"/>
      <c r="P27" s="6" t="s">
        <v>6217</v>
      </c>
      <c r="Q27" s="54"/>
      <c r="R27" s="54"/>
      <c r="S27" s="6" t="s">
        <v>7859</v>
      </c>
    </row>
    <row r="28" spans="1:19" ht="58.5" customHeight="1">
      <c r="A28" s="6" t="s">
        <v>5061</v>
      </c>
      <c r="B28" s="6" t="s">
        <v>4982</v>
      </c>
      <c r="C28" s="6" t="s">
        <v>6872</v>
      </c>
      <c r="D28" s="179"/>
      <c r="E28" s="297" t="s">
        <v>7860</v>
      </c>
      <c r="F28" s="22" t="s">
        <v>5062</v>
      </c>
      <c r="G28" s="6" t="s">
        <v>5063</v>
      </c>
      <c r="H28" s="8">
        <v>247000</v>
      </c>
      <c r="I28" s="6" t="s">
        <v>5064</v>
      </c>
      <c r="J28" s="6" t="s">
        <v>1828</v>
      </c>
      <c r="K28" s="179"/>
      <c r="L28" s="536"/>
      <c r="M28" s="475" t="s">
        <v>1808</v>
      </c>
      <c r="N28" s="54"/>
      <c r="O28" s="54"/>
      <c r="P28" s="6" t="s">
        <v>6064</v>
      </c>
      <c r="Q28" s="54"/>
      <c r="R28" s="54"/>
      <c r="S28" s="6" t="s">
        <v>7861</v>
      </c>
    </row>
    <row r="29" spans="1:19" ht="25.5">
      <c r="A29" s="6" t="s">
        <v>5065</v>
      </c>
      <c r="B29" s="6" t="s">
        <v>4987</v>
      </c>
      <c r="C29" s="6" t="s">
        <v>6872</v>
      </c>
      <c r="D29" s="179"/>
      <c r="E29" s="297" t="s">
        <v>7862</v>
      </c>
      <c r="F29" s="22" t="s">
        <v>5066</v>
      </c>
      <c r="G29" s="6" t="s">
        <v>5063</v>
      </c>
      <c r="H29" s="64">
        <v>820000</v>
      </c>
      <c r="I29" s="6" t="s">
        <v>5064</v>
      </c>
      <c r="J29" s="6" t="s">
        <v>1828</v>
      </c>
      <c r="K29" s="179"/>
      <c r="L29" s="536"/>
      <c r="M29" s="475" t="s">
        <v>1808</v>
      </c>
      <c r="N29" s="54"/>
      <c r="O29" s="54"/>
      <c r="P29" s="6" t="s">
        <v>6064</v>
      </c>
      <c r="Q29" s="54"/>
      <c r="R29" s="54"/>
      <c r="S29" s="6" t="s">
        <v>7863</v>
      </c>
    </row>
    <row r="30" spans="1:19" ht="25.5">
      <c r="A30" s="6" t="s">
        <v>5067</v>
      </c>
      <c r="B30" s="6" t="s">
        <v>62</v>
      </c>
      <c r="C30" s="6" t="s">
        <v>6872</v>
      </c>
      <c r="D30" s="179"/>
      <c r="E30" s="297" t="s">
        <v>7864</v>
      </c>
      <c r="F30" s="22" t="s">
        <v>2487</v>
      </c>
      <c r="G30" s="6" t="s">
        <v>5068</v>
      </c>
      <c r="H30" s="64">
        <v>460600</v>
      </c>
      <c r="I30" s="160" t="s">
        <v>5069</v>
      </c>
      <c r="J30" s="6" t="s">
        <v>1828</v>
      </c>
      <c r="K30" s="179"/>
      <c r="L30" s="179"/>
      <c r="M30" s="6" t="s">
        <v>6132</v>
      </c>
      <c r="N30" s="54"/>
      <c r="O30" s="54"/>
      <c r="P30" s="6" t="s">
        <v>6170</v>
      </c>
      <c r="Q30" s="54"/>
      <c r="R30" s="54"/>
      <c r="S30" s="6"/>
    </row>
    <row r="31" spans="1:19" ht="76.5">
      <c r="A31" s="6" t="s">
        <v>5070</v>
      </c>
      <c r="B31" s="6" t="s">
        <v>1383</v>
      </c>
      <c r="C31" s="6" t="s">
        <v>6872</v>
      </c>
      <c r="D31" s="179"/>
      <c r="E31" s="297" t="s">
        <v>7865</v>
      </c>
      <c r="F31" s="22" t="s">
        <v>5071</v>
      </c>
      <c r="G31" s="6" t="s">
        <v>5072</v>
      </c>
      <c r="H31" s="30">
        <v>14400000</v>
      </c>
      <c r="I31" s="6"/>
      <c r="J31" s="6" t="s">
        <v>1828</v>
      </c>
      <c r="K31" s="179"/>
      <c r="L31" s="536"/>
      <c r="M31" s="475" t="s">
        <v>1808</v>
      </c>
      <c r="N31" s="54"/>
      <c r="O31" s="54"/>
      <c r="P31" s="6" t="s">
        <v>1824</v>
      </c>
      <c r="Q31" s="54"/>
      <c r="R31" s="54"/>
      <c r="S31" s="6" t="s">
        <v>7866</v>
      </c>
    </row>
    <row r="32" spans="1:19" ht="25.5">
      <c r="A32" s="6" t="s">
        <v>5073</v>
      </c>
      <c r="B32" s="6" t="s">
        <v>68</v>
      </c>
      <c r="C32" s="6" t="s">
        <v>6872</v>
      </c>
      <c r="D32" s="179"/>
      <c r="E32" s="291" t="s">
        <v>7867</v>
      </c>
      <c r="F32" s="22" t="s">
        <v>4597</v>
      </c>
      <c r="G32" s="6" t="s">
        <v>4598</v>
      </c>
      <c r="H32" s="8">
        <v>760675</v>
      </c>
      <c r="I32" s="6" t="s">
        <v>5074</v>
      </c>
      <c r="J32" s="6" t="s">
        <v>1828</v>
      </c>
      <c r="K32" s="179"/>
      <c r="L32" s="179"/>
      <c r="M32" s="6" t="s">
        <v>6132</v>
      </c>
      <c r="N32" s="54"/>
      <c r="O32" s="54"/>
      <c r="P32" s="6" t="s">
        <v>6220</v>
      </c>
      <c r="Q32" s="54"/>
      <c r="R32" s="54"/>
      <c r="S32" s="6"/>
    </row>
    <row r="33" spans="1:19" ht="51">
      <c r="A33" s="6" t="s">
        <v>5075</v>
      </c>
      <c r="B33" s="6" t="s">
        <v>62</v>
      </c>
      <c r="C33" s="6" t="s">
        <v>6872</v>
      </c>
      <c r="D33" s="179"/>
      <c r="E33" s="291" t="s">
        <v>7868</v>
      </c>
      <c r="F33" s="22" t="s">
        <v>5076</v>
      </c>
      <c r="G33" s="6" t="s">
        <v>5077</v>
      </c>
      <c r="H33" s="8">
        <v>1220000</v>
      </c>
      <c r="I33" s="6" t="s">
        <v>5078</v>
      </c>
      <c r="J33" s="6" t="s">
        <v>1828</v>
      </c>
      <c r="K33" s="179"/>
      <c r="L33" s="179"/>
      <c r="M33" s="6" t="s">
        <v>6179</v>
      </c>
      <c r="N33" s="54"/>
      <c r="O33" s="54"/>
      <c r="P33" s="6" t="s">
        <v>7869</v>
      </c>
      <c r="Q33" s="54"/>
      <c r="R33" s="54"/>
      <c r="S33" s="6"/>
    </row>
    <row r="34" spans="1:19" ht="51">
      <c r="A34" s="6" t="s">
        <v>5079</v>
      </c>
      <c r="B34" s="6"/>
      <c r="C34" s="6" t="s">
        <v>6872</v>
      </c>
      <c r="D34" s="179"/>
      <c r="E34" s="297" t="s">
        <v>7870</v>
      </c>
      <c r="F34" s="22" t="s">
        <v>5081</v>
      </c>
      <c r="G34" s="6" t="s">
        <v>1556</v>
      </c>
      <c r="H34" s="30">
        <v>6430440</v>
      </c>
      <c r="I34" s="6" t="s">
        <v>2508</v>
      </c>
      <c r="J34" s="6" t="s">
        <v>1828</v>
      </c>
      <c r="K34" s="179"/>
      <c r="L34" s="536"/>
      <c r="M34" s="475" t="s">
        <v>1808</v>
      </c>
      <c r="N34" s="54"/>
      <c r="O34" s="54"/>
      <c r="P34" s="6" t="s">
        <v>6064</v>
      </c>
      <c r="Q34" s="54"/>
      <c r="R34" s="54"/>
      <c r="S34" s="6" t="s">
        <v>7871</v>
      </c>
    </row>
    <row r="35" spans="1:19" ht="51">
      <c r="A35" s="6" t="s">
        <v>5082</v>
      </c>
      <c r="B35" s="6" t="s">
        <v>4787</v>
      </c>
      <c r="C35" s="6" t="s">
        <v>6872</v>
      </c>
      <c r="D35" s="179"/>
      <c r="E35" s="297" t="s">
        <v>7872</v>
      </c>
      <c r="F35" s="22" t="s">
        <v>5083</v>
      </c>
      <c r="G35" s="160" t="s">
        <v>5084</v>
      </c>
      <c r="H35" s="8">
        <v>123400</v>
      </c>
      <c r="I35" s="6" t="s">
        <v>5085</v>
      </c>
      <c r="J35" s="6" t="s">
        <v>1828</v>
      </c>
      <c r="K35" s="179"/>
      <c r="L35" s="536"/>
      <c r="M35" s="475" t="s">
        <v>1808</v>
      </c>
      <c r="N35" s="54"/>
      <c r="O35" s="54"/>
      <c r="P35" s="6" t="s">
        <v>6064</v>
      </c>
      <c r="Q35" s="54"/>
      <c r="R35" s="54"/>
      <c r="S35" s="6" t="s">
        <v>7873</v>
      </c>
    </row>
    <row r="36" spans="1:19" ht="25.5">
      <c r="A36" s="6" t="s">
        <v>5086</v>
      </c>
      <c r="B36" s="6" t="s">
        <v>62</v>
      </c>
      <c r="C36" s="6" t="s">
        <v>6872</v>
      </c>
      <c r="D36" s="179"/>
      <c r="E36" s="297" t="s">
        <v>7874</v>
      </c>
      <c r="F36" s="22" t="s">
        <v>5087</v>
      </c>
      <c r="G36" s="6" t="s">
        <v>4602</v>
      </c>
      <c r="H36" s="8">
        <v>804167.07</v>
      </c>
      <c r="I36" s="160" t="s">
        <v>5088</v>
      </c>
      <c r="J36" s="6" t="s">
        <v>1828</v>
      </c>
      <c r="K36" s="179"/>
      <c r="L36" s="179"/>
      <c r="M36" s="6" t="s">
        <v>6132</v>
      </c>
      <c r="N36" s="54"/>
      <c r="O36" s="54"/>
      <c r="P36" s="6" t="s">
        <v>6170</v>
      </c>
      <c r="Q36" s="54"/>
      <c r="R36" s="54"/>
      <c r="S36" s="6"/>
    </row>
    <row r="37" spans="1:19" ht="35.25" customHeight="1">
      <c r="A37" s="6" t="s">
        <v>5089</v>
      </c>
      <c r="B37" s="6" t="s">
        <v>1141</v>
      </c>
      <c r="C37" s="6" t="s">
        <v>6872</v>
      </c>
      <c r="D37" s="178"/>
      <c r="E37" s="537" t="s">
        <v>7875</v>
      </c>
      <c r="F37" s="164" t="s">
        <v>5090</v>
      </c>
      <c r="G37" s="160" t="s">
        <v>5091</v>
      </c>
      <c r="H37" s="8">
        <v>290780.5</v>
      </c>
      <c r="I37" s="160" t="s">
        <v>5092</v>
      </c>
      <c r="J37" s="6" t="s">
        <v>2611</v>
      </c>
      <c r="K37" s="178"/>
      <c r="L37" s="536"/>
      <c r="M37" s="475" t="s">
        <v>1808</v>
      </c>
      <c r="N37" s="54"/>
      <c r="O37" s="54"/>
      <c r="P37" s="6" t="s">
        <v>6137</v>
      </c>
      <c r="Q37" s="54"/>
      <c r="R37" s="54"/>
      <c r="S37" s="6"/>
    </row>
    <row r="38" spans="1:19" ht="38.25">
      <c r="A38" s="6" t="s">
        <v>5093</v>
      </c>
      <c r="B38" s="6"/>
      <c r="C38" s="6" t="s">
        <v>6872</v>
      </c>
      <c r="D38" s="179"/>
      <c r="E38" s="6"/>
      <c r="F38" s="22" t="s">
        <v>5094</v>
      </c>
      <c r="G38" s="6" t="s">
        <v>5095</v>
      </c>
      <c r="H38" s="8">
        <v>14125</v>
      </c>
      <c r="I38" s="6" t="s">
        <v>5096</v>
      </c>
      <c r="J38" s="6" t="s">
        <v>2467</v>
      </c>
      <c r="K38" s="179" t="s">
        <v>7876</v>
      </c>
      <c r="L38" s="536"/>
      <c r="M38" s="475" t="s">
        <v>1808</v>
      </c>
      <c r="N38" s="179"/>
      <c r="O38" s="179"/>
      <c r="P38" s="6" t="s">
        <v>6137</v>
      </c>
      <c r="Q38" s="179"/>
      <c r="R38" s="54"/>
      <c r="S38" s="6"/>
    </row>
    <row r="39" spans="1:19" ht="51">
      <c r="A39" s="6" t="s">
        <v>5097</v>
      </c>
      <c r="B39" s="6"/>
      <c r="C39" s="6" t="s">
        <v>6872</v>
      </c>
      <c r="D39" s="179"/>
      <c r="E39" s="6"/>
      <c r="F39" s="22" t="s">
        <v>5098</v>
      </c>
      <c r="G39" s="6" t="s">
        <v>1491</v>
      </c>
      <c r="H39" s="8">
        <v>100000</v>
      </c>
      <c r="I39" s="6" t="s">
        <v>5099</v>
      </c>
      <c r="J39" s="6" t="s">
        <v>6783</v>
      </c>
      <c r="K39" s="179" t="s">
        <v>7877</v>
      </c>
      <c r="L39" s="536"/>
      <c r="M39" s="475" t="s">
        <v>1808</v>
      </c>
      <c r="N39" s="179"/>
      <c r="O39" s="468" t="s">
        <v>7878</v>
      </c>
      <c r="P39" s="6" t="s">
        <v>6137</v>
      </c>
      <c r="Q39" s="179"/>
      <c r="R39" s="54"/>
      <c r="S39" s="6"/>
    </row>
    <row r="40" spans="1:19" ht="25.5">
      <c r="A40" s="6" t="s">
        <v>5100</v>
      </c>
      <c r="B40" s="6"/>
      <c r="C40" s="6" t="s">
        <v>6872</v>
      </c>
      <c r="D40" s="179"/>
      <c r="E40" s="6"/>
      <c r="F40" s="22" t="s">
        <v>5101</v>
      </c>
      <c r="G40" s="6" t="s">
        <v>5102</v>
      </c>
      <c r="H40" s="8">
        <v>142329.60000000001</v>
      </c>
      <c r="I40" s="160"/>
      <c r="J40" s="6"/>
      <c r="K40" s="179" t="s">
        <v>7879</v>
      </c>
      <c r="L40" s="536"/>
      <c r="M40" s="475" t="s">
        <v>1808</v>
      </c>
      <c r="N40" s="179"/>
      <c r="O40" s="468" t="s">
        <v>7880</v>
      </c>
      <c r="P40" s="6" t="s">
        <v>6064</v>
      </c>
      <c r="Q40" s="179"/>
      <c r="R40" s="54"/>
      <c r="S40" s="6"/>
    </row>
    <row r="41" spans="1:19" ht="51">
      <c r="A41" s="6" t="s">
        <v>5103</v>
      </c>
      <c r="B41" s="6"/>
      <c r="C41" s="6" t="s">
        <v>6872</v>
      </c>
      <c r="D41" s="179"/>
      <c r="E41" s="6"/>
      <c r="F41" s="22" t="s">
        <v>5104</v>
      </c>
      <c r="G41" s="6" t="s">
        <v>5105</v>
      </c>
      <c r="H41" s="64">
        <v>37000</v>
      </c>
      <c r="I41" s="160" t="s">
        <v>5106</v>
      </c>
      <c r="J41" s="6" t="s">
        <v>2460</v>
      </c>
      <c r="K41" s="179" t="s">
        <v>7881</v>
      </c>
      <c r="L41" s="536"/>
      <c r="M41" s="475" t="s">
        <v>1808</v>
      </c>
      <c r="N41" s="179"/>
      <c r="O41" s="468" t="s">
        <v>7882</v>
      </c>
      <c r="P41" s="6" t="s">
        <v>6064</v>
      </c>
      <c r="Q41" s="179"/>
      <c r="R41" s="54"/>
      <c r="S41" s="6"/>
    </row>
    <row r="42" spans="1:19" ht="38.25">
      <c r="A42" s="6" t="s">
        <v>5107</v>
      </c>
      <c r="B42" s="6"/>
      <c r="C42" s="6" t="s">
        <v>6872</v>
      </c>
      <c r="D42" s="179"/>
      <c r="E42" s="6"/>
      <c r="F42" s="22" t="s">
        <v>5108</v>
      </c>
      <c r="G42" s="6" t="s">
        <v>5109</v>
      </c>
      <c r="H42" s="64">
        <v>46000</v>
      </c>
      <c r="I42" s="158" t="s">
        <v>5110</v>
      </c>
      <c r="J42" s="6" t="s">
        <v>1847</v>
      </c>
      <c r="K42" s="179"/>
      <c r="L42" s="536"/>
      <c r="M42" s="475" t="s">
        <v>1808</v>
      </c>
      <c r="N42" s="179"/>
      <c r="O42" s="179"/>
      <c r="P42" s="6" t="s">
        <v>6064</v>
      </c>
      <c r="Q42" s="179"/>
      <c r="R42" s="54"/>
      <c r="S42" s="6"/>
    </row>
    <row r="43" spans="1:19" ht="38.25">
      <c r="A43" s="6" t="s">
        <v>5111</v>
      </c>
      <c r="B43" s="6"/>
      <c r="C43" s="6" t="s">
        <v>6872</v>
      </c>
      <c r="D43" s="179"/>
      <c r="E43" s="6"/>
      <c r="F43" s="22" t="s">
        <v>5112</v>
      </c>
      <c r="G43" s="6" t="s">
        <v>1742</v>
      </c>
      <c r="H43" s="64">
        <v>50000</v>
      </c>
      <c r="I43" s="160" t="s">
        <v>5113</v>
      </c>
      <c r="J43" s="6" t="s">
        <v>1847</v>
      </c>
      <c r="K43" s="179" t="s">
        <v>7883</v>
      </c>
      <c r="L43" s="536"/>
      <c r="M43" s="475" t="s">
        <v>1808</v>
      </c>
      <c r="N43" s="179"/>
      <c r="O43" s="179"/>
      <c r="P43" s="6" t="s">
        <v>6064</v>
      </c>
      <c r="Q43" s="179"/>
      <c r="R43" s="54"/>
      <c r="S43" s="6"/>
    </row>
    <row r="44" spans="1:19" ht="38.25">
      <c r="A44" s="6" t="s">
        <v>5114</v>
      </c>
      <c r="B44" s="6"/>
      <c r="C44" s="6" t="s">
        <v>6872</v>
      </c>
      <c r="D44" s="179"/>
      <c r="E44" s="6"/>
      <c r="F44" s="22" t="s">
        <v>5115</v>
      </c>
      <c r="G44" s="6" t="s">
        <v>5116</v>
      </c>
      <c r="H44" s="64">
        <v>55000</v>
      </c>
      <c r="I44" s="160" t="s">
        <v>5117</v>
      </c>
      <c r="J44" s="6" t="s">
        <v>1847</v>
      </c>
      <c r="K44" s="179" t="s">
        <v>7884</v>
      </c>
      <c r="L44" s="536"/>
      <c r="M44" s="475" t="s">
        <v>1808</v>
      </c>
      <c r="N44" s="179"/>
      <c r="O44" s="179"/>
      <c r="P44" s="6" t="s">
        <v>6064</v>
      </c>
      <c r="Q44" s="179"/>
      <c r="R44" s="54"/>
      <c r="S44" s="6"/>
    </row>
    <row r="45" spans="1:19" ht="38.25">
      <c r="A45" s="6" t="s">
        <v>5118</v>
      </c>
      <c r="B45" s="6"/>
      <c r="C45" s="6" t="s">
        <v>6872</v>
      </c>
      <c r="D45" s="179"/>
      <c r="E45" s="6"/>
      <c r="F45" s="22" t="s">
        <v>5119</v>
      </c>
      <c r="G45" s="6" t="s">
        <v>5120</v>
      </c>
      <c r="H45" s="64">
        <v>20000</v>
      </c>
      <c r="I45" s="160" t="s">
        <v>5121</v>
      </c>
      <c r="J45" s="6" t="s">
        <v>1847</v>
      </c>
      <c r="K45" s="179" t="s">
        <v>7885</v>
      </c>
      <c r="L45" s="536"/>
      <c r="M45" s="475" t="s">
        <v>6132</v>
      </c>
      <c r="N45" s="179"/>
      <c r="O45" s="179"/>
      <c r="P45" s="6" t="s">
        <v>6217</v>
      </c>
      <c r="Q45" s="179"/>
      <c r="R45" s="54"/>
      <c r="S45" s="6"/>
    </row>
    <row r="46" spans="1:19" ht="63.75">
      <c r="A46" s="6" t="s">
        <v>5122</v>
      </c>
      <c r="B46" s="6"/>
      <c r="C46" s="6" t="s">
        <v>6872</v>
      </c>
      <c r="D46" s="179"/>
      <c r="E46" s="6"/>
      <c r="F46" s="22" t="s">
        <v>5123</v>
      </c>
      <c r="G46" s="6" t="s">
        <v>5124</v>
      </c>
      <c r="H46" s="64">
        <v>40000</v>
      </c>
      <c r="I46" s="160" t="s">
        <v>5125</v>
      </c>
      <c r="J46" s="6" t="s">
        <v>1847</v>
      </c>
      <c r="K46" s="179" t="s">
        <v>7886</v>
      </c>
      <c r="L46" s="536"/>
      <c r="M46" s="475" t="s">
        <v>6179</v>
      </c>
      <c r="N46" s="179"/>
      <c r="O46" s="179"/>
      <c r="P46" s="6" t="s">
        <v>6064</v>
      </c>
      <c r="Q46" s="179"/>
      <c r="R46" s="54"/>
      <c r="S46" s="6"/>
    </row>
    <row r="47" spans="1:19" ht="38.25">
      <c r="A47" s="6" t="s">
        <v>5126</v>
      </c>
      <c r="B47" s="6"/>
      <c r="C47" s="6" t="s">
        <v>6872</v>
      </c>
      <c r="D47" s="178"/>
      <c r="E47" s="158"/>
      <c r="F47" s="164" t="s">
        <v>5127</v>
      </c>
      <c r="G47" s="6" t="s">
        <v>5128</v>
      </c>
      <c r="H47" s="8">
        <v>26200</v>
      </c>
      <c r="I47" s="160" t="s">
        <v>5129</v>
      </c>
      <c r="J47" s="6" t="s">
        <v>1847</v>
      </c>
      <c r="K47" s="538"/>
      <c r="L47" s="179"/>
      <c r="M47" s="6" t="s">
        <v>6132</v>
      </c>
      <c r="N47" s="179"/>
      <c r="O47" s="179"/>
      <c r="P47" s="6" t="s">
        <v>6064</v>
      </c>
      <c r="Q47" s="179"/>
      <c r="R47" s="54"/>
      <c r="S47" s="6"/>
    </row>
    <row r="48" spans="1:19" ht="38.25">
      <c r="A48" s="6" t="s">
        <v>5130</v>
      </c>
      <c r="B48" s="6"/>
      <c r="C48" s="6" t="s">
        <v>6872</v>
      </c>
      <c r="D48" s="179"/>
      <c r="E48" s="6"/>
      <c r="F48" s="22" t="s">
        <v>5131</v>
      </c>
      <c r="G48" s="6" t="s">
        <v>5000</v>
      </c>
      <c r="H48" s="64">
        <v>40000</v>
      </c>
      <c r="I48" s="160"/>
      <c r="J48" s="6"/>
      <c r="K48" s="179" t="s">
        <v>7887</v>
      </c>
      <c r="L48" s="536"/>
      <c r="M48" s="475" t="s">
        <v>1808</v>
      </c>
      <c r="N48" s="179"/>
      <c r="O48" s="468" t="s">
        <v>7888</v>
      </c>
      <c r="P48" s="6" t="s">
        <v>6064</v>
      </c>
      <c r="Q48" s="179"/>
      <c r="R48" s="54"/>
      <c r="S48" s="6"/>
    </row>
    <row r="49" spans="1:19" ht="38.25">
      <c r="A49" s="6" t="s">
        <v>5132</v>
      </c>
      <c r="B49" s="6"/>
      <c r="C49" s="6" t="s">
        <v>6872</v>
      </c>
      <c r="D49" s="179"/>
      <c r="E49" s="6"/>
      <c r="F49" s="22" t="s">
        <v>5133</v>
      </c>
      <c r="G49" s="6" t="s">
        <v>5134</v>
      </c>
      <c r="H49" s="64">
        <v>80000</v>
      </c>
      <c r="I49" s="160" t="s">
        <v>5135</v>
      </c>
      <c r="J49" s="6" t="s">
        <v>1828</v>
      </c>
      <c r="K49" s="179" t="s">
        <v>7889</v>
      </c>
      <c r="L49" s="536"/>
      <c r="M49" s="475" t="s">
        <v>1808</v>
      </c>
      <c r="N49" s="179"/>
      <c r="O49" s="179"/>
      <c r="P49" s="6" t="s">
        <v>6064</v>
      </c>
      <c r="Q49" s="179"/>
      <c r="R49" s="54"/>
      <c r="S49" s="6"/>
    </row>
    <row r="50" spans="1:19" ht="25.5">
      <c r="A50" s="6" t="s">
        <v>5136</v>
      </c>
      <c r="B50" s="6"/>
      <c r="C50" s="6" t="s">
        <v>6872</v>
      </c>
      <c r="D50" s="179"/>
      <c r="E50" s="6"/>
      <c r="F50" s="22" t="s">
        <v>5137</v>
      </c>
      <c r="G50" s="6" t="s">
        <v>1689</v>
      </c>
      <c r="H50" s="64">
        <v>80000</v>
      </c>
      <c r="I50" s="6" t="s">
        <v>5135</v>
      </c>
      <c r="J50" s="6" t="s">
        <v>1828</v>
      </c>
      <c r="K50" s="179" t="s">
        <v>7890</v>
      </c>
      <c r="L50" s="536"/>
      <c r="M50" s="475" t="s">
        <v>1808</v>
      </c>
      <c r="N50" s="179"/>
      <c r="O50" s="179"/>
      <c r="P50" s="6" t="s">
        <v>6064</v>
      </c>
      <c r="Q50" s="179"/>
      <c r="R50" s="54"/>
      <c r="S50" s="6"/>
    </row>
    <row r="51" spans="1:19" ht="38.25">
      <c r="A51" s="6" t="s">
        <v>5138</v>
      </c>
      <c r="B51" s="6"/>
      <c r="C51" s="6" t="s">
        <v>6872</v>
      </c>
      <c r="D51" s="179"/>
      <c r="E51" s="6"/>
      <c r="F51" s="22" t="s">
        <v>5139</v>
      </c>
      <c r="G51" s="6" t="s">
        <v>5140</v>
      </c>
      <c r="H51" s="64">
        <v>80000</v>
      </c>
      <c r="I51" s="160" t="s">
        <v>5141</v>
      </c>
      <c r="J51" s="6" t="s">
        <v>2656</v>
      </c>
      <c r="K51" s="179" t="s">
        <v>7891</v>
      </c>
      <c r="L51" s="536"/>
      <c r="M51" s="475" t="s">
        <v>1808</v>
      </c>
      <c r="N51" s="179"/>
      <c r="O51" s="179"/>
      <c r="P51" s="6" t="s">
        <v>6064</v>
      </c>
      <c r="Q51" s="179"/>
      <c r="R51" s="54"/>
      <c r="S51" s="6"/>
    </row>
    <row r="52" spans="1:19" ht="25.5">
      <c r="A52" s="6" t="s">
        <v>5142</v>
      </c>
      <c r="B52" s="6"/>
      <c r="C52" s="6" t="s">
        <v>6872</v>
      </c>
      <c r="D52" s="179"/>
      <c r="E52" s="6"/>
      <c r="F52" s="22" t="s">
        <v>5143</v>
      </c>
      <c r="G52" s="6" t="s">
        <v>5033</v>
      </c>
      <c r="H52" s="64">
        <v>80000</v>
      </c>
      <c r="I52" s="6" t="s">
        <v>5144</v>
      </c>
      <c r="J52" s="6" t="s">
        <v>1828</v>
      </c>
      <c r="K52" s="179" t="s">
        <v>7892</v>
      </c>
      <c r="L52" s="536"/>
      <c r="M52" s="475" t="s">
        <v>1808</v>
      </c>
      <c r="N52" s="179"/>
      <c r="O52" s="179"/>
      <c r="P52" s="6" t="s">
        <v>6064</v>
      </c>
      <c r="Q52" s="179"/>
      <c r="R52" s="54"/>
      <c r="S52" s="6"/>
    </row>
    <row r="53" spans="1:19" ht="38.25">
      <c r="A53" s="6" t="s">
        <v>5145</v>
      </c>
      <c r="B53" s="6"/>
      <c r="C53" s="6" t="s">
        <v>6872</v>
      </c>
      <c r="D53" s="179"/>
      <c r="E53" s="6"/>
      <c r="F53" s="22" t="s">
        <v>5146</v>
      </c>
      <c r="G53" s="6" t="s">
        <v>5147</v>
      </c>
      <c r="H53" s="8">
        <v>33600</v>
      </c>
      <c r="I53" s="6" t="s">
        <v>5148</v>
      </c>
      <c r="J53" s="6" t="s">
        <v>2467</v>
      </c>
      <c r="K53" s="179" t="s">
        <v>7893</v>
      </c>
      <c r="L53" s="536"/>
      <c r="M53" s="475" t="s">
        <v>1808</v>
      </c>
      <c r="N53" s="179"/>
      <c r="O53" s="179"/>
      <c r="P53" s="6" t="s">
        <v>6170</v>
      </c>
      <c r="Q53" s="179"/>
      <c r="R53" s="54"/>
      <c r="S53" s="6"/>
    </row>
    <row r="54" spans="1:19" ht="25.5">
      <c r="A54" s="6" t="s">
        <v>5149</v>
      </c>
      <c r="B54" s="6"/>
      <c r="C54" s="6" t="s">
        <v>6872</v>
      </c>
      <c r="D54" s="179"/>
      <c r="E54" s="6"/>
      <c r="F54" s="22" t="s">
        <v>5150</v>
      </c>
      <c r="G54" s="6" t="s">
        <v>5151</v>
      </c>
      <c r="H54" s="8">
        <v>10425</v>
      </c>
      <c r="I54" s="6" t="s">
        <v>5152</v>
      </c>
      <c r="J54" s="6" t="s">
        <v>1828</v>
      </c>
      <c r="K54" s="179" t="s">
        <v>7894</v>
      </c>
      <c r="L54" s="536"/>
      <c r="M54" s="475" t="s">
        <v>6132</v>
      </c>
      <c r="N54" s="179"/>
      <c r="O54" s="179"/>
      <c r="P54" s="6" t="s">
        <v>6217</v>
      </c>
      <c r="Q54" s="179"/>
      <c r="R54" s="54"/>
      <c r="S54" s="6"/>
    </row>
    <row r="55" spans="1:19" ht="51">
      <c r="A55" s="6" t="s">
        <v>5153</v>
      </c>
      <c r="B55" s="6"/>
      <c r="C55" s="6" t="s">
        <v>6872</v>
      </c>
      <c r="D55" s="179"/>
      <c r="E55" s="6"/>
      <c r="F55" s="22" t="s">
        <v>5154</v>
      </c>
      <c r="G55" s="6" t="s">
        <v>5155</v>
      </c>
      <c r="H55" s="64">
        <v>80000</v>
      </c>
      <c r="I55" s="6" t="s">
        <v>3686</v>
      </c>
      <c r="J55" s="6" t="s">
        <v>2656</v>
      </c>
      <c r="K55" s="179" t="s">
        <v>7895</v>
      </c>
      <c r="L55" s="536"/>
      <c r="M55" s="475" t="s">
        <v>1808</v>
      </c>
      <c r="N55" s="179"/>
      <c r="O55" s="179"/>
      <c r="P55" s="6" t="s">
        <v>6064</v>
      </c>
      <c r="Q55" s="179"/>
      <c r="R55" s="54"/>
      <c r="S55" s="6"/>
    </row>
    <row r="56" spans="1:19" ht="25.5">
      <c r="A56" s="6" t="s">
        <v>5156</v>
      </c>
      <c r="B56" s="6"/>
      <c r="C56" s="6" t="s">
        <v>6872</v>
      </c>
      <c r="D56" s="179"/>
      <c r="E56" s="6"/>
      <c r="F56" s="22" t="s">
        <v>5157</v>
      </c>
      <c r="G56" s="6" t="s">
        <v>5158</v>
      </c>
      <c r="H56" s="64">
        <v>28600</v>
      </c>
      <c r="I56" s="160" t="s">
        <v>5159</v>
      </c>
      <c r="J56" s="6" t="s">
        <v>2656</v>
      </c>
      <c r="K56" s="179"/>
      <c r="L56" s="179"/>
      <c r="M56" s="6" t="s">
        <v>6132</v>
      </c>
      <c r="N56" s="179"/>
      <c r="O56" s="179"/>
      <c r="P56" s="6" t="s">
        <v>6217</v>
      </c>
      <c r="Q56" s="179"/>
      <c r="R56" s="54"/>
      <c r="S56" s="6"/>
    </row>
    <row r="57" spans="1:19" ht="25.5">
      <c r="A57" s="6" t="s">
        <v>5160</v>
      </c>
      <c r="B57" s="6"/>
      <c r="C57" s="6" t="s">
        <v>6872</v>
      </c>
      <c r="D57" s="179"/>
      <c r="E57" s="6"/>
      <c r="F57" s="22" t="s">
        <v>5161</v>
      </c>
      <c r="G57" s="6" t="s">
        <v>5162</v>
      </c>
      <c r="H57" s="64">
        <v>60000</v>
      </c>
      <c r="I57" s="160" t="s">
        <v>5163</v>
      </c>
      <c r="J57" s="6" t="s">
        <v>1828</v>
      </c>
      <c r="K57" s="179" t="s">
        <v>7896</v>
      </c>
      <c r="L57" s="536"/>
      <c r="M57" s="475" t="s">
        <v>1808</v>
      </c>
      <c r="N57" s="179"/>
      <c r="O57" s="179"/>
      <c r="P57" s="6" t="s">
        <v>6064</v>
      </c>
      <c r="Q57" s="179"/>
      <c r="R57" s="54"/>
      <c r="S57" s="6"/>
    </row>
    <row r="58" spans="1:19" ht="38.25">
      <c r="A58" s="6" t="s">
        <v>5164</v>
      </c>
      <c r="B58" s="6"/>
      <c r="C58" s="6" t="s">
        <v>6872</v>
      </c>
      <c r="D58" s="179"/>
      <c r="E58" s="6"/>
      <c r="F58" s="22" t="s">
        <v>5165</v>
      </c>
      <c r="G58" s="6" t="s">
        <v>5166</v>
      </c>
      <c r="H58" s="64">
        <v>80000</v>
      </c>
      <c r="I58" s="160" t="s">
        <v>5167</v>
      </c>
      <c r="J58" s="6" t="s">
        <v>1828</v>
      </c>
      <c r="K58" s="179" t="s">
        <v>7895</v>
      </c>
      <c r="L58" s="536"/>
      <c r="M58" s="475" t="s">
        <v>1808</v>
      </c>
      <c r="N58" s="179"/>
      <c r="O58" s="179"/>
      <c r="P58" s="6" t="s">
        <v>6064</v>
      </c>
      <c r="Q58" s="179"/>
      <c r="R58" s="54"/>
      <c r="S58" s="6"/>
    </row>
    <row r="59" spans="1:19" ht="76.5">
      <c r="A59" s="6" t="s">
        <v>5168</v>
      </c>
      <c r="B59" s="6"/>
      <c r="C59" s="6" t="s">
        <v>6872</v>
      </c>
      <c r="D59" s="179"/>
      <c r="E59" s="6"/>
      <c r="F59" s="22" t="s">
        <v>5169</v>
      </c>
      <c r="G59" s="6" t="s">
        <v>5170</v>
      </c>
      <c r="H59" s="64">
        <v>80000</v>
      </c>
      <c r="I59" s="160" t="s">
        <v>5171</v>
      </c>
      <c r="J59" s="6" t="s">
        <v>1828</v>
      </c>
      <c r="K59" s="179" t="s">
        <v>7897</v>
      </c>
      <c r="L59" s="536"/>
      <c r="M59" s="475" t="s">
        <v>1808</v>
      </c>
      <c r="N59" s="179"/>
      <c r="O59" s="179"/>
      <c r="P59" s="6" t="s">
        <v>6064</v>
      </c>
      <c r="Q59" s="179"/>
      <c r="R59" s="54"/>
      <c r="S59" s="6"/>
    </row>
    <row r="60" spans="1:19" ht="117" customHeight="1">
      <c r="A60" s="6" t="s">
        <v>5172</v>
      </c>
      <c r="B60" s="6"/>
      <c r="C60" s="6" t="s">
        <v>6872</v>
      </c>
      <c r="D60" s="179"/>
      <c r="E60" s="6"/>
      <c r="F60" s="22" t="s">
        <v>3573</v>
      </c>
      <c r="G60" s="6" t="s">
        <v>5173</v>
      </c>
      <c r="H60" s="64">
        <v>80000</v>
      </c>
      <c r="I60" s="160" t="s">
        <v>5135</v>
      </c>
      <c r="J60" s="6" t="s">
        <v>1828</v>
      </c>
      <c r="K60" s="179" t="s">
        <v>7898</v>
      </c>
      <c r="L60" s="536"/>
      <c r="M60" s="475" t="s">
        <v>1808</v>
      </c>
      <c r="N60" s="179"/>
      <c r="O60" s="179"/>
      <c r="P60" s="6" t="s">
        <v>6064</v>
      </c>
      <c r="Q60" s="179"/>
      <c r="R60" s="54"/>
      <c r="S60" s="6"/>
    </row>
    <row r="61" spans="1:19" ht="51">
      <c r="A61" s="6" t="s">
        <v>5174</v>
      </c>
      <c r="B61" s="6"/>
      <c r="C61" s="6" t="s">
        <v>6872</v>
      </c>
      <c r="D61" s="179"/>
      <c r="E61" s="6"/>
      <c r="F61" s="22" t="s">
        <v>5175</v>
      </c>
      <c r="G61" s="6" t="s">
        <v>5176</v>
      </c>
      <c r="H61" s="64">
        <v>80000</v>
      </c>
      <c r="I61" s="160" t="s">
        <v>5135</v>
      </c>
      <c r="J61" s="6" t="s">
        <v>1828</v>
      </c>
      <c r="K61" s="179" t="s">
        <v>7899</v>
      </c>
      <c r="L61" s="536"/>
      <c r="M61" s="475" t="s">
        <v>1808</v>
      </c>
      <c r="N61" s="179"/>
      <c r="O61" s="179"/>
      <c r="P61" s="6" t="s">
        <v>6064</v>
      </c>
      <c r="Q61" s="179"/>
      <c r="R61" s="54"/>
      <c r="S61" s="6"/>
    </row>
    <row r="62" spans="1:19" ht="38.25">
      <c r="A62" s="6" t="s">
        <v>5177</v>
      </c>
      <c r="B62" s="6"/>
      <c r="C62" s="6" t="s">
        <v>6872</v>
      </c>
      <c r="D62" s="179"/>
      <c r="E62" s="6"/>
      <c r="F62" s="22" t="s">
        <v>5178</v>
      </c>
      <c r="G62" s="6" t="s">
        <v>5179</v>
      </c>
      <c r="H62" s="64">
        <v>80000</v>
      </c>
      <c r="I62" s="160" t="s">
        <v>5180</v>
      </c>
      <c r="J62" s="6" t="s">
        <v>1828</v>
      </c>
      <c r="K62" s="179" t="s">
        <v>7900</v>
      </c>
      <c r="L62" s="536"/>
      <c r="M62" s="475" t="s">
        <v>1808</v>
      </c>
      <c r="N62" s="179"/>
      <c r="O62" s="179"/>
      <c r="P62" s="6" t="s">
        <v>6064</v>
      </c>
      <c r="Q62" s="179"/>
      <c r="R62" s="54"/>
      <c r="S62" s="6"/>
    </row>
    <row r="63" spans="1:19" ht="51">
      <c r="A63" s="6" t="s">
        <v>5181</v>
      </c>
      <c r="B63" s="6"/>
      <c r="C63" s="6" t="s">
        <v>6872</v>
      </c>
      <c r="D63" s="179"/>
      <c r="E63" s="6"/>
      <c r="F63" s="22" t="s">
        <v>5182</v>
      </c>
      <c r="G63" s="6" t="s">
        <v>5183</v>
      </c>
      <c r="H63" s="64">
        <v>80000</v>
      </c>
      <c r="I63" s="6" t="s">
        <v>5171</v>
      </c>
      <c r="J63" s="6" t="s">
        <v>1828</v>
      </c>
      <c r="K63" s="179" t="s">
        <v>7901</v>
      </c>
      <c r="L63" s="536"/>
      <c r="M63" s="475" t="s">
        <v>1808</v>
      </c>
      <c r="N63" s="179"/>
      <c r="O63" s="179"/>
      <c r="P63" s="6" t="s">
        <v>6064</v>
      </c>
      <c r="Q63" s="179"/>
      <c r="R63" s="54"/>
      <c r="S63" s="6"/>
    </row>
    <row r="64" spans="1:19" ht="51">
      <c r="A64" s="6" t="s">
        <v>5184</v>
      </c>
      <c r="B64" s="6"/>
      <c r="C64" s="6" t="s">
        <v>6872</v>
      </c>
      <c r="D64" s="179"/>
      <c r="E64" s="6"/>
      <c r="F64" s="22" t="s">
        <v>5185</v>
      </c>
      <c r="G64" s="6" t="s">
        <v>5186</v>
      </c>
      <c r="H64" s="64">
        <v>80000</v>
      </c>
      <c r="I64" s="6" t="s">
        <v>5187</v>
      </c>
      <c r="J64" s="6" t="s">
        <v>1828</v>
      </c>
      <c r="K64" s="179" t="s">
        <v>7902</v>
      </c>
      <c r="L64" s="536"/>
      <c r="M64" s="475" t="s">
        <v>1808</v>
      </c>
      <c r="N64" s="179"/>
      <c r="O64" s="179"/>
      <c r="P64" s="6" t="s">
        <v>6064</v>
      </c>
      <c r="Q64" s="179"/>
      <c r="R64" s="54"/>
      <c r="S64" s="6"/>
    </row>
    <row r="65" spans="1:19" ht="51">
      <c r="A65" s="6" t="s">
        <v>5188</v>
      </c>
      <c r="B65" s="6"/>
      <c r="C65" s="6" t="s">
        <v>6872</v>
      </c>
      <c r="D65" s="179"/>
      <c r="E65" s="6"/>
      <c r="F65" s="22" t="s">
        <v>5189</v>
      </c>
      <c r="G65" s="6" t="s">
        <v>5190</v>
      </c>
      <c r="H65" s="64">
        <v>80000</v>
      </c>
      <c r="I65" s="6" t="s">
        <v>5171</v>
      </c>
      <c r="J65" s="6" t="s">
        <v>1828</v>
      </c>
      <c r="K65" s="179" t="s">
        <v>7903</v>
      </c>
      <c r="L65" s="536"/>
      <c r="M65" s="475" t="s">
        <v>1808</v>
      </c>
      <c r="N65" s="179"/>
      <c r="O65" s="179"/>
      <c r="P65" s="6" t="s">
        <v>6064</v>
      </c>
      <c r="Q65" s="179"/>
      <c r="R65" s="54"/>
      <c r="S65" s="6"/>
    </row>
    <row r="66" spans="1:19" ht="76.5">
      <c r="A66" s="6" t="s">
        <v>5191</v>
      </c>
      <c r="B66" s="6"/>
      <c r="C66" s="6" t="s">
        <v>6872</v>
      </c>
      <c r="D66" s="179"/>
      <c r="E66" s="6"/>
      <c r="F66" s="22" t="s">
        <v>5192</v>
      </c>
      <c r="G66" s="6" t="s">
        <v>5193</v>
      </c>
      <c r="H66" s="8">
        <v>6100</v>
      </c>
      <c r="I66" s="6" t="s">
        <v>5194</v>
      </c>
      <c r="J66" s="6" t="s">
        <v>6314</v>
      </c>
      <c r="K66" s="179" t="s">
        <v>7904</v>
      </c>
      <c r="L66" s="179"/>
      <c r="M66" s="6" t="s">
        <v>6132</v>
      </c>
      <c r="N66" s="179"/>
      <c r="O66" s="179"/>
      <c r="P66" s="6" t="s">
        <v>6104</v>
      </c>
      <c r="Q66" s="179"/>
      <c r="R66" s="54"/>
      <c r="S66" s="6"/>
    </row>
    <row r="67" spans="1:19" ht="38.25">
      <c r="A67" s="6" t="s">
        <v>5195</v>
      </c>
      <c r="B67" s="6"/>
      <c r="C67" s="6" t="s">
        <v>6872</v>
      </c>
      <c r="D67" s="179"/>
      <c r="E67" s="6"/>
      <c r="F67" s="22" t="s">
        <v>5196</v>
      </c>
      <c r="G67" s="6" t="s">
        <v>5197</v>
      </c>
      <c r="H67" s="64">
        <v>80000</v>
      </c>
      <c r="I67" s="6" t="s">
        <v>5198</v>
      </c>
      <c r="J67" s="6" t="s">
        <v>1828</v>
      </c>
      <c r="K67" s="179" t="s">
        <v>7905</v>
      </c>
      <c r="L67" s="536"/>
      <c r="M67" s="475" t="s">
        <v>1808</v>
      </c>
      <c r="N67" s="179"/>
      <c r="O67" s="179"/>
      <c r="P67" s="6" t="s">
        <v>6064</v>
      </c>
      <c r="Q67" s="179"/>
      <c r="R67" s="54"/>
      <c r="S67" s="6"/>
    </row>
    <row r="68" spans="1:19" ht="25.5">
      <c r="A68" s="6" t="s">
        <v>5199</v>
      </c>
      <c r="B68" s="6"/>
      <c r="C68" s="6" t="s">
        <v>6872</v>
      </c>
      <c r="D68" s="179"/>
      <c r="E68" s="6"/>
      <c r="F68" s="22" t="s">
        <v>5200</v>
      </c>
      <c r="G68" s="6" t="s">
        <v>5201</v>
      </c>
      <c r="H68" s="64">
        <v>35000</v>
      </c>
      <c r="I68" s="6" t="s">
        <v>5202</v>
      </c>
      <c r="J68" s="6" t="s">
        <v>2460</v>
      </c>
      <c r="K68" s="179" t="s">
        <v>7906</v>
      </c>
      <c r="L68" s="536"/>
      <c r="M68" s="475" t="s">
        <v>1808</v>
      </c>
      <c r="N68" s="179"/>
      <c r="O68" s="468" t="s">
        <v>7907</v>
      </c>
      <c r="P68" s="6" t="s">
        <v>6064</v>
      </c>
      <c r="Q68" s="179"/>
      <c r="R68" s="54"/>
      <c r="S68" s="6"/>
    </row>
    <row r="69" spans="1:19" ht="25.5">
      <c r="A69" s="6" t="s">
        <v>5203</v>
      </c>
      <c r="B69" s="6"/>
      <c r="C69" s="6" t="s">
        <v>6872</v>
      </c>
      <c r="D69" s="179"/>
      <c r="E69" s="6"/>
      <c r="F69" s="22" t="s">
        <v>5204</v>
      </c>
      <c r="G69" s="6" t="s">
        <v>5205</v>
      </c>
      <c r="H69" s="8">
        <v>32000</v>
      </c>
      <c r="I69" s="6" t="s">
        <v>5206</v>
      </c>
      <c r="J69" s="6" t="s">
        <v>1828</v>
      </c>
      <c r="K69" s="179" t="s">
        <v>7908</v>
      </c>
      <c r="L69" s="536"/>
      <c r="M69" s="475" t="s">
        <v>1808</v>
      </c>
      <c r="N69" s="179"/>
      <c r="O69" s="179"/>
      <c r="P69" s="6" t="s">
        <v>6071</v>
      </c>
      <c r="Q69" s="179"/>
      <c r="R69" s="54"/>
      <c r="S69" s="6"/>
    </row>
    <row r="70" spans="1:19" ht="38.25">
      <c r="A70" s="6" t="s">
        <v>5207</v>
      </c>
      <c r="B70" s="6"/>
      <c r="C70" s="6" t="s">
        <v>6872</v>
      </c>
      <c r="D70" s="179"/>
      <c r="E70" s="6"/>
      <c r="F70" s="22" t="s">
        <v>5208</v>
      </c>
      <c r="G70" s="6" t="s">
        <v>5209</v>
      </c>
      <c r="H70" s="64">
        <v>80000</v>
      </c>
      <c r="I70" s="6" t="s">
        <v>5210</v>
      </c>
      <c r="J70" s="6" t="s">
        <v>1828</v>
      </c>
      <c r="K70" s="179" t="s">
        <v>7909</v>
      </c>
      <c r="L70" s="536"/>
      <c r="M70" s="475" t="s">
        <v>1808</v>
      </c>
      <c r="N70" s="179"/>
      <c r="O70" s="179"/>
      <c r="P70" s="6" t="s">
        <v>6217</v>
      </c>
      <c r="Q70" s="179"/>
      <c r="R70" s="54"/>
      <c r="S70" s="6"/>
    </row>
    <row r="71" spans="1:19" ht="25.5">
      <c r="A71" s="6" t="s">
        <v>5211</v>
      </c>
      <c r="B71" s="6"/>
      <c r="C71" s="6" t="s">
        <v>6872</v>
      </c>
      <c r="D71" s="179"/>
      <c r="E71" s="6"/>
      <c r="F71" s="22" t="s">
        <v>5212</v>
      </c>
      <c r="G71" s="6" t="s">
        <v>5213</v>
      </c>
      <c r="H71" s="6" t="s">
        <v>7910</v>
      </c>
      <c r="I71" s="6" t="s">
        <v>5214</v>
      </c>
      <c r="J71" s="6" t="s">
        <v>2460</v>
      </c>
      <c r="K71" s="179" t="s">
        <v>7911</v>
      </c>
      <c r="L71" s="536"/>
      <c r="M71" s="475" t="s">
        <v>1808</v>
      </c>
      <c r="N71" s="179"/>
      <c r="O71" s="468" t="s">
        <v>7912</v>
      </c>
      <c r="P71" s="6" t="s">
        <v>6137</v>
      </c>
      <c r="Q71" s="179"/>
      <c r="R71" s="54"/>
      <c r="S71" s="6"/>
    </row>
    <row r="72" spans="1:19" ht="25.5">
      <c r="A72" s="6" t="s">
        <v>5215</v>
      </c>
      <c r="B72" s="6"/>
      <c r="C72" s="6" t="s">
        <v>6872</v>
      </c>
      <c r="D72" s="179"/>
      <c r="E72" s="6"/>
      <c r="F72" s="22" t="s">
        <v>5216</v>
      </c>
      <c r="G72" s="6" t="s">
        <v>4834</v>
      </c>
      <c r="H72" s="8">
        <v>8016.6</v>
      </c>
      <c r="I72" s="6" t="s">
        <v>5217</v>
      </c>
      <c r="J72" s="6" t="s">
        <v>1828</v>
      </c>
      <c r="K72" s="179" t="s">
        <v>7913</v>
      </c>
      <c r="L72" s="536"/>
      <c r="M72" s="475" t="s">
        <v>1808</v>
      </c>
      <c r="N72" s="179"/>
      <c r="O72" s="179"/>
      <c r="P72" s="6" t="s">
        <v>6064</v>
      </c>
      <c r="Q72" s="179"/>
      <c r="R72" s="54"/>
      <c r="S72" s="6"/>
    </row>
    <row r="73" spans="1:19" ht="38.25">
      <c r="A73" s="6" t="s">
        <v>5218</v>
      </c>
      <c r="B73" s="6"/>
      <c r="C73" s="6" t="s">
        <v>6872</v>
      </c>
      <c r="D73" s="179"/>
      <c r="E73" s="6"/>
      <c r="F73" s="22" t="s">
        <v>5219</v>
      </c>
      <c r="G73" s="6" t="s">
        <v>5220</v>
      </c>
      <c r="H73" s="8">
        <v>4500</v>
      </c>
      <c r="I73" s="6" t="s">
        <v>5221</v>
      </c>
      <c r="J73" s="6" t="s">
        <v>1828</v>
      </c>
      <c r="K73" s="179" t="s">
        <v>7914</v>
      </c>
      <c r="L73" s="536"/>
      <c r="M73" s="475" t="s">
        <v>6179</v>
      </c>
      <c r="N73" s="179"/>
      <c r="O73" s="179"/>
      <c r="P73" s="6" t="s">
        <v>6217</v>
      </c>
      <c r="Q73" s="179"/>
      <c r="R73" s="54"/>
      <c r="S73" s="6"/>
    </row>
    <row r="74" spans="1:19" ht="38.25">
      <c r="A74" s="6" t="s">
        <v>5222</v>
      </c>
      <c r="B74" s="6"/>
      <c r="C74" s="6" t="s">
        <v>6872</v>
      </c>
      <c r="D74" s="179"/>
      <c r="E74" s="6"/>
      <c r="F74" s="22" t="s">
        <v>5223</v>
      </c>
      <c r="G74" s="6" t="s">
        <v>5224</v>
      </c>
      <c r="H74" s="64">
        <v>80000</v>
      </c>
      <c r="I74" s="6" t="s">
        <v>5225</v>
      </c>
      <c r="J74" s="6" t="s">
        <v>1828</v>
      </c>
      <c r="K74" s="179" t="s">
        <v>7915</v>
      </c>
      <c r="L74" s="536"/>
      <c r="M74" s="475" t="s">
        <v>1808</v>
      </c>
      <c r="N74" s="179"/>
      <c r="O74" s="179"/>
      <c r="P74" s="6" t="s">
        <v>6071</v>
      </c>
      <c r="Q74" s="179"/>
      <c r="R74" s="54"/>
      <c r="S74" s="6"/>
    </row>
    <row r="75" spans="1:19" ht="25.5">
      <c r="A75" s="6" t="s">
        <v>5226</v>
      </c>
      <c r="B75" s="6"/>
      <c r="C75" s="6" t="s">
        <v>6872</v>
      </c>
      <c r="D75" s="179"/>
      <c r="E75" s="6"/>
      <c r="F75" s="22" t="s">
        <v>5227</v>
      </c>
      <c r="G75" s="6" t="s">
        <v>5228</v>
      </c>
      <c r="H75" s="8">
        <v>48060.02</v>
      </c>
      <c r="I75" s="6" t="s">
        <v>4425</v>
      </c>
      <c r="J75" s="6" t="s">
        <v>7916</v>
      </c>
      <c r="K75" s="179" t="s">
        <v>7911</v>
      </c>
      <c r="L75" s="536"/>
      <c r="M75" s="475" t="s">
        <v>1808</v>
      </c>
      <c r="N75" s="179"/>
      <c r="O75" s="179"/>
      <c r="P75" s="6" t="s">
        <v>6137</v>
      </c>
      <c r="Q75" s="179"/>
      <c r="R75" s="54"/>
      <c r="S75" s="6"/>
    </row>
    <row r="76" spans="1:19" ht="38.25">
      <c r="A76" s="6" t="s">
        <v>5229</v>
      </c>
      <c r="B76" s="6"/>
      <c r="C76" s="6" t="s">
        <v>6872</v>
      </c>
      <c r="D76" s="179"/>
      <c r="E76" s="6"/>
      <c r="F76" s="22" t="s">
        <v>5230</v>
      </c>
      <c r="G76" s="6" t="s">
        <v>5231</v>
      </c>
      <c r="H76" s="64">
        <v>80000</v>
      </c>
      <c r="I76" s="6" t="s">
        <v>5206</v>
      </c>
      <c r="J76" s="6" t="s">
        <v>1828</v>
      </c>
      <c r="K76" s="179" t="s">
        <v>7917</v>
      </c>
      <c r="L76" s="536"/>
      <c r="M76" s="475" t="s">
        <v>1808</v>
      </c>
      <c r="N76" s="179"/>
      <c r="O76" s="179"/>
      <c r="P76" s="6" t="s">
        <v>6217</v>
      </c>
      <c r="Q76" s="179"/>
      <c r="R76" s="54"/>
      <c r="S76" s="6"/>
    </row>
    <row r="77" spans="1:19" ht="51">
      <c r="A77" s="6" t="s">
        <v>5232</v>
      </c>
      <c r="B77" s="6"/>
      <c r="C77" s="6" t="s">
        <v>6872</v>
      </c>
      <c r="D77" s="179"/>
      <c r="E77" s="6"/>
      <c r="F77" s="22" t="s">
        <v>5233</v>
      </c>
      <c r="G77" s="6" t="s">
        <v>5234</v>
      </c>
      <c r="H77" s="64">
        <v>80000</v>
      </c>
      <c r="I77" s="6" t="s">
        <v>5235</v>
      </c>
      <c r="J77" s="6" t="s">
        <v>1828</v>
      </c>
      <c r="K77" s="179" t="s">
        <v>7917</v>
      </c>
      <c r="L77" s="536"/>
      <c r="M77" s="475" t="s">
        <v>1808</v>
      </c>
      <c r="N77" s="179"/>
      <c r="O77" s="179"/>
      <c r="P77" s="6" t="s">
        <v>6064</v>
      </c>
      <c r="Q77" s="179"/>
      <c r="R77" s="54"/>
      <c r="S77" s="6"/>
    </row>
    <row r="78" spans="1:19" ht="89.25">
      <c r="A78" s="6" t="s">
        <v>5236</v>
      </c>
      <c r="B78" s="6"/>
      <c r="C78" s="6" t="s">
        <v>6872</v>
      </c>
      <c r="D78" s="179"/>
      <c r="E78" s="6"/>
      <c r="F78" s="22" t="s">
        <v>5237</v>
      </c>
      <c r="G78" s="6" t="s">
        <v>5238</v>
      </c>
      <c r="H78" s="8">
        <v>47000</v>
      </c>
      <c r="I78" s="6"/>
      <c r="J78" s="6"/>
      <c r="K78" s="179" t="s">
        <v>7918</v>
      </c>
      <c r="L78" s="536"/>
      <c r="M78" s="475" t="s">
        <v>1808</v>
      </c>
      <c r="N78" s="179"/>
      <c r="O78" s="468" t="s">
        <v>7919</v>
      </c>
      <c r="P78" s="6" t="s">
        <v>1824</v>
      </c>
      <c r="Q78" s="179"/>
      <c r="R78" s="54"/>
      <c r="S78" s="6"/>
    </row>
    <row r="79" spans="1:19" ht="38.25">
      <c r="A79" s="6" t="s">
        <v>5239</v>
      </c>
      <c r="B79" s="6"/>
      <c r="C79" s="6" t="s">
        <v>6872</v>
      </c>
      <c r="D79" s="179"/>
      <c r="E79" s="6"/>
      <c r="F79" s="22" t="s">
        <v>5240</v>
      </c>
      <c r="G79" s="6" t="s">
        <v>5241</v>
      </c>
      <c r="H79" s="64">
        <v>80000</v>
      </c>
      <c r="I79" s="6" t="s">
        <v>5242</v>
      </c>
      <c r="J79" s="6" t="s">
        <v>1828</v>
      </c>
      <c r="K79" s="179" t="s">
        <v>7920</v>
      </c>
      <c r="L79" s="536"/>
      <c r="M79" s="475" t="s">
        <v>1808</v>
      </c>
      <c r="N79" s="179"/>
      <c r="O79" s="179"/>
      <c r="P79" s="6" t="s">
        <v>6941</v>
      </c>
      <c r="Q79" s="179"/>
      <c r="R79" s="54"/>
      <c r="S79" s="6"/>
    </row>
    <row r="80" spans="1:19" ht="38.25">
      <c r="A80" s="6" t="s">
        <v>5243</v>
      </c>
      <c r="B80" s="6"/>
      <c r="C80" s="6" t="s">
        <v>6872</v>
      </c>
      <c r="D80" s="179"/>
      <c r="E80" s="6"/>
      <c r="F80" s="22" t="s">
        <v>5244</v>
      </c>
      <c r="G80" s="6" t="s">
        <v>5245</v>
      </c>
      <c r="H80" s="8">
        <v>20300</v>
      </c>
      <c r="I80" s="6" t="s">
        <v>5246</v>
      </c>
      <c r="J80" s="6" t="s">
        <v>1828</v>
      </c>
      <c r="K80" s="179" t="s">
        <v>7921</v>
      </c>
      <c r="L80" s="536"/>
      <c r="M80" s="475" t="s">
        <v>1808</v>
      </c>
      <c r="N80" s="179"/>
      <c r="O80" s="179"/>
      <c r="P80" s="6" t="s">
        <v>6064</v>
      </c>
      <c r="Q80" s="179"/>
      <c r="R80" s="54"/>
      <c r="S80" s="6"/>
    </row>
    <row r="81" spans="1:19" ht="51">
      <c r="A81" s="6" t="s">
        <v>5247</v>
      </c>
      <c r="B81" s="6"/>
      <c r="C81" s="6" t="s">
        <v>6872</v>
      </c>
      <c r="D81" s="179"/>
      <c r="E81" s="6"/>
      <c r="F81" s="22" t="s">
        <v>5248</v>
      </c>
      <c r="G81" s="6" t="s">
        <v>5249</v>
      </c>
      <c r="H81" s="8">
        <v>120855</v>
      </c>
      <c r="I81" s="6" t="s">
        <v>4637</v>
      </c>
      <c r="J81" s="6" t="s">
        <v>7922</v>
      </c>
      <c r="K81" s="179" t="s">
        <v>7923</v>
      </c>
      <c r="L81" s="536"/>
      <c r="M81" s="475" t="s">
        <v>1808</v>
      </c>
      <c r="N81" s="179"/>
      <c r="O81" s="179"/>
      <c r="P81" s="6" t="s">
        <v>6137</v>
      </c>
      <c r="Q81" s="179"/>
      <c r="R81" s="54"/>
      <c r="S81" s="6"/>
    </row>
    <row r="82" spans="1:19" ht="25.5">
      <c r="A82" s="6" t="s">
        <v>5250</v>
      </c>
      <c r="B82" s="6"/>
      <c r="C82" s="6" t="s">
        <v>6872</v>
      </c>
      <c r="D82" s="179"/>
      <c r="E82" s="6"/>
      <c r="F82" s="22"/>
      <c r="G82" s="6"/>
      <c r="H82" s="6"/>
      <c r="I82" s="6"/>
      <c r="J82" s="6"/>
      <c r="K82" s="179"/>
      <c r="L82" s="536"/>
      <c r="M82" s="475" t="s">
        <v>1808</v>
      </c>
      <c r="N82" s="179"/>
      <c r="O82" s="479"/>
      <c r="P82" s="6" t="s">
        <v>7924</v>
      </c>
      <c r="Q82" s="179"/>
      <c r="R82" s="54"/>
      <c r="S82" s="6"/>
    </row>
    <row r="83" spans="1:19" ht="25.5">
      <c r="A83" s="6" t="s">
        <v>5251</v>
      </c>
      <c r="B83" s="6"/>
      <c r="C83" s="6" t="s">
        <v>6872</v>
      </c>
      <c r="D83" s="179"/>
      <c r="E83" s="6"/>
      <c r="F83" s="22"/>
      <c r="G83" s="6" t="s">
        <v>5253</v>
      </c>
      <c r="H83" s="64">
        <v>36000</v>
      </c>
      <c r="I83" s="6" t="s">
        <v>5254</v>
      </c>
      <c r="J83" s="6" t="s">
        <v>7916</v>
      </c>
      <c r="K83" s="179"/>
      <c r="L83" s="536"/>
      <c r="M83" s="475" t="s">
        <v>1808</v>
      </c>
      <c r="N83" s="179"/>
      <c r="O83" s="179"/>
      <c r="P83" s="6" t="s">
        <v>7924</v>
      </c>
      <c r="Q83" s="179"/>
      <c r="R83" s="54"/>
      <c r="S83" s="6"/>
    </row>
    <row r="84" spans="1:19" ht="38.25">
      <c r="A84" s="6" t="s">
        <v>5255</v>
      </c>
      <c r="B84" s="6"/>
      <c r="C84" s="6" t="s">
        <v>6872</v>
      </c>
      <c r="D84" s="179"/>
      <c r="E84" s="6"/>
      <c r="F84" s="22" t="s">
        <v>5256</v>
      </c>
      <c r="G84" s="6" t="s">
        <v>5257</v>
      </c>
      <c r="H84" s="8">
        <v>7650</v>
      </c>
      <c r="I84" s="6" t="s">
        <v>5258</v>
      </c>
      <c r="J84" s="6" t="s">
        <v>1828</v>
      </c>
      <c r="K84" s="179" t="s">
        <v>7925</v>
      </c>
      <c r="L84" s="536"/>
      <c r="M84" s="475" t="s">
        <v>1808</v>
      </c>
      <c r="N84" s="179"/>
      <c r="O84" s="179"/>
      <c r="P84" s="6" t="s">
        <v>6217</v>
      </c>
      <c r="Q84" s="179"/>
      <c r="R84" s="54"/>
      <c r="S84" s="6"/>
    </row>
    <row r="85" spans="1:19" ht="63.75">
      <c r="A85" s="6" t="s">
        <v>5259</v>
      </c>
      <c r="B85" s="6"/>
      <c r="C85" s="6" t="s">
        <v>6872</v>
      </c>
      <c r="D85" s="179"/>
      <c r="E85" s="6"/>
      <c r="F85" s="22" t="s">
        <v>5260</v>
      </c>
      <c r="G85" s="6" t="s">
        <v>5261</v>
      </c>
      <c r="H85" s="8">
        <v>55000</v>
      </c>
      <c r="I85" s="6"/>
      <c r="J85" s="6"/>
      <c r="K85" s="179" t="s">
        <v>7926</v>
      </c>
      <c r="L85" s="536"/>
      <c r="M85" s="475" t="s">
        <v>1808</v>
      </c>
      <c r="N85" s="179"/>
      <c r="O85" s="468" t="s">
        <v>7927</v>
      </c>
      <c r="P85" s="6" t="s">
        <v>7928</v>
      </c>
      <c r="Q85" s="179"/>
      <c r="R85" s="54"/>
      <c r="S85" s="6"/>
    </row>
    <row r="86" spans="1:19" ht="38.25">
      <c r="A86" s="6" t="s">
        <v>5262</v>
      </c>
      <c r="B86" s="6"/>
      <c r="C86" s="6" t="s">
        <v>6872</v>
      </c>
      <c r="D86" s="179"/>
      <c r="E86" s="6"/>
      <c r="F86" s="22" t="s">
        <v>5263</v>
      </c>
      <c r="G86" s="6" t="s">
        <v>5264</v>
      </c>
      <c r="H86" s="8">
        <v>8400</v>
      </c>
      <c r="I86" s="6" t="s">
        <v>5265</v>
      </c>
      <c r="J86" s="6" t="s">
        <v>1847</v>
      </c>
      <c r="K86" s="179" t="s">
        <v>7929</v>
      </c>
      <c r="L86" s="179"/>
      <c r="M86" s="6" t="s">
        <v>6179</v>
      </c>
      <c r="N86" s="179"/>
      <c r="O86" s="179"/>
      <c r="P86" s="6" t="s">
        <v>6064</v>
      </c>
      <c r="Q86" s="179"/>
      <c r="R86" s="54"/>
      <c r="S86" s="6"/>
    </row>
    <row r="87" spans="1:19" ht="51">
      <c r="A87" s="6" t="s">
        <v>5266</v>
      </c>
      <c r="B87" s="6"/>
      <c r="C87" s="6" t="s">
        <v>6872</v>
      </c>
      <c r="D87" s="179"/>
      <c r="E87" s="6"/>
      <c r="F87" s="22" t="s">
        <v>5267</v>
      </c>
      <c r="G87" s="6" t="s">
        <v>5268</v>
      </c>
      <c r="H87" s="6" t="s">
        <v>7930</v>
      </c>
      <c r="I87" s="6" t="s">
        <v>5269</v>
      </c>
      <c r="J87" s="6" t="s">
        <v>1847</v>
      </c>
      <c r="K87" s="179" t="s">
        <v>7931</v>
      </c>
      <c r="L87" s="179"/>
      <c r="M87" s="6" t="s">
        <v>6179</v>
      </c>
      <c r="N87" s="179"/>
      <c r="O87" s="179"/>
      <c r="P87" s="6" t="s">
        <v>6170</v>
      </c>
      <c r="Q87" s="179"/>
      <c r="R87" s="54"/>
      <c r="S87" s="6"/>
    </row>
    <row r="88" spans="1:19" ht="25.5">
      <c r="A88" s="6" t="s">
        <v>5270</v>
      </c>
      <c r="B88" s="6"/>
      <c r="C88" s="6" t="s">
        <v>6872</v>
      </c>
      <c r="D88" s="179"/>
      <c r="E88" s="6"/>
      <c r="F88" s="22"/>
      <c r="G88" s="6"/>
      <c r="H88" s="6"/>
      <c r="I88" s="6"/>
      <c r="J88" s="6"/>
      <c r="K88" s="179"/>
      <c r="L88" s="536"/>
      <c r="M88" s="475" t="s">
        <v>1808</v>
      </c>
      <c r="N88" s="179"/>
      <c r="O88" s="479"/>
      <c r="P88" s="6" t="s">
        <v>7924</v>
      </c>
      <c r="Q88" s="179"/>
      <c r="R88" s="54"/>
      <c r="S88" s="6"/>
    </row>
    <row r="89" spans="1:19" ht="38.25">
      <c r="A89" s="6" t="s">
        <v>5271</v>
      </c>
      <c r="B89" s="6"/>
      <c r="C89" s="6" t="s">
        <v>6872</v>
      </c>
      <c r="D89" s="179"/>
      <c r="E89" s="6"/>
      <c r="F89" s="22" t="s">
        <v>5272</v>
      </c>
      <c r="G89" s="6" t="s">
        <v>5273</v>
      </c>
      <c r="H89" s="8">
        <v>45000</v>
      </c>
      <c r="I89" s="6" t="s">
        <v>5034</v>
      </c>
      <c r="J89" s="6" t="s">
        <v>1828</v>
      </c>
      <c r="K89" s="179" t="s">
        <v>7932</v>
      </c>
      <c r="L89" s="536"/>
      <c r="M89" s="475" t="s">
        <v>1808</v>
      </c>
      <c r="N89" s="179"/>
      <c r="O89" s="179"/>
      <c r="P89" s="6" t="s">
        <v>6064</v>
      </c>
      <c r="Q89" s="179"/>
      <c r="R89" s="54"/>
      <c r="S89" s="6"/>
    </row>
    <row r="90" spans="1:19" ht="51">
      <c r="A90" s="6" t="s">
        <v>5274</v>
      </c>
      <c r="B90" s="6"/>
      <c r="C90" s="6" t="s">
        <v>6872</v>
      </c>
      <c r="D90" s="179"/>
      <c r="E90" s="6"/>
      <c r="F90" s="22" t="s">
        <v>5275</v>
      </c>
      <c r="G90" s="6" t="s">
        <v>5276</v>
      </c>
      <c r="H90" s="8">
        <v>50000</v>
      </c>
      <c r="I90" s="6" t="s">
        <v>5277</v>
      </c>
      <c r="J90" s="6" t="s">
        <v>1828</v>
      </c>
      <c r="K90" s="179" t="s">
        <v>7933</v>
      </c>
      <c r="L90" s="536"/>
      <c r="M90" s="475" t="s">
        <v>1808</v>
      </c>
      <c r="N90" s="179"/>
      <c r="O90" s="179"/>
      <c r="P90" s="6" t="s">
        <v>6064</v>
      </c>
      <c r="Q90" s="179"/>
      <c r="R90" s="54"/>
      <c r="S90" s="6"/>
    </row>
    <row r="91" spans="1:19" ht="51">
      <c r="A91" s="6" t="s">
        <v>5278</v>
      </c>
      <c r="B91" s="6"/>
      <c r="C91" s="6" t="s">
        <v>6872</v>
      </c>
      <c r="D91" s="179"/>
      <c r="E91" s="6"/>
      <c r="F91" s="22" t="s">
        <v>5279</v>
      </c>
      <c r="G91" s="6" t="s">
        <v>5280</v>
      </c>
      <c r="H91" s="64">
        <v>30000</v>
      </c>
      <c r="I91" s="6" t="s">
        <v>5281</v>
      </c>
      <c r="J91" s="6" t="s">
        <v>7916</v>
      </c>
      <c r="K91" s="179" t="s">
        <v>7934</v>
      </c>
      <c r="L91" s="536"/>
      <c r="M91" s="475" t="s">
        <v>1808</v>
      </c>
      <c r="N91" s="179"/>
      <c r="O91" s="179"/>
      <c r="P91" s="6" t="s">
        <v>6064</v>
      </c>
      <c r="Q91" s="179"/>
      <c r="R91" s="54"/>
      <c r="S91" s="6"/>
    </row>
    <row r="92" spans="1:19" ht="38.25">
      <c r="A92" s="6" t="s">
        <v>5282</v>
      </c>
      <c r="B92" s="6"/>
      <c r="C92" s="6" t="s">
        <v>6872</v>
      </c>
      <c r="D92" s="179"/>
      <c r="E92" s="6"/>
      <c r="F92" s="22" t="s">
        <v>5283</v>
      </c>
      <c r="G92" s="6" t="s">
        <v>5284</v>
      </c>
      <c r="H92" s="8">
        <v>50000</v>
      </c>
      <c r="I92" s="6" t="s">
        <v>5285</v>
      </c>
      <c r="J92" s="6" t="s">
        <v>1828</v>
      </c>
      <c r="K92" s="179" t="s">
        <v>7935</v>
      </c>
      <c r="L92" s="536"/>
      <c r="M92" s="475" t="s">
        <v>1808</v>
      </c>
      <c r="N92" s="179"/>
      <c r="O92" s="179"/>
      <c r="P92" s="6" t="s">
        <v>6064</v>
      </c>
      <c r="Q92" s="179"/>
      <c r="R92" s="54"/>
      <c r="S92" s="6"/>
    </row>
    <row r="93" spans="1:19" ht="38.25">
      <c r="A93" s="6" t="s">
        <v>5286</v>
      </c>
      <c r="B93" s="6"/>
      <c r="C93" s="6" t="s">
        <v>6872</v>
      </c>
      <c r="D93" s="179"/>
      <c r="E93" s="6"/>
      <c r="F93" s="22" t="s">
        <v>5287</v>
      </c>
      <c r="G93" s="6" t="s">
        <v>5288</v>
      </c>
      <c r="H93" s="64">
        <v>214200</v>
      </c>
      <c r="I93" s="6"/>
      <c r="J93" s="6"/>
      <c r="K93" s="179" t="s">
        <v>7936</v>
      </c>
      <c r="L93" s="536"/>
      <c r="M93" s="475" t="s">
        <v>1808</v>
      </c>
      <c r="N93" s="179"/>
      <c r="O93" s="468" t="s">
        <v>7937</v>
      </c>
      <c r="P93" s="6" t="s">
        <v>6064</v>
      </c>
      <c r="Q93" s="179"/>
      <c r="R93" s="54"/>
      <c r="S93" s="6"/>
    </row>
    <row r="94" spans="1:19" ht="38.25">
      <c r="A94" s="6" t="s">
        <v>5289</v>
      </c>
      <c r="B94" s="6"/>
      <c r="C94" s="6" t="s">
        <v>6872</v>
      </c>
      <c r="D94" s="179"/>
      <c r="E94" s="6"/>
      <c r="F94" s="22" t="s">
        <v>5290</v>
      </c>
      <c r="G94" s="6" t="s">
        <v>5291</v>
      </c>
      <c r="H94" s="8">
        <v>7650</v>
      </c>
      <c r="I94" s="6" t="s">
        <v>5292</v>
      </c>
      <c r="J94" s="6" t="s">
        <v>1847</v>
      </c>
      <c r="K94" s="179" t="s">
        <v>7938</v>
      </c>
      <c r="L94" s="179"/>
      <c r="M94" s="6" t="s">
        <v>6132</v>
      </c>
      <c r="N94" s="179"/>
      <c r="O94" s="179"/>
      <c r="P94" s="6" t="s">
        <v>6217</v>
      </c>
      <c r="Q94" s="179"/>
      <c r="R94" s="54"/>
      <c r="S94" s="6"/>
    </row>
    <row r="95" spans="1:19" ht="38.25">
      <c r="A95" s="6" t="s">
        <v>5293</v>
      </c>
      <c r="B95" s="6"/>
      <c r="C95" s="6" t="s">
        <v>6872</v>
      </c>
      <c r="D95" s="179"/>
      <c r="E95" s="6"/>
      <c r="F95" s="22" t="s">
        <v>5294</v>
      </c>
      <c r="G95" s="6" t="s">
        <v>5295</v>
      </c>
      <c r="H95" s="8">
        <v>34000</v>
      </c>
      <c r="I95" s="6" t="s">
        <v>5296</v>
      </c>
      <c r="J95" s="6" t="s">
        <v>6783</v>
      </c>
      <c r="K95" s="179" t="s">
        <v>7939</v>
      </c>
      <c r="L95" s="536"/>
      <c r="M95" s="475" t="s">
        <v>1808</v>
      </c>
      <c r="N95" s="179"/>
      <c r="O95" s="468" t="s">
        <v>7940</v>
      </c>
      <c r="P95" s="6" t="s">
        <v>6064</v>
      </c>
      <c r="Q95" s="179"/>
      <c r="R95" s="54"/>
      <c r="S95" s="6"/>
    </row>
    <row r="96" spans="1:19" ht="63.75">
      <c r="A96" s="6" t="s">
        <v>5297</v>
      </c>
      <c r="B96" s="6"/>
      <c r="C96" s="6" t="s">
        <v>6872</v>
      </c>
      <c r="D96" s="179"/>
      <c r="E96" s="6"/>
      <c r="F96" s="22" t="s">
        <v>4324</v>
      </c>
      <c r="G96" s="6" t="s">
        <v>5298</v>
      </c>
      <c r="H96" s="8">
        <v>46800</v>
      </c>
      <c r="I96" s="6"/>
      <c r="J96" s="6"/>
      <c r="K96" s="179" t="s">
        <v>7941</v>
      </c>
      <c r="L96" s="536"/>
      <c r="M96" s="475" t="s">
        <v>1808</v>
      </c>
      <c r="N96" s="179"/>
      <c r="O96" s="468" t="s">
        <v>7942</v>
      </c>
      <c r="P96" s="6" t="s">
        <v>6064</v>
      </c>
      <c r="Q96" s="179"/>
      <c r="R96" s="54"/>
      <c r="S96" s="6"/>
    </row>
    <row r="97" spans="1:19" ht="25.5">
      <c r="A97" s="6" t="s">
        <v>5299</v>
      </c>
      <c r="B97" s="6"/>
      <c r="C97" s="6" t="s">
        <v>6872</v>
      </c>
      <c r="D97" s="179"/>
      <c r="E97" s="6"/>
      <c r="F97" s="22"/>
      <c r="G97" s="6"/>
      <c r="H97" s="6"/>
      <c r="I97" s="6"/>
      <c r="J97" s="6"/>
      <c r="K97" s="179"/>
      <c r="L97" s="536"/>
      <c r="M97" s="475" t="s">
        <v>1808</v>
      </c>
      <c r="N97" s="179"/>
      <c r="O97" s="479"/>
      <c r="P97" s="6" t="s">
        <v>7924</v>
      </c>
      <c r="Q97" s="179"/>
      <c r="R97" s="54"/>
      <c r="S97" s="6"/>
    </row>
    <row r="98" spans="1:19" ht="25.5">
      <c r="A98" s="6" t="s">
        <v>5300</v>
      </c>
      <c r="B98" s="6"/>
      <c r="C98" s="6" t="s">
        <v>6872</v>
      </c>
      <c r="D98" s="179"/>
      <c r="E98" s="6"/>
      <c r="F98" s="22"/>
      <c r="G98" s="6"/>
      <c r="H98" s="6"/>
      <c r="I98" s="6"/>
      <c r="J98" s="6"/>
      <c r="K98" s="179"/>
      <c r="L98" s="536"/>
      <c r="M98" s="475" t="s">
        <v>1808</v>
      </c>
      <c r="N98" s="179"/>
      <c r="O98" s="479"/>
      <c r="P98" s="6" t="s">
        <v>7924</v>
      </c>
      <c r="Q98" s="179"/>
      <c r="R98" s="54"/>
      <c r="S98" s="6"/>
    </row>
    <row r="99" spans="1:19" ht="51">
      <c r="A99" s="6" t="s">
        <v>5301</v>
      </c>
      <c r="B99" s="6"/>
      <c r="C99" s="6" t="s">
        <v>6872</v>
      </c>
      <c r="D99" s="179"/>
      <c r="E99" s="6"/>
      <c r="F99" s="22" t="s">
        <v>5302</v>
      </c>
      <c r="G99" s="6" t="s">
        <v>2331</v>
      </c>
      <c r="H99" s="8">
        <v>98080</v>
      </c>
      <c r="I99" s="6"/>
      <c r="J99" s="6"/>
      <c r="K99" s="179" t="s">
        <v>7943</v>
      </c>
      <c r="L99" s="536"/>
      <c r="M99" s="475" t="s">
        <v>1808</v>
      </c>
      <c r="N99" s="179"/>
      <c r="O99" s="468" t="s">
        <v>7944</v>
      </c>
      <c r="P99" s="6" t="s">
        <v>6064</v>
      </c>
      <c r="Q99" s="179"/>
      <c r="R99" s="54"/>
      <c r="S99" s="6"/>
    </row>
    <row r="100" spans="1:19" ht="38.25">
      <c r="A100" s="6" t="s">
        <v>5303</v>
      </c>
      <c r="B100" s="6"/>
      <c r="C100" s="6" t="s">
        <v>6872</v>
      </c>
      <c r="D100" s="179"/>
      <c r="E100" s="6"/>
      <c r="F100" s="22" t="s">
        <v>5304</v>
      </c>
      <c r="G100" s="6" t="s">
        <v>4469</v>
      </c>
      <c r="H100" s="64">
        <v>50000</v>
      </c>
      <c r="I100" s="6" t="s">
        <v>4470</v>
      </c>
      <c r="J100" s="6" t="s">
        <v>2467</v>
      </c>
      <c r="K100" s="179" t="s">
        <v>7945</v>
      </c>
      <c r="L100" s="536"/>
      <c r="M100" s="475" t="s">
        <v>1808</v>
      </c>
      <c r="N100" s="179"/>
      <c r="O100" s="179"/>
      <c r="P100" s="6" t="s">
        <v>6092</v>
      </c>
      <c r="Q100" s="179"/>
      <c r="R100" s="54"/>
      <c r="S100" s="6"/>
    </row>
    <row r="101" spans="1:19" ht="12.75">
      <c r="A101" s="6"/>
      <c r="B101" s="6"/>
      <c r="C101" s="6"/>
      <c r="D101" s="179"/>
      <c r="E101" s="6"/>
      <c r="F101" s="22"/>
      <c r="G101" s="6"/>
      <c r="H101" s="6"/>
      <c r="I101" s="6"/>
      <c r="J101" s="6"/>
      <c r="K101" s="179"/>
      <c r="L101" s="179"/>
      <c r="M101" s="6"/>
      <c r="N101" s="179"/>
      <c r="O101" s="6"/>
      <c r="P101" s="6"/>
      <c r="Q101" s="179"/>
      <c r="R101" s="54"/>
      <c r="S101" s="6"/>
    </row>
    <row r="102" spans="1:19" ht="12.75">
      <c r="A102" s="6"/>
      <c r="B102" s="6"/>
      <c r="C102" s="6"/>
      <c r="D102" s="179"/>
      <c r="E102" s="6"/>
      <c r="F102" s="22"/>
      <c r="G102" s="6"/>
      <c r="H102" s="6"/>
      <c r="I102" s="6"/>
      <c r="J102" s="6"/>
      <c r="K102" s="179"/>
      <c r="L102" s="179"/>
      <c r="M102" s="6"/>
      <c r="N102" s="179"/>
      <c r="O102" s="6"/>
      <c r="P102" s="6"/>
      <c r="Q102" s="179"/>
      <c r="R102" s="54"/>
      <c r="S102" s="6"/>
    </row>
    <row r="103" spans="1:19" ht="12.75">
      <c r="A103" s="6"/>
      <c r="B103" s="6"/>
      <c r="C103" s="6"/>
      <c r="D103" s="179"/>
      <c r="E103" s="6"/>
      <c r="F103" s="22"/>
      <c r="G103" s="6"/>
      <c r="H103" s="6"/>
      <c r="I103" s="6"/>
      <c r="J103" s="6"/>
      <c r="K103" s="179"/>
      <c r="L103" s="179"/>
      <c r="M103" s="6"/>
      <c r="N103" s="179"/>
      <c r="O103" s="6"/>
      <c r="P103" s="6"/>
      <c r="Q103" s="179"/>
      <c r="R103" s="54"/>
      <c r="S103" s="6"/>
    </row>
    <row r="104" spans="1:19" ht="12.75">
      <c r="A104" s="6"/>
      <c r="B104" s="6"/>
      <c r="C104" s="6"/>
      <c r="D104" s="179"/>
      <c r="E104" s="6"/>
      <c r="F104" s="22"/>
      <c r="G104" s="6"/>
      <c r="H104" s="6"/>
      <c r="I104" s="6"/>
      <c r="J104" s="6"/>
      <c r="K104" s="179"/>
      <c r="L104" s="179"/>
      <c r="M104" s="6"/>
      <c r="N104" s="179"/>
      <c r="O104" s="6"/>
      <c r="P104" s="6"/>
      <c r="Q104" s="179"/>
      <c r="R104" s="54"/>
      <c r="S104" s="6"/>
    </row>
    <row r="105" spans="1:19" ht="12.75">
      <c r="A105" s="6"/>
      <c r="B105" s="6"/>
      <c r="C105" s="6"/>
      <c r="D105" s="179"/>
      <c r="E105" s="6"/>
      <c r="F105" s="22"/>
      <c r="G105" s="6"/>
      <c r="H105" s="6"/>
      <c r="I105" s="6"/>
      <c r="J105" s="6"/>
      <c r="K105" s="179"/>
      <c r="L105" s="179"/>
      <c r="M105" s="6"/>
      <c r="N105" s="179"/>
      <c r="O105" s="6"/>
      <c r="P105" s="6"/>
      <c r="Q105" s="179"/>
      <c r="R105" s="54"/>
      <c r="S105" s="6"/>
    </row>
  </sheetData>
  <hyperlinks>
    <hyperlink ref="E2" r:id="rId1" xr:uid="{00000000-0004-0000-1A00-000000000000}"/>
    <hyperlink ref="E3" r:id="rId2" xr:uid="{00000000-0004-0000-1A00-000001000000}"/>
    <hyperlink ref="E4" r:id="rId3" xr:uid="{00000000-0004-0000-1A00-000002000000}"/>
    <hyperlink ref="E5" r:id="rId4" xr:uid="{00000000-0004-0000-1A00-000003000000}"/>
    <hyperlink ref="E6" r:id="rId5" xr:uid="{00000000-0004-0000-1A00-000004000000}"/>
    <hyperlink ref="E7" r:id="rId6" xr:uid="{00000000-0004-0000-1A00-000005000000}"/>
    <hyperlink ref="E8" r:id="rId7" xr:uid="{00000000-0004-0000-1A00-000006000000}"/>
    <hyperlink ref="O8" r:id="rId8" xr:uid="{00000000-0004-0000-1A00-000007000000}"/>
    <hyperlink ref="E9" r:id="rId9" xr:uid="{00000000-0004-0000-1A00-000008000000}"/>
    <hyperlink ref="E10" r:id="rId10" xr:uid="{00000000-0004-0000-1A00-000009000000}"/>
    <hyperlink ref="E11" r:id="rId11" xr:uid="{00000000-0004-0000-1A00-00000A000000}"/>
    <hyperlink ref="E12" r:id="rId12" xr:uid="{00000000-0004-0000-1A00-00000B000000}"/>
    <hyperlink ref="E13" r:id="rId13" xr:uid="{00000000-0004-0000-1A00-00000C000000}"/>
    <hyperlink ref="E14" r:id="rId14" xr:uid="{00000000-0004-0000-1A00-00000D000000}"/>
    <hyperlink ref="E15" r:id="rId15" xr:uid="{00000000-0004-0000-1A00-00000E000000}"/>
    <hyperlink ref="E16" r:id="rId16" xr:uid="{00000000-0004-0000-1A00-00000F000000}"/>
    <hyperlink ref="E17" r:id="rId17" xr:uid="{00000000-0004-0000-1A00-000010000000}"/>
    <hyperlink ref="O17" r:id="rId18" xr:uid="{00000000-0004-0000-1A00-000011000000}"/>
    <hyperlink ref="E18" r:id="rId19" xr:uid="{00000000-0004-0000-1A00-000012000000}"/>
    <hyperlink ref="E19" r:id="rId20" xr:uid="{00000000-0004-0000-1A00-000013000000}"/>
    <hyperlink ref="E20" r:id="rId21" xr:uid="{00000000-0004-0000-1A00-000014000000}"/>
    <hyperlink ref="E21" r:id="rId22" xr:uid="{00000000-0004-0000-1A00-000015000000}"/>
    <hyperlink ref="O21" r:id="rId23" xr:uid="{00000000-0004-0000-1A00-000016000000}"/>
    <hyperlink ref="E22" r:id="rId24" xr:uid="{00000000-0004-0000-1A00-000017000000}"/>
    <hyperlink ref="O22" r:id="rId25" xr:uid="{00000000-0004-0000-1A00-000018000000}"/>
    <hyperlink ref="E23" r:id="rId26" xr:uid="{00000000-0004-0000-1A00-000019000000}"/>
    <hyperlink ref="E24" r:id="rId27" xr:uid="{00000000-0004-0000-1A00-00001A000000}"/>
    <hyperlink ref="E25" r:id="rId28" xr:uid="{00000000-0004-0000-1A00-00001B000000}"/>
    <hyperlink ref="E26" r:id="rId29" xr:uid="{00000000-0004-0000-1A00-00001C000000}"/>
    <hyperlink ref="O26" r:id="rId30" xr:uid="{00000000-0004-0000-1A00-00001D000000}"/>
    <hyperlink ref="E27" r:id="rId31" xr:uid="{00000000-0004-0000-1A00-00001E000000}"/>
    <hyperlink ref="E28" r:id="rId32" xr:uid="{00000000-0004-0000-1A00-00001F000000}"/>
    <hyperlink ref="E29" r:id="rId33" xr:uid="{00000000-0004-0000-1A00-000020000000}"/>
    <hyperlink ref="E30" r:id="rId34" xr:uid="{00000000-0004-0000-1A00-000021000000}"/>
    <hyperlink ref="E31" r:id="rId35" xr:uid="{00000000-0004-0000-1A00-000022000000}"/>
    <hyperlink ref="E32" r:id="rId36" xr:uid="{00000000-0004-0000-1A00-000023000000}"/>
    <hyperlink ref="E33" r:id="rId37" xr:uid="{00000000-0004-0000-1A00-000024000000}"/>
    <hyperlink ref="E34" r:id="rId38" xr:uid="{00000000-0004-0000-1A00-000025000000}"/>
    <hyperlink ref="E35" r:id="rId39" xr:uid="{00000000-0004-0000-1A00-000026000000}"/>
    <hyperlink ref="E36" r:id="rId40" xr:uid="{00000000-0004-0000-1A00-000027000000}"/>
    <hyperlink ref="E37" r:id="rId41" xr:uid="{00000000-0004-0000-1A00-000028000000}"/>
    <hyperlink ref="O39" r:id="rId42" xr:uid="{00000000-0004-0000-1A00-000029000000}"/>
    <hyperlink ref="O40" r:id="rId43" xr:uid="{00000000-0004-0000-1A00-00002A000000}"/>
    <hyperlink ref="O41" r:id="rId44" xr:uid="{00000000-0004-0000-1A00-00002B000000}"/>
    <hyperlink ref="O48" r:id="rId45" xr:uid="{00000000-0004-0000-1A00-00002C000000}"/>
    <hyperlink ref="O68" r:id="rId46" xr:uid="{00000000-0004-0000-1A00-00002D000000}"/>
    <hyperlink ref="O71" r:id="rId47" xr:uid="{00000000-0004-0000-1A00-00002E000000}"/>
    <hyperlink ref="O78" r:id="rId48" xr:uid="{00000000-0004-0000-1A00-00002F000000}"/>
    <hyperlink ref="O85" r:id="rId49" xr:uid="{00000000-0004-0000-1A00-000030000000}"/>
    <hyperlink ref="O93" r:id="rId50" xr:uid="{00000000-0004-0000-1A00-000031000000}"/>
    <hyperlink ref="O95" r:id="rId51" xr:uid="{00000000-0004-0000-1A00-000032000000}"/>
    <hyperlink ref="O96" r:id="rId52" xr:uid="{00000000-0004-0000-1A00-000033000000}"/>
    <hyperlink ref="O99" r:id="rId53" xr:uid="{00000000-0004-0000-1A00-000034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S1001"/>
  <sheetViews>
    <sheetView workbookViewId="0">
      <pane ySplit="1" topLeftCell="A2" activePane="bottomLeft" state="frozen"/>
      <selection pane="bottomLeft" activeCell="B3" sqref="B3"/>
    </sheetView>
  </sheetViews>
  <sheetFormatPr defaultColWidth="12.5703125" defaultRowHeight="15.75" customHeight="1"/>
  <cols>
    <col min="1" max="1" width="16.140625" customWidth="1"/>
    <col min="2" max="2" width="41.85546875" customWidth="1"/>
    <col min="3" max="3" width="13.42578125" customWidth="1"/>
    <col min="4" max="4" width="16.7109375" hidden="1" customWidth="1"/>
    <col min="5" max="5" width="33.140625" customWidth="1"/>
    <col min="6" max="6" width="55.42578125" customWidth="1"/>
    <col min="7" max="7" width="48.7109375" customWidth="1"/>
    <col min="8" max="8" width="19.28515625" customWidth="1"/>
    <col min="9" max="9" width="41.42578125" customWidth="1"/>
    <col min="11" max="11" width="55.42578125" customWidth="1"/>
    <col min="12" max="12" width="15.5703125" customWidth="1"/>
    <col min="13" max="13" width="18.140625" customWidth="1"/>
    <col min="14" max="14" width="15.5703125" customWidth="1"/>
    <col min="15" max="15" width="40" customWidth="1"/>
    <col min="16" max="16" width="15.5703125" customWidth="1"/>
    <col min="17" max="17" width="17.5703125" customWidth="1"/>
  </cols>
  <sheetData>
    <row r="1" spans="1:19" ht="33" customHeight="1">
      <c r="A1" s="274" t="s">
        <v>6259</v>
      </c>
      <c r="B1" s="274" t="s">
        <v>4</v>
      </c>
      <c r="C1" s="274" t="s">
        <v>389</v>
      </c>
      <c r="D1" s="274" t="s">
        <v>7661</v>
      </c>
      <c r="E1" s="274" t="s">
        <v>5634</v>
      </c>
      <c r="F1" s="274" t="s">
        <v>6</v>
      </c>
      <c r="G1" s="274" t="s">
        <v>7</v>
      </c>
      <c r="H1" s="274" t="s">
        <v>5627</v>
      </c>
      <c r="I1" s="274" t="s">
        <v>8</v>
      </c>
      <c r="J1" s="274" t="s">
        <v>1821</v>
      </c>
      <c r="K1" s="274" t="s">
        <v>1822</v>
      </c>
      <c r="L1" s="274" t="s">
        <v>5631</v>
      </c>
      <c r="M1" s="274" t="s">
        <v>6260</v>
      </c>
      <c r="N1" s="274" t="s">
        <v>7946</v>
      </c>
      <c r="O1" s="274" t="s">
        <v>7662</v>
      </c>
      <c r="P1" s="274" t="s">
        <v>6060</v>
      </c>
      <c r="Q1" s="274" t="s">
        <v>1818</v>
      </c>
      <c r="R1" s="274" t="s">
        <v>7812</v>
      </c>
      <c r="S1" s="318" t="s">
        <v>5628</v>
      </c>
    </row>
    <row r="2" spans="1:19" ht="23.25" customHeight="1">
      <c r="A2" s="61">
        <v>40544</v>
      </c>
      <c r="B2" s="6" t="s">
        <v>62</v>
      </c>
      <c r="C2" s="6" t="s">
        <v>6872</v>
      </c>
      <c r="D2" s="539">
        <v>40584</v>
      </c>
      <c r="E2" s="472" t="s">
        <v>7947</v>
      </c>
      <c r="F2" s="158" t="s">
        <v>7948</v>
      </c>
      <c r="G2" s="158" t="s">
        <v>7949</v>
      </c>
      <c r="H2" s="8">
        <v>2000000</v>
      </c>
      <c r="I2" s="160" t="s">
        <v>7950</v>
      </c>
      <c r="J2" s="6" t="s">
        <v>1828</v>
      </c>
      <c r="K2" s="178"/>
      <c r="L2" s="179"/>
      <c r="M2" s="6" t="s">
        <v>6132</v>
      </c>
      <c r="N2" s="179"/>
      <c r="O2" s="467" t="s">
        <v>7800</v>
      </c>
      <c r="P2" s="6" t="s">
        <v>6941</v>
      </c>
      <c r="Q2" s="54"/>
      <c r="R2" s="54"/>
      <c r="S2" s="54"/>
    </row>
    <row r="3" spans="1:19" ht="38.25">
      <c r="A3" s="61">
        <v>40603</v>
      </c>
      <c r="B3" s="6" t="s">
        <v>7951</v>
      </c>
      <c r="C3" s="6" t="s">
        <v>6872</v>
      </c>
      <c r="D3" s="6"/>
      <c r="E3" s="291" t="s">
        <v>7952</v>
      </c>
      <c r="F3" s="6" t="s">
        <v>7953</v>
      </c>
      <c r="G3" s="6" t="s">
        <v>7954</v>
      </c>
      <c r="H3" s="8">
        <v>200436</v>
      </c>
      <c r="I3" s="531" t="s">
        <v>7955</v>
      </c>
      <c r="J3" s="6" t="s">
        <v>2467</v>
      </c>
      <c r="K3" s="179"/>
      <c r="L3" s="179"/>
      <c r="M3" s="6" t="s">
        <v>6132</v>
      </c>
      <c r="N3" s="179"/>
      <c r="O3" s="468" t="s">
        <v>7956</v>
      </c>
      <c r="P3" s="6" t="s">
        <v>6104</v>
      </c>
      <c r="Q3" s="54"/>
      <c r="R3" s="54"/>
      <c r="S3" s="54"/>
    </row>
    <row r="4" spans="1:19" ht="25.5">
      <c r="A4" s="61">
        <v>40634</v>
      </c>
      <c r="B4" s="6" t="s">
        <v>7957</v>
      </c>
      <c r="C4" s="6" t="s">
        <v>6872</v>
      </c>
      <c r="D4" s="6"/>
      <c r="E4" s="297" t="s">
        <v>7958</v>
      </c>
      <c r="F4" s="6" t="s">
        <v>7959</v>
      </c>
      <c r="G4" s="160" t="s">
        <v>7960</v>
      </c>
      <c r="H4" s="8">
        <v>870000</v>
      </c>
      <c r="I4" s="160" t="s">
        <v>7961</v>
      </c>
      <c r="J4" s="6" t="s">
        <v>1828</v>
      </c>
      <c r="K4" s="179"/>
      <c r="L4" s="179"/>
      <c r="M4" s="475" t="s">
        <v>1808</v>
      </c>
      <c r="N4" s="179"/>
      <c r="O4" s="468" t="s">
        <v>7962</v>
      </c>
      <c r="P4" s="6" t="s">
        <v>6933</v>
      </c>
      <c r="Q4" s="54"/>
      <c r="R4" s="54"/>
      <c r="S4" s="54"/>
    </row>
    <row r="5" spans="1:19" ht="38.25">
      <c r="A5" s="61">
        <v>40664</v>
      </c>
      <c r="B5" s="6" t="s">
        <v>7963</v>
      </c>
      <c r="C5" s="6" t="s">
        <v>6872</v>
      </c>
      <c r="D5" s="6"/>
      <c r="E5" s="291" t="s">
        <v>7964</v>
      </c>
      <c r="F5" s="6" t="s">
        <v>7965</v>
      </c>
      <c r="G5" s="6" t="s">
        <v>7966</v>
      </c>
      <c r="H5" s="64">
        <v>100000</v>
      </c>
      <c r="I5" s="531" t="s">
        <v>7967</v>
      </c>
      <c r="J5" s="6" t="s">
        <v>1828</v>
      </c>
      <c r="K5" s="179"/>
      <c r="L5" s="179"/>
      <c r="M5" s="475" t="s">
        <v>1808</v>
      </c>
      <c r="N5" s="179"/>
      <c r="O5" s="468" t="s">
        <v>7968</v>
      </c>
      <c r="P5" s="6" t="s">
        <v>6064</v>
      </c>
      <c r="Q5" s="54"/>
      <c r="R5" s="54"/>
      <c r="S5" s="54"/>
    </row>
    <row r="6" spans="1:19" ht="38.25">
      <c r="A6" s="61">
        <v>40756</v>
      </c>
      <c r="B6" s="6" t="s">
        <v>573</v>
      </c>
      <c r="C6" s="6" t="s">
        <v>6872</v>
      </c>
      <c r="D6" s="6"/>
      <c r="E6" s="297" t="s">
        <v>7969</v>
      </c>
      <c r="F6" s="6" t="s">
        <v>7970</v>
      </c>
      <c r="G6" s="6" t="s">
        <v>7971</v>
      </c>
      <c r="H6" s="64">
        <v>150000</v>
      </c>
      <c r="I6" s="531" t="s">
        <v>7972</v>
      </c>
      <c r="J6" s="6" t="s">
        <v>1828</v>
      </c>
      <c r="K6" s="179"/>
      <c r="L6" s="179"/>
      <c r="M6" s="475" t="s">
        <v>1808</v>
      </c>
      <c r="N6" s="179"/>
      <c r="O6" s="468" t="s">
        <v>7973</v>
      </c>
      <c r="P6" s="6" t="s">
        <v>6064</v>
      </c>
      <c r="Q6" s="54"/>
      <c r="R6" s="54"/>
      <c r="S6" s="54"/>
    </row>
    <row r="7" spans="1:19" ht="27.75" customHeight="1">
      <c r="A7" s="61">
        <v>40848</v>
      </c>
      <c r="B7" s="6" t="s">
        <v>62</v>
      </c>
      <c r="C7" s="6" t="s">
        <v>6872</v>
      </c>
      <c r="D7" s="6"/>
      <c r="E7" s="297" t="s">
        <v>7974</v>
      </c>
      <c r="F7" s="6" t="s">
        <v>7975</v>
      </c>
      <c r="G7" s="6" t="s">
        <v>7976</v>
      </c>
      <c r="H7" s="64">
        <v>500000</v>
      </c>
      <c r="I7" s="160" t="s">
        <v>7977</v>
      </c>
      <c r="J7" s="6" t="s">
        <v>2656</v>
      </c>
      <c r="K7" s="179"/>
      <c r="L7" s="179"/>
      <c r="M7" s="6" t="s">
        <v>6179</v>
      </c>
      <c r="N7" s="179"/>
      <c r="O7" s="468" t="s">
        <v>7978</v>
      </c>
      <c r="P7" s="6" t="s">
        <v>6064</v>
      </c>
      <c r="Q7" s="54"/>
      <c r="R7" s="54"/>
      <c r="S7" s="54"/>
    </row>
    <row r="8" spans="1:19" ht="31.5" customHeight="1">
      <c r="A8" s="62">
        <v>40878</v>
      </c>
      <c r="B8" s="6" t="s">
        <v>62</v>
      </c>
      <c r="C8" s="6" t="s">
        <v>6872</v>
      </c>
      <c r="D8" s="6"/>
      <c r="E8" s="297" t="s">
        <v>7979</v>
      </c>
      <c r="F8" s="6" t="s">
        <v>7980</v>
      </c>
      <c r="G8" s="6" t="s">
        <v>7981</v>
      </c>
      <c r="H8" s="8">
        <v>98214.29</v>
      </c>
      <c r="I8" s="160" t="s">
        <v>7982</v>
      </c>
      <c r="J8" s="6" t="s">
        <v>6314</v>
      </c>
      <c r="K8" s="179"/>
      <c r="L8" s="179"/>
      <c r="M8" s="6" t="s">
        <v>6132</v>
      </c>
      <c r="N8" s="179"/>
      <c r="O8" s="468" t="s">
        <v>7983</v>
      </c>
      <c r="P8" s="6" t="s">
        <v>6941</v>
      </c>
      <c r="Q8" s="54"/>
      <c r="R8" s="54"/>
      <c r="S8" s="54"/>
    </row>
    <row r="9" spans="1:19" ht="25.5">
      <c r="A9" s="6" t="s">
        <v>7984</v>
      </c>
      <c r="B9" s="6" t="s">
        <v>573</v>
      </c>
      <c r="C9" s="6" t="s">
        <v>6872</v>
      </c>
      <c r="D9" s="158"/>
      <c r="E9" s="472" t="s">
        <v>7985</v>
      </c>
      <c r="F9" s="158" t="s">
        <v>7986</v>
      </c>
      <c r="G9" s="158" t="s">
        <v>1556</v>
      </c>
      <c r="H9" s="470">
        <v>651000</v>
      </c>
      <c r="I9" s="160" t="s">
        <v>5013</v>
      </c>
      <c r="J9" s="6" t="s">
        <v>1828</v>
      </c>
      <c r="K9" s="178"/>
      <c r="L9" s="179"/>
      <c r="M9" s="475" t="s">
        <v>1808</v>
      </c>
      <c r="N9" s="179"/>
      <c r="O9" s="468" t="s">
        <v>7987</v>
      </c>
      <c r="P9" s="6" t="s">
        <v>1824</v>
      </c>
      <c r="Q9" s="54"/>
      <c r="R9" s="54"/>
      <c r="S9" s="54"/>
    </row>
    <row r="10" spans="1:19" ht="25.5">
      <c r="A10" s="6" t="s">
        <v>7988</v>
      </c>
      <c r="B10" s="6" t="s">
        <v>7989</v>
      </c>
      <c r="C10" s="6" t="s">
        <v>6872</v>
      </c>
      <c r="D10" s="6"/>
      <c r="E10" s="297" t="s">
        <v>7990</v>
      </c>
      <c r="F10" s="6" t="s">
        <v>7991</v>
      </c>
      <c r="G10" s="6" t="s">
        <v>1556</v>
      </c>
      <c r="H10" s="540">
        <v>200000</v>
      </c>
      <c r="I10" s="160" t="s">
        <v>5013</v>
      </c>
      <c r="J10" s="6" t="s">
        <v>1828</v>
      </c>
      <c r="K10" s="179"/>
      <c r="L10" s="179"/>
      <c r="M10" s="475" t="s">
        <v>1808</v>
      </c>
      <c r="N10" s="179"/>
      <c r="O10" s="468" t="s">
        <v>7992</v>
      </c>
      <c r="P10" s="6" t="s">
        <v>1824</v>
      </c>
      <c r="Q10" s="54"/>
      <c r="R10" s="54"/>
      <c r="S10" s="54"/>
    </row>
    <row r="11" spans="1:19" ht="24.75" customHeight="1">
      <c r="A11" s="6" t="s">
        <v>7993</v>
      </c>
      <c r="B11" s="6" t="s">
        <v>68</v>
      </c>
      <c r="C11" s="158" t="s">
        <v>6872</v>
      </c>
      <c r="D11" s="6"/>
      <c r="E11" s="297" t="s">
        <v>7994</v>
      </c>
      <c r="F11" s="6" t="s">
        <v>7995</v>
      </c>
      <c r="G11" s="6" t="s">
        <v>5026</v>
      </c>
      <c r="H11" s="8">
        <v>323607.59999999998</v>
      </c>
      <c r="I11" s="160"/>
      <c r="J11" s="6" t="s">
        <v>1828</v>
      </c>
      <c r="K11" s="179"/>
      <c r="L11" s="179"/>
      <c r="M11" s="6" t="s">
        <v>6132</v>
      </c>
      <c r="N11" s="179"/>
      <c r="O11" s="468" t="s">
        <v>7996</v>
      </c>
      <c r="P11" s="6"/>
      <c r="Q11" s="54"/>
      <c r="R11" s="54"/>
      <c r="S11" s="54"/>
    </row>
    <row r="12" spans="1:19" ht="27.75" customHeight="1">
      <c r="A12" s="6" t="s">
        <v>7997</v>
      </c>
      <c r="B12" s="6"/>
      <c r="C12" s="6" t="s">
        <v>6872</v>
      </c>
      <c r="D12" s="6"/>
      <c r="E12" s="297" t="s">
        <v>7998</v>
      </c>
      <c r="F12" s="6" t="s">
        <v>7999</v>
      </c>
      <c r="G12" s="6" t="s">
        <v>8000</v>
      </c>
      <c r="H12" s="64">
        <v>100000</v>
      </c>
      <c r="I12" s="160" t="s">
        <v>5013</v>
      </c>
      <c r="J12" s="6" t="s">
        <v>1828</v>
      </c>
      <c r="K12" s="179"/>
      <c r="L12" s="179"/>
      <c r="M12" s="475" t="s">
        <v>1808</v>
      </c>
      <c r="N12" s="179"/>
      <c r="O12" s="468" t="s">
        <v>8001</v>
      </c>
      <c r="P12" s="6" t="s">
        <v>1824</v>
      </c>
      <c r="Q12" s="54"/>
      <c r="R12" s="54"/>
      <c r="S12" s="54"/>
    </row>
    <row r="13" spans="1:19" ht="38.25">
      <c r="A13" s="6" t="s">
        <v>8002</v>
      </c>
      <c r="B13" s="6" t="s">
        <v>1141</v>
      </c>
      <c r="C13" s="6" t="s">
        <v>6872</v>
      </c>
      <c r="D13" s="6"/>
      <c r="E13" s="291" t="s">
        <v>8003</v>
      </c>
      <c r="F13" s="6" t="s">
        <v>8004</v>
      </c>
      <c r="G13" s="6" t="s">
        <v>8005</v>
      </c>
      <c r="H13" s="8">
        <v>74046</v>
      </c>
      <c r="I13" s="6" t="s">
        <v>8006</v>
      </c>
      <c r="J13" s="6" t="s">
        <v>6370</v>
      </c>
      <c r="K13" s="179"/>
      <c r="L13" s="179"/>
      <c r="M13" s="475" t="s">
        <v>1808</v>
      </c>
      <c r="N13" s="179"/>
      <c r="O13" s="468" t="s">
        <v>8007</v>
      </c>
      <c r="P13" s="6" t="s">
        <v>6137</v>
      </c>
      <c r="Q13" s="54"/>
      <c r="R13" s="54"/>
      <c r="S13" s="54"/>
    </row>
    <row r="14" spans="1:19" ht="51">
      <c r="A14" s="6" t="s">
        <v>8008</v>
      </c>
      <c r="B14" s="6" t="s">
        <v>1141</v>
      </c>
      <c r="C14" s="6" t="s">
        <v>925</v>
      </c>
      <c r="D14" s="6"/>
      <c r="E14" s="291" t="s">
        <v>8009</v>
      </c>
      <c r="F14" s="6" t="s">
        <v>8010</v>
      </c>
      <c r="G14" s="158" t="s">
        <v>4636</v>
      </c>
      <c r="H14" s="30">
        <v>83423</v>
      </c>
      <c r="I14" s="6" t="s">
        <v>4637</v>
      </c>
      <c r="J14" s="6" t="s">
        <v>5712</v>
      </c>
      <c r="K14" s="179"/>
      <c r="L14" s="179"/>
      <c r="M14" s="475" t="s">
        <v>1808</v>
      </c>
      <c r="N14" s="179"/>
      <c r="O14" s="468" t="s">
        <v>8011</v>
      </c>
      <c r="P14" s="6" t="s">
        <v>6137</v>
      </c>
      <c r="Q14" s="54"/>
      <c r="R14" s="54"/>
      <c r="S14" s="179" t="s">
        <v>8012</v>
      </c>
    </row>
    <row r="15" spans="1:19" ht="38.25">
      <c r="A15" s="6" t="s">
        <v>8013</v>
      </c>
      <c r="B15" s="6" t="s">
        <v>4987</v>
      </c>
      <c r="C15" s="6" t="s">
        <v>6872</v>
      </c>
      <c r="D15" s="6"/>
      <c r="E15" s="291" t="s">
        <v>8014</v>
      </c>
      <c r="F15" s="6" t="s">
        <v>8015</v>
      </c>
      <c r="G15" s="158" t="s">
        <v>722</v>
      </c>
      <c r="H15" s="64">
        <v>639800</v>
      </c>
      <c r="I15" s="6" t="s">
        <v>8016</v>
      </c>
      <c r="J15" s="6" t="s">
        <v>2467</v>
      </c>
      <c r="K15" s="179"/>
      <c r="L15" s="179"/>
      <c r="M15" s="475" t="s">
        <v>1808</v>
      </c>
      <c r="N15" s="179"/>
      <c r="O15" s="468" t="s">
        <v>8017</v>
      </c>
      <c r="P15" s="6" t="s">
        <v>1824</v>
      </c>
      <c r="Q15" s="54"/>
      <c r="R15" s="54"/>
      <c r="S15" s="179" t="s">
        <v>8018</v>
      </c>
    </row>
    <row r="16" spans="1:19" ht="38.25">
      <c r="A16" s="6" t="s">
        <v>8019</v>
      </c>
      <c r="B16" s="6" t="s">
        <v>4982</v>
      </c>
      <c r="C16" s="6" t="s">
        <v>6872</v>
      </c>
      <c r="D16" s="158"/>
      <c r="E16" s="472" t="s">
        <v>8020</v>
      </c>
      <c r="F16" s="158" t="s">
        <v>8021</v>
      </c>
      <c r="G16" s="6" t="s">
        <v>722</v>
      </c>
      <c r="H16" s="64">
        <v>639800</v>
      </c>
      <c r="I16" s="6" t="s">
        <v>8016</v>
      </c>
      <c r="J16" s="6" t="s">
        <v>2467</v>
      </c>
      <c r="K16" s="178"/>
      <c r="L16" s="179"/>
      <c r="M16" s="475" t="s">
        <v>1808</v>
      </c>
      <c r="N16" s="179"/>
      <c r="O16" s="468" t="s">
        <v>8022</v>
      </c>
      <c r="P16" s="6" t="s">
        <v>1824</v>
      </c>
      <c r="Q16" s="54"/>
      <c r="R16" s="54"/>
      <c r="S16" s="179" t="s">
        <v>8018</v>
      </c>
    </row>
    <row r="17" spans="1:19" ht="38.25">
      <c r="A17" s="6" t="s">
        <v>8023</v>
      </c>
      <c r="B17" s="6" t="s">
        <v>62</v>
      </c>
      <c r="C17" s="6" t="s">
        <v>6872</v>
      </c>
      <c r="D17" s="6"/>
      <c r="E17" s="297" t="s">
        <v>8024</v>
      </c>
      <c r="F17" s="6" t="s">
        <v>8025</v>
      </c>
      <c r="G17" s="6" t="s">
        <v>8026</v>
      </c>
      <c r="H17" s="8">
        <v>955000</v>
      </c>
      <c r="I17" s="6" t="s">
        <v>8027</v>
      </c>
      <c r="J17" s="6" t="s">
        <v>2449</v>
      </c>
      <c r="K17" s="179"/>
      <c r="L17" s="179"/>
      <c r="M17" s="6" t="s">
        <v>6132</v>
      </c>
      <c r="N17" s="179"/>
      <c r="O17" s="468" t="s">
        <v>8028</v>
      </c>
      <c r="P17" s="6" t="s">
        <v>6703</v>
      </c>
      <c r="Q17" s="54"/>
      <c r="R17" s="54"/>
      <c r="S17" s="54"/>
    </row>
    <row r="18" spans="1:19" ht="25.5">
      <c r="A18" s="6" t="s">
        <v>8029</v>
      </c>
      <c r="B18" s="6" t="s">
        <v>62</v>
      </c>
      <c r="C18" s="6" t="s">
        <v>6872</v>
      </c>
      <c r="D18" s="6"/>
      <c r="E18" s="297" t="s">
        <v>8030</v>
      </c>
      <c r="F18" s="6" t="s">
        <v>8031</v>
      </c>
      <c r="G18" s="6" t="s">
        <v>8032</v>
      </c>
      <c r="H18" s="6" t="s">
        <v>8033</v>
      </c>
      <c r="I18" s="6" t="s">
        <v>8034</v>
      </c>
      <c r="J18" s="6" t="s">
        <v>1828</v>
      </c>
      <c r="K18" s="179"/>
      <c r="L18" s="179"/>
      <c r="M18" s="6" t="s">
        <v>6132</v>
      </c>
      <c r="N18" s="179"/>
      <c r="O18" s="468" t="s">
        <v>8035</v>
      </c>
      <c r="P18" s="6" t="s">
        <v>6170</v>
      </c>
      <c r="Q18" s="54"/>
      <c r="R18" s="54"/>
      <c r="S18" s="54"/>
    </row>
    <row r="19" spans="1:19" ht="38.25">
      <c r="A19" s="6" t="s">
        <v>8036</v>
      </c>
      <c r="B19" s="6" t="s">
        <v>4987</v>
      </c>
      <c r="C19" s="6" t="s">
        <v>6872</v>
      </c>
      <c r="D19" s="6"/>
      <c r="E19" s="291" t="s">
        <v>8037</v>
      </c>
      <c r="F19" s="6" t="s">
        <v>8038</v>
      </c>
      <c r="G19" s="6" t="s">
        <v>3317</v>
      </c>
      <c r="H19" s="64">
        <v>639800</v>
      </c>
      <c r="I19" s="6" t="s">
        <v>8039</v>
      </c>
      <c r="J19" s="6" t="s">
        <v>1828</v>
      </c>
      <c r="K19" s="179"/>
      <c r="L19" s="179"/>
      <c r="M19" s="475" t="s">
        <v>1808</v>
      </c>
      <c r="N19" s="179"/>
      <c r="O19" s="468" t="s">
        <v>8040</v>
      </c>
      <c r="P19" s="6" t="s">
        <v>1824</v>
      </c>
      <c r="Q19" s="54"/>
      <c r="R19" s="54"/>
      <c r="S19" s="179" t="s">
        <v>8018</v>
      </c>
    </row>
    <row r="20" spans="1:19" ht="34.5" customHeight="1">
      <c r="A20" s="6" t="s">
        <v>8041</v>
      </c>
      <c r="B20" s="6" t="s">
        <v>62</v>
      </c>
      <c r="C20" s="158" t="s">
        <v>6872</v>
      </c>
      <c r="D20" s="6"/>
      <c r="E20" s="297" t="s">
        <v>8042</v>
      </c>
      <c r="F20" s="6" t="s">
        <v>8043</v>
      </c>
      <c r="G20" s="6" t="s">
        <v>8044</v>
      </c>
      <c r="H20" s="64">
        <v>998000</v>
      </c>
      <c r="I20" s="160" t="s">
        <v>8045</v>
      </c>
      <c r="J20" s="6" t="s">
        <v>2460</v>
      </c>
      <c r="K20" s="179"/>
      <c r="L20" s="179"/>
      <c r="M20" s="6" t="s">
        <v>6132</v>
      </c>
      <c r="N20" s="179"/>
      <c r="O20" s="468" t="s">
        <v>8046</v>
      </c>
      <c r="P20" s="6" t="s">
        <v>6064</v>
      </c>
      <c r="Q20" s="54"/>
      <c r="R20" s="54"/>
      <c r="S20" s="54"/>
    </row>
    <row r="21" spans="1:19" ht="38.25">
      <c r="A21" s="6" t="s">
        <v>8047</v>
      </c>
      <c r="B21" s="6" t="s">
        <v>62</v>
      </c>
      <c r="C21" s="158" t="s">
        <v>6872</v>
      </c>
      <c r="D21" s="6"/>
      <c r="E21" s="297" t="s">
        <v>8048</v>
      </c>
      <c r="F21" s="6" t="s">
        <v>8049</v>
      </c>
      <c r="G21" s="6" t="s">
        <v>8050</v>
      </c>
      <c r="H21" s="8">
        <v>313171</v>
      </c>
      <c r="I21" s="160" t="s">
        <v>8051</v>
      </c>
      <c r="J21" s="6" t="s">
        <v>1828</v>
      </c>
      <c r="K21" s="179"/>
      <c r="L21" s="179"/>
      <c r="M21" s="6" t="s">
        <v>6179</v>
      </c>
      <c r="N21" s="179"/>
      <c r="O21" s="468" t="s">
        <v>8052</v>
      </c>
      <c r="P21" s="6" t="s">
        <v>6064</v>
      </c>
      <c r="Q21" s="54"/>
      <c r="R21" s="54"/>
      <c r="S21" s="54"/>
    </row>
    <row r="22" spans="1:19" ht="21.75" customHeight="1">
      <c r="A22" s="6" t="s">
        <v>8053</v>
      </c>
      <c r="B22" s="6" t="s">
        <v>4982</v>
      </c>
      <c r="C22" s="6" t="s">
        <v>6872</v>
      </c>
      <c r="D22" s="6"/>
      <c r="E22" s="297" t="s">
        <v>8054</v>
      </c>
      <c r="F22" s="6" t="s">
        <v>8055</v>
      </c>
      <c r="G22" s="6" t="s">
        <v>3317</v>
      </c>
      <c r="H22" s="8">
        <v>644800</v>
      </c>
      <c r="I22" s="160" t="s">
        <v>8056</v>
      </c>
      <c r="J22" s="6" t="s">
        <v>1828</v>
      </c>
      <c r="K22" s="179"/>
      <c r="L22" s="179"/>
      <c r="M22" s="475" t="s">
        <v>1808</v>
      </c>
      <c r="N22" s="179"/>
      <c r="O22" s="468" t="s">
        <v>8057</v>
      </c>
      <c r="P22" s="6" t="s">
        <v>1824</v>
      </c>
      <c r="Q22" s="54"/>
      <c r="R22" s="54"/>
      <c r="S22" s="54"/>
    </row>
    <row r="23" spans="1:19" ht="21" customHeight="1">
      <c r="A23" s="6" t="s">
        <v>8058</v>
      </c>
      <c r="B23" s="6" t="s">
        <v>1141</v>
      </c>
      <c r="C23" s="6" t="s">
        <v>6872</v>
      </c>
      <c r="D23" s="6"/>
      <c r="E23" s="291" t="s">
        <v>8059</v>
      </c>
      <c r="F23" s="6" t="s">
        <v>8060</v>
      </c>
      <c r="G23" s="6" t="s">
        <v>8005</v>
      </c>
      <c r="H23" s="8">
        <v>270638.96000000002</v>
      </c>
      <c r="I23" s="160" t="s">
        <v>8006</v>
      </c>
      <c r="J23" s="6" t="s">
        <v>6370</v>
      </c>
      <c r="K23" s="179"/>
      <c r="L23" s="179"/>
      <c r="M23" s="475" t="s">
        <v>1808</v>
      </c>
      <c r="N23" s="179"/>
      <c r="O23" s="468" t="s">
        <v>8061</v>
      </c>
      <c r="P23" s="6"/>
      <c r="Q23" s="54"/>
      <c r="R23" s="54"/>
      <c r="S23" s="54"/>
    </row>
    <row r="24" spans="1:19" ht="38.25">
      <c r="A24" s="6" t="s">
        <v>8062</v>
      </c>
      <c r="B24" s="6" t="s">
        <v>8063</v>
      </c>
      <c r="C24" s="6" t="s">
        <v>6872</v>
      </c>
      <c r="D24" s="6"/>
      <c r="E24" s="297" t="s">
        <v>8064</v>
      </c>
      <c r="F24" s="6" t="s">
        <v>8065</v>
      </c>
      <c r="G24" s="6" t="s">
        <v>581</v>
      </c>
      <c r="H24" s="64">
        <v>265000</v>
      </c>
      <c r="I24" s="160" t="s">
        <v>8066</v>
      </c>
      <c r="J24" s="6" t="s">
        <v>6370</v>
      </c>
      <c r="K24" s="179"/>
      <c r="L24" s="179"/>
      <c r="M24" s="475" t="s">
        <v>1808</v>
      </c>
      <c r="N24" s="179"/>
      <c r="O24" s="468" t="s">
        <v>8067</v>
      </c>
      <c r="P24" s="6" t="s">
        <v>1824</v>
      </c>
      <c r="Q24" s="54"/>
      <c r="R24" s="54"/>
      <c r="S24" s="54"/>
    </row>
    <row r="25" spans="1:19" ht="38.25">
      <c r="A25" s="6" t="s">
        <v>8068</v>
      </c>
      <c r="B25" s="6" t="s">
        <v>62</v>
      </c>
      <c r="C25" s="158" t="s">
        <v>6872</v>
      </c>
      <c r="D25" s="6"/>
      <c r="E25" s="291" t="s">
        <v>8069</v>
      </c>
      <c r="F25" s="6" t="s">
        <v>8070</v>
      </c>
      <c r="G25" s="6" t="s">
        <v>8071</v>
      </c>
      <c r="H25" s="8">
        <v>332552</v>
      </c>
      <c r="I25" s="6" t="s">
        <v>8072</v>
      </c>
      <c r="J25" s="6" t="s">
        <v>1828</v>
      </c>
      <c r="K25" s="179"/>
      <c r="L25" s="179"/>
      <c r="M25" s="6" t="s">
        <v>6132</v>
      </c>
      <c r="N25" s="179"/>
      <c r="O25" s="468" t="s">
        <v>8073</v>
      </c>
      <c r="P25" s="6" t="s">
        <v>7712</v>
      </c>
      <c r="Q25" s="54"/>
      <c r="R25" s="54"/>
      <c r="S25" s="54"/>
    </row>
    <row r="26" spans="1:19" ht="38.25">
      <c r="A26" s="6" t="s">
        <v>8074</v>
      </c>
      <c r="B26" s="6" t="s">
        <v>948</v>
      </c>
      <c r="C26" s="6" t="s">
        <v>6872</v>
      </c>
      <c r="D26" s="6"/>
      <c r="E26" s="291" t="s">
        <v>8075</v>
      </c>
      <c r="F26" s="6" t="s">
        <v>8076</v>
      </c>
      <c r="G26" s="6" t="s">
        <v>8077</v>
      </c>
      <c r="H26" s="64">
        <v>718500</v>
      </c>
      <c r="I26" s="6" t="s">
        <v>2508</v>
      </c>
      <c r="J26" s="6" t="s">
        <v>1828</v>
      </c>
      <c r="K26" s="179"/>
      <c r="L26" s="179"/>
      <c r="M26" s="475" t="s">
        <v>1808</v>
      </c>
      <c r="N26" s="179"/>
      <c r="O26" s="468" t="s">
        <v>8078</v>
      </c>
      <c r="P26" s="6" t="s">
        <v>6170</v>
      </c>
      <c r="Q26" s="54"/>
      <c r="R26" s="54"/>
      <c r="S26" s="54"/>
    </row>
    <row r="27" spans="1:19" ht="51">
      <c r="A27" s="6" t="s">
        <v>8079</v>
      </c>
      <c r="B27" s="6" t="s">
        <v>62</v>
      </c>
      <c r="C27" s="6" t="s">
        <v>6872</v>
      </c>
      <c r="D27" s="6"/>
      <c r="E27" s="297" t="s">
        <v>8080</v>
      </c>
      <c r="F27" s="6" t="s">
        <v>4115</v>
      </c>
      <c r="G27" s="6" t="s">
        <v>5026</v>
      </c>
      <c r="H27" s="8">
        <v>678784</v>
      </c>
      <c r="I27" s="6" t="s">
        <v>8081</v>
      </c>
      <c r="J27" s="6" t="s">
        <v>1828</v>
      </c>
      <c r="K27" s="179"/>
      <c r="L27" s="179"/>
      <c r="M27" s="6" t="s">
        <v>6132</v>
      </c>
      <c r="N27" s="179"/>
      <c r="O27" s="468" t="s">
        <v>8082</v>
      </c>
      <c r="P27" s="6" t="s">
        <v>7712</v>
      </c>
      <c r="Q27" s="54"/>
      <c r="R27" s="54"/>
      <c r="S27" s="179" t="s">
        <v>8083</v>
      </c>
    </row>
    <row r="28" spans="1:19" ht="23.25" customHeight="1">
      <c r="A28" s="520"/>
      <c r="B28" s="541"/>
      <c r="C28" s="542"/>
      <c r="D28" s="542"/>
      <c r="E28" s="542"/>
      <c r="F28" s="542"/>
      <c r="G28" s="542"/>
      <c r="H28" s="542"/>
      <c r="I28" s="542"/>
      <c r="J28" s="542"/>
      <c r="K28" s="542"/>
      <c r="L28" s="542"/>
      <c r="M28" s="542"/>
      <c r="N28" s="542"/>
      <c r="O28" s="542"/>
      <c r="P28" s="542"/>
      <c r="Q28" s="542"/>
      <c r="R28" s="542"/>
      <c r="S28" s="543"/>
    </row>
    <row r="29" spans="1:19" ht="58.5" customHeight="1">
      <c r="A29" s="6" t="s">
        <v>8084</v>
      </c>
      <c r="B29" s="6"/>
      <c r="C29" s="6" t="s">
        <v>6872</v>
      </c>
      <c r="D29" s="6"/>
      <c r="E29" s="6"/>
      <c r="F29" s="6" t="s">
        <v>8085</v>
      </c>
      <c r="G29" s="6" t="s">
        <v>8086</v>
      </c>
      <c r="H29" s="64">
        <v>53000</v>
      </c>
      <c r="I29" s="6" t="s">
        <v>8087</v>
      </c>
      <c r="J29" s="6" t="s">
        <v>8088</v>
      </c>
      <c r="K29" s="180" t="s">
        <v>8089</v>
      </c>
      <c r="L29" s="179"/>
      <c r="M29" s="6" t="s">
        <v>6132</v>
      </c>
      <c r="N29" s="179"/>
      <c r="O29" s="468" t="s">
        <v>8090</v>
      </c>
      <c r="P29" s="6" t="s">
        <v>7712</v>
      </c>
      <c r="Q29" s="179"/>
      <c r="R29" s="54"/>
      <c r="S29" s="54"/>
    </row>
    <row r="30" spans="1:19" ht="63.75">
      <c r="A30" s="6" t="s">
        <v>8091</v>
      </c>
      <c r="B30" s="6"/>
      <c r="C30" s="6" t="s">
        <v>6872</v>
      </c>
      <c r="D30" s="6"/>
      <c r="E30" s="6"/>
      <c r="F30" s="6" t="s">
        <v>8092</v>
      </c>
      <c r="G30" s="6" t="s">
        <v>8093</v>
      </c>
      <c r="H30" s="8">
        <v>490120</v>
      </c>
      <c r="I30" s="6" t="s">
        <v>8094</v>
      </c>
      <c r="J30" s="6" t="s">
        <v>8095</v>
      </c>
      <c r="K30" s="180" t="s">
        <v>8096</v>
      </c>
      <c r="L30" s="179"/>
      <c r="M30" s="6" t="s">
        <v>6132</v>
      </c>
      <c r="N30" s="179"/>
      <c r="O30" s="468" t="s">
        <v>8097</v>
      </c>
      <c r="P30" s="6" t="s">
        <v>6941</v>
      </c>
      <c r="Q30" s="179"/>
      <c r="R30" s="54"/>
      <c r="S30" s="54"/>
    </row>
    <row r="31" spans="1:19" ht="51">
      <c r="A31" s="6" t="s">
        <v>8098</v>
      </c>
      <c r="B31" s="6"/>
      <c r="C31" s="6" t="s">
        <v>6872</v>
      </c>
      <c r="D31" s="6"/>
      <c r="E31" s="6"/>
      <c r="F31" s="6" t="s">
        <v>8099</v>
      </c>
      <c r="G31" s="6" t="s">
        <v>8100</v>
      </c>
      <c r="H31" s="6" t="s">
        <v>8101</v>
      </c>
      <c r="I31" s="160" t="s">
        <v>8102</v>
      </c>
      <c r="J31" s="6" t="s">
        <v>8103</v>
      </c>
      <c r="K31" s="180" t="s">
        <v>8104</v>
      </c>
      <c r="L31" s="179"/>
      <c r="M31" s="6" t="s">
        <v>6132</v>
      </c>
      <c r="N31" s="179"/>
      <c r="O31" s="468" t="s">
        <v>8105</v>
      </c>
      <c r="P31" s="6" t="s">
        <v>6217</v>
      </c>
      <c r="Q31" s="179"/>
      <c r="R31" s="54"/>
      <c r="S31" s="54"/>
    </row>
    <row r="32" spans="1:19" ht="38.25">
      <c r="A32" s="6" t="s">
        <v>8106</v>
      </c>
      <c r="B32" s="6"/>
      <c r="C32" s="6" t="s">
        <v>6872</v>
      </c>
      <c r="D32" s="6"/>
      <c r="E32" s="6"/>
      <c r="F32" s="6" t="s">
        <v>8107</v>
      </c>
      <c r="G32" s="6" t="s">
        <v>8108</v>
      </c>
      <c r="H32" s="8">
        <v>14177.25</v>
      </c>
      <c r="I32" s="6" t="s">
        <v>8109</v>
      </c>
      <c r="J32" s="6" t="s">
        <v>8110</v>
      </c>
      <c r="K32" s="180" t="s">
        <v>8111</v>
      </c>
      <c r="L32" s="179"/>
      <c r="M32" s="475" t="s">
        <v>1808</v>
      </c>
      <c r="N32" s="179"/>
      <c r="O32" s="468" t="s">
        <v>8112</v>
      </c>
      <c r="P32" s="6" t="s">
        <v>6933</v>
      </c>
      <c r="Q32" s="179"/>
      <c r="R32" s="54"/>
      <c r="S32" s="54"/>
    </row>
    <row r="33" spans="1:19" ht="25.5">
      <c r="A33" s="56" t="s">
        <v>8113</v>
      </c>
      <c r="B33" s="56"/>
      <c r="C33" s="56" t="s">
        <v>6872</v>
      </c>
      <c r="D33" s="56"/>
      <c r="E33" s="56"/>
      <c r="F33" s="56" t="s">
        <v>3827</v>
      </c>
      <c r="G33" s="56" t="s">
        <v>3827</v>
      </c>
      <c r="H33" s="56" t="s">
        <v>3827</v>
      </c>
      <c r="I33" s="56" t="s">
        <v>3827</v>
      </c>
      <c r="J33" s="6"/>
      <c r="K33" s="190" t="s">
        <v>3827</v>
      </c>
      <c r="L33" s="190"/>
      <c r="M33" s="544" t="s">
        <v>1808</v>
      </c>
      <c r="N33" s="190"/>
      <c r="O33" s="56"/>
      <c r="P33" s="56" t="s">
        <v>7924</v>
      </c>
      <c r="Q33" s="179"/>
      <c r="R33" s="54"/>
      <c r="S33" s="54"/>
    </row>
    <row r="34" spans="1:19" ht="25.5">
      <c r="A34" s="56" t="s">
        <v>8114</v>
      </c>
      <c r="B34" s="56"/>
      <c r="C34" s="56" t="s">
        <v>6872</v>
      </c>
      <c r="D34" s="56"/>
      <c r="E34" s="56"/>
      <c r="F34" s="56" t="s">
        <v>3827</v>
      </c>
      <c r="G34" s="56" t="s">
        <v>3827</v>
      </c>
      <c r="H34" s="56" t="s">
        <v>3827</v>
      </c>
      <c r="I34" s="56" t="s">
        <v>3827</v>
      </c>
      <c r="J34" s="6"/>
      <c r="K34" s="190" t="s">
        <v>3827</v>
      </c>
      <c r="L34" s="190"/>
      <c r="M34" s="544" t="s">
        <v>1808</v>
      </c>
      <c r="N34" s="190"/>
      <c r="O34" s="56"/>
      <c r="P34" s="56" t="s">
        <v>7924</v>
      </c>
      <c r="Q34" s="179"/>
      <c r="R34" s="54"/>
      <c r="S34" s="54"/>
    </row>
    <row r="35" spans="1:19" ht="38.25">
      <c r="A35" s="6" t="s">
        <v>8115</v>
      </c>
      <c r="B35" s="6"/>
      <c r="C35" s="6" t="s">
        <v>6872</v>
      </c>
      <c r="D35" s="6"/>
      <c r="E35" s="6"/>
      <c r="F35" s="6" t="s">
        <v>8116</v>
      </c>
      <c r="G35" s="6" t="s">
        <v>8117</v>
      </c>
      <c r="H35" s="64">
        <v>40000</v>
      </c>
      <c r="I35" s="6" t="s">
        <v>8118</v>
      </c>
      <c r="J35" s="6" t="s">
        <v>2460</v>
      </c>
      <c r="K35" s="180" t="s">
        <v>8119</v>
      </c>
      <c r="L35" s="179"/>
      <c r="M35" s="6" t="s">
        <v>6132</v>
      </c>
      <c r="N35" s="179"/>
      <c r="O35" s="468" t="s">
        <v>8120</v>
      </c>
      <c r="P35" s="6" t="s">
        <v>6933</v>
      </c>
      <c r="Q35" s="179"/>
      <c r="R35" s="54"/>
      <c r="S35" s="54"/>
    </row>
    <row r="36" spans="1:19" ht="51">
      <c r="A36" s="6" t="s">
        <v>8121</v>
      </c>
      <c r="B36" s="6"/>
      <c r="C36" s="6" t="s">
        <v>6872</v>
      </c>
      <c r="D36" s="6"/>
      <c r="E36" s="6"/>
      <c r="F36" s="6" t="s">
        <v>8122</v>
      </c>
      <c r="G36" s="160" t="s">
        <v>4834</v>
      </c>
      <c r="H36" s="8">
        <v>68455.8</v>
      </c>
      <c r="I36" s="6" t="s">
        <v>8123</v>
      </c>
      <c r="J36" s="6"/>
      <c r="K36" s="180" t="s">
        <v>8124</v>
      </c>
      <c r="L36" s="179"/>
      <c r="M36" s="475" t="s">
        <v>1808</v>
      </c>
      <c r="N36" s="179"/>
      <c r="O36" s="468" t="s">
        <v>8125</v>
      </c>
      <c r="P36" s="6" t="s">
        <v>6933</v>
      </c>
      <c r="Q36" s="179"/>
      <c r="R36" s="54"/>
      <c r="S36" s="54"/>
    </row>
    <row r="37" spans="1:19" ht="38.25">
      <c r="A37" s="6" t="s">
        <v>8126</v>
      </c>
      <c r="B37" s="6"/>
      <c r="C37" s="6" t="s">
        <v>6872</v>
      </c>
      <c r="D37" s="6"/>
      <c r="E37" s="6"/>
      <c r="F37" s="6" t="s">
        <v>8127</v>
      </c>
      <c r="G37" s="6" t="s">
        <v>8128</v>
      </c>
      <c r="H37" s="6" t="s">
        <v>8129</v>
      </c>
      <c r="I37" s="160"/>
      <c r="J37" s="6"/>
      <c r="K37" s="190" t="s">
        <v>8130</v>
      </c>
      <c r="L37" s="179"/>
      <c r="M37" s="475" t="s">
        <v>1808</v>
      </c>
      <c r="N37" s="179"/>
      <c r="O37" s="468" t="s">
        <v>8131</v>
      </c>
      <c r="P37" s="6" t="s">
        <v>6933</v>
      </c>
      <c r="Q37" s="179"/>
      <c r="R37" s="54"/>
      <c r="S37" s="54"/>
    </row>
    <row r="38" spans="1:19" ht="38.25">
      <c r="A38" s="6" t="s">
        <v>8132</v>
      </c>
      <c r="B38" s="6"/>
      <c r="C38" s="6" t="s">
        <v>6872</v>
      </c>
      <c r="D38" s="158"/>
      <c r="E38" s="158"/>
      <c r="F38" s="158" t="s">
        <v>8133</v>
      </c>
      <c r="G38" s="160" t="s">
        <v>8134</v>
      </c>
      <c r="H38" s="8">
        <v>200436</v>
      </c>
      <c r="I38" s="160" t="s">
        <v>8135</v>
      </c>
      <c r="J38" s="6" t="s">
        <v>2467</v>
      </c>
      <c r="K38" s="190" t="s">
        <v>8130</v>
      </c>
      <c r="L38" s="179"/>
      <c r="M38" s="6" t="s">
        <v>6132</v>
      </c>
      <c r="N38" s="179"/>
      <c r="O38" s="468" t="s">
        <v>8131</v>
      </c>
      <c r="P38" s="6" t="s">
        <v>6104</v>
      </c>
      <c r="Q38" s="179"/>
      <c r="R38" s="54"/>
      <c r="S38" s="54"/>
    </row>
    <row r="39" spans="1:19" ht="38.25">
      <c r="A39" s="6" t="s">
        <v>8136</v>
      </c>
      <c r="B39" s="6"/>
      <c r="C39" s="6" t="s">
        <v>6872</v>
      </c>
      <c r="D39" s="6"/>
      <c r="E39" s="6"/>
      <c r="F39" s="6" t="s">
        <v>8137</v>
      </c>
      <c r="G39" s="6" t="s">
        <v>8138</v>
      </c>
      <c r="H39" s="6"/>
      <c r="I39" s="6" t="s">
        <v>8139</v>
      </c>
      <c r="J39" s="6" t="s">
        <v>1828</v>
      </c>
      <c r="K39" s="180" t="s">
        <v>8140</v>
      </c>
      <c r="L39" s="179"/>
      <c r="M39" s="6" t="s">
        <v>6132</v>
      </c>
      <c r="N39" s="179"/>
      <c r="O39" s="468" t="s">
        <v>8141</v>
      </c>
      <c r="P39" s="6" t="s">
        <v>6941</v>
      </c>
      <c r="Q39" s="179"/>
      <c r="R39" s="54"/>
      <c r="S39" s="54"/>
    </row>
    <row r="40" spans="1:19" ht="76.5">
      <c r="A40" s="6" t="s">
        <v>8142</v>
      </c>
      <c r="B40" s="6"/>
      <c r="C40" s="6" t="s">
        <v>6872</v>
      </c>
      <c r="D40" s="6"/>
      <c r="E40" s="6"/>
      <c r="F40" s="6" t="s">
        <v>8143</v>
      </c>
      <c r="G40" s="6" t="s">
        <v>8144</v>
      </c>
      <c r="H40" s="8">
        <v>1645500</v>
      </c>
      <c r="I40" s="6" t="s">
        <v>8145</v>
      </c>
      <c r="J40" s="6" t="s">
        <v>1828</v>
      </c>
      <c r="K40" s="180" t="s">
        <v>8146</v>
      </c>
      <c r="L40" s="179"/>
      <c r="M40" s="6" t="s">
        <v>6132</v>
      </c>
      <c r="N40" s="179"/>
      <c r="O40" s="468" t="s">
        <v>8147</v>
      </c>
      <c r="P40" s="6" t="s">
        <v>6092</v>
      </c>
      <c r="Q40" s="179"/>
      <c r="R40" s="54"/>
      <c r="S40" s="54"/>
    </row>
    <row r="41" spans="1:19" ht="25.5">
      <c r="A41" s="6" t="s">
        <v>8148</v>
      </c>
      <c r="B41" s="6"/>
      <c r="C41" s="6" t="s">
        <v>6872</v>
      </c>
      <c r="D41" s="6"/>
      <c r="E41" s="6"/>
      <c r="F41" s="6" t="s">
        <v>8149</v>
      </c>
      <c r="G41" s="6" t="s">
        <v>8150</v>
      </c>
      <c r="H41" s="8">
        <v>165000</v>
      </c>
      <c r="I41" s="160"/>
      <c r="J41" s="6"/>
      <c r="K41" s="190" t="s">
        <v>8130</v>
      </c>
      <c r="L41" s="179"/>
      <c r="M41" s="475" t="s">
        <v>1808</v>
      </c>
      <c r="N41" s="179"/>
      <c r="O41" s="468" t="s">
        <v>8151</v>
      </c>
      <c r="P41" s="6" t="s">
        <v>6064</v>
      </c>
      <c r="Q41" s="179"/>
      <c r="R41" s="54"/>
      <c r="S41" s="54"/>
    </row>
    <row r="42" spans="1:19" ht="38.25">
      <c r="A42" s="6" t="s">
        <v>8152</v>
      </c>
      <c r="B42" s="6"/>
      <c r="C42" s="6" t="s">
        <v>6872</v>
      </c>
      <c r="D42" s="6"/>
      <c r="E42" s="6"/>
      <c r="F42" s="6" t="s">
        <v>8153</v>
      </c>
      <c r="G42" s="6" t="s">
        <v>8154</v>
      </c>
      <c r="H42" s="8">
        <v>105000</v>
      </c>
      <c r="I42" s="160"/>
      <c r="J42" s="6"/>
      <c r="K42" s="180" t="s">
        <v>8155</v>
      </c>
      <c r="L42" s="179"/>
      <c r="M42" s="475" t="s">
        <v>1808</v>
      </c>
      <c r="N42" s="179"/>
      <c r="O42" s="468" t="s">
        <v>8156</v>
      </c>
      <c r="P42" s="6" t="s">
        <v>6064</v>
      </c>
      <c r="Q42" s="179"/>
      <c r="R42" s="54"/>
      <c r="S42" s="54"/>
    </row>
    <row r="43" spans="1:19" ht="63.75">
      <c r="A43" s="6" t="s">
        <v>8157</v>
      </c>
      <c r="B43" s="6"/>
      <c r="C43" s="6" t="s">
        <v>6872</v>
      </c>
      <c r="D43" s="6"/>
      <c r="E43" s="6"/>
      <c r="F43" s="6" t="s">
        <v>8158</v>
      </c>
      <c r="G43" s="6" t="s">
        <v>8159</v>
      </c>
      <c r="H43" s="8">
        <v>44400</v>
      </c>
      <c r="I43" s="158"/>
      <c r="J43" s="6"/>
      <c r="K43" s="180" t="s">
        <v>8160</v>
      </c>
      <c r="L43" s="179"/>
      <c r="M43" s="475" t="s">
        <v>1808</v>
      </c>
      <c r="N43" s="179"/>
      <c r="O43" s="468" t="s">
        <v>8161</v>
      </c>
      <c r="P43" s="6" t="s">
        <v>6064</v>
      </c>
      <c r="Q43" s="179"/>
      <c r="R43" s="54"/>
      <c r="S43" s="54"/>
    </row>
    <row r="44" spans="1:19" ht="51">
      <c r="A44" s="6" t="s">
        <v>8162</v>
      </c>
      <c r="B44" s="6"/>
      <c r="C44" s="6" t="s">
        <v>6872</v>
      </c>
      <c r="D44" s="6"/>
      <c r="E44" s="6"/>
      <c r="F44" s="6" t="s">
        <v>8163</v>
      </c>
      <c r="G44" s="6" t="s">
        <v>8164</v>
      </c>
      <c r="H44" s="64">
        <v>53917</v>
      </c>
      <c r="I44" s="160"/>
      <c r="J44" s="6"/>
      <c r="K44" s="180" t="s">
        <v>8165</v>
      </c>
      <c r="L44" s="179"/>
      <c r="M44" s="6" t="s">
        <v>6132</v>
      </c>
      <c r="N44" s="179"/>
      <c r="O44" s="468" t="s">
        <v>8166</v>
      </c>
      <c r="P44" s="6" t="s">
        <v>6217</v>
      </c>
      <c r="Q44" s="179"/>
      <c r="R44" s="54"/>
      <c r="S44" s="54"/>
    </row>
    <row r="45" spans="1:19" ht="25.5">
      <c r="A45" s="6" t="s">
        <v>8167</v>
      </c>
      <c r="B45" s="6"/>
      <c r="C45" s="6" t="s">
        <v>6872</v>
      </c>
      <c r="D45" s="6"/>
      <c r="E45" s="6"/>
      <c r="F45" s="6" t="s">
        <v>8168</v>
      </c>
      <c r="G45" s="6" t="s">
        <v>8169</v>
      </c>
      <c r="H45" s="64">
        <v>12000</v>
      </c>
      <c r="I45" s="160" t="s">
        <v>8170</v>
      </c>
      <c r="J45" s="6" t="s">
        <v>7916</v>
      </c>
      <c r="K45" s="180" t="s">
        <v>8171</v>
      </c>
      <c r="L45" s="179"/>
      <c r="M45" s="475" t="s">
        <v>1808</v>
      </c>
      <c r="N45" s="179"/>
      <c r="O45" s="468" t="s">
        <v>8172</v>
      </c>
      <c r="P45" s="6" t="s">
        <v>6064</v>
      </c>
      <c r="Q45" s="179"/>
      <c r="R45" s="54"/>
      <c r="S45" s="54"/>
    </row>
    <row r="46" spans="1:19" ht="63.75">
      <c r="A46" s="6" t="s">
        <v>8173</v>
      </c>
      <c r="B46" s="6"/>
      <c r="C46" s="6" t="s">
        <v>6872</v>
      </c>
      <c r="D46" s="6"/>
      <c r="E46" s="6"/>
      <c r="F46" s="6" t="s">
        <v>8174</v>
      </c>
      <c r="G46" s="6" t="s">
        <v>8175</v>
      </c>
      <c r="H46" s="8">
        <v>430000</v>
      </c>
      <c r="I46" s="160" t="s">
        <v>8176</v>
      </c>
      <c r="J46" s="6" t="s">
        <v>2449</v>
      </c>
      <c r="K46" s="180" t="s">
        <v>8177</v>
      </c>
      <c r="L46" s="179"/>
      <c r="M46" s="475" t="s">
        <v>1808</v>
      </c>
      <c r="N46" s="179"/>
      <c r="O46" s="468" t="s">
        <v>8178</v>
      </c>
      <c r="P46" s="6" t="s">
        <v>6064</v>
      </c>
      <c r="Q46" s="179"/>
      <c r="R46" s="54"/>
      <c r="S46" s="54"/>
    </row>
    <row r="47" spans="1:19" ht="38.25">
      <c r="A47" s="6" t="s">
        <v>8179</v>
      </c>
      <c r="B47" s="6"/>
      <c r="C47" s="6" t="s">
        <v>6872</v>
      </c>
      <c r="D47" s="6"/>
      <c r="E47" s="6"/>
      <c r="F47" s="6" t="s">
        <v>8180</v>
      </c>
      <c r="G47" s="6" t="s">
        <v>1502</v>
      </c>
      <c r="H47" s="64">
        <v>73955.62</v>
      </c>
      <c r="I47" s="160" t="s">
        <v>8181</v>
      </c>
      <c r="J47" s="6" t="s">
        <v>2449</v>
      </c>
      <c r="K47" s="180" t="s">
        <v>8182</v>
      </c>
      <c r="L47" s="179"/>
      <c r="M47" s="475" t="s">
        <v>1808</v>
      </c>
      <c r="N47" s="179"/>
      <c r="O47" s="468" t="s">
        <v>8183</v>
      </c>
      <c r="P47" s="6" t="s">
        <v>6064</v>
      </c>
      <c r="Q47" s="179"/>
      <c r="R47" s="54"/>
      <c r="S47" s="54"/>
    </row>
    <row r="48" spans="1:19" ht="38.25">
      <c r="A48" s="6" t="s">
        <v>8184</v>
      </c>
      <c r="B48" s="6"/>
      <c r="C48" s="6" t="s">
        <v>6872</v>
      </c>
      <c r="D48" s="158"/>
      <c r="E48" s="158"/>
      <c r="F48" s="158" t="s">
        <v>8185</v>
      </c>
      <c r="G48" s="6" t="s">
        <v>8186</v>
      </c>
      <c r="H48" s="64">
        <v>20000</v>
      </c>
      <c r="I48" s="160" t="s">
        <v>8109</v>
      </c>
      <c r="J48" s="6" t="s">
        <v>6783</v>
      </c>
      <c r="K48" s="545" t="s">
        <v>8187</v>
      </c>
      <c r="L48" s="179"/>
      <c r="M48" s="475" t="s">
        <v>1808</v>
      </c>
      <c r="N48" s="179"/>
      <c r="O48" s="468" t="s">
        <v>8188</v>
      </c>
      <c r="P48" s="6" t="s">
        <v>6064</v>
      </c>
      <c r="Q48" s="179"/>
      <c r="R48" s="54"/>
      <c r="S48" s="54"/>
    </row>
    <row r="49" spans="1:19" ht="25.5">
      <c r="A49" s="6" t="s">
        <v>8189</v>
      </c>
      <c r="B49" s="6"/>
      <c r="C49" s="6" t="s">
        <v>6872</v>
      </c>
      <c r="D49" s="6"/>
      <c r="E49" s="6"/>
      <c r="F49" s="6" t="s">
        <v>8190</v>
      </c>
      <c r="G49" s="6" t="s">
        <v>8191</v>
      </c>
      <c r="H49" s="64">
        <v>50000</v>
      </c>
      <c r="I49" s="160" t="s">
        <v>8192</v>
      </c>
      <c r="J49" s="6" t="s">
        <v>5647</v>
      </c>
      <c r="K49" s="180" t="s">
        <v>8193</v>
      </c>
      <c r="L49" s="179"/>
      <c r="M49" s="475" t="s">
        <v>1808</v>
      </c>
      <c r="N49" s="179"/>
      <c r="O49" s="468" t="s">
        <v>8194</v>
      </c>
      <c r="P49" s="6" t="s">
        <v>6064</v>
      </c>
      <c r="Q49" s="179"/>
      <c r="R49" s="54"/>
      <c r="S49" s="54"/>
    </row>
    <row r="50" spans="1:19" ht="25.5">
      <c r="A50" s="56" t="s">
        <v>8114</v>
      </c>
      <c r="B50" s="56"/>
      <c r="C50" s="56" t="s">
        <v>6872</v>
      </c>
      <c r="D50" s="56"/>
      <c r="E50" s="56"/>
      <c r="F50" s="56" t="s">
        <v>3827</v>
      </c>
      <c r="G50" s="56" t="s">
        <v>3827</v>
      </c>
      <c r="H50" s="56" t="s">
        <v>3827</v>
      </c>
      <c r="I50" s="56" t="s">
        <v>3827</v>
      </c>
      <c r="J50" s="6"/>
      <c r="K50" s="190" t="s">
        <v>3827</v>
      </c>
      <c r="L50" s="190"/>
      <c r="M50" s="544" t="s">
        <v>1808</v>
      </c>
      <c r="N50" s="190"/>
      <c r="O50" s="56"/>
      <c r="P50" s="56" t="s">
        <v>7924</v>
      </c>
      <c r="Q50" s="179"/>
      <c r="R50" s="54"/>
      <c r="S50" s="54"/>
    </row>
    <row r="51" spans="1:19" ht="51">
      <c r="A51" s="6" t="s">
        <v>8195</v>
      </c>
      <c r="B51" s="6"/>
      <c r="C51" s="6" t="s">
        <v>6872</v>
      </c>
      <c r="D51" s="6"/>
      <c r="E51" s="6"/>
      <c r="F51" s="6" t="s">
        <v>8196</v>
      </c>
      <c r="G51" s="6" t="s">
        <v>8197</v>
      </c>
      <c r="H51" s="64">
        <v>100000</v>
      </c>
      <c r="I51" s="6"/>
      <c r="J51" s="6"/>
      <c r="K51" s="180" t="s">
        <v>8198</v>
      </c>
      <c r="L51" s="179"/>
      <c r="M51" s="475" t="s">
        <v>1808</v>
      </c>
      <c r="N51" s="179"/>
      <c r="O51" s="468" t="s">
        <v>8199</v>
      </c>
      <c r="P51" s="6" t="s">
        <v>6064</v>
      </c>
      <c r="Q51" s="179"/>
      <c r="R51" s="54"/>
      <c r="S51" s="54"/>
    </row>
    <row r="52" spans="1:19" ht="38.25">
      <c r="A52" s="6" t="s">
        <v>8200</v>
      </c>
      <c r="B52" s="6"/>
      <c r="C52" s="6" t="s">
        <v>6872</v>
      </c>
      <c r="D52" s="6"/>
      <c r="E52" s="6"/>
      <c r="F52" s="6" t="s">
        <v>8201</v>
      </c>
      <c r="G52" s="6" t="s">
        <v>8202</v>
      </c>
      <c r="H52" s="64">
        <v>100000</v>
      </c>
      <c r="I52" s="160" t="s">
        <v>8203</v>
      </c>
      <c r="J52" s="6" t="s">
        <v>1828</v>
      </c>
      <c r="K52" s="180" t="s">
        <v>8204</v>
      </c>
      <c r="L52" s="179"/>
      <c r="M52" s="475" t="s">
        <v>1808</v>
      </c>
      <c r="N52" s="179"/>
      <c r="O52" s="468" t="s">
        <v>8205</v>
      </c>
      <c r="P52" s="6" t="s">
        <v>6064</v>
      </c>
      <c r="Q52" s="179"/>
      <c r="R52" s="54"/>
      <c r="S52" s="54"/>
    </row>
    <row r="53" spans="1:19" ht="38.25">
      <c r="A53" s="6" t="s">
        <v>8206</v>
      </c>
      <c r="B53" s="6"/>
      <c r="C53" s="6" t="s">
        <v>6872</v>
      </c>
      <c r="D53" s="6"/>
      <c r="E53" s="6"/>
      <c r="F53" s="6" t="s">
        <v>8207</v>
      </c>
      <c r="G53" s="6" t="s">
        <v>8208</v>
      </c>
      <c r="H53" s="64">
        <v>50000</v>
      </c>
      <c r="I53" s="6" t="s">
        <v>8209</v>
      </c>
      <c r="J53" s="6" t="s">
        <v>5647</v>
      </c>
      <c r="K53" s="180" t="s">
        <v>8210</v>
      </c>
      <c r="L53" s="179"/>
      <c r="M53" s="475" t="s">
        <v>1808</v>
      </c>
      <c r="N53" s="179"/>
      <c r="O53" s="468" t="s">
        <v>8211</v>
      </c>
      <c r="P53" s="6" t="s">
        <v>6064</v>
      </c>
      <c r="Q53" s="179"/>
      <c r="R53" s="54"/>
      <c r="S53" s="54"/>
    </row>
    <row r="54" spans="1:19" ht="38.25">
      <c r="A54" s="6" t="s">
        <v>8212</v>
      </c>
      <c r="B54" s="6" t="s">
        <v>997</v>
      </c>
      <c r="C54" s="6" t="s">
        <v>6872</v>
      </c>
      <c r="D54" s="6"/>
      <c r="E54" s="6"/>
      <c r="F54" s="6" t="s">
        <v>8213</v>
      </c>
      <c r="G54" s="6" t="s">
        <v>1389</v>
      </c>
      <c r="H54" s="64">
        <v>30000</v>
      </c>
      <c r="I54" s="6" t="s">
        <v>8214</v>
      </c>
      <c r="J54" s="6" t="s">
        <v>2611</v>
      </c>
      <c r="K54" s="180" t="s">
        <v>8215</v>
      </c>
      <c r="L54" s="179"/>
      <c r="M54" s="475" t="s">
        <v>1808</v>
      </c>
      <c r="N54" s="179"/>
      <c r="O54" s="468" t="s">
        <v>8216</v>
      </c>
      <c r="P54" s="6" t="s">
        <v>6064</v>
      </c>
      <c r="Q54" s="179"/>
      <c r="R54" s="54"/>
      <c r="S54" s="54"/>
    </row>
    <row r="55" spans="1:19" ht="38.25">
      <c r="A55" s="6" t="s">
        <v>8217</v>
      </c>
      <c r="B55" s="6"/>
      <c r="C55" s="6" t="s">
        <v>6872</v>
      </c>
      <c r="D55" s="6"/>
      <c r="E55" s="6"/>
      <c r="F55" s="6" t="s">
        <v>8218</v>
      </c>
      <c r="G55" s="6" t="s">
        <v>8219</v>
      </c>
      <c r="H55" s="64">
        <v>12000</v>
      </c>
      <c r="I55" s="6" t="s">
        <v>8220</v>
      </c>
      <c r="J55" s="6" t="s">
        <v>1828</v>
      </c>
      <c r="K55" s="180" t="s">
        <v>8221</v>
      </c>
      <c r="L55" s="179"/>
      <c r="M55" s="6" t="s">
        <v>6132</v>
      </c>
      <c r="N55" s="179"/>
      <c r="O55" s="468" t="s">
        <v>8222</v>
      </c>
      <c r="P55" s="6" t="s">
        <v>6137</v>
      </c>
      <c r="Q55" s="179"/>
      <c r="R55" s="54"/>
      <c r="S55" s="54"/>
    </row>
    <row r="56" spans="1:19" ht="38.25">
      <c r="A56" s="6" t="s">
        <v>8223</v>
      </c>
      <c r="B56" s="6"/>
      <c r="C56" s="6" t="s">
        <v>6872</v>
      </c>
      <c r="D56" s="6"/>
      <c r="E56" s="6"/>
      <c r="F56" s="6" t="s">
        <v>8224</v>
      </c>
      <c r="G56" s="6" t="s">
        <v>8225</v>
      </c>
      <c r="H56" s="8">
        <v>165000</v>
      </c>
      <c r="I56" s="6" t="s">
        <v>3368</v>
      </c>
      <c r="J56" s="6" t="s">
        <v>1828</v>
      </c>
      <c r="K56" s="180" t="s">
        <v>8226</v>
      </c>
      <c r="L56" s="179"/>
      <c r="M56" s="475" t="s">
        <v>1808</v>
      </c>
      <c r="N56" s="179"/>
      <c r="O56" s="468" t="s">
        <v>8227</v>
      </c>
      <c r="P56" s="6" t="s">
        <v>6064</v>
      </c>
      <c r="Q56" s="179"/>
      <c r="R56" s="54"/>
      <c r="S56" s="54"/>
    </row>
    <row r="57" spans="1:19" ht="51">
      <c r="A57" s="6" t="s">
        <v>8228</v>
      </c>
      <c r="B57" s="6"/>
      <c r="C57" s="6" t="s">
        <v>6872</v>
      </c>
      <c r="D57" s="6"/>
      <c r="E57" s="6"/>
      <c r="F57" s="6" t="s">
        <v>8229</v>
      </c>
      <c r="G57" s="6" t="s">
        <v>8230</v>
      </c>
      <c r="H57" s="64">
        <v>50000</v>
      </c>
      <c r="I57" s="160" t="s">
        <v>8231</v>
      </c>
      <c r="J57" s="6" t="s">
        <v>2656</v>
      </c>
      <c r="K57" s="180" t="s">
        <v>8232</v>
      </c>
      <c r="L57" s="179"/>
      <c r="M57" s="6" t="s">
        <v>6179</v>
      </c>
      <c r="N57" s="179"/>
      <c r="O57" s="468" t="s">
        <v>8233</v>
      </c>
      <c r="P57" s="6" t="s">
        <v>6064</v>
      </c>
      <c r="Q57" s="179"/>
      <c r="R57" s="54"/>
      <c r="S57" s="54"/>
    </row>
    <row r="58" spans="1:19" ht="38.25">
      <c r="A58" s="6" t="s">
        <v>8234</v>
      </c>
      <c r="B58" s="6"/>
      <c r="C58" s="6" t="s">
        <v>6872</v>
      </c>
      <c r="D58" s="6"/>
      <c r="E58" s="6"/>
      <c r="F58" s="6" t="s">
        <v>8235</v>
      </c>
      <c r="G58" s="6" t="s">
        <v>8236</v>
      </c>
      <c r="H58" s="64">
        <v>7200</v>
      </c>
      <c r="I58" s="160" t="s">
        <v>8237</v>
      </c>
      <c r="J58" s="6" t="s">
        <v>1828</v>
      </c>
      <c r="K58" s="180" t="s">
        <v>8238</v>
      </c>
      <c r="L58" s="179"/>
      <c r="M58" s="6" t="s">
        <v>6132</v>
      </c>
      <c r="N58" s="179"/>
      <c r="O58" s="468" t="s">
        <v>8239</v>
      </c>
      <c r="P58" s="6" t="s">
        <v>6064</v>
      </c>
      <c r="Q58" s="179"/>
      <c r="R58" s="54"/>
      <c r="S58" s="54"/>
    </row>
    <row r="59" spans="1:19" ht="38.25">
      <c r="A59" s="6" t="s">
        <v>8240</v>
      </c>
      <c r="B59" s="6"/>
      <c r="C59" s="6" t="s">
        <v>6872</v>
      </c>
      <c r="D59" s="6"/>
      <c r="E59" s="6"/>
      <c r="F59" s="6" t="s">
        <v>8241</v>
      </c>
      <c r="G59" s="6" t="s">
        <v>8242</v>
      </c>
      <c r="H59" s="64">
        <v>8400</v>
      </c>
      <c r="I59" s="160" t="s">
        <v>8243</v>
      </c>
      <c r="J59" s="6" t="s">
        <v>1828</v>
      </c>
      <c r="K59" s="180" t="s">
        <v>8244</v>
      </c>
      <c r="L59" s="179"/>
      <c r="M59" s="6" t="s">
        <v>6132</v>
      </c>
      <c r="N59" s="179"/>
      <c r="O59" s="468" t="s">
        <v>8245</v>
      </c>
      <c r="P59" s="6" t="s">
        <v>6064</v>
      </c>
      <c r="Q59" s="179"/>
      <c r="R59" s="54"/>
      <c r="S59" s="54"/>
    </row>
    <row r="60" spans="1:19" ht="38.25">
      <c r="A60" s="6" t="s">
        <v>8246</v>
      </c>
      <c r="B60" s="6"/>
      <c r="C60" s="6" t="s">
        <v>6872</v>
      </c>
      <c r="D60" s="6"/>
      <c r="E60" s="6"/>
      <c r="F60" s="6" t="s">
        <v>8247</v>
      </c>
      <c r="G60" s="6" t="s">
        <v>8248</v>
      </c>
      <c r="H60" s="64">
        <v>16400</v>
      </c>
      <c r="I60" s="160" t="s">
        <v>8249</v>
      </c>
      <c r="J60" s="6" t="s">
        <v>2656</v>
      </c>
      <c r="K60" s="180" t="s">
        <v>8250</v>
      </c>
      <c r="L60" s="179"/>
      <c r="M60" s="6" t="s">
        <v>6132</v>
      </c>
      <c r="N60" s="179"/>
      <c r="O60" s="468" t="s">
        <v>8251</v>
      </c>
      <c r="P60" s="6" t="s">
        <v>6064</v>
      </c>
      <c r="Q60" s="179"/>
      <c r="R60" s="54"/>
      <c r="S60" s="54"/>
    </row>
    <row r="61" spans="1:19" ht="51">
      <c r="A61" s="6" t="s">
        <v>8252</v>
      </c>
      <c r="B61" s="6"/>
      <c r="C61" s="6" t="s">
        <v>6872</v>
      </c>
      <c r="D61" s="6"/>
      <c r="E61" s="6"/>
      <c r="F61" s="6" t="s">
        <v>8253</v>
      </c>
      <c r="G61" s="6" t="s">
        <v>8254</v>
      </c>
      <c r="H61" s="64">
        <v>36000</v>
      </c>
      <c r="I61" s="160" t="s">
        <v>8243</v>
      </c>
      <c r="J61" s="6" t="s">
        <v>1828</v>
      </c>
      <c r="K61" s="180" t="s">
        <v>8255</v>
      </c>
      <c r="L61" s="179"/>
      <c r="M61" s="6" t="s">
        <v>6132</v>
      </c>
      <c r="N61" s="179"/>
      <c r="O61" s="468" t="s">
        <v>8256</v>
      </c>
      <c r="P61" s="6" t="s">
        <v>6064</v>
      </c>
      <c r="Q61" s="179"/>
      <c r="R61" s="54"/>
      <c r="S61" s="54"/>
    </row>
    <row r="62" spans="1:19" ht="25.5">
      <c r="A62" s="56" t="s">
        <v>8257</v>
      </c>
      <c r="B62" s="56"/>
      <c r="C62" s="56" t="s">
        <v>6872</v>
      </c>
      <c r="D62" s="56"/>
      <c r="E62" s="56"/>
      <c r="F62" s="56" t="s">
        <v>3827</v>
      </c>
      <c r="G62" s="56" t="s">
        <v>8258</v>
      </c>
      <c r="H62" s="56" t="s">
        <v>3827</v>
      </c>
      <c r="I62" s="56" t="s">
        <v>3827</v>
      </c>
      <c r="J62" s="56" t="s">
        <v>3827</v>
      </c>
      <c r="K62" s="190" t="s">
        <v>3827</v>
      </c>
      <c r="L62" s="190"/>
      <c r="M62" s="544" t="s">
        <v>1808</v>
      </c>
      <c r="N62" s="190"/>
      <c r="O62" s="56"/>
      <c r="P62" s="56" t="s">
        <v>6064</v>
      </c>
      <c r="Q62" s="190"/>
      <c r="R62" s="54"/>
      <c r="S62" s="54"/>
    </row>
    <row r="63" spans="1:19" ht="38.25">
      <c r="A63" s="6" t="s">
        <v>8259</v>
      </c>
      <c r="B63" s="6"/>
      <c r="C63" s="6" t="s">
        <v>6872</v>
      </c>
      <c r="D63" s="6"/>
      <c r="E63" s="6"/>
      <c r="F63" s="6" t="s">
        <v>8260</v>
      </c>
      <c r="G63" s="6" t="s">
        <v>8258</v>
      </c>
      <c r="H63" s="64">
        <v>50000</v>
      </c>
      <c r="I63" s="160" t="s">
        <v>8261</v>
      </c>
      <c r="J63" s="6" t="s">
        <v>6801</v>
      </c>
      <c r="K63" s="180" t="s">
        <v>8262</v>
      </c>
      <c r="L63" s="179"/>
      <c r="M63" s="475" t="s">
        <v>1808</v>
      </c>
      <c r="N63" s="179"/>
      <c r="O63" s="468" t="s">
        <v>8263</v>
      </c>
      <c r="P63" s="6" t="s">
        <v>6064</v>
      </c>
      <c r="Q63" s="179"/>
      <c r="R63" s="54"/>
      <c r="S63" s="54"/>
    </row>
    <row r="64" spans="1:19" ht="38.25">
      <c r="A64" s="6" t="s">
        <v>8264</v>
      </c>
      <c r="B64" s="6"/>
      <c r="C64" s="6" t="s">
        <v>6872</v>
      </c>
      <c r="D64" s="6"/>
      <c r="E64" s="6"/>
      <c r="F64" s="6" t="s">
        <v>8265</v>
      </c>
      <c r="G64" s="6" t="s">
        <v>8266</v>
      </c>
      <c r="H64" s="64">
        <v>30000</v>
      </c>
      <c r="I64" s="6" t="s">
        <v>8267</v>
      </c>
      <c r="J64" s="6" t="s">
        <v>1828</v>
      </c>
      <c r="K64" s="190" t="s">
        <v>8130</v>
      </c>
      <c r="L64" s="179"/>
      <c r="M64" s="475" t="s">
        <v>1808</v>
      </c>
      <c r="N64" s="179"/>
      <c r="O64" s="468" t="s">
        <v>8268</v>
      </c>
      <c r="P64" s="6" t="s">
        <v>6064</v>
      </c>
      <c r="Q64" s="179"/>
      <c r="R64" s="54"/>
      <c r="S64" s="54"/>
    </row>
    <row r="65" spans="1:19" ht="38.25">
      <c r="A65" s="6" t="s">
        <v>8269</v>
      </c>
      <c r="B65" s="6"/>
      <c r="C65" s="6" t="s">
        <v>6872</v>
      </c>
      <c r="D65" s="6"/>
      <c r="E65" s="6"/>
      <c r="F65" s="6" t="s">
        <v>8270</v>
      </c>
      <c r="G65" s="6" t="s">
        <v>8271</v>
      </c>
      <c r="H65" s="64">
        <v>25000</v>
      </c>
      <c r="I65" s="6" t="s">
        <v>8272</v>
      </c>
      <c r="J65" s="6" t="s">
        <v>6370</v>
      </c>
      <c r="K65" s="180" t="s">
        <v>8273</v>
      </c>
      <c r="L65" s="179"/>
      <c r="M65" s="6" t="s">
        <v>6132</v>
      </c>
      <c r="N65" s="179"/>
      <c r="O65" s="468" t="s">
        <v>8274</v>
      </c>
      <c r="P65" s="6" t="s">
        <v>6941</v>
      </c>
      <c r="Q65" s="179"/>
      <c r="R65" s="54"/>
      <c r="S65" s="54"/>
    </row>
    <row r="66" spans="1:19" ht="25.5">
      <c r="A66" s="56" t="s">
        <v>8275</v>
      </c>
      <c r="B66" s="56"/>
      <c r="C66" s="56" t="s">
        <v>6872</v>
      </c>
      <c r="D66" s="56"/>
      <c r="E66" s="56"/>
      <c r="F66" s="56" t="s">
        <v>3827</v>
      </c>
      <c r="G66" s="56" t="s">
        <v>3827</v>
      </c>
      <c r="H66" s="56" t="s">
        <v>3827</v>
      </c>
      <c r="I66" s="56" t="s">
        <v>3827</v>
      </c>
      <c r="J66" s="56" t="s">
        <v>3827</v>
      </c>
      <c r="K66" s="190" t="s">
        <v>3827</v>
      </c>
      <c r="L66" s="190"/>
      <c r="M66" s="544" t="s">
        <v>1808</v>
      </c>
      <c r="N66" s="190"/>
      <c r="O66" s="56"/>
      <c r="P66" s="56" t="s">
        <v>7924</v>
      </c>
      <c r="Q66" s="190"/>
      <c r="R66" s="54"/>
      <c r="S66" s="54"/>
    </row>
    <row r="67" spans="1:19" ht="38.25">
      <c r="A67" s="6" t="s">
        <v>8276</v>
      </c>
      <c r="B67" s="6"/>
      <c r="C67" s="6" t="s">
        <v>6872</v>
      </c>
      <c r="D67" s="6"/>
      <c r="E67" s="6"/>
      <c r="F67" s="6" t="s">
        <v>8277</v>
      </c>
      <c r="G67" s="6" t="s">
        <v>8278</v>
      </c>
      <c r="H67" s="64">
        <v>50000</v>
      </c>
      <c r="I67" s="6" t="s">
        <v>8279</v>
      </c>
      <c r="J67" s="6" t="s">
        <v>8280</v>
      </c>
      <c r="K67" s="180" t="s">
        <v>8281</v>
      </c>
      <c r="L67" s="179"/>
      <c r="M67" s="475" t="s">
        <v>1808</v>
      </c>
      <c r="N67" s="179"/>
      <c r="O67" s="468" t="s">
        <v>8282</v>
      </c>
      <c r="P67" s="6" t="s">
        <v>6064</v>
      </c>
      <c r="Q67" s="179"/>
      <c r="R67" s="54"/>
      <c r="S67" s="54"/>
    </row>
    <row r="68" spans="1:19" ht="38.25">
      <c r="A68" s="6" t="s">
        <v>8283</v>
      </c>
      <c r="B68" s="6"/>
      <c r="C68" s="6" t="s">
        <v>6872</v>
      </c>
      <c r="D68" s="6"/>
      <c r="E68" s="6"/>
      <c r="F68" s="6" t="s">
        <v>8284</v>
      </c>
      <c r="G68" s="6" t="s">
        <v>8285</v>
      </c>
      <c r="H68" s="6" t="s">
        <v>8286</v>
      </c>
      <c r="I68" s="6"/>
      <c r="J68" s="6"/>
      <c r="K68" s="180" t="s">
        <v>8287</v>
      </c>
      <c r="L68" s="179"/>
      <c r="M68" s="6" t="s">
        <v>6132</v>
      </c>
      <c r="N68" s="179"/>
      <c r="O68" s="468" t="s">
        <v>8288</v>
      </c>
      <c r="P68" s="6" t="s">
        <v>6064</v>
      </c>
      <c r="Q68" s="179"/>
      <c r="R68" s="54"/>
      <c r="S68" s="54"/>
    </row>
    <row r="69" spans="1:19" ht="38.25">
      <c r="A69" s="6" t="s">
        <v>8289</v>
      </c>
      <c r="B69" s="6"/>
      <c r="C69" s="6" t="s">
        <v>6872</v>
      </c>
      <c r="D69" s="6"/>
      <c r="E69" s="6"/>
      <c r="F69" s="6" t="s">
        <v>8290</v>
      </c>
      <c r="G69" s="6" t="s">
        <v>581</v>
      </c>
      <c r="H69" s="64">
        <v>20000</v>
      </c>
      <c r="I69" s="6" t="s">
        <v>8291</v>
      </c>
      <c r="J69" s="6" t="s">
        <v>6370</v>
      </c>
      <c r="K69" s="180" t="s">
        <v>8292</v>
      </c>
      <c r="L69" s="179"/>
      <c r="M69" s="6" t="s">
        <v>6132</v>
      </c>
      <c r="N69" s="179"/>
      <c r="O69" s="468" t="s">
        <v>8293</v>
      </c>
      <c r="P69" s="6" t="s">
        <v>6933</v>
      </c>
      <c r="Q69" s="179"/>
      <c r="R69" s="54"/>
      <c r="S69" s="54"/>
    </row>
    <row r="70" spans="1:19" ht="25.5">
      <c r="A70" s="6" t="s">
        <v>8294</v>
      </c>
      <c r="B70" s="6"/>
      <c r="C70" s="6" t="s">
        <v>6872</v>
      </c>
      <c r="D70" s="6"/>
      <c r="E70" s="6"/>
      <c r="F70" s="6" t="s">
        <v>8295</v>
      </c>
      <c r="G70" s="6" t="s">
        <v>8296</v>
      </c>
      <c r="H70" s="8">
        <v>100000</v>
      </c>
      <c r="I70" s="6" t="s">
        <v>8243</v>
      </c>
      <c r="J70" s="6" t="s">
        <v>1847</v>
      </c>
      <c r="K70" s="180" t="s">
        <v>8297</v>
      </c>
      <c r="L70" s="179"/>
      <c r="M70" s="6" t="s">
        <v>6132</v>
      </c>
      <c r="N70" s="179"/>
      <c r="O70" s="468" t="s">
        <v>8298</v>
      </c>
      <c r="P70" s="6" t="s">
        <v>6933</v>
      </c>
      <c r="Q70" s="179"/>
      <c r="R70" s="54"/>
      <c r="S70" s="54"/>
    </row>
    <row r="71" spans="1:19" ht="51">
      <c r="A71" s="6" t="s">
        <v>8299</v>
      </c>
      <c r="B71" s="6"/>
      <c r="C71" s="6" t="s">
        <v>6872</v>
      </c>
      <c r="D71" s="6"/>
      <c r="E71" s="6"/>
      <c r="F71" s="6" t="s">
        <v>8300</v>
      </c>
      <c r="G71" s="6" t="s">
        <v>8301</v>
      </c>
      <c r="H71" s="64">
        <v>40000</v>
      </c>
      <c r="I71" s="6" t="s">
        <v>8302</v>
      </c>
      <c r="J71" s="6" t="s">
        <v>1847</v>
      </c>
      <c r="K71" s="180" t="s">
        <v>8303</v>
      </c>
      <c r="L71" s="179"/>
      <c r="M71" s="475" t="s">
        <v>1808</v>
      </c>
      <c r="N71" s="179"/>
      <c r="O71" s="468" t="s">
        <v>8304</v>
      </c>
      <c r="P71" s="6" t="s">
        <v>6064</v>
      </c>
      <c r="Q71" s="179"/>
      <c r="R71" s="54"/>
      <c r="S71" s="54"/>
    </row>
    <row r="72" spans="1:19" ht="63.75">
      <c r="A72" s="6" t="s">
        <v>8305</v>
      </c>
      <c r="B72" s="6"/>
      <c r="C72" s="6" t="s">
        <v>6872</v>
      </c>
      <c r="D72" s="6"/>
      <c r="E72" s="6"/>
      <c r="F72" s="6" t="s">
        <v>8306</v>
      </c>
      <c r="G72" s="6" t="s">
        <v>8307</v>
      </c>
      <c r="H72" s="8">
        <v>24500</v>
      </c>
      <c r="I72" s="6"/>
      <c r="J72" s="6"/>
      <c r="K72" s="180" t="s">
        <v>8308</v>
      </c>
      <c r="L72" s="179"/>
      <c r="M72" s="475" t="s">
        <v>1808</v>
      </c>
      <c r="N72" s="179"/>
      <c r="O72" s="468" t="s">
        <v>8309</v>
      </c>
      <c r="P72" s="6" t="s">
        <v>6064</v>
      </c>
      <c r="Q72" s="179"/>
      <c r="R72" s="54"/>
      <c r="S72" s="54"/>
    </row>
    <row r="73" spans="1:19" ht="76.5">
      <c r="A73" s="6" t="s">
        <v>8310</v>
      </c>
      <c r="B73" s="6"/>
      <c r="C73" s="6" t="s">
        <v>6872</v>
      </c>
      <c r="D73" s="6"/>
      <c r="E73" s="6"/>
      <c r="F73" s="6" t="s">
        <v>8311</v>
      </c>
      <c r="G73" s="6" t="s">
        <v>8312</v>
      </c>
      <c r="H73" s="8">
        <v>94000</v>
      </c>
      <c r="I73" s="6" t="s">
        <v>8313</v>
      </c>
      <c r="J73" s="6" t="s">
        <v>8314</v>
      </c>
      <c r="K73" s="180" t="s">
        <v>8315</v>
      </c>
      <c r="L73" s="179"/>
      <c r="M73" s="475" t="s">
        <v>1808</v>
      </c>
      <c r="N73" s="179"/>
      <c r="O73" s="468" t="s">
        <v>8316</v>
      </c>
      <c r="P73" s="6" t="s">
        <v>6064</v>
      </c>
      <c r="Q73" s="179"/>
      <c r="R73" s="54"/>
      <c r="S73" s="54"/>
    </row>
    <row r="74" spans="1:19" ht="140.25">
      <c r="A74" s="6" t="s">
        <v>8317</v>
      </c>
      <c r="B74" s="6"/>
      <c r="C74" s="6" t="s">
        <v>6872</v>
      </c>
      <c r="D74" s="6"/>
      <c r="E74" s="6"/>
      <c r="F74" s="6" t="s">
        <v>8318</v>
      </c>
      <c r="G74" s="6" t="s">
        <v>8319</v>
      </c>
      <c r="H74" s="8">
        <v>150000</v>
      </c>
      <c r="I74" s="6"/>
      <c r="J74" s="6"/>
      <c r="K74" s="180" t="s">
        <v>8320</v>
      </c>
      <c r="L74" s="179"/>
      <c r="M74" s="475" t="s">
        <v>1808</v>
      </c>
      <c r="N74" s="179"/>
      <c r="O74" s="468" t="s">
        <v>8321</v>
      </c>
      <c r="P74" s="6" t="s">
        <v>6064</v>
      </c>
      <c r="Q74" s="179"/>
      <c r="R74" s="54"/>
      <c r="S74" s="54"/>
    </row>
    <row r="75" spans="1:19" ht="25.5">
      <c r="A75" s="6" t="s">
        <v>8322</v>
      </c>
      <c r="B75" s="6"/>
      <c r="C75" s="6" t="s">
        <v>6872</v>
      </c>
      <c r="D75" s="6"/>
      <c r="E75" s="6"/>
      <c r="F75" s="6" t="s">
        <v>8323</v>
      </c>
      <c r="G75" s="6" t="s">
        <v>8324</v>
      </c>
      <c r="H75" s="8">
        <v>44000</v>
      </c>
      <c r="I75" s="6" t="s">
        <v>8325</v>
      </c>
      <c r="J75" s="6" t="s">
        <v>8326</v>
      </c>
      <c r="K75" s="180" t="s">
        <v>8327</v>
      </c>
      <c r="L75" s="179"/>
      <c r="M75" s="475" t="s">
        <v>1808</v>
      </c>
      <c r="N75" s="179"/>
      <c r="O75" s="468" t="s">
        <v>8328</v>
      </c>
      <c r="P75" s="6" t="s">
        <v>6064</v>
      </c>
      <c r="Q75" s="179"/>
      <c r="R75" s="54"/>
      <c r="S75" s="54"/>
    </row>
    <row r="76" spans="1:19" ht="38.25">
      <c r="A76" s="6" t="s">
        <v>8329</v>
      </c>
      <c r="B76" s="6"/>
      <c r="C76" s="6" t="s">
        <v>6872</v>
      </c>
      <c r="D76" s="6"/>
      <c r="E76" s="6"/>
      <c r="F76" s="6" t="s">
        <v>8330</v>
      </c>
      <c r="G76" s="6" t="s">
        <v>8331</v>
      </c>
      <c r="H76" s="8">
        <v>58000</v>
      </c>
      <c r="I76" s="6" t="s">
        <v>8332</v>
      </c>
      <c r="J76" s="6" t="s">
        <v>2460</v>
      </c>
      <c r="K76" s="180" t="s">
        <v>8333</v>
      </c>
      <c r="L76" s="179"/>
      <c r="M76" s="475" t="s">
        <v>1808</v>
      </c>
      <c r="N76" s="179"/>
      <c r="O76" s="468" t="s">
        <v>8334</v>
      </c>
      <c r="P76" s="6" t="s">
        <v>6064</v>
      </c>
      <c r="Q76" s="179"/>
      <c r="R76" s="54"/>
      <c r="S76" s="54"/>
    </row>
    <row r="77" spans="1:19" ht="25.5">
      <c r="A77" s="6" t="s">
        <v>8335</v>
      </c>
      <c r="B77" s="6"/>
      <c r="C77" s="6" t="s">
        <v>6872</v>
      </c>
      <c r="D77" s="6"/>
      <c r="E77" s="6"/>
      <c r="F77" s="6" t="s">
        <v>8336</v>
      </c>
      <c r="G77" s="6" t="s">
        <v>8337</v>
      </c>
      <c r="H77" s="64">
        <v>5500</v>
      </c>
      <c r="I77" s="6" t="s">
        <v>8243</v>
      </c>
      <c r="J77" s="6" t="s">
        <v>1847</v>
      </c>
      <c r="K77" s="180" t="s">
        <v>8338</v>
      </c>
      <c r="L77" s="179"/>
      <c r="M77" s="6" t="s">
        <v>6132</v>
      </c>
      <c r="N77" s="179"/>
      <c r="O77" s="468" t="s">
        <v>8339</v>
      </c>
      <c r="P77" s="6" t="s">
        <v>6064</v>
      </c>
      <c r="Q77" s="179"/>
      <c r="R77" s="54"/>
      <c r="S77" s="54"/>
    </row>
    <row r="78" spans="1:19" ht="25.5">
      <c r="A78" s="56" t="s">
        <v>8340</v>
      </c>
      <c r="B78" s="56"/>
      <c r="C78" s="56" t="s">
        <v>6872</v>
      </c>
      <c r="D78" s="56"/>
      <c r="E78" s="56"/>
      <c r="F78" s="56"/>
      <c r="G78" s="56"/>
      <c r="H78" s="56"/>
      <c r="I78" s="56"/>
      <c r="J78" s="56"/>
      <c r="K78" s="191"/>
      <c r="L78" s="190"/>
      <c r="M78" s="544" t="s">
        <v>1808</v>
      </c>
      <c r="N78" s="190"/>
      <c r="O78" s="56"/>
      <c r="P78" s="56" t="s">
        <v>7924</v>
      </c>
      <c r="Q78" s="190"/>
      <c r="R78" s="54"/>
      <c r="S78" s="54"/>
    </row>
    <row r="79" spans="1:19" ht="38.25">
      <c r="A79" s="6" t="s">
        <v>8341</v>
      </c>
      <c r="B79" s="6"/>
      <c r="C79" s="6" t="s">
        <v>6872</v>
      </c>
      <c r="D79" s="6"/>
      <c r="E79" s="6"/>
      <c r="F79" s="6" t="s">
        <v>8342</v>
      </c>
      <c r="G79" s="6" t="s">
        <v>8343</v>
      </c>
      <c r="H79" s="8">
        <v>100000</v>
      </c>
      <c r="I79" s="6" t="s">
        <v>8344</v>
      </c>
      <c r="J79" s="6" t="s">
        <v>1847</v>
      </c>
      <c r="K79" s="180" t="s">
        <v>8345</v>
      </c>
      <c r="L79" s="179"/>
      <c r="M79" s="475" t="s">
        <v>1808</v>
      </c>
      <c r="N79" s="179"/>
      <c r="O79" s="468" t="s">
        <v>8346</v>
      </c>
      <c r="P79" s="6" t="s">
        <v>6064</v>
      </c>
      <c r="Q79" s="179"/>
      <c r="R79" s="54"/>
      <c r="S79" s="54"/>
    </row>
    <row r="80" spans="1:19" ht="38.25">
      <c r="A80" s="6" t="s">
        <v>8347</v>
      </c>
      <c r="B80" s="6"/>
      <c r="C80" s="6" t="s">
        <v>6872</v>
      </c>
      <c r="D80" s="6"/>
      <c r="E80" s="6"/>
      <c r="F80" s="6" t="s">
        <v>8348</v>
      </c>
      <c r="G80" s="6" t="s">
        <v>8349</v>
      </c>
      <c r="H80" s="8">
        <v>100000</v>
      </c>
      <c r="I80" s="6" t="s">
        <v>8350</v>
      </c>
      <c r="J80" s="6" t="s">
        <v>1847</v>
      </c>
      <c r="K80" s="180" t="s">
        <v>8351</v>
      </c>
      <c r="L80" s="179"/>
      <c r="M80" s="475" t="s">
        <v>1808</v>
      </c>
      <c r="N80" s="179"/>
      <c r="O80" s="468" t="s">
        <v>8352</v>
      </c>
      <c r="P80" s="6" t="s">
        <v>6933</v>
      </c>
      <c r="Q80" s="179"/>
      <c r="R80" s="54"/>
      <c r="S80" s="54"/>
    </row>
    <row r="81" spans="1:19" ht="25.5">
      <c r="A81" s="56" t="s">
        <v>8353</v>
      </c>
      <c r="B81" s="56"/>
      <c r="C81" s="56" t="s">
        <v>6872</v>
      </c>
      <c r="D81" s="56"/>
      <c r="E81" s="56"/>
      <c r="F81" s="56" t="s">
        <v>3827</v>
      </c>
      <c r="G81" s="56" t="s">
        <v>3827</v>
      </c>
      <c r="H81" s="56" t="s">
        <v>3827</v>
      </c>
      <c r="I81" s="56" t="s">
        <v>3827</v>
      </c>
      <c r="J81" s="56" t="s">
        <v>3827</v>
      </c>
      <c r="K81" s="190" t="s">
        <v>3827</v>
      </c>
      <c r="L81" s="190"/>
      <c r="M81" s="544" t="s">
        <v>1808</v>
      </c>
      <c r="N81" s="190"/>
      <c r="O81" s="56"/>
      <c r="P81" s="56" t="s">
        <v>7924</v>
      </c>
      <c r="Q81" s="190"/>
      <c r="R81" s="54"/>
      <c r="S81" s="54"/>
    </row>
    <row r="82" spans="1:19" ht="25.5">
      <c r="A82" s="56" t="s">
        <v>8354</v>
      </c>
      <c r="B82" s="56"/>
      <c r="C82" s="56" t="s">
        <v>6872</v>
      </c>
      <c r="D82" s="56"/>
      <c r="E82" s="56"/>
      <c r="F82" s="56" t="s">
        <v>3827</v>
      </c>
      <c r="G82" s="56" t="s">
        <v>3827</v>
      </c>
      <c r="H82" s="56" t="s">
        <v>3827</v>
      </c>
      <c r="I82" s="56" t="s">
        <v>3827</v>
      </c>
      <c r="J82" s="56" t="s">
        <v>3827</v>
      </c>
      <c r="K82" s="190" t="s">
        <v>3827</v>
      </c>
      <c r="L82" s="190"/>
      <c r="M82" s="544" t="s">
        <v>1808</v>
      </c>
      <c r="N82" s="190"/>
      <c r="O82" s="56"/>
      <c r="P82" s="56" t="s">
        <v>7924</v>
      </c>
      <c r="Q82" s="190"/>
      <c r="R82" s="54"/>
      <c r="S82" s="54"/>
    </row>
    <row r="83" spans="1:19" ht="76.5">
      <c r="A83" s="6" t="s">
        <v>8355</v>
      </c>
      <c r="B83" s="6"/>
      <c r="C83" s="6" t="s">
        <v>6872</v>
      </c>
      <c r="D83" s="6"/>
      <c r="E83" s="6"/>
      <c r="F83" s="6" t="s">
        <v>8356</v>
      </c>
      <c r="G83" s="6" t="s">
        <v>8357</v>
      </c>
      <c r="H83" s="8">
        <v>265000</v>
      </c>
      <c r="I83" s="6" t="s">
        <v>8358</v>
      </c>
      <c r="J83" s="6" t="s">
        <v>6370</v>
      </c>
      <c r="K83" s="180" t="s">
        <v>8359</v>
      </c>
      <c r="L83" s="179"/>
      <c r="M83" s="475" t="s">
        <v>1808</v>
      </c>
      <c r="N83" s="179"/>
      <c r="O83" s="468" t="s">
        <v>8360</v>
      </c>
      <c r="P83" s="6" t="s">
        <v>6933</v>
      </c>
      <c r="Q83" s="179"/>
      <c r="R83" s="54"/>
      <c r="S83" s="54"/>
    </row>
    <row r="84" spans="1:19" ht="38.25">
      <c r="A84" s="6" t="s">
        <v>8361</v>
      </c>
      <c r="B84" s="6"/>
      <c r="C84" s="6" t="s">
        <v>6872</v>
      </c>
      <c r="D84" s="6"/>
      <c r="E84" s="6"/>
      <c r="F84" s="6" t="s">
        <v>8362</v>
      </c>
      <c r="G84" s="6" t="s">
        <v>8363</v>
      </c>
      <c r="H84" s="8">
        <v>29500</v>
      </c>
      <c r="I84" s="6"/>
      <c r="J84" s="6"/>
      <c r="K84" s="180" t="s">
        <v>8364</v>
      </c>
      <c r="L84" s="179"/>
      <c r="M84" s="475" t="s">
        <v>1808</v>
      </c>
      <c r="N84" s="179"/>
      <c r="O84" s="468" t="s">
        <v>8365</v>
      </c>
      <c r="P84" s="6" t="s">
        <v>6071</v>
      </c>
      <c r="Q84" s="179"/>
      <c r="R84" s="54"/>
      <c r="S84" s="54"/>
    </row>
    <row r="85" spans="1:19" ht="38.25">
      <c r="A85" s="6" t="s">
        <v>8366</v>
      </c>
      <c r="B85" s="6"/>
      <c r="C85" s="6" t="s">
        <v>6872</v>
      </c>
      <c r="D85" s="6"/>
      <c r="E85" s="6"/>
      <c r="F85" s="6" t="s">
        <v>8367</v>
      </c>
      <c r="G85" s="6" t="s">
        <v>8368</v>
      </c>
      <c r="H85" s="6" t="s">
        <v>8369</v>
      </c>
      <c r="I85" s="6" t="s">
        <v>8370</v>
      </c>
      <c r="J85" s="6" t="s">
        <v>8280</v>
      </c>
      <c r="K85" s="180" t="s">
        <v>8371</v>
      </c>
      <c r="L85" s="179"/>
      <c r="M85" s="6" t="s">
        <v>6132</v>
      </c>
      <c r="N85" s="179"/>
      <c r="O85" s="468" t="s">
        <v>8372</v>
      </c>
      <c r="P85" s="6" t="s">
        <v>6137</v>
      </c>
      <c r="Q85" s="179"/>
      <c r="R85" s="54"/>
      <c r="S85" s="54"/>
    </row>
    <row r="86" spans="1:19" ht="38.25">
      <c r="A86" s="6" t="s">
        <v>8373</v>
      </c>
      <c r="B86" s="6"/>
      <c r="C86" s="6" t="s">
        <v>6872</v>
      </c>
      <c r="D86" s="6"/>
      <c r="E86" s="6"/>
      <c r="F86" s="6" t="s">
        <v>8374</v>
      </c>
      <c r="G86" s="6" t="s">
        <v>2486</v>
      </c>
      <c r="H86" s="8">
        <v>1126628.3999999999</v>
      </c>
      <c r="I86" s="6" t="s">
        <v>8375</v>
      </c>
      <c r="J86" s="6" t="s">
        <v>2467</v>
      </c>
      <c r="K86" s="180" t="s">
        <v>8376</v>
      </c>
      <c r="L86" s="179"/>
      <c r="M86" s="475" t="s">
        <v>1808</v>
      </c>
      <c r="N86" s="179"/>
      <c r="O86" s="468" t="s">
        <v>8377</v>
      </c>
      <c r="P86" s="6" t="s">
        <v>6104</v>
      </c>
      <c r="Q86" s="179"/>
      <c r="R86" s="54"/>
      <c r="S86" s="54"/>
    </row>
    <row r="87" spans="1:19" ht="38.25">
      <c r="A87" s="6" t="s">
        <v>8378</v>
      </c>
      <c r="B87" s="6"/>
      <c r="C87" s="6" t="s">
        <v>6872</v>
      </c>
      <c r="D87" s="6"/>
      <c r="E87" s="6"/>
      <c r="F87" s="6" t="s">
        <v>8379</v>
      </c>
      <c r="G87" s="6" t="s">
        <v>8380</v>
      </c>
      <c r="H87" s="64">
        <v>250000</v>
      </c>
      <c r="I87" s="6" t="s">
        <v>8381</v>
      </c>
      <c r="J87" s="6" t="s">
        <v>7922</v>
      </c>
      <c r="K87" s="180" t="s">
        <v>8382</v>
      </c>
      <c r="L87" s="179"/>
      <c r="M87" s="475" t="s">
        <v>1808</v>
      </c>
      <c r="N87" s="179"/>
      <c r="O87" s="468" t="s">
        <v>8383</v>
      </c>
      <c r="P87" s="6" t="s">
        <v>6137</v>
      </c>
      <c r="Q87" s="179"/>
      <c r="R87" s="54"/>
      <c r="S87" s="54"/>
    </row>
    <row r="88" spans="1:19" ht="114.75">
      <c r="A88" s="6" t="s">
        <v>8384</v>
      </c>
      <c r="B88" s="6"/>
      <c r="C88" s="6" t="s">
        <v>6872</v>
      </c>
      <c r="D88" s="6"/>
      <c r="E88" s="6"/>
      <c r="F88" s="6" t="s">
        <v>8385</v>
      </c>
      <c r="G88" s="6" t="s">
        <v>8386</v>
      </c>
      <c r="H88" s="8">
        <v>849000</v>
      </c>
      <c r="I88" s="6" t="s">
        <v>8387</v>
      </c>
      <c r="J88" s="6" t="s">
        <v>2656</v>
      </c>
      <c r="K88" s="180" t="s">
        <v>8388</v>
      </c>
      <c r="L88" s="179"/>
      <c r="M88" s="6" t="s">
        <v>6179</v>
      </c>
      <c r="N88" s="179"/>
      <c r="O88" s="468" t="s">
        <v>8389</v>
      </c>
      <c r="P88" s="6" t="s">
        <v>6137</v>
      </c>
      <c r="Q88" s="179"/>
      <c r="R88" s="54"/>
      <c r="S88" s="54"/>
    </row>
    <row r="89" spans="1:19" ht="25.5">
      <c r="A89" s="56" t="s">
        <v>8390</v>
      </c>
      <c r="B89" s="56"/>
      <c r="C89" s="56" t="s">
        <v>6872</v>
      </c>
      <c r="D89" s="56"/>
      <c r="E89" s="56"/>
      <c r="F89" s="56" t="s">
        <v>3827</v>
      </c>
      <c r="G89" s="56" t="s">
        <v>3827</v>
      </c>
      <c r="H89" s="56" t="s">
        <v>3827</v>
      </c>
      <c r="I89" s="56" t="s">
        <v>3827</v>
      </c>
      <c r="J89" s="56" t="s">
        <v>3827</v>
      </c>
      <c r="K89" s="190" t="s">
        <v>3827</v>
      </c>
      <c r="L89" s="190"/>
      <c r="M89" s="544" t="s">
        <v>1808</v>
      </c>
      <c r="N89" s="190"/>
      <c r="O89" s="56"/>
      <c r="P89" s="56" t="s">
        <v>7924</v>
      </c>
      <c r="Q89" s="190"/>
      <c r="R89" s="54"/>
      <c r="S89" s="54"/>
    </row>
    <row r="90" spans="1:19" ht="76.5">
      <c r="A90" s="6" t="s">
        <v>8391</v>
      </c>
      <c r="B90" s="6"/>
      <c r="C90" s="6" t="s">
        <v>6872</v>
      </c>
      <c r="D90" s="6"/>
      <c r="E90" s="6"/>
      <c r="F90" s="6" t="s">
        <v>8392</v>
      </c>
      <c r="G90" s="6" t="s">
        <v>8393</v>
      </c>
      <c r="H90" s="8">
        <v>687300</v>
      </c>
      <c r="I90" s="6" t="s">
        <v>8394</v>
      </c>
      <c r="J90" s="6" t="s">
        <v>8395</v>
      </c>
      <c r="K90" s="180" t="s">
        <v>8396</v>
      </c>
      <c r="L90" s="179"/>
      <c r="M90" s="6" t="s">
        <v>6132</v>
      </c>
      <c r="N90" s="179"/>
      <c r="O90" s="468" t="s">
        <v>8397</v>
      </c>
      <c r="P90" s="6" t="s">
        <v>6217</v>
      </c>
      <c r="Q90" s="179"/>
      <c r="R90" s="54"/>
      <c r="S90" s="54"/>
    </row>
    <row r="91" spans="1:19" ht="12.75">
      <c r="A91" s="6"/>
      <c r="B91" s="6"/>
      <c r="C91" s="6"/>
      <c r="D91" s="6"/>
      <c r="E91" s="6"/>
      <c r="F91" s="6"/>
      <c r="G91" s="6"/>
      <c r="H91" s="6"/>
      <c r="I91" s="6"/>
      <c r="J91" s="6"/>
      <c r="K91" s="179"/>
      <c r="L91" s="179"/>
      <c r="M91" s="6"/>
      <c r="N91" s="179"/>
      <c r="O91" s="6"/>
      <c r="P91" s="6"/>
      <c r="Q91" s="179"/>
      <c r="R91" s="54"/>
      <c r="S91" s="54"/>
    </row>
    <row r="92" spans="1:19" ht="12.75">
      <c r="A92" s="6"/>
      <c r="B92" s="6"/>
      <c r="C92" s="6"/>
      <c r="D92" s="6"/>
      <c r="E92" s="6"/>
      <c r="F92" s="6"/>
      <c r="G92" s="6"/>
      <c r="H92" s="6"/>
      <c r="I92" s="6"/>
      <c r="J92" s="6"/>
      <c r="K92" s="179"/>
      <c r="L92" s="179"/>
      <c r="M92" s="6"/>
      <c r="N92" s="179"/>
      <c r="O92" s="6"/>
      <c r="P92" s="6"/>
      <c r="Q92" s="179"/>
      <c r="R92" s="54"/>
      <c r="S92" s="54"/>
    </row>
    <row r="93" spans="1:19" ht="12.75">
      <c r="A93" s="6"/>
      <c r="B93" s="6"/>
      <c r="C93" s="6"/>
      <c r="D93" s="6"/>
      <c r="E93" s="6"/>
      <c r="F93" s="6"/>
      <c r="G93" s="6"/>
      <c r="H93" s="6"/>
      <c r="I93" s="6"/>
      <c r="J93" s="6"/>
      <c r="K93" s="179"/>
      <c r="L93" s="179"/>
      <c r="M93" s="6"/>
      <c r="N93" s="179"/>
      <c r="O93" s="6"/>
      <c r="P93" s="6"/>
      <c r="Q93" s="179"/>
      <c r="R93" s="54"/>
      <c r="S93" s="54"/>
    </row>
    <row r="94" spans="1:19" ht="12.75">
      <c r="A94" s="6"/>
      <c r="B94" s="6"/>
      <c r="C94" s="6"/>
      <c r="D94" s="6"/>
      <c r="E94" s="6"/>
      <c r="F94" s="6"/>
      <c r="G94" s="6"/>
      <c r="H94" s="6"/>
      <c r="I94" s="6"/>
      <c r="J94" s="6"/>
      <c r="K94" s="179"/>
      <c r="L94" s="179"/>
      <c r="M94" s="6"/>
      <c r="N94" s="179"/>
      <c r="O94" s="6"/>
      <c r="P94" s="6"/>
      <c r="Q94" s="179"/>
      <c r="R94" s="54"/>
      <c r="S94" s="54"/>
    </row>
    <row r="95" spans="1:19" ht="12.75">
      <c r="A95" s="6"/>
      <c r="B95" s="6"/>
      <c r="C95" s="6"/>
      <c r="D95" s="6"/>
      <c r="E95" s="6"/>
      <c r="F95" s="6"/>
      <c r="G95" s="6"/>
      <c r="H95" s="6"/>
      <c r="I95" s="6"/>
      <c r="J95" s="6"/>
      <c r="K95" s="179"/>
      <c r="L95" s="179"/>
      <c r="M95" s="6"/>
      <c r="N95" s="179"/>
      <c r="O95" s="6"/>
      <c r="P95" s="6"/>
      <c r="Q95" s="179"/>
      <c r="R95" s="54"/>
      <c r="S95" s="54"/>
    </row>
    <row r="96" spans="1:19" ht="12.75">
      <c r="A96" s="6"/>
      <c r="B96" s="6"/>
      <c r="C96" s="6"/>
      <c r="D96" s="6"/>
      <c r="E96" s="6"/>
      <c r="F96" s="6"/>
      <c r="G96" s="6"/>
      <c r="H96" s="6"/>
      <c r="I96" s="6"/>
      <c r="J96" s="6"/>
      <c r="K96" s="179"/>
      <c r="L96" s="179"/>
      <c r="M96" s="6"/>
      <c r="N96" s="179"/>
      <c r="O96" s="6"/>
      <c r="P96" s="6"/>
      <c r="Q96" s="179"/>
      <c r="R96" s="54"/>
      <c r="S96" s="54"/>
    </row>
    <row r="97" spans="1:19" ht="12.75">
      <c r="A97" s="6"/>
      <c r="B97" s="6"/>
      <c r="C97" s="6"/>
      <c r="D97" s="6"/>
      <c r="E97" s="6"/>
      <c r="F97" s="6"/>
      <c r="G97" s="6"/>
      <c r="H97" s="6"/>
      <c r="I97" s="6"/>
      <c r="J97" s="6"/>
      <c r="K97" s="179"/>
      <c r="L97" s="179"/>
      <c r="M97" s="6"/>
      <c r="N97" s="179"/>
      <c r="O97" s="6"/>
      <c r="P97" s="6"/>
      <c r="Q97" s="179"/>
      <c r="R97" s="54"/>
      <c r="S97" s="54"/>
    </row>
    <row r="98" spans="1:19" ht="12.75">
      <c r="A98" s="6"/>
      <c r="B98" s="6"/>
      <c r="C98" s="6"/>
      <c r="D98" s="6"/>
      <c r="E98" s="6"/>
      <c r="F98" s="6"/>
      <c r="G98" s="6"/>
      <c r="H98" s="6"/>
      <c r="I98" s="6"/>
      <c r="J98" s="6"/>
      <c r="K98" s="179"/>
      <c r="L98" s="179"/>
      <c r="M98" s="6"/>
      <c r="N98" s="179"/>
      <c r="O98" s="6"/>
      <c r="P98" s="6"/>
      <c r="Q98" s="179"/>
      <c r="R98" s="54"/>
      <c r="S98" s="54"/>
    </row>
    <row r="99" spans="1:19" ht="12.75">
      <c r="A99" s="6"/>
      <c r="B99" s="6"/>
      <c r="C99" s="6"/>
      <c r="D99" s="6"/>
      <c r="E99" s="6"/>
      <c r="F99" s="6"/>
      <c r="G99" s="6"/>
      <c r="H99" s="6"/>
      <c r="I99" s="6"/>
      <c r="J99" s="6"/>
      <c r="K99" s="179"/>
      <c r="L99" s="179"/>
      <c r="M99" s="6"/>
      <c r="N99" s="179"/>
      <c r="O99" s="6"/>
      <c r="P99" s="6"/>
      <c r="Q99" s="179"/>
      <c r="R99" s="54"/>
      <c r="S99" s="54"/>
    </row>
    <row r="100" spans="1:19" ht="12.75">
      <c r="A100" s="6"/>
      <c r="B100" s="6"/>
      <c r="C100" s="6"/>
      <c r="D100" s="6"/>
      <c r="E100" s="6"/>
      <c r="F100" s="6"/>
      <c r="G100" s="6"/>
      <c r="H100" s="6"/>
      <c r="I100" s="6"/>
      <c r="J100" s="6"/>
      <c r="K100" s="179"/>
      <c r="L100" s="179"/>
      <c r="M100" s="6"/>
      <c r="N100" s="179"/>
      <c r="O100" s="6"/>
      <c r="P100" s="6"/>
      <c r="Q100" s="179"/>
      <c r="R100" s="54"/>
      <c r="S100" s="54"/>
    </row>
    <row r="101" spans="1:19" ht="12.75">
      <c r="A101" s="6"/>
      <c r="B101" s="6"/>
      <c r="C101" s="6"/>
      <c r="D101" s="6"/>
      <c r="E101" s="6"/>
      <c r="F101" s="6"/>
      <c r="G101" s="6"/>
      <c r="H101" s="6"/>
      <c r="I101" s="6"/>
      <c r="J101" s="6"/>
      <c r="K101" s="179"/>
      <c r="L101" s="179"/>
      <c r="M101" s="6"/>
      <c r="N101" s="179"/>
      <c r="O101" s="6"/>
      <c r="P101" s="6"/>
      <c r="Q101" s="179"/>
      <c r="R101" s="54"/>
      <c r="S101" s="54"/>
    </row>
    <row r="102" spans="1:19" ht="12.75">
      <c r="A102" s="6"/>
      <c r="B102" s="6"/>
      <c r="C102" s="6"/>
      <c r="D102" s="6"/>
      <c r="E102" s="6"/>
      <c r="F102" s="6"/>
      <c r="G102" s="6"/>
      <c r="H102" s="6"/>
      <c r="I102" s="6"/>
      <c r="J102" s="6"/>
      <c r="K102" s="179"/>
      <c r="L102" s="179"/>
      <c r="M102" s="6"/>
      <c r="N102" s="179"/>
      <c r="O102" s="6"/>
      <c r="P102" s="6"/>
      <c r="Q102" s="179"/>
      <c r="R102" s="54"/>
      <c r="S102" s="54"/>
    </row>
    <row r="103" spans="1:19" ht="12.75">
      <c r="A103" s="6"/>
      <c r="B103" s="6"/>
      <c r="C103" s="6"/>
      <c r="D103" s="6"/>
      <c r="E103" s="6"/>
      <c r="F103" s="6"/>
      <c r="G103" s="6"/>
      <c r="H103" s="6"/>
      <c r="I103" s="6"/>
      <c r="J103" s="6"/>
      <c r="K103" s="179"/>
      <c r="L103" s="179"/>
      <c r="M103" s="6"/>
      <c r="N103" s="179"/>
      <c r="O103" s="6"/>
      <c r="P103" s="6"/>
      <c r="Q103" s="179"/>
      <c r="R103" s="54"/>
      <c r="S103" s="54"/>
    </row>
    <row r="104" spans="1:19" ht="12.75">
      <c r="A104" s="6"/>
      <c r="B104" s="6"/>
      <c r="C104" s="6"/>
      <c r="D104" s="6"/>
      <c r="E104" s="6"/>
      <c r="F104" s="6"/>
      <c r="G104" s="6"/>
      <c r="H104" s="6"/>
      <c r="I104" s="6"/>
      <c r="J104" s="6"/>
      <c r="K104" s="179"/>
      <c r="L104" s="179"/>
      <c r="M104" s="6"/>
      <c r="N104" s="179"/>
      <c r="O104" s="6"/>
      <c r="P104" s="6"/>
      <c r="Q104" s="179"/>
      <c r="R104" s="54"/>
      <c r="S104" s="54"/>
    </row>
    <row r="105" spans="1:19" ht="12.75">
      <c r="A105" s="6"/>
      <c r="B105" s="6"/>
      <c r="C105" s="6"/>
      <c r="D105" s="6"/>
      <c r="E105" s="6"/>
      <c r="F105" s="6"/>
      <c r="G105" s="6"/>
      <c r="H105" s="6"/>
      <c r="I105" s="6"/>
      <c r="J105" s="6"/>
      <c r="K105" s="179"/>
      <c r="L105" s="179"/>
      <c r="M105" s="6"/>
      <c r="N105" s="179"/>
      <c r="O105" s="6"/>
      <c r="P105" s="6"/>
      <c r="Q105" s="179"/>
      <c r="R105" s="54"/>
      <c r="S105" s="54"/>
    </row>
    <row r="106" spans="1:19" ht="12.75">
      <c r="A106" s="6"/>
      <c r="B106" s="6"/>
      <c r="C106" s="6"/>
      <c r="D106" s="6"/>
      <c r="E106" s="6"/>
      <c r="F106" s="6"/>
      <c r="G106" s="6"/>
      <c r="H106" s="6"/>
      <c r="I106" s="6"/>
      <c r="J106" s="6"/>
      <c r="K106" s="179"/>
      <c r="L106" s="179"/>
      <c r="M106" s="6"/>
      <c r="N106" s="179"/>
      <c r="O106" s="6"/>
      <c r="P106" s="6"/>
      <c r="Q106" s="179"/>
      <c r="R106" s="54"/>
      <c r="S106" s="54"/>
    </row>
    <row r="107" spans="1:19" ht="12.75">
      <c r="A107" s="6"/>
      <c r="B107" s="6"/>
      <c r="C107" s="6"/>
      <c r="D107" s="6"/>
      <c r="E107" s="6"/>
      <c r="F107" s="6"/>
      <c r="G107" s="6"/>
      <c r="H107" s="6"/>
      <c r="I107" s="6"/>
      <c r="J107" s="6"/>
      <c r="K107" s="179"/>
      <c r="L107" s="179"/>
      <c r="M107" s="6"/>
      <c r="N107" s="179"/>
      <c r="O107" s="6"/>
      <c r="P107" s="6"/>
      <c r="Q107" s="179"/>
      <c r="R107" s="54"/>
      <c r="S107" s="54"/>
    </row>
    <row r="108" spans="1:19" ht="12.75">
      <c r="A108" s="6"/>
      <c r="B108" s="6"/>
      <c r="C108" s="6"/>
      <c r="D108" s="6"/>
      <c r="E108" s="6"/>
      <c r="F108" s="6"/>
      <c r="G108" s="6"/>
      <c r="H108" s="6"/>
      <c r="I108" s="6"/>
      <c r="J108" s="6"/>
      <c r="K108" s="179"/>
      <c r="L108" s="179"/>
      <c r="M108" s="6"/>
      <c r="N108" s="179"/>
      <c r="O108" s="6"/>
      <c r="P108" s="6"/>
      <c r="Q108" s="179"/>
      <c r="R108" s="54"/>
      <c r="S108" s="54"/>
    </row>
    <row r="109" spans="1:19" ht="12.75">
      <c r="A109" s="6"/>
      <c r="B109" s="6"/>
      <c r="C109" s="6"/>
      <c r="D109" s="6"/>
      <c r="E109" s="6"/>
      <c r="F109" s="6"/>
      <c r="G109" s="6"/>
      <c r="H109" s="6"/>
      <c r="I109" s="6"/>
      <c r="J109" s="6"/>
      <c r="K109" s="179"/>
      <c r="L109" s="179"/>
      <c r="M109" s="6"/>
      <c r="N109" s="179"/>
      <c r="O109" s="6"/>
      <c r="P109" s="6"/>
      <c r="Q109" s="179"/>
      <c r="R109" s="54"/>
      <c r="S109" s="54"/>
    </row>
    <row r="110" spans="1:19" ht="12.75">
      <c r="A110" s="6"/>
      <c r="B110" s="6"/>
      <c r="C110" s="6"/>
      <c r="D110" s="6"/>
      <c r="E110" s="6"/>
      <c r="F110" s="6"/>
      <c r="G110" s="6"/>
      <c r="H110" s="6"/>
      <c r="I110" s="6"/>
      <c r="J110" s="6"/>
      <c r="K110" s="179"/>
      <c r="L110" s="179"/>
      <c r="M110" s="6"/>
      <c r="N110" s="179"/>
      <c r="O110" s="6"/>
      <c r="P110" s="6"/>
      <c r="Q110" s="179"/>
      <c r="R110" s="54"/>
      <c r="S110" s="54"/>
    </row>
    <row r="111" spans="1:19" ht="12.75">
      <c r="A111" s="6"/>
      <c r="B111" s="6"/>
      <c r="C111" s="6"/>
      <c r="D111" s="6"/>
      <c r="E111" s="6"/>
      <c r="F111" s="6"/>
      <c r="G111" s="6"/>
      <c r="H111" s="6"/>
      <c r="I111" s="6"/>
      <c r="J111" s="6"/>
      <c r="K111" s="179"/>
      <c r="L111" s="179"/>
      <c r="M111" s="6"/>
      <c r="N111" s="179"/>
      <c r="O111" s="6"/>
      <c r="P111" s="6"/>
      <c r="Q111" s="179"/>
      <c r="R111" s="54"/>
      <c r="S111" s="54"/>
    </row>
    <row r="112" spans="1:19" ht="12.75">
      <c r="A112" s="6"/>
      <c r="B112" s="6"/>
      <c r="C112" s="6"/>
      <c r="D112" s="6"/>
      <c r="E112" s="6"/>
      <c r="F112" s="6"/>
      <c r="G112" s="6"/>
      <c r="H112" s="6"/>
      <c r="I112" s="6"/>
      <c r="J112" s="6"/>
      <c r="K112" s="179"/>
      <c r="L112" s="179"/>
      <c r="M112" s="6"/>
      <c r="N112" s="179"/>
      <c r="O112" s="6"/>
      <c r="P112" s="6"/>
      <c r="Q112" s="179"/>
      <c r="R112" s="54"/>
      <c r="S112" s="54"/>
    </row>
    <row r="113" spans="1:19" ht="12.75">
      <c r="A113" s="6"/>
      <c r="B113" s="6"/>
      <c r="C113" s="6"/>
      <c r="D113" s="6"/>
      <c r="E113" s="6"/>
      <c r="F113" s="6"/>
      <c r="G113" s="6"/>
      <c r="H113" s="6"/>
      <c r="I113" s="6"/>
      <c r="J113" s="6"/>
      <c r="K113" s="179"/>
      <c r="L113" s="179"/>
      <c r="M113" s="6"/>
      <c r="N113" s="179"/>
      <c r="O113" s="6"/>
      <c r="P113" s="6"/>
      <c r="Q113" s="179"/>
      <c r="R113" s="54"/>
      <c r="S113" s="54"/>
    </row>
    <row r="114" spans="1:19" ht="12.75">
      <c r="A114" s="6"/>
      <c r="B114" s="6"/>
      <c r="C114" s="6"/>
      <c r="D114" s="6"/>
      <c r="E114" s="6"/>
      <c r="F114" s="6"/>
      <c r="G114" s="6"/>
      <c r="H114" s="6"/>
      <c r="I114" s="6"/>
      <c r="J114" s="6"/>
      <c r="K114" s="179"/>
      <c r="L114" s="179"/>
      <c r="M114" s="6"/>
      <c r="N114" s="179"/>
      <c r="O114" s="6"/>
      <c r="P114" s="6"/>
      <c r="Q114" s="179"/>
      <c r="R114" s="54"/>
      <c r="S114" s="54"/>
    </row>
    <row r="115" spans="1:19" ht="12.75">
      <c r="A115" s="6"/>
      <c r="B115" s="6"/>
      <c r="C115" s="6"/>
      <c r="D115" s="6"/>
      <c r="E115" s="6"/>
      <c r="F115" s="6"/>
      <c r="G115" s="6"/>
      <c r="H115" s="6"/>
      <c r="I115" s="6"/>
      <c r="J115" s="6"/>
      <c r="K115" s="179"/>
      <c r="L115" s="179"/>
      <c r="M115" s="6"/>
      <c r="N115" s="179"/>
      <c r="O115" s="6"/>
      <c r="P115" s="6"/>
      <c r="Q115" s="179"/>
      <c r="R115" s="54"/>
      <c r="S115" s="54"/>
    </row>
    <row r="116" spans="1:19" ht="12.75">
      <c r="A116" s="6"/>
      <c r="B116" s="6"/>
      <c r="C116" s="6"/>
      <c r="D116" s="6"/>
      <c r="E116" s="6"/>
      <c r="F116" s="6"/>
      <c r="G116" s="6"/>
      <c r="H116" s="6"/>
      <c r="I116" s="6"/>
      <c r="J116" s="6"/>
      <c r="K116" s="179"/>
      <c r="L116" s="179"/>
      <c r="M116" s="6"/>
      <c r="N116" s="179"/>
      <c r="O116" s="6"/>
      <c r="P116" s="6"/>
      <c r="Q116" s="179"/>
      <c r="R116" s="54"/>
      <c r="S116" s="54"/>
    </row>
    <row r="117" spans="1:19" ht="12.75">
      <c r="A117" s="6"/>
      <c r="B117" s="6"/>
      <c r="C117" s="6"/>
      <c r="D117" s="6"/>
      <c r="E117" s="6"/>
      <c r="F117" s="6"/>
      <c r="G117" s="6"/>
      <c r="H117" s="6"/>
      <c r="I117" s="6"/>
      <c r="J117" s="6"/>
      <c r="K117" s="179"/>
      <c r="L117" s="179"/>
      <c r="M117" s="6"/>
      <c r="N117" s="179"/>
      <c r="O117" s="6"/>
      <c r="P117" s="6"/>
      <c r="Q117" s="179"/>
      <c r="R117" s="54"/>
      <c r="S117" s="54"/>
    </row>
    <row r="118" spans="1:19" ht="12.75">
      <c r="A118" s="6"/>
      <c r="B118" s="6"/>
      <c r="C118" s="6"/>
      <c r="D118" s="6"/>
      <c r="E118" s="6"/>
      <c r="F118" s="6"/>
      <c r="G118" s="6"/>
      <c r="H118" s="6"/>
      <c r="I118" s="6"/>
      <c r="J118" s="6"/>
      <c r="K118" s="179"/>
      <c r="L118" s="179"/>
      <c r="M118" s="6"/>
      <c r="N118" s="179"/>
      <c r="O118" s="6"/>
      <c r="P118" s="6"/>
      <c r="Q118" s="179"/>
      <c r="R118" s="54"/>
      <c r="S118" s="54"/>
    </row>
    <row r="119" spans="1:19" ht="12.75">
      <c r="A119" s="6"/>
      <c r="B119" s="6"/>
      <c r="C119" s="6"/>
      <c r="D119" s="6"/>
      <c r="E119" s="6"/>
      <c r="F119" s="6"/>
      <c r="G119" s="6"/>
      <c r="H119" s="6"/>
      <c r="I119" s="6"/>
      <c r="J119" s="6"/>
      <c r="K119" s="179"/>
      <c r="L119" s="179"/>
      <c r="M119" s="6"/>
      <c r="N119" s="179"/>
      <c r="O119" s="6"/>
      <c r="P119" s="6"/>
      <c r="Q119" s="179"/>
      <c r="R119" s="54"/>
      <c r="S119" s="54"/>
    </row>
    <row r="120" spans="1:19" ht="12.75">
      <c r="A120" s="6"/>
      <c r="B120" s="6"/>
      <c r="C120" s="6"/>
      <c r="D120" s="6"/>
      <c r="E120" s="6"/>
      <c r="F120" s="6"/>
      <c r="G120" s="6"/>
      <c r="H120" s="6"/>
      <c r="I120" s="6"/>
      <c r="J120" s="6"/>
      <c r="K120" s="179"/>
      <c r="L120" s="179"/>
      <c r="M120" s="6"/>
      <c r="N120" s="179"/>
      <c r="O120" s="6"/>
      <c r="P120" s="6"/>
      <c r="Q120" s="179"/>
      <c r="R120" s="54"/>
      <c r="S120" s="54"/>
    </row>
    <row r="121" spans="1:19" ht="12.75">
      <c r="A121" s="6"/>
      <c r="B121" s="6"/>
      <c r="C121" s="6"/>
      <c r="D121" s="6"/>
      <c r="E121" s="6"/>
      <c r="F121" s="6"/>
      <c r="G121" s="6"/>
      <c r="H121" s="6"/>
      <c r="I121" s="6"/>
      <c r="J121" s="6"/>
      <c r="K121" s="179"/>
      <c r="L121" s="179"/>
      <c r="M121" s="6"/>
      <c r="N121" s="179"/>
      <c r="O121" s="6"/>
      <c r="P121" s="6"/>
      <c r="Q121" s="179"/>
      <c r="R121" s="54"/>
      <c r="S121" s="54"/>
    </row>
    <row r="122" spans="1:19" ht="12.75">
      <c r="A122" s="6"/>
      <c r="B122" s="6"/>
      <c r="C122" s="6"/>
      <c r="D122" s="6"/>
      <c r="E122" s="6"/>
      <c r="F122" s="6"/>
      <c r="G122" s="6"/>
      <c r="H122" s="6"/>
      <c r="I122" s="6"/>
      <c r="J122" s="6"/>
      <c r="K122" s="179"/>
      <c r="L122" s="179"/>
      <c r="M122" s="6"/>
      <c r="N122" s="179"/>
      <c r="O122" s="6"/>
      <c r="P122" s="6"/>
      <c r="Q122" s="179"/>
      <c r="R122" s="54"/>
      <c r="S122" s="54"/>
    </row>
    <row r="123" spans="1:19" ht="12.75">
      <c r="A123" s="6"/>
      <c r="B123" s="6"/>
      <c r="C123" s="6"/>
      <c r="D123" s="6"/>
      <c r="E123" s="6"/>
      <c r="F123" s="6"/>
      <c r="G123" s="6"/>
      <c r="H123" s="6"/>
      <c r="I123" s="6"/>
      <c r="J123" s="6"/>
      <c r="K123" s="179"/>
      <c r="L123" s="179"/>
      <c r="M123" s="6"/>
      <c r="N123" s="179"/>
      <c r="O123" s="6"/>
      <c r="P123" s="6"/>
      <c r="Q123" s="179"/>
      <c r="R123" s="54"/>
      <c r="S123" s="54"/>
    </row>
    <row r="124" spans="1:19" ht="12.75">
      <c r="A124" s="6"/>
      <c r="B124" s="6"/>
      <c r="C124" s="6"/>
      <c r="D124" s="6"/>
      <c r="E124" s="6"/>
      <c r="F124" s="6"/>
      <c r="G124" s="6"/>
      <c r="H124" s="6"/>
      <c r="I124" s="6"/>
      <c r="J124" s="6"/>
      <c r="K124" s="179"/>
      <c r="L124" s="179"/>
      <c r="M124" s="6"/>
      <c r="N124" s="179"/>
      <c r="O124" s="6"/>
      <c r="P124" s="6"/>
      <c r="Q124" s="179"/>
      <c r="R124" s="54"/>
      <c r="S124" s="54"/>
    </row>
    <row r="125" spans="1:19" ht="12.75">
      <c r="A125" s="6"/>
      <c r="B125" s="6"/>
      <c r="C125" s="6"/>
      <c r="D125" s="6"/>
      <c r="E125" s="6"/>
      <c r="F125" s="6"/>
      <c r="G125" s="6"/>
      <c r="H125" s="6"/>
      <c r="I125" s="6"/>
      <c r="J125" s="6"/>
      <c r="K125" s="179"/>
      <c r="L125" s="179"/>
      <c r="M125" s="6"/>
      <c r="N125" s="179"/>
      <c r="O125" s="6"/>
      <c r="P125" s="6"/>
      <c r="Q125" s="179"/>
      <c r="R125" s="54"/>
      <c r="S125" s="54"/>
    </row>
    <row r="126" spans="1:19" ht="12.75">
      <c r="A126" s="6"/>
      <c r="B126" s="6"/>
      <c r="C126" s="6"/>
      <c r="D126" s="6"/>
      <c r="E126" s="6"/>
      <c r="F126" s="6"/>
      <c r="G126" s="6"/>
      <c r="H126" s="6"/>
      <c r="I126" s="6"/>
      <c r="J126" s="6"/>
      <c r="K126" s="179"/>
      <c r="L126" s="179"/>
      <c r="M126" s="6"/>
      <c r="N126" s="179"/>
      <c r="O126" s="6"/>
      <c r="P126" s="6"/>
      <c r="Q126" s="179"/>
      <c r="R126" s="54"/>
      <c r="S126" s="54"/>
    </row>
    <row r="127" spans="1:19" ht="12.75">
      <c r="A127" s="6"/>
      <c r="B127" s="6"/>
      <c r="C127" s="6"/>
      <c r="D127" s="6"/>
      <c r="E127" s="6"/>
      <c r="F127" s="6"/>
      <c r="G127" s="6"/>
      <c r="H127" s="6"/>
      <c r="I127" s="6"/>
      <c r="J127" s="6"/>
      <c r="K127" s="179"/>
      <c r="L127" s="179"/>
      <c r="M127" s="6"/>
      <c r="N127" s="179"/>
      <c r="O127" s="6"/>
      <c r="P127" s="6"/>
      <c r="Q127" s="179"/>
      <c r="R127" s="54"/>
      <c r="S127" s="54"/>
    </row>
    <row r="128" spans="1:19" ht="12.75">
      <c r="A128" s="6"/>
      <c r="B128" s="6"/>
      <c r="C128" s="6"/>
      <c r="D128" s="6"/>
      <c r="E128" s="6"/>
      <c r="F128" s="6"/>
      <c r="G128" s="6"/>
      <c r="H128" s="6"/>
      <c r="I128" s="6"/>
      <c r="J128" s="6"/>
      <c r="K128" s="179"/>
      <c r="L128" s="179"/>
      <c r="M128" s="6"/>
      <c r="N128" s="179"/>
      <c r="O128" s="6"/>
      <c r="P128" s="6"/>
      <c r="Q128" s="179"/>
      <c r="R128" s="54"/>
      <c r="S128" s="54"/>
    </row>
    <row r="129" spans="1:19" ht="12.75">
      <c r="A129" s="6"/>
      <c r="B129" s="6"/>
      <c r="C129" s="6"/>
      <c r="D129" s="6"/>
      <c r="E129" s="6"/>
      <c r="F129" s="6"/>
      <c r="G129" s="6"/>
      <c r="H129" s="6"/>
      <c r="I129" s="6"/>
      <c r="J129" s="6"/>
      <c r="K129" s="179"/>
      <c r="L129" s="179"/>
      <c r="M129" s="6"/>
      <c r="N129" s="179"/>
      <c r="O129" s="6"/>
      <c r="P129" s="6"/>
      <c r="Q129" s="179"/>
      <c r="R129" s="54"/>
      <c r="S129" s="54"/>
    </row>
    <row r="130" spans="1:19" ht="12.75">
      <c r="A130" s="6"/>
      <c r="B130" s="6"/>
      <c r="C130" s="6"/>
      <c r="D130" s="6"/>
      <c r="E130" s="6"/>
      <c r="F130" s="6"/>
      <c r="G130" s="6"/>
      <c r="H130" s="6"/>
      <c r="I130" s="6"/>
      <c r="J130" s="6"/>
      <c r="K130" s="179"/>
      <c r="L130" s="179"/>
      <c r="M130" s="6"/>
      <c r="N130" s="179"/>
      <c r="O130" s="6"/>
      <c r="P130" s="6"/>
      <c r="Q130" s="179"/>
      <c r="R130" s="54"/>
      <c r="S130" s="54"/>
    </row>
    <row r="131" spans="1:19" ht="12.75">
      <c r="A131" s="6"/>
      <c r="B131" s="6"/>
      <c r="C131" s="6"/>
      <c r="D131" s="6"/>
      <c r="E131" s="6"/>
      <c r="F131" s="6"/>
      <c r="G131" s="6"/>
      <c r="H131" s="6"/>
      <c r="I131" s="6"/>
      <c r="J131" s="6"/>
      <c r="K131" s="179"/>
      <c r="L131" s="179"/>
      <c r="M131" s="6"/>
      <c r="N131" s="179"/>
      <c r="O131" s="6"/>
      <c r="P131" s="6"/>
      <c r="Q131" s="179"/>
      <c r="R131" s="54"/>
      <c r="S131" s="54"/>
    </row>
    <row r="132" spans="1:19" ht="12.75">
      <c r="A132" s="6"/>
      <c r="B132" s="6"/>
      <c r="C132" s="6"/>
      <c r="D132" s="6"/>
      <c r="E132" s="6"/>
      <c r="F132" s="6"/>
      <c r="G132" s="6"/>
      <c r="H132" s="6"/>
      <c r="I132" s="6"/>
      <c r="J132" s="6"/>
      <c r="K132" s="179"/>
      <c r="L132" s="179"/>
      <c r="M132" s="6"/>
      <c r="N132" s="179"/>
      <c r="O132" s="6"/>
      <c r="P132" s="6"/>
      <c r="Q132" s="179"/>
      <c r="R132" s="54"/>
      <c r="S132" s="54"/>
    </row>
    <row r="133" spans="1:19" ht="12.75">
      <c r="A133" s="6"/>
      <c r="B133" s="6"/>
      <c r="C133" s="6"/>
      <c r="D133" s="6"/>
      <c r="E133" s="6"/>
      <c r="F133" s="6"/>
      <c r="G133" s="6"/>
      <c r="H133" s="6"/>
      <c r="I133" s="6"/>
      <c r="J133" s="6"/>
      <c r="K133" s="179"/>
      <c r="L133" s="179"/>
      <c r="M133" s="6"/>
      <c r="N133" s="179"/>
      <c r="O133" s="6"/>
      <c r="P133" s="6"/>
      <c r="Q133" s="179"/>
      <c r="R133" s="54"/>
      <c r="S133" s="54"/>
    </row>
    <row r="134" spans="1:19" ht="12.75">
      <c r="A134" s="6"/>
      <c r="B134" s="6"/>
      <c r="C134" s="6"/>
      <c r="D134" s="6"/>
      <c r="E134" s="6"/>
      <c r="F134" s="6"/>
      <c r="G134" s="6"/>
      <c r="H134" s="6"/>
      <c r="I134" s="6"/>
      <c r="J134" s="6"/>
      <c r="K134" s="179"/>
      <c r="L134" s="179"/>
      <c r="M134" s="6"/>
      <c r="N134" s="179"/>
      <c r="O134" s="6"/>
      <c r="P134" s="6"/>
      <c r="Q134" s="179"/>
      <c r="R134" s="54"/>
      <c r="S134" s="54"/>
    </row>
    <row r="135" spans="1:19" ht="12.75">
      <c r="A135" s="6"/>
      <c r="B135" s="6"/>
      <c r="C135" s="6"/>
      <c r="D135" s="6"/>
      <c r="E135" s="6"/>
      <c r="F135" s="6"/>
      <c r="G135" s="6"/>
      <c r="H135" s="6"/>
      <c r="I135" s="6"/>
      <c r="J135" s="6"/>
      <c r="K135" s="179"/>
      <c r="L135" s="179"/>
      <c r="M135" s="6"/>
      <c r="N135" s="179"/>
      <c r="O135" s="6"/>
      <c r="P135" s="6"/>
      <c r="Q135" s="179"/>
      <c r="R135" s="54"/>
      <c r="S135" s="54"/>
    </row>
    <row r="136" spans="1:19" ht="12.75">
      <c r="A136" s="6"/>
      <c r="B136" s="6"/>
      <c r="C136" s="6"/>
      <c r="D136" s="6"/>
      <c r="E136" s="6"/>
      <c r="F136" s="6"/>
      <c r="G136" s="6"/>
      <c r="H136" s="6"/>
      <c r="I136" s="6"/>
      <c r="J136" s="6"/>
      <c r="K136" s="179"/>
      <c r="L136" s="179"/>
      <c r="M136" s="6"/>
      <c r="N136" s="179"/>
      <c r="O136" s="6"/>
      <c r="P136" s="6"/>
      <c r="Q136" s="179"/>
      <c r="R136" s="54"/>
      <c r="S136" s="54"/>
    </row>
    <row r="137" spans="1:19" ht="12.75">
      <c r="A137" s="6"/>
      <c r="B137" s="6"/>
      <c r="C137" s="6"/>
      <c r="D137" s="6"/>
      <c r="E137" s="6"/>
      <c r="F137" s="6"/>
      <c r="G137" s="6"/>
      <c r="H137" s="6"/>
      <c r="I137" s="6"/>
      <c r="J137" s="6"/>
      <c r="K137" s="179"/>
      <c r="L137" s="179"/>
      <c r="M137" s="6"/>
      <c r="N137" s="179"/>
      <c r="O137" s="6"/>
      <c r="P137" s="6"/>
      <c r="Q137" s="179"/>
      <c r="R137" s="54"/>
      <c r="S137" s="54"/>
    </row>
    <row r="138" spans="1:19" ht="12.75">
      <c r="A138" s="6"/>
      <c r="B138" s="6"/>
      <c r="C138" s="6"/>
      <c r="D138" s="6"/>
      <c r="E138" s="6"/>
      <c r="F138" s="6"/>
      <c r="G138" s="6"/>
      <c r="H138" s="6"/>
      <c r="I138" s="6"/>
      <c r="J138" s="6"/>
      <c r="K138" s="179"/>
      <c r="L138" s="179"/>
      <c r="M138" s="6"/>
      <c r="N138" s="179"/>
      <c r="O138" s="6"/>
      <c r="P138" s="6"/>
      <c r="Q138" s="179"/>
      <c r="R138" s="54"/>
      <c r="S138" s="54"/>
    </row>
    <row r="139" spans="1:19" ht="12.75">
      <c r="A139" s="6"/>
      <c r="B139" s="6"/>
      <c r="C139" s="6"/>
      <c r="D139" s="6"/>
      <c r="E139" s="6"/>
      <c r="F139" s="6"/>
      <c r="G139" s="6"/>
      <c r="H139" s="6"/>
      <c r="I139" s="6"/>
      <c r="J139" s="6"/>
      <c r="K139" s="179"/>
      <c r="L139" s="179"/>
      <c r="M139" s="6"/>
      <c r="N139" s="179"/>
      <c r="O139" s="6"/>
      <c r="P139" s="6"/>
      <c r="Q139" s="179"/>
      <c r="R139" s="54"/>
      <c r="S139" s="54"/>
    </row>
    <row r="140" spans="1:19" ht="12.75">
      <c r="A140" s="6"/>
      <c r="B140" s="6"/>
      <c r="C140" s="6"/>
      <c r="D140" s="6"/>
      <c r="E140" s="6"/>
      <c r="F140" s="6"/>
      <c r="G140" s="6"/>
      <c r="H140" s="6"/>
      <c r="I140" s="6"/>
      <c r="J140" s="6"/>
      <c r="K140" s="179"/>
      <c r="L140" s="179"/>
      <c r="M140" s="6"/>
      <c r="N140" s="179"/>
      <c r="O140" s="6"/>
      <c r="P140" s="6"/>
      <c r="Q140" s="179"/>
      <c r="R140" s="54"/>
      <c r="S140" s="54"/>
    </row>
    <row r="141" spans="1:19" ht="12.75">
      <c r="A141" s="6"/>
      <c r="B141" s="6"/>
      <c r="C141" s="6"/>
      <c r="D141" s="6"/>
      <c r="E141" s="6"/>
      <c r="F141" s="6"/>
      <c r="G141" s="6"/>
      <c r="H141" s="6"/>
      <c r="I141" s="6"/>
      <c r="J141" s="6"/>
      <c r="K141" s="179"/>
      <c r="L141" s="179"/>
      <c r="M141" s="6"/>
      <c r="N141" s="179"/>
      <c r="O141" s="6"/>
      <c r="P141" s="6"/>
      <c r="Q141" s="179"/>
      <c r="R141" s="54"/>
      <c r="S141" s="54"/>
    </row>
    <row r="142" spans="1:19" ht="12.75">
      <c r="A142" s="6"/>
      <c r="B142" s="6"/>
      <c r="C142" s="6"/>
      <c r="D142" s="6"/>
      <c r="E142" s="6"/>
      <c r="F142" s="6"/>
      <c r="G142" s="6"/>
      <c r="H142" s="6"/>
      <c r="I142" s="6"/>
      <c r="J142" s="6"/>
      <c r="K142" s="179"/>
      <c r="L142" s="179"/>
      <c r="M142" s="6"/>
      <c r="N142" s="179"/>
      <c r="O142" s="6"/>
      <c r="P142" s="6"/>
      <c r="Q142" s="179"/>
      <c r="R142" s="54"/>
      <c r="S142" s="54"/>
    </row>
    <row r="143" spans="1:19" ht="12.75">
      <c r="A143" s="6"/>
      <c r="B143" s="6"/>
      <c r="C143" s="6"/>
      <c r="D143" s="6"/>
      <c r="E143" s="6"/>
      <c r="F143" s="6"/>
      <c r="G143" s="6"/>
      <c r="H143" s="6"/>
      <c r="I143" s="6"/>
      <c r="J143" s="6"/>
      <c r="K143" s="179"/>
      <c r="L143" s="179"/>
      <c r="M143" s="6"/>
      <c r="N143" s="179"/>
      <c r="O143" s="6"/>
      <c r="P143" s="6"/>
      <c r="Q143" s="179"/>
      <c r="R143" s="54"/>
      <c r="S143" s="54"/>
    </row>
    <row r="144" spans="1:19" ht="12.75">
      <c r="A144" s="6"/>
      <c r="B144" s="6"/>
      <c r="C144" s="6"/>
      <c r="D144" s="6"/>
      <c r="E144" s="6"/>
      <c r="F144" s="6"/>
      <c r="G144" s="6"/>
      <c r="H144" s="6"/>
      <c r="I144" s="6"/>
      <c r="J144" s="6"/>
      <c r="K144" s="179"/>
      <c r="L144" s="179"/>
      <c r="M144" s="6"/>
      <c r="N144" s="179"/>
      <c r="O144" s="6"/>
      <c r="P144" s="6"/>
      <c r="Q144" s="179"/>
      <c r="R144" s="54"/>
      <c r="S144" s="54"/>
    </row>
    <row r="145" spans="1:19" ht="12.75">
      <c r="A145" s="6"/>
      <c r="B145" s="6"/>
      <c r="C145" s="6"/>
      <c r="D145" s="6"/>
      <c r="E145" s="6"/>
      <c r="F145" s="6"/>
      <c r="G145" s="6"/>
      <c r="H145" s="6"/>
      <c r="I145" s="6"/>
      <c r="J145" s="6"/>
      <c r="K145" s="179"/>
      <c r="L145" s="179"/>
      <c r="M145" s="6"/>
      <c r="N145" s="179"/>
      <c r="O145" s="6"/>
      <c r="P145" s="6"/>
      <c r="Q145" s="179"/>
      <c r="R145" s="54"/>
      <c r="S145" s="54"/>
    </row>
    <row r="146" spans="1:19" ht="12.75">
      <c r="A146" s="6"/>
      <c r="B146" s="6"/>
      <c r="C146" s="6"/>
      <c r="D146" s="6"/>
      <c r="E146" s="6"/>
      <c r="F146" s="6"/>
      <c r="G146" s="6"/>
      <c r="H146" s="6"/>
      <c r="I146" s="6"/>
      <c r="J146" s="6"/>
      <c r="K146" s="179"/>
      <c r="L146" s="179"/>
      <c r="M146" s="6"/>
      <c r="N146" s="179"/>
      <c r="O146" s="6"/>
      <c r="P146" s="6"/>
      <c r="Q146" s="179"/>
      <c r="R146" s="54"/>
      <c r="S146" s="54"/>
    </row>
    <row r="147" spans="1:19" ht="12.75">
      <c r="A147" s="6"/>
      <c r="B147" s="6"/>
      <c r="C147" s="6"/>
      <c r="D147" s="6"/>
      <c r="E147" s="6"/>
      <c r="F147" s="6"/>
      <c r="G147" s="6"/>
      <c r="H147" s="6"/>
      <c r="I147" s="6"/>
      <c r="J147" s="6"/>
      <c r="K147" s="179"/>
      <c r="L147" s="179"/>
      <c r="M147" s="6"/>
      <c r="N147" s="179"/>
      <c r="O147" s="6"/>
      <c r="P147" s="6"/>
      <c r="Q147" s="179"/>
      <c r="R147" s="54"/>
      <c r="S147" s="54"/>
    </row>
    <row r="148" spans="1:19" ht="12.75">
      <c r="A148" s="6"/>
      <c r="B148" s="6"/>
      <c r="C148" s="6"/>
      <c r="D148" s="6"/>
      <c r="E148" s="6"/>
      <c r="F148" s="6"/>
      <c r="G148" s="6"/>
      <c r="H148" s="6"/>
      <c r="I148" s="6"/>
      <c r="J148" s="6"/>
      <c r="K148" s="179"/>
      <c r="L148" s="179"/>
      <c r="M148" s="6"/>
      <c r="N148" s="179"/>
      <c r="O148" s="6"/>
      <c r="P148" s="6"/>
      <c r="Q148" s="179"/>
      <c r="R148" s="54"/>
      <c r="S148" s="54"/>
    </row>
    <row r="149" spans="1:19" ht="12.75">
      <c r="A149" s="6"/>
      <c r="B149" s="6"/>
      <c r="C149" s="6"/>
      <c r="D149" s="6"/>
      <c r="E149" s="6"/>
      <c r="F149" s="6"/>
      <c r="G149" s="6"/>
      <c r="H149" s="6"/>
      <c r="I149" s="6"/>
      <c r="J149" s="6"/>
      <c r="K149" s="179"/>
      <c r="L149" s="179"/>
      <c r="M149" s="6"/>
      <c r="N149" s="179"/>
      <c r="O149" s="6"/>
      <c r="P149" s="6"/>
      <c r="Q149" s="179"/>
      <c r="R149" s="54"/>
      <c r="S149" s="54"/>
    </row>
    <row r="150" spans="1:19" ht="12.75">
      <c r="A150" s="6"/>
      <c r="B150" s="6"/>
      <c r="C150" s="6"/>
      <c r="D150" s="6"/>
      <c r="E150" s="6"/>
      <c r="F150" s="6"/>
      <c r="G150" s="6"/>
      <c r="H150" s="6"/>
      <c r="I150" s="6"/>
      <c r="J150" s="6"/>
      <c r="K150" s="179"/>
      <c r="L150" s="179"/>
      <c r="M150" s="6"/>
      <c r="N150" s="179"/>
      <c r="O150" s="6"/>
      <c r="P150" s="6"/>
      <c r="Q150" s="179"/>
      <c r="R150" s="54"/>
      <c r="S150" s="54"/>
    </row>
    <row r="151" spans="1:19" ht="12.75">
      <c r="A151" s="6"/>
      <c r="B151" s="6"/>
      <c r="C151" s="6"/>
      <c r="D151" s="6"/>
      <c r="E151" s="6"/>
      <c r="F151" s="6"/>
      <c r="G151" s="6"/>
      <c r="H151" s="6"/>
      <c r="I151" s="6"/>
      <c r="J151" s="6"/>
      <c r="K151" s="179"/>
      <c r="L151" s="179"/>
      <c r="M151" s="6"/>
      <c r="N151" s="179"/>
      <c r="O151" s="6"/>
      <c r="P151" s="6"/>
      <c r="Q151" s="179"/>
      <c r="R151" s="54"/>
      <c r="S151" s="54"/>
    </row>
    <row r="152" spans="1:19" ht="12.75">
      <c r="A152" s="6"/>
      <c r="B152" s="6"/>
      <c r="C152" s="6"/>
      <c r="D152" s="6"/>
      <c r="E152" s="6"/>
      <c r="F152" s="6"/>
      <c r="G152" s="6"/>
      <c r="H152" s="6"/>
      <c r="I152" s="6"/>
      <c r="J152" s="6"/>
      <c r="K152" s="179"/>
      <c r="L152" s="179"/>
      <c r="M152" s="6"/>
      <c r="N152" s="179"/>
      <c r="O152" s="6"/>
      <c r="P152" s="6"/>
      <c r="Q152" s="179"/>
      <c r="R152" s="54"/>
      <c r="S152" s="54"/>
    </row>
    <row r="153" spans="1:19" ht="12.75">
      <c r="A153" s="6"/>
      <c r="B153" s="6"/>
      <c r="C153" s="6"/>
      <c r="D153" s="6"/>
      <c r="E153" s="6"/>
      <c r="F153" s="6"/>
      <c r="G153" s="6"/>
      <c r="H153" s="6"/>
      <c r="I153" s="6"/>
      <c r="J153" s="6"/>
      <c r="K153" s="179"/>
      <c r="L153" s="179"/>
      <c r="M153" s="6"/>
      <c r="N153" s="179"/>
      <c r="O153" s="6"/>
      <c r="P153" s="6"/>
      <c r="Q153" s="179"/>
      <c r="R153" s="54"/>
      <c r="S153" s="54"/>
    </row>
    <row r="154" spans="1:19" ht="12.75">
      <c r="A154" s="6"/>
      <c r="B154" s="6"/>
      <c r="C154" s="6"/>
      <c r="D154" s="6"/>
      <c r="E154" s="6"/>
      <c r="F154" s="6"/>
      <c r="G154" s="6"/>
      <c r="H154" s="6"/>
      <c r="I154" s="6"/>
      <c r="J154" s="6"/>
      <c r="K154" s="179"/>
      <c r="L154" s="179"/>
      <c r="M154" s="6"/>
      <c r="N154" s="179"/>
      <c r="O154" s="6"/>
      <c r="P154" s="6"/>
      <c r="Q154" s="179"/>
      <c r="R154" s="54"/>
      <c r="S154" s="54"/>
    </row>
    <row r="155" spans="1:19" ht="12.75">
      <c r="A155" s="6"/>
      <c r="B155" s="6"/>
      <c r="C155" s="6"/>
      <c r="D155" s="6"/>
      <c r="E155" s="6"/>
      <c r="F155" s="6"/>
      <c r="G155" s="6"/>
      <c r="H155" s="6"/>
      <c r="I155" s="6"/>
      <c r="J155" s="6"/>
      <c r="K155" s="179"/>
      <c r="L155" s="179"/>
      <c r="M155" s="6"/>
      <c r="N155" s="179"/>
      <c r="O155" s="6"/>
      <c r="P155" s="6"/>
      <c r="Q155" s="179"/>
      <c r="R155" s="54"/>
      <c r="S155" s="54"/>
    </row>
    <row r="156" spans="1:19" ht="12.75">
      <c r="A156" s="6"/>
      <c r="B156" s="6"/>
      <c r="C156" s="6"/>
      <c r="D156" s="6"/>
      <c r="E156" s="6"/>
      <c r="F156" s="6"/>
      <c r="G156" s="6"/>
      <c r="H156" s="6"/>
      <c r="I156" s="6"/>
      <c r="J156" s="6"/>
      <c r="K156" s="179"/>
      <c r="L156" s="179"/>
      <c r="M156" s="6"/>
      <c r="N156" s="179"/>
      <c r="O156" s="6"/>
      <c r="P156" s="6"/>
      <c r="Q156" s="179"/>
      <c r="R156" s="54"/>
      <c r="S156" s="54"/>
    </row>
    <row r="157" spans="1:19" ht="12.75">
      <c r="A157" s="6"/>
      <c r="B157" s="6"/>
      <c r="C157" s="6"/>
      <c r="D157" s="6"/>
      <c r="E157" s="6"/>
      <c r="F157" s="6"/>
      <c r="G157" s="6"/>
      <c r="H157" s="6"/>
      <c r="I157" s="6"/>
      <c r="J157" s="6"/>
      <c r="K157" s="179"/>
      <c r="L157" s="179"/>
      <c r="M157" s="6"/>
      <c r="N157" s="179"/>
      <c r="O157" s="6"/>
      <c r="P157" s="6"/>
      <c r="Q157" s="179"/>
      <c r="R157" s="54"/>
      <c r="S157" s="54"/>
    </row>
    <row r="158" spans="1:19" ht="12.75">
      <c r="A158" s="6"/>
      <c r="B158" s="6"/>
      <c r="C158" s="6"/>
      <c r="D158" s="6"/>
      <c r="E158" s="6"/>
      <c r="F158" s="6"/>
      <c r="G158" s="6"/>
      <c r="H158" s="6"/>
      <c r="I158" s="6"/>
      <c r="J158" s="6"/>
      <c r="K158" s="179"/>
      <c r="L158" s="179"/>
      <c r="M158" s="6"/>
      <c r="N158" s="179"/>
      <c r="O158" s="6"/>
      <c r="P158" s="6"/>
      <c r="Q158" s="179"/>
      <c r="R158" s="54"/>
      <c r="S158" s="54"/>
    </row>
    <row r="159" spans="1:19" ht="12.75">
      <c r="A159" s="6"/>
      <c r="B159" s="6"/>
      <c r="C159" s="6"/>
      <c r="D159" s="6"/>
      <c r="E159" s="6"/>
      <c r="F159" s="6"/>
      <c r="G159" s="6"/>
      <c r="H159" s="6"/>
      <c r="I159" s="6"/>
      <c r="J159" s="6"/>
      <c r="K159" s="179"/>
      <c r="L159" s="179"/>
      <c r="M159" s="6"/>
      <c r="N159" s="179"/>
      <c r="O159" s="6"/>
      <c r="P159" s="6"/>
      <c r="Q159" s="179"/>
      <c r="R159" s="54"/>
      <c r="S159" s="54"/>
    </row>
    <row r="160" spans="1:19" ht="12.75">
      <c r="A160" s="6"/>
      <c r="B160" s="6"/>
      <c r="C160" s="6"/>
      <c r="D160" s="6"/>
      <c r="E160" s="6"/>
      <c r="F160" s="6"/>
      <c r="G160" s="6"/>
      <c r="H160" s="6"/>
      <c r="I160" s="6"/>
      <c r="J160" s="6"/>
      <c r="K160" s="179"/>
      <c r="L160" s="179"/>
      <c r="M160" s="6"/>
      <c r="N160" s="179"/>
      <c r="O160" s="6"/>
      <c r="P160" s="6"/>
      <c r="Q160" s="179"/>
      <c r="R160" s="54"/>
      <c r="S160" s="54"/>
    </row>
    <row r="161" spans="1:19" ht="12.75">
      <c r="A161" s="6"/>
      <c r="B161" s="6"/>
      <c r="C161" s="6"/>
      <c r="D161" s="6"/>
      <c r="E161" s="6"/>
      <c r="F161" s="6"/>
      <c r="G161" s="6"/>
      <c r="H161" s="6"/>
      <c r="I161" s="6"/>
      <c r="J161" s="6"/>
      <c r="K161" s="179"/>
      <c r="L161" s="179"/>
      <c r="M161" s="6"/>
      <c r="N161" s="179"/>
      <c r="O161" s="6"/>
      <c r="P161" s="6"/>
      <c r="Q161" s="179"/>
      <c r="R161" s="54"/>
      <c r="S161" s="54"/>
    </row>
    <row r="162" spans="1:19" ht="12.75">
      <c r="A162" s="6"/>
      <c r="B162" s="6"/>
      <c r="C162" s="6"/>
      <c r="D162" s="6"/>
      <c r="E162" s="6"/>
      <c r="F162" s="6"/>
      <c r="G162" s="6"/>
      <c r="H162" s="6"/>
      <c r="I162" s="6"/>
      <c r="J162" s="6"/>
      <c r="K162" s="179"/>
      <c r="L162" s="179"/>
      <c r="M162" s="6"/>
      <c r="N162" s="179"/>
      <c r="O162" s="6"/>
      <c r="P162" s="6"/>
      <c r="Q162" s="179"/>
      <c r="R162" s="54"/>
      <c r="S162" s="54"/>
    </row>
    <row r="163" spans="1:19" ht="12.75">
      <c r="A163" s="6"/>
      <c r="B163" s="6"/>
      <c r="C163" s="6"/>
      <c r="D163" s="6"/>
      <c r="E163" s="6"/>
      <c r="F163" s="6"/>
      <c r="G163" s="6"/>
      <c r="H163" s="6"/>
      <c r="I163" s="6"/>
      <c r="J163" s="6"/>
      <c r="K163" s="179"/>
      <c r="L163" s="179"/>
      <c r="M163" s="6"/>
      <c r="N163" s="179"/>
      <c r="O163" s="6"/>
      <c r="P163" s="6"/>
      <c r="Q163" s="179"/>
      <c r="R163" s="54"/>
      <c r="S163" s="54"/>
    </row>
    <row r="164" spans="1:19" ht="12.75">
      <c r="A164" s="6"/>
      <c r="B164" s="6"/>
      <c r="C164" s="6"/>
      <c r="D164" s="6"/>
      <c r="E164" s="6"/>
      <c r="F164" s="6"/>
      <c r="G164" s="6"/>
      <c r="H164" s="6"/>
      <c r="I164" s="6"/>
      <c r="J164" s="6"/>
      <c r="K164" s="179"/>
      <c r="L164" s="179"/>
      <c r="M164" s="6"/>
      <c r="N164" s="179"/>
      <c r="O164" s="6"/>
      <c r="P164" s="6"/>
      <c r="Q164" s="179"/>
      <c r="R164" s="54"/>
      <c r="S164" s="54"/>
    </row>
    <row r="165" spans="1:19" ht="12.75">
      <c r="A165" s="6"/>
      <c r="B165" s="6"/>
      <c r="C165" s="6"/>
      <c r="D165" s="6"/>
      <c r="E165" s="6"/>
      <c r="F165" s="6"/>
      <c r="G165" s="6"/>
      <c r="H165" s="6"/>
      <c r="I165" s="6"/>
      <c r="J165" s="6"/>
      <c r="K165" s="179"/>
      <c r="L165" s="179"/>
      <c r="M165" s="6"/>
      <c r="N165" s="179"/>
      <c r="O165" s="6"/>
      <c r="P165" s="6"/>
      <c r="Q165" s="179"/>
      <c r="R165" s="54"/>
      <c r="S165" s="54"/>
    </row>
    <row r="166" spans="1:19" ht="12.75">
      <c r="A166" s="6"/>
      <c r="B166" s="6"/>
      <c r="C166" s="6"/>
      <c r="D166" s="6"/>
      <c r="E166" s="6"/>
      <c r="F166" s="6"/>
      <c r="G166" s="6"/>
      <c r="H166" s="6"/>
      <c r="I166" s="6"/>
      <c r="J166" s="6"/>
      <c r="K166" s="179"/>
      <c r="L166" s="179"/>
      <c r="M166" s="6"/>
      <c r="N166" s="179"/>
      <c r="O166" s="6"/>
      <c r="P166" s="6"/>
      <c r="Q166" s="179"/>
      <c r="R166" s="54"/>
      <c r="S166" s="54"/>
    </row>
    <row r="167" spans="1:19" ht="12.75">
      <c r="A167" s="6"/>
      <c r="B167" s="6"/>
      <c r="C167" s="6"/>
      <c r="D167" s="6"/>
      <c r="E167" s="6"/>
      <c r="F167" s="6"/>
      <c r="G167" s="6"/>
      <c r="H167" s="6"/>
      <c r="I167" s="6"/>
      <c r="J167" s="6"/>
      <c r="K167" s="179"/>
      <c r="L167" s="179"/>
      <c r="M167" s="6"/>
      <c r="N167" s="179"/>
      <c r="O167" s="6"/>
      <c r="P167" s="6"/>
      <c r="Q167" s="179"/>
      <c r="R167" s="54"/>
      <c r="S167" s="54"/>
    </row>
    <row r="168" spans="1:19" ht="12.75">
      <c r="A168" s="6"/>
      <c r="B168" s="6"/>
      <c r="C168" s="6"/>
      <c r="D168" s="6"/>
      <c r="E168" s="6"/>
      <c r="F168" s="6"/>
      <c r="G168" s="6"/>
      <c r="H168" s="6"/>
      <c r="I168" s="6"/>
      <c r="J168" s="6"/>
      <c r="K168" s="179"/>
      <c r="L168" s="179"/>
      <c r="M168" s="6"/>
      <c r="N168" s="179"/>
      <c r="O168" s="6"/>
      <c r="P168" s="6"/>
      <c r="Q168" s="179"/>
      <c r="R168" s="54"/>
      <c r="S168" s="54"/>
    </row>
    <row r="169" spans="1:19" ht="12.75">
      <c r="A169" s="6"/>
      <c r="B169" s="6"/>
      <c r="C169" s="6"/>
      <c r="D169" s="6"/>
      <c r="E169" s="6"/>
      <c r="F169" s="6"/>
      <c r="G169" s="6"/>
      <c r="H169" s="6"/>
      <c r="I169" s="6"/>
      <c r="J169" s="6"/>
      <c r="K169" s="179"/>
      <c r="L169" s="179"/>
      <c r="M169" s="6"/>
      <c r="N169" s="179"/>
      <c r="O169" s="6"/>
      <c r="P169" s="6"/>
      <c r="Q169" s="179"/>
      <c r="R169" s="54"/>
      <c r="S169" s="54"/>
    </row>
    <row r="170" spans="1:19" ht="12.75">
      <c r="A170" s="6"/>
      <c r="B170" s="6"/>
      <c r="C170" s="6"/>
      <c r="D170" s="6"/>
      <c r="E170" s="6"/>
      <c r="F170" s="6"/>
      <c r="G170" s="6"/>
      <c r="H170" s="6"/>
      <c r="I170" s="6"/>
      <c r="J170" s="6"/>
      <c r="K170" s="179"/>
      <c r="L170" s="179"/>
      <c r="M170" s="6"/>
      <c r="N170" s="179"/>
      <c r="O170" s="6"/>
      <c r="P170" s="6"/>
      <c r="Q170" s="179"/>
      <c r="R170" s="54"/>
      <c r="S170" s="54"/>
    </row>
    <row r="171" spans="1:19" ht="12.75">
      <c r="A171" s="6"/>
      <c r="B171" s="6"/>
      <c r="C171" s="6"/>
      <c r="D171" s="6"/>
      <c r="E171" s="6"/>
      <c r="F171" s="6"/>
      <c r="G171" s="6"/>
      <c r="H171" s="6"/>
      <c r="I171" s="6"/>
      <c r="J171" s="6"/>
      <c r="K171" s="179"/>
      <c r="L171" s="179"/>
      <c r="M171" s="6"/>
      <c r="N171" s="179"/>
      <c r="O171" s="6"/>
      <c r="P171" s="6"/>
      <c r="Q171" s="179"/>
      <c r="R171" s="54"/>
      <c r="S171" s="54"/>
    </row>
    <row r="172" spans="1:19" ht="12.75">
      <c r="A172" s="6"/>
      <c r="B172" s="6"/>
      <c r="C172" s="6"/>
      <c r="D172" s="6"/>
      <c r="E172" s="6"/>
      <c r="F172" s="6"/>
      <c r="G172" s="6"/>
      <c r="H172" s="6"/>
      <c r="I172" s="6"/>
      <c r="J172" s="6"/>
      <c r="K172" s="179"/>
      <c r="L172" s="179"/>
      <c r="M172" s="6"/>
      <c r="N172" s="179"/>
      <c r="O172" s="6"/>
      <c r="P172" s="6"/>
      <c r="Q172" s="179"/>
      <c r="R172" s="54"/>
      <c r="S172" s="54"/>
    </row>
    <row r="173" spans="1:19" ht="12.75">
      <c r="A173" s="6"/>
      <c r="B173" s="6"/>
      <c r="C173" s="6"/>
      <c r="D173" s="6"/>
      <c r="E173" s="6"/>
      <c r="F173" s="6"/>
      <c r="G173" s="6"/>
      <c r="H173" s="6"/>
      <c r="I173" s="6"/>
      <c r="J173" s="6"/>
      <c r="K173" s="179"/>
      <c r="L173" s="179"/>
      <c r="M173" s="6"/>
      <c r="N173" s="179"/>
      <c r="O173" s="6"/>
      <c r="P173" s="6"/>
      <c r="Q173" s="179"/>
      <c r="R173" s="54"/>
      <c r="S173" s="54"/>
    </row>
    <row r="174" spans="1:19" ht="12.75">
      <c r="A174" s="6"/>
      <c r="B174" s="6"/>
      <c r="C174" s="6"/>
      <c r="D174" s="6"/>
      <c r="E174" s="6"/>
      <c r="F174" s="6"/>
      <c r="G174" s="6"/>
      <c r="H174" s="6"/>
      <c r="I174" s="6"/>
      <c r="J174" s="6"/>
      <c r="K174" s="179"/>
      <c r="L174" s="179"/>
      <c r="M174" s="6"/>
      <c r="N174" s="179"/>
      <c r="O174" s="6"/>
      <c r="P174" s="6"/>
      <c r="Q174" s="179"/>
      <c r="R174" s="54"/>
      <c r="S174" s="54"/>
    </row>
    <row r="175" spans="1:19" ht="12.75">
      <c r="A175" s="6"/>
      <c r="B175" s="6"/>
      <c r="C175" s="6"/>
      <c r="D175" s="6"/>
      <c r="E175" s="6"/>
      <c r="F175" s="6"/>
      <c r="G175" s="6"/>
      <c r="H175" s="6"/>
      <c r="I175" s="6"/>
      <c r="J175" s="6"/>
      <c r="K175" s="179"/>
      <c r="L175" s="179"/>
      <c r="M175" s="6"/>
      <c r="N175" s="179"/>
      <c r="O175" s="6"/>
      <c r="P175" s="6"/>
      <c r="Q175" s="179"/>
      <c r="R175" s="54"/>
      <c r="S175" s="54"/>
    </row>
    <row r="176" spans="1:19" ht="12.75">
      <c r="A176" s="6"/>
      <c r="B176" s="6"/>
      <c r="C176" s="6"/>
      <c r="D176" s="6"/>
      <c r="E176" s="6"/>
      <c r="F176" s="6"/>
      <c r="G176" s="6"/>
      <c r="H176" s="6"/>
      <c r="I176" s="6"/>
      <c r="J176" s="6"/>
      <c r="K176" s="179"/>
      <c r="L176" s="179"/>
      <c r="M176" s="6"/>
      <c r="N176" s="179"/>
      <c r="O176" s="6"/>
      <c r="P176" s="6"/>
      <c r="Q176" s="179"/>
      <c r="R176" s="54"/>
      <c r="S176" s="54"/>
    </row>
    <row r="177" spans="1:19" ht="12.75">
      <c r="A177" s="6"/>
      <c r="B177" s="6"/>
      <c r="C177" s="6"/>
      <c r="D177" s="6"/>
      <c r="E177" s="6"/>
      <c r="F177" s="6"/>
      <c r="G177" s="6"/>
      <c r="H177" s="6"/>
      <c r="I177" s="6"/>
      <c r="J177" s="6"/>
      <c r="K177" s="179"/>
      <c r="L177" s="179"/>
      <c r="M177" s="6"/>
      <c r="N177" s="179"/>
      <c r="O177" s="6"/>
      <c r="P177" s="6"/>
      <c r="Q177" s="179"/>
      <c r="R177" s="54"/>
      <c r="S177" s="54"/>
    </row>
    <row r="178" spans="1:19" ht="12.75">
      <c r="A178" s="6"/>
      <c r="B178" s="6"/>
      <c r="C178" s="6"/>
      <c r="D178" s="6"/>
      <c r="E178" s="6"/>
      <c r="F178" s="6"/>
      <c r="G178" s="6"/>
      <c r="H178" s="6"/>
      <c r="I178" s="6"/>
      <c r="J178" s="6"/>
      <c r="K178" s="179"/>
      <c r="L178" s="179"/>
      <c r="M178" s="6"/>
      <c r="N178" s="179"/>
      <c r="O178" s="6"/>
      <c r="P178" s="6"/>
      <c r="Q178" s="179"/>
      <c r="R178" s="54"/>
      <c r="S178" s="54"/>
    </row>
    <row r="179" spans="1:19" ht="12.75">
      <c r="A179" s="6"/>
      <c r="B179" s="6"/>
      <c r="C179" s="6"/>
      <c r="D179" s="6"/>
      <c r="E179" s="6"/>
      <c r="F179" s="6"/>
      <c r="G179" s="6"/>
      <c r="H179" s="6"/>
      <c r="I179" s="6"/>
      <c r="J179" s="6"/>
      <c r="K179" s="179"/>
      <c r="L179" s="179"/>
      <c r="M179" s="6"/>
      <c r="N179" s="179"/>
      <c r="O179" s="6"/>
      <c r="P179" s="6"/>
      <c r="Q179" s="179"/>
      <c r="R179" s="54"/>
      <c r="S179" s="54"/>
    </row>
    <row r="180" spans="1:19" ht="12.75">
      <c r="A180" s="6"/>
      <c r="B180" s="6"/>
      <c r="C180" s="6"/>
      <c r="D180" s="6"/>
      <c r="E180" s="6"/>
      <c r="F180" s="6"/>
      <c r="G180" s="6"/>
      <c r="H180" s="6"/>
      <c r="I180" s="6"/>
      <c r="J180" s="6"/>
      <c r="K180" s="179"/>
      <c r="L180" s="179"/>
      <c r="M180" s="6"/>
      <c r="N180" s="179"/>
      <c r="O180" s="6"/>
      <c r="P180" s="6"/>
      <c r="Q180" s="179"/>
      <c r="R180" s="54"/>
      <c r="S180" s="54"/>
    </row>
    <row r="181" spans="1:19" ht="12.75">
      <c r="A181" s="6"/>
      <c r="B181" s="6"/>
      <c r="C181" s="6"/>
      <c r="D181" s="6"/>
      <c r="E181" s="6"/>
      <c r="F181" s="6"/>
      <c r="G181" s="6"/>
      <c r="H181" s="6"/>
      <c r="I181" s="6"/>
      <c r="J181" s="6"/>
      <c r="K181" s="179"/>
      <c r="L181" s="179"/>
      <c r="M181" s="6"/>
      <c r="N181" s="179"/>
      <c r="O181" s="6"/>
      <c r="P181" s="6"/>
      <c r="Q181" s="179"/>
      <c r="R181" s="54"/>
      <c r="S181" s="54"/>
    </row>
    <row r="182" spans="1:19" ht="12.75">
      <c r="A182" s="6"/>
      <c r="B182" s="6"/>
      <c r="C182" s="6"/>
      <c r="D182" s="6"/>
      <c r="E182" s="6"/>
      <c r="F182" s="6"/>
      <c r="G182" s="6"/>
      <c r="H182" s="6"/>
      <c r="I182" s="6"/>
      <c r="J182" s="6"/>
      <c r="K182" s="179"/>
      <c r="L182" s="179"/>
      <c r="M182" s="6"/>
      <c r="N182" s="179"/>
      <c r="O182" s="6"/>
      <c r="P182" s="6"/>
      <c r="Q182" s="179"/>
      <c r="R182" s="54"/>
      <c r="S182" s="54"/>
    </row>
    <row r="183" spans="1:19" ht="12.75">
      <c r="A183" s="6"/>
      <c r="B183" s="6"/>
      <c r="C183" s="6"/>
      <c r="D183" s="6"/>
      <c r="E183" s="6"/>
      <c r="F183" s="6"/>
      <c r="G183" s="6"/>
      <c r="H183" s="6"/>
      <c r="I183" s="6"/>
      <c r="J183" s="6"/>
      <c r="K183" s="179"/>
      <c r="L183" s="179"/>
      <c r="M183" s="6"/>
      <c r="N183" s="179"/>
      <c r="O183" s="6"/>
      <c r="P183" s="6"/>
      <c r="Q183" s="179"/>
      <c r="R183" s="54"/>
      <c r="S183" s="54"/>
    </row>
    <row r="184" spans="1:19" ht="12.75">
      <c r="A184" s="6"/>
      <c r="B184" s="6"/>
      <c r="C184" s="6"/>
      <c r="D184" s="6"/>
      <c r="E184" s="6"/>
      <c r="F184" s="6"/>
      <c r="G184" s="6"/>
      <c r="H184" s="6"/>
      <c r="I184" s="6"/>
      <c r="J184" s="6"/>
      <c r="K184" s="179"/>
      <c r="L184" s="179"/>
      <c r="M184" s="6"/>
      <c r="N184" s="179"/>
      <c r="O184" s="6"/>
      <c r="P184" s="6"/>
      <c r="Q184" s="179"/>
      <c r="R184" s="54"/>
      <c r="S184" s="54"/>
    </row>
    <row r="185" spans="1:19" ht="12.75">
      <c r="A185" s="6"/>
      <c r="B185" s="6"/>
      <c r="C185" s="6"/>
      <c r="D185" s="6"/>
      <c r="E185" s="6"/>
      <c r="F185" s="6"/>
      <c r="G185" s="6"/>
      <c r="H185" s="6"/>
      <c r="I185" s="6"/>
      <c r="J185" s="6"/>
      <c r="K185" s="179"/>
      <c r="L185" s="179"/>
      <c r="M185" s="6"/>
      <c r="N185" s="179"/>
      <c r="O185" s="6"/>
      <c r="P185" s="6"/>
      <c r="Q185" s="179"/>
      <c r="R185" s="54"/>
      <c r="S185" s="54"/>
    </row>
    <row r="186" spans="1:19" ht="12.75">
      <c r="A186" s="6"/>
      <c r="B186" s="6"/>
      <c r="C186" s="6"/>
      <c r="D186" s="6"/>
      <c r="E186" s="6"/>
      <c r="F186" s="6"/>
      <c r="G186" s="6"/>
      <c r="H186" s="6"/>
      <c r="I186" s="6"/>
      <c r="J186" s="6"/>
      <c r="K186" s="179"/>
      <c r="L186" s="179"/>
      <c r="M186" s="6"/>
      <c r="N186" s="179"/>
      <c r="O186" s="6"/>
      <c r="P186" s="6"/>
      <c r="Q186" s="179"/>
      <c r="R186" s="54"/>
      <c r="S186" s="54"/>
    </row>
    <row r="187" spans="1:19" ht="12.75">
      <c r="A187" s="6"/>
      <c r="B187" s="6"/>
      <c r="C187" s="6"/>
      <c r="D187" s="6"/>
      <c r="E187" s="6"/>
      <c r="F187" s="6"/>
      <c r="G187" s="6"/>
      <c r="H187" s="6"/>
      <c r="I187" s="6"/>
      <c r="J187" s="6"/>
      <c r="K187" s="179"/>
      <c r="L187" s="179"/>
      <c r="M187" s="6"/>
      <c r="N187" s="179"/>
      <c r="O187" s="6"/>
      <c r="P187" s="6"/>
      <c r="Q187" s="179"/>
      <c r="R187" s="54"/>
      <c r="S187" s="54"/>
    </row>
    <row r="188" spans="1:19" ht="12.75">
      <c r="A188" s="6"/>
      <c r="B188" s="6"/>
      <c r="C188" s="6"/>
      <c r="D188" s="6"/>
      <c r="E188" s="6"/>
      <c r="F188" s="6"/>
      <c r="G188" s="6"/>
      <c r="H188" s="6"/>
      <c r="I188" s="6"/>
      <c r="J188" s="6"/>
      <c r="K188" s="179"/>
      <c r="L188" s="179"/>
      <c r="M188" s="6"/>
      <c r="N188" s="179"/>
      <c r="O188" s="6"/>
      <c r="P188" s="6"/>
      <c r="Q188" s="179"/>
      <c r="R188" s="54"/>
      <c r="S188" s="54"/>
    </row>
    <row r="189" spans="1:19" ht="12.75">
      <c r="A189" s="6"/>
      <c r="B189" s="6"/>
      <c r="C189" s="6"/>
      <c r="D189" s="6"/>
      <c r="E189" s="6"/>
      <c r="F189" s="6"/>
      <c r="G189" s="6"/>
      <c r="H189" s="6"/>
      <c r="I189" s="6"/>
      <c r="J189" s="6"/>
      <c r="K189" s="179"/>
      <c r="L189" s="179"/>
      <c r="M189" s="6"/>
      <c r="N189" s="179"/>
      <c r="O189" s="6"/>
      <c r="P189" s="6"/>
      <c r="Q189" s="179"/>
      <c r="R189" s="54"/>
      <c r="S189" s="54"/>
    </row>
    <row r="190" spans="1:19" ht="12.75">
      <c r="A190" s="6"/>
      <c r="B190" s="6"/>
      <c r="C190" s="6"/>
      <c r="D190" s="6"/>
      <c r="E190" s="6"/>
      <c r="F190" s="6"/>
      <c r="G190" s="6"/>
      <c r="H190" s="6"/>
      <c r="I190" s="6"/>
      <c r="J190" s="6"/>
      <c r="K190" s="179"/>
      <c r="L190" s="179"/>
      <c r="M190" s="6"/>
      <c r="N190" s="179"/>
      <c r="O190" s="6"/>
      <c r="P190" s="6"/>
      <c r="Q190" s="179"/>
      <c r="R190" s="54"/>
      <c r="S190" s="54"/>
    </row>
    <row r="191" spans="1:19" ht="12.75">
      <c r="A191" s="6"/>
      <c r="B191" s="6"/>
      <c r="C191" s="6"/>
      <c r="D191" s="6"/>
      <c r="E191" s="6"/>
      <c r="F191" s="6"/>
      <c r="G191" s="6"/>
      <c r="H191" s="6"/>
      <c r="I191" s="6"/>
      <c r="J191" s="6"/>
      <c r="K191" s="179"/>
      <c r="L191" s="179"/>
      <c r="M191" s="6"/>
      <c r="N191" s="179"/>
      <c r="O191" s="6"/>
      <c r="P191" s="6"/>
      <c r="Q191" s="179"/>
      <c r="R191" s="54"/>
      <c r="S191" s="54"/>
    </row>
    <row r="192" spans="1:19" ht="12.75">
      <c r="A192" s="6"/>
      <c r="B192" s="6"/>
      <c r="C192" s="6"/>
      <c r="D192" s="6"/>
      <c r="E192" s="6"/>
      <c r="F192" s="6"/>
      <c r="G192" s="6"/>
      <c r="H192" s="6"/>
      <c r="I192" s="6"/>
      <c r="J192" s="6"/>
      <c r="K192" s="179"/>
      <c r="L192" s="179"/>
      <c r="M192" s="6"/>
      <c r="N192" s="179"/>
      <c r="O192" s="6"/>
      <c r="P192" s="6"/>
      <c r="Q192" s="179"/>
      <c r="R192" s="54"/>
      <c r="S192" s="54"/>
    </row>
    <row r="193" spans="1:19" ht="12.75">
      <c r="A193" s="6"/>
      <c r="B193" s="6"/>
      <c r="C193" s="6"/>
      <c r="D193" s="6"/>
      <c r="E193" s="6"/>
      <c r="F193" s="6"/>
      <c r="G193" s="6"/>
      <c r="H193" s="6"/>
      <c r="I193" s="6"/>
      <c r="J193" s="6"/>
      <c r="K193" s="179"/>
      <c r="L193" s="179"/>
      <c r="M193" s="6"/>
      <c r="N193" s="179"/>
      <c r="O193" s="6"/>
      <c r="P193" s="6"/>
      <c r="Q193" s="179"/>
      <c r="R193" s="54"/>
      <c r="S193" s="54"/>
    </row>
    <row r="194" spans="1:19" ht="12.75">
      <c r="A194" s="6"/>
      <c r="B194" s="6"/>
      <c r="C194" s="6"/>
      <c r="D194" s="6"/>
      <c r="E194" s="6"/>
      <c r="F194" s="6"/>
      <c r="G194" s="6"/>
      <c r="H194" s="6"/>
      <c r="I194" s="6"/>
      <c r="J194" s="6"/>
      <c r="K194" s="179"/>
      <c r="L194" s="179"/>
      <c r="M194" s="6"/>
      <c r="N194" s="179"/>
      <c r="O194" s="6"/>
      <c r="P194" s="6"/>
      <c r="Q194" s="179"/>
      <c r="R194" s="54"/>
      <c r="S194" s="54"/>
    </row>
    <row r="195" spans="1:19" ht="12.75">
      <c r="A195" s="6"/>
      <c r="B195" s="6"/>
      <c r="C195" s="6"/>
      <c r="D195" s="6"/>
      <c r="E195" s="6"/>
      <c r="F195" s="6"/>
      <c r="G195" s="6"/>
      <c r="H195" s="6"/>
      <c r="I195" s="6"/>
      <c r="J195" s="6"/>
      <c r="K195" s="179"/>
      <c r="L195" s="179"/>
      <c r="M195" s="6"/>
      <c r="N195" s="179"/>
      <c r="O195" s="6"/>
      <c r="P195" s="6"/>
      <c r="Q195" s="179"/>
      <c r="R195" s="54"/>
      <c r="S195" s="54"/>
    </row>
    <row r="196" spans="1:19" ht="12.75">
      <c r="A196" s="6"/>
      <c r="B196" s="6"/>
      <c r="C196" s="6"/>
      <c r="D196" s="6"/>
      <c r="E196" s="6"/>
      <c r="F196" s="6"/>
      <c r="G196" s="6"/>
      <c r="H196" s="6"/>
      <c r="I196" s="6"/>
      <c r="J196" s="6"/>
      <c r="K196" s="179"/>
      <c r="L196" s="179"/>
      <c r="M196" s="6"/>
      <c r="N196" s="179"/>
      <c r="O196" s="6"/>
      <c r="P196" s="6"/>
      <c r="Q196" s="179"/>
      <c r="R196" s="54"/>
      <c r="S196" s="54"/>
    </row>
    <row r="197" spans="1:19" ht="12.75">
      <c r="A197" s="6"/>
      <c r="B197" s="6"/>
      <c r="C197" s="6"/>
      <c r="D197" s="6"/>
      <c r="E197" s="6"/>
      <c r="F197" s="6"/>
      <c r="G197" s="6"/>
      <c r="H197" s="6"/>
      <c r="I197" s="6"/>
      <c r="J197" s="6"/>
      <c r="K197" s="179"/>
      <c r="L197" s="179"/>
      <c r="M197" s="6"/>
      <c r="N197" s="179"/>
      <c r="O197" s="6"/>
      <c r="P197" s="6"/>
      <c r="Q197" s="179"/>
      <c r="R197" s="54"/>
      <c r="S197" s="54"/>
    </row>
    <row r="198" spans="1:19" ht="12.75">
      <c r="A198" s="6"/>
      <c r="B198" s="6"/>
      <c r="C198" s="6"/>
      <c r="D198" s="6"/>
      <c r="E198" s="6"/>
      <c r="F198" s="6"/>
      <c r="G198" s="6"/>
      <c r="H198" s="6"/>
      <c r="I198" s="6"/>
      <c r="J198" s="6"/>
      <c r="K198" s="179"/>
      <c r="L198" s="179"/>
      <c r="M198" s="6"/>
      <c r="N198" s="179"/>
      <c r="O198" s="6"/>
      <c r="P198" s="6"/>
      <c r="Q198" s="179"/>
      <c r="R198" s="54"/>
      <c r="S198" s="54"/>
    </row>
    <row r="199" spans="1:19" ht="12.75">
      <c r="A199" s="6"/>
      <c r="B199" s="6"/>
      <c r="C199" s="6"/>
      <c r="D199" s="6"/>
      <c r="E199" s="6"/>
      <c r="F199" s="6"/>
      <c r="G199" s="6"/>
      <c r="H199" s="6"/>
      <c r="I199" s="6"/>
      <c r="J199" s="6"/>
      <c r="K199" s="179"/>
      <c r="L199" s="179"/>
      <c r="M199" s="6"/>
      <c r="N199" s="179"/>
      <c r="O199" s="6"/>
      <c r="P199" s="6"/>
      <c r="Q199" s="179"/>
      <c r="R199" s="54"/>
      <c r="S199" s="54"/>
    </row>
    <row r="200" spans="1:19" ht="12.75">
      <c r="A200" s="6"/>
      <c r="B200" s="6"/>
      <c r="C200" s="6"/>
      <c r="D200" s="6"/>
      <c r="E200" s="6"/>
      <c r="F200" s="6"/>
      <c r="G200" s="6"/>
      <c r="H200" s="6"/>
      <c r="I200" s="6"/>
      <c r="J200" s="6"/>
      <c r="K200" s="179"/>
      <c r="L200" s="179"/>
      <c r="M200" s="6"/>
      <c r="N200" s="179"/>
      <c r="O200" s="6"/>
      <c r="P200" s="6"/>
      <c r="Q200" s="179"/>
      <c r="R200" s="54"/>
      <c r="S200" s="54"/>
    </row>
    <row r="201" spans="1:19" ht="12.75">
      <c r="A201" s="6"/>
      <c r="B201" s="6"/>
      <c r="C201" s="6"/>
      <c r="D201" s="6"/>
      <c r="E201" s="6"/>
      <c r="F201" s="6"/>
      <c r="G201" s="6"/>
      <c r="H201" s="6"/>
      <c r="I201" s="6"/>
      <c r="J201" s="6"/>
      <c r="K201" s="179"/>
      <c r="L201" s="179"/>
      <c r="M201" s="6"/>
      <c r="N201" s="179"/>
      <c r="O201" s="6"/>
      <c r="P201" s="6"/>
      <c r="Q201" s="179"/>
      <c r="R201" s="54"/>
      <c r="S201" s="54"/>
    </row>
    <row r="202" spans="1:19" ht="12.75">
      <c r="A202" s="6"/>
      <c r="B202" s="6"/>
      <c r="C202" s="6"/>
      <c r="D202" s="6"/>
      <c r="E202" s="6"/>
      <c r="F202" s="6"/>
      <c r="G202" s="6"/>
      <c r="H202" s="6"/>
      <c r="I202" s="6"/>
      <c r="J202" s="6"/>
      <c r="K202" s="179"/>
      <c r="L202" s="179"/>
      <c r="M202" s="6"/>
      <c r="N202" s="179"/>
      <c r="O202" s="6"/>
      <c r="P202" s="6"/>
      <c r="Q202" s="179"/>
      <c r="R202" s="54"/>
      <c r="S202" s="54"/>
    </row>
    <row r="203" spans="1:19" ht="12.75">
      <c r="A203" s="6"/>
      <c r="B203" s="6"/>
      <c r="C203" s="6"/>
      <c r="D203" s="6"/>
      <c r="E203" s="6"/>
      <c r="F203" s="6"/>
      <c r="G203" s="6"/>
      <c r="H203" s="6"/>
      <c r="I203" s="6"/>
      <c r="J203" s="6"/>
      <c r="K203" s="179"/>
      <c r="L203" s="179"/>
      <c r="M203" s="6"/>
      <c r="N203" s="179"/>
      <c r="O203" s="6"/>
      <c r="P203" s="6"/>
      <c r="Q203" s="179"/>
      <c r="R203" s="54"/>
      <c r="S203" s="54"/>
    </row>
    <row r="204" spans="1:19" ht="12.75">
      <c r="A204" s="6"/>
      <c r="B204" s="6"/>
      <c r="C204" s="6"/>
      <c r="D204" s="6"/>
      <c r="E204" s="6"/>
      <c r="F204" s="6"/>
      <c r="G204" s="6"/>
      <c r="H204" s="6"/>
      <c r="I204" s="6"/>
      <c r="J204" s="6"/>
      <c r="K204" s="179"/>
      <c r="L204" s="179"/>
      <c r="M204" s="6"/>
      <c r="N204" s="179"/>
      <c r="O204" s="6"/>
      <c r="P204" s="6"/>
      <c r="Q204" s="179"/>
      <c r="R204" s="54"/>
      <c r="S204" s="54"/>
    </row>
    <row r="205" spans="1:19" ht="12.75">
      <c r="A205" s="6"/>
      <c r="B205" s="6"/>
      <c r="C205" s="6"/>
      <c r="D205" s="6"/>
      <c r="E205" s="6"/>
      <c r="F205" s="6"/>
      <c r="G205" s="6"/>
      <c r="H205" s="6"/>
      <c r="I205" s="6"/>
      <c r="J205" s="6"/>
      <c r="K205" s="179"/>
      <c r="L205" s="179"/>
      <c r="M205" s="6"/>
      <c r="N205" s="179"/>
      <c r="O205" s="6"/>
      <c r="P205" s="6"/>
      <c r="Q205" s="179"/>
      <c r="R205" s="54"/>
      <c r="S205" s="54"/>
    </row>
    <row r="206" spans="1:19" ht="12.75">
      <c r="A206" s="6"/>
      <c r="B206" s="6"/>
      <c r="C206" s="6"/>
      <c r="D206" s="6"/>
      <c r="E206" s="6"/>
      <c r="F206" s="6"/>
      <c r="G206" s="6"/>
      <c r="H206" s="6"/>
      <c r="I206" s="6"/>
      <c r="J206" s="6"/>
      <c r="K206" s="179"/>
      <c r="L206" s="179"/>
      <c r="M206" s="6"/>
      <c r="N206" s="179"/>
      <c r="O206" s="6"/>
      <c r="P206" s="6"/>
      <c r="Q206" s="179"/>
      <c r="R206" s="54"/>
      <c r="S206" s="54"/>
    </row>
    <row r="207" spans="1:19" ht="12.75">
      <c r="A207" s="6"/>
      <c r="B207" s="6"/>
      <c r="C207" s="6"/>
      <c r="D207" s="6"/>
      <c r="E207" s="6"/>
      <c r="F207" s="6"/>
      <c r="G207" s="6"/>
      <c r="H207" s="6"/>
      <c r="I207" s="6"/>
      <c r="J207" s="6"/>
      <c r="K207" s="179"/>
      <c r="L207" s="179"/>
      <c r="M207" s="6"/>
      <c r="N207" s="179"/>
      <c r="O207" s="6"/>
      <c r="P207" s="6"/>
      <c r="Q207" s="179"/>
      <c r="R207" s="54"/>
      <c r="S207" s="54"/>
    </row>
    <row r="208" spans="1:19" ht="12.75">
      <c r="A208" s="6"/>
      <c r="B208" s="6"/>
      <c r="C208" s="6"/>
      <c r="D208" s="6"/>
      <c r="E208" s="6"/>
      <c r="F208" s="6"/>
      <c r="G208" s="6"/>
      <c r="H208" s="6"/>
      <c r="I208" s="6"/>
      <c r="J208" s="6"/>
      <c r="K208" s="179"/>
      <c r="L208" s="179"/>
      <c r="M208" s="6"/>
      <c r="N208" s="179"/>
      <c r="O208" s="6"/>
      <c r="P208" s="6"/>
      <c r="Q208" s="179"/>
      <c r="R208" s="54"/>
      <c r="S208" s="54"/>
    </row>
    <row r="209" spans="1:19" ht="12.75">
      <c r="A209" s="6"/>
      <c r="B209" s="6"/>
      <c r="C209" s="6"/>
      <c r="D209" s="6"/>
      <c r="E209" s="6"/>
      <c r="F209" s="6"/>
      <c r="G209" s="6"/>
      <c r="H209" s="6"/>
      <c r="I209" s="6"/>
      <c r="J209" s="6"/>
      <c r="K209" s="179"/>
      <c r="L209" s="179"/>
      <c r="M209" s="6"/>
      <c r="N209" s="179"/>
      <c r="O209" s="6"/>
      <c r="P209" s="6"/>
      <c r="Q209" s="179"/>
      <c r="R209" s="54"/>
      <c r="S209" s="54"/>
    </row>
    <row r="210" spans="1:19" ht="12.75">
      <c r="A210" s="6"/>
      <c r="B210" s="6"/>
      <c r="C210" s="6"/>
      <c r="D210" s="6"/>
      <c r="E210" s="6"/>
      <c r="F210" s="6"/>
      <c r="G210" s="6"/>
      <c r="H210" s="6"/>
      <c r="I210" s="6"/>
      <c r="J210" s="6"/>
      <c r="K210" s="179"/>
      <c r="L210" s="179"/>
      <c r="M210" s="6"/>
      <c r="N210" s="179"/>
      <c r="O210" s="6"/>
      <c r="P210" s="6"/>
      <c r="Q210" s="179"/>
      <c r="R210" s="54"/>
      <c r="S210" s="54"/>
    </row>
    <row r="211" spans="1:19" ht="12.75">
      <c r="A211" s="6"/>
      <c r="B211" s="6"/>
      <c r="C211" s="6"/>
      <c r="D211" s="6"/>
      <c r="E211" s="6"/>
      <c r="F211" s="6"/>
      <c r="G211" s="6"/>
      <c r="H211" s="6"/>
      <c r="I211" s="6"/>
      <c r="J211" s="6"/>
      <c r="K211" s="179"/>
      <c r="L211" s="179"/>
      <c r="M211" s="6"/>
      <c r="N211" s="179"/>
      <c r="O211" s="6"/>
      <c r="P211" s="6"/>
      <c r="Q211" s="179"/>
      <c r="R211" s="54"/>
      <c r="S211" s="54"/>
    </row>
    <row r="212" spans="1:19" ht="12.75">
      <c r="A212" s="6"/>
      <c r="B212" s="6"/>
      <c r="C212" s="6"/>
      <c r="D212" s="6"/>
      <c r="E212" s="6"/>
      <c r="F212" s="6"/>
      <c r="G212" s="6"/>
      <c r="H212" s="6"/>
      <c r="I212" s="6"/>
      <c r="J212" s="6"/>
      <c r="K212" s="179"/>
      <c r="L212" s="179"/>
      <c r="M212" s="6"/>
      <c r="N212" s="179"/>
      <c r="O212" s="6"/>
      <c r="P212" s="6"/>
      <c r="Q212" s="179"/>
      <c r="R212" s="54"/>
      <c r="S212" s="54"/>
    </row>
    <row r="213" spans="1:19" ht="12.75">
      <c r="A213" s="6"/>
      <c r="B213" s="6"/>
      <c r="C213" s="6"/>
      <c r="D213" s="6"/>
      <c r="E213" s="6"/>
      <c r="F213" s="6"/>
      <c r="G213" s="6"/>
      <c r="H213" s="6"/>
      <c r="I213" s="6"/>
      <c r="J213" s="6"/>
      <c r="K213" s="179"/>
      <c r="L213" s="179"/>
      <c r="M213" s="6"/>
      <c r="N213" s="179"/>
      <c r="O213" s="6"/>
      <c r="P213" s="6"/>
      <c r="Q213" s="179"/>
      <c r="R213" s="54"/>
      <c r="S213" s="54"/>
    </row>
    <row r="214" spans="1:19" ht="12.75">
      <c r="A214" s="6"/>
      <c r="B214" s="6"/>
      <c r="C214" s="6"/>
      <c r="D214" s="6"/>
      <c r="E214" s="6"/>
      <c r="F214" s="6"/>
      <c r="G214" s="6"/>
      <c r="H214" s="6"/>
      <c r="I214" s="6"/>
      <c r="J214" s="6"/>
      <c r="K214" s="179"/>
      <c r="L214" s="179"/>
      <c r="M214" s="6"/>
      <c r="N214" s="179"/>
      <c r="O214" s="6"/>
      <c r="P214" s="6"/>
      <c r="Q214" s="179"/>
      <c r="R214" s="54"/>
      <c r="S214" s="54"/>
    </row>
    <row r="215" spans="1:19" ht="12.75">
      <c r="A215" s="6"/>
      <c r="B215" s="6"/>
      <c r="C215" s="6"/>
      <c r="D215" s="6"/>
      <c r="E215" s="6"/>
      <c r="F215" s="6"/>
      <c r="G215" s="6"/>
      <c r="H215" s="6"/>
      <c r="I215" s="6"/>
      <c r="J215" s="6"/>
      <c r="K215" s="179"/>
      <c r="L215" s="179"/>
      <c r="M215" s="6"/>
      <c r="N215" s="179"/>
      <c r="O215" s="6"/>
      <c r="P215" s="6"/>
      <c r="Q215" s="179"/>
      <c r="R215" s="54"/>
      <c r="S215" s="54"/>
    </row>
    <row r="216" spans="1:19" ht="12.75">
      <c r="A216" s="6"/>
      <c r="B216" s="6"/>
      <c r="C216" s="6"/>
      <c r="D216" s="6"/>
      <c r="E216" s="6"/>
      <c r="F216" s="6"/>
      <c r="G216" s="6"/>
      <c r="H216" s="6"/>
      <c r="I216" s="6"/>
      <c r="J216" s="6"/>
      <c r="K216" s="179"/>
      <c r="L216" s="179"/>
      <c r="M216" s="6"/>
      <c r="N216" s="179"/>
      <c r="O216" s="6"/>
      <c r="P216" s="6"/>
      <c r="Q216" s="179"/>
      <c r="R216" s="54"/>
      <c r="S216" s="54"/>
    </row>
    <row r="217" spans="1:19" ht="12.75">
      <c r="A217" s="6"/>
      <c r="B217" s="6"/>
      <c r="C217" s="6"/>
      <c r="D217" s="6"/>
      <c r="E217" s="6"/>
      <c r="F217" s="6"/>
      <c r="G217" s="6"/>
      <c r="H217" s="6"/>
      <c r="I217" s="6"/>
      <c r="J217" s="6"/>
      <c r="K217" s="179"/>
      <c r="L217" s="179"/>
      <c r="M217" s="6"/>
      <c r="N217" s="179"/>
      <c r="O217" s="6"/>
      <c r="P217" s="6"/>
      <c r="Q217" s="179"/>
      <c r="R217" s="54"/>
      <c r="S217" s="54"/>
    </row>
    <row r="218" spans="1:19" ht="12.75">
      <c r="A218" s="6"/>
      <c r="B218" s="6"/>
      <c r="C218" s="6"/>
      <c r="D218" s="6"/>
      <c r="E218" s="6"/>
      <c r="F218" s="6"/>
      <c r="G218" s="6"/>
      <c r="H218" s="6"/>
      <c r="I218" s="6"/>
      <c r="J218" s="6"/>
      <c r="K218" s="179"/>
      <c r="L218" s="179"/>
      <c r="M218" s="6"/>
      <c r="N218" s="179"/>
      <c r="O218" s="6"/>
      <c r="P218" s="6"/>
      <c r="Q218" s="179"/>
      <c r="R218" s="54"/>
      <c r="S218" s="54"/>
    </row>
    <row r="219" spans="1:19" ht="12.75">
      <c r="A219" s="6"/>
      <c r="B219" s="6"/>
      <c r="C219" s="6"/>
      <c r="D219" s="6"/>
      <c r="E219" s="6"/>
      <c r="F219" s="6"/>
      <c r="G219" s="6"/>
      <c r="H219" s="6"/>
      <c r="I219" s="6"/>
      <c r="J219" s="6"/>
      <c r="K219" s="179"/>
      <c r="L219" s="179"/>
      <c r="M219" s="6"/>
      <c r="N219" s="179"/>
      <c r="O219" s="6"/>
      <c r="P219" s="6"/>
      <c r="Q219" s="179"/>
      <c r="R219" s="54"/>
      <c r="S219" s="54"/>
    </row>
    <row r="220" spans="1:19" ht="12.75">
      <c r="A220" s="6"/>
      <c r="B220" s="6"/>
      <c r="C220" s="6"/>
      <c r="D220" s="6"/>
      <c r="E220" s="6"/>
      <c r="F220" s="6"/>
      <c r="G220" s="6"/>
      <c r="H220" s="6"/>
      <c r="I220" s="6"/>
      <c r="J220" s="6"/>
      <c r="K220" s="179"/>
      <c r="L220" s="179"/>
      <c r="M220" s="6"/>
      <c r="N220" s="179"/>
      <c r="O220" s="6"/>
      <c r="P220" s="6"/>
      <c r="Q220" s="179"/>
      <c r="R220" s="54"/>
      <c r="S220" s="54"/>
    </row>
    <row r="221" spans="1:19" ht="12.75">
      <c r="A221" s="6"/>
      <c r="B221" s="6"/>
      <c r="C221" s="6"/>
      <c r="D221" s="6"/>
      <c r="E221" s="6"/>
      <c r="F221" s="6"/>
      <c r="G221" s="6"/>
      <c r="H221" s="6"/>
      <c r="I221" s="6"/>
      <c r="J221" s="6"/>
      <c r="K221" s="179"/>
      <c r="L221" s="179"/>
      <c r="M221" s="6"/>
      <c r="N221" s="179"/>
      <c r="O221" s="6"/>
      <c r="P221" s="6"/>
      <c r="Q221" s="179"/>
      <c r="R221" s="54"/>
      <c r="S221" s="54"/>
    </row>
    <row r="222" spans="1:19" ht="12.75">
      <c r="A222" s="6"/>
      <c r="B222" s="6"/>
      <c r="C222" s="6"/>
      <c r="D222" s="6"/>
      <c r="E222" s="6"/>
      <c r="F222" s="6"/>
      <c r="G222" s="6"/>
      <c r="H222" s="6"/>
      <c r="I222" s="6"/>
      <c r="J222" s="6"/>
      <c r="K222" s="179"/>
      <c r="L222" s="179"/>
      <c r="M222" s="6"/>
      <c r="N222" s="179"/>
      <c r="O222" s="6"/>
      <c r="P222" s="6"/>
      <c r="Q222" s="179"/>
      <c r="R222" s="54"/>
      <c r="S222" s="54"/>
    </row>
    <row r="223" spans="1:19" ht="12.75">
      <c r="A223" s="6"/>
      <c r="B223" s="6"/>
      <c r="C223" s="6"/>
      <c r="D223" s="6"/>
      <c r="E223" s="6"/>
      <c r="F223" s="6"/>
      <c r="G223" s="6"/>
      <c r="H223" s="6"/>
      <c r="I223" s="6"/>
      <c r="J223" s="6"/>
      <c r="K223" s="179"/>
      <c r="L223" s="179"/>
      <c r="M223" s="6"/>
      <c r="N223" s="179"/>
      <c r="O223" s="6"/>
      <c r="P223" s="6"/>
      <c r="Q223" s="179"/>
      <c r="R223" s="54"/>
      <c r="S223" s="54"/>
    </row>
    <row r="224" spans="1:19" ht="12.75">
      <c r="A224" s="6"/>
      <c r="B224" s="6"/>
      <c r="C224" s="6"/>
      <c r="D224" s="6"/>
      <c r="E224" s="6"/>
      <c r="F224" s="6"/>
      <c r="G224" s="6"/>
      <c r="H224" s="6"/>
      <c r="I224" s="6"/>
      <c r="J224" s="6"/>
      <c r="K224" s="179"/>
      <c r="L224" s="179"/>
      <c r="M224" s="6"/>
      <c r="N224" s="179"/>
      <c r="O224" s="6"/>
      <c r="P224" s="6"/>
      <c r="Q224" s="179"/>
      <c r="R224" s="54"/>
      <c r="S224" s="54"/>
    </row>
    <row r="225" spans="1:19" ht="12.75">
      <c r="A225" s="6"/>
      <c r="B225" s="6"/>
      <c r="C225" s="6"/>
      <c r="D225" s="6"/>
      <c r="E225" s="6"/>
      <c r="F225" s="6"/>
      <c r="G225" s="6"/>
      <c r="H225" s="6"/>
      <c r="I225" s="6"/>
      <c r="J225" s="6"/>
      <c r="K225" s="179"/>
      <c r="L225" s="179"/>
      <c r="M225" s="6"/>
      <c r="N225" s="179"/>
      <c r="O225" s="6"/>
      <c r="P225" s="6"/>
      <c r="Q225" s="179"/>
      <c r="R225" s="54"/>
      <c r="S225" s="54"/>
    </row>
    <row r="226" spans="1:19" ht="12.75">
      <c r="A226" s="6"/>
      <c r="B226" s="6"/>
      <c r="C226" s="6"/>
      <c r="D226" s="6"/>
      <c r="E226" s="6"/>
      <c r="F226" s="6"/>
      <c r="G226" s="6"/>
      <c r="H226" s="6"/>
      <c r="I226" s="6"/>
      <c r="J226" s="6"/>
      <c r="K226" s="179"/>
      <c r="L226" s="179"/>
      <c r="M226" s="6"/>
      <c r="N226" s="179"/>
      <c r="O226" s="6"/>
      <c r="P226" s="6"/>
      <c r="Q226" s="179"/>
      <c r="R226" s="54"/>
      <c r="S226" s="54"/>
    </row>
    <row r="227" spans="1:19" ht="12.75">
      <c r="A227" s="6"/>
      <c r="B227" s="6"/>
      <c r="C227" s="6"/>
      <c r="D227" s="6"/>
      <c r="E227" s="6"/>
      <c r="F227" s="6"/>
      <c r="G227" s="6"/>
      <c r="H227" s="6"/>
      <c r="I227" s="6"/>
      <c r="J227" s="6"/>
      <c r="K227" s="179"/>
      <c r="L227" s="179"/>
      <c r="M227" s="6"/>
      <c r="N227" s="179"/>
      <c r="O227" s="6"/>
      <c r="P227" s="6"/>
      <c r="Q227" s="179"/>
      <c r="R227" s="54"/>
      <c r="S227" s="54"/>
    </row>
    <row r="228" spans="1:19" ht="12.75">
      <c r="A228" s="6"/>
      <c r="B228" s="6"/>
      <c r="C228" s="6"/>
      <c r="D228" s="6"/>
      <c r="E228" s="6"/>
      <c r="F228" s="6"/>
      <c r="G228" s="6"/>
      <c r="H228" s="6"/>
      <c r="I228" s="6"/>
      <c r="J228" s="6"/>
      <c r="K228" s="179"/>
      <c r="L228" s="179"/>
      <c r="M228" s="6"/>
      <c r="N228" s="179"/>
      <c r="O228" s="6"/>
      <c r="P228" s="6"/>
      <c r="Q228" s="179"/>
      <c r="R228" s="54"/>
      <c r="S228" s="54"/>
    </row>
    <row r="229" spans="1:19" ht="12.75">
      <c r="A229" s="6"/>
      <c r="B229" s="6"/>
      <c r="C229" s="6"/>
      <c r="D229" s="6"/>
      <c r="E229" s="6"/>
      <c r="F229" s="6"/>
      <c r="G229" s="6"/>
      <c r="H229" s="6"/>
      <c r="I229" s="6"/>
      <c r="J229" s="6"/>
      <c r="K229" s="179"/>
      <c r="L229" s="179"/>
      <c r="M229" s="6"/>
      <c r="N229" s="179"/>
      <c r="O229" s="6"/>
      <c r="P229" s="6"/>
      <c r="Q229" s="179"/>
      <c r="R229" s="54"/>
      <c r="S229" s="54"/>
    </row>
    <row r="230" spans="1:19" ht="12.75">
      <c r="A230" s="6"/>
      <c r="B230" s="6"/>
      <c r="C230" s="6"/>
      <c r="D230" s="6"/>
      <c r="E230" s="6"/>
      <c r="F230" s="6"/>
      <c r="G230" s="6"/>
      <c r="H230" s="6"/>
      <c r="I230" s="6"/>
      <c r="J230" s="6"/>
      <c r="K230" s="179"/>
      <c r="L230" s="179"/>
      <c r="M230" s="6"/>
      <c r="N230" s="179"/>
      <c r="O230" s="6"/>
      <c r="P230" s="6"/>
      <c r="Q230" s="179"/>
      <c r="R230" s="54"/>
      <c r="S230" s="54"/>
    </row>
    <row r="231" spans="1:19" ht="12.75">
      <c r="A231" s="6"/>
      <c r="B231" s="6"/>
      <c r="C231" s="6"/>
      <c r="D231" s="6"/>
      <c r="E231" s="6"/>
      <c r="F231" s="6"/>
      <c r="G231" s="6"/>
      <c r="H231" s="6"/>
      <c r="I231" s="6"/>
      <c r="J231" s="6"/>
      <c r="K231" s="179"/>
      <c r="L231" s="179"/>
      <c r="M231" s="6"/>
      <c r="N231" s="179"/>
      <c r="O231" s="6"/>
      <c r="P231" s="6"/>
      <c r="Q231" s="179"/>
      <c r="R231" s="54"/>
      <c r="S231" s="54"/>
    </row>
    <row r="232" spans="1:19" ht="12.75">
      <c r="A232" s="6"/>
      <c r="B232" s="6"/>
      <c r="C232" s="6"/>
      <c r="D232" s="6"/>
      <c r="E232" s="6"/>
      <c r="F232" s="6"/>
      <c r="G232" s="6"/>
      <c r="H232" s="6"/>
      <c r="I232" s="6"/>
      <c r="J232" s="6"/>
      <c r="K232" s="179"/>
      <c r="L232" s="179"/>
      <c r="M232" s="6"/>
      <c r="N232" s="179"/>
      <c r="O232" s="6"/>
      <c r="P232" s="6"/>
      <c r="Q232" s="179"/>
      <c r="R232" s="54"/>
      <c r="S232" s="54"/>
    </row>
    <row r="233" spans="1:19" ht="12.75">
      <c r="A233" s="6"/>
      <c r="B233" s="6"/>
      <c r="C233" s="6"/>
      <c r="D233" s="6"/>
      <c r="E233" s="6"/>
      <c r="F233" s="6"/>
      <c r="G233" s="6"/>
      <c r="H233" s="6"/>
      <c r="I233" s="6"/>
      <c r="J233" s="6"/>
      <c r="K233" s="179"/>
      <c r="L233" s="179"/>
      <c r="M233" s="6"/>
      <c r="N233" s="179"/>
      <c r="O233" s="6"/>
      <c r="P233" s="6"/>
      <c r="Q233" s="179"/>
      <c r="R233" s="54"/>
      <c r="S233" s="54"/>
    </row>
    <row r="234" spans="1:19" ht="12.75">
      <c r="A234" s="6"/>
      <c r="B234" s="6"/>
      <c r="C234" s="6"/>
      <c r="D234" s="6"/>
      <c r="E234" s="6"/>
      <c r="F234" s="6"/>
      <c r="G234" s="6"/>
      <c r="H234" s="6"/>
      <c r="I234" s="6"/>
      <c r="J234" s="6"/>
      <c r="K234" s="179"/>
      <c r="L234" s="179"/>
      <c r="M234" s="6"/>
      <c r="N234" s="179"/>
      <c r="O234" s="6"/>
      <c r="P234" s="6"/>
      <c r="Q234" s="179"/>
      <c r="R234" s="54"/>
      <c r="S234" s="54"/>
    </row>
    <row r="235" spans="1:19" ht="12.75">
      <c r="A235" s="6"/>
      <c r="B235" s="6"/>
      <c r="C235" s="6"/>
      <c r="D235" s="6"/>
      <c r="E235" s="6"/>
      <c r="F235" s="6"/>
      <c r="G235" s="6"/>
      <c r="H235" s="6"/>
      <c r="I235" s="6"/>
      <c r="J235" s="6"/>
      <c r="K235" s="179"/>
      <c r="L235" s="179"/>
      <c r="M235" s="6"/>
      <c r="N235" s="179"/>
      <c r="O235" s="6"/>
      <c r="P235" s="6"/>
      <c r="Q235" s="179"/>
      <c r="R235" s="54"/>
      <c r="S235" s="54"/>
    </row>
    <row r="236" spans="1:19" ht="12.75">
      <c r="A236" s="6"/>
      <c r="B236" s="6"/>
      <c r="C236" s="6"/>
      <c r="D236" s="6"/>
      <c r="E236" s="6"/>
      <c r="F236" s="6"/>
      <c r="G236" s="6"/>
      <c r="H236" s="6"/>
      <c r="I236" s="6"/>
      <c r="J236" s="6"/>
      <c r="K236" s="179"/>
      <c r="L236" s="179"/>
      <c r="M236" s="6"/>
      <c r="N236" s="179"/>
      <c r="O236" s="6"/>
      <c r="P236" s="6"/>
      <c r="Q236" s="179"/>
      <c r="R236" s="54"/>
      <c r="S236" s="54"/>
    </row>
    <row r="237" spans="1:19" ht="12.75">
      <c r="A237" s="6"/>
      <c r="B237" s="6"/>
      <c r="C237" s="6"/>
      <c r="D237" s="6"/>
      <c r="E237" s="6"/>
      <c r="F237" s="6"/>
      <c r="G237" s="6"/>
      <c r="H237" s="6"/>
      <c r="I237" s="6"/>
      <c r="J237" s="6"/>
      <c r="K237" s="179"/>
      <c r="L237" s="179"/>
      <c r="M237" s="6"/>
      <c r="N237" s="179"/>
      <c r="O237" s="6"/>
      <c r="P237" s="6"/>
      <c r="Q237" s="179"/>
      <c r="R237" s="54"/>
      <c r="S237" s="54"/>
    </row>
    <row r="238" spans="1:19" ht="12.75">
      <c r="A238" s="6"/>
      <c r="B238" s="6"/>
      <c r="C238" s="6"/>
      <c r="D238" s="6"/>
      <c r="E238" s="6"/>
      <c r="F238" s="6"/>
      <c r="G238" s="6"/>
      <c r="H238" s="6"/>
      <c r="I238" s="6"/>
      <c r="J238" s="6"/>
      <c r="K238" s="179"/>
      <c r="L238" s="179"/>
      <c r="M238" s="6"/>
      <c r="N238" s="179"/>
      <c r="O238" s="6"/>
      <c r="P238" s="6"/>
      <c r="Q238" s="179"/>
      <c r="R238" s="54"/>
      <c r="S238" s="54"/>
    </row>
    <row r="239" spans="1:19" ht="12.75">
      <c r="A239" s="6"/>
      <c r="B239" s="6"/>
      <c r="C239" s="6"/>
      <c r="D239" s="6"/>
      <c r="E239" s="6"/>
      <c r="F239" s="6"/>
      <c r="G239" s="6"/>
      <c r="H239" s="6"/>
      <c r="I239" s="6"/>
      <c r="J239" s="6"/>
      <c r="K239" s="179"/>
      <c r="L239" s="179"/>
      <c r="M239" s="6"/>
      <c r="N239" s="179"/>
      <c r="O239" s="6"/>
      <c r="P239" s="6"/>
      <c r="Q239" s="179"/>
      <c r="R239" s="54"/>
      <c r="S239" s="54"/>
    </row>
    <row r="240" spans="1:19" ht="12.75">
      <c r="A240" s="6"/>
      <c r="B240" s="6"/>
      <c r="C240" s="6"/>
      <c r="D240" s="6"/>
      <c r="E240" s="6"/>
      <c r="F240" s="6"/>
      <c r="G240" s="6"/>
      <c r="H240" s="6"/>
      <c r="I240" s="6"/>
      <c r="J240" s="6"/>
      <c r="K240" s="179"/>
      <c r="L240" s="179"/>
      <c r="M240" s="6"/>
      <c r="N240" s="179"/>
      <c r="O240" s="6"/>
      <c r="P240" s="6"/>
      <c r="Q240" s="179"/>
      <c r="R240" s="54"/>
      <c r="S240" s="54"/>
    </row>
    <row r="241" spans="1:19" ht="12.75">
      <c r="A241" s="6"/>
      <c r="B241" s="6"/>
      <c r="C241" s="6"/>
      <c r="D241" s="6"/>
      <c r="E241" s="6"/>
      <c r="F241" s="6"/>
      <c r="G241" s="6"/>
      <c r="H241" s="6"/>
      <c r="I241" s="6"/>
      <c r="J241" s="6"/>
      <c r="K241" s="179"/>
      <c r="L241" s="179"/>
      <c r="M241" s="6"/>
      <c r="N241" s="179"/>
      <c r="O241" s="6"/>
      <c r="P241" s="6"/>
      <c r="Q241" s="179"/>
      <c r="R241" s="54"/>
      <c r="S241" s="54"/>
    </row>
    <row r="242" spans="1:19" ht="12.75">
      <c r="A242" s="6"/>
      <c r="B242" s="6"/>
      <c r="C242" s="6"/>
      <c r="D242" s="6"/>
      <c r="E242" s="6"/>
      <c r="F242" s="6"/>
      <c r="G242" s="6"/>
      <c r="H242" s="6"/>
      <c r="I242" s="6"/>
      <c r="J242" s="6"/>
      <c r="K242" s="179"/>
      <c r="L242" s="179"/>
      <c r="M242" s="6"/>
      <c r="N242" s="179"/>
      <c r="O242" s="6"/>
      <c r="P242" s="6"/>
      <c r="Q242" s="179"/>
      <c r="R242" s="54"/>
      <c r="S242" s="54"/>
    </row>
    <row r="243" spans="1:19" ht="12.75">
      <c r="A243" s="6"/>
      <c r="B243" s="6"/>
      <c r="C243" s="6"/>
      <c r="D243" s="6"/>
      <c r="E243" s="6"/>
      <c r="F243" s="6"/>
      <c r="G243" s="6"/>
      <c r="H243" s="6"/>
      <c r="I243" s="6"/>
      <c r="J243" s="6"/>
      <c r="K243" s="179"/>
      <c r="L243" s="179"/>
      <c r="M243" s="6"/>
      <c r="N243" s="179"/>
      <c r="O243" s="6"/>
      <c r="P243" s="6"/>
      <c r="Q243" s="179"/>
      <c r="R243" s="54"/>
      <c r="S243" s="54"/>
    </row>
    <row r="244" spans="1:19" ht="12.75">
      <c r="A244" s="6"/>
      <c r="B244" s="6"/>
      <c r="C244" s="6"/>
      <c r="D244" s="6"/>
      <c r="E244" s="6"/>
      <c r="F244" s="6"/>
      <c r="G244" s="6"/>
      <c r="H244" s="6"/>
      <c r="I244" s="6"/>
      <c r="J244" s="6"/>
      <c r="K244" s="179"/>
      <c r="L244" s="179"/>
      <c r="M244" s="6"/>
      <c r="N244" s="179"/>
      <c r="O244" s="6"/>
      <c r="P244" s="6"/>
      <c r="Q244" s="179"/>
      <c r="R244" s="54"/>
      <c r="S244" s="54"/>
    </row>
    <row r="245" spans="1:19" ht="12.75">
      <c r="A245" s="6"/>
      <c r="B245" s="6"/>
      <c r="C245" s="6"/>
      <c r="D245" s="6"/>
      <c r="E245" s="6"/>
      <c r="F245" s="6"/>
      <c r="G245" s="6"/>
      <c r="H245" s="6"/>
      <c r="I245" s="6"/>
      <c r="J245" s="6"/>
      <c r="K245" s="179"/>
      <c r="L245" s="179"/>
      <c r="M245" s="6"/>
      <c r="N245" s="179"/>
      <c r="O245" s="6"/>
      <c r="P245" s="6"/>
      <c r="Q245" s="179"/>
      <c r="R245" s="54"/>
      <c r="S245" s="54"/>
    </row>
    <row r="246" spans="1:19" ht="12.75">
      <c r="A246" s="6"/>
      <c r="B246" s="6"/>
      <c r="C246" s="6"/>
      <c r="D246" s="6"/>
      <c r="E246" s="6"/>
      <c r="F246" s="6"/>
      <c r="G246" s="6"/>
      <c r="H246" s="6"/>
      <c r="I246" s="6"/>
      <c r="J246" s="6"/>
      <c r="K246" s="179"/>
      <c r="L246" s="179"/>
      <c r="M246" s="6"/>
      <c r="N246" s="179"/>
      <c r="O246" s="6"/>
      <c r="P246" s="6"/>
      <c r="Q246" s="179"/>
      <c r="R246" s="54"/>
      <c r="S246" s="54"/>
    </row>
    <row r="247" spans="1:19" ht="12.75">
      <c r="A247" s="6"/>
      <c r="B247" s="6"/>
      <c r="C247" s="6"/>
      <c r="D247" s="6"/>
      <c r="E247" s="6"/>
      <c r="F247" s="6"/>
      <c r="G247" s="6"/>
      <c r="H247" s="6"/>
      <c r="I247" s="6"/>
      <c r="J247" s="6"/>
      <c r="K247" s="179"/>
      <c r="L247" s="179"/>
      <c r="M247" s="6"/>
      <c r="N247" s="179"/>
      <c r="O247" s="6"/>
      <c r="P247" s="6"/>
      <c r="Q247" s="179"/>
      <c r="R247" s="54"/>
      <c r="S247" s="54"/>
    </row>
    <row r="248" spans="1:19" ht="12.75">
      <c r="A248" s="6"/>
      <c r="B248" s="6"/>
      <c r="C248" s="6"/>
      <c r="D248" s="6"/>
      <c r="E248" s="6"/>
      <c r="F248" s="6"/>
      <c r="G248" s="6"/>
      <c r="H248" s="6"/>
      <c r="I248" s="6"/>
      <c r="J248" s="6"/>
      <c r="K248" s="179"/>
      <c r="L248" s="179"/>
      <c r="M248" s="6"/>
      <c r="N248" s="179"/>
      <c r="O248" s="6"/>
      <c r="P248" s="6"/>
      <c r="Q248" s="179"/>
      <c r="R248" s="54"/>
      <c r="S248" s="54"/>
    </row>
    <row r="249" spans="1:19" ht="12.75">
      <c r="A249" s="6"/>
      <c r="B249" s="6"/>
      <c r="C249" s="6"/>
      <c r="D249" s="6"/>
      <c r="E249" s="6"/>
      <c r="F249" s="6"/>
      <c r="G249" s="6"/>
      <c r="H249" s="6"/>
      <c r="I249" s="6"/>
      <c r="J249" s="6"/>
      <c r="K249" s="179"/>
      <c r="L249" s="179"/>
      <c r="M249" s="6"/>
      <c r="N249" s="179"/>
      <c r="O249" s="6"/>
      <c r="P249" s="6"/>
      <c r="Q249" s="179"/>
      <c r="R249" s="54"/>
      <c r="S249" s="54"/>
    </row>
    <row r="250" spans="1:19" ht="12.75">
      <c r="A250" s="6"/>
      <c r="B250" s="6"/>
      <c r="C250" s="6"/>
      <c r="D250" s="6"/>
      <c r="E250" s="6"/>
      <c r="F250" s="6"/>
      <c r="G250" s="6"/>
      <c r="H250" s="6"/>
      <c r="I250" s="6"/>
      <c r="J250" s="6"/>
      <c r="K250" s="179"/>
      <c r="L250" s="179"/>
      <c r="M250" s="6"/>
      <c r="N250" s="179"/>
      <c r="O250" s="6"/>
      <c r="P250" s="6"/>
      <c r="Q250" s="179"/>
      <c r="R250" s="54"/>
      <c r="S250" s="54"/>
    </row>
    <row r="251" spans="1:19" ht="12.75">
      <c r="A251" s="6"/>
      <c r="B251" s="6"/>
      <c r="C251" s="6"/>
      <c r="D251" s="6"/>
      <c r="E251" s="6"/>
      <c r="F251" s="6"/>
      <c r="G251" s="6"/>
      <c r="H251" s="6"/>
      <c r="I251" s="6"/>
      <c r="J251" s="6"/>
      <c r="K251" s="179"/>
      <c r="L251" s="179"/>
      <c r="M251" s="6"/>
      <c r="N251" s="179"/>
      <c r="O251" s="6"/>
      <c r="P251" s="6"/>
      <c r="Q251" s="179"/>
      <c r="R251" s="54"/>
      <c r="S251" s="54"/>
    </row>
    <row r="252" spans="1:19" ht="12.75">
      <c r="A252" s="6"/>
      <c r="B252" s="6"/>
      <c r="C252" s="6"/>
      <c r="D252" s="6"/>
      <c r="E252" s="6"/>
      <c r="F252" s="6"/>
      <c r="G252" s="6"/>
      <c r="H252" s="6"/>
      <c r="I252" s="6"/>
      <c r="J252" s="6"/>
      <c r="K252" s="179"/>
      <c r="L252" s="179"/>
      <c r="M252" s="6"/>
      <c r="N252" s="179"/>
      <c r="O252" s="6"/>
      <c r="P252" s="6"/>
      <c r="Q252" s="179"/>
      <c r="R252" s="54"/>
      <c r="S252" s="54"/>
    </row>
    <row r="253" spans="1:19" ht="12.75">
      <c r="A253" s="6"/>
      <c r="B253" s="6"/>
      <c r="C253" s="6"/>
      <c r="D253" s="6"/>
      <c r="E253" s="6"/>
      <c r="F253" s="6"/>
      <c r="G253" s="6"/>
      <c r="H253" s="6"/>
      <c r="I253" s="6"/>
      <c r="J253" s="6"/>
      <c r="K253" s="179"/>
      <c r="L253" s="179"/>
      <c r="M253" s="6"/>
      <c r="N253" s="179"/>
      <c r="O253" s="6"/>
      <c r="P253" s="6"/>
      <c r="Q253" s="179"/>
      <c r="R253" s="54"/>
      <c r="S253" s="54"/>
    </row>
    <row r="254" spans="1:19" ht="12.75">
      <c r="A254" s="6"/>
      <c r="B254" s="6"/>
      <c r="C254" s="6"/>
      <c r="D254" s="6"/>
      <c r="E254" s="6"/>
      <c r="F254" s="6"/>
      <c r="G254" s="6"/>
      <c r="H254" s="6"/>
      <c r="I254" s="6"/>
      <c r="J254" s="6"/>
      <c r="K254" s="179"/>
      <c r="L254" s="179"/>
      <c r="M254" s="6"/>
      <c r="N254" s="179"/>
      <c r="O254" s="6"/>
      <c r="P254" s="6"/>
      <c r="Q254" s="179"/>
      <c r="R254" s="54"/>
      <c r="S254" s="54"/>
    </row>
    <row r="255" spans="1:19" ht="12.75">
      <c r="A255" s="6"/>
      <c r="B255" s="6"/>
      <c r="C255" s="6"/>
      <c r="D255" s="6"/>
      <c r="E255" s="6"/>
      <c r="F255" s="6"/>
      <c r="G255" s="6"/>
      <c r="H255" s="6"/>
      <c r="I255" s="6"/>
      <c r="J255" s="6"/>
      <c r="K255" s="179"/>
      <c r="L255" s="179"/>
      <c r="M255" s="6"/>
      <c r="N255" s="179"/>
      <c r="O255" s="6"/>
      <c r="P255" s="6"/>
      <c r="Q255" s="179"/>
      <c r="R255" s="54"/>
      <c r="S255" s="54"/>
    </row>
    <row r="256" spans="1:19" ht="12.75">
      <c r="A256" s="6"/>
      <c r="B256" s="6"/>
      <c r="C256" s="6"/>
      <c r="D256" s="6"/>
      <c r="E256" s="6"/>
      <c r="F256" s="6"/>
      <c r="G256" s="6"/>
      <c r="H256" s="6"/>
      <c r="I256" s="6"/>
      <c r="J256" s="6"/>
      <c r="K256" s="179"/>
      <c r="L256" s="179"/>
      <c r="M256" s="6"/>
      <c r="N256" s="179"/>
      <c r="O256" s="6"/>
      <c r="P256" s="6"/>
      <c r="Q256" s="179"/>
      <c r="R256" s="54"/>
      <c r="S256" s="54"/>
    </row>
    <row r="257" spans="1:19" ht="12.75">
      <c r="A257" s="6"/>
      <c r="B257" s="6"/>
      <c r="C257" s="6"/>
      <c r="D257" s="6"/>
      <c r="E257" s="6"/>
      <c r="F257" s="6"/>
      <c r="G257" s="6"/>
      <c r="H257" s="6"/>
      <c r="I257" s="6"/>
      <c r="J257" s="6"/>
      <c r="K257" s="179"/>
      <c r="L257" s="179"/>
      <c r="M257" s="6"/>
      <c r="N257" s="179"/>
      <c r="O257" s="6"/>
      <c r="P257" s="6"/>
      <c r="Q257" s="179"/>
      <c r="R257" s="54"/>
      <c r="S257" s="54"/>
    </row>
    <row r="258" spans="1:19" ht="12.75">
      <c r="A258" s="6"/>
      <c r="B258" s="6"/>
      <c r="C258" s="6"/>
      <c r="D258" s="6"/>
      <c r="E258" s="6"/>
      <c r="F258" s="6"/>
      <c r="G258" s="6"/>
      <c r="H258" s="6"/>
      <c r="I258" s="6"/>
      <c r="J258" s="6"/>
      <c r="K258" s="179"/>
      <c r="L258" s="179"/>
      <c r="M258" s="6"/>
      <c r="N258" s="179"/>
      <c r="O258" s="6"/>
      <c r="P258" s="6"/>
      <c r="Q258" s="179"/>
      <c r="R258" s="54"/>
      <c r="S258" s="54"/>
    </row>
    <row r="259" spans="1:19" ht="12.75">
      <c r="A259" s="6"/>
      <c r="B259" s="6"/>
      <c r="C259" s="6"/>
      <c r="D259" s="6"/>
      <c r="E259" s="6"/>
      <c r="F259" s="6"/>
      <c r="G259" s="6"/>
      <c r="H259" s="6"/>
      <c r="I259" s="6"/>
      <c r="J259" s="6"/>
      <c r="K259" s="179"/>
      <c r="L259" s="179"/>
      <c r="M259" s="6"/>
      <c r="N259" s="179"/>
      <c r="O259" s="6"/>
      <c r="P259" s="6"/>
      <c r="Q259" s="179"/>
      <c r="R259" s="54"/>
      <c r="S259" s="54"/>
    </row>
    <row r="260" spans="1:19" ht="12.75">
      <c r="A260" s="6"/>
      <c r="B260" s="6"/>
      <c r="C260" s="6"/>
      <c r="D260" s="6"/>
      <c r="E260" s="6"/>
      <c r="F260" s="6"/>
      <c r="G260" s="6"/>
      <c r="H260" s="6"/>
      <c r="I260" s="6"/>
      <c r="J260" s="6"/>
      <c r="K260" s="179"/>
      <c r="L260" s="179"/>
      <c r="M260" s="6"/>
      <c r="N260" s="179"/>
      <c r="O260" s="6"/>
      <c r="P260" s="6"/>
      <c r="Q260" s="179"/>
      <c r="R260" s="54"/>
      <c r="S260" s="54"/>
    </row>
    <row r="261" spans="1:19" ht="12.75">
      <c r="A261" s="6"/>
      <c r="B261" s="6"/>
      <c r="C261" s="6"/>
      <c r="D261" s="6"/>
      <c r="E261" s="6"/>
      <c r="F261" s="6"/>
      <c r="G261" s="6"/>
      <c r="H261" s="6"/>
      <c r="I261" s="6"/>
      <c r="J261" s="6"/>
      <c r="K261" s="179"/>
      <c r="L261" s="179"/>
      <c r="M261" s="6"/>
      <c r="N261" s="179"/>
      <c r="O261" s="6"/>
      <c r="P261" s="6"/>
      <c r="Q261" s="179"/>
      <c r="R261" s="54"/>
      <c r="S261" s="54"/>
    </row>
    <row r="262" spans="1:19" ht="12.75">
      <c r="A262" s="6"/>
      <c r="B262" s="6"/>
      <c r="C262" s="6"/>
      <c r="D262" s="6"/>
      <c r="E262" s="6"/>
      <c r="F262" s="6"/>
      <c r="G262" s="6"/>
      <c r="H262" s="6"/>
      <c r="I262" s="6"/>
      <c r="J262" s="6"/>
      <c r="K262" s="179"/>
      <c r="L262" s="179"/>
      <c r="M262" s="6"/>
      <c r="N262" s="179"/>
      <c r="O262" s="6"/>
      <c r="P262" s="6"/>
      <c r="Q262" s="179"/>
      <c r="R262" s="54"/>
      <c r="S262" s="54"/>
    </row>
    <row r="263" spans="1:19" ht="12.75">
      <c r="A263" s="6"/>
      <c r="B263" s="6"/>
      <c r="C263" s="6"/>
      <c r="D263" s="6"/>
      <c r="E263" s="6"/>
      <c r="F263" s="6"/>
      <c r="G263" s="6"/>
      <c r="H263" s="6"/>
      <c r="I263" s="6"/>
      <c r="J263" s="6"/>
      <c r="K263" s="179"/>
      <c r="L263" s="179"/>
      <c r="M263" s="6"/>
      <c r="N263" s="179"/>
      <c r="O263" s="6"/>
      <c r="P263" s="6"/>
      <c r="Q263" s="179"/>
      <c r="R263" s="54"/>
      <c r="S263" s="54"/>
    </row>
    <row r="264" spans="1:19" ht="12.75">
      <c r="A264" s="6"/>
      <c r="B264" s="6"/>
      <c r="C264" s="6"/>
      <c r="D264" s="6"/>
      <c r="E264" s="6"/>
      <c r="F264" s="6"/>
      <c r="G264" s="6"/>
      <c r="H264" s="6"/>
      <c r="I264" s="6"/>
      <c r="J264" s="6"/>
      <c r="K264" s="179"/>
      <c r="L264" s="179"/>
      <c r="M264" s="6"/>
      <c r="N264" s="179"/>
      <c r="O264" s="6"/>
      <c r="P264" s="6"/>
      <c r="Q264" s="179"/>
      <c r="R264" s="54"/>
      <c r="S264" s="54"/>
    </row>
    <row r="265" spans="1:19" ht="12.75">
      <c r="A265" s="6"/>
      <c r="B265" s="6"/>
      <c r="C265" s="6"/>
      <c r="D265" s="6"/>
      <c r="E265" s="6"/>
      <c r="F265" s="6"/>
      <c r="G265" s="6"/>
      <c r="H265" s="6"/>
      <c r="I265" s="6"/>
      <c r="J265" s="6"/>
      <c r="K265" s="179"/>
      <c r="L265" s="179"/>
      <c r="M265" s="6"/>
      <c r="N265" s="179"/>
      <c r="O265" s="6"/>
      <c r="P265" s="6"/>
      <c r="Q265" s="179"/>
      <c r="R265" s="54"/>
      <c r="S265" s="54"/>
    </row>
    <row r="266" spans="1:19" ht="12.75">
      <c r="A266" s="6"/>
      <c r="B266" s="6"/>
      <c r="C266" s="6"/>
      <c r="D266" s="6"/>
      <c r="E266" s="6"/>
      <c r="F266" s="6"/>
      <c r="G266" s="6"/>
      <c r="H266" s="6"/>
      <c r="I266" s="6"/>
      <c r="J266" s="6"/>
      <c r="K266" s="179"/>
      <c r="L266" s="179"/>
      <c r="M266" s="6"/>
      <c r="N266" s="179"/>
      <c r="O266" s="6"/>
      <c r="P266" s="6"/>
      <c r="Q266" s="179"/>
      <c r="R266" s="54"/>
      <c r="S266" s="54"/>
    </row>
    <row r="267" spans="1:19" ht="12.75">
      <c r="A267" s="6"/>
      <c r="B267" s="6"/>
      <c r="C267" s="6"/>
      <c r="D267" s="6"/>
      <c r="E267" s="6"/>
      <c r="F267" s="6"/>
      <c r="G267" s="6"/>
      <c r="H267" s="6"/>
      <c r="I267" s="6"/>
      <c r="J267" s="6"/>
      <c r="K267" s="179"/>
      <c r="L267" s="179"/>
      <c r="M267" s="6"/>
      <c r="N267" s="179"/>
      <c r="O267" s="6"/>
      <c r="P267" s="6"/>
      <c r="Q267" s="179"/>
      <c r="R267" s="54"/>
      <c r="S267" s="54"/>
    </row>
    <row r="268" spans="1:19" ht="12.75">
      <c r="A268" s="6"/>
      <c r="B268" s="6"/>
      <c r="C268" s="6"/>
      <c r="D268" s="6"/>
      <c r="E268" s="6"/>
      <c r="F268" s="6"/>
      <c r="G268" s="6"/>
      <c r="H268" s="6"/>
      <c r="I268" s="6"/>
      <c r="J268" s="6"/>
      <c r="K268" s="179"/>
      <c r="L268" s="179"/>
      <c r="M268" s="6"/>
      <c r="N268" s="179"/>
      <c r="O268" s="6"/>
      <c r="P268" s="6"/>
      <c r="Q268" s="179"/>
      <c r="R268" s="54"/>
      <c r="S268" s="54"/>
    </row>
    <row r="269" spans="1:19" ht="12.75">
      <c r="A269" s="6"/>
      <c r="B269" s="6"/>
      <c r="C269" s="6"/>
      <c r="D269" s="6"/>
      <c r="E269" s="6"/>
      <c r="F269" s="6"/>
      <c r="G269" s="6"/>
      <c r="H269" s="6"/>
      <c r="I269" s="6"/>
      <c r="J269" s="6"/>
      <c r="K269" s="179"/>
      <c r="L269" s="179"/>
      <c r="M269" s="6"/>
      <c r="N269" s="179"/>
      <c r="O269" s="6"/>
      <c r="P269" s="6"/>
      <c r="Q269" s="179"/>
      <c r="R269" s="54"/>
      <c r="S269" s="54"/>
    </row>
    <row r="270" spans="1:19" ht="12.75">
      <c r="A270" s="6"/>
      <c r="B270" s="6"/>
      <c r="C270" s="6"/>
      <c r="D270" s="6"/>
      <c r="E270" s="6"/>
      <c r="F270" s="6"/>
      <c r="G270" s="6"/>
      <c r="H270" s="6"/>
      <c r="I270" s="6"/>
      <c r="J270" s="6"/>
      <c r="K270" s="179"/>
      <c r="L270" s="179"/>
      <c r="M270" s="6"/>
      <c r="N270" s="179"/>
      <c r="O270" s="6"/>
      <c r="P270" s="6"/>
      <c r="Q270" s="179"/>
      <c r="R270" s="54"/>
      <c r="S270" s="54"/>
    </row>
    <row r="271" spans="1:19" ht="12.75">
      <c r="A271" s="6"/>
      <c r="B271" s="6"/>
      <c r="C271" s="6"/>
      <c r="D271" s="6"/>
      <c r="E271" s="6"/>
      <c r="F271" s="6"/>
      <c r="G271" s="6"/>
      <c r="H271" s="6"/>
      <c r="I271" s="6"/>
      <c r="J271" s="6"/>
      <c r="K271" s="179"/>
      <c r="L271" s="179"/>
      <c r="M271" s="6"/>
      <c r="N271" s="179"/>
      <c r="O271" s="6"/>
      <c r="P271" s="6"/>
      <c r="Q271" s="179"/>
      <c r="R271" s="54"/>
      <c r="S271" s="54"/>
    </row>
    <row r="272" spans="1:19" ht="12.75">
      <c r="A272" s="6"/>
      <c r="B272" s="6"/>
      <c r="C272" s="6"/>
      <c r="D272" s="6"/>
      <c r="E272" s="6"/>
      <c r="F272" s="6"/>
      <c r="G272" s="6"/>
      <c r="H272" s="6"/>
      <c r="I272" s="6"/>
      <c r="J272" s="6"/>
      <c r="K272" s="179"/>
      <c r="L272" s="179"/>
      <c r="M272" s="6"/>
      <c r="N272" s="179"/>
      <c r="O272" s="6"/>
      <c r="P272" s="6"/>
      <c r="Q272" s="179"/>
      <c r="R272" s="54"/>
      <c r="S272" s="54"/>
    </row>
    <row r="273" spans="1:19" ht="12.75">
      <c r="A273" s="6"/>
      <c r="B273" s="6"/>
      <c r="C273" s="6"/>
      <c r="D273" s="6"/>
      <c r="E273" s="6"/>
      <c r="F273" s="6"/>
      <c r="G273" s="6"/>
      <c r="H273" s="6"/>
      <c r="I273" s="6"/>
      <c r="J273" s="6"/>
      <c r="K273" s="179"/>
      <c r="L273" s="179"/>
      <c r="M273" s="6"/>
      <c r="N273" s="179"/>
      <c r="O273" s="6"/>
      <c r="P273" s="6"/>
      <c r="Q273" s="179"/>
      <c r="R273" s="54"/>
      <c r="S273" s="54"/>
    </row>
    <row r="274" spans="1:19" ht="12.75">
      <c r="A274" s="6"/>
      <c r="B274" s="6"/>
      <c r="C274" s="6"/>
      <c r="D274" s="6"/>
      <c r="E274" s="6"/>
      <c r="F274" s="6"/>
      <c r="G274" s="6"/>
      <c r="H274" s="6"/>
      <c r="I274" s="6"/>
      <c r="J274" s="6"/>
      <c r="K274" s="179"/>
      <c r="L274" s="179"/>
      <c r="M274" s="6"/>
      <c r="N274" s="179"/>
      <c r="O274" s="6"/>
      <c r="P274" s="6"/>
      <c r="Q274" s="179"/>
      <c r="R274" s="54"/>
      <c r="S274" s="54"/>
    </row>
    <row r="275" spans="1:19" ht="12.75">
      <c r="A275" s="6"/>
      <c r="B275" s="6"/>
      <c r="C275" s="6"/>
      <c r="D275" s="6"/>
      <c r="E275" s="6"/>
      <c r="F275" s="6"/>
      <c r="G275" s="6"/>
      <c r="H275" s="6"/>
      <c r="I275" s="6"/>
      <c r="J275" s="6"/>
      <c r="K275" s="179"/>
      <c r="L275" s="179"/>
      <c r="M275" s="6"/>
      <c r="N275" s="179"/>
      <c r="O275" s="6"/>
      <c r="P275" s="6"/>
      <c r="Q275" s="179"/>
      <c r="R275" s="54"/>
      <c r="S275" s="54"/>
    </row>
    <row r="276" spans="1:19" ht="12.75">
      <c r="A276" s="6"/>
      <c r="B276" s="6"/>
      <c r="C276" s="6"/>
      <c r="D276" s="6"/>
      <c r="E276" s="6"/>
      <c r="F276" s="6"/>
      <c r="G276" s="6"/>
      <c r="H276" s="6"/>
      <c r="I276" s="6"/>
      <c r="J276" s="6"/>
      <c r="K276" s="179"/>
      <c r="L276" s="179"/>
      <c r="M276" s="6"/>
      <c r="N276" s="179"/>
      <c r="O276" s="6"/>
      <c r="P276" s="6"/>
      <c r="Q276" s="179"/>
      <c r="R276" s="54"/>
      <c r="S276" s="54"/>
    </row>
    <row r="277" spans="1:19" ht="12.75">
      <c r="A277" s="6"/>
      <c r="B277" s="6"/>
      <c r="C277" s="6"/>
      <c r="D277" s="6"/>
      <c r="E277" s="6"/>
      <c r="F277" s="6"/>
      <c r="G277" s="6"/>
      <c r="H277" s="6"/>
      <c r="I277" s="6"/>
      <c r="J277" s="6"/>
      <c r="K277" s="179"/>
      <c r="L277" s="179"/>
      <c r="M277" s="6"/>
      <c r="N277" s="179"/>
      <c r="O277" s="6"/>
      <c r="P277" s="6"/>
      <c r="Q277" s="179"/>
      <c r="R277" s="54"/>
      <c r="S277" s="54"/>
    </row>
    <row r="278" spans="1:19" ht="12.75">
      <c r="A278" s="6"/>
      <c r="B278" s="6"/>
      <c r="C278" s="6"/>
      <c r="D278" s="6"/>
      <c r="E278" s="6"/>
      <c r="F278" s="6"/>
      <c r="G278" s="6"/>
      <c r="H278" s="6"/>
      <c r="I278" s="6"/>
      <c r="J278" s="6"/>
      <c r="K278" s="179"/>
      <c r="L278" s="179"/>
      <c r="M278" s="6"/>
      <c r="N278" s="179"/>
      <c r="O278" s="6"/>
      <c r="P278" s="6"/>
      <c r="Q278" s="179"/>
      <c r="R278" s="54"/>
      <c r="S278" s="54"/>
    </row>
    <row r="279" spans="1:19" ht="12.75">
      <c r="A279" s="6"/>
      <c r="B279" s="6"/>
      <c r="C279" s="6"/>
      <c r="D279" s="6"/>
      <c r="E279" s="6"/>
      <c r="F279" s="6"/>
      <c r="G279" s="6"/>
      <c r="H279" s="6"/>
      <c r="I279" s="6"/>
      <c r="J279" s="6"/>
      <c r="K279" s="179"/>
      <c r="L279" s="179"/>
      <c r="M279" s="6"/>
      <c r="N279" s="179"/>
      <c r="O279" s="6"/>
      <c r="P279" s="6"/>
      <c r="Q279" s="179"/>
      <c r="R279" s="54"/>
      <c r="S279" s="54"/>
    </row>
    <row r="280" spans="1:19" ht="12.75">
      <c r="A280" s="6"/>
      <c r="B280" s="6"/>
      <c r="C280" s="6"/>
      <c r="D280" s="6"/>
      <c r="E280" s="6"/>
      <c r="F280" s="6"/>
      <c r="G280" s="6"/>
      <c r="H280" s="6"/>
      <c r="I280" s="6"/>
      <c r="J280" s="6"/>
      <c r="K280" s="179"/>
      <c r="L280" s="179"/>
      <c r="M280" s="6"/>
      <c r="N280" s="179"/>
      <c r="O280" s="6"/>
      <c r="P280" s="6"/>
      <c r="Q280" s="179"/>
      <c r="R280" s="54"/>
      <c r="S280" s="54"/>
    </row>
    <row r="281" spans="1:19" ht="12.75">
      <c r="A281" s="6"/>
      <c r="B281" s="6"/>
      <c r="C281" s="6"/>
      <c r="D281" s="6"/>
      <c r="E281" s="6"/>
      <c r="F281" s="6"/>
      <c r="G281" s="6"/>
      <c r="H281" s="6"/>
      <c r="I281" s="6"/>
      <c r="J281" s="6"/>
      <c r="K281" s="179"/>
      <c r="L281" s="179"/>
      <c r="M281" s="6"/>
      <c r="N281" s="179"/>
      <c r="O281" s="6"/>
      <c r="P281" s="6"/>
      <c r="Q281" s="179"/>
      <c r="R281" s="54"/>
      <c r="S281" s="54"/>
    </row>
    <row r="282" spans="1:19" ht="12.75">
      <c r="A282" s="6"/>
      <c r="B282" s="6"/>
      <c r="C282" s="6"/>
      <c r="D282" s="6"/>
      <c r="E282" s="6"/>
      <c r="F282" s="6"/>
      <c r="G282" s="6"/>
      <c r="H282" s="6"/>
      <c r="I282" s="6"/>
      <c r="J282" s="6"/>
      <c r="K282" s="179"/>
      <c r="L282" s="179"/>
      <c r="M282" s="6"/>
      <c r="N282" s="179"/>
      <c r="O282" s="6"/>
      <c r="P282" s="6"/>
      <c r="Q282" s="179"/>
      <c r="R282" s="54"/>
      <c r="S282" s="54"/>
    </row>
    <row r="283" spans="1:19" ht="12.75">
      <c r="A283" s="6"/>
      <c r="B283" s="6"/>
      <c r="C283" s="6"/>
      <c r="D283" s="6"/>
      <c r="E283" s="6"/>
      <c r="F283" s="6"/>
      <c r="G283" s="6"/>
      <c r="H283" s="6"/>
      <c r="I283" s="6"/>
      <c r="J283" s="6"/>
      <c r="K283" s="179"/>
      <c r="L283" s="179"/>
      <c r="M283" s="6"/>
      <c r="N283" s="179"/>
      <c r="O283" s="6"/>
      <c r="P283" s="6"/>
      <c r="Q283" s="179"/>
      <c r="R283" s="54"/>
      <c r="S283" s="54"/>
    </row>
    <row r="284" spans="1:19" ht="12.75">
      <c r="A284" s="6"/>
      <c r="B284" s="6"/>
      <c r="C284" s="6"/>
      <c r="D284" s="6"/>
      <c r="E284" s="6"/>
      <c r="F284" s="6"/>
      <c r="G284" s="6"/>
      <c r="H284" s="6"/>
      <c r="I284" s="6"/>
      <c r="J284" s="6"/>
      <c r="K284" s="179"/>
      <c r="L284" s="179"/>
      <c r="M284" s="6"/>
      <c r="N284" s="179"/>
      <c r="O284" s="6"/>
      <c r="P284" s="6"/>
      <c r="Q284" s="179"/>
      <c r="R284" s="54"/>
      <c r="S284" s="54"/>
    </row>
    <row r="285" spans="1:19" ht="12.75">
      <c r="A285" s="6"/>
      <c r="B285" s="6"/>
      <c r="C285" s="6"/>
      <c r="D285" s="6"/>
      <c r="E285" s="6"/>
      <c r="F285" s="6"/>
      <c r="G285" s="6"/>
      <c r="H285" s="6"/>
      <c r="I285" s="6"/>
      <c r="J285" s="6"/>
      <c r="K285" s="179"/>
      <c r="L285" s="179"/>
      <c r="M285" s="6"/>
      <c r="N285" s="179"/>
      <c r="O285" s="6"/>
      <c r="P285" s="6"/>
      <c r="Q285" s="179"/>
      <c r="R285" s="54"/>
      <c r="S285" s="54"/>
    </row>
    <row r="286" spans="1:19" ht="12.75">
      <c r="A286" s="6"/>
      <c r="B286" s="6"/>
      <c r="C286" s="6"/>
      <c r="D286" s="6"/>
      <c r="E286" s="6"/>
      <c r="F286" s="6"/>
      <c r="G286" s="6"/>
      <c r="H286" s="6"/>
      <c r="I286" s="6"/>
      <c r="J286" s="6"/>
      <c r="K286" s="179"/>
      <c r="L286" s="179"/>
      <c r="M286" s="6"/>
      <c r="N286" s="179"/>
      <c r="O286" s="6"/>
      <c r="P286" s="6"/>
      <c r="Q286" s="179"/>
      <c r="R286" s="54"/>
      <c r="S286" s="54"/>
    </row>
    <row r="287" spans="1:19" ht="12.75">
      <c r="A287" s="6"/>
      <c r="B287" s="6"/>
      <c r="C287" s="6"/>
      <c r="D287" s="6"/>
      <c r="E287" s="6"/>
      <c r="F287" s="6"/>
      <c r="G287" s="6"/>
      <c r="H287" s="6"/>
      <c r="I287" s="6"/>
      <c r="J287" s="6"/>
      <c r="K287" s="179"/>
      <c r="L287" s="179"/>
      <c r="M287" s="6"/>
      <c r="N287" s="179"/>
      <c r="O287" s="6"/>
      <c r="P287" s="6"/>
      <c r="Q287" s="179"/>
      <c r="R287" s="54"/>
      <c r="S287" s="54"/>
    </row>
    <row r="288" spans="1:19" ht="12.75">
      <c r="A288" s="6"/>
      <c r="B288" s="6"/>
      <c r="C288" s="6"/>
      <c r="D288" s="6"/>
      <c r="E288" s="6"/>
      <c r="F288" s="6"/>
      <c r="G288" s="6"/>
      <c r="H288" s="6"/>
      <c r="I288" s="6"/>
      <c r="J288" s="6"/>
      <c r="K288" s="179"/>
      <c r="L288" s="179"/>
      <c r="M288" s="6"/>
      <c r="N288" s="179"/>
      <c r="O288" s="6"/>
      <c r="P288" s="6"/>
      <c r="Q288" s="179"/>
      <c r="R288" s="54"/>
      <c r="S288" s="54"/>
    </row>
    <row r="289" spans="1:19" ht="12.75">
      <c r="A289" s="6"/>
      <c r="B289" s="6"/>
      <c r="C289" s="6"/>
      <c r="D289" s="6"/>
      <c r="E289" s="6"/>
      <c r="F289" s="6"/>
      <c r="G289" s="6"/>
      <c r="H289" s="6"/>
      <c r="I289" s="6"/>
      <c r="J289" s="6"/>
      <c r="K289" s="179"/>
      <c r="L289" s="179"/>
      <c r="M289" s="6"/>
      <c r="N289" s="179"/>
      <c r="O289" s="6"/>
      <c r="P289" s="6"/>
      <c r="Q289" s="179"/>
      <c r="R289" s="54"/>
      <c r="S289" s="54"/>
    </row>
    <row r="290" spans="1:19" ht="12.75">
      <c r="A290" s="6"/>
      <c r="B290" s="6"/>
      <c r="C290" s="6"/>
      <c r="D290" s="6"/>
      <c r="E290" s="6"/>
      <c r="F290" s="6"/>
      <c r="G290" s="6"/>
      <c r="H290" s="6"/>
      <c r="I290" s="6"/>
      <c r="J290" s="6"/>
      <c r="K290" s="179"/>
      <c r="L290" s="179"/>
      <c r="M290" s="6"/>
      <c r="N290" s="179"/>
      <c r="O290" s="6"/>
      <c r="P290" s="6"/>
      <c r="Q290" s="179"/>
      <c r="R290" s="54"/>
      <c r="S290" s="54"/>
    </row>
    <row r="291" spans="1:19" ht="12.75">
      <c r="A291" s="6"/>
      <c r="B291" s="6"/>
      <c r="C291" s="6"/>
      <c r="D291" s="6"/>
      <c r="E291" s="6"/>
      <c r="F291" s="6"/>
      <c r="G291" s="6"/>
      <c r="H291" s="6"/>
      <c r="I291" s="6"/>
      <c r="J291" s="6"/>
      <c r="K291" s="179"/>
      <c r="L291" s="179"/>
      <c r="M291" s="6"/>
      <c r="N291" s="179"/>
      <c r="O291" s="6"/>
      <c r="P291" s="6"/>
      <c r="Q291" s="179"/>
      <c r="R291" s="54"/>
      <c r="S291" s="54"/>
    </row>
    <row r="292" spans="1:19" ht="12.75">
      <c r="A292" s="6"/>
      <c r="B292" s="6"/>
      <c r="C292" s="6"/>
      <c r="D292" s="6"/>
      <c r="E292" s="6"/>
      <c r="F292" s="6"/>
      <c r="G292" s="6"/>
      <c r="H292" s="6"/>
      <c r="I292" s="6"/>
      <c r="J292" s="6"/>
      <c r="K292" s="179"/>
      <c r="L292" s="179"/>
      <c r="M292" s="6"/>
      <c r="N292" s="179"/>
      <c r="O292" s="6"/>
      <c r="P292" s="6"/>
      <c r="Q292" s="179"/>
      <c r="R292" s="54"/>
      <c r="S292" s="54"/>
    </row>
    <row r="293" spans="1:19" ht="12.75">
      <c r="A293" s="6"/>
      <c r="B293" s="6"/>
      <c r="C293" s="6"/>
      <c r="D293" s="6"/>
      <c r="E293" s="6"/>
      <c r="F293" s="6"/>
      <c r="G293" s="6"/>
      <c r="H293" s="6"/>
      <c r="I293" s="6"/>
      <c r="J293" s="6"/>
      <c r="K293" s="179"/>
      <c r="L293" s="179"/>
      <c r="M293" s="6"/>
      <c r="N293" s="179"/>
      <c r="O293" s="6"/>
      <c r="P293" s="6"/>
      <c r="Q293" s="179"/>
      <c r="R293" s="54"/>
      <c r="S293" s="54"/>
    </row>
    <row r="294" spans="1:19" ht="12.75">
      <c r="A294" s="6"/>
      <c r="B294" s="6"/>
      <c r="C294" s="6"/>
      <c r="D294" s="6"/>
      <c r="E294" s="6"/>
      <c r="F294" s="6"/>
      <c r="G294" s="6"/>
      <c r="H294" s="6"/>
      <c r="I294" s="6"/>
      <c r="J294" s="6"/>
      <c r="K294" s="179"/>
      <c r="L294" s="179"/>
      <c r="M294" s="6"/>
      <c r="N294" s="179"/>
      <c r="O294" s="6"/>
      <c r="P294" s="6"/>
      <c r="Q294" s="179"/>
      <c r="R294" s="54"/>
      <c r="S294" s="54"/>
    </row>
    <row r="295" spans="1:19" ht="12.75">
      <c r="A295" s="6"/>
      <c r="B295" s="6"/>
      <c r="C295" s="6"/>
      <c r="D295" s="6"/>
      <c r="E295" s="6"/>
      <c r="F295" s="6"/>
      <c r="G295" s="6"/>
      <c r="H295" s="6"/>
      <c r="I295" s="6"/>
      <c r="J295" s="6"/>
      <c r="K295" s="179"/>
      <c r="L295" s="179"/>
      <c r="M295" s="6"/>
      <c r="N295" s="179"/>
      <c r="O295" s="6"/>
      <c r="P295" s="6"/>
      <c r="Q295" s="179"/>
      <c r="R295" s="54"/>
      <c r="S295" s="54"/>
    </row>
    <row r="296" spans="1:19" ht="12.75">
      <c r="A296" s="6"/>
      <c r="B296" s="6"/>
      <c r="C296" s="6"/>
      <c r="D296" s="6"/>
      <c r="E296" s="6"/>
      <c r="F296" s="6"/>
      <c r="G296" s="6"/>
      <c r="H296" s="6"/>
      <c r="I296" s="6"/>
      <c r="J296" s="6"/>
      <c r="K296" s="179"/>
      <c r="L296" s="179"/>
      <c r="M296" s="6"/>
      <c r="N296" s="179"/>
      <c r="O296" s="6"/>
      <c r="P296" s="6"/>
      <c r="Q296" s="179"/>
      <c r="R296" s="54"/>
      <c r="S296" s="54"/>
    </row>
    <row r="297" spans="1:19" ht="12.75">
      <c r="A297" s="6"/>
      <c r="B297" s="6"/>
      <c r="C297" s="6"/>
      <c r="D297" s="6"/>
      <c r="E297" s="6"/>
      <c r="F297" s="6"/>
      <c r="G297" s="6"/>
      <c r="H297" s="6"/>
      <c r="I297" s="6"/>
      <c r="J297" s="6"/>
      <c r="K297" s="179"/>
      <c r="L297" s="179"/>
      <c r="M297" s="6"/>
      <c r="N297" s="179"/>
      <c r="O297" s="6"/>
      <c r="P297" s="6"/>
      <c r="Q297" s="179"/>
      <c r="R297" s="54"/>
      <c r="S297" s="54"/>
    </row>
    <row r="298" spans="1:19" ht="12.75">
      <c r="A298" s="6"/>
      <c r="B298" s="6"/>
      <c r="C298" s="6"/>
      <c r="D298" s="6"/>
      <c r="E298" s="6"/>
      <c r="F298" s="6"/>
      <c r="G298" s="6"/>
      <c r="H298" s="6"/>
      <c r="I298" s="6"/>
      <c r="J298" s="6"/>
      <c r="K298" s="179"/>
      <c r="L298" s="179"/>
      <c r="M298" s="6"/>
      <c r="N298" s="179"/>
      <c r="O298" s="6"/>
      <c r="P298" s="6"/>
      <c r="Q298" s="179"/>
      <c r="R298" s="54"/>
      <c r="S298" s="54"/>
    </row>
    <row r="299" spans="1:19" ht="12.75">
      <c r="A299" s="6"/>
      <c r="B299" s="6"/>
      <c r="C299" s="6"/>
      <c r="D299" s="6"/>
      <c r="E299" s="6"/>
      <c r="F299" s="6"/>
      <c r="G299" s="6"/>
      <c r="H299" s="6"/>
      <c r="I299" s="6"/>
      <c r="J299" s="6"/>
      <c r="K299" s="179"/>
      <c r="L299" s="179"/>
      <c r="M299" s="6"/>
      <c r="N299" s="179"/>
      <c r="O299" s="6"/>
      <c r="P299" s="6"/>
      <c r="Q299" s="179"/>
      <c r="R299" s="54"/>
      <c r="S299" s="54"/>
    </row>
    <row r="300" spans="1:19" ht="12.75">
      <c r="A300" s="6"/>
      <c r="B300" s="6"/>
      <c r="C300" s="6"/>
      <c r="D300" s="6"/>
      <c r="E300" s="6"/>
      <c r="F300" s="6"/>
      <c r="G300" s="6"/>
      <c r="H300" s="6"/>
      <c r="I300" s="6"/>
      <c r="J300" s="6"/>
      <c r="K300" s="179"/>
      <c r="L300" s="179"/>
      <c r="M300" s="6"/>
      <c r="N300" s="179"/>
      <c r="O300" s="6"/>
      <c r="P300" s="6"/>
      <c r="Q300" s="179"/>
      <c r="R300" s="54"/>
      <c r="S300" s="54"/>
    </row>
    <row r="301" spans="1:19" ht="12.75">
      <c r="A301" s="6"/>
      <c r="B301" s="6"/>
      <c r="C301" s="6"/>
      <c r="D301" s="6"/>
      <c r="E301" s="6"/>
      <c r="F301" s="6"/>
      <c r="G301" s="6"/>
      <c r="H301" s="6"/>
      <c r="I301" s="6"/>
      <c r="J301" s="6"/>
      <c r="K301" s="179"/>
      <c r="L301" s="179"/>
      <c r="M301" s="6"/>
      <c r="N301" s="179"/>
      <c r="O301" s="6"/>
      <c r="P301" s="6"/>
      <c r="Q301" s="179"/>
      <c r="R301" s="54"/>
      <c r="S301" s="54"/>
    </row>
    <row r="302" spans="1:19" ht="12.75">
      <c r="A302" s="6"/>
      <c r="B302" s="6"/>
      <c r="C302" s="6"/>
      <c r="D302" s="6"/>
      <c r="E302" s="6"/>
      <c r="F302" s="6"/>
      <c r="G302" s="6"/>
      <c r="H302" s="6"/>
      <c r="I302" s="6"/>
      <c r="J302" s="6"/>
      <c r="K302" s="179"/>
      <c r="L302" s="179"/>
      <c r="M302" s="6"/>
      <c r="N302" s="179"/>
      <c r="O302" s="6"/>
      <c r="P302" s="6"/>
      <c r="Q302" s="179"/>
      <c r="R302" s="54"/>
      <c r="S302" s="54"/>
    </row>
    <row r="303" spans="1:19" ht="12.75">
      <c r="A303" s="6"/>
      <c r="B303" s="6"/>
      <c r="C303" s="6"/>
      <c r="D303" s="6"/>
      <c r="E303" s="6"/>
      <c r="F303" s="6"/>
      <c r="G303" s="6"/>
      <c r="H303" s="6"/>
      <c r="I303" s="6"/>
      <c r="J303" s="6"/>
      <c r="K303" s="179"/>
      <c r="L303" s="179"/>
      <c r="M303" s="6"/>
      <c r="N303" s="179"/>
      <c r="O303" s="6"/>
      <c r="P303" s="6"/>
      <c r="Q303" s="179"/>
      <c r="R303" s="54"/>
      <c r="S303" s="54"/>
    </row>
    <row r="304" spans="1:19" ht="12.75">
      <c r="A304" s="6"/>
      <c r="B304" s="6"/>
      <c r="C304" s="6"/>
      <c r="D304" s="6"/>
      <c r="E304" s="6"/>
      <c r="F304" s="6"/>
      <c r="G304" s="6"/>
      <c r="H304" s="6"/>
      <c r="I304" s="6"/>
      <c r="J304" s="6"/>
      <c r="K304" s="179"/>
      <c r="L304" s="179"/>
      <c r="M304" s="6"/>
      <c r="N304" s="179"/>
      <c r="O304" s="6"/>
      <c r="P304" s="6"/>
      <c r="Q304" s="179"/>
      <c r="R304" s="54"/>
      <c r="S304" s="54"/>
    </row>
    <row r="305" spans="1:19" ht="12.75">
      <c r="A305" s="6"/>
      <c r="B305" s="6"/>
      <c r="C305" s="6"/>
      <c r="D305" s="6"/>
      <c r="E305" s="6"/>
      <c r="F305" s="6"/>
      <c r="G305" s="6"/>
      <c r="H305" s="6"/>
      <c r="I305" s="6"/>
      <c r="J305" s="6"/>
      <c r="K305" s="179"/>
      <c r="L305" s="179"/>
      <c r="M305" s="6"/>
      <c r="N305" s="179"/>
      <c r="O305" s="6"/>
      <c r="P305" s="6"/>
      <c r="Q305" s="179"/>
      <c r="R305" s="54"/>
      <c r="S305" s="54"/>
    </row>
    <row r="306" spans="1:19" ht="12.75">
      <c r="A306" s="6"/>
      <c r="B306" s="6"/>
      <c r="C306" s="6"/>
      <c r="D306" s="6"/>
      <c r="E306" s="6"/>
      <c r="F306" s="6"/>
      <c r="G306" s="6"/>
      <c r="H306" s="6"/>
      <c r="I306" s="6"/>
      <c r="J306" s="6"/>
      <c r="K306" s="179"/>
      <c r="L306" s="179"/>
      <c r="M306" s="6"/>
      <c r="N306" s="179"/>
      <c r="O306" s="6"/>
      <c r="P306" s="6"/>
      <c r="Q306" s="179"/>
      <c r="R306" s="54"/>
      <c r="S306" s="54"/>
    </row>
    <row r="307" spans="1:19" ht="12.75">
      <c r="A307" s="6"/>
      <c r="B307" s="6"/>
      <c r="C307" s="6"/>
      <c r="D307" s="6"/>
      <c r="E307" s="6"/>
      <c r="F307" s="6"/>
      <c r="G307" s="6"/>
      <c r="H307" s="6"/>
      <c r="I307" s="6"/>
      <c r="J307" s="6"/>
      <c r="K307" s="179"/>
      <c r="L307" s="179"/>
      <c r="M307" s="6"/>
      <c r="N307" s="179"/>
      <c r="O307" s="6"/>
      <c r="P307" s="6"/>
      <c r="Q307" s="179"/>
      <c r="R307" s="54"/>
      <c r="S307" s="54"/>
    </row>
    <row r="308" spans="1:19" ht="12.75">
      <c r="A308" s="6"/>
      <c r="B308" s="6"/>
      <c r="C308" s="6"/>
      <c r="D308" s="6"/>
      <c r="E308" s="6"/>
      <c r="F308" s="6"/>
      <c r="G308" s="6"/>
      <c r="H308" s="6"/>
      <c r="I308" s="6"/>
      <c r="J308" s="6"/>
      <c r="K308" s="179"/>
      <c r="L308" s="179"/>
      <c r="M308" s="6"/>
      <c r="N308" s="179"/>
      <c r="O308" s="6"/>
      <c r="P308" s="6"/>
      <c r="Q308" s="179"/>
      <c r="R308" s="54"/>
      <c r="S308" s="54"/>
    </row>
    <row r="309" spans="1:19" ht="12.75">
      <c r="A309" s="6"/>
      <c r="B309" s="6"/>
      <c r="C309" s="6"/>
      <c r="D309" s="6"/>
      <c r="E309" s="6"/>
      <c r="F309" s="6"/>
      <c r="G309" s="6"/>
      <c r="H309" s="6"/>
      <c r="I309" s="6"/>
      <c r="J309" s="6"/>
      <c r="K309" s="179"/>
      <c r="L309" s="179"/>
      <c r="M309" s="6"/>
      <c r="N309" s="179"/>
      <c r="O309" s="6"/>
      <c r="P309" s="6"/>
      <c r="Q309" s="179"/>
      <c r="R309" s="54"/>
      <c r="S309" s="54"/>
    </row>
    <row r="310" spans="1:19" ht="12.75">
      <c r="A310" s="6"/>
      <c r="B310" s="6"/>
      <c r="C310" s="6"/>
      <c r="D310" s="6"/>
      <c r="E310" s="6"/>
      <c r="F310" s="6"/>
      <c r="G310" s="6"/>
      <c r="H310" s="6"/>
      <c r="I310" s="6"/>
      <c r="J310" s="6"/>
      <c r="K310" s="179"/>
      <c r="L310" s="179"/>
      <c r="M310" s="6"/>
      <c r="N310" s="179"/>
      <c r="O310" s="6"/>
      <c r="P310" s="6"/>
      <c r="Q310" s="179"/>
      <c r="R310" s="54"/>
      <c r="S310" s="54"/>
    </row>
    <row r="311" spans="1:19" ht="12.75">
      <c r="A311" s="6"/>
      <c r="B311" s="6"/>
      <c r="C311" s="6"/>
      <c r="D311" s="6"/>
      <c r="E311" s="6"/>
      <c r="F311" s="6"/>
      <c r="G311" s="6"/>
      <c r="H311" s="6"/>
      <c r="I311" s="6"/>
      <c r="J311" s="6"/>
      <c r="K311" s="179"/>
      <c r="L311" s="179"/>
      <c r="M311" s="6"/>
      <c r="N311" s="179"/>
      <c r="O311" s="6"/>
      <c r="P311" s="6"/>
      <c r="Q311" s="179"/>
      <c r="R311" s="54"/>
      <c r="S311" s="54"/>
    </row>
    <row r="312" spans="1:19" ht="12.75">
      <c r="A312" s="6"/>
      <c r="B312" s="6"/>
      <c r="C312" s="6"/>
      <c r="D312" s="6"/>
      <c r="E312" s="6"/>
      <c r="F312" s="6"/>
      <c r="G312" s="6"/>
      <c r="H312" s="6"/>
      <c r="I312" s="6"/>
      <c r="J312" s="6"/>
      <c r="K312" s="179"/>
      <c r="L312" s="179"/>
      <c r="M312" s="6"/>
      <c r="N312" s="179"/>
      <c r="O312" s="6"/>
      <c r="P312" s="6"/>
      <c r="Q312" s="179"/>
      <c r="R312" s="54"/>
      <c r="S312" s="54"/>
    </row>
    <row r="313" spans="1:19" ht="12.75">
      <c r="A313" s="6"/>
      <c r="B313" s="6"/>
      <c r="C313" s="6"/>
      <c r="D313" s="6"/>
      <c r="E313" s="6"/>
      <c r="F313" s="6"/>
      <c r="G313" s="6"/>
      <c r="H313" s="6"/>
      <c r="I313" s="6"/>
      <c r="J313" s="6"/>
      <c r="K313" s="179"/>
      <c r="L313" s="179"/>
      <c r="M313" s="6"/>
      <c r="N313" s="179"/>
      <c r="O313" s="6"/>
      <c r="P313" s="6"/>
      <c r="Q313" s="179"/>
      <c r="R313" s="54"/>
      <c r="S313" s="54"/>
    </row>
    <row r="314" spans="1:19" ht="12.75">
      <c r="A314" s="6"/>
      <c r="B314" s="6"/>
      <c r="C314" s="6"/>
      <c r="D314" s="6"/>
      <c r="E314" s="6"/>
      <c r="F314" s="6"/>
      <c r="G314" s="6"/>
      <c r="H314" s="6"/>
      <c r="I314" s="6"/>
      <c r="J314" s="6"/>
      <c r="K314" s="179"/>
      <c r="L314" s="179"/>
      <c r="M314" s="6"/>
      <c r="N314" s="179"/>
      <c r="O314" s="6"/>
      <c r="P314" s="6"/>
      <c r="Q314" s="179"/>
      <c r="R314" s="54"/>
      <c r="S314" s="54"/>
    </row>
    <row r="315" spans="1:19" ht="12.75">
      <c r="A315" s="6"/>
      <c r="B315" s="6"/>
      <c r="C315" s="6"/>
      <c r="D315" s="6"/>
      <c r="E315" s="6"/>
      <c r="F315" s="6"/>
      <c r="G315" s="6"/>
      <c r="H315" s="6"/>
      <c r="I315" s="6"/>
      <c r="J315" s="6"/>
      <c r="K315" s="179"/>
      <c r="L315" s="179"/>
      <c r="M315" s="6"/>
      <c r="N315" s="179"/>
      <c r="O315" s="6"/>
      <c r="P315" s="6"/>
      <c r="Q315" s="179"/>
      <c r="R315" s="54"/>
      <c r="S315" s="54"/>
    </row>
    <row r="316" spans="1:19" ht="12.75">
      <c r="A316" s="6"/>
      <c r="B316" s="6"/>
      <c r="C316" s="6"/>
      <c r="D316" s="6"/>
      <c r="E316" s="6"/>
      <c r="F316" s="6"/>
      <c r="G316" s="6"/>
      <c r="H316" s="6"/>
      <c r="I316" s="6"/>
      <c r="J316" s="6"/>
      <c r="K316" s="179"/>
      <c r="L316" s="179"/>
      <c r="M316" s="6"/>
      <c r="N316" s="179"/>
      <c r="O316" s="6"/>
      <c r="P316" s="6"/>
      <c r="Q316" s="179"/>
      <c r="R316" s="54"/>
      <c r="S316" s="54"/>
    </row>
    <row r="317" spans="1:19" ht="12.75">
      <c r="A317" s="6"/>
      <c r="B317" s="6"/>
      <c r="C317" s="6"/>
      <c r="D317" s="6"/>
      <c r="E317" s="6"/>
      <c r="F317" s="6"/>
      <c r="G317" s="6"/>
      <c r="H317" s="6"/>
      <c r="I317" s="6"/>
      <c r="J317" s="6"/>
      <c r="K317" s="179"/>
      <c r="L317" s="179"/>
      <c r="M317" s="6"/>
      <c r="N317" s="179"/>
      <c r="O317" s="6"/>
      <c r="P317" s="6"/>
      <c r="Q317" s="179"/>
      <c r="R317" s="54"/>
      <c r="S317" s="54"/>
    </row>
    <row r="318" spans="1:19" ht="12.75">
      <c r="A318" s="6"/>
      <c r="B318" s="6"/>
      <c r="C318" s="6"/>
      <c r="D318" s="6"/>
      <c r="E318" s="6"/>
      <c r="F318" s="6"/>
      <c r="G318" s="6"/>
      <c r="H318" s="6"/>
      <c r="I318" s="6"/>
      <c r="J318" s="6"/>
      <c r="K318" s="179"/>
      <c r="L318" s="179"/>
      <c r="M318" s="6"/>
      <c r="N318" s="179"/>
      <c r="O318" s="6"/>
      <c r="P318" s="6"/>
      <c r="Q318" s="179"/>
      <c r="R318" s="54"/>
      <c r="S318" s="54"/>
    </row>
    <row r="319" spans="1:19" ht="12.75">
      <c r="A319" s="6"/>
      <c r="B319" s="6"/>
      <c r="C319" s="6"/>
      <c r="D319" s="6"/>
      <c r="E319" s="6"/>
      <c r="F319" s="6"/>
      <c r="G319" s="6"/>
      <c r="H319" s="6"/>
      <c r="I319" s="6"/>
      <c r="J319" s="6"/>
      <c r="K319" s="179"/>
      <c r="L319" s="179"/>
      <c r="M319" s="6"/>
      <c r="N319" s="179"/>
      <c r="O319" s="6"/>
      <c r="P319" s="6"/>
      <c r="Q319" s="179"/>
      <c r="R319" s="54"/>
      <c r="S319" s="54"/>
    </row>
    <row r="320" spans="1:19" ht="12.75">
      <c r="A320" s="6"/>
      <c r="B320" s="6"/>
      <c r="C320" s="6"/>
      <c r="D320" s="6"/>
      <c r="E320" s="6"/>
      <c r="F320" s="6"/>
      <c r="G320" s="6"/>
      <c r="H320" s="6"/>
      <c r="I320" s="6"/>
      <c r="J320" s="6"/>
      <c r="K320" s="179"/>
      <c r="L320" s="179"/>
      <c r="M320" s="6"/>
      <c r="N320" s="179"/>
      <c r="O320" s="6"/>
      <c r="P320" s="6"/>
      <c r="Q320" s="179"/>
      <c r="R320" s="54"/>
      <c r="S320" s="54"/>
    </row>
    <row r="321" spans="1:19" ht="12.75">
      <c r="A321" s="6"/>
      <c r="B321" s="6"/>
      <c r="C321" s="6"/>
      <c r="D321" s="6"/>
      <c r="E321" s="6"/>
      <c r="F321" s="6"/>
      <c r="G321" s="6"/>
      <c r="H321" s="6"/>
      <c r="I321" s="6"/>
      <c r="J321" s="6"/>
      <c r="K321" s="179"/>
      <c r="L321" s="179"/>
      <c r="M321" s="6"/>
      <c r="N321" s="179"/>
      <c r="O321" s="6"/>
      <c r="P321" s="6"/>
      <c r="Q321" s="179"/>
      <c r="R321" s="54"/>
      <c r="S321" s="54"/>
    </row>
    <row r="322" spans="1:19" ht="12.75">
      <c r="A322" s="6"/>
      <c r="B322" s="6"/>
      <c r="C322" s="6"/>
      <c r="D322" s="6"/>
      <c r="E322" s="6"/>
      <c r="F322" s="6"/>
      <c r="G322" s="6"/>
      <c r="H322" s="6"/>
      <c r="I322" s="6"/>
      <c r="J322" s="6"/>
      <c r="K322" s="179"/>
      <c r="L322" s="179"/>
      <c r="M322" s="6"/>
      <c r="N322" s="179"/>
      <c r="O322" s="6"/>
      <c r="P322" s="6"/>
      <c r="Q322" s="179"/>
      <c r="R322" s="54"/>
      <c r="S322" s="54"/>
    </row>
    <row r="323" spans="1:19" ht="12.75">
      <c r="A323" s="6"/>
      <c r="B323" s="6"/>
      <c r="C323" s="6"/>
      <c r="D323" s="6"/>
      <c r="E323" s="6"/>
      <c r="F323" s="6"/>
      <c r="G323" s="6"/>
      <c r="H323" s="6"/>
      <c r="I323" s="6"/>
      <c r="J323" s="6"/>
      <c r="K323" s="179"/>
      <c r="L323" s="179"/>
      <c r="M323" s="6"/>
      <c r="N323" s="179"/>
      <c r="O323" s="6"/>
      <c r="P323" s="6"/>
      <c r="Q323" s="179"/>
      <c r="R323" s="54"/>
      <c r="S323" s="54"/>
    </row>
    <row r="324" spans="1:19" ht="12.75">
      <c r="A324" s="6"/>
      <c r="B324" s="6"/>
      <c r="C324" s="6"/>
      <c r="D324" s="6"/>
      <c r="E324" s="6"/>
      <c r="F324" s="6"/>
      <c r="G324" s="6"/>
      <c r="H324" s="6"/>
      <c r="I324" s="6"/>
      <c r="J324" s="6"/>
      <c r="K324" s="179"/>
      <c r="L324" s="179"/>
      <c r="M324" s="6"/>
      <c r="N324" s="179"/>
      <c r="O324" s="6"/>
      <c r="P324" s="6"/>
      <c r="Q324" s="179"/>
      <c r="R324" s="54"/>
      <c r="S324" s="54"/>
    </row>
    <row r="325" spans="1:19" ht="12.75">
      <c r="A325" s="6"/>
      <c r="B325" s="6"/>
      <c r="C325" s="6"/>
      <c r="D325" s="6"/>
      <c r="E325" s="6"/>
      <c r="F325" s="6"/>
      <c r="G325" s="6"/>
      <c r="H325" s="6"/>
      <c r="I325" s="6"/>
      <c r="J325" s="6"/>
      <c r="K325" s="179"/>
      <c r="L325" s="179"/>
      <c r="M325" s="6"/>
      <c r="N325" s="179"/>
      <c r="O325" s="6"/>
      <c r="P325" s="6"/>
      <c r="Q325" s="179"/>
      <c r="R325" s="54"/>
      <c r="S325" s="54"/>
    </row>
    <row r="326" spans="1:19" ht="12.75">
      <c r="A326" s="6"/>
      <c r="B326" s="6"/>
      <c r="C326" s="6"/>
      <c r="D326" s="6"/>
      <c r="E326" s="6"/>
      <c r="F326" s="6"/>
      <c r="G326" s="6"/>
      <c r="H326" s="6"/>
      <c r="I326" s="6"/>
      <c r="J326" s="6"/>
      <c r="K326" s="179"/>
      <c r="L326" s="179"/>
      <c r="M326" s="6"/>
      <c r="N326" s="179"/>
      <c r="O326" s="6"/>
      <c r="P326" s="6"/>
      <c r="Q326" s="179"/>
      <c r="R326" s="54"/>
      <c r="S326" s="54"/>
    </row>
    <row r="327" spans="1:19" ht="12.75">
      <c r="A327" s="6"/>
      <c r="B327" s="6"/>
      <c r="C327" s="6"/>
      <c r="D327" s="6"/>
      <c r="E327" s="6"/>
      <c r="F327" s="6"/>
      <c r="G327" s="6"/>
      <c r="H327" s="6"/>
      <c r="I327" s="6"/>
      <c r="J327" s="6"/>
      <c r="K327" s="179"/>
      <c r="L327" s="179"/>
      <c r="M327" s="6"/>
      <c r="N327" s="179"/>
      <c r="O327" s="6"/>
      <c r="P327" s="6"/>
      <c r="Q327" s="179"/>
      <c r="R327" s="54"/>
      <c r="S327" s="54"/>
    </row>
    <row r="328" spans="1:19" ht="12.75">
      <c r="A328" s="6"/>
      <c r="B328" s="6"/>
      <c r="C328" s="6"/>
      <c r="D328" s="6"/>
      <c r="E328" s="6"/>
      <c r="F328" s="6"/>
      <c r="G328" s="6"/>
      <c r="H328" s="6"/>
      <c r="I328" s="6"/>
      <c r="J328" s="6"/>
      <c r="K328" s="179"/>
      <c r="L328" s="179"/>
      <c r="M328" s="6"/>
      <c r="N328" s="179"/>
      <c r="O328" s="6"/>
      <c r="P328" s="6"/>
      <c r="Q328" s="179"/>
      <c r="R328" s="54"/>
      <c r="S328" s="54"/>
    </row>
    <row r="329" spans="1:19" ht="12.75">
      <c r="A329" s="6"/>
      <c r="B329" s="6"/>
      <c r="C329" s="6"/>
      <c r="D329" s="6"/>
      <c r="E329" s="6"/>
      <c r="F329" s="6"/>
      <c r="G329" s="6"/>
      <c r="H329" s="6"/>
      <c r="I329" s="6"/>
      <c r="J329" s="6"/>
      <c r="K329" s="179"/>
      <c r="L329" s="179"/>
      <c r="M329" s="6"/>
      <c r="N329" s="179"/>
      <c r="O329" s="6"/>
      <c r="P329" s="6"/>
      <c r="Q329" s="179"/>
      <c r="R329" s="54"/>
      <c r="S329" s="54"/>
    </row>
    <row r="330" spans="1:19" ht="12.75">
      <c r="A330" s="6"/>
      <c r="B330" s="6"/>
      <c r="C330" s="6"/>
      <c r="D330" s="6"/>
      <c r="E330" s="6"/>
      <c r="F330" s="6"/>
      <c r="G330" s="6"/>
      <c r="H330" s="6"/>
      <c r="I330" s="6"/>
      <c r="J330" s="6"/>
      <c r="K330" s="179"/>
      <c r="L330" s="179"/>
      <c r="M330" s="6"/>
      <c r="N330" s="179"/>
      <c r="O330" s="6"/>
      <c r="P330" s="6"/>
      <c r="Q330" s="179"/>
      <c r="R330" s="54"/>
      <c r="S330" s="54"/>
    </row>
    <row r="331" spans="1:19" ht="12.75">
      <c r="A331" s="6"/>
      <c r="B331" s="6"/>
      <c r="C331" s="6"/>
      <c r="D331" s="6"/>
      <c r="E331" s="6"/>
      <c r="F331" s="6"/>
      <c r="G331" s="6"/>
      <c r="H331" s="6"/>
      <c r="I331" s="6"/>
      <c r="J331" s="6"/>
      <c r="K331" s="179"/>
      <c r="L331" s="179"/>
      <c r="M331" s="6"/>
      <c r="N331" s="179"/>
      <c r="O331" s="6"/>
      <c r="P331" s="6"/>
      <c r="Q331" s="179"/>
      <c r="R331" s="54"/>
      <c r="S331" s="54"/>
    </row>
    <row r="332" spans="1:19" ht="12.75">
      <c r="A332" s="6"/>
      <c r="B332" s="6"/>
      <c r="C332" s="6"/>
      <c r="D332" s="6"/>
      <c r="E332" s="6"/>
      <c r="F332" s="6"/>
      <c r="G332" s="6"/>
      <c r="H332" s="6"/>
      <c r="I332" s="6"/>
      <c r="J332" s="6"/>
      <c r="K332" s="179"/>
      <c r="L332" s="179"/>
      <c r="M332" s="6"/>
      <c r="N332" s="179"/>
      <c r="O332" s="6"/>
      <c r="P332" s="6"/>
      <c r="Q332" s="179"/>
      <c r="R332" s="54"/>
      <c r="S332" s="54"/>
    </row>
    <row r="333" spans="1:19" ht="12.75">
      <c r="A333" s="6"/>
      <c r="B333" s="6"/>
      <c r="C333" s="6"/>
      <c r="D333" s="6"/>
      <c r="E333" s="6"/>
      <c r="F333" s="6"/>
      <c r="G333" s="6"/>
      <c r="H333" s="6"/>
      <c r="I333" s="6"/>
      <c r="J333" s="6"/>
      <c r="K333" s="179"/>
      <c r="L333" s="179"/>
      <c r="M333" s="6"/>
      <c r="N333" s="179"/>
      <c r="O333" s="6"/>
      <c r="P333" s="6"/>
      <c r="Q333" s="179"/>
      <c r="R333" s="54"/>
      <c r="S333" s="54"/>
    </row>
    <row r="334" spans="1:19" ht="12.75">
      <c r="A334" s="6"/>
      <c r="B334" s="6"/>
      <c r="C334" s="6"/>
      <c r="D334" s="6"/>
      <c r="E334" s="6"/>
      <c r="F334" s="6"/>
      <c r="G334" s="6"/>
      <c r="H334" s="6"/>
      <c r="I334" s="6"/>
      <c r="J334" s="6"/>
      <c r="K334" s="179"/>
      <c r="L334" s="179"/>
      <c r="M334" s="6"/>
      <c r="N334" s="179"/>
      <c r="O334" s="6"/>
      <c r="P334" s="6"/>
      <c r="Q334" s="179"/>
      <c r="R334" s="54"/>
      <c r="S334" s="54"/>
    </row>
    <row r="335" spans="1:19" ht="12.75">
      <c r="A335" s="6"/>
      <c r="B335" s="6"/>
      <c r="C335" s="6"/>
      <c r="D335" s="6"/>
      <c r="E335" s="6"/>
      <c r="F335" s="6"/>
      <c r="G335" s="6"/>
      <c r="H335" s="6"/>
      <c r="I335" s="6"/>
      <c r="J335" s="6"/>
      <c r="K335" s="179"/>
      <c r="L335" s="179"/>
      <c r="M335" s="6"/>
      <c r="N335" s="179"/>
      <c r="O335" s="6"/>
      <c r="P335" s="6"/>
      <c r="Q335" s="179"/>
      <c r="R335" s="54"/>
      <c r="S335" s="54"/>
    </row>
    <row r="336" spans="1:19" ht="12.75">
      <c r="A336" s="6"/>
      <c r="B336" s="6"/>
      <c r="C336" s="6"/>
      <c r="D336" s="6"/>
      <c r="E336" s="6"/>
      <c r="F336" s="6"/>
      <c r="G336" s="6"/>
      <c r="H336" s="6"/>
      <c r="I336" s="6"/>
      <c r="J336" s="6"/>
      <c r="K336" s="179"/>
      <c r="L336" s="179"/>
      <c r="M336" s="6"/>
      <c r="N336" s="179"/>
      <c r="O336" s="6"/>
      <c r="P336" s="6"/>
      <c r="Q336" s="179"/>
      <c r="R336" s="54"/>
      <c r="S336" s="54"/>
    </row>
    <row r="337" spans="1:19" ht="12.75">
      <c r="A337" s="6"/>
      <c r="B337" s="6"/>
      <c r="C337" s="6"/>
      <c r="D337" s="6"/>
      <c r="E337" s="6"/>
      <c r="F337" s="6"/>
      <c r="G337" s="6"/>
      <c r="H337" s="6"/>
      <c r="I337" s="6"/>
      <c r="J337" s="6"/>
      <c r="K337" s="179"/>
      <c r="L337" s="179"/>
      <c r="M337" s="6"/>
      <c r="N337" s="179"/>
      <c r="O337" s="6"/>
      <c r="P337" s="6"/>
      <c r="Q337" s="179"/>
      <c r="R337" s="54"/>
      <c r="S337" s="54"/>
    </row>
    <row r="338" spans="1:19" ht="12.75">
      <c r="A338" s="6"/>
      <c r="B338" s="6"/>
      <c r="C338" s="6"/>
      <c r="D338" s="6"/>
      <c r="E338" s="6"/>
      <c r="F338" s="6"/>
      <c r="G338" s="6"/>
      <c r="H338" s="6"/>
      <c r="I338" s="6"/>
      <c r="J338" s="6"/>
      <c r="K338" s="179"/>
      <c r="L338" s="179"/>
      <c r="M338" s="6"/>
      <c r="N338" s="179"/>
      <c r="O338" s="6"/>
      <c r="P338" s="6"/>
      <c r="Q338" s="179"/>
      <c r="R338" s="54"/>
      <c r="S338" s="54"/>
    </row>
    <row r="339" spans="1:19" ht="12.75">
      <c r="A339" s="6"/>
      <c r="B339" s="6"/>
      <c r="C339" s="6"/>
      <c r="D339" s="6"/>
      <c r="E339" s="6"/>
      <c r="F339" s="6"/>
      <c r="G339" s="6"/>
      <c r="H339" s="6"/>
      <c r="I339" s="6"/>
      <c r="J339" s="6"/>
      <c r="K339" s="179"/>
      <c r="L339" s="179"/>
      <c r="M339" s="6"/>
      <c r="N339" s="179"/>
      <c r="O339" s="6"/>
      <c r="P339" s="6"/>
      <c r="Q339" s="179"/>
      <c r="R339" s="54"/>
      <c r="S339" s="54"/>
    </row>
    <row r="340" spans="1:19" ht="12.75">
      <c r="A340" s="6"/>
      <c r="B340" s="6"/>
      <c r="C340" s="6"/>
      <c r="D340" s="6"/>
      <c r="E340" s="6"/>
      <c r="F340" s="6"/>
      <c r="G340" s="6"/>
      <c r="H340" s="6"/>
      <c r="I340" s="6"/>
      <c r="J340" s="6"/>
      <c r="K340" s="179"/>
      <c r="L340" s="179"/>
      <c r="M340" s="6"/>
      <c r="N340" s="179"/>
      <c r="O340" s="6"/>
      <c r="P340" s="6"/>
      <c r="Q340" s="179"/>
      <c r="R340" s="54"/>
      <c r="S340" s="54"/>
    </row>
    <row r="341" spans="1:19" ht="12.75">
      <c r="A341" s="6"/>
      <c r="B341" s="6"/>
      <c r="C341" s="6"/>
      <c r="D341" s="6"/>
      <c r="E341" s="6"/>
      <c r="F341" s="6"/>
      <c r="G341" s="6"/>
      <c r="H341" s="6"/>
      <c r="I341" s="6"/>
      <c r="J341" s="6"/>
      <c r="K341" s="179"/>
      <c r="L341" s="179"/>
      <c r="M341" s="6"/>
      <c r="N341" s="179"/>
      <c r="O341" s="6"/>
      <c r="P341" s="6"/>
      <c r="Q341" s="179"/>
      <c r="R341" s="54"/>
      <c r="S341" s="54"/>
    </row>
    <row r="342" spans="1:19" ht="12.75">
      <c r="A342" s="6"/>
      <c r="B342" s="6"/>
      <c r="C342" s="6"/>
      <c r="D342" s="6"/>
      <c r="E342" s="6"/>
      <c r="F342" s="6"/>
      <c r="G342" s="6"/>
      <c r="H342" s="6"/>
      <c r="I342" s="6"/>
      <c r="J342" s="6"/>
      <c r="K342" s="179"/>
      <c r="L342" s="179"/>
      <c r="M342" s="6"/>
      <c r="N342" s="179"/>
      <c r="O342" s="6"/>
      <c r="P342" s="6"/>
      <c r="Q342" s="179"/>
      <c r="R342" s="54"/>
      <c r="S342" s="54"/>
    </row>
    <row r="343" spans="1:19" ht="12.75">
      <c r="A343" s="6"/>
      <c r="B343" s="6"/>
      <c r="C343" s="6"/>
      <c r="D343" s="6"/>
      <c r="E343" s="6"/>
      <c r="F343" s="6"/>
      <c r="G343" s="6"/>
      <c r="H343" s="6"/>
      <c r="I343" s="6"/>
      <c r="J343" s="6"/>
      <c r="K343" s="179"/>
      <c r="L343" s="179"/>
      <c r="M343" s="6"/>
      <c r="N343" s="179"/>
      <c r="O343" s="6"/>
      <c r="P343" s="6"/>
      <c r="Q343" s="179"/>
      <c r="R343" s="54"/>
      <c r="S343" s="54"/>
    </row>
    <row r="344" spans="1:19" ht="12.75">
      <c r="A344" s="6"/>
      <c r="B344" s="6"/>
      <c r="C344" s="6"/>
      <c r="D344" s="6"/>
      <c r="E344" s="6"/>
      <c r="F344" s="6"/>
      <c r="G344" s="6"/>
      <c r="H344" s="6"/>
      <c r="I344" s="6"/>
      <c r="J344" s="6"/>
      <c r="K344" s="179"/>
      <c r="L344" s="179"/>
      <c r="M344" s="6"/>
      <c r="N344" s="179"/>
      <c r="O344" s="6"/>
      <c r="P344" s="6"/>
      <c r="Q344" s="179"/>
      <c r="R344" s="54"/>
      <c r="S344" s="54"/>
    </row>
    <row r="345" spans="1:19" ht="12.75">
      <c r="A345" s="6"/>
      <c r="B345" s="6"/>
      <c r="C345" s="6"/>
      <c r="D345" s="6"/>
      <c r="E345" s="6"/>
      <c r="F345" s="6"/>
      <c r="G345" s="6"/>
      <c r="H345" s="6"/>
      <c r="I345" s="6"/>
      <c r="J345" s="6"/>
      <c r="K345" s="179"/>
      <c r="L345" s="179"/>
      <c r="M345" s="6"/>
      <c r="N345" s="179"/>
      <c r="O345" s="6"/>
      <c r="P345" s="6"/>
      <c r="Q345" s="179"/>
      <c r="R345" s="54"/>
      <c r="S345" s="54"/>
    </row>
    <row r="346" spans="1:19" ht="12.75">
      <c r="A346" s="6"/>
      <c r="B346" s="6"/>
      <c r="C346" s="6"/>
      <c r="D346" s="6"/>
      <c r="E346" s="6"/>
      <c r="F346" s="6"/>
      <c r="G346" s="6"/>
      <c r="H346" s="6"/>
      <c r="I346" s="6"/>
      <c r="J346" s="6"/>
      <c r="K346" s="179"/>
      <c r="L346" s="179"/>
      <c r="M346" s="6"/>
      <c r="N346" s="179"/>
      <c r="O346" s="6"/>
      <c r="P346" s="6"/>
      <c r="Q346" s="179"/>
      <c r="R346" s="54"/>
      <c r="S346" s="54"/>
    </row>
    <row r="347" spans="1:19" ht="12.75">
      <c r="A347" s="6"/>
      <c r="B347" s="6"/>
      <c r="C347" s="6"/>
      <c r="D347" s="6"/>
      <c r="E347" s="6"/>
      <c r="F347" s="6"/>
      <c r="G347" s="6"/>
      <c r="H347" s="6"/>
      <c r="I347" s="6"/>
      <c r="J347" s="6"/>
      <c r="K347" s="179"/>
      <c r="L347" s="179"/>
      <c r="M347" s="6"/>
      <c r="N347" s="179"/>
      <c r="O347" s="6"/>
      <c r="P347" s="6"/>
      <c r="Q347" s="179"/>
      <c r="R347" s="54"/>
      <c r="S347" s="54"/>
    </row>
    <row r="348" spans="1:19" ht="12.75">
      <c r="A348" s="6"/>
      <c r="B348" s="6"/>
      <c r="C348" s="6"/>
      <c r="D348" s="6"/>
      <c r="E348" s="6"/>
      <c r="F348" s="6"/>
      <c r="G348" s="6"/>
      <c r="H348" s="6"/>
      <c r="I348" s="6"/>
      <c r="J348" s="6"/>
      <c r="K348" s="179"/>
      <c r="L348" s="179"/>
      <c r="M348" s="6"/>
      <c r="N348" s="179"/>
      <c r="O348" s="6"/>
      <c r="P348" s="6"/>
      <c r="Q348" s="179"/>
      <c r="R348" s="54"/>
      <c r="S348" s="54"/>
    </row>
    <row r="349" spans="1:19" ht="12.75">
      <c r="A349" s="6"/>
      <c r="B349" s="6"/>
      <c r="C349" s="6"/>
      <c r="D349" s="6"/>
      <c r="E349" s="6"/>
      <c r="F349" s="6"/>
      <c r="G349" s="6"/>
      <c r="H349" s="6"/>
      <c r="I349" s="6"/>
      <c r="J349" s="6"/>
      <c r="K349" s="179"/>
      <c r="L349" s="179"/>
      <c r="M349" s="6"/>
      <c r="N349" s="179"/>
      <c r="O349" s="6"/>
      <c r="P349" s="6"/>
      <c r="Q349" s="179"/>
      <c r="R349" s="54"/>
      <c r="S349" s="54"/>
    </row>
    <row r="350" spans="1:19" ht="12.75">
      <c r="A350" s="6"/>
      <c r="B350" s="6"/>
      <c r="C350" s="6"/>
      <c r="D350" s="6"/>
      <c r="E350" s="6"/>
      <c r="F350" s="6"/>
      <c r="G350" s="6"/>
      <c r="H350" s="6"/>
      <c r="I350" s="6"/>
      <c r="J350" s="6"/>
      <c r="K350" s="179"/>
      <c r="L350" s="179"/>
      <c r="M350" s="6"/>
      <c r="N350" s="179"/>
      <c r="O350" s="6"/>
      <c r="P350" s="6"/>
      <c r="Q350" s="179"/>
      <c r="R350" s="54"/>
      <c r="S350" s="54"/>
    </row>
    <row r="351" spans="1:19" ht="12.75">
      <c r="A351" s="6"/>
      <c r="B351" s="6"/>
      <c r="C351" s="6"/>
      <c r="D351" s="6"/>
      <c r="E351" s="6"/>
      <c r="F351" s="6"/>
      <c r="G351" s="6"/>
      <c r="H351" s="6"/>
      <c r="I351" s="6"/>
      <c r="J351" s="6"/>
      <c r="K351" s="179"/>
      <c r="L351" s="179"/>
      <c r="M351" s="6"/>
      <c r="N351" s="179"/>
      <c r="O351" s="6"/>
      <c r="P351" s="6"/>
      <c r="Q351" s="179"/>
      <c r="R351" s="54"/>
      <c r="S351" s="54"/>
    </row>
    <row r="352" spans="1:19" ht="12.75">
      <c r="A352" s="6"/>
      <c r="B352" s="6"/>
      <c r="C352" s="6"/>
      <c r="D352" s="6"/>
      <c r="E352" s="6"/>
      <c r="F352" s="6"/>
      <c r="G352" s="6"/>
      <c r="H352" s="6"/>
      <c r="I352" s="6"/>
      <c r="J352" s="6"/>
      <c r="K352" s="179"/>
      <c r="L352" s="179"/>
      <c r="M352" s="6"/>
      <c r="N352" s="179"/>
      <c r="O352" s="6"/>
      <c r="P352" s="6"/>
      <c r="Q352" s="179"/>
      <c r="R352" s="54"/>
      <c r="S352" s="54"/>
    </row>
    <row r="353" spans="1:19" ht="12.75">
      <c r="A353" s="6"/>
      <c r="B353" s="6"/>
      <c r="C353" s="6"/>
      <c r="D353" s="6"/>
      <c r="E353" s="6"/>
      <c r="F353" s="6"/>
      <c r="G353" s="6"/>
      <c r="H353" s="6"/>
      <c r="I353" s="6"/>
      <c r="J353" s="6"/>
      <c r="K353" s="179"/>
      <c r="L353" s="179"/>
      <c r="M353" s="6"/>
      <c r="N353" s="179"/>
      <c r="O353" s="6"/>
      <c r="P353" s="6"/>
      <c r="Q353" s="179"/>
      <c r="R353" s="54"/>
      <c r="S353" s="54"/>
    </row>
    <row r="354" spans="1:19" ht="12.75">
      <c r="A354" s="6"/>
      <c r="B354" s="6"/>
      <c r="C354" s="6"/>
      <c r="D354" s="6"/>
      <c r="E354" s="6"/>
      <c r="F354" s="6"/>
      <c r="G354" s="6"/>
      <c r="H354" s="6"/>
      <c r="I354" s="6"/>
      <c r="J354" s="6"/>
      <c r="K354" s="179"/>
      <c r="L354" s="179"/>
      <c r="M354" s="6"/>
      <c r="N354" s="179"/>
      <c r="O354" s="6"/>
      <c r="P354" s="6"/>
      <c r="Q354" s="179"/>
      <c r="R354" s="54"/>
      <c r="S354" s="54"/>
    </row>
    <row r="355" spans="1:19" ht="12.75">
      <c r="A355" s="6"/>
      <c r="B355" s="6"/>
      <c r="C355" s="6"/>
      <c r="D355" s="6"/>
      <c r="E355" s="6"/>
      <c r="F355" s="6"/>
      <c r="G355" s="6"/>
      <c r="H355" s="6"/>
      <c r="I355" s="6"/>
      <c r="J355" s="6"/>
      <c r="K355" s="179"/>
      <c r="L355" s="179"/>
      <c r="M355" s="6"/>
      <c r="N355" s="179"/>
      <c r="O355" s="6"/>
      <c r="P355" s="6"/>
      <c r="Q355" s="179"/>
      <c r="R355" s="54"/>
      <c r="S355" s="54"/>
    </row>
    <row r="356" spans="1:19" ht="12.75">
      <c r="A356" s="6"/>
      <c r="B356" s="6"/>
      <c r="C356" s="6"/>
      <c r="D356" s="6"/>
      <c r="E356" s="6"/>
      <c r="F356" s="6"/>
      <c r="G356" s="6"/>
      <c r="H356" s="6"/>
      <c r="I356" s="6"/>
      <c r="J356" s="6"/>
      <c r="K356" s="179"/>
      <c r="L356" s="179"/>
      <c r="M356" s="6"/>
      <c r="N356" s="179"/>
      <c r="O356" s="6"/>
      <c r="P356" s="6"/>
      <c r="Q356" s="179"/>
      <c r="R356" s="54"/>
      <c r="S356" s="54"/>
    </row>
    <row r="357" spans="1:19" ht="12.75">
      <c r="A357" s="6"/>
      <c r="B357" s="6"/>
      <c r="C357" s="6"/>
      <c r="D357" s="6"/>
      <c r="E357" s="6"/>
      <c r="F357" s="6"/>
      <c r="G357" s="6"/>
      <c r="H357" s="6"/>
      <c r="I357" s="6"/>
      <c r="J357" s="6"/>
      <c r="K357" s="179"/>
      <c r="L357" s="179"/>
      <c r="M357" s="6"/>
      <c r="N357" s="179"/>
      <c r="O357" s="6"/>
      <c r="P357" s="6"/>
      <c r="Q357" s="179"/>
      <c r="R357" s="54"/>
      <c r="S357" s="54"/>
    </row>
    <row r="358" spans="1:19" ht="12.75">
      <c r="A358" s="6"/>
      <c r="B358" s="6"/>
      <c r="C358" s="6"/>
      <c r="D358" s="6"/>
      <c r="E358" s="6"/>
      <c r="F358" s="6"/>
      <c r="G358" s="6"/>
      <c r="H358" s="6"/>
      <c r="I358" s="6"/>
      <c r="J358" s="6"/>
      <c r="K358" s="179"/>
      <c r="L358" s="179"/>
      <c r="M358" s="6"/>
      <c r="N358" s="179"/>
      <c r="O358" s="6"/>
      <c r="P358" s="6"/>
      <c r="Q358" s="179"/>
      <c r="R358" s="54"/>
      <c r="S358" s="54"/>
    </row>
    <row r="359" spans="1:19" ht="12.75">
      <c r="A359" s="6"/>
      <c r="B359" s="6"/>
      <c r="C359" s="6"/>
      <c r="D359" s="6"/>
      <c r="E359" s="6"/>
      <c r="F359" s="6"/>
      <c r="G359" s="6"/>
      <c r="H359" s="6"/>
      <c r="I359" s="6"/>
      <c r="J359" s="6"/>
      <c r="K359" s="179"/>
      <c r="L359" s="179"/>
      <c r="M359" s="6"/>
      <c r="N359" s="179"/>
      <c r="O359" s="6"/>
      <c r="P359" s="6"/>
      <c r="Q359" s="179"/>
      <c r="R359" s="54"/>
      <c r="S359" s="54"/>
    </row>
    <row r="360" spans="1:19" ht="12.75">
      <c r="A360" s="6"/>
      <c r="B360" s="6"/>
      <c r="C360" s="6"/>
      <c r="D360" s="6"/>
      <c r="E360" s="6"/>
      <c r="F360" s="6"/>
      <c r="G360" s="6"/>
      <c r="H360" s="6"/>
      <c r="I360" s="6"/>
      <c r="J360" s="6"/>
      <c r="K360" s="179"/>
      <c r="L360" s="179"/>
      <c r="M360" s="6"/>
      <c r="N360" s="179"/>
      <c r="O360" s="6"/>
      <c r="P360" s="6"/>
      <c r="Q360" s="179"/>
      <c r="R360" s="54"/>
      <c r="S360" s="54"/>
    </row>
    <row r="361" spans="1:19" ht="12.75">
      <c r="A361" s="6"/>
      <c r="B361" s="6"/>
      <c r="C361" s="6"/>
      <c r="D361" s="6"/>
      <c r="E361" s="6"/>
      <c r="F361" s="6"/>
      <c r="G361" s="6"/>
      <c r="H361" s="6"/>
      <c r="I361" s="6"/>
      <c r="J361" s="6"/>
      <c r="K361" s="179"/>
      <c r="L361" s="179"/>
      <c r="M361" s="6"/>
      <c r="N361" s="179"/>
      <c r="O361" s="6"/>
      <c r="P361" s="6"/>
      <c r="Q361" s="179"/>
      <c r="R361" s="54"/>
      <c r="S361" s="54"/>
    </row>
    <row r="362" spans="1:19" ht="12.75">
      <c r="A362" s="6"/>
      <c r="B362" s="6"/>
      <c r="C362" s="6"/>
      <c r="D362" s="6"/>
      <c r="E362" s="6"/>
      <c r="F362" s="6"/>
      <c r="G362" s="6"/>
      <c r="H362" s="6"/>
      <c r="I362" s="6"/>
      <c r="J362" s="6"/>
      <c r="K362" s="179"/>
      <c r="L362" s="179"/>
      <c r="M362" s="6"/>
      <c r="N362" s="179"/>
      <c r="O362" s="6"/>
      <c r="P362" s="6"/>
      <c r="Q362" s="179"/>
      <c r="R362" s="54"/>
      <c r="S362" s="54"/>
    </row>
    <row r="363" spans="1:19" ht="12.75">
      <c r="A363" s="6"/>
      <c r="B363" s="6"/>
      <c r="C363" s="6"/>
      <c r="D363" s="6"/>
      <c r="E363" s="6"/>
      <c r="F363" s="6"/>
      <c r="G363" s="6"/>
      <c r="H363" s="6"/>
      <c r="I363" s="6"/>
      <c r="J363" s="6"/>
      <c r="K363" s="179"/>
      <c r="L363" s="179"/>
      <c r="M363" s="6"/>
      <c r="N363" s="179"/>
      <c r="O363" s="6"/>
      <c r="P363" s="6"/>
      <c r="Q363" s="179"/>
      <c r="R363" s="54"/>
      <c r="S363" s="54"/>
    </row>
    <row r="364" spans="1:19" ht="12.75">
      <c r="A364" s="6"/>
      <c r="B364" s="6"/>
      <c r="C364" s="6"/>
      <c r="D364" s="6"/>
      <c r="E364" s="6"/>
      <c r="F364" s="6"/>
      <c r="G364" s="6"/>
      <c r="H364" s="6"/>
      <c r="I364" s="6"/>
      <c r="J364" s="6"/>
      <c r="K364" s="179"/>
      <c r="L364" s="179"/>
      <c r="M364" s="6"/>
      <c r="N364" s="179"/>
      <c r="O364" s="6"/>
      <c r="P364" s="6"/>
      <c r="Q364" s="179"/>
      <c r="R364" s="54"/>
      <c r="S364" s="54"/>
    </row>
    <row r="365" spans="1:19" ht="12.75">
      <c r="A365" s="6"/>
      <c r="B365" s="6"/>
      <c r="C365" s="6"/>
      <c r="D365" s="6"/>
      <c r="E365" s="6"/>
      <c r="F365" s="6"/>
      <c r="G365" s="6"/>
      <c r="H365" s="6"/>
      <c r="I365" s="6"/>
      <c r="J365" s="6"/>
      <c r="K365" s="179"/>
      <c r="L365" s="179"/>
      <c r="M365" s="6"/>
      <c r="N365" s="179"/>
      <c r="O365" s="6"/>
      <c r="P365" s="6"/>
      <c r="Q365" s="179"/>
      <c r="R365" s="54"/>
      <c r="S365" s="54"/>
    </row>
    <row r="366" spans="1:19" ht="12.75">
      <c r="A366" s="6"/>
      <c r="B366" s="6"/>
      <c r="C366" s="6"/>
      <c r="D366" s="6"/>
      <c r="E366" s="6"/>
      <c r="F366" s="6"/>
      <c r="G366" s="6"/>
      <c r="H366" s="6"/>
      <c r="I366" s="6"/>
      <c r="J366" s="6"/>
      <c r="K366" s="179"/>
      <c r="L366" s="179"/>
      <c r="M366" s="6"/>
      <c r="N366" s="179"/>
      <c r="O366" s="6"/>
      <c r="P366" s="6"/>
      <c r="Q366" s="179"/>
      <c r="R366" s="54"/>
      <c r="S366" s="54"/>
    </row>
    <row r="367" spans="1:19" ht="12.75">
      <c r="A367" s="6"/>
      <c r="B367" s="6"/>
      <c r="C367" s="6"/>
      <c r="D367" s="6"/>
      <c r="E367" s="6"/>
      <c r="F367" s="6"/>
      <c r="G367" s="6"/>
      <c r="H367" s="6"/>
      <c r="I367" s="6"/>
      <c r="J367" s="6"/>
      <c r="K367" s="179"/>
      <c r="L367" s="179"/>
      <c r="M367" s="6"/>
      <c r="N367" s="179"/>
      <c r="O367" s="6"/>
      <c r="P367" s="6"/>
      <c r="Q367" s="179"/>
      <c r="R367" s="54"/>
      <c r="S367" s="54"/>
    </row>
    <row r="368" spans="1:19" ht="12.75">
      <c r="A368" s="6"/>
      <c r="B368" s="6"/>
      <c r="C368" s="6"/>
      <c r="D368" s="6"/>
      <c r="E368" s="6"/>
      <c r="F368" s="6"/>
      <c r="G368" s="6"/>
      <c r="H368" s="6"/>
      <c r="I368" s="6"/>
      <c r="J368" s="6"/>
      <c r="K368" s="179"/>
      <c r="L368" s="179"/>
      <c r="M368" s="6"/>
      <c r="N368" s="179"/>
      <c r="O368" s="6"/>
      <c r="P368" s="6"/>
      <c r="Q368" s="179"/>
      <c r="R368" s="54"/>
      <c r="S368" s="54"/>
    </row>
    <row r="369" spans="1:19" ht="12.75">
      <c r="A369" s="6"/>
      <c r="B369" s="6"/>
      <c r="C369" s="6"/>
      <c r="D369" s="6"/>
      <c r="E369" s="6"/>
      <c r="F369" s="6"/>
      <c r="G369" s="6"/>
      <c r="H369" s="6"/>
      <c r="I369" s="6"/>
      <c r="J369" s="6"/>
      <c r="K369" s="179"/>
      <c r="L369" s="179"/>
      <c r="M369" s="6"/>
      <c r="N369" s="179"/>
      <c r="O369" s="6"/>
      <c r="P369" s="6"/>
      <c r="Q369" s="179"/>
      <c r="R369" s="54"/>
      <c r="S369" s="54"/>
    </row>
    <row r="370" spans="1:19" ht="12.75">
      <c r="A370" s="6"/>
      <c r="B370" s="6"/>
      <c r="C370" s="6"/>
      <c r="D370" s="6"/>
      <c r="E370" s="6"/>
      <c r="F370" s="6"/>
      <c r="G370" s="6"/>
      <c r="H370" s="6"/>
      <c r="I370" s="6"/>
      <c r="J370" s="6"/>
      <c r="K370" s="179"/>
      <c r="L370" s="179"/>
      <c r="M370" s="6"/>
      <c r="N370" s="179"/>
      <c r="O370" s="6"/>
      <c r="P370" s="6"/>
      <c r="Q370" s="179"/>
      <c r="R370" s="54"/>
      <c r="S370" s="54"/>
    </row>
    <row r="371" spans="1:19" ht="12.75">
      <c r="A371" s="6"/>
      <c r="B371" s="6"/>
      <c r="C371" s="6"/>
      <c r="D371" s="6"/>
      <c r="E371" s="6"/>
      <c r="F371" s="6"/>
      <c r="G371" s="6"/>
      <c r="H371" s="6"/>
      <c r="I371" s="6"/>
      <c r="J371" s="6"/>
      <c r="K371" s="179"/>
      <c r="L371" s="179"/>
      <c r="M371" s="6"/>
      <c r="N371" s="179"/>
      <c r="O371" s="6"/>
      <c r="P371" s="6"/>
      <c r="Q371" s="179"/>
      <c r="R371" s="54"/>
      <c r="S371" s="54"/>
    </row>
    <row r="372" spans="1:19" ht="12.75">
      <c r="A372" s="6"/>
      <c r="B372" s="6"/>
      <c r="C372" s="6"/>
      <c r="D372" s="6"/>
      <c r="E372" s="6"/>
      <c r="F372" s="6"/>
      <c r="G372" s="6"/>
      <c r="H372" s="6"/>
      <c r="I372" s="6"/>
      <c r="J372" s="6"/>
      <c r="K372" s="179"/>
      <c r="L372" s="179"/>
      <c r="M372" s="6"/>
      <c r="N372" s="179"/>
      <c r="O372" s="6"/>
      <c r="P372" s="6"/>
      <c r="Q372" s="179"/>
      <c r="R372" s="54"/>
      <c r="S372" s="54"/>
    </row>
    <row r="373" spans="1:19" ht="12.75">
      <c r="A373" s="6"/>
      <c r="B373" s="6"/>
      <c r="C373" s="6"/>
      <c r="D373" s="6"/>
      <c r="E373" s="6"/>
      <c r="F373" s="6"/>
      <c r="G373" s="6"/>
      <c r="H373" s="6"/>
      <c r="I373" s="6"/>
      <c r="J373" s="6"/>
      <c r="K373" s="179"/>
      <c r="L373" s="179"/>
      <c r="M373" s="6"/>
      <c r="N373" s="179"/>
      <c r="O373" s="6"/>
      <c r="P373" s="6"/>
      <c r="Q373" s="179"/>
      <c r="R373" s="54"/>
      <c r="S373" s="54"/>
    </row>
    <row r="374" spans="1:19" ht="12.75">
      <c r="A374" s="6"/>
      <c r="B374" s="6"/>
      <c r="C374" s="6"/>
      <c r="D374" s="6"/>
      <c r="E374" s="6"/>
      <c r="F374" s="6"/>
      <c r="G374" s="6"/>
      <c r="H374" s="6"/>
      <c r="I374" s="6"/>
      <c r="J374" s="6"/>
      <c r="K374" s="179"/>
      <c r="L374" s="179"/>
      <c r="M374" s="6"/>
      <c r="N374" s="179"/>
      <c r="O374" s="6"/>
      <c r="P374" s="6"/>
      <c r="Q374" s="179"/>
      <c r="R374" s="54"/>
      <c r="S374" s="54"/>
    </row>
    <row r="375" spans="1:19" ht="12.75">
      <c r="A375" s="6"/>
      <c r="B375" s="6"/>
      <c r="C375" s="6"/>
      <c r="D375" s="6"/>
      <c r="E375" s="6"/>
      <c r="F375" s="6"/>
      <c r="G375" s="6"/>
      <c r="H375" s="6"/>
      <c r="I375" s="6"/>
      <c r="J375" s="6"/>
      <c r="K375" s="179"/>
      <c r="L375" s="179"/>
      <c r="M375" s="6"/>
      <c r="N375" s="179"/>
      <c r="O375" s="6"/>
      <c r="P375" s="6"/>
      <c r="Q375" s="179"/>
      <c r="R375" s="54"/>
      <c r="S375" s="54"/>
    </row>
    <row r="376" spans="1:19" ht="12.75">
      <c r="A376" s="6"/>
      <c r="B376" s="6"/>
      <c r="C376" s="6"/>
      <c r="D376" s="6"/>
      <c r="E376" s="6"/>
      <c r="F376" s="6"/>
      <c r="G376" s="6"/>
      <c r="H376" s="6"/>
      <c r="I376" s="6"/>
      <c r="J376" s="6"/>
      <c r="K376" s="179"/>
      <c r="L376" s="179"/>
      <c r="M376" s="6"/>
      <c r="N376" s="179"/>
      <c r="O376" s="6"/>
      <c r="P376" s="6"/>
      <c r="Q376" s="179"/>
      <c r="R376" s="54"/>
      <c r="S376" s="54"/>
    </row>
    <row r="377" spans="1:19" ht="12.75">
      <c r="A377" s="6"/>
      <c r="B377" s="6"/>
      <c r="C377" s="6"/>
      <c r="D377" s="6"/>
      <c r="E377" s="6"/>
      <c r="F377" s="6"/>
      <c r="G377" s="6"/>
      <c r="H377" s="6"/>
      <c r="I377" s="6"/>
      <c r="J377" s="6"/>
      <c r="K377" s="179"/>
      <c r="L377" s="179"/>
      <c r="M377" s="6"/>
      <c r="N377" s="179"/>
      <c r="O377" s="6"/>
      <c r="P377" s="6"/>
      <c r="Q377" s="179"/>
      <c r="R377" s="54"/>
      <c r="S377" s="54"/>
    </row>
    <row r="378" spans="1:19" ht="12.75">
      <c r="A378" s="6"/>
      <c r="B378" s="6"/>
      <c r="C378" s="6"/>
      <c r="D378" s="6"/>
      <c r="E378" s="6"/>
      <c r="F378" s="6"/>
      <c r="G378" s="6"/>
      <c r="H378" s="6"/>
      <c r="I378" s="6"/>
      <c r="J378" s="6"/>
      <c r="K378" s="179"/>
      <c r="L378" s="179"/>
      <c r="M378" s="6"/>
      <c r="N378" s="179"/>
      <c r="O378" s="6"/>
      <c r="P378" s="6"/>
      <c r="Q378" s="179"/>
      <c r="R378" s="54"/>
      <c r="S378" s="54"/>
    </row>
    <row r="379" spans="1:19" ht="12.75">
      <c r="A379" s="6"/>
      <c r="B379" s="6"/>
      <c r="C379" s="6"/>
      <c r="D379" s="6"/>
      <c r="E379" s="6"/>
      <c r="F379" s="6"/>
      <c r="G379" s="6"/>
      <c r="H379" s="6"/>
      <c r="I379" s="6"/>
      <c r="J379" s="6"/>
      <c r="K379" s="179"/>
      <c r="L379" s="179"/>
      <c r="M379" s="6"/>
      <c r="N379" s="179"/>
      <c r="O379" s="6"/>
      <c r="P379" s="6"/>
      <c r="Q379" s="179"/>
      <c r="R379" s="54"/>
      <c r="S379" s="54"/>
    </row>
    <row r="380" spans="1:19" ht="12.75">
      <c r="A380" s="6"/>
      <c r="B380" s="6"/>
      <c r="C380" s="6"/>
      <c r="D380" s="6"/>
      <c r="E380" s="6"/>
      <c r="F380" s="6"/>
      <c r="G380" s="6"/>
      <c r="H380" s="6"/>
      <c r="I380" s="6"/>
      <c r="J380" s="6"/>
      <c r="K380" s="179"/>
      <c r="L380" s="179"/>
      <c r="M380" s="6"/>
      <c r="N380" s="179"/>
      <c r="O380" s="6"/>
      <c r="P380" s="6"/>
      <c r="Q380" s="179"/>
      <c r="R380" s="54"/>
      <c r="S380" s="54"/>
    </row>
    <row r="381" spans="1:19" ht="12.75">
      <c r="A381" s="6"/>
      <c r="B381" s="6"/>
      <c r="C381" s="6"/>
      <c r="D381" s="6"/>
      <c r="E381" s="6"/>
      <c r="F381" s="6"/>
      <c r="G381" s="6"/>
      <c r="H381" s="6"/>
      <c r="I381" s="6"/>
      <c r="J381" s="6"/>
      <c r="K381" s="179"/>
      <c r="L381" s="179"/>
      <c r="M381" s="6"/>
      <c r="N381" s="179"/>
      <c r="O381" s="6"/>
      <c r="P381" s="6"/>
      <c r="Q381" s="179"/>
      <c r="R381" s="54"/>
      <c r="S381" s="54"/>
    </row>
    <row r="382" spans="1:19" ht="12.75">
      <c r="A382" s="6"/>
      <c r="B382" s="6"/>
      <c r="C382" s="6"/>
      <c r="D382" s="6"/>
      <c r="E382" s="6"/>
      <c r="F382" s="6"/>
      <c r="G382" s="6"/>
      <c r="H382" s="6"/>
      <c r="I382" s="6"/>
      <c r="J382" s="6"/>
      <c r="K382" s="179"/>
      <c r="L382" s="179"/>
      <c r="M382" s="6"/>
      <c r="N382" s="179"/>
      <c r="O382" s="6"/>
      <c r="P382" s="6"/>
      <c r="Q382" s="179"/>
      <c r="R382" s="54"/>
      <c r="S382" s="54"/>
    </row>
    <row r="383" spans="1:19" ht="12.75">
      <c r="A383" s="6"/>
      <c r="B383" s="6"/>
      <c r="C383" s="6"/>
      <c r="D383" s="6"/>
      <c r="E383" s="6"/>
      <c r="F383" s="6"/>
      <c r="G383" s="6"/>
      <c r="H383" s="6"/>
      <c r="I383" s="6"/>
      <c r="J383" s="6"/>
      <c r="K383" s="179"/>
      <c r="L383" s="179"/>
      <c r="M383" s="6"/>
      <c r="N383" s="179"/>
      <c r="O383" s="6"/>
      <c r="P383" s="6"/>
      <c r="Q383" s="179"/>
      <c r="R383" s="54"/>
      <c r="S383" s="54"/>
    </row>
    <row r="384" spans="1:19" ht="12.75">
      <c r="A384" s="6"/>
      <c r="B384" s="6"/>
      <c r="C384" s="6"/>
      <c r="D384" s="6"/>
      <c r="E384" s="6"/>
      <c r="F384" s="6"/>
      <c r="G384" s="6"/>
      <c r="H384" s="6"/>
      <c r="I384" s="6"/>
      <c r="J384" s="6"/>
      <c r="K384" s="179"/>
      <c r="L384" s="179"/>
      <c r="M384" s="6"/>
      <c r="N384" s="179"/>
      <c r="O384" s="6"/>
      <c r="P384" s="6"/>
      <c r="Q384" s="179"/>
      <c r="R384" s="54"/>
      <c r="S384" s="54"/>
    </row>
    <row r="385" spans="1:19" ht="12.75">
      <c r="A385" s="6"/>
      <c r="B385" s="6"/>
      <c r="C385" s="6"/>
      <c r="D385" s="6"/>
      <c r="E385" s="6"/>
      <c r="F385" s="6"/>
      <c r="G385" s="6"/>
      <c r="H385" s="6"/>
      <c r="I385" s="6"/>
      <c r="J385" s="6"/>
      <c r="K385" s="179"/>
      <c r="L385" s="179"/>
      <c r="M385" s="6"/>
      <c r="N385" s="179"/>
      <c r="O385" s="6"/>
      <c r="P385" s="6"/>
      <c r="Q385" s="179"/>
      <c r="R385" s="54"/>
      <c r="S385" s="54"/>
    </row>
    <row r="386" spans="1:19" ht="12.75">
      <c r="A386" s="6"/>
      <c r="B386" s="6"/>
      <c r="C386" s="6"/>
      <c r="D386" s="6"/>
      <c r="E386" s="6"/>
      <c r="F386" s="6"/>
      <c r="G386" s="6"/>
      <c r="H386" s="6"/>
      <c r="I386" s="6"/>
      <c r="J386" s="6"/>
      <c r="K386" s="179"/>
      <c r="L386" s="179"/>
      <c r="M386" s="6"/>
      <c r="N386" s="179"/>
      <c r="O386" s="6"/>
      <c r="P386" s="6"/>
      <c r="Q386" s="179"/>
      <c r="R386" s="54"/>
      <c r="S386" s="54"/>
    </row>
    <row r="387" spans="1:19" ht="12.75">
      <c r="A387" s="6"/>
      <c r="B387" s="6"/>
      <c r="C387" s="6"/>
      <c r="D387" s="6"/>
      <c r="E387" s="6"/>
      <c r="F387" s="6"/>
      <c r="G387" s="6"/>
      <c r="H387" s="6"/>
      <c r="I387" s="6"/>
      <c r="J387" s="6"/>
      <c r="K387" s="179"/>
      <c r="L387" s="179"/>
      <c r="M387" s="6"/>
      <c r="N387" s="179"/>
      <c r="O387" s="6"/>
      <c r="P387" s="6"/>
      <c r="Q387" s="179"/>
      <c r="R387" s="54"/>
      <c r="S387" s="54"/>
    </row>
    <row r="388" spans="1:19" ht="12.75">
      <c r="A388" s="6"/>
      <c r="B388" s="6"/>
      <c r="C388" s="6"/>
      <c r="D388" s="6"/>
      <c r="E388" s="6"/>
      <c r="F388" s="6"/>
      <c r="G388" s="6"/>
      <c r="H388" s="6"/>
      <c r="I388" s="6"/>
      <c r="J388" s="6"/>
      <c r="K388" s="179"/>
      <c r="L388" s="179"/>
      <c r="M388" s="6"/>
      <c r="N388" s="179"/>
      <c r="O388" s="6"/>
      <c r="P388" s="6"/>
      <c r="Q388" s="179"/>
      <c r="R388" s="54"/>
      <c r="S388" s="54"/>
    </row>
    <row r="389" spans="1:19" ht="12.75">
      <c r="A389" s="6"/>
      <c r="B389" s="6"/>
      <c r="C389" s="6"/>
      <c r="D389" s="6"/>
      <c r="E389" s="6"/>
      <c r="F389" s="6"/>
      <c r="G389" s="6"/>
      <c r="H389" s="6"/>
      <c r="I389" s="6"/>
      <c r="J389" s="6"/>
      <c r="K389" s="179"/>
      <c r="L389" s="179"/>
      <c r="M389" s="6"/>
      <c r="N389" s="179"/>
      <c r="O389" s="6"/>
      <c r="P389" s="6"/>
      <c r="Q389" s="179"/>
      <c r="R389" s="54"/>
      <c r="S389" s="54"/>
    </row>
    <row r="390" spans="1:19" ht="12.75">
      <c r="A390" s="6"/>
      <c r="B390" s="6"/>
      <c r="C390" s="6"/>
      <c r="D390" s="6"/>
      <c r="E390" s="6"/>
      <c r="F390" s="6"/>
      <c r="G390" s="6"/>
      <c r="H390" s="6"/>
      <c r="I390" s="6"/>
      <c r="J390" s="6"/>
      <c r="K390" s="179"/>
      <c r="L390" s="179"/>
      <c r="M390" s="6"/>
      <c r="N390" s="179"/>
      <c r="O390" s="6"/>
      <c r="P390" s="6"/>
      <c r="Q390" s="179"/>
      <c r="R390" s="54"/>
      <c r="S390" s="54"/>
    </row>
    <row r="391" spans="1:19" ht="12.75">
      <c r="A391" s="6"/>
      <c r="B391" s="6"/>
      <c r="C391" s="6"/>
      <c r="D391" s="6"/>
      <c r="E391" s="6"/>
      <c r="F391" s="6"/>
      <c r="G391" s="6"/>
      <c r="H391" s="6"/>
      <c r="I391" s="6"/>
      <c r="J391" s="6"/>
      <c r="K391" s="179"/>
      <c r="L391" s="179"/>
      <c r="M391" s="6"/>
      <c r="N391" s="179"/>
      <c r="O391" s="6"/>
      <c r="P391" s="6"/>
      <c r="Q391" s="179"/>
      <c r="R391" s="54"/>
      <c r="S391" s="54"/>
    </row>
    <row r="392" spans="1:19" ht="12.75">
      <c r="A392" s="6"/>
      <c r="B392" s="6"/>
      <c r="C392" s="6"/>
      <c r="D392" s="6"/>
      <c r="E392" s="6"/>
      <c r="F392" s="6"/>
      <c r="G392" s="6"/>
      <c r="H392" s="6"/>
      <c r="I392" s="6"/>
      <c r="J392" s="6"/>
      <c r="K392" s="179"/>
      <c r="L392" s="179"/>
      <c r="M392" s="6"/>
      <c r="N392" s="179"/>
      <c r="O392" s="6"/>
      <c r="P392" s="6"/>
      <c r="Q392" s="179"/>
      <c r="R392" s="54"/>
      <c r="S392" s="54"/>
    </row>
    <row r="393" spans="1:19" ht="12.75">
      <c r="A393" s="6"/>
      <c r="B393" s="6"/>
      <c r="C393" s="6"/>
      <c r="D393" s="6"/>
      <c r="E393" s="6"/>
      <c r="F393" s="6"/>
      <c r="G393" s="6"/>
      <c r="H393" s="6"/>
      <c r="I393" s="6"/>
      <c r="J393" s="6"/>
      <c r="K393" s="179"/>
      <c r="L393" s="179"/>
      <c r="M393" s="6"/>
      <c r="N393" s="179"/>
      <c r="O393" s="6"/>
      <c r="P393" s="6"/>
      <c r="Q393" s="179"/>
      <c r="R393" s="54"/>
      <c r="S393" s="54"/>
    </row>
    <row r="394" spans="1:19" ht="12.75">
      <c r="A394" s="6"/>
      <c r="B394" s="6"/>
      <c r="C394" s="6"/>
      <c r="D394" s="6"/>
      <c r="E394" s="6"/>
      <c r="F394" s="6"/>
      <c r="G394" s="6"/>
      <c r="H394" s="6"/>
      <c r="I394" s="6"/>
      <c r="J394" s="6"/>
      <c r="K394" s="179"/>
      <c r="L394" s="179"/>
      <c r="M394" s="6"/>
      <c r="N394" s="179"/>
      <c r="O394" s="6"/>
      <c r="P394" s="6"/>
      <c r="Q394" s="179"/>
      <c r="R394" s="54"/>
      <c r="S394" s="54"/>
    </row>
    <row r="395" spans="1:19" ht="12.75">
      <c r="A395" s="6"/>
      <c r="B395" s="6"/>
      <c r="C395" s="6"/>
      <c r="D395" s="6"/>
      <c r="E395" s="6"/>
      <c r="F395" s="6"/>
      <c r="G395" s="6"/>
      <c r="H395" s="6"/>
      <c r="I395" s="6"/>
      <c r="J395" s="6"/>
      <c r="K395" s="179"/>
      <c r="L395" s="179"/>
      <c r="M395" s="6"/>
      <c r="N395" s="179"/>
      <c r="O395" s="6"/>
      <c r="P395" s="6"/>
      <c r="Q395" s="179"/>
      <c r="R395" s="54"/>
      <c r="S395" s="54"/>
    </row>
    <row r="396" spans="1:19" ht="12.75">
      <c r="A396" s="6"/>
      <c r="B396" s="6"/>
      <c r="C396" s="6"/>
      <c r="D396" s="6"/>
      <c r="E396" s="6"/>
      <c r="F396" s="6"/>
      <c r="G396" s="6"/>
      <c r="H396" s="6"/>
      <c r="I396" s="6"/>
      <c r="J396" s="6"/>
      <c r="K396" s="179"/>
      <c r="L396" s="179"/>
      <c r="M396" s="6"/>
      <c r="N396" s="179"/>
      <c r="O396" s="6"/>
      <c r="P396" s="6"/>
      <c r="Q396" s="179"/>
      <c r="R396" s="54"/>
      <c r="S396" s="54"/>
    </row>
    <row r="397" spans="1:19" ht="12.75">
      <c r="A397" s="6"/>
      <c r="B397" s="6"/>
      <c r="C397" s="6"/>
      <c r="D397" s="6"/>
      <c r="E397" s="6"/>
      <c r="F397" s="6"/>
      <c r="G397" s="6"/>
      <c r="H397" s="6"/>
      <c r="I397" s="6"/>
      <c r="J397" s="6"/>
      <c r="K397" s="179"/>
      <c r="L397" s="179"/>
      <c r="M397" s="6"/>
      <c r="N397" s="179"/>
      <c r="O397" s="6"/>
      <c r="P397" s="6"/>
      <c r="Q397" s="179"/>
      <c r="R397" s="54"/>
      <c r="S397" s="54"/>
    </row>
    <row r="398" spans="1:19" ht="12.75">
      <c r="A398" s="6"/>
      <c r="B398" s="6"/>
      <c r="C398" s="6"/>
      <c r="D398" s="6"/>
      <c r="E398" s="6"/>
      <c r="F398" s="6"/>
      <c r="G398" s="6"/>
      <c r="H398" s="6"/>
      <c r="I398" s="6"/>
      <c r="J398" s="6"/>
      <c r="K398" s="179"/>
      <c r="L398" s="179"/>
      <c r="M398" s="6"/>
      <c r="N398" s="179"/>
      <c r="O398" s="6"/>
      <c r="P398" s="6"/>
      <c r="Q398" s="179"/>
      <c r="R398" s="54"/>
      <c r="S398" s="54"/>
    </row>
    <row r="399" spans="1:19" ht="12.75">
      <c r="A399" s="6"/>
      <c r="B399" s="6"/>
      <c r="C399" s="6"/>
      <c r="D399" s="6"/>
      <c r="E399" s="6"/>
      <c r="F399" s="6"/>
      <c r="G399" s="6"/>
      <c r="H399" s="6"/>
      <c r="I399" s="6"/>
      <c r="J399" s="6"/>
      <c r="K399" s="179"/>
      <c r="L399" s="179"/>
      <c r="M399" s="6"/>
      <c r="N399" s="179"/>
      <c r="O399" s="6"/>
      <c r="P399" s="6"/>
      <c r="Q399" s="179"/>
      <c r="R399" s="54"/>
      <c r="S399" s="54"/>
    </row>
    <row r="400" spans="1:19" ht="12.75">
      <c r="A400" s="6"/>
      <c r="B400" s="6"/>
      <c r="C400" s="6"/>
      <c r="D400" s="6"/>
      <c r="E400" s="6"/>
      <c r="F400" s="6"/>
      <c r="G400" s="6"/>
      <c r="H400" s="6"/>
      <c r="I400" s="6"/>
      <c r="J400" s="6"/>
      <c r="K400" s="179"/>
      <c r="L400" s="179"/>
      <c r="M400" s="6"/>
      <c r="N400" s="179"/>
      <c r="O400" s="6"/>
      <c r="P400" s="6"/>
      <c r="Q400" s="179"/>
      <c r="R400" s="54"/>
      <c r="S400" s="54"/>
    </row>
    <row r="401" spans="1:19" ht="12.75">
      <c r="A401" s="6"/>
      <c r="B401" s="6"/>
      <c r="C401" s="6"/>
      <c r="D401" s="6"/>
      <c r="E401" s="6"/>
      <c r="F401" s="6"/>
      <c r="G401" s="6"/>
      <c r="H401" s="6"/>
      <c r="I401" s="6"/>
      <c r="J401" s="6"/>
      <c r="K401" s="179"/>
      <c r="L401" s="179"/>
      <c r="M401" s="6"/>
      <c r="N401" s="179"/>
      <c r="O401" s="6"/>
      <c r="P401" s="6"/>
      <c r="Q401" s="179"/>
      <c r="R401" s="54"/>
      <c r="S401" s="54"/>
    </row>
    <row r="402" spans="1:19" ht="12.75">
      <c r="A402" s="6"/>
      <c r="B402" s="6"/>
      <c r="C402" s="6"/>
      <c r="D402" s="6"/>
      <c r="E402" s="6"/>
      <c r="F402" s="6"/>
      <c r="G402" s="6"/>
      <c r="H402" s="6"/>
      <c r="I402" s="6"/>
      <c r="J402" s="6"/>
      <c r="K402" s="179"/>
      <c r="L402" s="179"/>
      <c r="M402" s="6"/>
      <c r="N402" s="179"/>
      <c r="O402" s="6"/>
      <c r="P402" s="6"/>
      <c r="Q402" s="179"/>
      <c r="R402" s="54"/>
      <c r="S402" s="54"/>
    </row>
    <row r="403" spans="1:19" ht="12.75">
      <c r="A403" s="6"/>
      <c r="B403" s="6"/>
      <c r="C403" s="6"/>
      <c r="D403" s="6"/>
      <c r="E403" s="6"/>
      <c r="F403" s="6"/>
      <c r="G403" s="6"/>
      <c r="H403" s="6"/>
      <c r="I403" s="6"/>
      <c r="J403" s="6"/>
      <c r="K403" s="179"/>
      <c r="L403" s="179"/>
      <c r="M403" s="6"/>
      <c r="N403" s="179"/>
      <c r="O403" s="6"/>
      <c r="P403" s="6"/>
      <c r="Q403" s="179"/>
      <c r="R403" s="54"/>
      <c r="S403" s="54"/>
    </row>
    <row r="404" spans="1:19" ht="12.75">
      <c r="A404" s="6"/>
      <c r="B404" s="6"/>
      <c r="C404" s="6"/>
      <c r="D404" s="6"/>
      <c r="E404" s="6"/>
      <c r="F404" s="6"/>
      <c r="G404" s="6"/>
      <c r="H404" s="6"/>
      <c r="I404" s="6"/>
      <c r="J404" s="6"/>
      <c r="K404" s="179"/>
      <c r="L404" s="179"/>
      <c r="M404" s="6"/>
      <c r="N404" s="179"/>
      <c r="O404" s="6"/>
      <c r="P404" s="6"/>
      <c r="Q404" s="179"/>
      <c r="R404" s="54"/>
      <c r="S404" s="54"/>
    </row>
    <row r="405" spans="1:19" ht="12.75">
      <c r="A405" s="6"/>
      <c r="B405" s="6"/>
      <c r="C405" s="6"/>
      <c r="D405" s="6"/>
      <c r="E405" s="6"/>
      <c r="F405" s="6"/>
      <c r="G405" s="6"/>
      <c r="H405" s="6"/>
      <c r="I405" s="6"/>
      <c r="J405" s="6"/>
      <c r="K405" s="179"/>
      <c r="L405" s="179"/>
      <c r="M405" s="6"/>
      <c r="N405" s="179"/>
      <c r="O405" s="6"/>
      <c r="P405" s="6"/>
      <c r="Q405" s="179"/>
      <c r="R405" s="54"/>
      <c r="S405" s="54"/>
    </row>
    <row r="406" spans="1:19" ht="12.75">
      <c r="A406" s="6"/>
      <c r="B406" s="6"/>
      <c r="C406" s="6"/>
      <c r="D406" s="6"/>
      <c r="E406" s="6"/>
      <c r="F406" s="6"/>
      <c r="G406" s="6"/>
      <c r="H406" s="6"/>
      <c r="I406" s="6"/>
      <c r="J406" s="6"/>
      <c r="K406" s="179"/>
      <c r="L406" s="179"/>
      <c r="M406" s="6"/>
      <c r="N406" s="179"/>
      <c r="O406" s="6"/>
      <c r="P406" s="6"/>
      <c r="Q406" s="179"/>
      <c r="R406" s="54"/>
      <c r="S406" s="54"/>
    </row>
    <row r="407" spans="1:19" ht="12.75">
      <c r="A407" s="6"/>
      <c r="B407" s="6"/>
      <c r="C407" s="6"/>
      <c r="D407" s="6"/>
      <c r="E407" s="6"/>
      <c r="F407" s="6"/>
      <c r="G407" s="6"/>
      <c r="H407" s="6"/>
      <c r="I407" s="6"/>
      <c r="J407" s="6"/>
      <c r="K407" s="179"/>
      <c r="L407" s="179"/>
      <c r="M407" s="6"/>
      <c r="N407" s="179"/>
      <c r="O407" s="6"/>
      <c r="P407" s="6"/>
      <c r="Q407" s="179"/>
      <c r="R407" s="54"/>
      <c r="S407" s="54"/>
    </row>
    <row r="408" spans="1:19" ht="12.75">
      <c r="A408" s="6"/>
      <c r="B408" s="6"/>
      <c r="C408" s="6"/>
      <c r="D408" s="6"/>
      <c r="E408" s="6"/>
      <c r="F408" s="6"/>
      <c r="G408" s="6"/>
      <c r="H408" s="6"/>
      <c r="I408" s="6"/>
      <c r="J408" s="6"/>
      <c r="K408" s="179"/>
      <c r="L408" s="179"/>
      <c r="M408" s="6"/>
      <c r="N408" s="179"/>
      <c r="O408" s="6"/>
      <c r="P408" s="6"/>
      <c r="Q408" s="179"/>
      <c r="R408" s="54"/>
      <c r="S408" s="54"/>
    </row>
    <row r="409" spans="1:19" ht="12.75">
      <c r="A409" s="6"/>
      <c r="B409" s="6"/>
      <c r="C409" s="6"/>
      <c r="D409" s="6"/>
      <c r="E409" s="6"/>
      <c r="F409" s="6"/>
      <c r="G409" s="6"/>
      <c r="H409" s="6"/>
      <c r="I409" s="6"/>
      <c r="J409" s="6"/>
      <c r="K409" s="179"/>
      <c r="L409" s="179"/>
      <c r="M409" s="6"/>
      <c r="N409" s="179"/>
      <c r="O409" s="6"/>
      <c r="P409" s="6"/>
      <c r="Q409" s="179"/>
      <c r="R409" s="54"/>
      <c r="S409" s="54"/>
    </row>
    <row r="410" spans="1:19" ht="12.75">
      <c r="A410" s="6"/>
      <c r="B410" s="6"/>
      <c r="C410" s="6"/>
      <c r="D410" s="6"/>
      <c r="E410" s="6"/>
      <c r="F410" s="6"/>
      <c r="G410" s="6"/>
      <c r="H410" s="6"/>
      <c r="I410" s="6"/>
      <c r="J410" s="6"/>
      <c r="K410" s="179"/>
      <c r="L410" s="179"/>
      <c r="M410" s="6"/>
      <c r="N410" s="179"/>
      <c r="O410" s="6"/>
      <c r="P410" s="6"/>
      <c r="Q410" s="179"/>
      <c r="R410" s="54"/>
      <c r="S410" s="54"/>
    </row>
    <row r="411" spans="1:19" ht="12.75">
      <c r="A411" s="6"/>
      <c r="B411" s="6"/>
      <c r="C411" s="6"/>
      <c r="D411" s="6"/>
      <c r="E411" s="6"/>
      <c r="F411" s="6"/>
      <c r="G411" s="6"/>
      <c r="H411" s="6"/>
      <c r="I411" s="6"/>
      <c r="J411" s="6"/>
      <c r="K411" s="179"/>
      <c r="L411" s="179"/>
      <c r="M411" s="6"/>
      <c r="N411" s="179"/>
      <c r="O411" s="6"/>
      <c r="P411" s="6"/>
      <c r="Q411" s="179"/>
      <c r="R411" s="54"/>
      <c r="S411" s="54"/>
    </row>
    <row r="412" spans="1:19" ht="12.75">
      <c r="A412" s="6"/>
      <c r="B412" s="6"/>
      <c r="C412" s="6"/>
      <c r="D412" s="6"/>
      <c r="E412" s="6"/>
      <c r="F412" s="6"/>
      <c r="G412" s="6"/>
      <c r="H412" s="6"/>
      <c r="I412" s="6"/>
      <c r="J412" s="6"/>
      <c r="K412" s="179"/>
      <c r="L412" s="179"/>
      <c r="M412" s="6"/>
      <c r="N412" s="179"/>
      <c r="O412" s="6"/>
      <c r="P412" s="6"/>
      <c r="Q412" s="179"/>
      <c r="R412" s="54"/>
      <c r="S412" s="54"/>
    </row>
    <row r="413" spans="1:19" ht="12.75">
      <c r="A413" s="6"/>
      <c r="B413" s="6"/>
      <c r="C413" s="6"/>
      <c r="D413" s="6"/>
      <c r="E413" s="6"/>
      <c r="F413" s="6"/>
      <c r="G413" s="6"/>
      <c r="H413" s="6"/>
      <c r="I413" s="6"/>
      <c r="J413" s="6"/>
      <c r="K413" s="179"/>
      <c r="L413" s="179"/>
      <c r="M413" s="6"/>
      <c r="N413" s="179"/>
      <c r="O413" s="6"/>
      <c r="P413" s="6"/>
      <c r="Q413" s="179"/>
      <c r="R413" s="54"/>
      <c r="S413" s="54"/>
    </row>
    <row r="414" spans="1:19" ht="12.75">
      <c r="A414" s="6"/>
      <c r="B414" s="6"/>
      <c r="C414" s="6"/>
      <c r="D414" s="6"/>
      <c r="E414" s="6"/>
      <c r="F414" s="6"/>
      <c r="G414" s="6"/>
      <c r="H414" s="6"/>
      <c r="I414" s="6"/>
      <c r="J414" s="6"/>
      <c r="K414" s="179"/>
      <c r="L414" s="179"/>
      <c r="M414" s="6"/>
      <c r="N414" s="179"/>
      <c r="O414" s="6"/>
      <c r="P414" s="6"/>
      <c r="Q414" s="179"/>
      <c r="R414" s="54"/>
      <c r="S414" s="54"/>
    </row>
    <row r="415" spans="1:19" ht="12.75">
      <c r="A415" s="6"/>
      <c r="B415" s="6"/>
      <c r="C415" s="6"/>
      <c r="D415" s="6"/>
      <c r="E415" s="6"/>
      <c r="F415" s="6"/>
      <c r="G415" s="6"/>
      <c r="H415" s="6"/>
      <c r="I415" s="6"/>
      <c r="J415" s="6"/>
      <c r="K415" s="179"/>
      <c r="L415" s="179"/>
      <c r="M415" s="6"/>
      <c r="N415" s="179"/>
      <c r="O415" s="6"/>
      <c r="P415" s="6"/>
      <c r="Q415" s="179"/>
      <c r="R415" s="54"/>
      <c r="S415" s="54"/>
    </row>
    <row r="416" spans="1:19" ht="12.75">
      <c r="A416" s="6"/>
      <c r="B416" s="6"/>
      <c r="C416" s="6"/>
      <c r="D416" s="6"/>
      <c r="E416" s="6"/>
      <c r="F416" s="6"/>
      <c r="G416" s="6"/>
      <c r="H416" s="6"/>
      <c r="I416" s="6"/>
      <c r="J416" s="6"/>
      <c r="K416" s="179"/>
      <c r="L416" s="179"/>
      <c r="M416" s="6"/>
      <c r="N416" s="179"/>
      <c r="O416" s="6"/>
      <c r="P416" s="6"/>
      <c r="Q416" s="179"/>
      <c r="R416" s="54"/>
      <c r="S416" s="54"/>
    </row>
    <row r="417" spans="1:19" ht="12.75">
      <c r="A417" s="6"/>
      <c r="B417" s="6"/>
      <c r="C417" s="6"/>
      <c r="D417" s="6"/>
      <c r="E417" s="6"/>
      <c r="F417" s="6"/>
      <c r="G417" s="6"/>
      <c r="H417" s="6"/>
      <c r="I417" s="6"/>
      <c r="J417" s="6"/>
      <c r="K417" s="179"/>
      <c r="L417" s="179"/>
      <c r="M417" s="6"/>
      <c r="N417" s="179"/>
      <c r="O417" s="6"/>
      <c r="P417" s="6"/>
      <c r="Q417" s="179"/>
      <c r="R417" s="54"/>
      <c r="S417" s="54"/>
    </row>
    <row r="418" spans="1:19" ht="12.75">
      <c r="A418" s="6"/>
      <c r="B418" s="6"/>
      <c r="C418" s="6"/>
      <c r="D418" s="6"/>
      <c r="E418" s="6"/>
      <c r="F418" s="6"/>
      <c r="G418" s="6"/>
      <c r="H418" s="6"/>
      <c r="I418" s="6"/>
      <c r="J418" s="6"/>
      <c r="K418" s="179"/>
      <c r="L418" s="179"/>
      <c r="M418" s="6"/>
      <c r="N418" s="179"/>
      <c r="O418" s="6"/>
      <c r="P418" s="6"/>
      <c r="Q418" s="179"/>
      <c r="R418" s="54"/>
      <c r="S418" s="54"/>
    </row>
    <row r="419" spans="1:19" ht="12.75">
      <c r="A419" s="6"/>
      <c r="B419" s="6"/>
      <c r="C419" s="6"/>
      <c r="D419" s="6"/>
      <c r="E419" s="6"/>
      <c r="F419" s="6"/>
      <c r="G419" s="6"/>
      <c r="H419" s="6"/>
      <c r="I419" s="6"/>
      <c r="J419" s="6"/>
      <c r="K419" s="179"/>
      <c r="L419" s="179"/>
      <c r="M419" s="6"/>
      <c r="N419" s="179"/>
      <c r="O419" s="6"/>
      <c r="P419" s="6"/>
      <c r="Q419" s="179"/>
      <c r="R419" s="54"/>
      <c r="S419" s="54"/>
    </row>
    <row r="420" spans="1:19" ht="12.75">
      <c r="A420" s="6"/>
      <c r="B420" s="6"/>
      <c r="C420" s="6"/>
      <c r="D420" s="6"/>
      <c r="E420" s="6"/>
      <c r="F420" s="6"/>
      <c r="G420" s="6"/>
      <c r="H420" s="6"/>
      <c r="I420" s="6"/>
      <c r="J420" s="6"/>
      <c r="K420" s="179"/>
      <c r="L420" s="179"/>
      <c r="M420" s="6"/>
      <c r="N420" s="179"/>
      <c r="O420" s="6"/>
      <c r="P420" s="6"/>
      <c r="Q420" s="179"/>
      <c r="R420" s="54"/>
      <c r="S420" s="54"/>
    </row>
    <row r="421" spans="1:19" ht="12.75">
      <c r="A421" s="6"/>
      <c r="B421" s="6"/>
      <c r="C421" s="6"/>
      <c r="D421" s="6"/>
      <c r="E421" s="6"/>
      <c r="F421" s="6"/>
      <c r="G421" s="6"/>
      <c r="H421" s="6"/>
      <c r="I421" s="6"/>
      <c r="J421" s="6"/>
      <c r="K421" s="179"/>
      <c r="L421" s="179"/>
      <c r="M421" s="6"/>
      <c r="N421" s="179"/>
      <c r="O421" s="6"/>
      <c r="P421" s="6"/>
      <c r="Q421" s="179"/>
      <c r="R421" s="54"/>
      <c r="S421" s="54"/>
    </row>
    <row r="422" spans="1:19" ht="12.75">
      <c r="A422" s="6"/>
      <c r="B422" s="6"/>
      <c r="C422" s="6"/>
      <c r="D422" s="6"/>
      <c r="E422" s="6"/>
      <c r="F422" s="6"/>
      <c r="G422" s="6"/>
      <c r="H422" s="6"/>
      <c r="I422" s="6"/>
      <c r="J422" s="6"/>
      <c r="K422" s="179"/>
      <c r="L422" s="179"/>
      <c r="M422" s="6"/>
      <c r="N422" s="179"/>
      <c r="O422" s="6"/>
      <c r="P422" s="6"/>
      <c r="Q422" s="179"/>
      <c r="R422" s="54"/>
      <c r="S422" s="54"/>
    </row>
    <row r="423" spans="1:19" ht="12.75">
      <c r="A423" s="6"/>
      <c r="B423" s="6"/>
      <c r="C423" s="6"/>
      <c r="D423" s="6"/>
      <c r="E423" s="6"/>
      <c r="F423" s="6"/>
      <c r="G423" s="6"/>
      <c r="H423" s="6"/>
      <c r="I423" s="6"/>
      <c r="J423" s="6"/>
      <c r="K423" s="179"/>
      <c r="L423" s="179"/>
      <c r="M423" s="6"/>
      <c r="N423" s="179"/>
      <c r="O423" s="6"/>
      <c r="P423" s="6"/>
      <c r="Q423" s="179"/>
      <c r="R423" s="54"/>
      <c r="S423" s="54"/>
    </row>
    <row r="424" spans="1:19" ht="12.75">
      <c r="A424" s="6"/>
      <c r="B424" s="6"/>
      <c r="C424" s="6"/>
      <c r="D424" s="6"/>
      <c r="E424" s="6"/>
      <c r="F424" s="6"/>
      <c r="G424" s="6"/>
      <c r="H424" s="6"/>
      <c r="I424" s="6"/>
      <c r="J424" s="6"/>
      <c r="K424" s="179"/>
      <c r="L424" s="179"/>
      <c r="M424" s="6"/>
      <c r="N424" s="179"/>
      <c r="O424" s="6"/>
      <c r="P424" s="6"/>
      <c r="Q424" s="179"/>
      <c r="R424" s="54"/>
      <c r="S424" s="54"/>
    </row>
    <row r="425" spans="1:19" ht="12.75">
      <c r="A425" s="6"/>
      <c r="B425" s="6"/>
      <c r="C425" s="6"/>
      <c r="D425" s="6"/>
      <c r="E425" s="6"/>
      <c r="F425" s="6"/>
      <c r="G425" s="6"/>
      <c r="H425" s="6"/>
      <c r="I425" s="6"/>
      <c r="J425" s="6"/>
      <c r="K425" s="179"/>
      <c r="L425" s="179"/>
      <c r="M425" s="6"/>
      <c r="N425" s="179"/>
      <c r="O425" s="6"/>
      <c r="P425" s="6"/>
      <c r="Q425" s="179"/>
      <c r="R425" s="54"/>
      <c r="S425" s="54"/>
    </row>
    <row r="426" spans="1:19" ht="12.75">
      <c r="A426" s="6"/>
      <c r="B426" s="6"/>
      <c r="C426" s="6"/>
      <c r="D426" s="6"/>
      <c r="E426" s="6"/>
      <c r="F426" s="6"/>
      <c r="G426" s="6"/>
      <c r="H426" s="6"/>
      <c r="I426" s="6"/>
      <c r="J426" s="6"/>
      <c r="K426" s="179"/>
      <c r="L426" s="179"/>
      <c r="M426" s="6"/>
      <c r="N426" s="179"/>
      <c r="O426" s="6"/>
      <c r="P426" s="6"/>
      <c r="Q426" s="179"/>
      <c r="R426" s="54"/>
      <c r="S426" s="54"/>
    </row>
    <row r="427" spans="1:19" ht="12.75">
      <c r="A427" s="6"/>
      <c r="B427" s="6"/>
      <c r="C427" s="6"/>
      <c r="D427" s="6"/>
      <c r="E427" s="6"/>
      <c r="F427" s="6"/>
      <c r="G427" s="6"/>
      <c r="H427" s="6"/>
      <c r="I427" s="6"/>
      <c r="J427" s="6"/>
      <c r="K427" s="179"/>
      <c r="L427" s="179"/>
      <c r="M427" s="6"/>
      <c r="N427" s="179"/>
      <c r="O427" s="6"/>
      <c r="P427" s="6"/>
      <c r="Q427" s="179"/>
      <c r="R427" s="54"/>
      <c r="S427" s="54"/>
    </row>
    <row r="428" spans="1:19" ht="12.75">
      <c r="A428" s="6"/>
      <c r="B428" s="6"/>
      <c r="C428" s="6"/>
      <c r="D428" s="6"/>
      <c r="E428" s="6"/>
      <c r="F428" s="6"/>
      <c r="G428" s="6"/>
      <c r="H428" s="6"/>
      <c r="I428" s="6"/>
      <c r="J428" s="6"/>
      <c r="K428" s="179"/>
      <c r="L428" s="179"/>
      <c r="M428" s="6"/>
      <c r="N428" s="179"/>
      <c r="O428" s="6"/>
      <c r="P428" s="6"/>
      <c r="Q428" s="179"/>
      <c r="R428" s="54"/>
      <c r="S428" s="54"/>
    </row>
    <row r="429" spans="1:19" ht="12.75">
      <c r="A429" s="6"/>
      <c r="B429" s="6"/>
      <c r="C429" s="6"/>
      <c r="D429" s="6"/>
      <c r="E429" s="6"/>
      <c r="F429" s="6"/>
      <c r="G429" s="6"/>
      <c r="H429" s="6"/>
      <c r="I429" s="6"/>
      <c r="J429" s="6"/>
      <c r="K429" s="179"/>
      <c r="L429" s="179"/>
      <c r="M429" s="6"/>
      <c r="N429" s="179"/>
      <c r="O429" s="6"/>
      <c r="P429" s="6"/>
      <c r="Q429" s="179"/>
      <c r="R429" s="54"/>
      <c r="S429" s="54"/>
    </row>
    <row r="430" spans="1:19" ht="12.75">
      <c r="A430" s="6"/>
      <c r="B430" s="6"/>
      <c r="C430" s="6"/>
      <c r="D430" s="6"/>
      <c r="E430" s="6"/>
      <c r="F430" s="6"/>
      <c r="G430" s="6"/>
      <c r="H430" s="6"/>
      <c r="I430" s="6"/>
      <c r="J430" s="6"/>
      <c r="K430" s="179"/>
      <c r="L430" s="179"/>
      <c r="M430" s="6"/>
      <c r="N430" s="179"/>
      <c r="O430" s="6"/>
      <c r="P430" s="6"/>
      <c r="Q430" s="179"/>
      <c r="R430" s="54"/>
      <c r="S430" s="54"/>
    </row>
    <row r="431" spans="1:19" ht="12.75">
      <c r="A431" s="6"/>
      <c r="B431" s="6"/>
      <c r="C431" s="6"/>
      <c r="D431" s="6"/>
      <c r="E431" s="6"/>
      <c r="F431" s="6"/>
      <c r="G431" s="6"/>
      <c r="H431" s="6"/>
      <c r="I431" s="6"/>
      <c r="J431" s="6"/>
      <c r="K431" s="179"/>
      <c r="L431" s="179"/>
      <c r="M431" s="6"/>
      <c r="N431" s="179"/>
      <c r="O431" s="6"/>
      <c r="P431" s="6"/>
      <c r="Q431" s="179"/>
      <c r="R431" s="54"/>
      <c r="S431" s="54"/>
    </row>
    <row r="432" spans="1:19" ht="12.75">
      <c r="A432" s="6"/>
      <c r="B432" s="6"/>
      <c r="C432" s="6"/>
      <c r="D432" s="6"/>
      <c r="E432" s="6"/>
      <c r="F432" s="6"/>
      <c r="G432" s="6"/>
      <c r="H432" s="6"/>
      <c r="I432" s="6"/>
      <c r="J432" s="6"/>
      <c r="K432" s="179"/>
      <c r="L432" s="179"/>
      <c r="M432" s="6"/>
      <c r="N432" s="179"/>
      <c r="O432" s="6"/>
      <c r="P432" s="6"/>
      <c r="Q432" s="179"/>
      <c r="R432" s="54"/>
      <c r="S432" s="54"/>
    </row>
    <row r="433" spans="1:19" ht="12.75">
      <c r="A433" s="6"/>
      <c r="B433" s="6"/>
      <c r="C433" s="6"/>
      <c r="D433" s="6"/>
      <c r="E433" s="6"/>
      <c r="F433" s="6"/>
      <c r="G433" s="6"/>
      <c r="H433" s="6"/>
      <c r="I433" s="6"/>
      <c r="J433" s="6"/>
      <c r="K433" s="179"/>
      <c r="L433" s="179"/>
      <c r="M433" s="6"/>
      <c r="N433" s="179"/>
      <c r="O433" s="6"/>
      <c r="P433" s="6"/>
      <c r="Q433" s="179"/>
      <c r="R433" s="54"/>
      <c r="S433" s="54"/>
    </row>
    <row r="434" spans="1:19" ht="12.75">
      <c r="A434" s="6"/>
      <c r="B434" s="6"/>
      <c r="C434" s="6"/>
      <c r="D434" s="6"/>
      <c r="E434" s="6"/>
      <c r="F434" s="6"/>
      <c r="G434" s="6"/>
      <c r="H434" s="6"/>
      <c r="I434" s="6"/>
      <c r="J434" s="6"/>
      <c r="K434" s="179"/>
      <c r="L434" s="179"/>
      <c r="M434" s="6"/>
      <c r="N434" s="179"/>
      <c r="O434" s="6"/>
      <c r="P434" s="6"/>
      <c r="Q434" s="179"/>
      <c r="R434" s="54"/>
      <c r="S434" s="54"/>
    </row>
    <row r="435" spans="1:19" ht="12.75">
      <c r="A435" s="6"/>
      <c r="B435" s="6"/>
      <c r="C435" s="6"/>
      <c r="D435" s="6"/>
      <c r="E435" s="6"/>
      <c r="F435" s="6"/>
      <c r="G435" s="6"/>
      <c r="H435" s="6"/>
      <c r="I435" s="6"/>
      <c r="J435" s="6"/>
      <c r="K435" s="179"/>
      <c r="L435" s="179"/>
      <c r="M435" s="6"/>
      <c r="N435" s="179"/>
      <c r="O435" s="6"/>
      <c r="P435" s="6"/>
      <c r="Q435" s="179"/>
      <c r="R435" s="54"/>
      <c r="S435" s="54"/>
    </row>
    <row r="436" spans="1:19" ht="12.75">
      <c r="A436" s="6"/>
      <c r="B436" s="6"/>
      <c r="C436" s="6"/>
      <c r="D436" s="6"/>
      <c r="E436" s="6"/>
      <c r="F436" s="6"/>
      <c r="G436" s="6"/>
      <c r="H436" s="6"/>
      <c r="I436" s="6"/>
      <c r="J436" s="6"/>
      <c r="K436" s="179"/>
      <c r="L436" s="179"/>
      <c r="M436" s="6"/>
      <c r="N436" s="179"/>
      <c r="O436" s="6"/>
      <c r="P436" s="6"/>
      <c r="Q436" s="179"/>
      <c r="R436" s="54"/>
      <c r="S436" s="54"/>
    </row>
    <row r="437" spans="1:19" ht="12.75">
      <c r="A437" s="6"/>
      <c r="B437" s="6"/>
      <c r="C437" s="6"/>
      <c r="D437" s="6"/>
      <c r="E437" s="6"/>
      <c r="F437" s="6"/>
      <c r="G437" s="6"/>
      <c r="H437" s="6"/>
      <c r="I437" s="6"/>
      <c r="J437" s="6"/>
      <c r="K437" s="179"/>
      <c r="L437" s="179"/>
      <c r="M437" s="6"/>
      <c r="N437" s="179"/>
      <c r="O437" s="6"/>
      <c r="P437" s="6"/>
      <c r="Q437" s="179"/>
      <c r="R437" s="54"/>
      <c r="S437" s="54"/>
    </row>
    <row r="438" spans="1:19" ht="12.75">
      <c r="A438" s="6"/>
      <c r="B438" s="6"/>
      <c r="C438" s="6"/>
      <c r="D438" s="6"/>
      <c r="E438" s="6"/>
      <c r="F438" s="6"/>
      <c r="G438" s="6"/>
      <c r="H438" s="6"/>
      <c r="I438" s="6"/>
      <c r="J438" s="6"/>
      <c r="K438" s="179"/>
      <c r="L438" s="179"/>
      <c r="M438" s="6"/>
      <c r="N438" s="179"/>
      <c r="O438" s="6"/>
      <c r="P438" s="6"/>
      <c r="Q438" s="179"/>
      <c r="R438" s="54"/>
      <c r="S438" s="54"/>
    </row>
    <row r="439" spans="1:19" ht="12.75">
      <c r="A439" s="6"/>
      <c r="B439" s="6"/>
      <c r="C439" s="6"/>
      <c r="D439" s="6"/>
      <c r="E439" s="6"/>
      <c r="F439" s="6"/>
      <c r="G439" s="6"/>
      <c r="H439" s="6"/>
      <c r="I439" s="6"/>
      <c r="J439" s="6"/>
      <c r="K439" s="179"/>
      <c r="L439" s="179"/>
      <c r="M439" s="6"/>
      <c r="N439" s="179"/>
      <c r="O439" s="6"/>
      <c r="P439" s="6"/>
      <c r="Q439" s="179"/>
      <c r="R439" s="54"/>
      <c r="S439" s="54"/>
    </row>
    <row r="440" spans="1:19" ht="12.75">
      <c r="A440" s="6"/>
      <c r="B440" s="6"/>
      <c r="C440" s="6"/>
      <c r="D440" s="6"/>
      <c r="E440" s="6"/>
      <c r="F440" s="6"/>
      <c r="G440" s="6"/>
      <c r="H440" s="6"/>
      <c r="I440" s="6"/>
      <c r="J440" s="6"/>
      <c r="K440" s="179"/>
      <c r="L440" s="179"/>
      <c r="M440" s="6"/>
      <c r="N440" s="179"/>
      <c r="O440" s="6"/>
      <c r="P440" s="6"/>
      <c r="Q440" s="179"/>
      <c r="R440" s="54"/>
      <c r="S440" s="54"/>
    </row>
    <row r="441" spans="1:19" ht="12.75">
      <c r="A441" s="6"/>
      <c r="B441" s="6"/>
      <c r="C441" s="6"/>
      <c r="D441" s="6"/>
      <c r="E441" s="6"/>
      <c r="F441" s="6"/>
      <c r="G441" s="6"/>
      <c r="H441" s="6"/>
      <c r="I441" s="6"/>
      <c r="J441" s="6"/>
      <c r="K441" s="179"/>
      <c r="L441" s="179"/>
      <c r="M441" s="6"/>
      <c r="N441" s="179"/>
      <c r="O441" s="6"/>
      <c r="P441" s="6"/>
      <c r="Q441" s="179"/>
      <c r="R441" s="54"/>
      <c r="S441" s="54"/>
    </row>
    <row r="442" spans="1:19" ht="12.75">
      <c r="A442" s="6"/>
      <c r="B442" s="6"/>
      <c r="C442" s="6"/>
      <c r="D442" s="6"/>
      <c r="E442" s="6"/>
      <c r="F442" s="6"/>
      <c r="G442" s="6"/>
      <c r="H442" s="6"/>
      <c r="I442" s="6"/>
      <c r="J442" s="6"/>
      <c r="K442" s="179"/>
      <c r="L442" s="179"/>
      <c r="M442" s="6"/>
      <c r="N442" s="179"/>
      <c r="O442" s="6"/>
      <c r="P442" s="6"/>
      <c r="Q442" s="179"/>
      <c r="R442" s="54"/>
      <c r="S442" s="54"/>
    </row>
    <row r="443" spans="1:19" ht="12.75">
      <c r="A443" s="6"/>
      <c r="B443" s="6"/>
      <c r="C443" s="6"/>
      <c r="D443" s="6"/>
      <c r="E443" s="6"/>
      <c r="F443" s="6"/>
      <c r="G443" s="6"/>
      <c r="H443" s="6"/>
      <c r="I443" s="6"/>
      <c r="J443" s="6"/>
      <c r="K443" s="179"/>
      <c r="L443" s="179"/>
      <c r="M443" s="6"/>
      <c r="N443" s="179"/>
      <c r="O443" s="6"/>
      <c r="P443" s="6"/>
      <c r="Q443" s="179"/>
      <c r="R443" s="54"/>
      <c r="S443" s="54"/>
    </row>
    <row r="444" spans="1:19" ht="12.75">
      <c r="A444" s="6"/>
      <c r="B444" s="6"/>
      <c r="C444" s="6"/>
      <c r="D444" s="6"/>
      <c r="E444" s="6"/>
      <c r="F444" s="6"/>
      <c r="G444" s="6"/>
      <c r="H444" s="6"/>
      <c r="I444" s="6"/>
      <c r="J444" s="6"/>
      <c r="K444" s="179"/>
      <c r="L444" s="179"/>
      <c r="M444" s="6"/>
      <c r="N444" s="179"/>
      <c r="O444" s="6"/>
      <c r="P444" s="6"/>
      <c r="Q444" s="179"/>
      <c r="R444" s="54"/>
      <c r="S444" s="54"/>
    </row>
    <row r="445" spans="1:19" ht="12.75">
      <c r="A445" s="6"/>
      <c r="B445" s="6"/>
      <c r="C445" s="6"/>
      <c r="D445" s="6"/>
      <c r="E445" s="6"/>
      <c r="F445" s="6"/>
      <c r="G445" s="6"/>
      <c r="H445" s="6"/>
      <c r="I445" s="6"/>
      <c r="J445" s="6"/>
      <c r="K445" s="179"/>
      <c r="L445" s="179"/>
      <c r="M445" s="6"/>
      <c r="N445" s="179"/>
      <c r="O445" s="6"/>
      <c r="P445" s="6"/>
      <c r="Q445" s="179"/>
      <c r="R445" s="54"/>
      <c r="S445" s="54"/>
    </row>
    <row r="446" spans="1:19" ht="12.75">
      <c r="A446" s="6"/>
      <c r="B446" s="6"/>
      <c r="C446" s="6"/>
      <c r="D446" s="6"/>
      <c r="E446" s="6"/>
      <c r="F446" s="6"/>
      <c r="G446" s="6"/>
      <c r="H446" s="6"/>
      <c r="I446" s="6"/>
      <c r="J446" s="6"/>
      <c r="K446" s="179"/>
      <c r="L446" s="179"/>
      <c r="M446" s="6"/>
      <c r="N446" s="179"/>
      <c r="O446" s="6"/>
      <c r="P446" s="6"/>
      <c r="Q446" s="179"/>
      <c r="R446" s="54"/>
      <c r="S446" s="54"/>
    </row>
    <row r="447" spans="1:19" ht="12.75">
      <c r="A447" s="6"/>
      <c r="B447" s="6"/>
      <c r="C447" s="6"/>
      <c r="D447" s="6"/>
      <c r="E447" s="6"/>
      <c r="F447" s="6"/>
      <c r="G447" s="6"/>
      <c r="H447" s="6"/>
      <c r="I447" s="6"/>
      <c r="J447" s="6"/>
      <c r="K447" s="179"/>
      <c r="L447" s="179"/>
      <c r="M447" s="6"/>
      <c r="N447" s="179"/>
      <c r="O447" s="6"/>
      <c r="P447" s="6"/>
      <c r="Q447" s="179"/>
      <c r="R447" s="54"/>
      <c r="S447" s="54"/>
    </row>
    <row r="448" spans="1:19" ht="12.75">
      <c r="A448" s="6"/>
      <c r="B448" s="6"/>
      <c r="C448" s="6"/>
      <c r="D448" s="6"/>
      <c r="E448" s="6"/>
      <c r="F448" s="6"/>
      <c r="G448" s="6"/>
      <c r="H448" s="6"/>
      <c r="I448" s="6"/>
      <c r="J448" s="6"/>
      <c r="K448" s="179"/>
      <c r="L448" s="179"/>
      <c r="M448" s="6"/>
      <c r="N448" s="179"/>
      <c r="O448" s="6"/>
      <c r="P448" s="6"/>
      <c r="Q448" s="179"/>
      <c r="R448" s="54"/>
      <c r="S448" s="54"/>
    </row>
    <row r="449" spans="1:19" ht="12.75">
      <c r="A449" s="6"/>
      <c r="B449" s="6"/>
      <c r="C449" s="6"/>
      <c r="D449" s="6"/>
      <c r="E449" s="6"/>
      <c r="F449" s="6"/>
      <c r="G449" s="6"/>
      <c r="H449" s="6"/>
      <c r="I449" s="6"/>
      <c r="J449" s="6"/>
      <c r="K449" s="179"/>
      <c r="L449" s="179"/>
      <c r="M449" s="6"/>
      <c r="N449" s="179"/>
      <c r="O449" s="6"/>
      <c r="P449" s="6"/>
      <c r="Q449" s="179"/>
      <c r="R449" s="54"/>
      <c r="S449" s="54"/>
    </row>
    <row r="450" spans="1:19" ht="12.75">
      <c r="A450" s="6"/>
      <c r="B450" s="6"/>
      <c r="C450" s="6"/>
      <c r="D450" s="6"/>
      <c r="E450" s="6"/>
      <c r="F450" s="6"/>
      <c r="G450" s="6"/>
      <c r="H450" s="6"/>
      <c r="I450" s="6"/>
      <c r="J450" s="6"/>
      <c r="K450" s="179"/>
      <c r="L450" s="179"/>
      <c r="M450" s="6"/>
      <c r="N450" s="179"/>
      <c r="O450" s="6"/>
      <c r="P450" s="6"/>
      <c r="Q450" s="179"/>
      <c r="R450" s="54"/>
      <c r="S450" s="54"/>
    </row>
    <row r="451" spans="1:19" ht="12.75">
      <c r="A451" s="6"/>
      <c r="B451" s="6"/>
      <c r="C451" s="6"/>
      <c r="D451" s="6"/>
      <c r="E451" s="6"/>
      <c r="F451" s="6"/>
      <c r="G451" s="6"/>
      <c r="H451" s="6"/>
      <c r="I451" s="6"/>
      <c r="J451" s="6"/>
      <c r="K451" s="179"/>
      <c r="L451" s="179"/>
      <c r="M451" s="6"/>
      <c r="N451" s="179"/>
      <c r="O451" s="6"/>
      <c r="P451" s="6"/>
      <c r="Q451" s="179"/>
      <c r="R451" s="54"/>
      <c r="S451" s="54"/>
    </row>
    <row r="452" spans="1:19" ht="12.75">
      <c r="A452" s="6"/>
      <c r="B452" s="6"/>
      <c r="C452" s="6"/>
      <c r="D452" s="6"/>
      <c r="E452" s="6"/>
      <c r="F452" s="6"/>
      <c r="G452" s="6"/>
      <c r="H452" s="6"/>
      <c r="I452" s="6"/>
      <c r="J452" s="6"/>
      <c r="K452" s="179"/>
      <c r="L452" s="179"/>
      <c r="M452" s="6"/>
      <c r="N452" s="179"/>
      <c r="O452" s="6"/>
      <c r="P452" s="6"/>
      <c r="Q452" s="179"/>
      <c r="R452" s="54"/>
      <c r="S452" s="54"/>
    </row>
    <row r="453" spans="1:19" ht="12.75">
      <c r="A453" s="6"/>
      <c r="B453" s="6"/>
      <c r="C453" s="6"/>
      <c r="D453" s="6"/>
      <c r="E453" s="6"/>
      <c r="F453" s="6"/>
      <c r="G453" s="6"/>
      <c r="H453" s="6"/>
      <c r="I453" s="6"/>
      <c r="J453" s="6"/>
      <c r="K453" s="179"/>
      <c r="L453" s="179"/>
      <c r="M453" s="6"/>
      <c r="N453" s="179"/>
      <c r="O453" s="6"/>
      <c r="P453" s="6"/>
      <c r="Q453" s="179"/>
      <c r="R453" s="54"/>
      <c r="S453" s="54"/>
    </row>
    <row r="454" spans="1:19" ht="12.75">
      <c r="A454" s="6"/>
      <c r="B454" s="6"/>
      <c r="C454" s="6"/>
      <c r="D454" s="6"/>
      <c r="E454" s="6"/>
      <c r="F454" s="6"/>
      <c r="G454" s="6"/>
      <c r="H454" s="6"/>
      <c r="I454" s="6"/>
      <c r="J454" s="6"/>
      <c r="K454" s="179"/>
      <c r="L454" s="179"/>
      <c r="M454" s="6"/>
      <c r="N454" s="179"/>
      <c r="O454" s="6"/>
      <c r="P454" s="6"/>
      <c r="Q454" s="179"/>
      <c r="R454" s="54"/>
      <c r="S454" s="54"/>
    </row>
    <row r="455" spans="1:19" ht="12.75">
      <c r="A455" s="6"/>
      <c r="B455" s="6"/>
      <c r="C455" s="6"/>
      <c r="D455" s="6"/>
      <c r="E455" s="6"/>
      <c r="F455" s="6"/>
      <c r="G455" s="6"/>
      <c r="H455" s="6"/>
      <c r="I455" s="6"/>
      <c r="J455" s="6"/>
      <c r="K455" s="179"/>
      <c r="L455" s="179"/>
      <c r="M455" s="6"/>
      <c r="N455" s="179"/>
      <c r="O455" s="6"/>
      <c r="P455" s="6"/>
      <c r="Q455" s="179"/>
      <c r="R455" s="54"/>
      <c r="S455" s="54"/>
    </row>
    <row r="456" spans="1:19" ht="12.75">
      <c r="A456" s="6"/>
      <c r="B456" s="6"/>
      <c r="C456" s="6"/>
      <c r="D456" s="6"/>
      <c r="E456" s="6"/>
      <c r="F456" s="6"/>
      <c r="G456" s="6"/>
      <c r="H456" s="6"/>
      <c r="I456" s="6"/>
      <c r="J456" s="6"/>
      <c r="K456" s="179"/>
      <c r="L456" s="179"/>
      <c r="M456" s="6"/>
      <c r="N456" s="179"/>
      <c r="O456" s="6"/>
      <c r="P456" s="6"/>
      <c r="Q456" s="179"/>
      <c r="R456" s="54"/>
      <c r="S456" s="54"/>
    </row>
    <row r="457" spans="1:19" ht="12.75">
      <c r="A457" s="6"/>
      <c r="B457" s="6"/>
      <c r="C457" s="6"/>
      <c r="D457" s="6"/>
      <c r="E457" s="6"/>
      <c r="F457" s="6"/>
      <c r="G457" s="6"/>
      <c r="H457" s="6"/>
      <c r="I457" s="6"/>
      <c r="J457" s="6"/>
      <c r="K457" s="179"/>
      <c r="L457" s="179"/>
      <c r="M457" s="6"/>
      <c r="N457" s="179"/>
      <c r="O457" s="6"/>
      <c r="P457" s="6"/>
      <c r="Q457" s="179"/>
      <c r="R457" s="54"/>
      <c r="S457" s="54"/>
    </row>
    <row r="458" spans="1:19" ht="12.75">
      <c r="A458" s="6"/>
      <c r="B458" s="6"/>
      <c r="C458" s="6"/>
      <c r="D458" s="6"/>
      <c r="E458" s="6"/>
      <c r="F458" s="6"/>
      <c r="G458" s="6"/>
      <c r="H458" s="6"/>
      <c r="I458" s="6"/>
      <c r="J458" s="6"/>
      <c r="K458" s="179"/>
      <c r="L458" s="179"/>
      <c r="M458" s="6"/>
      <c r="N458" s="179"/>
      <c r="O458" s="6"/>
      <c r="P458" s="6"/>
      <c r="Q458" s="179"/>
      <c r="R458" s="54"/>
      <c r="S458" s="54"/>
    </row>
    <row r="459" spans="1:19" ht="12.75">
      <c r="A459" s="6"/>
      <c r="B459" s="6"/>
      <c r="C459" s="6"/>
      <c r="D459" s="6"/>
      <c r="E459" s="6"/>
      <c r="F459" s="6"/>
      <c r="G459" s="6"/>
      <c r="H459" s="6"/>
      <c r="I459" s="6"/>
      <c r="J459" s="6"/>
      <c r="K459" s="179"/>
      <c r="L459" s="179"/>
      <c r="M459" s="6"/>
      <c r="N459" s="179"/>
      <c r="O459" s="6"/>
      <c r="P459" s="6"/>
      <c r="Q459" s="179"/>
      <c r="R459" s="54"/>
      <c r="S459" s="54"/>
    </row>
    <row r="460" spans="1:19" ht="12.75">
      <c r="A460" s="6"/>
      <c r="B460" s="6"/>
      <c r="C460" s="6"/>
      <c r="D460" s="6"/>
      <c r="E460" s="6"/>
      <c r="F460" s="6"/>
      <c r="G460" s="6"/>
      <c r="H460" s="6"/>
      <c r="I460" s="6"/>
      <c r="J460" s="6"/>
      <c r="K460" s="179"/>
      <c r="L460" s="179"/>
      <c r="M460" s="6"/>
      <c r="N460" s="179"/>
      <c r="O460" s="6"/>
      <c r="P460" s="6"/>
      <c r="Q460" s="179"/>
      <c r="R460" s="54"/>
      <c r="S460" s="54"/>
    </row>
    <row r="461" spans="1:19" ht="12.75">
      <c r="A461" s="6"/>
      <c r="B461" s="6"/>
      <c r="C461" s="6"/>
      <c r="D461" s="6"/>
      <c r="E461" s="6"/>
      <c r="F461" s="6"/>
      <c r="G461" s="6"/>
      <c r="H461" s="6"/>
      <c r="I461" s="6"/>
      <c r="J461" s="6"/>
      <c r="K461" s="179"/>
      <c r="L461" s="179"/>
      <c r="M461" s="6"/>
      <c r="N461" s="179"/>
      <c r="O461" s="6"/>
      <c r="P461" s="6"/>
      <c r="Q461" s="179"/>
      <c r="R461" s="54"/>
      <c r="S461" s="54"/>
    </row>
    <row r="462" spans="1:19" ht="12.75">
      <c r="A462" s="6"/>
      <c r="B462" s="6"/>
      <c r="C462" s="6"/>
      <c r="D462" s="6"/>
      <c r="E462" s="6"/>
      <c r="F462" s="6"/>
      <c r="G462" s="6"/>
      <c r="H462" s="6"/>
      <c r="I462" s="6"/>
      <c r="J462" s="6"/>
      <c r="K462" s="179"/>
      <c r="L462" s="179"/>
      <c r="M462" s="6"/>
      <c r="N462" s="179"/>
      <c r="O462" s="6"/>
      <c r="P462" s="6"/>
      <c r="Q462" s="179"/>
      <c r="R462" s="54"/>
      <c r="S462" s="54"/>
    </row>
    <row r="463" spans="1:19" ht="12.75">
      <c r="A463" s="6"/>
      <c r="B463" s="6"/>
      <c r="C463" s="6"/>
      <c r="D463" s="6"/>
      <c r="E463" s="6"/>
      <c r="F463" s="6"/>
      <c r="G463" s="6"/>
      <c r="H463" s="6"/>
      <c r="I463" s="6"/>
      <c r="J463" s="6"/>
      <c r="K463" s="179"/>
      <c r="L463" s="179"/>
      <c r="M463" s="6"/>
      <c r="N463" s="179"/>
      <c r="O463" s="6"/>
      <c r="P463" s="6"/>
      <c r="Q463" s="179"/>
      <c r="R463" s="54"/>
      <c r="S463" s="54"/>
    </row>
    <row r="464" spans="1:19" ht="12.75">
      <c r="A464" s="6"/>
      <c r="B464" s="6"/>
      <c r="C464" s="6"/>
      <c r="D464" s="6"/>
      <c r="E464" s="6"/>
      <c r="F464" s="6"/>
      <c r="G464" s="6"/>
      <c r="H464" s="6"/>
      <c r="I464" s="6"/>
      <c r="J464" s="6"/>
      <c r="K464" s="179"/>
      <c r="L464" s="179"/>
      <c r="M464" s="6"/>
      <c r="N464" s="179"/>
      <c r="O464" s="6"/>
      <c r="P464" s="6"/>
      <c r="Q464" s="179"/>
      <c r="R464" s="54"/>
      <c r="S464" s="54"/>
    </row>
    <row r="465" spans="1:19" ht="12.75">
      <c r="A465" s="6"/>
      <c r="B465" s="6"/>
      <c r="C465" s="6"/>
      <c r="D465" s="6"/>
      <c r="E465" s="6"/>
      <c r="F465" s="6"/>
      <c r="G465" s="6"/>
      <c r="H465" s="6"/>
      <c r="I465" s="6"/>
      <c r="J465" s="6"/>
      <c r="K465" s="179"/>
      <c r="L465" s="179"/>
      <c r="M465" s="6"/>
      <c r="N465" s="179"/>
      <c r="O465" s="6"/>
      <c r="P465" s="6"/>
      <c r="Q465" s="179"/>
      <c r="R465" s="54"/>
      <c r="S465" s="54"/>
    </row>
    <row r="466" spans="1:19" ht="12.75">
      <c r="A466" s="6"/>
      <c r="B466" s="6"/>
      <c r="C466" s="6"/>
      <c r="D466" s="6"/>
      <c r="E466" s="6"/>
      <c r="F466" s="6"/>
      <c r="G466" s="6"/>
      <c r="H466" s="6"/>
      <c r="I466" s="6"/>
      <c r="J466" s="6"/>
      <c r="K466" s="179"/>
      <c r="L466" s="179"/>
      <c r="M466" s="6"/>
      <c r="N466" s="179"/>
      <c r="O466" s="6"/>
      <c r="P466" s="6"/>
      <c r="Q466" s="179"/>
      <c r="R466" s="54"/>
      <c r="S466" s="54"/>
    </row>
    <row r="467" spans="1:19" ht="12.75">
      <c r="A467" s="6"/>
      <c r="B467" s="6"/>
      <c r="C467" s="6"/>
      <c r="D467" s="6"/>
      <c r="E467" s="6"/>
      <c r="F467" s="6"/>
      <c r="G467" s="6"/>
      <c r="H467" s="6"/>
      <c r="I467" s="6"/>
      <c r="J467" s="6"/>
      <c r="K467" s="179"/>
      <c r="L467" s="179"/>
      <c r="M467" s="6"/>
      <c r="N467" s="179"/>
      <c r="O467" s="6"/>
      <c r="P467" s="6"/>
      <c r="Q467" s="179"/>
      <c r="R467" s="54"/>
      <c r="S467" s="54"/>
    </row>
    <row r="468" spans="1:19" ht="12.75">
      <c r="A468" s="6"/>
      <c r="B468" s="6"/>
      <c r="C468" s="6"/>
      <c r="D468" s="6"/>
      <c r="E468" s="6"/>
      <c r="F468" s="6"/>
      <c r="G468" s="6"/>
      <c r="H468" s="6"/>
      <c r="I468" s="6"/>
      <c r="J468" s="6"/>
      <c r="K468" s="179"/>
      <c r="L468" s="179"/>
      <c r="M468" s="6"/>
      <c r="N468" s="179"/>
      <c r="O468" s="6"/>
      <c r="P468" s="6"/>
      <c r="Q468" s="179"/>
      <c r="R468" s="54"/>
      <c r="S468" s="54"/>
    </row>
    <row r="469" spans="1:19" ht="12.75">
      <c r="A469" s="6"/>
      <c r="B469" s="6"/>
      <c r="C469" s="6"/>
      <c r="D469" s="6"/>
      <c r="E469" s="6"/>
      <c r="F469" s="6"/>
      <c r="G469" s="6"/>
      <c r="H469" s="6"/>
      <c r="I469" s="6"/>
      <c r="J469" s="6"/>
      <c r="K469" s="179"/>
      <c r="L469" s="179"/>
      <c r="M469" s="6"/>
      <c r="N469" s="179"/>
      <c r="O469" s="6"/>
      <c r="P469" s="6"/>
      <c r="Q469" s="179"/>
      <c r="R469" s="54"/>
      <c r="S469" s="54"/>
    </row>
    <row r="470" spans="1:19" ht="12.75">
      <c r="A470" s="6"/>
      <c r="B470" s="6"/>
      <c r="C470" s="6"/>
      <c r="D470" s="6"/>
      <c r="E470" s="6"/>
      <c r="F470" s="6"/>
      <c r="G470" s="6"/>
      <c r="H470" s="6"/>
      <c r="I470" s="6"/>
      <c r="J470" s="6"/>
      <c r="K470" s="179"/>
      <c r="L470" s="179"/>
      <c r="M470" s="6"/>
      <c r="N470" s="179"/>
      <c r="O470" s="6"/>
      <c r="P470" s="6"/>
      <c r="Q470" s="179"/>
      <c r="R470" s="54"/>
      <c r="S470" s="54"/>
    </row>
    <row r="471" spans="1:19" ht="12.75">
      <c r="A471" s="6"/>
      <c r="B471" s="6"/>
      <c r="C471" s="6"/>
      <c r="D471" s="6"/>
      <c r="E471" s="6"/>
      <c r="F471" s="6"/>
      <c r="G471" s="6"/>
      <c r="H471" s="6"/>
      <c r="I471" s="6"/>
      <c r="J471" s="6"/>
      <c r="K471" s="179"/>
      <c r="L471" s="179"/>
      <c r="M471" s="6"/>
      <c r="N471" s="179"/>
      <c r="O471" s="6"/>
      <c r="P471" s="6"/>
      <c r="Q471" s="179"/>
      <c r="R471" s="54"/>
      <c r="S471" s="54"/>
    </row>
    <row r="472" spans="1:19" ht="12.75">
      <c r="A472" s="6"/>
      <c r="B472" s="6"/>
      <c r="C472" s="6"/>
      <c r="D472" s="6"/>
      <c r="E472" s="6"/>
      <c r="F472" s="6"/>
      <c r="G472" s="6"/>
      <c r="H472" s="6"/>
      <c r="I472" s="6"/>
      <c r="J472" s="6"/>
      <c r="K472" s="179"/>
      <c r="L472" s="179"/>
      <c r="M472" s="6"/>
      <c r="N472" s="179"/>
      <c r="O472" s="6"/>
      <c r="P472" s="6"/>
      <c r="Q472" s="179"/>
      <c r="R472" s="54"/>
      <c r="S472" s="54"/>
    </row>
    <row r="473" spans="1:19" ht="12.75">
      <c r="A473" s="6"/>
      <c r="B473" s="6"/>
      <c r="C473" s="6"/>
      <c r="D473" s="6"/>
      <c r="E473" s="6"/>
      <c r="F473" s="6"/>
      <c r="G473" s="6"/>
      <c r="H473" s="6"/>
      <c r="I473" s="6"/>
      <c r="J473" s="6"/>
      <c r="K473" s="179"/>
      <c r="L473" s="179"/>
      <c r="M473" s="6"/>
      <c r="N473" s="179"/>
      <c r="O473" s="6"/>
      <c r="P473" s="6"/>
      <c r="Q473" s="179"/>
      <c r="R473" s="54"/>
      <c r="S473" s="54"/>
    </row>
    <row r="474" spans="1:19" ht="12.75">
      <c r="A474" s="6"/>
      <c r="B474" s="6"/>
      <c r="C474" s="6"/>
      <c r="D474" s="6"/>
      <c r="E474" s="6"/>
      <c r="F474" s="6"/>
      <c r="G474" s="6"/>
      <c r="H474" s="6"/>
      <c r="I474" s="6"/>
      <c r="J474" s="6"/>
      <c r="K474" s="179"/>
      <c r="L474" s="179"/>
      <c r="M474" s="6"/>
      <c r="N474" s="179"/>
      <c r="O474" s="6"/>
      <c r="P474" s="6"/>
      <c r="Q474" s="179"/>
      <c r="R474" s="54"/>
      <c r="S474" s="54"/>
    </row>
    <row r="475" spans="1:19" ht="12.75">
      <c r="A475" s="6"/>
      <c r="B475" s="6"/>
      <c r="C475" s="6"/>
      <c r="D475" s="6"/>
      <c r="E475" s="6"/>
      <c r="F475" s="6"/>
      <c r="G475" s="6"/>
      <c r="H475" s="6"/>
      <c r="I475" s="6"/>
      <c r="J475" s="6"/>
      <c r="K475" s="179"/>
      <c r="L475" s="179"/>
      <c r="M475" s="6"/>
      <c r="N475" s="179"/>
      <c r="O475" s="6"/>
      <c r="P475" s="6"/>
      <c r="Q475" s="179"/>
      <c r="R475" s="54"/>
      <c r="S475" s="54"/>
    </row>
    <row r="476" spans="1:19" ht="12.75">
      <c r="A476" s="6"/>
      <c r="B476" s="6"/>
      <c r="C476" s="6"/>
      <c r="D476" s="6"/>
      <c r="E476" s="6"/>
      <c r="F476" s="6"/>
      <c r="G476" s="6"/>
      <c r="H476" s="6"/>
      <c r="I476" s="6"/>
      <c r="J476" s="6"/>
      <c r="K476" s="179"/>
      <c r="L476" s="179"/>
      <c r="M476" s="6"/>
      <c r="N476" s="179"/>
      <c r="O476" s="6"/>
      <c r="P476" s="6"/>
      <c r="Q476" s="179"/>
      <c r="R476" s="54"/>
      <c r="S476" s="54"/>
    </row>
    <row r="477" spans="1:19" ht="12.75">
      <c r="A477" s="6"/>
      <c r="B477" s="6"/>
      <c r="C477" s="6"/>
      <c r="D477" s="6"/>
      <c r="E477" s="6"/>
      <c r="F477" s="6"/>
      <c r="G477" s="6"/>
      <c r="H477" s="6"/>
      <c r="I477" s="6"/>
      <c r="J477" s="6"/>
      <c r="K477" s="179"/>
      <c r="L477" s="179"/>
      <c r="M477" s="6"/>
      <c r="N477" s="179"/>
      <c r="O477" s="6"/>
      <c r="P477" s="6"/>
      <c r="Q477" s="179"/>
      <c r="R477" s="54"/>
      <c r="S477" s="54"/>
    </row>
    <row r="478" spans="1:19" ht="12.75">
      <c r="A478" s="6"/>
      <c r="B478" s="6"/>
      <c r="C478" s="6"/>
      <c r="D478" s="6"/>
      <c r="E478" s="6"/>
      <c r="F478" s="6"/>
      <c r="G478" s="6"/>
      <c r="H478" s="6"/>
      <c r="I478" s="6"/>
      <c r="J478" s="6"/>
      <c r="K478" s="179"/>
      <c r="L478" s="179"/>
      <c r="M478" s="6"/>
      <c r="N478" s="179"/>
      <c r="O478" s="6"/>
      <c r="P478" s="6"/>
      <c r="Q478" s="179"/>
      <c r="R478" s="54"/>
      <c r="S478" s="54"/>
    </row>
    <row r="479" spans="1:19" ht="12.75">
      <c r="A479" s="6"/>
      <c r="B479" s="6"/>
      <c r="C479" s="6"/>
      <c r="D479" s="6"/>
      <c r="E479" s="6"/>
      <c r="F479" s="6"/>
      <c r="G479" s="6"/>
      <c r="H479" s="6"/>
      <c r="I479" s="6"/>
      <c r="J479" s="6"/>
      <c r="K479" s="179"/>
      <c r="L479" s="179"/>
      <c r="M479" s="6"/>
      <c r="N479" s="179"/>
      <c r="O479" s="6"/>
      <c r="P479" s="6"/>
      <c r="Q479" s="179"/>
      <c r="R479" s="54"/>
      <c r="S479" s="54"/>
    </row>
    <row r="480" spans="1:19" ht="12.75">
      <c r="A480" s="6"/>
      <c r="B480" s="6"/>
      <c r="C480" s="6"/>
      <c r="D480" s="6"/>
      <c r="E480" s="6"/>
      <c r="F480" s="6"/>
      <c r="G480" s="6"/>
      <c r="H480" s="6"/>
      <c r="I480" s="6"/>
      <c r="J480" s="6"/>
      <c r="K480" s="179"/>
      <c r="L480" s="179"/>
      <c r="M480" s="6"/>
      <c r="N480" s="179"/>
      <c r="O480" s="6"/>
      <c r="P480" s="6"/>
      <c r="Q480" s="179"/>
      <c r="R480" s="54"/>
      <c r="S480" s="54"/>
    </row>
    <row r="481" spans="1:19" ht="12.75">
      <c r="A481" s="6"/>
      <c r="B481" s="6"/>
      <c r="C481" s="6"/>
      <c r="D481" s="6"/>
      <c r="E481" s="6"/>
      <c r="F481" s="6"/>
      <c r="G481" s="6"/>
      <c r="H481" s="6"/>
      <c r="I481" s="6"/>
      <c r="J481" s="6"/>
      <c r="K481" s="179"/>
      <c r="L481" s="179"/>
      <c r="M481" s="6"/>
      <c r="N481" s="179"/>
      <c r="O481" s="6"/>
      <c r="P481" s="6"/>
      <c r="Q481" s="179"/>
      <c r="R481" s="54"/>
      <c r="S481" s="54"/>
    </row>
    <row r="482" spans="1:19" ht="12.75">
      <c r="A482" s="6"/>
      <c r="B482" s="6"/>
      <c r="C482" s="6"/>
      <c r="D482" s="6"/>
      <c r="E482" s="6"/>
      <c r="F482" s="6"/>
      <c r="G482" s="6"/>
      <c r="H482" s="6"/>
      <c r="I482" s="6"/>
      <c r="J482" s="6"/>
      <c r="K482" s="179"/>
      <c r="L482" s="179"/>
      <c r="M482" s="6"/>
      <c r="N482" s="179"/>
      <c r="O482" s="6"/>
      <c r="P482" s="6"/>
      <c r="Q482" s="179"/>
      <c r="R482" s="54"/>
      <c r="S482" s="54"/>
    </row>
    <row r="483" spans="1:19" ht="12.75">
      <c r="A483" s="6"/>
      <c r="B483" s="6"/>
      <c r="C483" s="6"/>
      <c r="D483" s="6"/>
      <c r="E483" s="6"/>
      <c r="F483" s="6"/>
      <c r="G483" s="6"/>
      <c r="H483" s="6"/>
      <c r="I483" s="6"/>
      <c r="J483" s="6"/>
      <c r="K483" s="179"/>
      <c r="L483" s="179"/>
      <c r="M483" s="6"/>
      <c r="N483" s="179"/>
      <c r="O483" s="6"/>
      <c r="P483" s="6"/>
      <c r="Q483" s="179"/>
      <c r="R483" s="54"/>
      <c r="S483" s="54"/>
    </row>
    <row r="484" spans="1:19" ht="12.75">
      <c r="A484" s="6"/>
      <c r="B484" s="6"/>
      <c r="C484" s="6"/>
      <c r="D484" s="6"/>
      <c r="E484" s="6"/>
      <c r="F484" s="6"/>
      <c r="G484" s="6"/>
      <c r="H484" s="6"/>
      <c r="I484" s="6"/>
      <c r="J484" s="6"/>
      <c r="K484" s="179"/>
      <c r="L484" s="179"/>
      <c r="M484" s="6"/>
      <c r="N484" s="179"/>
      <c r="O484" s="6"/>
      <c r="P484" s="6"/>
      <c r="Q484" s="179"/>
      <c r="R484" s="54"/>
      <c r="S484" s="54"/>
    </row>
    <row r="485" spans="1:19" ht="12.75">
      <c r="A485" s="6"/>
      <c r="B485" s="6"/>
      <c r="C485" s="6"/>
      <c r="D485" s="6"/>
      <c r="E485" s="6"/>
      <c r="F485" s="6"/>
      <c r="G485" s="6"/>
      <c r="H485" s="6"/>
      <c r="I485" s="6"/>
      <c r="J485" s="6"/>
      <c r="K485" s="179"/>
      <c r="L485" s="179"/>
      <c r="M485" s="6"/>
      <c r="N485" s="179"/>
      <c r="O485" s="6"/>
      <c r="P485" s="6"/>
      <c r="Q485" s="179"/>
      <c r="R485" s="54"/>
      <c r="S485" s="54"/>
    </row>
    <row r="486" spans="1:19" ht="12.75">
      <c r="A486" s="6"/>
      <c r="B486" s="6"/>
      <c r="C486" s="6"/>
      <c r="D486" s="6"/>
      <c r="E486" s="6"/>
      <c r="F486" s="6"/>
      <c r="G486" s="6"/>
      <c r="H486" s="6"/>
      <c r="I486" s="6"/>
      <c r="J486" s="6"/>
      <c r="K486" s="179"/>
      <c r="L486" s="179"/>
      <c r="M486" s="6"/>
      <c r="N486" s="179"/>
      <c r="O486" s="6"/>
      <c r="P486" s="6"/>
      <c r="Q486" s="179"/>
      <c r="R486" s="54"/>
      <c r="S486" s="54"/>
    </row>
    <row r="487" spans="1:19" ht="12.75">
      <c r="A487" s="6"/>
      <c r="B487" s="6"/>
      <c r="C487" s="6"/>
      <c r="D487" s="6"/>
      <c r="E487" s="6"/>
      <c r="F487" s="6"/>
      <c r="G487" s="6"/>
      <c r="H487" s="6"/>
      <c r="I487" s="6"/>
      <c r="J487" s="6"/>
      <c r="K487" s="179"/>
      <c r="L487" s="179"/>
      <c r="M487" s="6"/>
      <c r="N487" s="179"/>
      <c r="O487" s="6"/>
      <c r="P487" s="6"/>
      <c r="Q487" s="179"/>
      <c r="R487" s="54"/>
      <c r="S487" s="54"/>
    </row>
    <row r="488" spans="1:19" ht="12.75">
      <c r="A488" s="6"/>
      <c r="B488" s="6"/>
      <c r="C488" s="6"/>
      <c r="D488" s="6"/>
      <c r="E488" s="6"/>
      <c r="F488" s="6"/>
      <c r="G488" s="6"/>
      <c r="H488" s="6"/>
      <c r="I488" s="6"/>
      <c r="J488" s="6"/>
      <c r="K488" s="179"/>
      <c r="L488" s="179"/>
      <c r="M488" s="6"/>
      <c r="N488" s="179"/>
      <c r="O488" s="6"/>
      <c r="P488" s="6"/>
      <c r="Q488" s="179"/>
      <c r="R488" s="54"/>
      <c r="S488" s="54"/>
    </row>
    <row r="489" spans="1:19" ht="12.75">
      <c r="A489" s="6"/>
      <c r="B489" s="6"/>
      <c r="C489" s="6"/>
      <c r="D489" s="6"/>
      <c r="E489" s="6"/>
      <c r="F489" s="6"/>
      <c r="G489" s="6"/>
      <c r="H489" s="6"/>
      <c r="I489" s="6"/>
      <c r="J489" s="6"/>
      <c r="K489" s="179"/>
      <c r="L489" s="179"/>
      <c r="M489" s="6"/>
      <c r="N489" s="179"/>
      <c r="O489" s="6"/>
      <c r="P489" s="6"/>
      <c r="Q489" s="179"/>
      <c r="R489" s="54"/>
      <c r="S489" s="54"/>
    </row>
    <row r="490" spans="1:19" ht="12.75">
      <c r="A490" s="6"/>
      <c r="B490" s="6"/>
      <c r="C490" s="6"/>
      <c r="D490" s="6"/>
      <c r="E490" s="6"/>
      <c r="F490" s="6"/>
      <c r="G490" s="6"/>
      <c r="H490" s="6"/>
      <c r="I490" s="6"/>
      <c r="J490" s="6"/>
      <c r="K490" s="179"/>
      <c r="L490" s="179"/>
      <c r="M490" s="6"/>
      <c r="N490" s="179"/>
      <c r="O490" s="6"/>
      <c r="P490" s="6"/>
      <c r="Q490" s="179"/>
      <c r="R490" s="54"/>
      <c r="S490" s="54"/>
    </row>
    <row r="491" spans="1:19" ht="12.75">
      <c r="A491" s="6"/>
      <c r="B491" s="6"/>
      <c r="C491" s="6"/>
      <c r="D491" s="6"/>
      <c r="E491" s="6"/>
      <c r="F491" s="6"/>
      <c r="G491" s="6"/>
      <c r="H491" s="6"/>
      <c r="I491" s="6"/>
      <c r="J491" s="6"/>
      <c r="K491" s="179"/>
      <c r="L491" s="179"/>
      <c r="M491" s="6"/>
      <c r="N491" s="179"/>
      <c r="O491" s="6"/>
      <c r="P491" s="6"/>
      <c r="Q491" s="179"/>
      <c r="R491" s="54"/>
      <c r="S491" s="54"/>
    </row>
    <row r="492" spans="1:19" ht="12.75">
      <c r="A492" s="6"/>
      <c r="B492" s="6"/>
      <c r="C492" s="6"/>
      <c r="D492" s="6"/>
      <c r="E492" s="6"/>
      <c r="F492" s="6"/>
      <c r="G492" s="6"/>
      <c r="H492" s="6"/>
      <c r="I492" s="6"/>
      <c r="J492" s="6"/>
      <c r="K492" s="179"/>
      <c r="L492" s="179"/>
      <c r="M492" s="6"/>
      <c r="N492" s="179"/>
      <c r="O492" s="6"/>
      <c r="P492" s="6"/>
      <c r="Q492" s="179"/>
      <c r="R492" s="54"/>
      <c r="S492" s="54"/>
    </row>
    <row r="493" spans="1:19" ht="12.75">
      <c r="A493" s="6"/>
      <c r="B493" s="6"/>
      <c r="C493" s="6"/>
      <c r="D493" s="6"/>
      <c r="E493" s="6"/>
      <c r="F493" s="6"/>
      <c r="G493" s="6"/>
      <c r="H493" s="6"/>
      <c r="I493" s="6"/>
      <c r="J493" s="6"/>
      <c r="K493" s="179"/>
      <c r="L493" s="179"/>
      <c r="M493" s="6"/>
      <c r="N493" s="179"/>
      <c r="O493" s="6"/>
      <c r="P493" s="6"/>
      <c r="Q493" s="179"/>
      <c r="R493" s="54"/>
      <c r="S493" s="54"/>
    </row>
    <row r="494" spans="1:19" ht="12.75">
      <c r="A494" s="6"/>
      <c r="B494" s="6"/>
      <c r="C494" s="6"/>
      <c r="D494" s="6"/>
      <c r="E494" s="6"/>
      <c r="F494" s="6"/>
      <c r="G494" s="6"/>
      <c r="H494" s="6"/>
      <c r="I494" s="6"/>
      <c r="J494" s="6"/>
      <c r="K494" s="179"/>
      <c r="L494" s="179"/>
      <c r="M494" s="6"/>
      <c r="N494" s="179"/>
      <c r="O494" s="6"/>
      <c r="P494" s="6"/>
      <c r="Q494" s="179"/>
      <c r="R494" s="54"/>
      <c r="S494" s="54"/>
    </row>
    <row r="495" spans="1:19" ht="12.75">
      <c r="A495" s="6"/>
      <c r="B495" s="6"/>
      <c r="C495" s="6"/>
      <c r="D495" s="6"/>
      <c r="E495" s="6"/>
      <c r="F495" s="6"/>
      <c r="G495" s="6"/>
      <c r="H495" s="6"/>
      <c r="I495" s="6"/>
      <c r="J495" s="6"/>
      <c r="K495" s="179"/>
      <c r="L495" s="179"/>
      <c r="M495" s="6"/>
      <c r="N495" s="179"/>
      <c r="O495" s="6"/>
      <c r="P495" s="6"/>
      <c r="Q495" s="179"/>
      <c r="R495" s="54"/>
      <c r="S495" s="54"/>
    </row>
    <row r="496" spans="1:19" ht="12.75">
      <c r="A496" s="6"/>
      <c r="B496" s="6"/>
      <c r="C496" s="6"/>
      <c r="D496" s="6"/>
      <c r="E496" s="6"/>
      <c r="F496" s="6"/>
      <c r="G496" s="6"/>
      <c r="H496" s="6"/>
      <c r="I496" s="6"/>
      <c r="J496" s="6"/>
      <c r="K496" s="179"/>
      <c r="L496" s="179"/>
      <c r="M496" s="6"/>
      <c r="N496" s="179"/>
      <c r="O496" s="6"/>
      <c r="P496" s="6"/>
      <c r="Q496" s="179"/>
      <c r="R496" s="54"/>
      <c r="S496" s="54"/>
    </row>
    <row r="497" spans="1:19" ht="12.75">
      <c r="A497" s="6"/>
      <c r="B497" s="6"/>
      <c r="C497" s="6"/>
      <c r="D497" s="6"/>
      <c r="E497" s="6"/>
      <c r="F497" s="6"/>
      <c r="G497" s="6"/>
      <c r="H497" s="6"/>
      <c r="I497" s="6"/>
      <c r="J497" s="6"/>
      <c r="K497" s="179"/>
      <c r="L497" s="179"/>
      <c r="M497" s="6"/>
      <c r="N497" s="179"/>
      <c r="O497" s="6"/>
      <c r="P497" s="6"/>
      <c r="Q497" s="179"/>
      <c r="R497" s="54"/>
      <c r="S497" s="54"/>
    </row>
    <row r="498" spans="1:19" ht="12.75">
      <c r="A498" s="6"/>
      <c r="B498" s="6"/>
      <c r="C498" s="6"/>
      <c r="D498" s="6"/>
      <c r="E498" s="6"/>
      <c r="F498" s="6"/>
      <c r="G498" s="6"/>
      <c r="H498" s="6"/>
      <c r="I498" s="6"/>
      <c r="J498" s="6"/>
      <c r="K498" s="179"/>
      <c r="L498" s="179"/>
      <c r="M498" s="6"/>
      <c r="N498" s="179"/>
      <c r="O498" s="6"/>
      <c r="P498" s="6"/>
      <c r="Q498" s="179"/>
      <c r="R498" s="54"/>
      <c r="S498" s="54"/>
    </row>
    <row r="499" spans="1:19" ht="12.75">
      <c r="A499" s="6"/>
      <c r="B499" s="6"/>
      <c r="C499" s="6"/>
      <c r="D499" s="6"/>
      <c r="E499" s="6"/>
      <c r="F499" s="6"/>
      <c r="G499" s="6"/>
      <c r="H499" s="6"/>
      <c r="I499" s="6"/>
      <c r="J499" s="6"/>
      <c r="K499" s="179"/>
      <c r="L499" s="179"/>
      <c r="M499" s="6"/>
      <c r="N499" s="179"/>
      <c r="O499" s="6"/>
      <c r="P499" s="6"/>
      <c r="Q499" s="179"/>
      <c r="R499" s="54"/>
      <c r="S499" s="54"/>
    </row>
    <row r="500" spans="1:19" ht="12.75">
      <c r="A500" s="6"/>
      <c r="B500" s="6"/>
      <c r="C500" s="6"/>
      <c r="D500" s="6"/>
      <c r="E500" s="6"/>
      <c r="F500" s="6"/>
      <c r="G500" s="6"/>
      <c r="H500" s="6"/>
      <c r="I500" s="6"/>
      <c r="J500" s="6"/>
      <c r="K500" s="179"/>
      <c r="L500" s="179"/>
      <c r="M500" s="6"/>
      <c r="N500" s="179"/>
      <c r="O500" s="6"/>
      <c r="P500" s="6"/>
      <c r="Q500" s="179"/>
      <c r="R500" s="54"/>
      <c r="S500" s="54"/>
    </row>
    <row r="501" spans="1:19" ht="12.75">
      <c r="A501" s="6"/>
      <c r="B501" s="6"/>
      <c r="C501" s="6"/>
      <c r="D501" s="6"/>
      <c r="E501" s="6"/>
      <c r="F501" s="6"/>
      <c r="G501" s="6"/>
      <c r="H501" s="6"/>
      <c r="I501" s="6"/>
      <c r="J501" s="6"/>
      <c r="K501" s="179"/>
      <c r="L501" s="179"/>
      <c r="M501" s="6"/>
      <c r="N501" s="179"/>
      <c r="O501" s="6"/>
      <c r="P501" s="6"/>
      <c r="Q501" s="179"/>
      <c r="R501" s="54"/>
      <c r="S501" s="54"/>
    </row>
    <row r="502" spans="1:19" ht="12.75">
      <c r="A502" s="6"/>
      <c r="B502" s="6"/>
      <c r="C502" s="6"/>
      <c r="D502" s="6"/>
      <c r="E502" s="6"/>
      <c r="F502" s="6"/>
      <c r="G502" s="6"/>
      <c r="H502" s="6"/>
      <c r="I502" s="6"/>
      <c r="J502" s="6"/>
      <c r="K502" s="179"/>
      <c r="L502" s="179"/>
      <c r="M502" s="6"/>
      <c r="N502" s="179"/>
      <c r="O502" s="6"/>
      <c r="P502" s="6"/>
      <c r="Q502" s="179"/>
      <c r="R502" s="54"/>
      <c r="S502" s="54"/>
    </row>
    <row r="503" spans="1:19" ht="12.75">
      <c r="A503" s="6"/>
      <c r="B503" s="6"/>
      <c r="C503" s="6"/>
      <c r="D503" s="6"/>
      <c r="E503" s="6"/>
      <c r="F503" s="6"/>
      <c r="G503" s="6"/>
      <c r="H503" s="6"/>
      <c r="I503" s="6"/>
      <c r="J503" s="6"/>
      <c r="K503" s="179"/>
      <c r="L503" s="179"/>
      <c r="M503" s="6"/>
      <c r="N503" s="179"/>
      <c r="O503" s="6"/>
      <c r="P503" s="6"/>
      <c r="Q503" s="179"/>
      <c r="R503" s="54"/>
      <c r="S503" s="54"/>
    </row>
    <row r="504" spans="1:19" ht="12.75">
      <c r="A504" s="6"/>
      <c r="B504" s="6"/>
      <c r="C504" s="6"/>
      <c r="D504" s="6"/>
      <c r="E504" s="6"/>
      <c r="F504" s="6"/>
      <c r="G504" s="6"/>
      <c r="H504" s="6"/>
      <c r="I504" s="6"/>
      <c r="J504" s="6"/>
      <c r="K504" s="179"/>
      <c r="L504" s="179"/>
      <c r="M504" s="6"/>
      <c r="N504" s="179"/>
      <c r="O504" s="6"/>
      <c r="P504" s="6"/>
      <c r="Q504" s="179"/>
      <c r="R504" s="54"/>
      <c r="S504" s="54"/>
    </row>
    <row r="505" spans="1:19" ht="12.75">
      <c r="A505" s="6"/>
      <c r="B505" s="6"/>
      <c r="C505" s="6"/>
      <c r="D505" s="6"/>
      <c r="E505" s="6"/>
      <c r="F505" s="6"/>
      <c r="G505" s="6"/>
      <c r="H505" s="6"/>
      <c r="I505" s="6"/>
      <c r="J505" s="6"/>
      <c r="K505" s="179"/>
      <c r="L505" s="179"/>
      <c r="M505" s="6"/>
      <c r="N505" s="179"/>
      <c r="O505" s="6"/>
      <c r="P505" s="6"/>
      <c r="Q505" s="179"/>
      <c r="R505" s="54"/>
      <c r="S505" s="54"/>
    </row>
    <row r="506" spans="1:19" ht="12.75">
      <c r="A506" s="6"/>
      <c r="B506" s="6"/>
      <c r="C506" s="6"/>
      <c r="D506" s="6"/>
      <c r="E506" s="6"/>
      <c r="F506" s="6"/>
      <c r="G506" s="6"/>
      <c r="H506" s="6"/>
      <c r="I506" s="6"/>
      <c r="J506" s="6"/>
      <c r="K506" s="179"/>
      <c r="L506" s="179"/>
      <c r="M506" s="6"/>
      <c r="N506" s="179"/>
      <c r="O506" s="6"/>
      <c r="P506" s="6"/>
      <c r="Q506" s="179"/>
      <c r="R506" s="54"/>
      <c r="S506" s="54"/>
    </row>
    <row r="507" spans="1:19" ht="12.75">
      <c r="A507" s="6"/>
      <c r="B507" s="6"/>
      <c r="C507" s="6"/>
      <c r="D507" s="6"/>
      <c r="E507" s="6"/>
      <c r="F507" s="6"/>
      <c r="G507" s="6"/>
      <c r="H507" s="6"/>
      <c r="I507" s="6"/>
      <c r="J507" s="6"/>
      <c r="K507" s="179"/>
      <c r="L507" s="179"/>
      <c r="M507" s="6"/>
      <c r="N507" s="179"/>
      <c r="O507" s="6"/>
      <c r="P507" s="6"/>
      <c r="Q507" s="179"/>
      <c r="R507" s="54"/>
      <c r="S507" s="54"/>
    </row>
    <row r="508" spans="1:19" ht="12.75">
      <c r="A508" s="6"/>
      <c r="B508" s="6"/>
      <c r="C508" s="6"/>
      <c r="D508" s="6"/>
      <c r="E508" s="6"/>
      <c r="F508" s="6"/>
      <c r="G508" s="6"/>
      <c r="H508" s="6"/>
      <c r="I508" s="6"/>
      <c r="J508" s="6"/>
      <c r="K508" s="179"/>
      <c r="L508" s="179"/>
      <c r="M508" s="6"/>
      <c r="N508" s="179"/>
      <c r="O508" s="6"/>
      <c r="P508" s="6"/>
      <c r="Q508" s="179"/>
      <c r="R508" s="54"/>
      <c r="S508" s="54"/>
    </row>
    <row r="509" spans="1:19" ht="12.75">
      <c r="A509" s="6"/>
      <c r="B509" s="6"/>
      <c r="C509" s="6"/>
      <c r="D509" s="6"/>
      <c r="E509" s="6"/>
      <c r="F509" s="6"/>
      <c r="G509" s="6"/>
      <c r="H509" s="6"/>
      <c r="I509" s="6"/>
      <c r="J509" s="6"/>
      <c r="K509" s="179"/>
      <c r="L509" s="179"/>
      <c r="M509" s="6"/>
      <c r="N509" s="179"/>
      <c r="O509" s="6"/>
      <c r="P509" s="6"/>
      <c r="Q509" s="179"/>
      <c r="R509" s="54"/>
      <c r="S509" s="54"/>
    </row>
    <row r="510" spans="1:19" ht="12.75">
      <c r="A510" s="6"/>
      <c r="B510" s="6"/>
      <c r="C510" s="6"/>
      <c r="D510" s="6"/>
      <c r="E510" s="6"/>
      <c r="F510" s="6"/>
      <c r="G510" s="6"/>
      <c r="H510" s="6"/>
      <c r="I510" s="6"/>
      <c r="J510" s="6"/>
      <c r="K510" s="179"/>
      <c r="L510" s="179"/>
      <c r="M510" s="6"/>
      <c r="N510" s="179"/>
      <c r="O510" s="6"/>
      <c r="P510" s="6"/>
      <c r="Q510" s="179"/>
      <c r="R510" s="54"/>
      <c r="S510" s="54"/>
    </row>
    <row r="511" spans="1:19" ht="12.75">
      <c r="A511" s="6"/>
      <c r="B511" s="6"/>
      <c r="C511" s="6"/>
      <c r="D511" s="6"/>
      <c r="E511" s="6"/>
      <c r="F511" s="6"/>
      <c r="G511" s="6"/>
      <c r="H511" s="6"/>
      <c r="I511" s="6"/>
      <c r="J511" s="6"/>
      <c r="K511" s="179"/>
      <c r="L511" s="179"/>
      <c r="M511" s="6"/>
      <c r="N511" s="179"/>
      <c r="O511" s="6"/>
      <c r="P511" s="6"/>
      <c r="Q511" s="179"/>
      <c r="R511" s="54"/>
      <c r="S511" s="54"/>
    </row>
    <row r="512" spans="1:19" ht="12.75">
      <c r="A512" s="6"/>
      <c r="B512" s="6"/>
      <c r="C512" s="6"/>
      <c r="D512" s="6"/>
      <c r="E512" s="6"/>
      <c r="F512" s="6"/>
      <c r="G512" s="6"/>
      <c r="H512" s="6"/>
      <c r="I512" s="6"/>
      <c r="J512" s="6"/>
      <c r="K512" s="179"/>
      <c r="L512" s="179"/>
      <c r="M512" s="6"/>
      <c r="N512" s="179"/>
      <c r="O512" s="6"/>
      <c r="P512" s="6"/>
      <c r="Q512" s="179"/>
      <c r="R512" s="54"/>
      <c r="S512" s="54"/>
    </row>
    <row r="513" spans="1:19" ht="12.75">
      <c r="A513" s="6"/>
      <c r="B513" s="6"/>
      <c r="C513" s="6"/>
      <c r="D513" s="6"/>
      <c r="E513" s="6"/>
      <c r="F513" s="6"/>
      <c r="G513" s="6"/>
      <c r="H513" s="6"/>
      <c r="I513" s="6"/>
      <c r="J513" s="6"/>
      <c r="K513" s="179"/>
      <c r="L513" s="179"/>
      <c r="M513" s="6"/>
      <c r="N513" s="179"/>
      <c r="O513" s="6"/>
      <c r="P513" s="6"/>
      <c r="Q513" s="179"/>
      <c r="R513" s="54"/>
      <c r="S513" s="54"/>
    </row>
    <row r="514" spans="1:19" ht="12.75">
      <c r="A514" s="6"/>
      <c r="B514" s="6"/>
      <c r="C514" s="6"/>
      <c r="D514" s="6"/>
      <c r="E514" s="6"/>
      <c r="F514" s="6"/>
      <c r="G514" s="6"/>
      <c r="H514" s="6"/>
      <c r="I514" s="6"/>
      <c r="J514" s="6"/>
      <c r="K514" s="179"/>
      <c r="L514" s="179"/>
      <c r="M514" s="6"/>
      <c r="N514" s="179"/>
      <c r="O514" s="6"/>
      <c r="P514" s="6"/>
      <c r="Q514" s="179"/>
      <c r="R514" s="54"/>
      <c r="S514" s="54"/>
    </row>
    <row r="515" spans="1:19" ht="12.75">
      <c r="A515" s="6"/>
      <c r="B515" s="6"/>
      <c r="C515" s="6"/>
      <c r="D515" s="6"/>
      <c r="E515" s="6"/>
      <c r="F515" s="6"/>
      <c r="G515" s="6"/>
      <c r="H515" s="6"/>
      <c r="I515" s="6"/>
      <c r="J515" s="6"/>
      <c r="K515" s="179"/>
      <c r="L515" s="179"/>
      <c r="M515" s="6"/>
      <c r="N515" s="179"/>
      <c r="O515" s="6"/>
      <c r="P515" s="6"/>
      <c r="Q515" s="179"/>
      <c r="R515" s="54"/>
      <c r="S515" s="54"/>
    </row>
    <row r="516" spans="1:19" ht="12.75">
      <c r="A516" s="6"/>
      <c r="B516" s="6"/>
      <c r="C516" s="6"/>
      <c r="D516" s="6"/>
      <c r="E516" s="6"/>
      <c r="F516" s="6"/>
      <c r="G516" s="6"/>
      <c r="H516" s="6"/>
      <c r="I516" s="6"/>
      <c r="J516" s="6"/>
      <c r="K516" s="179"/>
      <c r="L516" s="179"/>
      <c r="M516" s="6"/>
      <c r="N516" s="179"/>
      <c r="O516" s="6"/>
      <c r="P516" s="6"/>
      <c r="Q516" s="179"/>
      <c r="R516" s="54"/>
      <c r="S516" s="54"/>
    </row>
    <row r="517" spans="1:19" ht="12.75">
      <c r="A517" s="6"/>
      <c r="B517" s="6"/>
      <c r="C517" s="6"/>
      <c r="D517" s="6"/>
      <c r="E517" s="6"/>
      <c r="F517" s="6"/>
      <c r="G517" s="6"/>
      <c r="H517" s="6"/>
      <c r="I517" s="6"/>
      <c r="J517" s="6"/>
      <c r="K517" s="179"/>
      <c r="L517" s="179"/>
      <c r="M517" s="6"/>
      <c r="N517" s="179"/>
      <c r="O517" s="6"/>
      <c r="P517" s="6"/>
      <c r="Q517" s="179"/>
      <c r="R517" s="54"/>
      <c r="S517" s="54"/>
    </row>
    <row r="518" spans="1:19" ht="12.75">
      <c r="A518" s="6"/>
      <c r="B518" s="6"/>
      <c r="C518" s="6"/>
      <c r="D518" s="6"/>
      <c r="E518" s="6"/>
      <c r="F518" s="6"/>
      <c r="G518" s="6"/>
      <c r="H518" s="6"/>
      <c r="I518" s="6"/>
      <c r="J518" s="6"/>
      <c r="K518" s="179"/>
      <c r="L518" s="179"/>
      <c r="M518" s="6"/>
      <c r="N518" s="179"/>
      <c r="O518" s="6"/>
      <c r="P518" s="6"/>
      <c r="Q518" s="179"/>
      <c r="R518" s="54"/>
      <c r="S518" s="54"/>
    </row>
    <row r="519" spans="1:19" ht="12.75">
      <c r="A519" s="6"/>
      <c r="B519" s="6"/>
      <c r="C519" s="6"/>
      <c r="D519" s="6"/>
      <c r="E519" s="6"/>
      <c r="F519" s="6"/>
      <c r="G519" s="6"/>
      <c r="H519" s="6"/>
      <c r="I519" s="6"/>
      <c r="J519" s="6"/>
      <c r="K519" s="179"/>
      <c r="L519" s="179"/>
      <c r="M519" s="6"/>
      <c r="N519" s="179"/>
      <c r="O519" s="6"/>
      <c r="P519" s="6"/>
      <c r="Q519" s="179"/>
      <c r="R519" s="54"/>
      <c r="S519" s="54"/>
    </row>
    <row r="520" spans="1:19" ht="12.75">
      <c r="A520" s="6"/>
      <c r="B520" s="6"/>
      <c r="C520" s="6"/>
      <c r="D520" s="6"/>
      <c r="E520" s="6"/>
      <c r="F520" s="6"/>
      <c r="G520" s="6"/>
      <c r="H520" s="6"/>
      <c r="I520" s="6"/>
      <c r="J520" s="6"/>
      <c r="K520" s="179"/>
      <c r="L520" s="179"/>
      <c r="M520" s="6"/>
      <c r="N520" s="179"/>
      <c r="O520" s="6"/>
      <c r="P520" s="6"/>
      <c r="Q520" s="179"/>
      <c r="R520" s="54"/>
      <c r="S520" s="54"/>
    </row>
    <row r="521" spans="1:19" ht="12.75">
      <c r="A521" s="6"/>
      <c r="B521" s="6"/>
      <c r="C521" s="6"/>
      <c r="D521" s="6"/>
      <c r="E521" s="6"/>
      <c r="F521" s="6"/>
      <c r="G521" s="6"/>
      <c r="H521" s="6"/>
      <c r="I521" s="6"/>
      <c r="J521" s="6"/>
      <c r="K521" s="179"/>
      <c r="L521" s="179"/>
      <c r="M521" s="6"/>
      <c r="N521" s="179"/>
      <c r="O521" s="6"/>
      <c r="P521" s="6"/>
      <c r="Q521" s="179"/>
      <c r="R521" s="54"/>
      <c r="S521" s="54"/>
    </row>
    <row r="522" spans="1:19" ht="12.75">
      <c r="A522" s="6"/>
      <c r="B522" s="6"/>
      <c r="C522" s="6"/>
      <c r="D522" s="6"/>
      <c r="E522" s="6"/>
      <c r="F522" s="6"/>
      <c r="G522" s="6"/>
      <c r="H522" s="6"/>
      <c r="I522" s="6"/>
      <c r="J522" s="6"/>
      <c r="K522" s="179"/>
      <c r="L522" s="179"/>
      <c r="M522" s="6"/>
      <c r="N522" s="179"/>
      <c r="O522" s="6"/>
      <c r="P522" s="6"/>
      <c r="Q522" s="179"/>
      <c r="R522" s="54"/>
      <c r="S522" s="54"/>
    </row>
    <row r="523" spans="1:19" ht="12.75">
      <c r="A523" s="6"/>
      <c r="B523" s="6"/>
      <c r="C523" s="6"/>
      <c r="D523" s="6"/>
      <c r="E523" s="6"/>
      <c r="F523" s="6"/>
      <c r="G523" s="6"/>
      <c r="H523" s="6"/>
      <c r="I523" s="6"/>
      <c r="J523" s="6"/>
      <c r="K523" s="179"/>
      <c r="L523" s="179"/>
      <c r="M523" s="6"/>
      <c r="N523" s="179"/>
      <c r="O523" s="6"/>
      <c r="P523" s="6"/>
      <c r="Q523" s="179"/>
      <c r="R523" s="54"/>
      <c r="S523" s="54"/>
    </row>
    <row r="524" spans="1:19" ht="12.75">
      <c r="A524" s="6"/>
      <c r="B524" s="6"/>
      <c r="C524" s="6"/>
      <c r="D524" s="6"/>
      <c r="E524" s="6"/>
      <c r="F524" s="6"/>
      <c r="G524" s="6"/>
      <c r="H524" s="6"/>
      <c r="I524" s="6"/>
      <c r="J524" s="6"/>
      <c r="K524" s="179"/>
      <c r="L524" s="179"/>
      <c r="M524" s="6"/>
      <c r="N524" s="179"/>
      <c r="O524" s="6"/>
      <c r="P524" s="6"/>
      <c r="Q524" s="179"/>
      <c r="R524" s="54"/>
      <c r="S524" s="54"/>
    </row>
    <row r="525" spans="1:19" ht="12.75">
      <c r="A525" s="6"/>
      <c r="B525" s="6"/>
      <c r="C525" s="6"/>
      <c r="D525" s="6"/>
      <c r="E525" s="6"/>
      <c r="F525" s="6"/>
      <c r="G525" s="6"/>
      <c r="H525" s="6"/>
      <c r="I525" s="6"/>
      <c r="J525" s="6"/>
      <c r="K525" s="179"/>
      <c r="L525" s="179"/>
      <c r="M525" s="6"/>
      <c r="N525" s="179"/>
      <c r="O525" s="6"/>
      <c r="P525" s="6"/>
      <c r="Q525" s="179"/>
      <c r="R525" s="54"/>
      <c r="S525" s="54"/>
    </row>
    <row r="526" spans="1:19" ht="12.75">
      <c r="A526" s="6"/>
      <c r="B526" s="6"/>
      <c r="C526" s="6"/>
      <c r="D526" s="6"/>
      <c r="E526" s="6"/>
      <c r="F526" s="6"/>
      <c r="G526" s="6"/>
      <c r="H526" s="6"/>
      <c r="I526" s="6"/>
      <c r="J526" s="6"/>
      <c r="K526" s="179"/>
      <c r="L526" s="179"/>
      <c r="M526" s="6"/>
      <c r="N526" s="179"/>
      <c r="O526" s="6"/>
      <c r="P526" s="6"/>
      <c r="Q526" s="179"/>
      <c r="R526" s="54"/>
      <c r="S526" s="54"/>
    </row>
    <row r="527" spans="1:19" ht="12.75">
      <c r="A527" s="6"/>
      <c r="B527" s="6"/>
      <c r="C527" s="6"/>
      <c r="D527" s="6"/>
      <c r="E527" s="6"/>
      <c r="F527" s="6"/>
      <c r="G527" s="6"/>
      <c r="H527" s="6"/>
      <c r="I527" s="6"/>
      <c r="J527" s="6"/>
      <c r="K527" s="179"/>
      <c r="L527" s="179"/>
      <c r="M527" s="6"/>
      <c r="N527" s="179"/>
      <c r="O527" s="6"/>
      <c r="P527" s="6"/>
      <c r="Q527" s="179"/>
      <c r="R527" s="54"/>
      <c r="S527" s="54"/>
    </row>
    <row r="528" spans="1:19" ht="12.75">
      <c r="A528" s="6"/>
      <c r="B528" s="6"/>
      <c r="C528" s="6"/>
      <c r="D528" s="6"/>
      <c r="E528" s="6"/>
      <c r="F528" s="6"/>
      <c r="G528" s="6"/>
      <c r="H528" s="6"/>
      <c r="I528" s="6"/>
      <c r="J528" s="6"/>
      <c r="K528" s="179"/>
      <c r="L528" s="179"/>
      <c r="M528" s="6"/>
      <c r="N528" s="179"/>
      <c r="O528" s="6"/>
      <c r="P528" s="6"/>
      <c r="Q528" s="179"/>
      <c r="R528" s="54"/>
      <c r="S528" s="54"/>
    </row>
    <row r="529" spans="1:19" ht="12.75">
      <c r="A529" s="6"/>
      <c r="B529" s="6"/>
      <c r="C529" s="6"/>
      <c r="D529" s="6"/>
      <c r="E529" s="6"/>
      <c r="F529" s="6"/>
      <c r="G529" s="6"/>
      <c r="H529" s="6"/>
      <c r="I529" s="6"/>
      <c r="J529" s="6"/>
      <c r="K529" s="179"/>
      <c r="L529" s="179"/>
      <c r="M529" s="6"/>
      <c r="N529" s="179"/>
      <c r="O529" s="6"/>
      <c r="P529" s="6"/>
      <c r="Q529" s="179"/>
      <c r="R529" s="54"/>
      <c r="S529" s="54"/>
    </row>
    <row r="530" spans="1:19" ht="12.75">
      <c r="A530" s="6"/>
      <c r="B530" s="6"/>
      <c r="C530" s="6"/>
      <c r="D530" s="6"/>
      <c r="E530" s="6"/>
      <c r="F530" s="6"/>
      <c r="G530" s="6"/>
      <c r="H530" s="6"/>
      <c r="I530" s="6"/>
      <c r="J530" s="6"/>
      <c r="K530" s="179"/>
      <c r="L530" s="179"/>
      <c r="M530" s="6"/>
      <c r="N530" s="179"/>
      <c r="O530" s="6"/>
      <c r="P530" s="6"/>
      <c r="Q530" s="179"/>
      <c r="R530" s="54"/>
      <c r="S530" s="54"/>
    </row>
    <row r="531" spans="1:19" ht="12.75">
      <c r="A531" s="6"/>
      <c r="B531" s="6"/>
      <c r="C531" s="6"/>
      <c r="D531" s="6"/>
      <c r="E531" s="6"/>
      <c r="F531" s="6"/>
      <c r="G531" s="6"/>
      <c r="H531" s="6"/>
      <c r="I531" s="6"/>
      <c r="J531" s="6"/>
      <c r="K531" s="179"/>
      <c r="L531" s="179"/>
      <c r="M531" s="6"/>
      <c r="N531" s="179"/>
      <c r="O531" s="6"/>
      <c r="P531" s="6"/>
      <c r="Q531" s="179"/>
      <c r="R531" s="54"/>
      <c r="S531" s="54"/>
    </row>
    <row r="532" spans="1:19" ht="12.75">
      <c r="A532" s="6"/>
      <c r="B532" s="6"/>
      <c r="C532" s="6"/>
      <c r="D532" s="6"/>
      <c r="E532" s="6"/>
      <c r="F532" s="6"/>
      <c r="G532" s="6"/>
      <c r="H532" s="6"/>
      <c r="I532" s="6"/>
      <c r="J532" s="6"/>
      <c r="K532" s="179"/>
      <c r="L532" s="179"/>
      <c r="M532" s="6"/>
      <c r="N532" s="179"/>
      <c r="O532" s="6"/>
      <c r="P532" s="6"/>
      <c r="Q532" s="179"/>
      <c r="R532" s="54"/>
      <c r="S532" s="54"/>
    </row>
    <row r="533" spans="1:19" ht="12.75">
      <c r="A533" s="6"/>
      <c r="B533" s="6"/>
      <c r="C533" s="6"/>
      <c r="D533" s="6"/>
      <c r="E533" s="6"/>
      <c r="F533" s="6"/>
      <c r="G533" s="6"/>
      <c r="H533" s="6"/>
      <c r="I533" s="6"/>
      <c r="J533" s="6"/>
      <c r="K533" s="179"/>
      <c r="L533" s="179"/>
      <c r="M533" s="6"/>
      <c r="N533" s="179"/>
      <c r="O533" s="6"/>
      <c r="P533" s="6"/>
      <c r="Q533" s="179"/>
      <c r="R533" s="54"/>
      <c r="S533" s="54"/>
    </row>
    <row r="534" spans="1:19" ht="12.75">
      <c r="A534" s="6"/>
      <c r="B534" s="6"/>
      <c r="C534" s="6"/>
      <c r="D534" s="6"/>
      <c r="E534" s="6"/>
      <c r="F534" s="6"/>
      <c r="G534" s="6"/>
      <c r="H534" s="6"/>
      <c r="I534" s="6"/>
      <c r="J534" s="6"/>
      <c r="K534" s="179"/>
      <c r="L534" s="179"/>
      <c r="M534" s="6"/>
      <c r="N534" s="179"/>
      <c r="O534" s="6"/>
      <c r="P534" s="6"/>
      <c r="Q534" s="179"/>
      <c r="R534" s="54"/>
      <c r="S534" s="54"/>
    </row>
    <row r="535" spans="1:19" ht="12.75">
      <c r="A535" s="6"/>
      <c r="B535" s="6"/>
      <c r="C535" s="6"/>
      <c r="D535" s="6"/>
      <c r="E535" s="6"/>
      <c r="F535" s="6"/>
      <c r="G535" s="6"/>
      <c r="H535" s="6"/>
      <c r="I535" s="6"/>
      <c r="J535" s="6"/>
      <c r="K535" s="179"/>
      <c r="L535" s="179"/>
      <c r="M535" s="6"/>
      <c r="N535" s="179"/>
      <c r="O535" s="6"/>
      <c r="P535" s="6"/>
      <c r="Q535" s="179"/>
      <c r="R535" s="54"/>
      <c r="S535" s="54"/>
    </row>
    <row r="536" spans="1:19" ht="12.75">
      <c r="A536" s="6"/>
      <c r="B536" s="6"/>
      <c r="C536" s="6"/>
      <c r="D536" s="6"/>
      <c r="E536" s="6"/>
      <c r="F536" s="6"/>
      <c r="G536" s="6"/>
      <c r="H536" s="6"/>
      <c r="I536" s="6"/>
      <c r="J536" s="6"/>
      <c r="K536" s="179"/>
      <c r="L536" s="179"/>
      <c r="M536" s="6"/>
      <c r="N536" s="179"/>
      <c r="O536" s="6"/>
      <c r="P536" s="6"/>
      <c r="Q536" s="179"/>
      <c r="R536" s="54"/>
      <c r="S536" s="54"/>
    </row>
    <row r="537" spans="1:19" ht="12.75">
      <c r="A537" s="6"/>
      <c r="B537" s="6"/>
      <c r="C537" s="6"/>
      <c r="D537" s="6"/>
      <c r="E537" s="6"/>
      <c r="F537" s="6"/>
      <c r="G537" s="6"/>
      <c r="H537" s="6"/>
      <c r="I537" s="6"/>
      <c r="J537" s="6"/>
      <c r="K537" s="179"/>
      <c r="L537" s="179"/>
      <c r="M537" s="6"/>
      <c r="N537" s="179"/>
      <c r="O537" s="6"/>
      <c r="P537" s="6"/>
      <c r="Q537" s="179"/>
      <c r="R537" s="54"/>
      <c r="S537" s="54"/>
    </row>
    <row r="538" spans="1:19" ht="12.75">
      <c r="A538" s="6"/>
      <c r="B538" s="6"/>
      <c r="C538" s="6"/>
      <c r="D538" s="6"/>
      <c r="E538" s="6"/>
      <c r="F538" s="6"/>
      <c r="G538" s="6"/>
      <c r="H538" s="6"/>
      <c r="I538" s="6"/>
      <c r="J538" s="6"/>
      <c r="K538" s="179"/>
      <c r="L538" s="179"/>
      <c r="M538" s="6"/>
      <c r="N538" s="179"/>
      <c r="O538" s="6"/>
      <c r="P538" s="6"/>
      <c r="Q538" s="179"/>
      <c r="R538" s="54"/>
      <c r="S538" s="54"/>
    </row>
    <row r="539" spans="1:19" ht="12.75">
      <c r="A539" s="6"/>
      <c r="B539" s="6"/>
      <c r="C539" s="6"/>
      <c r="D539" s="6"/>
      <c r="E539" s="6"/>
      <c r="F539" s="6"/>
      <c r="G539" s="6"/>
      <c r="H539" s="6"/>
      <c r="I539" s="6"/>
      <c r="J539" s="6"/>
      <c r="K539" s="179"/>
      <c r="L539" s="179"/>
      <c r="M539" s="6"/>
      <c r="N539" s="179"/>
      <c r="O539" s="6"/>
      <c r="P539" s="6"/>
      <c r="Q539" s="179"/>
      <c r="R539" s="54"/>
      <c r="S539" s="54"/>
    </row>
    <row r="540" spans="1:19" ht="12.75">
      <c r="A540" s="6"/>
      <c r="B540" s="6"/>
      <c r="C540" s="6"/>
      <c r="D540" s="6"/>
      <c r="E540" s="6"/>
      <c r="F540" s="6"/>
      <c r="G540" s="6"/>
      <c r="H540" s="6"/>
      <c r="I540" s="6"/>
      <c r="J540" s="6"/>
      <c r="K540" s="179"/>
      <c r="L540" s="179"/>
      <c r="M540" s="6"/>
      <c r="N540" s="179"/>
      <c r="O540" s="6"/>
      <c r="P540" s="6"/>
      <c r="Q540" s="179"/>
      <c r="R540" s="54"/>
      <c r="S540" s="54"/>
    </row>
    <row r="541" spans="1:19" ht="12.75">
      <c r="A541" s="6"/>
      <c r="B541" s="6"/>
      <c r="C541" s="6"/>
      <c r="D541" s="6"/>
      <c r="E541" s="6"/>
      <c r="F541" s="6"/>
      <c r="G541" s="6"/>
      <c r="H541" s="6"/>
      <c r="I541" s="6"/>
      <c r="J541" s="6"/>
      <c r="K541" s="179"/>
      <c r="L541" s="179"/>
      <c r="M541" s="6"/>
      <c r="N541" s="179"/>
      <c r="O541" s="6"/>
      <c r="P541" s="6"/>
      <c r="Q541" s="179"/>
      <c r="R541" s="54"/>
      <c r="S541" s="54"/>
    </row>
    <row r="542" spans="1:19" ht="12.75">
      <c r="A542" s="6"/>
      <c r="B542" s="6"/>
      <c r="C542" s="6"/>
      <c r="D542" s="6"/>
      <c r="E542" s="6"/>
      <c r="F542" s="6"/>
      <c r="G542" s="6"/>
      <c r="H542" s="6"/>
      <c r="I542" s="6"/>
      <c r="J542" s="6"/>
      <c r="K542" s="179"/>
      <c r="L542" s="179"/>
      <c r="M542" s="6"/>
      <c r="N542" s="179"/>
      <c r="O542" s="6"/>
      <c r="P542" s="6"/>
      <c r="Q542" s="179"/>
      <c r="R542" s="54"/>
      <c r="S542" s="54"/>
    </row>
    <row r="543" spans="1:19" ht="12.75">
      <c r="A543" s="6"/>
      <c r="B543" s="6"/>
      <c r="C543" s="6"/>
      <c r="D543" s="6"/>
      <c r="E543" s="6"/>
      <c r="F543" s="6"/>
      <c r="G543" s="6"/>
      <c r="H543" s="6"/>
      <c r="I543" s="6"/>
      <c r="J543" s="6"/>
      <c r="K543" s="179"/>
      <c r="L543" s="179"/>
      <c r="M543" s="6"/>
      <c r="N543" s="179"/>
      <c r="O543" s="6"/>
      <c r="P543" s="6"/>
      <c r="Q543" s="179"/>
      <c r="R543" s="54"/>
      <c r="S543" s="54"/>
    </row>
    <row r="544" spans="1:19" ht="12.75">
      <c r="A544" s="6"/>
      <c r="B544" s="6"/>
      <c r="C544" s="6"/>
      <c r="D544" s="6"/>
      <c r="E544" s="6"/>
      <c r="F544" s="6"/>
      <c r="G544" s="6"/>
      <c r="H544" s="6"/>
      <c r="I544" s="6"/>
      <c r="J544" s="6"/>
      <c r="K544" s="179"/>
      <c r="L544" s="179"/>
      <c r="M544" s="6"/>
      <c r="N544" s="179"/>
      <c r="O544" s="6"/>
      <c r="P544" s="6"/>
      <c r="Q544" s="179"/>
      <c r="R544" s="54"/>
      <c r="S544" s="54"/>
    </row>
    <row r="545" spans="1:19" ht="12.75">
      <c r="A545" s="6"/>
      <c r="B545" s="6"/>
      <c r="C545" s="6"/>
      <c r="D545" s="6"/>
      <c r="E545" s="6"/>
      <c r="F545" s="6"/>
      <c r="G545" s="6"/>
      <c r="H545" s="6"/>
      <c r="I545" s="6"/>
      <c r="J545" s="6"/>
      <c r="K545" s="179"/>
      <c r="L545" s="179"/>
      <c r="M545" s="6"/>
      <c r="N545" s="179"/>
      <c r="O545" s="6"/>
      <c r="P545" s="6"/>
      <c r="Q545" s="179"/>
      <c r="R545" s="54"/>
      <c r="S545" s="54"/>
    </row>
    <row r="546" spans="1:19" ht="12.75">
      <c r="A546" s="6"/>
      <c r="B546" s="6"/>
      <c r="C546" s="6"/>
      <c r="D546" s="6"/>
      <c r="E546" s="6"/>
      <c r="F546" s="6"/>
      <c r="G546" s="6"/>
      <c r="H546" s="6"/>
      <c r="I546" s="6"/>
      <c r="J546" s="6"/>
      <c r="K546" s="179"/>
      <c r="L546" s="179"/>
      <c r="M546" s="6"/>
      <c r="N546" s="179"/>
      <c r="O546" s="6"/>
      <c r="P546" s="6"/>
      <c r="Q546" s="179"/>
      <c r="R546" s="54"/>
      <c r="S546" s="54"/>
    </row>
    <row r="547" spans="1:19" ht="12.75">
      <c r="A547" s="6"/>
      <c r="B547" s="6"/>
      <c r="C547" s="6"/>
      <c r="D547" s="6"/>
      <c r="E547" s="6"/>
      <c r="F547" s="6"/>
      <c r="G547" s="6"/>
      <c r="H547" s="6"/>
      <c r="I547" s="6"/>
      <c r="J547" s="6"/>
      <c r="K547" s="179"/>
      <c r="L547" s="179"/>
      <c r="M547" s="6"/>
      <c r="N547" s="179"/>
      <c r="O547" s="6"/>
      <c r="P547" s="6"/>
      <c r="Q547" s="179"/>
      <c r="R547" s="54"/>
      <c r="S547" s="54"/>
    </row>
    <row r="548" spans="1:19" ht="12.75">
      <c r="A548" s="6"/>
      <c r="B548" s="6"/>
      <c r="C548" s="6"/>
      <c r="D548" s="6"/>
      <c r="E548" s="6"/>
      <c r="F548" s="6"/>
      <c r="G548" s="6"/>
      <c r="H548" s="6"/>
      <c r="I548" s="6"/>
      <c r="J548" s="6"/>
      <c r="K548" s="179"/>
      <c r="L548" s="179"/>
      <c r="M548" s="6"/>
      <c r="N548" s="179"/>
      <c r="O548" s="6"/>
      <c r="P548" s="6"/>
      <c r="Q548" s="179"/>
      <c r="R548" s="54"/>
      <c r="S548" s="54"/>
    </row>
    <row r="549" spans="1:19" ht="12.75">
      <c r="A549" s="6"/>
      <c r="B549" s="6"/>
      <c r="C549" s="6"/>
      <c r="D549" s="6"/>
      <c r="E549" s="6"/>
      <c r="F549" s="6"/>
      <c r="G549" s="6"/>
      <c r="H549" s="6"/>
      <c r="I549" s="6"/>
      <c r="J549" s="6"/>
      <c r="K549" s="179"/>
      <c r="L549" s="179"/>
      <c r="M549" s="6"/>
      <c r="N549" s="179"/>
      <c r="O549" s="6"/>
      <c r="P549" s="6"/>
      <c r="Q549" s="179"/>
      <c r="R549" s="54"/>
      <c r="S549" s="54"/>
    </row>
    <row r="550" spans="1:19" ht="12.75">
      <c r="A550" s="6"/>
      <c r="B550" s="6"/>
      <c r="C550" s="6"/>
      <c r="D550" s="6"/>
      <c r="E550" s="6"/>
      <c r="F550" s="6"/>
      <c r="G550" s="6"/>
      <c r="H550" s="6"/>
      <c r="I550" s="6"/>
      <c r="J550" s="6"/>
      <c r="K550" s="179"/>
      <c r="L550" s="179"/>
      <c r="M550" s="6"/>
      <c r="N550" s="179"/>
      <c r="O550" s="6"/>
      <c r="P550" s="6"/>
      <c r="Q550" s="179"/>
      <c r="R550" s="54"/>
      <c r="S550" s="54"/>
    </row>
    <row r="551" spans="1:19" ht="12.75">
      <c r="A551" s="6"/>
      <c r="B551" s="6"/>
      <c r="C551" s="6"/>
      <c r="D551" s="6"/>
      <c r="E551" s="6"/>
      <c r="F551" s="6"/>
      <c r="G551" s="6"/>
      <c r="H551" s="6"/>
      <c r="I551" s="6"/>
      <c r="J551" s="6"/>
      <c r="K551" s="179"/>
      <c r="L551" s="179"/>
      <c r="M551" s="6"/>
      <c r="N551" s="179"/>
      <c r="O551" s="6"/>
      <c r="P551" s="6"/>
      <c r="Q551" s="179"/>
      <c r="R551" s="54"/>
      <c r="S551" s="54"/>
    </row>
    <row r="552" spans="1:19" ht="12.75">
      <c r="A552" s="6"/>
      <c r="B552" s="6"/>
      <c r="C552" s="6"/>
      <c r="D552" s="6"/>
      <c r="E552" s="6"/>
      <c r="F552" s="6"/>
      <c r="G552" s="6"/>
      <c r="H552" s="6"/>
      <c r="I552" s="6"/>
      <c r="J552" s="6"/>
      <c r="K552" s="179"/>
      <c r="L552" s="179"/>
      <c r="M552" s="6"/>
      <c r="N552" s="179"/>
      <c r="O552" s="6"/>
      <c r="P552" s="6"/>
      <c r="Q552" s="179"/>
      <c r="R552" s="54"/>
      <c r="S552" s="54"/>
    </row>
    <row r="553" spans="1:19" ht="12.75">
      <c r="A553" s="6"/>
      <c r="B553" s="6"/>
      <c r="C553" s="6"/>
      <c r="D553" s="6"/>
      <c r="E553" s="6"/>
      <c r="F553" s="6"/>
      <c r="G553" s="6"/>
      <c r="H553" s="6"/>
      <c r="I553" s="6"/>
      <c r="J553" s="6"/>
      <c r="K553" s="179"/>
      <c r="L553" s="179"/>
      <c r="M553" s="6"/>
      <c r="N553" s="179"/>
      <c r="O553" s="6"/>
      <c r="P553" s="6"/>
      <c r="Q553" s="179"/>
      <c r="R553" s="54"/>
      <c r="S553" s="54"/>
    </row>
    <row r="554" spans="1:19" ht="12.75">
      <c r="A554" s="6"/>
      <c r="B554" s="6"/>
      <c r="C554" s="6"/>
      <c r="D554" s="6"/>
      <c r="E554" s="6"/>
      <c r="F554" s="6"/>
      <c r="G554" s="6"/>
      <c r="H554" s="6"/>
      <c r="I554" s="6"/>
      <c r="J554" s="6"/>
      <c r="K554" s="179"/>
      <c r="L554" s="179"/>
      <c r="M554" s="6"/>
      <c r="N554" s="179"/>
      <c r="O554" s="6"/>
      <c r="P554" s="6"/>
      <c r="Q554" s="179"/>
      <c r="R554" s="54"/>
      <c r="S554" s="54"/>
    </row>
    <row r="555" spans="1:19" ht="12.75">
      <c r="A555" s="6"/>
      <c r="B555" s="6"/>
      <c r="C555" s="6"/>
      <c r="D555" s="6"/>
      <c r="E555" s="6"/>
      <c r="F555" s="6"/>
      <c r="G555" s="6"/>
      <c r="H555" s="6"/>
      <c r="I555" s="6"/>
      <c r="J555" s="6"/>
      <c r="K555" s="179"/>
      <c r="L555" s="179"/>
      <c r="M555" s="6"/>
      <c r="N555" s="179"/>
      <c r="O555" s="6"/>
      <c r="P555" s="6"/>
      <c r="Q555" s="179"/>
      <c r="R555" s="54"/>
      <c r="S555" s="54"/>
    </row>
    <row r="556" spans="1:19" ht="12.75">
      <c r="A556" s="6"/>
      <c r="B556" s="6"/>
      <c r="C556" s="6"/>
      <c r="D556" s="6"/>
      <c r="E556" s="6"/>
      <c r="F556" s="6"/>
      <c r="G556" s="6"/>
      <c r="H556" s="6"/>
      <c r="I556" s="6"/>
      <c r="J556" s="6"/>
      <c r="K556" s="179"/>
      <c r="L556" s="179"/>
      <c r="M556" s="6"/>
      <c r="N556" s="179"/>
      <c r="O556" s="6"/>
      <c r="P556" s="6"/>
      <c r="Q556" s="179"/>
      <c r="R556" s="54"/>
      <c r="S556" s="54"/>
    </row>
    <row r="557" spans="1:19" ht="12.75">
      <c r="A557" s="6"/>
      <c r="B557" s="6"/>
      <c r="C557" s="6"/>
      <c r="D557" s="6"/>
      <c r="E557" s="6"/>
      <c r="F557" s="6"/>
      <c r="G557" s="6"/>
      <c r="H557" s="6"/>
      <c r="I557" s="6"/>
      <c r="J557" s="6"/>
      <c r="K557" s="179"/>
      <c r="L557" s="179"/>
      <c r="M557" s="6"/>
      <c r="N557" s="179"/>
      <c r="O557" s="6"/>
      <c r="P557" s="6"/>
      <c r="Q557" s="179"/>
      <c r="R557" s="54"/>
      <c r="S557" s="54"/>
    </row>
    <row r="558" spans="1:19" ht="12.75">
      <c r="A558" s="6"/>
      <c r="B558" s="6"/>
      <c r="C558" s="6"/>
      <c r="D558" s="6"/>
      <c r="E558" s="6"/>
      <c r="F558" s="6"/>
      <c r="G558" s="6"/>
      <c r="H558" s="6"/>
      <c r="I558" s="6"/>
      <c r="J558" s="6"/>
      <c r="K558" s="179"/>
      <c r="L558" s="179"/>
      <c r="M558" s="6"/>
      <c r="N558" s="179"/>
      <c r="O558" s="6"/>
      <c r="P558" s="6"/>
      <c r="Q558" s="179"/>
      <c r="R558" s="54"/>
      <c r="S558" s="54"/>
    </row>
    <row r="559" spans="1:19" ht="12.75">
      <c r="A559" s="6"/>
      <c r="B559" s="6"/>
      <c r="C559" s="6"/>
      <c r="D559" s="6"/>
      <c r="E559" s="6"/>
      <c r="F559" s="6"/>
      <c r="G559" s="6"/>
      <c r="H559" s="6"/>
      <c r="I559" s="6"/>
      <c r="J559" s="6"/>
      <c r="K559" s="179"/>
      <c r="L559" s="179"/>
      <c r="M559" s="6"/>
      <c r="N559" s="179"/>
      <c r="O559" s="6"/>
      <c r="P559" s="6"/>
      <c r="Q559" s="179"/>
      <c r="R559" s="54"/>
      <c r="S559" s="54"/>
    </row>
    <row r="560" spans="1:19" ht="12.75">
      <c r="A560" s="6"/>
      <c r="B560" s="6"/>
      <c r="C560" s="6"/>
      <c r="D560" s="6"/>
      <c r="E560" s="6"/>
      <c r="F560" s="6"/>
      <c r="G560" s="6"/>
      <c r="H560" s="6"/>
      <c r="I560" s="6"/>
      <c r="J560" s="6"/>
      <c r="K560" s="179"/>
      <c r="L560" s="179"/>
      <c r="M560" s="6"/>
      <c r="N560" s="179"/>
      <c r="O560" s="6"/>
      <c r="P560" s="6"/>
      <c r="Q560" s="179"/>
      <c r="R560" s="54"/>
      <c r="S560" s="54"/>
    </row>
    <row r="561" spans="1:19" ht="12.75">
      <c r="A561" s="6"/>
      <c r="B561" s="6"/>
      <c r="C561" s="6"/>
      <c r="D561" s="6"/>
      <c r="E561" s="6"/>
      <c r="F561" s="6"/>
      <c r="G561" s="6"/>
      <c r="H561" s="6"/>
      <c r="I561" s="6"/>
      <c r="J561" s="6"/>
      <c r="K561" s="179"/>
      <c r="L561" s="179"/>
      <c r="M561" s="6"/>
      <c r="N561" s="179"/>
      <c r="O561" s="6"/>
      <c r="P561" s="6"/>
      <c r="Q561" s="179"/>
      <c r="R561" s="54"/>
      <c r="S561" s="54"/>
    </row>
    <row r="562" spans="1:19" ht="12.75">
      <c r="A562" s="6"/>
      <c r="B562" s="6"/>
      <c r="C562" s="6"/>
      <c r="D562" s="6"/>
      <c r="E562" s="6"/>
      <c r="F562" s="6"/>
      <c r="G562" s="6"/>
      <c r="H562" s="6"/>
      <c r="I562" s="6"/>
      <c r="J562" s="6"/>
      <c r="K562" s="179"/>
      <c r="L562" s="179"/>
      <c r="M562" s="6"/>
      <c r="N562" s="179"/>
      <c r="O562" s="6"/>
      <c r="P562" s="6"/>
      <c r="Q562" s="179"/>
      <c r="R562" s="54"/>
      <c r="S562" s="54"/>
    </row>
    <row r="563" spans="1:19" ht="12.75">
      <c r="A563" s="6"/>
      <c r="B563" s="6"/>
      <c r="C563" s="6"/>
      <c r="D563" s="6"/>
      <c r="E563" s="6"/>
      <c r="F563" s="6"/>
      <c r="G563" s="6"/>
      <c r="H563" s="6"/>
      <c r="I563" s="6"/>
      <c r="J563" s="6"/>
      <c r="K563" s="179"/>
      <c r="L563" s="179"/>
      <c r="M563" s="6"/>
      <c r="N563" s="179"/>
      <c r="O563" s="6"/>
      <c r="P563" s="6"/>
      <c r="Q563" s="179"/>
      <c r="R563" s="54"/>
      <c r="S563" s="54"/>
    </row>
    <row r="564" spans="1:19" ht="12.75">
      <c r="A564" s="6"/>
      <c r="B564" s="6"/>
      <c r="C564" s="6"/>
      <c r="D564" s="6"/>
      <c r="E564" s="6"/>
      <c r="F564" s="6"/>
      <c r="G564" s="6"/>
      <c r="H564" s="6"/>
      <c r="I564" s="6"/>
      <c r="J564" s="6"/>
      <c r="K564" s="179"/>
      <c r="L564" s="179"/>
      <c r="M564" s="6"/>
      <c r="N564" s="179"/>
      <c r="O564" s="6"/>
      <c r="P564" s="6"/>
      <c r="Q564" s="179"/>
      <c r="R564" s="54"/>
      <c r="S564" s="54"/>
    </row>
    <row r="565" spans="1:19" ht="12.75">
      <c r="A565" s="6"/>
      <c r="B565" s="6"/>
      <c r="C565" s="6"/>
      <c r="D565" s="6"/>
      <c r="E565" s="6"/>
      <c r="F565" s="6"/>
      <c r="G565" s="6"/>
      <c r="H565" s="6"/>
      <c r="I565" s="6"/>
      <c r="J565" s="6"/>
      <c r="K565" s="179"/>
      <c r="L565" s="179"/>
      <c r="M565" s="6"/>
      <c r="N565" s="179"/>
      <c r="O565" s="6"/>
      <c r="P565" s="6"/>
      <c r="Q565" s="179"/>
      <c r="R565" s="54"/>
      <c r="S565" s="54"/>
    </row>
    <row r="566" spans="1:19" ht="12.75">
      <c r="A566" s="6"/>
      <c r="B566" s="6"/>
      <c r="C566" s="6"/>
      <c r="D566" s="6"/>
      <c r="E566" s="6"/>
      <c r="F566" s="6"/>
      <c r="G566" s="6"/>
      <c r="H566" s="6"/>
      <c r="I566" s="6"/>
      <c r="J566" s="6"/>
      <c r="K566" s="179"/>
      <c r="L566" s="179"/>
      <c r="M566" s="6"/>
      <c r="N566" s="179"/>
      <c r="O566" s="6"/>
      <c r="P566" s="6"/>
      <c r="Q566" s="179"/>
      <c r="R566" s="54"/>
      <c r="S566" s="54"/>
    </row>
    <row r="567" spans="1:19" ht="12.75">
      <c r="A567" s="6"/>
      <c r="B567" s="6"/>
      <c r="C567" s="6"/>
      <c r="D567" s="6"/>
      <c r="E567" s="6"/>
      <c r="F567" s="6"/>
      <c r="G567" s="6"/>
      <c r="H567" s="6"/>
      <c r="I567" s="6"/>
      <c r="J567" s="6"/>
      <c r="K567" s="179"/>
      <c r="L567" s="179"/>
      <c r="M567" s="6"/>
      <c r="N567" s="179"/>
      <c r="O567" s="6"/>
      <c r="P567" s="6"/>
      <c r="Q567" s="179"/>
      <c r="R567" s="54"/>
      <c r="S567" s="54"/>
    </row>
    <row r="568" spans="1:19" ht="12.75">
      <c r="A568" s="6"/>
      <c r="B568" s="6"/>
      <c r="C568" s="6"/>
      <c r="D568" s="6"/>
      <c r="E568" s="6"/>
      <c r="F568" s="6"/>
      <c r="G568" s="6"/>
      <c r="H568" s="6"/>
      <c r="I568" s="6"/>
      <c r="J568" s="6"/>
      <c r="K568" s="179"/>
      <c r="L568" s="179"/>
      <c r="M568" s="6"/>
      <c r="N568" s="179"/>
      <c r="O568" s="6"/>
      <c r="P568" s="6"/>
      <c r="Q568" s="179"/>
      <c r="R568" s="54"/>
      <c r="S568" s="54"/>
    </row>
    <row r="569" spans="1:19" ht="12.75">
      <c r="A569" s="6"/>
      <c r="B569" s="6"/>
      <c r="C569" s="6"/>
      <c r="D569" s="6"/>
      <c r="E569" s="6"/>
      <c r="F569" s="6"/>
      <c r="G569" s="6"/>
      <c r="H569" s="6"/>
      <c r="I569" s="6"/>
      <c r="J569" s="6"/>
      <c r="K569" s="179"/>
      <c r="L569" s="179"/>
      <c r="M569" s="6"/>
      <c r="N569" s="179"/>
      <c r="O569" s="6"/>
      <c r="P569" s="6"/>
      <c r="Q569" s="179"/>
      <c r="R569" s="54"/>
      <c r="S569" s="54"/>
    </row>
    <row r="570" spans="1:19" ht="12.75">
      <c r="A570" s="6"/>
      <c r="B570" s="6"/>
      <c r="C570" s="6"/>
      <c r="D570" s="6"/>
      <c r="E570" s="6"/>
      <c r="F570" s="6"/>
      <c r="G570" s="6"/>
      <c r="H570" s="6"/>
      <c r="I570" s="6"/>
      <c r="J570" s="6"/>
      <c r="K570" s="179"/>
      <c r="L570" s="179"/>
      <c r="M570" s="6"/>
      <c r="N570" s="179"/>
      <c r="O570" s="6"/>
      <c r="P570" s="6"/>
      <c r="Q570" s="179"/>
      <c r="R570" s="54"/>
      <c r="S570" s="54"/>
    </row>
    <row r="571" spans="1:19" ht="12.75">
      <c r="A571" s="6"/>
      <c r="B571" s="6"/>
      <c r="C571" s="6"/>
      <c r="D571" s="6"/>
      <c r="E571" s="6"/>
      <c r="F571" s="6"/>
      <c r="G571" s="6"/>
      <c r="H571" s="6"/>
      <c r="I571" s="6"/>
      <c r="J571" s="6"/>
      <c r="K571" s="179"/>
      <c r="L571" s="179"/>
      <c r="M571" s="6"/>
      <c r="N571" s="179"/>
      <c r="O571" s="6"/>
      <c r="P571" s="6"/>
      <c r="Q571" s="179"/>
      <c r="R571" s="54"/>
      <c r="S571" s="54"/>
    </row>
    <row r="572" spans="1:19" ht="12.75">
      <c r="A572" s="6"/>
      <c r="B572" s="6"/>
      <c r="C572" s="6"/>
      <c r="D572" s="6"/>
      <c r="E572" s="6"/>
      <c r="F572" s="6"/>
      <c r="G572" s="6"/>
      <c r="H572" s="6"/>
      <c r="I572" s="6"/>
      <c r="J572" s="6"/>
      <c r="K572" s="179"/>
      <c r="L572" s="179"/>
      <c r="M572" s="6"/>
      <c r="N572" s="179"/>
      <c r="O572" s="6"/>
      <c r="P572" s="6"/>
      <c r="Q572" s="179"/>
      <c r="R572" s="54"/>
      <c r="S572" s="54"/>
    </row>
    <row r="573" spans="1:19" ht="12.75">
      <c r="A573" s="6"/>
      <c r="B573" s="6"/>
      <c r="C573" s="6"/>
      <c r="D573" s="6"/>
      <c r="E573" s="6"/>
      <c r="F573" s="6"/>
      <c r="G573" s="6"/>
      <c r="H573" s="6"/>
      <c r="I573" s="6"/>
      <c r="J573" s="6"/>
      <c r="K573" s="179"/>
      <c r="L573" s="179"/>
      <c r="M573" s="6"/>
      <c r="N573" s="179"/>
      <c r="O573" s="6"/>
      <c r="P573" s="6"/>
      <c r="Q573" s="179"/>
      <c r="R573" s="54"/>
      <c r="S573" s="54"/>
    </row>
    <row r="574" spans="1:19" ht="12.75">
      <c r="A574" s="6"/>
      <c r="B574" s="6"/>
      <c r="C574" s="6"/>
      <c r="D574" s="6"/>
      <c r="E574" s="6"/>
      <c r="F574" s="6"/>
      <c r="G574" s="6"/>
      <c r="H574" s="6"/>
      <c r="I574" s="6"/>
      <c r="J574" s="6"/>
      <c r="K574" s="179"/>
      <c r="L574" s="179"/>
      <c r="M574" s="6"/>
      <c r="N574" s="179"/>
      <c r="O574" s="6"/>
      <c r="P574" s="6"/>
      <c r="Q574" s="179"/>
      <c r="R574" s="54"/>
      <c r="S574" s="54"/>
    </row>
    <row r="575" spans="1:19" ht="12.75">
      <c r="A575" s="6"/>
      <c r="B575" s="6"/>
      <c r="C575" s="6"/>
      <c r="D575" s="6"/>
      <c r="E575" s="6"/>
      <c r="F575" s="6"/>
      <c r="G575" s="6"/>
      <c r="H575" s="6"/>
      <c r="I575" s="6"/>
      <c r="J575" s="6"/>
      <c r="K575" s="179"/>
      <c r="L575" s="179"/>
      <c r="M575" s="6"/>
      <c r="N575" s="179"/>
      <c r="O575" s="6"/>
      <c r="P575" s="6"/>
      <c r="Q575" s="179"/>
      <c r="R575" s="54"/>
      <c r="S575" s="54"/>
    </row>
    <row r="576" spans="1:19" ht="12.75">
      <c r="A576" s="6"/>
      <c r="B576" s="6"/>
      <c r="C576" s="6"/>
      <c r="D576" s="6"/>
      <c r="E576" s="6"/>
      <c r="F576" s="6"/>
      <c r="G576" s="6"/>
      <c r="H576" s="6"/>
      <c r="I576" s="6"/>
      <c r="J576" s="6"/>
      <c r="K576" s="179"/>
      <c r="L576" s="179"/>
      <c r="M576" s="6"/>
      <c r="N576" s="179"/>
      <c r="O576" s="6"/>
      <c r="P576" s="6"/>
      <c r="Q576" s="179"/>
      <c r="R576" s="54"/>
      <c r="S576" s="54"/>
    </row>
    <row r="577" spans="1:19" ht="12.75">
      <c r="A577" s="6"/>
      <c r="B577" s="6"/>
      <c r="C577" s="6"/>
      <c r="D577" s="6"/>
      <c r="E577" s="6"/>
      <c r="F577" s="6"/>
      <c r="G577" s="6"/>
      <c r="H577" s="6"/>
      <c r="I577" s="6"/>
      <c r="J577" s="6"/>
      <c r="K577" s="179"/>
      <c r="L577" s="179"/>
      <c r="M577" s="6"/>
      <c r="N577" s="179"/>
      <c r="O577" s="6"/>
      <c r="P577" s="6"/>
      <c r="Q577" s="179"/>
      <c r="R577" s="54"/>
      <c r="S577" s="54"/>
    </row>
    <row r="578" spans="1:19" ht="12.75">
      <c r="A578" s="6"/>
      <c r="B578" s="6"/>
      <c r="C578" s="6"/>
      <c r="D578" s="6"/>
      <c r="E578" s="6"/>
      <c r="F578" s="6"/>
      <c r="G578" s="6"/>
      <c r="H578" s="6"/>
      <c r="I578" s="6"/>
      <c r="J578" s="6"/>
      <c r="K578" s="179"/>
      <c r="L578" s="179"/>
      <c r="M578" s="6"/>
      <c r="N578" s="179"/>
      <c r="O578" s="6"/>
      <c r="P578" s="6"/>
      <c r="Q578" s="179"/>
      <c r="R578" s="54"/>
      <c r="S578" s="54"/>
    </row>
    <row r="579" spans="1:19" ht="12.75">
      <c r="A579" s="6"/>
      <c r="B579" s="6"/>
      <c r="C579" s="6"/>
      <c r="D579" s="6"/>
      <c r="E579" s="6"/>
      <c r="F579" s="6"/>
      <c r="G579" s="6"/>
      <c r="H579" s="6"/>
      <c r="I579" s="6"/>
      <c r="J579" s="6"/>
      <c r="K579" s="179"/>
      <c r="L579" s="179"/>
      <c r="M579" s="6"/>
      <c r="N579" s="179"/>
      <c r="O579" s="6"/>
      <c r="P579" s="6"/>
      <c r="Q579" s="179"/>
      <c r="R579" s="54"/>
      <c r="S579" s="54"/>
    </row>
    <row r="580" spans="1:19" ht="12.75">
      <c r="A580" s="6"/>
      <c r="B580" s="6"/>
      <c r="C580" s="6"/>
      <c r="D580" s="6"/>
      <c r="E580" s="6"/>
      <c r="F580" s="6"/>
      <c r="G580" s="6"/>
      <c r="H580" s="6"/>
      <c r="I580" s="6"/>
      <c r="J580" s="6"/>
      <c r="K580" s="179"/>
      <c r="L580" s="179"/>
      <c r="M580" s="6"/>
      <c r="N580" s="179"/>
      <c r="O580" s="6"/>
      <c r="P580" s="6"/>
      <c r="Q580" s="179"/>
      <c r="R580" s="54"/>
      <c r="S580" s="54"/>
    </row>
    <row r="581" spans="1:19" ht="12.75">
      <c r="A581" s="6"/>
      <c r="B581" s="6"/>
      <c r="C581" s="6"/>
      <c r="D581" s="6"/>
      <c r="E581" s="6"/>
      <c r="F581" s="6"/>
      <c r="G581" s="6"/>
      <c r="H581" s="6"/>
      <c r="I581" s="6"/>
      <c r="J581" s="6"/>
      <c r="K581" s="179"/>
      <c r="L581" s="179"/>
      <c r="M581" s="6"/>
      <c r="N581" s="179"/>
      <c r="O581" s="6"/>
      <c r="P581" s="6"/>
      <c r="Q581" s="179"/>
      <c r="R581" s="54"/>
      <c r="S581" s="54"/>
    </row>
    <row r="582" spans="1:19" ht="12.75">
      <c r="A582" s="6"/>
      <c r="B582" s="6"/>
      <c r="C582" s="6"/>
      <c r="D582" s="6"/>
      <c r="E582" s="6"/>
      <c r="F582" s="6"/>
      <c r="G582" s="6"/>
      <c r="H582" s="6"/>
      <c r="I582" s="6"/>
      <c r="J582" s="6"/>
      <c r="K582" s="179"/>
      <c r="L582" s="179"/>
      <c r="M582" s="6"/>
      <c r="N582" s="179"/>
      <c r="O582" s="6"/>
      <c r="P582" s="6"/>
      <c r="Q582" s="179"/>
      <c r="R582" s="54"/>
      <c r="S582" s="54"/>
    </row>
    <row r="583" spans="1:19" ht="12.75">
      <c r="A583" s="6"/>
      <c r="B583" s="6"/>
      <c r="C583" s="6"/>
      <c r="D583" s="6"/>
      <c r="E583" s="6"/>
      <c r="F583" s="6"/>
      <c r="G583" s="6"/>
      <c r="H583" s="6"/>
      <c r="I583" s="6"/>
      <c r="J583" s="6"/>
      <c r="K583" s="179"/>
      <c r="L583" s="179"/>
      <c r="M583" s="6"/>
      <c r="N583" s="179"/>
      <c r="O583" s="6"/>
      <c r="P583" s="6"/>
      <c r="Q583" s="179"/>
      <c r="R583" s="54"/>
      <c r="S583" s="54"/>
    </row>
    <row r="584" spans="1:19" ht="12.75">
      <c r="A584" s="6"/>
      <c r="B584" s="6"/>
      <c r="C584" s="6"/>
      <c r="D584" s="6"/>
      <c r="E584" s="6"/>
      <c r="F584" s="6"/>
      <c r="G584" s="6"/>
      <c r="H584" s="6"/>
      <c r="I584" s="6"/>
      <c r="J584" s="6"/>
      <c r="K584" s="179"/>
      <c r="L584" s="179"/>
      <c r="M584" s="6"/>
      <c r="N584" s="179"/>
      <c r="O584" s="6"/>
      <c r="P584" s="6"/>
      <c r="Q584" s="179"/>
      <c r="R584" s="54"/>
      <c r="S584" s="54"/>
    </row>
    <row r="585" spans="1:19" ht="12.75">
      <c r="A585" s="6"/>
      <c r="B585" s="6"/>
      <c r="C585" s="6"/>
      <c r="D585" s="6"/>
      <c r="E585" s="6"/>
      <c r="F585" s="6"/>
      <c r="G585" s="6"/>
      <c r="H585" s="6"/>
      <c r="I585" s="6"/>
      <c r="J585" s="6"/>
      <c r="K585" s="179"/>
      <c r="L585" s="179"/>
      <c r="M585" s="6"/>
      <c r="N585" s="179"/>
      <c r="O585" s="6"/>
      <c r="P585" s="6"/>
      <c r="Q585" s="179"/>
      <c r="R585" s="54"/>
      <c r="S585" s="54"/>
    </row>
    <row r="586" spans="1:19" ht="12.75">
      <c r="A586" s="6"/>
      <c r="B586" s="6"/>
      <c r="C586" s="6"/>
      <c r="D586" s="6"/>
      <c r="E586" s="6"/>
      <c r="F586" s="6"/>
      <c r="G586" s="6"/>
      <c r="H586" s="6"/>
      <c r="I586" s="6"/>
      <c r="J586" s="6"/>
      <c r="K586" s="179"/>
      <c r="L586" s="179"/>
      <c r="M586" s="6"/>
      <c r="N586" s="179"/>
      <c r="O586" s="6"/>
      <c r="P586" s="6"/>
      <c r="Q586" s="179"/>
      <c r="R586" s="54"/>
      <c r="S586" s="54"/>
    </row>
    <row r="587" spans="1:19" ht="12.75">
      <c r="A587" s="6"/>
      <c r="B587" s="6"/>
      <c r="C587" s="6"/>
      <c r="D587" s="6"/>
      <c r="E587" s="6"/>
      <c r="F587" s="6"/>
      <c r="G587" s="6"/>
      <c r="H587" s="6"/>
      <c r="I587" s="6"/>
      <c r="J587" s="6"/>
      <c r="K587" s="179"/>
      <c r="L587" s="179"/>
      <c r="M587" s="6"/>
      <c r="N587" s="179"/>
      <c r="O587" s="6"/>
      <c r="P587" s="6"/>
      <c r="Q587" s="179"/>
      <c r="R587" s="54"/>
      <c r="S587" s="54"/>
    </row>
    <row r="588" spans="1:19" ht="12.75">
      <c r="A588" s="6"/>
      <c r="B588" s="6"/>
      <c r="C588" s="6"/>
      <c r="D588" s="6"/>
      <c r="E588" s="6"/>
      <c r="F588" s="6"/>
      <c r="G588" s="6"/>
      <c r="H588" s="6"/>
      <c r="I588" s="6"/>
      <c r="J588" s="6"/>
      <c r="K588" s="179"/>
      <c r="L588" s="179"/>
      <c r="M588" s="6"/>
      <c r="N588" s="179"/>
      <c r="O588" s="6"/>
      <c r="P588" s="6"/>
      <c r="Q588" s="179"/>
      <c r="R588" s="54"/>
      <c r="S588" s="54"/>
    </row>
    <row r="589" spans="1:19" ht="12.75">
      <c r="A589" s="6"/>
      <c r="B589" s="6"/>
      <c r="C589" s="6"/>
      <c r="D589" s="6"/>
      <c r="E589" s="6"/>
      <c r="F589" s="6"/>
      <c r="G589" s="6"/>
      <c r="H589" s="6"/>
      <c r="I589" s="6"/>
      <c r="J589" s="6"/>
      <c r="K589" s="179"/>
      <c r="L589" s="179"/>
      <c r="M589" s="6"/>
      <c r="N589" s="179"/>
      <c r="O589" s="6"/>
      <c r="P589" s="6"/>
      <c r="Q589" s="179"/>
      <c r="R589" s="54"/>
      <c r="S589" s="54"/>
    </row>
    <row r="590" spans="1:19" ht="12.75">
      <c r="A590" s="6"/>
      <c r="B590" s="6"/>
      <c r="C590" s="6"/>
      <c r="D590" s="6"/>
      <c r="E590" s="6"/>
      <c r="F590" s="6"/>
      <c r="G590" s="6"/>
      <c r="H590" s="6"/>
      <c r="I590" s="6"/>
      <c r="J590" s="6"/>
      <c r="K590" s="179"/>
      <c r="L590" s="179"/>
      <c r="M590" s="6"/>
      <c r="N590" s="179"/>
      <c r="O590" s="6"/>
      <c r="P590" s="6"/>
      <c r="Q590" s="179"/>
      <c r="R590" s="54"/>
      <c r="S590" s="54"/>
    </row>
    <row r="591" spans="1:19" ht="12.75">
      <c r="A591" s="6"/>
      <c r="B591" s="6"/>
      <c r="C591" s="6"/>
      <c r="D591" s="6"/>
      <c r="E591" s="6"/>
      <c r="F591" s="6"/>
      <c r="G591" s="6"/>
      <c r="H591" s="6"/>
      <c r="I591" s="6"/>
      <c r="J591" s="6"/>
      <c r="K591" s="179"/>
      <c r="L591" s="179"/>
      <c r="M591" s="6"/>
      <c r="N591" s="179"/>
      <c r="O591" s="6"/>
      <c r="P591" s="6"/>
      <c r="Q591" s="179"/>
      <c r="R591" s="54"/>
      <c r="S591" s="54"/>
    </row>
    <row r="592" spans="1:19" ht="12.75">
      <c r="A592" s="6"/>
      <c r="B592" s="6"/>
      <c r="C592" s="6"/>
      <c r="D592" s="6"/>
      <c r="E592" s="6"/>
      <c r="F592" s="6"/>
      <c r="G592" s="6"/>
      <c r="H592" s="6"/>
      <c r="I592" s="6"/>
      <c r="J592" s="6"/>
      <c r="K592" s="179"/>
      <c r="L592" s="179"/>
      <c r="M592" s="6"/>
      <c r="N592" s="179"/>
      <c r="O592" s="6"/>
      <c r="P592" s="6"/>
      <c r="Q592" s="179"/>
      <c r="R592" s="54"/>
      <c r="S592" s="54"/>
    </row>
    <row r="593" spans="1:19" ht="12.75">
      <c r="A593" s="6"/>
      <c r="B593" s="6"/>
      <c r="C593" s="6"/>
      <c r="D593" s="6"/>
      <c r="E593" s="6"/>
      <c r="F593" s="6"/>
      <c r="G593" s="6"/>
      <c r="H593" s="6"/>
      <c r="I593" s="6"/>
      <c r="J593" s="6"/>
      <c r="K593" s="179"/>
      <c r="L593" s="179"/>
      <c r="M593" s="6"/>
      <c r="N593" s="179"/>
      <c r="O593" s="6"/>
      <c r="P593" s="6"/>
      <c r="Q593" s="179"/>
      <c r="R593" s="54"/>
      <c r="S593" s="54"/>
    </row>
    <row r="594" spans="1:19" ht="12.75">
      <c r="A594" s="6"/>
      <c r="B594" s="6"/>
      <c r="C594" s="6"/>
      <c r="D594" s="6"/>
      <c r="E594" s="6"/>
      <c r="F594" s="6"/>
      <c r="G594" s="6"/>
      <c r="H594" s="6"/>
      <c r="I594" s="6"/>
      <c r="J594" s="6"/>
      <c r="K594" s="179"/>
      <c r="L594" s="179"/>
      <c r="M594" s="6"/>
      <c r="N594" s="179"/>
      <c r="O594" s="6"/>
      <c r="P594" s="6"/>
      <c r="Q594" s="179"/>
      <c r="R594" s="54"/>
      <c r="S594" s="54"/>
    </row>
    <row r="595" spans="1:19" ht="12.75">
      <c r="A595" s="6"/>
      <c r="B595" s="6"/>
      <c r="C595" s="6"/>
      <c r="D595" s="6"/>
      <c r="E595" s="6"/>
      <c r="F595" s="6"/>
      <c r="G595" s="6"/>
      <c r="H595" s="6"/>
      <c r="I595" s="6"/>
      <c r="J595" s="6"/>
      <c r="K595" s="179"/>
      <c r="L595" s="179"/>
      <c r="M595" s="6"/>
      <c r="N595" s="179"/>
      <c r="O595" s="6"/>
      <c r="P595" s="6"/>
      <c r="Q595" s="179"/>
      <c r="R595" s="54"/>
      <c r="S595" s="54"/>
    </row>
    <row r="596" spans="1:19" ht="12.75">
      <c r="A596" s="6"/>
      <c r="B596" s="6"/>
      <c r="C596" s="6"/>
      <c r="D596" s="6"/>
      <c r="E596" s="6"/>
      <c r="F596" s="6"/>
      <c r="G596" s="6"/>
      <c r="H596" s="6"/>
      <c r="I596" s="6"/>
      <c r="J596" s="6"/>
      <c r="K596" s="179"/>
      <c r="L596" s="179"/>
      <c r="M596" s="6"/>
      <c r="N596" s="179"/>
      <c r="O596" s="6"/>
      <c r="P596" s="6"/>
      <c r="Q596" s="179"/>
      <c r="R596" s="54"/>
      <c r="S596" s="54"/>
    </row>
    <row r="597" spans="1:19" ht="12.75">
      <c r="A597" s="6"/>
      <c r="B597" s="6"/>
      <c r="C597" s="6"/>
      <c r="D597" s="6"/>
      <c r="E597" s="6"/>
      <c r="F597" s="6"/>
      <c r="G597" s="6"/>
      <c r="H597" s="6"/>
      <c r="I597" s="6"/>
      <c r="J597" s="6"/>
      <c r="K597" s="179"/>
      <c r="L597" s="179"/>
      <c r="M597" s="6"/>
      <c r="N597" s="179"/>
      <c r="O597" s="6"/>
      <c r="P597" s="6"/>
      <c r="Q597" s="179"/>
      <c r="R597" s="54"/>
      <c r="S597" s="54"/>
    </row>
    <row r="598" spans="1:19" ht="12.75">
      <c r="A598" s="6"/>
      <c r="B598" s="6"/>
      <c r="C598" s="6"/>
      <c r="D598" s="6"/>
      <c r="E598" s="6"/>
      <c r="F598" s="6"/>
      <c r="G598" s="6"/>
      <c r="H598" s="6"/>
      <c r="I598" s="6"/>
      <c r="J598" s="6"/>
      <c r="K598" s="179"/>
      <c r="L598" s="179"/>
      <c r="M598" s="6"/>
      <c r="N598" s="179"/>
      <c r="O598" s="6"/>
      <c r="P598" s="6"/>
      <c r="Q598" s="179"/>
      <c r="R598" s="54"/>
      <c r="S598" s="54"/>
    </row>
    <row r="599" spans="1:19" ht="12.75">
      <c r="A599" s="6"/>
      <c r="B599" s="6"/>
      <c r="C599" s="6"/>
      <c r="D599" s="6"/>
      <c r="E599" s="6"/>
      <c r="F599" s="6"/>
      <c r="G599" s="6"/>
      <c r="H599" s="6"/>
      <c r="I599" s="6"/>
      <c r="J599" s="6"/>
      <c r="K599" s="179"/>
      <c r="L599" s="179"/>
      <c r="M599" s="6"/>
      <c r="N599" s="179"/>
      <c r="O599" s="6"/>
      <c r="P599" s="6"/>
      <c r="Q599" s="179"/>
      <c r="R599" s="54"/>
      <c r="S599" s="54"/>
    </row>
    <row r="600" spans="1:19" ht="12.75">
      <c r="A600" s="6"/>
      <c r="B600" s="6"/>
      <c r="C600" s="6"/>
      <c r="D600" s="6"/>
      <c r="E600" s="6"/>
      <c r="F600" s="6"/>
      <c r="G600" s="6"/>
      <c r="H600" s="6"/>
      <c r="I600" s="6"/>
      <c r="J600" s="6"/>
      <c r="K600" s="179"/>
      <c r="L600" s="179"/>
      <c r="M600" s="6"/>
      <c r="N600" s="179"/>
      <c r="O600" s="6"/>
      <c r="P600" s="6"/>
      <c r="Q600" s="179"/>
      <c r="R600" s="54"/>
      <c r="S600" s="54"/>
    </row>
    <row r="601" spans="1:19" ht="12.75">
      <c r="A601" s="6"/>
      <c r="B601" s="6"/>
      <c r="C601" s="6"/>
      <c r="D601" s="6"/>
      <c r="E601" s="6"/>
      <c r="F601" s="6"/>
      <c r="G601" s="6"/>
      <c r="H601" s="6"/>
      <c r="I601" s="6"/>
      <c r="J601" s="6"/>
      <c r="K601" s="179"/>
      <c r="L601" s="179"/>
      <c r="M601" s="6"/>
      <c r="N601" s="179"/>
      <c r="O601" s="6"/>
      <c r="P601" s="6"/>
      <c r="Q601" s="179"/>
      <c r="R601" s="54"/>
      <c r="S601" s="54"/>
    </row>
    <row r="602" spans="1:19" ht="12.75">
      <c r="A602" s="6"/>
      <c r="B602" s="6"/>
      <c r="C602" s="6"/>
      <c r="D602" s="6"/>
      <c r="E602" s="6"/>
      <c r="F602" s="6"/>
      <c r="G602" s="6"/>
      <c r="H602" s="6"/>
      <c r="I602" s="6"/>
      <c r="J602" s="6"/>
      <c r="K602" s="179"/>
      <c r="L602" s="179"/>
      <c r="M602" s="6"/>
      <c r="N602" s="179"/>
      <c r="O602" s="6"/>
      <c r="P602" s="6"/>
      <c r="Q602" s="179"/>
      <c r="R602" s="54"/>
      <c r="S602" s="54"/>
    </row>
    <row r="603" spans="1:19" ht="12.75">
      <c r="A603" s="6"/>
      <c r="B603" s="6"/>
      <c r="C603" s="6"/>
      <c r="D603" s="6"/>
      <c r="E603" s="6"/>
      <c r="F603" s="6"/>
      <c r="G603" s="6"/>
      <c r="H603" s="6"/>
      <c r="I603" s="6"/>
      <c r="J603" s="6"/>
      <c r="K603" s="179"/>
      <c r="L603" s="179"/>
      <c r="M603" s="6"/>
      <c r="N603" s="179"/>
      <c r="O603" s="6"/>
      <c r="P603" s="6"/>
      <c r="Q603" s="179"/>
      <c r="R603" s="54"/>
      <c r="S603" s="54"/>
    </row>
    <row r="604" spans="1:19" ht="12.75">
      <c r="A604" s="6"/>
      <c r="B604" s="6"/>
      <c r="C604" s="6"/>
      <c r="D604" s="6"/>
      <c r="E604" s="6"/>
      <c r="F604" s="6"/>
      <c r="G604" s="6"/>
      <c r="H604" s="6"/>
      <c r="I604" s="6"/>
      <c r="J604" s="6"/>
      <c r="K604" s="179"/>
      <c r="L604" s="179"/>
      <c r="M604" s="6"/>
      <c r="N604" s="179"/>
      <c r="O604" s="6"/>
      <c r="P604" s="6"/>
      <c r="Q604" s="179"/>
      <c r="R604" s="54"/>
      <c r="S604" s="54"/>
    </row>
    <row r="605" spans="1:19" ht="12.75">
      <c r="A605" s="6"/>
      <c r="B605" s="6"/>
      <c r="C605" s="6"/>
      <c r="D605" s="6"/>
      <c r="E605" s="6"/>
      <c r="F605" s="6"/>
      <c r="G605" s="6"/>
      <c r="H605" s="6"/>
      <c r="I605" s="6"/>
      <c r="J605" s="6"/>
      <c r="K605" s="179"/>
      <c r="L605" s="179"/>
      <c r="M605" s="6"/>
      <c r="N605" s="179"/>
      <c r="O605" s="6"/>
      <c r="P605" s="6"/>
      <c r="Q605" s="179"/>
      <c r="R605" s="54"/>
      <c r="S605" s="54"/>
    </row>
    <row r="606" spans="1:19" ht="12.75">
      <c r="A606" s="6"/>
      <c r="B606" s="6"/>
      <c r="C606" s="6"/>
      <c r="D606" s="6"/>
      <c r="E606" s="6"/>
      <c r="F606" s="6"/>
      <c r="G606" s="6"/>
      <c r="H606" s="6"/>
      <c r="I606" s="6"/>
      <c r="J606" s="6"/>
      <c r="K606" s="179"/>
      <c r="L606" s="179"/>
      <c r="M606" s="6"/>
      <c r="N606" s="179"/>
      <c r="O606" s="6"/>
      <c r="P606" s="6"/>
      <c r="Q606" s="179"/>
      <c r="R606" s="54"/>
      <c r="S606" s="54"/>
    </row>
    <row r="607" spans="1:19" ht="12.75">
      <c r="A607" s="6"/>
      <c r="B607" s="6"/>
      <c r="C607" s="6"/>
      <c r="D607" s="6"/>
      <c r="E607" s="6"/>
      <c r="F607" s="6"/>
      <c r="G607" s="6"/>
      <c r="H607" s="6"/>
      <c r="I607" s="6"/>
      <c r="J607" s="6"/>
      <c r="K607" s="179"/>
      <c r="L607" s="179"/>
      <c r="M607" s="6"/>
      <c r="N607" s="179"/>
      <c r="O607" s="6"/>
      <c r="P607" s="6"/>
      <c r="Q607" s="179"/>
      <c r="R607" s="54"/>
      <c r="S607" s="54"/>
    </row>
    <row r="608" spans="1:19" ht="12.75">
      <c r="A608" s="6"/>
      <c r="B608" s="6"/>
      <c r="C608" s="6"/>
      <c r="D608" s="6"/>
      <c r="E608" s="6"/>
      <c r="F608" s="6"/>
      <c r="G608" s="6"/>
      <c r="H608" s="6"/>
      <c r="I608" s="6"/>
      <c r="J608" s="6"/>
      <c r="K608" s="179"/>
      <c r="L608" s="179"/>
      <c r="M608" s="6"/>
      <c r="N608" s="179"/>
      <c r="O608" s="6"/>
      <c r="P608" s="6"/>
      <c r="Q608" s="179"/>
      <c r="R608" s="54"/>
      <c r="S608" s="54"/>
    </row>
    <row r="609" spans="1:19" ht="12.75">
      <c r="A609" s="6"/>
      <c r="B609" s="6"/>
      <c r="C609" s="6"/>
      <c r="D609" s="6"/>
      <c r="E609" s="6"/>
      <c r="F609" s="6"/>
      <c r="G609" s="6"/>
      <c r="H609" s="6"/>
      <c r="I609" s="6"/>
      <c r="J609" s="6"/>
      <c r="K609" s="179"/>
      <c r="L609" s="179"/>
      <c r="M609" s="6"/>
      <c r="N609" s="179"/>
      <c r="O609" s="6"/>
      <c r="P609" s="6"/>
      <c r="Q609" s="179"/>
      <c r="R609" s="54"/>
      <c r="S609" s="54"/>
    </row>
    <row r="610" spans="1:19" ht="12.75">
      <c r="A610" s="6"/>
      <c r="B610" s="6"/>
      <c r="C610" s="6"/>
      <c r="D610" s="6"/>
      <c r="E610" s="6"/>
      <c r="F610" s="6"/>
      <c r="G610" s="6"/>
      <c r="H610" s="6"/>
      <c r="I610" s="6"/>
      <c r="J610" s="6"/>
      <c r="K610" s="179"/>
      <c r="L610" s="179"/>
      <c r="M610" s="6"/>
      <c r="N610" s="179"/>
      <c r="O610" s="6"/>
      <c r="P610" s="6"/>
      <c r="Q610" s="179"/>
      <c r="R610" s="54"/>
      <c r="S610" s="54"/>
    </row>
    <row r="611" spans="1:19" ht="12.75">
      <c r="A611" s="6"/>
      <c r="B611" s="6"/>
      <c r="C611" s="6"/>
      <c r="D611" s="6"/>
      <c r="E611" s="6"/>
      <c r="F611" s="6"/>
      <c r="G611" s="6"/>
      <c r="H611" s="6"/>
      <c r="I611" s="6"/>
      <c r="J611" s="6"/>
      <c r="K611" s="179"/>
      <c r="L611" s="179"/>
      <c r="M611" s="6"/>
      <c r="N611" s="179"/>
      <c r="O611" s="6"/>
      <c r="P611" s="6"/>
      <c r="Q611" s="179"/>
      <c r="R611" s="54"/>
      <c r="S611" s="54"/>
    </row>
    <row r="612" spans="1:19" ht="12.75">
      <c r="A612" s="6"/>
      <c r="B612" s="6"/>
      <c r="C612" s="6"/>
      <c r="D612" s="6"/>
      <c r="E612" s="6"/>
      <c r="F612" s="6"/>
      <c r="G612" s="6"/>
      <c r="H612" s="6"/>
      <c r="I612" s="6"/>
      <c r="J612" s="6"/>
      <c r="K612" s="179"/>
      <c r="L612" s="179"/>
      <c r="M612" s="6"/>
      <c r="N612" s="179"/>
      <c r="O612" s="6"/>
      <c r="P612" s="6"/>
      <c r="Q612" s="179"/>
      <c r="R612" s="54"/>
      <c r="S612" s="54"/>
    </row>
    <row r="613" spans="1:19" ht="12.75">
      <c r="A613" s="6"/>
      <c r="B613" s="6"/>
      <c r="C613" s="6"/>
      <c r="D613" s="6"/>
      <c r="E613" s="6"/>
      <c r="F613" s="6"/>
      <c r="G613" s="6"/>
      <c r="H613" s="6"/>
      <c r="I613" s="6"/>
      <c r="J613" s="6"/>
      <c r="K613" s="179"/>
      <c r="L613" s="179"/>
      <c r="M613" s="6"/>
      <c r="N613" s="179"/>
      <c r="O613" s="6"/>
      <c r="P613" s="6"/>
      <c r="Q613" s="179"/>
      <c r="R613" s="54"/>
      <c r="S613" s="54"/>
    </row>
    <row r="614" spans="1:19" ht="12.75">
      <c r="A614" s="6"/>
      <c r="B614" s="6"/>
      <c r="C614" s="6"/>
      <c r="D614" s="6"/>
      <c r="E614" s="6"/>
      <c r="F614" s="6"/>
      <c r="G614" s="6"/>
      <c r="H614" s="6"/>
      <c r="I614" s="6"/>
      <c r="J614" s="6"/>
      <c r="K614" s="179"/>
      <c r="L614" s="179"/>
      <c r="M614" s="6"/>
      <c r="N614" s="179"/>
      <c r="O614" s="6"/>
      <c r="P614" s="6"/>
      <c r="Q614" s="179"/>
      <c r="R614" s="54"/>
      <c r="S614" s="54"/>
    </row>
    <row r="615" spans="1:19" ht="12.75">
      <c r="A615" s="6"/>
      <c r="B615" s="6"/>
      <c r="C615" s="6"/>
      <c r="D615" s="6"/>
      <c r="E615" s="6"/>
      <c r="F615" s="6"/>
      <c r="G615" s="6"/>
      <c r="H615" s="6"/>
      <c r="I615" s="6"/>
      <c r="J615" s="6"/>
      <c r="K615" s="179"/>
      <c r="L615" s="179"/>
      <c r="M615" s="6"/>
      <c r="N615" s="179"/>
      <c r="O615" s="6"/>
      <c r="P615" s="6"/>
      <c r="Q615" s="179"/>
      <c r="R615" s="54"/>
      <c r="S615" s="54"/>
    </row>
    <row r="616" spans="1:19" ht="12.75">
      <c r="A616" s="6"/>
      <c r="B616" s="6"/>
      <c r="C616" s="6"/>
      <c r="D616" s="6"/>
      <c r="E616" s="6"/>
      <c r="F616" s="6"/>
      <c r="G616" s="6"/>
      <c r="H616" s="6"/>
      <c r="I616" s="6"/>
      <c r="J616" s="6"/>
      <c r="K616" s="179"/>
      <c r="L616" s="179"/>
      <c r="M616" s="6"/>
      <c r="N616" s="179"/>
      <c r="O616" s="6"/>
      <c r="P616" s="6"/>
      <c r="Q616" s="179"/>
      <c r="R616" s="54"/>
      <c r="S616" s="54"/>
    </row>
    <row r="617" spans="1:19" ht="12.75">
      <c r="A617" s="6"/>
      <c r="B617" s="6"/>
      <c r="C617" s="6"/>
      <c r="D617" s="6"/>
      <c r="E617" s="6"/>
      <c r="F617" s="6"/>
      <c r="G617" s="6"/>
      <c r="H617" s="6"/>
      <c r="I617" s="6"/>
      <c r="J617" s="6"/>
      <c r="K617" s="179"/>
      <c r="L617" s="179"/>
      <c r="M617" s="6"/>
      <c r="N617" s="179"/>
      <c r="O617" s="6"/>
      <c r="P617" s="6"/>
      <c r="Q617" s="179"/>
      <c r="R617" s="54"/>
      <c r="S617" s="54"/>
    </row>
    <row r="618" spans="1:19" ht="12.75">
      <c r="A618" s="6"/>
      <c r="B618" s="6"/>
      <c r="C618" s="6"/>
      <c r="D618" s="6"/>
      <c r="E618" s="6"/>
      <c r="F618" s="6"/>
      <c r="G618" s="6"/>
      <c r="H618" s="6"/>
      <c r="I618" s="6"/>
      <c r="J618" s="6"/>
      <c r="K618" s="179"/>
      <c r="L618" s="179"/>
      <c r="M618" s="6"/>
      <c r="N618" s="179"/>
      <c r="O618" s="6"/>
      <c r="P618" s="6"/>
      <c r="Q618" s="179"/>
      <c r="R618" s="54"/>
      <c r="S618" s="54"/>
    </row>
    <row r="619" spans="1:19" ht="12.75">
      <c r="A619" s="6"/>
      <c r="B619" s="6"/>
      <c r="C619" s="6"/>
      <c r="D619" s="6"/>
      <c r="E619" s="6"/>
      <c r="F619" s="6"/>
      <c r="G619" s="6"/>
      <c r="H619" s="6"/>
      <c r="I619" s="6"/>
      <c r="J619" s="6"/>
      <c r="K619" s="179"/>
      <c r="L619" s="179"/>
      <c r="M619" s="6"/>
      <c r="N619" s="179"/>
      <c r="O619" s="6"/>
      <c r="P619" s="6"/>
      <c r="Q619" s="179"/>
      <c r="R619" s="54"/>
      <c r="S619" s="54"/>
    </row>
    <row r="620" spans="1:19" ht="12.75">
      <c r="A620" s="6"/>
      <c r="B620" s="6"/>
      <c r="C620" s="6"/>
      <c r="D620" s="6"/>
      <c r="E620" s="6"/>
      <c r="F620" s="6"/>
      <c r="G620" s="6"/>
      <c r="H620" s="6"/>
      <c r="I620" s="6"/>
      <c r="J620" s="6"/>
      <c r="K620" s="179"/>
      <c r="L620" s="179"/>
      <c r="M620" s="6"/>
      <c r="N620" s="179"/>
      <c r="O620" s="6"/>
      <c r="P620" s="6"/>
      <c r="Q620" s="179"/>
      <c r="R620" s="54"/>
      <c r="S620" s="54"/>
    </row>
    <row r="621" spans="1:19" ht="12.75">
      <c r="A621" s="6"/>
      <c r="B621" s="6"/>
      <c r="C621" s="6"/>
      <c r="D621" s="6"/>
      <c r="E621" s="6"/>
      <c r="F621" s="6"/>
      <c r="G621" s="6"/>
      <c r="H621" s="6"/>
      <c r="I621" s="6"/>
      <c r="J621" s="6"/>
      <c r="K621" s="179"/>
      <c r="L621" s="179"/>
      <c r="M621" s="6"/>
      <c r="N621" s="179"/>
      <c r="O621" s="6"/>
      <c r="P621" s="6"/>
      <c r="Q621" s="179"/>
      <c r="R621" s="54"/>
      <c r="S621" s="54"/>
    </row>
    <row r="622" spans="1:19" ht="12.75">
      <c r="A622" s="6"/>
      <c r="B622" s="6"/>
      <c r="C622" s="6"/>
      <c r="D622" s="6"/>
      <c r="E622" s="6"/>
      <c r="F622" s="6"/>
      <c r="G622" s="6"/>
      <c r="H622" s="6"/>
      <c r="I622" s="6"/>
      <c r="J622" s="6"/>
      <c r="K622" s="179"/>
      <c r="L622" s="179"/>
      <c r="M622" s="6"/>
      <c r="N622" s="179"/>
      <c r="O622" s="6"/>
      <c r="P622" s="6"/>
      <c r="Q622" s="179"/>
      <c r="R622" s="54"/>
      <c r="S622" s="54"/>
    </row>
    <row r="623" spans="1:19" ht="12.75">
      <c r="A623" s="6"/>
      <c r="B623" s="6"/>
      <c r="C623" s="6"/>
      <c r="D623" s="6"/>
      <c r="E623" s="6"/>
      <c r="F623" s="6"/>
      <c r="G623" s="6"/>
      <c r="H623" s="6"/>
      <c r="I623" s="6"/>
      <c r="J623" s="6"/>
      <c r="K623" s="179"/>
      <c r="L623" s="179"/>
      <c r="M623" s="6"/>
      <c r="N623" s="179"/>
      <c r="O623" s="6"/>
      <c r="P623" s="6"/>
      <c r="Q623" s="179"/>
      <c r="R623" s="54"/>
      <c r="S623" s="54"/>
    </row>
    <row r="624" spans="1:19" ht="12.75">
      <c r="A624" s="6"/>
      <c r="B624" s="6"/>
      <c r="C624" s="6"/>
      <c r="D624" s="6"/>
      <c r="E624" s="6"/>
      <c r="F624" s="6"/>
      <c r="G624" s="6"/>
      <c r="H624" s="6"/>
      <c r="I624" s="6"/>
      <c r="J624" s="6"/>
      <c r="K624" s="179"/>
      <c r="L624" s="179"/>
      <c r="M624" s="6"/>
      <c r="N624" s="179"/>
      <c r="O624" s="6"/>
      <c r="P624" s="6"/>
      <c r="Q624" s="179"/>
      <c r="R624" s="54"/>
      <c r="S624" s="54"/>
    </row>
    <row r="625" spans="1:19" ht="12.75">
      <c r="A625" s="6"/>
      <c r="B625" s="6"/>
      <c r="C625" s="6"/>
      <c r="D625" s="6"/>
      <c r="E625" s="6"/>
      <c r="F625" s="6"/>
      <c r="G625" s="6"/>
      <c r="H625" s="6"/>
      <c r="I625" s="6"/>
      <c r="J625" s="6"/>
      <c r="K625" s="179"/>
      <c r="L625" s="179"/>
      <c r="M625" s="6"/>
      <c r="N625" s="179"/>
      <c r="O625" s="6"/>
      <c r="P625" s="6"/>
      <c r="Q625" s="179"/>
      <c r="R625" s="54"/>
      <c r="S625" s="54"/>
    </row>
    <row r="626" spans="1:19" ht="12.75">
      <c r="A626" s="6"/>
      <c r="B626" s="6"/>
      <c r="C626" s="6"/>
      <c r="D626" s="6"/>
      <c r="E626" s="6"/>
      <c r="F626" s="6"/>
      <c r="G626" s="6"/>
      <c r="H626" s="6"/>
      <c r="I626" s="6"/>
      <c r="J626" s="6"/>
      <c r="K626" s="179"/>
      <c r="L626" s="179"/>
      <c r="M626" s="6"/>
      <c r="N626" s="179"/>
      <c r="O626" s="6"/>
      <c r="P626" s="6"/>
      <c r="Q626" s="179"/>
      <c r="R626" s="54"/>
      <c r="S626" s="54"/>
    </row>
    <row r="627" spans="1:19" ht="12.75">
      <c r="A627" s="6"/>
      <c r="B627" s="6"/>
      <c r="C627" s="6"/>
      <c r="D627" s="6"/>
      <c r="E627" s="6"/>
      <c r="F627" s="6"/>
      <c r="G627" s="6"/>
      <c r="H627" s="6"/>
      <c r="I627" s="6"/>
      <c r="J627" s="6"/>
      <c r="K627" s="179"/>
      <c r="L627" s="179"/>
      <c r="M627" s="6"/>
      <c r="N627" s="179"/>
      <c r="O627" s="6"/>
      <c r="P627" s="6"/>
      <c r="Q627" s="179"/>
      <c r="R627" s="54"/>
      <c r="S627" s="54"/>
    </row>
    <row r="628" spans="1:19" ht="12.75">
      <c r="A628" s="6"/>
      <c r="B628" s="6"/>
      <c r="C628" s="6"/>
      <c r="D628" s="6"/>
      <c r="E628" s="6"/>
      <c r="F628" s="6"/>
      <c r="G628" s="6"/>
      <c r="H628" s="6"/>
      <c r="I628" s="6"/>
      <c r="J628" s="6"/>
      <c r="K628" s="179"/>
      <c r="L628" s="179"/>
      <c r="M628" s="6"/>
      <c r="N628" s="179"/>
      <c r="O628" s="6"/>
      <c r="P628" s="6"/>
      <c r="Q628" s="179"/>
      <c r="R628" s="54"/>
      <c r="S628" s="54"/>
    </row>
    <row r="629" spans="1:19" ht="12.75">
      <c r="A629" s="6"/>
      <c r="B629" s="6"/>
      <c r="C629" s="6"/>
      <c r="D629" s="6"/>
      <c r="E629" s="6"/>
      <c r="F629" s="6"/>
      <c r="G629" s="6"/>
      <c r="H629" s="6"/>
      <c r="I629" s="6"/>
      <c r="J629" s="6"/>
      <c r="K629" s="179"/>
      <c r="L629" s="179"/>
      <c r="M629" s="6"/>
      <c r="N629" s="179"/>
      <c r="O629" s="6"/>
      <c r="P629" s="6"/>
      <c r="Q629" s="179"/>
      <c r="R629" s="54"/>
      <c r="S629" s="54"/>
    </row>
    <row r="630" spans="1:19" ht="12.75">
      <c r="A630" s="6"/>
      <c r="B630" s="6"/>
      <c r="C630" s="6"/>
      <c r="D630" s="6"/>
      <c r="E630" s="6"/>
      <c r="F630" s="6"/>
      <c r="G630" s="6"/>
      <c r="H630" s="6"/>
      <c r="I630" s="6"/>
      <c r="J630" s="6"/>
      <c r="K630" s="179"/>
      <c r="L630" s="179"/>
      <c r="M630" s="6"/>
      <c r="N630" s="179"/>
      <c r="O630" s="6"/>
      <c r="P630" s="6"/>
      <c r="Q630" s="179"/>
      <c r="R630" s="54"/>
      <c r="S630" s="54"/>
    </row>
    <row r="631" spans="1:19" ht="12.75">
      <c r="A631" s="6"/>
      <c r="B631" s="6"/>
      <c r="C631" s="6"/>
      <c r="D631" s="6"/>
      <c r="E631" s="6"/>
      <c r="F631" s="6"/>
      <c r="G631" s="6"/>
      <c r="H631" s="6"/>
      <c r="I631" s="6"/>
      <c r="J631" s="6"/>
      <c r="K631" s="179"/>
      <c r="L631" s="179"/>
      <c r="M631" s="6"/>
      <c r="N631" s="179"/>
      <c r="O631" s="6"/>
      <c r="P631" s="6"/>
      <c r="Q631" s="179"/>
      <c r="R631" s="54"/>
      <c r="S631" s="54"/>
    </row>
    <row r="632" spans="1:19" ht="12.75">
      <c r="A632" s="6"/>
      <c r="B632" s="6"/>
      <c r="C632" s="6"/>
      <c r="D632" s="6"/>
      <c r="E632" s="6"/>
      <c r="F632" s="6"/>
      <c r="G632" s="6"/>
      <c r="H632" s="6"/>
      <c r="I632" s="6"/>
      <c r="J632" s="6"/>
      <c r="K632" s="179"/>
      <c r="L632" s="179"/>
      <c r="M632" s="6"/>
      <c r="N632" s="179"/>
      <c r="O632" s="6"/>
      <c r="P632" s="6"/>
      <c r="Q632" s="179"/>
      <c r="R632" s="54"/>
      <c r="S632" s="54"/>
    </row>
    <row r="633" spans="1:19" ht="12.75">
      <c r="A633" s="6"/>
      <c r="B633" s="6"/>
      <c r="C633" s="6"/>
      <c r="D633" s="6"/>
      <c r="E633" s="6"/>
      <c r="F633" s="6"/>
      <c r="G633" s="6"/>
      <c r="H633" s="6"/>
      <c r="I633" s="6"/>
      <c r="J633" s="6"/>
      <c r="K633" s="179"/>
      <c r="L633" s="179"/>
      <c r="M633" s="6"/>
      <c r="N633" s="179"/>
      <c r="O633" s="6"/>
      <c r="P633" s="6"/>
      <c r="Q633" s="179"/>
      <c r="R633" s="54"/>
      <c r="S633" s="54"/>
    </row>
    <row r="634" spans="1:19" ht="12.75">
      <c r="A634" s="6"/>
      <c r="B634" s="6"/>
      <c r="C634" s="6"/>
      <c r="D634" s="6"/>
      <c r="E634" s="6"/>
      <c r="F634" s="6"/>
      <c r="G634" s="6"/>
      <c r="H634" s="6"/>
      <c r="I634" s="6"/>
      <c r="J634" s="6"/>
      <c r="K634" s="179"/>
      <c r="L634" s="179"/>
      <c r="M634" s="6"/>
      <c r="N634" s="179"/>
      <c r="O634" s="6"/>
      <c r="P634" s="6"/>
      <c r="Q634" s="179"/>
      <c r="R634" s="54"/>
      <c r="S634" s="54"/>
    </row>
    <row r="635" spans="1:19" ht="12.75">
      <c r="A635" s="6"/>
      <c r="B635" s="6"/>
      <c r="C635" s="6"/>
      <c r="D635" s="6"/>
      <c r="E635" s="6"/>
      <c r="F635" s="6"/>
      <c r="G635" s="6"/>
      <c r="H635" s="6"/>
      <c r="I635" s="6"/>
      <c r="J635" s="6"/>
      <c r="K635" s="179"/>
      <c r="L635" s="179"/>
      <c r="M635" s="6"/>
      <c r="N635" s="179"/>
      <c r="O635" s="6"/>
      <c r="P635" s="6"/>
      <c r="Q635" s="179"/>
      <c r="R635" s="54"/>
      <c r="S635" s="54"/>
    </row>
    <row r="636" spans="1:19" ht="12.75">
      <c r="A636" s="6"/>
      <c r="B636" s="6"/>
      <c r="C636" s="6"/>
      <c r="D636" s="6"/>
      <c r="E636" s="6"/>
      <c r="F636" s="6"/>
      <c r="G636" s="6"/>
      <c r="H636" s="6"/>
      <c r="I636" s="6"/>
      <c r="J636" s="6"/>
      <c r="K636" s="179"/>
      <c r="L636" s="179"/>
      <c r="M636" s="6"/>
      <c r="N636" s="179"/>
      <c r="O636" s="6"/>
      <c r="P636" s="6"/>
      <c r="Q636" s="179"/>
      <c r="R636" s="54"/>
      <c r="S636" s="54"/>
    </row>
    <row r="637" spans="1:19" ht="12.75">
      <c r="A637" s="6"/>
      <c r="B637" s="6"/>
      <c r="C637" s="6"/>
      <c r="D637" s="6"/>
      <c r="E637" s="6"/>
      <c r="F637" s="6"/>
      <c r="G637" s="6"/>
      <c r="H637" s="6"/>
      <c r="I637" s="6"/>
      <c r="J637" s="6"/>
      <c r="K637" s="179"/>
      <c r="L637" s="179"/>
      <c r="M637" s="6"/>
      <c r="N637" s="179"/>
      <c r="O637" s="6"/>
      <c r="P637" s="6"/>
      <c r="Q637" s="179"/>
      <c r="R637" s="54"/>
      <c r="S637" s="54"/>
    </row>
    <row r="638" spans="1:19" ht="12.75">
      <c r="A638" s="6"/>
      <c r="B638" s="6"/>
      <c r="C638" s="6"/>
      <c r="D638" s="6"/>
      <c r="E638" s="6"/>
      <c r="F638" s="6"/>
      <c r="G638" s="6"/>
      <c r="H638" s="6"/>
      <c r="I638" s="6"/>
      <c r="J638" s="6"/>
      <c r="K638" s="179"/>
      <c r="L638" s="179"/>
      <c r="M638" s="6"/>
      <c r="N638" s="179"/>
      <c r="O638" s="6"/>
      <c r="P638" s="6"/>
      <c r="Q638" s="179"/>
      <c r="R638" s="54"/>
      <c r="S638" s="54"/>
    </row>
    <row r="639" spans="1:19" ht="12.75">
      <c r="A639" s="6"/>
      <c r="B639" s="6"/>
      <c r="C639" s="6"/>
      <c r="D639" s="6"/>
      <c r="E639" s="6"/>
      <c r="F639" s="6"/>
      <c r="G639" s="6"/>
      <c r="H639" s="6"/>
      <c r="I639" s="6"/>
      <c r="J639" s="6"/>
      <c r="K639" s="179"/>
      <c r="L639" s="179"/>
      <c r="M639" s="6"/>
      <c r="N639" s="179"/>
      <c r="O639" s="6"/>
      <c r="P639" s="6"/>
      <c r="Q639" s="179"/>
      <c r="R639" s="54"/>
      <c r="S639" s="54"/>
    </row>
    <row r="640" spans="1:19" ht="12.75">
      <c r="A640" s="6"/>
      <c r="B640" s="6"/>
      <c r="C640" s="6"/>
      <c r="D640" s="6"/>
      <c r="E640" s="6"/>
      <c r="F640" s="6"/>
      <c r="G640" s="6"/>
      <c r="H640" s="6"/>
      <c r="I640" s="6"/>
      <c r="J640" s="6"/>
      <c r="K640" s="179"/>
      <c r="L640" s="179"/>
      <c r="M640" s="6"/>
      <c r="N640" s="179"/>
      <c r="O640" s="6"/>
      <c r="P640" s="6"/>
      <c r="Q640" s="179"/>
      <c r="R640" s="54"/>
      <c r="S640" s="54"/>
    </row>
    <row r="641" spans="1:19" ht="12.75">
      <c r="A641" s="6"/>
      <c r="B641" s="6"/>
      <c r="C641" s="6"/>
      <c r="D641" s="6"/>
      <c r="E641" s="6"/>
      <c r="F641" s="6"/>
      <c r="G641" s="6"/>
      <c r="H641" s="6"/>
      <c r="I641" s="6"/>
      <c r="J641" s="6"/>
      <c r="K641" s="179"/>
      <c r="L641" s="179"/>
      <c r="M641" s="6"/>
      <c r="N641" s="179"/>
      <c r="O641" s="6"/>
      <c r="P641" s="6"/>
      <c r="Q641" s="179"/>
      <c r="R641" s="54"/>
      <c r="S641" s="54"/>
    </row>
    <row r="642" spans="1:19" ht="12.75">
      <c r="A642" s="6"/>
      <c r="B642" s="6"/>
      <c r="C642" s="6"/>
      <c r="D642" s="6"/>
      <c r="E642" s="6"/>
      <c r="F642" s="6"/>
      <c r="G642" s="6"/>
      <c r="H642" s="6"/>
      <c r="I642" s="6"/>
      <c r="J642" s="6"/>
      <c r="K642" s="179"/>
      <c r="L642" s="179"/>
      <c r="M642" s="6"/>
      <c r="N642" s="179"/>
      <c r="O642" s="6"/>
      <c r="P642" s="6"/>
      <c r="Q642" s="179"/>
      <c r="R642" s="54"/>
      <c r="S642" s="54"/>
    </row>
    <row r="643" spans="1:19" ht="12.75">
      <c r="A643" s="6"/>
      <c r="B643" s="6"/>
      <c r="C643" s="6"/>
      <c r="D643" s="6"/>
      <c r="E643" s="6"/>
      <c r="F643" s="6"/>
      <c r="G643" s="6"/>
      <c r="H643" s="6"/>
      <c r="I643" s="6"/>
      <c r="J643" s="6"/>
      <c r="K643" s="179"/>
      <c r="L643" s="179"/>
      <c r="M643" s="6"/>
      <c r="N643" s="179"/>
      <c r="O643" s="6"/>
      <c r="P643" s="6"/>
      <c r="Q643" s="179"/>
      <c r="R643" s="54"/>
      <c r="S643" s="54"/>
    </row>
    <row r="644" spans="1:19" ht="12.75">
      <c r="A644" s="6"/>
      <c r="B644" s="6"/>
      <c r="C644" s="6"/>
      <c r="D644" s="6"/>
      <c r="E644" s="6"/>
      <c r="F644" s="6"/>
      <c r="G644" s="6"/>
      <c r="H644" s="6"/>
      <c r="I644" s="6"/>
      <c r="J644" s="6"/>
      <c r="K644" s="179"/>
      <c r="L644" s="179"/>
      <c r="M644" s="6"/>
      <c r="N644" s="179"/>
      <c r="O644" s="6"/>
      <c r="P644" s="6"/>
      <c r="Q644" s="179"/>
      <c r="R644" s="54"/>
      <c r="S644" s="54"/>
    </row>
    <row r="645" spans="1:19" ht="12.75">
      <c r="A645" s="6"/>
      <c r="B645" s="6"/>
      <c r="C645" s="6"/>
      <c r="D645" s="6"/>
      <c r="E645" s="6"/>
      <c r="F645" s="6"/>
      <c r="G645" s="6"/>
      <c r="H645" s="6"/>
      <c r="I645" s="6"/>
      <c r="J645" s="6"/>
      <c r="K645" s="179"/>
      <c r="L645" s="179"/>
      <c r="M645" s="6"/>
      <c r="N645" s="179"/>
      <c r="O645" s="6"/>
      <c r="P645" s="6"/>
      <c r="Q645" s="179"/>
      <c r="R645" s="54"/>
      <c r="S645" s="54"/>
    </row>
    <row r="646" spans="1:19" ht="12.75">
      <c r="A646" s="6"/>
      <c r="B646" s="6"/>
      <c r="C646" s="6"/>
      <c r="D646" s="6"/>
      <c r="E646" s="6"/>
      <c r="F646" s="6"/>
      <c r="G646" s="6"/>
      <c r="H646" s="6"/>
      <c r="I646" s="6"/>
      <c r="J646" s="6"/>
      <c r="K646" s="179"/>
      <c r="L646" s="179"/>
      <c r="M646" s="6"/>
      <c r="N646" s="179"/>
      <c r="O646" s="6"/>
      <c r="P646" s="6"/>
      <c r="Q646" s="179"/>
      <c r="R646" s="54"/>
      <c r="S646" s="54"/>
    </row>
    <row r="647" spans="1:19" ht="12.75">
      <c r="A647" s="6"/>
      <c r="B647" s="6"/>
      <c r="C647" s="6"/>
      <c r="D647" s="6"/>
      <c r="E647" s="6"/>
      <c r="F647" s="6"/>
      <c r="G647" s="6"/>
      <c r="H647" s="6"/>
      <c r="I647" s="6"/>
      <c r="J647" s="6"/>
      <c r="K647" s="179"/>
      <c r="L647" s="179"/>
      <c r="M647" s="6"/>
      <c r="N647" s="179"/>
      <c r="O647" s="6"/>
      <c r="P647" s="6"/>
      <c r="Q647" s="179"/>
      <c r="R647" s="54"/>
      <c r="S647" s="54"/>
    </row>
    <row r="648" spans="1:19" ht="12.75">
      <c r="A648" s="6"/>
      <c r="B648" s="6"/>
      <c r="C648" s="6"/>
      <c r="D648" s="6"/>
      <c r="E648" s="6"/>
      <c r="F648" s="6"/>
      <c r="G648" s="6"/>
      <c r="H648" s="6"/>
      <c r="I648" s="6"/>
      <c r="J648" s="6"/>
      <c r="K648" s="179"/>
      <c r="L648" s="179"/>
      <c r="M648" s="6"/>
      <c r="N648" s="179"/>
      <c r="O648" s="6"/>
      <c r="P648" s="6"/>
      <c r="Q648" s="179"/>
      <c r="R648" s="54"/>
      <c r="S648" s="54"/>
    </row>
    <row r="649" spans="1:19" ht="12.75">
      <c r="A649" s="6"/>
      <c r="B649" s="6"/>
      <c r="C649" s="6"/>
      <c r="D649" s="6"/>
      <c r="E649" s="6"/>
      <c r="F649" s="6"/>
      <c r="G649" s="6"/>
      <c r="H649" s="6"/>
      <c r="I649" s="6"/>
      <c r="J649" s="6"/>
      <c r="K649" s="179"/>
      <c r="L649" s="179"/>
      <c r="M649" s="6"/>
      <c r="N649" s="179"/>
      <c r="O649" s="6"/>
      <c r="P649" s="6"/>
      <c r="Q649" s="179"/>
      <c r="R649" s="54"/>
      <c r="S649" s="54"/>
    </row>
    <row r="650" spans="1:19" ht="12.75">
      <c r="A650" s="6"/>
      <c r="B650" s="6"/>
      <c r="C650" s="6"/>
      <c r="D650" s="6"/>
      <c r="E650" s="6"/>
      <c r="F650" s="6"/>
      <c r="G650" s="6"/>
      <c r="H650" s="6"/>
      <c r="I650" s="6"/>
      <c r="J650" s="6"/>
      <c r="K650" s="179"/>
      <c r="L650" s="179"/>
      <c r="M650" s="6"/>
      <c r="N650" s="179"/>
      <c r="O650" s="6"/>
      <c r="P650" s="6"/>
      <c r="Q650" s="179"/>
      <c r="R650" s="54"/>
      <c r="S650" s="54"/>
    </row>
    <row r="651" spans="1:19" ht="12.75">
      <c r="A651" s="6"/>
      <c r="B651" s="6"/>
      <c r="C651" s="6"/>
      <c r="D651" s="6"/>
      <c r="E651" s="6"/>
      <c r="F651" s="6"/>
      <c r="G651" s="6"/>
      <c r="H651" s="6"/>
      <c r="I651" s="6"/>
      <c r="J651" s="6"/>
      <c r="K651" s="179"/>
      <c r="L651" s="179"/>
      <c r="M651" s="6"/>
      <c r="N651" s="179"/>
      <c r="O651" s="6"/>
      <c r="P651" s="6"/>
      <c r="Q651" s="179"/>
      <c r="R651" s="54"/>
      <c r="S651" s="54"/>
    </row>
    <row r="652" spans="1:19" ht="12.75">
      <c r="A652" s="6"/>
      <c r="B652" s="6"/>
      <c r="C652" s="6"/>
      <c r="D652" s="6"/>
      <c r="E652" s="6"/>
      <c r="F652" s="6"/>
      <c r="G652" s="6"/>
      <c r="H652" s="6"/>
      <c r="I652" s="6"/>
      <c r="J652" s="6"/>
      <c r="K652" s="179"/>
      <c r="L652" s="179"/>
      <c r="M652" s="6"/>
      <c r="N652" s="179"/>
      <c r="O652" s="6"/>
      <c r="P652" s="6"/>
      <c r="Q652" s="179"/>
      <c r="R652" s="54"/>
      <c r="S652" s="54"/>
    </row>
    <row r="653" spans="1:19" ht="12.75">
      <c r="A653" s="6"/>
      <c r="B653" s="6"/>
      <c r="C653" s="6"/>
      <c r="D653" s="6"/>
      <c r="E653" s="6"/>
      <c r="F653" s="6"/>
      <c r="G653" s="6"/>
      <c r="H653" s="6"/>
      <c r="I653" s="6"/>
      <c r="J653" s="6"/>
      <c r="K653" s="179"/>
      <c r="L653" s="179"/>
      <c r="M653" s="6"/>
      <c r="N653" s="179"/>
      <c r="O653" s="6"/>
      <c r="P653" s="6"/>
      <c r="Q653" s="179"/>
      <c r="R653" s="54"/>
      <c r="S653" s="54"/>
    </row>
    <row r="654" spans="1:19" ht="12.75">
      <c r="A654" s="6"/>
      <c r="B654" s="6"/>
      <c r="C654" s="6"/>
      <c r="D654" s="6"/>
      <c r="E654" s="6"/>
      <c r="F654" s="6"/>
      <c r="G654" s="6"/>
      <c r="H654" s="6"/>
      <c r="I654" s="6"/>
      <c r="J654" s="6"/>
      <c r="K654" s="179"/>
      <c r="L654" s="179"/>
      <c r="M654" s="6"/>
      <c r="N654" s="179"/>
      <c r="O654" s="6"/>
      <c r="P654" s="6"/>
      <c r="Q654" s="179"/>
      <c r="R654" s="54"/>
      <c r="S654" s="54"/>
    </row>
    <row r="655" spans="1:19" ht="12.75">
      <c r="A655" s="6"/>
      <c r="B655" s="6"/>
      <c r="C655" s="6"/>
      <c r="D655" s="6"/>
      <c r="E655" s="6"/>
      <c r="F655" s="6"/>
      <c r="G655" s="6"/>
      <c r="H655" s="6"/>
      <c r="I655" s="6"/>
      <c r="J655" s="6"/>
      <c r="K655" s="179"/>
      <c r="L655" s="179"/>
      <c r="M655" s="6"/>
      <c r="N655" s="179"/>
      <c r="O655" s="6"/>
      <c r="P655" s="6"/>
      <c r="Q655" s="179"/>
      <c r="R655" s="54"/>
      <c r="S655" s="54"/>
    </row>
    <row r="656" spans="1:19" ht="12.75">
      <c r="A656" s="6"/>
      <c r="B656" s="6"/>
      <c r="C656" s="6"/>
      <c r="D656" s="6"/>
      <c r="E656" s="6"/>
      <c r="F656" s="6"/>
      <c r="G656" s="6"/>
      <c r="H656" s="6"/>
      <c r="I656" s="6"/>
      <c r="J656" s="6"/>
      <c r="K656" s="179"/>
      <c r="L656" s="179"/>
      <c r="M656" s="6"/>
      <c r="N656" s="179"/>
      <c r="O656" s="6"/>
      <c r="P656" s="6"/>
      <c r="Q656" s="179"/>
      <c r="R656" s="54"/>
      <c r="S656" s="54"/>
    </row>
    <row r="657" spans="1:19" ht="12.75">
      <c r="A657" s="6"/>
      <c r="B657" s="6"/>
      <c r="C657" s="6"/>
      <c r="D657" s="6"/>
      <c r="E657" s="6"/>
      <c r="F657" s="6"/>
      <c r="G657" s="6"/>
      <c r="H657" s="6"/>
      <c r="I657" s="6"/>
      <c r="J657" s="6"/>
      <c r="K657" s="179"/>
      <c r="L657" s="179"/>
      <c r="M657" s="6"/>
      <c r="N657" s="179"/>
      <c r="O657" s="6"/>
      <c r="P657" s="6"/>
      <c r="Q657" s="179"/>
      <c r="R657" s="54"/>
      <c r="S657" s="54"/>
    </row>
    <row r="658" spans="1:19" ht="12.75">
      <c r="A658" s="6"/>
      <c r="B658" s="6"/>
      <c r="C658" s="6"/>
      <c r="D658" s="6"/>
      <c r="E658" s="6"/>
      <c r="F658" s="6"/>
      <c r="G658" s="6"/>
      <c r="H658" s="6"/>
      <c r="I658" s="6"/>
      <c r="J658" s="6"/>
      <c r="K658" s="179"/>
      <c r="L658" s="179"/>
      <c r="M658" s="6"/>
      <c r="N658" s="179"/>
      <c r="O658" s="6"/>
      <c r="P658" s="6"/>
      <c r="Q658" s="179"/>
      <c r="R658" s="54"/>
      <c r="S658" s="54"/>
    </row>
    <row r="659" spans="1:19" ht="12.75">
      <c r="A659" s="6"/>
      <c r="B659" s="6"/>
      <c r="C659" s="6"/>
      <c r="D659" s="6"/>
      <c r="E659" s="6"/>
      <c r="F659" s="6"/>
      <c r="G659" s="6"/>
      <c r="H659" s="6"/>
      <c r="I659" s="6"/>
      <c r="J659" s="6"/>
      <c r="K659" s="179"/>
      <c r="L659" s="179"/>
      <c r="M659" s="6"/>
      <c r="N659" s="179"/>
      <c r="O659" s="6"/>
      <c r="P659" s="6"/>
      <c r="Q659" s="179"/>
      <c r="R659" s="54"/>
      <c r="S659" s="54"/>
    </row>
    <row r="660" spans="1:19" ht="12.75">
      <c r="A660" s="6"/>
      <c r="B660" s="6"/>
      <c r="C660" s="6"/>
      <c r="D660" s="6"/>
      <c r="E660" s="6"/>
      <c r="F660" s="6"/>
      <c r="G660" s="6"/>
      <c r="H660" s="6"/>
      <c r="I660" s="6"/>
      <c r="J660" s="6"/>
      <c r="K660" s="179"/>
      <c r="L660" s="179"/>
      <c r="M660" s="6"/>
      <c r="N660" s="179"/>
      <c r="O660" s="6"/>
      <c r="P660" s="6"/>
      <c r="Q660" s="179"/>
      <c r="R660" s="54"/>
      <c r="S660" s="54"/>
    </row>
    <row r="661" spans="1:19" ht="12.75">
      <c r="A661" s="6"/>
      <c r="B661" s="6"/>
      <c r="C661" s="6"/>
      <c r="D661" s="6"/>
      <c r="E661" s="6"/>
      <c r="F661" s="6"/>
      <c r="G661" s="6"/>
      <c r="H661" s="6"/>
      <c r="I661" s="6"/>
      <c r="J661" s="6"/>
      <c r="K661" s="179"/>
      <c r="L661" s="179"/>
      <c r="M661" s="6"/>
      <c r="N661" s="179"/>
      <c r="O661" s="6"/>
      <c r="P661" s="6"/>
      <c r="Q661" s="179"/>
      <c r="R661" s="54"/>
      <c r="S661" s="54"/>
    </row>
    <row r="662" spans="1:19" ht="12.75">
      <c r="A662" s="6"/>
      <c r="B662" s="6"/>
      <c r="C662" s="6"/>
      <c r="D662" s="6"/>
      <c r="E662" s="6"/>
      <c r="F662" s="6"/>
      <c r="G662" s="6"/>
      <c r="H662" s="6"/>
      <c r="I662" s="6"/>
      <c r="J662" s="6"/>
      <c r="K662" s="179"/>
      <c r="L662" s="179"/>
      <c r="M662" s="6"/>
      <c r="N662" s="179"/>
      <c r="O662" s="6"/>
      <c r="P662" s="6"/>
      <c r="Q662" s="179"/>
      <c r="R662" s="54"/>
      <c r="S662" s="54"/>
    </row>
    <row r="663" spans="1:19" ht="12.75">
      <c r="A663" s="6"/>
      <c r="B663" s="6"/>
      <c r="C663" s="6"/>
      <c r="D663" s="6"/>
      <c r="E663" s="6"/>
      <c r="F663" s="6"/>
      <c r="G663" s="6"/>
      <c r="H663" s="6"/>
      <c r="I663" s="6"/>
      <c r="J663" s="6"/>
      <c r="K663" s="179"/>
      <c r="L663" s="179"/>
      <c r="M663" s="6"/>
      <c r="N663" s="179"/>
      <c r="O663" s="6"/>
      <c r="P663" s="6"/>
      <c r="Q663" s="179"/>
      <c r="R663" s="54"/>
      <c r="S663" s="54"/>
    </row>
    <row r="664" spans="1:19" ht="12.75">
      <c r="A664" s="6"/>
      <c r="B664" s="6"/>
      <c r="C664" s="6"/>
      <c r="D664" s="6"/>
      <c r="E664" s="6"/>
      <c r="F664" s="6"/>
      <c r="G664" s="6"/>
      <c r="H664" s="6"/>
      <c r="I664" s="6"/>
      <c r="J664" s="6"/>
      <c r="K664" s="179"/>
      <c r="L664" s="179"/>
      <c r="M664" s="6"/>
      <c r="N664" s="179"/>
      <c r="O664" s="6"/>
      <c r="P664" s="6"/>
      <c r="Q664" s="179"/>
      <c r="R664" s="54"/>
      <c r="S664" s="54"/>
    </row>
    <row r="665" spans="1:19" ht="12.75">
      <c r="A665" s="6"/>
      <c r="B665" s="6"/>
      <c r="C665" s="6"/>
      <c r="D665" s="6"/>
      <c r="E665" s="6"/>
      <c r="F665" s="6"/>
      <c r="G665" s="6"/>
      <c r="H665" s="6"/>
      <c r="I665" s="6"/>
      <c r="J665" s="6"/>
      <c r="K665" s="179"/>
      <c r="L665" s="179"/>
      <c r="M665" s="6"/>
      <c r="N665" s="179"/>
      <c r="O665" s="6"/>
      <c r="P665" s="6"/>
      <c r="Q665" s="179"/>
      <c r="R665" s="54"/>
      <c r="S665" s="54"/>
    </row>
    <row r="666" spans="1:19" ht="12.75">
      <c r="A666" s="6"/>
      <c r="B666" s="6"/>
      <c r="C666" s="6"/>
      <c r="D666" s="6"/>
      <c r="E666" s="6"/>
      <c r="F666" s="6"/>
      <c r="G666" s="6"/>
      <c r="H666" s="6"/>
      <c r="I666" s="6"/>
      <c r="J666" s="6"/>
      <c r="K666" s="179"/>
      <c r="L666" s="179"/>
      <c r="M666" s="6"/>
      <c r="N666" s="179"/>
      <c r="O666" s="6"/>
      <c r="P666" s="6"/>
      <c r="Q666" s="179"/>
      <c r="R666" s="54"/>
      <c r="S666" s="54"/>
    </row>
    <row r="667" spans="1:19" ht="12.75">
      <c r="A667" s="6"/>
      <c r="B667" s="6"/>
      <c r="C667" s="6"/>
      <c r="D667" s="6"/>
      <c r="E667" s="6"/>
      <c r="F667" s="6"/>
      <c r="G667" s="6"/>
      <c r="H667" s="6"/>
      <c r="I667" s="6"/>
      <c r="J667" s="6"/>
      <c r="K667" s="179"/>
      <c r="L667" s="179"/>
      <c r="M667" s="6"/>
      <c r="N667" s="179"/>
      <c r="O667" s="6"/>
      <c r="P667" s="6"/>
      <c r="Q667" s="179"/>
      <c r="R667" s="54"/>
      <c r="S667" s="54"/>
    </row>
    <row r="668" spans="1:19" ht="12.75">
      <c r="A668" s="6"/>
      <c r="B668" s="6"/>
      <c r="C668" s="6"/>
      <c r="D668" s="6"/>
      <c r="E668" s="6"/>
      <c r="F668" s="6"/>
      <c r="G668" s="6"/>
      <c r="H668" s="6"/>
      <c r="I668" s="6"/>
      <c r="J668" s="6"/>
      <c r="K668" s="179"/>
      <c r="L668" s="179"/>
      <c r="M668" s="6"/>
      <c r="N668" s="179"/>
      <c r="O668" s="6"/>
      <c r="P668" s="6"/>
      <c r="Q668" s="179"/>
      <c r="R668" s="54"/>
      <c r="S668" s="54"/>
    </row>
    <row r="669" spans="1:19" ht="12.75">
      <c r="A669" s="6"/>
      <c r="B669" s="6"/>
      <c r="C669" s="6"/>
      <c r="D669" s="6"/>
      <c r="E669" s="6"/>
      <c r="F669" s="6"/>
      <c r="G669" s="6"/>
      <c r="H669" s="6"/>
      <c r="I669" s="6"/>
      <c r="J669" s="6"/>
      <c r="K669" s="179"/>
      <c r="L669" s="179"/>
      <c r="M669" s="6"/>
      <c r="N669" s="179"/>
      <c r="O669" s="6"/>
      <c r="P669" s="6"/>
      <c r="Q669" s="179"/>
      <c r="R669" s="54"/>
      <c r="S669" s="54"/>
    </row>
    <row r="670" spans="1:19" ht="12.75">
      <c r="A670" s="6"/>
      <c r="B670" s="6"/>
      <c r="C670" s="6"/>
      <c r="D670" s="6"/>
      <c r="E670" s="6"/>
      <c r="F670" s="6"/>
      <c r="G670" s="6"/>
      <c r="H670" s="6"/>
      <c r="I670" s="6"/>
      <c r="J670" s="6"/>
      <c r="K670" s="179"/>
      <c r="L670" s="179"/>
      <c r="M670" s="6"/>
      <c r="N670" s="179"/>
      <c r="O670" s="6"/>
      <c r="P670" s="6"/>
      <c r="Q670" s="179"/>
      <c r="R670" s="54"/>
      <c r="S670" s="54"/>
    </row>
    <row r="671" spans="1:19" ht="12.75">
      <c r="A671" s="6"/>
      <c r="B671" s="6"/>
      <c r="C671" s="6"/>
      <c r="D671" s="6"/>
      <c r="E671" s="6"/>
      <c r="F671" s="6"/>
      <c r="G671" s="6"/>
      <c r="H671" s="6"/>
      <c r="I671" s="6"/>
      <c r="J671" s="6"/>
      <c r="K671" s="179"/>
      <c r="L671" s="179"/>
      <c r="M671" s="6"/>
      <c r="N671" s="179"/>
      <c r="O671" s="6"/>
      <c r="P671" s="6"/>
      <c r="Q671" s="179"/>
      <c r="R671" s="54"/>
      <c r="S671" s="54"/>
    </row>
    <row r="672" spans="1:19" ht="12.75">
      <c r="A672" s="6"/>
      <c r="B672" s="6"/>
      <c r="C672" s="6"/>
      <c r="D672" s="6"/>
      <c r="E672" s="6"/>
      <c r="F672" s="6"/>
      <c r="G672" s="6"/>
      <c r="H672" s="6"/>
      <c r="I672" s="6"/>
      <c r="J672" s="6"/>
      <c r="K672" s="179"/>
      <c r="L672" s="179"/>
      <c r="M672" s="6"/>
      <c r="N672" s="179"/>
      <c r="O672" s="6"/>
      <c r="P672" s="6"/>
      <c r="Q672" s="179"/>
      <c r="R672" s="54"/>
      <c r="S672" s="54"/>
    </row>
    <row r="673" spans="1:19" ht="12.75">
      <c r="A673" s="6"/>
      <c r="B673" s="6"/>
      <c r="C673" s="6"/>
      <c r="D673" s="6"/>
      <c r="E673" s="6"/>
      <c r="F673" s="6"/>
      <c r="G673" s="6"/>
      <c r="H673" s="6"/>
      <c r="I673" s="6"/>
      <c r="J673" s="6"/>
      <c r="K673" s="179"/>
      <c r="L673" s="179"/>
      <c r="M673" s="6"/>
      <c r="N673" s="179"/>
      <c r="O673" s="6"/>
      <c r="P673" s="6"/>
      <c r="Q673" s="179"/>
      <c r="R673" s="54"/>
      <c r="S673" s="54"/>
    </row>
    <row r="674" spans="1:19" ht="12.75">
      <c r="A674" s="6"/>
      <c r="B674" s="6"/>
      <c r="C674" s="6"/>
      <c r="D674" s="6"/>
      <c r="E674" s="6"/>
      <c r="F674" s="6"/>
      <c r="G674" s="6"/>
      <c r="H674" s="6"/>
      <c r="I674" s="6"/>
      <c r="J674" s="6"/>
      <c r="K674" s="179"/>
      <c r="L674" s="179"/>
      <c r="M674" s="6"/>
      <c r="N674" s="179"/>
      <c r="O674" s="6"/>
      <c r="P674" s="6"/>
      <c r="Q674" s="179"/>
      <c r="R674" s="54"/>
      <c r="S674" s="54"/>
    </row>
    <row r="675" spans="1:19" ht="12.75">
      <c r="A675" s="6"/>
      <c r="B675" s="6"/>
      <c r="C675" s="6"/>
      <c r="D675" s="6"/>
      <c r="E675" s="6"/>
      <c r="F675" s="6"/>
      <c r="G675" s="6"/>
      <c r="H675" s="6"/>
      <c r="I675" s="6"/>
      <c r="J675" s="6"/>
      <c r="K675" s="179"/>
      <c r="L675" s="179"/>
      <c r="M675" s="6"/>
      <c r="N675" s="179"/>
      <c r="O675" s="6"/>
      <c r="P675" s="6"/>
      <c r="Q675" s="179"/>
      <c r="R675" s="54"/>
      <c r="S675" s="54"/>
    </row>
    <row r="676" spans="1:19" ht="12.75">
      <c r="A676" s="6"/>
      <c r="B676" s="6"/>
      <c r="C676" s="6"/>
      <c r="D676" s="6"/>
      <c r="E676" s="6"/>
      <c r="F676" s="6"/>
      <c r="G676" s="6"/>
      <c r="H676" s="6"/>
      <c r="I676" s="6"/>
      <c r="J676" s="6"/>
      <c r="K676" s="179"/>
      <c r="L676" s="179"/>
      <c r="M676" s="6"/>
      <c r="N676" s="179"/>
      <c r="O676" s="6"/>
      <c r="P676" s="6"/>
      <c r="Q676" s="179"/>
      <c r="R676" s="54"/>
      <c r="S676" s="54"/>
    </row>
    <row r="677" spans="1:19" ht="12.75">
      <c r="A677" s="6"/>
      <c r="B677" s="6"/>
      <c r="C677" s="6"/>
      <c r="D677" s="6"/>
      <c r="E677" s="6"/>
      <c r="F677" s="6"/>
      <c r="G677" s="6"/>
      <c r="H677" s="6"/>
      <c r="I677" s="6"/>
      <c r="J677" s="6"/>
      <c r="K677" s="179"/>
      <c r="L677" s="179"/>
      <c r="M677" s="6"/>
      <c r="N677" s="179"/>
      <c r="O677" s="6"/>
      <c r="P677" s="6"/>
      <c r="Q677" s="179"/>
      <c r="R677" s="54"/>
      <c r="S677" s="54"/>
    </row>
    <row r="678" spans="1:19" ht="12.75">
      <c r="A678" s="6"/>
      <c r="B678" s="6"/>
      <c r="C678" s="6"/>
      <c r="D678" s="6"/>
      <c r="E678" s="6"/>
      <c r="F678" s="6"/>
      <c r="G678" s="6"/>
      <c r="H678" s="6"/>
      <c r="I678" s="6"/>
      <c r="J678" s="6"/>
      <c r="K678" s="179"/>
      <c r="L678" s="179"/>
      <c r="M678" s="6"/>
      <c r="N678" s="179"/>
      <c r="O678" s="6"/>
      <c r="P678" s="6"/>
      <c r="Q678" s="179"/>
      <c r="R678" s="54"/>
      <c r="S678" s="54"/>
    </row>
    <row r="679" spans="1:19" ht="12.75">
      <c r="A679" s="6"/>
      <c r="B679" s="6"/>
      <c r="C679" s="6"/>
      <c r="D679" s="6"/>
      <c r="E679" s="6"/>
      <c r="F679" s="6"/>
      <c r="G679" s="6"/>
      <c r="H679" s="6"/>
      <c r="I679" s="6"/>
      <c r="J679" s="6"/>
      <c r="K679" s="179"/>
      <c r="L679" s="179"/>
      <c r="M679" s="6"/>
      <c r="N679" s="179"/>
      <c r="O679" s="6"/>
      <c r="P679" s="6"/>
      <c r="Q679" s="179"/>
      <c r="R679" s="54"/>
      <c r="S679" s="54"/>
    </row>
    <row r="680" spans="1:19" ht="12.75">
      <c r="A680" s="6"/>
      <c r="B680" s="6"/>
      <c r="C680" s="6"/>
      <c r="D680" s="6"/>
      <c r="E680" s="6"/>
      <c r="F680" s="6"/>
      <c r="G680" s="6"/>
      <c r="H680" s="6"/>
      <c r="I680" s="6"/>
      <c r="J680" s="6"/>
      <c r="K680" s="179"/>
      <c r="L680" s="179"/>
      <c r="M680" s="6"/>
      <c r="N680" s="179"/>
      <c r="O680" s="6"/>
      <c r="P680" s="6"/>
      <c r="Q680" s="179"/>
      <c r="R680" s="54"/>
      <c r="S680" s="54"/>
    </row>
    <row r="681" spans="1:19" ht="12.75">
      <c r="A681" s="6"/>
      <c r="B681" s="6"/>
      <c r="C681" s="6"/>
      <c r="D681" s="6"/>
      <c r="E681" s="6"/>
      <c r="F681" s="6"/>
      <c r="G681" s="6"/>
      <c r="H681" s="6"/>
      <c r="I681" s="6"/>
      <c r="J681" s="6"/>
      <c r="K681" s="179"/>
      <c r="L681" s="179"/>
      <c r="M681" s="6"/>
      <c r="N681" s="179"/>
      <c r="O681" s="6"/>
      <c r="P681" s="6"/>
      <c r="Q681" s="179"/>
      <c r="R681" s="54"/>
      <c r="S681" s="54"/>
    </row>
    <row r="682" spans="1:19" ht="12.75">
      <c r="A682" s="6"/>
      <c r="B682" s="6"/>
      <c r="C682" s="6"/>
      <c r="D682" s="6"/>
      <c r="E682" s="6"/>
      <c r="F682" s="6"/>
      <c r="G682" s="6"/>
      <c r="H682" s="6"/>
      <c r="I682" s="6"/>
      <c r="J682" s="6"/>
      <c r="K682" s="179"/>
      <c r="L682" s="179"/>
      <c r="M682" s="6"/>
      <c r="N682" s="179"/>
      <c r="O682" s="6"/>
      <c r="P682" s="6"/>
      <c r="Q682" s="179"/>
      <c r="R682" s="54"/>
      <c r="S682" s="54"/>
    </row>
    <row r="683" spans="1:19" ht="12.75">
      <c r="A683" s="6"/>
      <c r="B683" s="6"/>
      <c r="C683" s="6"/>
      <c r="D683" s="6"/>
      <c r="E683" s="6"/>
      <c r="F683" s="6"/>
      <c r="G683" s="6"/>
      <c r="H683" s="6"/>
      <c r="I683" s="6"/>
      <c r="J683" s="6"/>
      <c r="K683" s="179"/>
      <c r="L683" s="179"/>
      <c r="M683" s="6"/>
      <c r="N683" s="179"/>
      <c r="O683" s="6"/>
      <c r="P683" s="6"/>
      <c r="Q683" s="179"/>
      <c r="R683" s="54"/>
      <c r="S683" s="54"/>
    </row>
    <row r="684" spans="1:19" ht="12.75">
      <c r="A684" s="6"/>
      <c r="B684" s="6"/>
      <c r="C684" s="6"/>
      <c r="D684" s="6"/>
      <c r="E684" s="6"/>
      <c r="F684" s="6"/>
      <c r="G684" s="6"/>
      <c r="H684" s="6"/>
      <c r="I684" s="6"/>
      <c r="J684" s="6"/>
      <c r="K684" s="179"/>
      <c r="L684" s="179"/>
      <c r="M684" s="6"/>
      <c r="N684" s="179"/>
      <c r="O684" s="6"/>
      <c r="P684" s="6"/>
      <c r="Q684" s="179"/>
      <c r="R684" s="54"/>
      <c r="S684" s="54"/>
    </row>
    <row r="685" spans="1:19" ht="12.75">
      <c r="A685" s="6"/>
      <c r="B685" s="6"/>
      <c r="C685" s="6"/>
      <c r="D685" s="6"/>
      <c r="E685" s="6"/>
      <c r="F685" s="6"/>
      <c r="G685" s="6"/>
      <c r="H685" s="6"/>
      <c r="I685" s="6"/>
      <c r="J685" s="6"/>
      <c r="K685" s="179"/>
      <c r="L685" s="179"/>
      <c r="M685" s="6"/>
      <c r="N685" s="179"/>
      <c r="O685" s="6"/>
      <c r="P685" s="6"/>
      <c r="Q685" s="179"/>
      <c r="R685" s="54"/>
      <c r="S685" s="54"/>
    </row>
    <row r="686" spans="1:19" ht="12.75">
      <c r="A686" s="6"/>
      <c r="B686" s="6"/>
      <c r="C686" s="6"/>
      <c r="D686" s="6"/>
      <c r="E686" s="6"/>
      <c r="F686" s="6"/>
      <c r="G686" s="6"/>
      <c r="H686" s="6"/>
      <c r="I686" s="6"/>
      <c r="J686" s="6"/>
      <c r="K686" s="179"/>
      <c r="L686" s="179"/>
      <c r="M686" s="6"/>
      <c r="N686" s="179"/>
      <c r="O686" s="6"/>
      <c r="P686" s="6"/>
      <c r="Q686" s="179"/>
      <c r="R686" s="54"/>
      <c r="S686" s="54"/>
    </row>
    <row r="687" spans="1:19" ht="12.75">
      <c r="A687" s="6"/>
      <c r="B687" s="6"/>
      <c r="C687" s="6"/>
      <c r="D687" s="6"/>
      <c r="E687" s="6"/>
      <c r="F687" s="6"/>
      <c r="G687" s="6"/>
      <c r="H687" s="6"/>
      <c r="I687" s="6"/>
      <c r="J687" s="6"/>
      <c r="K687" s="179"/>
      <c r="L687" s="179"/>
      <c r="M687" s="6"/>
      <c r="N687" s="179"/>
      <c r="O687" s="6"/>
      <c r="P687" s="6"/>
      <c r="Q687" s="179"/>
      <c r="R687" s="54"/>
      <c r="S687" s="54"/>
    </row>
    <row r="688" spans="1:19" ht="12.75">
      <c r="A688" s="6"/>
      <c r="B688" s="6"/>
      <c r="C688" s="6"/>
      <c r="D688" s="6"/>
      <c r="E688" s="6"/>
      <c r="F688" s="6"/>
      <c r="G688" s="6"/>
      <c r="H688" s="6"/>
      <c r="I688" s="6"/>
      <c r="J688" s="6"/>
      <c r="K688" s="179"/>
      <c r="L688" s="179"/>
      <c r="M688" s="6"/>
      <c r="N688" s="179"/>
      <c r="O688" s="6"/>
      <c r="P688" s="6"/>
      <c r="Q688" s="179"/>
      <c r="R688" s="54"/>
      <c r="S688" s="54"/>
    </row>
    <row r="689" spans="1:19" ht="12.75">
      <c r="A689" s="6"/>
      <c r="B689" s="6"/>
      <c r="C689" s="6"/>
      <c r="D689" s="6"/>
      <c r="E689" s="6"/>
      <c r="F689" s="6"/>
      <c r="G689" s="6"/>
      <c r="H689" s="6"/>
      <c r="I689" s="6"/>
      <c r="J689" s="6"/>
      <c r="K689" s="179"/>
      <c r="L689" s="179"/>
      <c r="M689" s="6"/>
      <c r="N689" s="179"/>
      <c r="O689" s="6"/>
      <c r="P689" s="6"/>
      <c r="Q689" s="179"/>
      <c r="R689" s="54"/>
      <c r="S689" s="54"/>
    </row>
    <row r="690" spans="1:19" ht="12.75">
      <c r="A690" s="6"/>
      <c r="B690" s="6"/>
      <c r="C690" s="6"/>
      <c r="D690" s="6"/>
      <c r="E690" s="6"/>
      <c r="F690" s="6"/>
      <c r="G690" s="6"/>
      <c r="H690" s="6"/>
      <c r="I690" s="6"/>
      <c r="J690" s="6"/>
      <c r="K690" s="179"/>
      <c r="L690" s="179"/>
      <c r="M690" s="6"/>
      <c r="N690" s="179"/>
      <c r="O690" s="6"/>
      <c r="P690" s="6"/>
      <c r="Q690" s="179"/>
      <c r="R690" s="54"/>
      <c r="S690" s="54"/>
    </row>
    <row r="691" spans="1:19" ht="12.75">
      <c r="A691" s="6"/>
      <c r="B691" s="6"/>
      <c r="C691" s="6"/>
      <c r="D691" s="6"/>
      <c r="E691" s="6"/>
      <c r="F691" s="6"/>
      <c r="G691" s="6"/>
      <c r="H691" s="6"/>
      <c r="I691" s="6"/>
      <c r="J691" s="6"/>
      <c r="K691" s="179"/>
      <c r="L691" s="179"/>
      <c r="M691" s="6"/>
      <c r="N691" s="179"/>
      <c r="O691" s="6"/>
      <c r="P691" s="6"/>
      <c r="Q691" s="179"/>
      <c r="R691" s="54"/>
      <c r="S691" s="54"/>
    </row>
    <row r="692" spans="1:19" ht="12.75">
      <c r="A692" s="6"/>
      <c r="B692" s="6"/>
      <c r="C692" s="6"/>
      <c r="D692" s="6"/>
      <c r="E692" s="6"/>
      <c r="F692" s="6"/>
      <c r="G692" s="6"/>
      <c r="H692" s="6"/>
      <c r="I692" s="6"/>
      <c r="J692" s="6"/>
      <c r="K692" s="179"/>
      <c r="L692" s="179"/>
      <c r="M692" s="6"/>
      <c r="N692" s="179"/>
      <c r="O692" s="6"/>
      <c r="P692" s="6"/>
      <c r="Q692" s="179"/>
      <c r="R692" s="54"/>
      <c r="S692" s="54"/>
    </row>
    <row r="693" spans="1:19" ht="12.75">
      <c r="A693" s="6"/>
      <c r="B693" s="6"/>
      <c r="C693" s="6"/>
      <c r="D693" s="6"/>
      <c r="E693" s="6"/>
      <c r="F693" s="6"/>
      <c r="G693" s="6"/>
      <c r="H693" s="6"/>
      <c r="I693" s="6"/>
      <c r="J693" s="6"/>
      <c r="K693" s="179"/>
      <c r="L693" s="179"/>
      <c r="M693" s="6"/>
      <c r="N693" s="179"/>
      <c r="O693" s="6"/>
      <c r="P693" s="6"/>
      <c r="Q693" s="179"/>
      <c r="R693" s="54"/>
      <c r="S693" s="54"/>
    </row>
    <row r="694" spans="1:19" ht="12.75">
      <c r="A694" s="6"/>
      <c r="B694" s="6"/>
      <c r="C694" s="6"/>
      <c r="D694" s="6"/>
      <c r="E694" s="6"/>
      <c r="F694" s="6"/>
      <c r="G694" s="6"/>
      <c r="H694" s="6"/>
      <c r="I694" s="6"/>
      <c r="J694" s="6"/>
      <c r="K694" s="179"/>
      <c r="L694" s="179"/>
      <c r="M694" s="6"/>
      <c r="N694" s="179"/>
      <c r="O694" s="6"/>
      <c r="P694" s="6"/>
      <c r="Q694" s="179"/>
      <c r="R694" s="54"/>
      <c r="S694" s="54"/>
    </row>
    <row r="695" spans="1:19" ht="12.75">
      <c r="A695" s="6"/>
      <c r="B695" s="6"/>
      <c r="C695" s="6"/>
      <c r="D695" s="6"/>
      <c r="E695" s="6"/>
      <c r="F695" s="6"/>
      <c r="G695" s="6"/>
      <c r="H695" s="6"/>
      <c r="I695" s="6"/>
      <c r="J695" s="6"/>
      <c r="K695" s="179"/>
      <c r="L695" s="179"/>
      <c r="M695" s="6"/>
      <c r="N695" s="179"/>
      <c r="O695" s="6"/>
      <c r="P695" s="6"/>
      <c r="Q695" s="179"/>
      <c r="R695" s="54"/>
      <c r="S695" s="54"/>
    </row>
    <row r="696" spans="1:19" ht="12.75">
      <c r="A696" s="6"/>
      <c r="B696" s="6"/>
      <c r="C696" s="6"/>
      <c r="D696" s="6"/>
      <c r="E696" s="6"/>
      <c r="F696" s="6"/>
      <c r="G696" s="6"/>
      <c r="H696" s="6"/>
      <c r="I696" s="6"/>
      <c r="J696" s="6"/>
      <c r="K696" s="179"/>
      <c r="L696" s="179"/>
      <c r="M696" s="6"/>
      <c r="N696" s="179"/>
      <c r="O696" s="6"/>
      <c r="P696" s="6"/>
      <c r="Q696" s="179"/>
      <c r="R696" s="54"/>
      <c r="S696" s="54"/>
    </row>
    <row r="697" spans="1:19" ht="12.75">
      <c r="A697" s="6"/>
      <c r="B697" s="6"/>
      <c r="C697" s="6"/>
      <c r="D697" s="6"/>
      <c r="E697" s="6"/>
      <c r="F697" s="6"/>
      <c r="G697" s="6"/>
      <c r="H697" s="6"/>
      <c r="I697" s="6"/>
      <c r="J697" s="6"/>
      <c r="K697" s="179"/>
      <c r="L697" s="179"/>
      <c r="M697" s="6"/>
      <c r="N697" s="179"/>
      <c r="O697" s="6"/>
      <c r="P697" s="6"/>
      <c r="Q697" s="179"/>
      <c r="R697" s="54"/>
      <c r="S697" s="54"/>
    </row>
    <row r="698" spans="1:19" ht="12.75">
      <c r="A698" s="6"/>
      <c r="B698" s="6"/>
      <c r="C698" s="6"/>
      <c r="D698" s="6"/>
      <c r="E698" s="6"/>
      <c r="F698" s="6"/>
      <c r="G698" s="6"/>
      <c r="H698" s="6"/>
      <c r="I698" s="6"/>
      <c r="J698" s="6"/>
      <c r="K698" s="179"/>
      <c r="L698" s="179"/>
      <c r="M698" s="6"/>
      <c r="N698" s="179"/>
      <c r="O698" s="6"/>
      <c r="P698" s="6"/>
      <c r="Q698" s="179"/>
      <c r="R698" s="54"/>
      <c r="S698" s="54"/>
    </row>
    <row r="699" spans="1:19" ht="12.75">
      <c r="A699" s="6"/>
      <c r="B699" s="6"/>
      <c r="C699" s="6"/>
      <c r="D699" s="6"/>
      <c r="E699" s="6"/>
      <c r="F699" s="6"/>
      <c r="G699" s="6"/>
      <c r="H699" s="6"/>
      <c r="I699" s="6"/>
      <c r="J699" s="6"/>
      <c r="K699" s="179"/>
      <c r="L699" s="179"/>
      <c r="M699" s="6"/>
      <c r="N699" s="179"/>
      <c r="O699" s="6"/>
      <c r="P699" s="6"/>
      <c r="Q699" s="179"/>
      <c r="R699" s="54"/>
      <c r="S699" s="54"/>
    </row>
    <row r="700" spans="1:19" ht="12.75">
      <c r="A700" s="6"/>
      <c r="B700" s="6"/>
      <c r="C700" s="6"/>
      <c r="D700" s="6"/>
      <c r="E700" s="6"/>
      <c r="F700" s="6"/>
      <c r="G700" s="6"/>
      <c r="H700" s="6"/>
      <c r="I700" s="6"/>
      <c r="J700" s="6"/>
      <c r="K700" s="179"/>
      <c r="L700" s="179"/>
      <c r="M700" s="6"/>
      <c r="N700" s="179"/>
      <c r="O700" s="6"/>
      <c r="P700" s="6"/>
      <c r="Q700" s="179"/>
      <c r="R700" s="54"/>
      <c r="S700" s="54"/>
    </row>
    <row r="701" spans="1:19" ht="12.75">
      <c r="A701" s="6"/>
      <c r="B701" s="6"/>
      <c r="C701" s="6"/>
      <c r="D701" s="6"/>
      <c r="E701" s="6"/>
      <c r="F701" s="6"/>
      <c r="G701" s="6"/>
      <c r="H701" s="6"/>
      <c r="I701" s="6"/>
      <c r="J701" s="6"/>
      <c r="K701" s="179"/>
      <c r="L701" s="179"/>
      <c r="M701" s="6"/>
      <c r="N701" s="179"/>
      <c r="O701" s="6"/>
      <c r="P701" s="6"/>
      <c r="Q701" s="179"/>
      <c r="R701" s="54"/>
      <c r="S701" s="54"/>
    </row>
    <row r="702" spans="1:19" ht="12.75">
      <c r="A702" s="6"/>
      <c r="B702" s="6"/>
      <c r="C702" s="6"/>
      <c r="D702" s="6"/>
      <c r="E702" s="6"/>
      <c r="F702" s="6"/>
      <c r="G702" s="6"/>
      <c r="H702" s="6"/>
      <c r="I702" s="6"/>
      <c r="J702" s="6"/>
      <c r="K702" s="179"/>
      <c r="L702" s="179"/>
      <c r="M702" s="6"/>
      <c r="N702" s="179"/>
      <c r="O702" s="6"/>
      <c r="P702" s="6"/>
      <c r="Q702" s="179"/>
      <c r="R702" s="54"/>
      <c r="S702" s="54"/>
    </row>
    <row r="703" spans="1:19" ht="12.75">
      <c r="A703" s="6"/>
      <c r="B703" s="6"/>
      <c r="C703" s="6"/>
      <c r="D703" s="6"/>
      <c r="E703" s="6"/>
      <c r="F703" s="6"/>
      <c r="G703" s="6"/>
      <c r="H703" s="6"/>
      <c r="I703" s="6"/>
      <c r="J703" s="6"/>
      <c r="K703" s="179"/>
      <c r="L703" s="179"/>
      <c r="M703" s="6"/>
      <c r="N703" s="179"/>
      <c r="O703" s="6"/>
      <c r="P703" s="6"/>
      <c r="Q703" s="179"/>
      <c r="R703" s="54"/>
      <c r="S703" s="54"/>
    </row>
    <row r="704" spans="1:19" ht="12.75">
      <c r="A704" s="6"/>
      <c r="B704" s="6"/>
      <c r="C704" s="6"/>
      <c r="D704" s="6"/>
      <c r="E704" s="6"/>
      <c r="F704" s="6"/>
      <c r="G704" s="6"/>
      <c r="H704" s="6"/>
      <c r="I704" s="6"/>
      <c r="J704" s="6"/>
      <c r="K704" s="179"/>
      <c r="L704" s="179"/>
      <c r="M704" s="6"/>
      <c r="N704" s="179"/>
      <c r="O704" s="6"/>
      <c r="P704" s="6"/>
      <c r="Q704" s="179"/>
      <c r="R704" s="54"/>
      <c r="S704" s="54"/>
    </row>
    <row r="705" spans="1:19" ht="12.75">
      <c r="A705" s="6"/>
      <c r="B705" s="6"/>
      <c r="C705" s="6"/>
      <c r="D705" s="6"/>
      <c r="E705" s="6"/>
      <c r="F705" s="6"/>
      <c r="G705" s="6"/>
      <c r="H705" s="6"/>
      <c r="I705" s="6"/>
      <c r="J705" s="6"/>
      <c r="K705" s="179"/>
      <c r="L705" s="179"/>
      <c r="M705" s="6"/>
      <c r="N705" s="179"/>
      <c r="O705" s="6"/>
      <c r="P705" s="6"/>
      <c r="Q705" s="179"/>
      <c r="R705" s="54"/>
      <c r="S705" s="54"/>
    </row>
    <row r="706" spans="1:19" ht="12.75">
      <c r="A706" s="6"/>
      <c r="B706" s="6"/>
      <c r="C706" s="6"/>
      <c r="D706" s="6"/>
      <c r="E706" s="6"/>
      <c r="F706" s="6"/>
      <c r="G706" s="6"/>
      <c r="H706" s="6"/>
      <c r="I706" s="6"/>
      <c r="J706" s="6"/>
      <c r="K706" s="179"/>
      <c r="L706" s="179"/>
      <c r="M706" s="6"/>
      <c r="N706" s="179"/>
      <c r="O706" s="6"/>
      <c r="P706" s="6"/>
      <c r="Q706" s="179"/>
      <c r="R706" s="54"/>
      <c r="S706" s="54"/>
    </row>
    <row r="707" spans="1:19" ht="12.75">
      <c r="A707" s="6"/>
      <c r="B707" s="6"/>
      <c r="C707" s="6"/>
      <c r="D707" s="6"/>
      <c r="E707" s="6"/>
      <c r="F707" s="6"/>
      <c r="G707" s="6"/>
      <c r="H707" s="6"/>
      <c r="I707" s="6"/>
      <c r="J707" s="6"/>
      <c r="K707" s="179"/>
      <c r="L707" s="179"/>
      <c r="M707" s="6"/>
      <c r="N707" s="179"/>
      <c r="O707" s="6"/>
      <c r="P707" s="6"/>
      <c r="Q707" s="179"/>
      <c r="R707" s="54"/>
      <c r="S707" s="54"/>
    </row>
    <row r="708" spans="1:19" ht="12.75">
      <c r="A708" s="6"/>
      <c r="B708" s="6"/>
      <c r="C708" s="6"/>
      <c r="D708" s="6"/>
      <c r="E708" s="6"/>
      <c r="F708" s="6"/>
      <c r="G708" s="6"/>
      <c r="H708" s="6"/>
      <c r="I708" s="6"/>
      <c r="J708" s="6"/>
      <c r="K708" s="179"/>
      <c r="L708" s="179"/>
      <c r="M708" s="6"/>
      <c r="N708" s="179"/>
      <c r="O708" s="6"/>
      <c r="P708" s="6"/>
      <c r="Q708" s="179"/>
      <c r="R708" s="54"/>
      <c r="S708" s="54"/>
    </row>
    <row r="709" spans="1:19" ht="12.75">
      <c r="A709" s="6"/>
      <c r="B709" s="6"/>
      <c r="C709" s="6"/>
      <c r="D709" s="6"/>
      <c r="E709" s="6"/>
      <c r="F709" s="6"/>
      <c r="G709" s="6"/>
      <c r="H709" s="6"/>
      <c r="I709" s="6"/>
      <c r="J709" s="6"/>
      <c r="K709" s="179"/>
      <c r="L709" s="179"/>
      <c r="M709" s="6"/>
      <c r="N709" s="179"/>
      <c r="O709" s="6"/>
      <c r="P709" s="6"/>
      <c r="Q709" s="179"/>
      <c r="R709" s="54"/>
      <c r="S709" s="54"/>
    </row>
    <row r="710" spans="1:19" ht="12.75">
      <c r="A710" s="6"/>
      <c r="B710" s="6"/>
      <c r="C710" s="6"/>
      <c r="D710" s="6"/>
      <c r="E710" s="6"/>
      <c r="F710" s="6"/>
      <c r="G710" s="6"/>
      <c r="H710" s="6"/>
      <c r="I710" s="6"/>
      <c r="J710" s="6"/>
      <c r="K710" s="179"/>
      <c r="L710" s="179"/>
      <c r="M710" s="6"/>
      <c r="N710" s="179"/>
      <c r="O710" s="6"/>
      <c r="P710" s="6"/>
      <c r="Q710" s="179"/>
      <c r="R710" s="54"/>
      <c r="S710" s="54"/>
    </row>
    <row r="711" spans="1:19" ht="12.75">
      <c r="A711" s="6"/>
      <c r="B711" s="6"/>
      <c r="C711" s="6"/>
      <c r="D711" s="6"/>
      <c r="E711" s="6"/>
      <c r="F711" s="6"/>
      <c r="G711" s="6"/>
      <c r="H711" s="6"/>
      <c r="I711" s="6"/>
      <c r="J711" s="6"/>
      <c r="K711" s="179"/>
      <c r="L711" s="179"/>
      <c r="M711" s="6"/>
      <c r="N711" s="179"/>
      <c r="O711" s="6"/>
      <c r="P711" s="6"/>
      <c r="Q711" s="179"/>
      <c r="R711" s="54"/>
      <c r="S711" s="54"/>
    </row>
    <row r="712" spans="1:19" ht="12.75">
      <c r="A712" s="6"/>
      <c r="B712" s="6"/>
      <c r="C712" s="6"/>
      <c r="D712" s="6"/>
      <c r="E712" s="6"/>
      <c r="F712" s="6"/>
      <c r="G712" s="6"/>
      <c r="H712" s="6"/>
      <c r="I712" s="6"/>
      <c r="J712" s="6"/>
      <c r="K712" s="179"/>
      <c r="L712" s="179"/>
      <c r="M712" s="6"/>
      <c r="N712" s="179"/>
      <c r="O712" s="6"/>
      <c r="P712" s="6"/>
      <c r="Q712" s="179"/>
      <c r="R712" s="54"/>
      <c r="S712" s="54"/>
    </row>
    <row r="713" spans="1:19" ht="12.75">
      <c r="A713" s="6"/>
      <c r="B713" s="6"/>
      <c r="C713" s="6"/>
      <c r="D713" s="6"/>
      <c r="E713" s="6"/>
      <c r="F713" s="6"/>
      <c r="G713" s="6"/>
      <c r="H713" s="6"/>
      <c r="I713" s="6"/>
      <c r="J713" s="6"/>
      <c r="K713" s="179"/>
      <c r="L713" s="179"/>
      <c r="M713" s="6"/>
      <c r="N713" s="179"/>
      <c r="O713" s="6"/>
      <c r="P713" s="6"/>
      <c r="Q713" s="179"/>
      <c r="R713" s="54"/>
      <c r="S713" s="54"/>
    </row>
    <row r="714" spans="1:19" ht="12.75">
      <c r="A714" s="6"/>
      <c r="B714" s="6"/>
      <c r="C714" s="6"/>
      <c r="D714" s="6"/>
      <c r="E714" s="6"/>
      <c r="F714" s="6"/>
      <c r="G714" s="6"/>
      <c r="H714" s="6"/>
      <c r="I714" s="6"/>
      <c r="J714" s="6"/>
      <c r="K714" s="179"/>
      <c r="L714" s="179"/>
      <c r="M714" s="6"/>
      <c r="N714" s="179"/>
      <c r="O714" s="6"/>
      <c r="P714" s="6"/>
      <c r="Q714" s="179"/>
      <c r="R714" s="54"/>
      <c r="S714" s="54"/>
    </row>
    <row r="715" spans="1:19" ht="12.75">
      <c r="A715" s="6"/>
      <c r="B715" s="6"/>
      <c r="C715" s="6"/>
      <c r="D715" s="6"/>
      <c r="E715" s="6"/>
      <c r="F715" s="6"/>
      <c r="G715" s="6"/>
      <c r="H715" s="6"/>
      <c r="I715" s="6"/>
      <c r="J715" s="6"/>
      <c r="K715" s="179"/>
      <c r="L715" s="179"/>
      <c r="M715" s="6"/>
      <c r="N715" s="179"/>
      <c r="O715" s="6"/>
      <c r="P715" s="6"/>
      <c r="Q715" s="179"/>
      <c r="R715" s="54"/>
      <c r="S715" s="54"/>
    </row>
    <row r="716" spans="1:19" ht="12.75">
      <c r="A716" s="6"/>
      <c r="B716" s="6"/>
      <c r="C716" s="6"/>
      <c r="D716" s="6"/>
      <c r="E716" s="6"/>
      <c r="F716" s="6"/>
      <c r="G716" s="6"/>
      <c r="H716" s="6"/>
      <c r="I716" s="6"/>
      <c r="J716" s="6"/>
      <c r="K716" s="179"/>
      <c r="L716" s="179"/>
      <c r="M716" s="6"/>
      <c r="N716" s="179"/>
      <c r="O716" s="6"/>
      <c r="P716" s="6"/>
      <c r="Q716" s="179"/>
      <c r="R716" s="54"/>
      <c r="S716" s="54"/>
    </row>
    <row r="717" spans="1:19" ht="12.75">
      <c r="A717" s="6"/>
      <c r="B717" s="6"/>
      <c r="C717" s="6"/>
      <c r="D717" s="6"/>
      <c r="E717" s="6"/>
      <c r="F717" s="6"/>
      <c r="G717" s="6"/>
      <c r="H717" s="6"/>
      <c r="I717" s="6"/>
      <c r="J717" s="6"/>
      <c r="K717" s="179"/>
      <c r="L717" s="179"/>
      <c r="M717" s="6"/>
      <c r="N717" s="179"/>
      <c r="O717" s="6"/>
      <c r="P717" s="6"/>
      <c r="Q717" s="179"/>
      <c r="R717" s="54"/>
      <c r="S717" s="54"/>
    </row>
    <row r="718" spans="1:19" ht="12.75">
      <c r="A718" s="6"/>
      <c r="B718" s="6"/>
      <c r="C718" s="6"/>
      <c r="D718" s="6"/>
      <c r="E718" s="6"/>
      <c r="F718" s="6"/>
      <c r="G718" s="6"/>
      <c r="H718" s="6"/>
      <c r="I718" s="6"/>
      <c r="J718" s="6"/>
      <c r="K718" s="179"/>
      <c r="L718" s="179"/>
      <c r="M718" s="6"/>
      <c r="N718" s="179"/>
      <c r="O718" s="6"/>
      <c r="P718" s="6"/>
      <c r="Q718" s="179"/>
      <c r="R718" s="54"/>
      <c r="S718" s="54"/>
    </row>
    <row r="719" spans="1:19" ht="12.75">
      <c r="A719" s="6"/>
      <c r="B719" s="6"/>
      <c r="C719" s="6"/>
      <c r="D719" s="6"/>
      <c r="E719" s="6"/>
      <c r="F719" s="6"/>
      <c r="G719" s="6"/>
      <c r="H719" s="6"/>
      <c r="I719" s="6"/>
      <c r="J719" s="6"/>
      <c r="K719" s="179"/>
      <c r="L719" s="179"/>
      <c r="M719" s="6"/>
      <c r="N719" s="179"/>
      <c r="O719" s="6"/>
      <c r="P719" s="6"/>
      <c r="Q719" s="179"/>
      <c r="R719" s="54"/>
      <c r="S719" s="54"/>
    </row>
    <row r="720" spans="1:19" ht="12.75">
      <c r="A720" s="6"/>
      <c r="B720" s="6"/>
      <c r="C720" s="6"/>
      <c r="D720" s="6"/>
      <c r="E720" s="6"/>
      <c r="F720" s="6"/>
      <c r="G720" s="6"/>
      <c r="H720" s="6"/>
      <c r="I720" s="6"/>
      <c r="J720" s="6"/>
      <c r="K720" s="179"/>
      <c r="L720" s="179"/>
      <c r="M720" s="6"/>
      <c r="N720" s="179"/>
      <c r="O720" s="6"/>
      <c r="P720" s="6"/>
      <c r="Q720" s="179"/>
      <c r="R720" s="54"/>
      <c r="S720" s="54"/>
    </row>
    <row r="721" spans="1:19" ht="12.75">
      <c r="A721" s="6"/>
      <c r="B721" s="6"/>
      <c r="C721" s="6"/>
      <c r="D721" s="6"/>
      <c r="E721" s="6"/>
      <c r="F721" s="6"/>
      <c r="G721" s="6"/>
      <c r="H721" s="6"/>
      <c r="I721" s="6"/>
      <c r="J721" s="6"/>
      <c r="K721" s="179"/>
      <c r="L721" s="179"/>
      <c r="M721" s="6"/>
      <c r="N721" s="179"/>
      <c r="O721" s="6"/>
      <c r="P721" s="6"/>
      <c r="Q721" s="179"/>
      <c r="R721" s="54"/>
      <c r="S721" s="54"/>
    </row>
    <row r="722" spans="1:19" ht="12.75">
      <c r="A722" s="6"/>
      <c r="B722" s="6"/>
      <c r="C722" s="6"/>
      <c r="D722" s="6"/>
      <c r="E722" s="6"/>
      <c r="F722" s="6"/>
      <c r="G722" s="6"/>
      <c r="H722" s="6"/>
      <c r="I722" s="6"/>
      <c r="J722" s="6"/>
      <c r="K722" s="179"/>
      <c r="L722" s="179"/>
      <c r="M722" s="6"/>
      <c r="N722" s="179"/>
      <c r="O722" s="6"/>
      <c r="P722" s="6"/>
      <c r="Q722" s="179"/>
      <c r="R722" s="54"/>
      <c r="S722" s="54"/>
    </row>
    <row r="723" spans="1:19" ht="12.75">
      <c r="A723" s="6"/>
      <c r="B723" s="6"/>
      <c r="C723" s="6"/>
      <c r="D723" s="6"/>
      <c r="E723" s="6"/>
      <c r="F723" s="6"/>
      <c r="G723" s="6"/>
      <c r="H723" s="6"/>
      <c r="I723" s="6"/>
      <c r="J723" s="6"/>
      <c r="K723" s="179"/>
      <c r="L723" s="179"/>
      <c r="M723" s="6"/>
      <c r="N723" s="179"/>
      <c r="O723" s="6"/>
      <c r="P723" s="6"/>
      <c r="Q723" s="179"/>
      <c r="R723" s="54"/>
      <c r="S723" s="54"/>
    </row>
    <row r="724" spans="1:19" ht="12.75">
      <c r="A724" s="6"/>
      <c r="B724" s="6"/>
      <c r="C724" s="6"/>
      <c r="D724" s="6"/>
      <c r="E724" s="6"/>
      <c r="F724" s="6"/>
      <c r="G724" s="6"/>
      <c r="H724" s="6"/>
      <c r="I724" s="6"/>
      <c r="J724" s="6"/>
      <c r="K724" s="179"/>
      <c r="L724" s="179"/>
      <c r="M724" s="6"/>
      <c r="N724" s="179"/>
      <c r="O724" s="6"/>
      <c r="P724" s="6"/>
      <c r="Q724" s="179"/>
      <c r="R724" s="54"/>
      <c r="S724" s="54"/>
    </row>
    <row r="725" spans="1:19" ht="12.75">
      <c r="A725" s="6"/>
      <c r="B725" s="6"/>
      <c r="C725" s="6"/>
      <c r="D725" s="6"/>
      <c r="E725" s="6"/>
      <c r="F725" s="6"/>
      <c r="G725" s="6"/>
      <c r="H725" s="6"/>
      <c r="I725" s="6"/>
      <c r="J725" s="6"/>
      <c r="K725" s="179"/>
      <c r="L725" s="179"/>
      <c r="M725" s="6"/>
      <c r="N725" s="179"/>
      <c r="O725" s="6"/>
      <c r="P725" s="6"/>
      <c r="Q725" s="179"/>
      <c r="R725" s="54"/>
      <c r="S725" s="54"/>
    </row>
    <row r="726" spans="1:19" ht="12.75">
      <c r="A726" s="6"/>
      <c r="B726" s="6"/>
      <c r="C726" s="6"/>
      <c r="D726" s="6"/>
      <c r="E726" s="6"/>
      <c r="F726" s="6"/>
      <c r="G726" s="6"/>
      <c r="H726" s="6"/>
      <c r="I726" s="6"/>
      <c r="J726" s="6"/>
      <c r="K726" s="179"/>
      <c r="L726" s="179"/>
      <c r="M726" s="6"/>
      <c r="N726" s="179"/>
      <c r="O726" s="6"/>
      <c r="P726" s="6"/>
      <c r="Q726" s="179"/>
      <c r="R726" s="54"/>
      <c r="S726" s="54"/>
    </row>
    <row r="727" spans="1:19" ht="12.75">
      <c r="A727" s="6"/>
      <c r="B727" s="6"/>
      <c r="C727" s="6"/>
      <c r="D727" s="6"/>
      <c r="E727" s="6"/>
      <c r="F727" s="6"/>
      <c r="G727" s="6"/>
      <c r="H727" s="6"/>
      <c r="I727" s="6"/>
      <c r="J727" s="6"/>
      <c r="K727" s="179"/>
      <c r="L727" s="179"/>
      <c r="M727" s="6"/>
      <c r="N727" s="179"/>
      <c r="O727" s="6"/>
      <c r="P727" s="6"/>
      <c r="Q727" s="179"/>
      <c r="R727" s="54"/>
      <c r="S727" s="54"/>
    </row>
    <row r="728" spans="1:19" ht="12.75">
      <c r="A728" s="6"/>
      <c r="B728" s="6"/>
      <c r="C728" s="6"/>
      <c r="D728" s="6"/>
      <c r="E728" s="6"/>
      <c r="F728" s="6"/>
      <c r="G728" s="6"/>
      <c r="H728" s="6"/>
      <c r="I728" s="6"/>
      <c r="J728" s="6"/>
      <c r="K728" s="179"/>
      <c r="L728" s="179"/>
      <c r="M728" s="6"/>
      <c r="N728" s="179"/>
      <c r="O728" s="6"/>
      <c r="P728" s="6"/>
      <c r="Q728" s="179"/>
      <c r="R728" s="54"/>
      <c r="S728" s="54"/>
    </row>
    <row r="729" spans="1:19" ht="12.75">
      <c r="A729" s="6"/>
      <c r="B729" s="6"/>
      <c r="C729" s="6"/>
      <c r="D729" s="6"/>
      <c r="E729" s="6"/>
      <c r="F729" s="6"/>
      <c r="G729" s="6"/>
      <c r="H729" s="6"/>
      <c r="I729" s="6"/>
      <c r="J729" s="6"/>
      <c r="K729" s="179"/>
      <c r="L729" s="179"/>
      <c r="M729" s="6"/>
      <c r="N729" s="179"/>
      <c r="O729" s="6"/>
      <c r="P729" s="6"/>
      <c r="Q729" s="179"/>
      <c r="R729" s="54"/>
      <c r="S729" s="54"/>
    </row>
    <row r="730" spans="1:19" ht="12.75">
      <c r="A730" s="6"/>
      <c r="B730" s="6"/>
      <c r="C730" s="6"/>
      <c r="D730" s="6"/>
      <c r="E730" s="6"/>
      <c r="F730" s="6"/>
      <c r="G730" s="6"/>
      <c r="H730" s="6"/>
      <c r="I730" s="6"/>
      <c r="J730" s="6"/>
      <c r="K730" s="179"/>
      <c r="L730" s="179"/>
      <c r="M730" s="6"/>
      <c r="N730" s="179"/>
      <c r="O730" s="6"/>
      <c r="P730" s="6"/>
      <c r="Q730" s="179"/>
      <c r="R730" s="54"/>
      <c r="S730" s="54"/>
    </row>
    <row r="731" spans="1:19" ht="12.75">
      <c r="A731" s="6"/>
      <c r="B731" s="6"/>
      <c r="C731" s="6"/>
      <c r="D731" s="6"/>
      <c r="E731" s="6"/>
      <c r="F731" s="6"/>
      <c r="G731" s="6"/>
      <c r="H731" s="6"/>
      <c r="I731" s="6"/>
      <c r="J731" s="6"/>
      <c r="K731" s="179"/>
      <c r="L731" s="179"/>
      <c r="M731" s="6"/>
      <c r="N731" s="179"/>
      <c r="O731" s="6"/>
      <c r="P731" s="6"/>
      <c r="Q731" s="179"/>
      <c r="R731" s="54"/>
      <c r="S731" s="54"/>
    </row>
    <row r="732" spans="1:19" ht="12.75">
      <c r="A732" s="6"/>
      <c r="B732" s="6"/>
      <c r="C732" s="6"/>
      <c r="D732" s="6"/>
      <c r="E732" s="6"/>
      <c r="F732" s="6"/>
      <c r="G732" s="6"/>
      <c r="H732" s="6"/>
      <c r="I732" s="6"/>
      <c r="J732" s="6"/>
      <c r="K732" s="179"/>
      <c r="L732" s="179"/>
      <c r="M732" s="6"/>
      <c r="N732" s="179"/>
      <c r="O732" s="6"/>
      <c r="P732" s="6"/>
      <c r="Q732" s="179"/>
      <c r="R732" s="54"/>
      <c r="S732" s="54"/>
    </row>
    <row r="733" spans="1:19" ht="12.75">
      <c r="A733" s="6"/>
      <c r="B733" s="6"/>
      <c r="C733" s="6"/>
      <c r="D733" s="6"/>
      <c r="E733" s="6"/>
      <c r="F733" s="6"/>
      <c r="G733" s="6"/>
      <c r="H733" s="6"/>
      <c r="I733" s="6"/>
      <c r="J733" s="6"/>
      <c r="K733" s="179"/>
      <c r="L733" s="179"/>
      <c r="M733" s="6"/>
      <c r="N733" s="179"/>
      <c r="O733" s="6"/>
      <c r="P733" s="6"/>
      <c r="Q733" s="179"/>
      <c r="R733" s="54"/>
      <c r="S733" s="54"/>
    </row>
    <row r="734" spans="1:19" ht="12.75">
      <c r="A734" s="6"/>
      <c r="B734" s="6"/>
      <c r="C734" s="6"/>
      <c r="D734" s="6"/>
      <c r="E734" s="6"/>
      <c r="F734" s="6"/>
      <c r="G734" s="6"/>
      <c r="H734" s="6"/>
      <c r="I734" s="6"/>
      <c r="J734" s="6"/>
      <c r="K734" s="179"/>
      <c r="L734" s="179"/>
      <c r="M734" s="6"/>
      <c r="N734" s="179"/>
      <c r="O734" s="6"/>
      <c r="P734" s="6"/>
      <c r="Q734" s="179"/>
      <c r="R734" s="54"/>
      <c r="S734" s="54"/>
    </row>
    <row r="735" spans="1:19" ht="12.75">
      <c r="A735" s="6"/>
      <c r="B735" s="6"/>
      <c r="C735" s="6"/>
      <c r="D735" s="6"/>
      <c r="E735" s="6"/>
      <c r="F735" s="6"/>
      <c r="G735" s="6"/>
      <c r="H735" s="6"/>
      <c r="I735" s="6"/>
      <c r="J735" s="6"/>
      <c r="K735" s="179"/>
      <c r="L735" s="179"/>
      <c r="M735" s="6"/>
      <c r="N735" s="179"/>
      <c r="O735" s="6"/>
      <c r="P735" s="6"/>
      <c r="Q735" s="179"/>
      <c r="R735" s="54"/>
      <c r="S735" s="54"/>
    </row>
    <row r="736" spans="1:19" ht="12.75">
      <c r="A736" s="6"/>
      <c r="B736" s="6"/>
      <c r="C736" s="6"/>
      <c r="D736" s="6"/>
      <c r="E736" s="6"/>
      <c r="F736" s="6"/>
      <c r="G736" s="6"/>
      <c r="H736" s="6"/>
      <c r="I736" s="6"/>
      <c r="J736" s="6"/>
      <c r="K736" s="179"/>
      <c r="L736" s="179"/>
      <c r="M736" s="6"/>
      <c r="N736" s="179"/>
      <c r="O736" s="6"/>
      <c r="P736" s="6"/>
      <c r="Q736" s="179"/>
      <c r="R736" s="54"/>
      <c r="S736" s="54"/>
    </row>
    <row r="737" spans="1:19" ht="12.75">
      <c r="A737" s="6"/>
      <c r="B737" s="6"/>
      <c r="C737" s="6"/>
      <c r="D737" s="6"/>
      <c r="E737" s="6"/>
      <c r="F737" s="6"/>
      <c r="G737" s="6"/>
      <c r="H737" s="6"/>
      <c r="I737" s="6"/>
      <c r="J737" s="6"/>
      <c r="K737" s="179"/>
      <c r="L737" s="179"/>
      <c r="M737" s="6"/>
      <c r="N737" s="179"/>
      <c r="O737" s="6"/>
      <c r="P737" s="6"/>
      <c r="Q737" s="179"/>
      <c r="R737" s="54"/>
      <c r="S737" s="54"/>
    </row>
    <row r="738" spans="1:19" ht="12.75">
      <c r="A738" s="6"/>
      <c r="B738" s="6"/>
      <c r="C738" s="6"/>
      <c r="D738" s="6"/>
      <c r="E738" s="6"/>
      <c r="F738" s="6"/>
      <c r="G738" s="6"/>
      <c r="H738" s="6"/>
      <c r="I738" s="6"/>
      <c r="J738" s="6"/>
      <c r="K738" s="179"/>
      <c r="L738" s="179"/>
      <c r="M738" s="6"/>
      <c r="N738" s="179"/>
      <c r="O738" s="6"/>
      <c r="P738" s="6"/>
      <c r="Q738" s="179"/>
      <c r="R738" s="54"/>
      <c r="S738" s="54"/>
    </row>
    <row r="739" spans="1:19" ht="12.75">
      <c r="A739" s="6"/>
      <c r="B739" s="6"/>
      <c r="C739" s="6"/>
      <c r="D739" s="6"/>
      <c r="E739" s="6"/>
      <c r="F739" s="6"/>
      <c r="G739" s="6"/>
      <c r="H739" s="6"/>
      <c r="I739" s="6"/>
      <c r="J739" s="6"/>
      <c r="K739" s="179"/>
      <c r="L739" s="179"/>
      <c r="M739" s="6"/>
      <c r="N739" s="179"/>
      <c r="O739" s="6"/>
      <c r="P739" s="6"/>
      <c r="Q739" s="179"/>
      <c r="R739" s="54"/>
      <c r="S739" s="54"/>
    </row>
    <row r="740" spans="1:19" ht="12.75">
      <c r="A740" s="6"/>
      <c r="B740" s="6"/>
      <c r="C740" s="6"/>
      <c r="D740" s="6"/>
      <c r="E740" s="6"/>
      <c r="F740" s="6"/>
      <c r="G740" s="6"/>
      <c r="H740" s="6"/>
      <c r="I740" s="6"/>
      <c r="J740" s="6"/>
      <c r="K740" s="179"/>
      <c r="L740" s="179"/>
      <c r="M740" s="6"/>
      <c r="N740" s="179"/>
      <c r="O740" s="6"/>
      <c r="P740" s="6"/>
      <c r="Q740" s="179"/>
      <c r="R740" s="54"/>
      <c r="S740" s="54"/>
    </row>
    <row r="741" spans="1:19" ht="12.75">
      <c r="A741" s="6"/>
      <c r="B741" s="6"/>
      <c r="C741" s="6"/>
      <c r="D741" s="6"/>
      <c r="E741" s="6"/>
      <c r="F741" s="6"/>
      <c r="G741" s="6"/>
      <c r="H741" s="6"/>
      <c r="I741" s="6"/>
      <c r="J741" s="6"/>
      <c r="K741" s="179"/>
      <c r="L741" s="179"/>
      <c r="M741" s="6"/>
      <c r="N741" s="179"/>
      <c r="O741" s="6"/>
      <c r="P741" s="6"/>
      <c r="Q741" s="179"/>
      <c r="R741" s="54"/>
      <c r="S741" s="54"/>
    </row>
    <row r="742" spans="1:19" ht="12.75">
      <c r="A742" s="6"/>
      <c r="B742" s="6"/>
      <c r="C742" s="6"/>
      <c r="D742" s="6"/>
      <c r="E742" s="6"/>
      <c r="F742" s="6"/>
      <c r="G742" s="6"/>
      <c r="H742" s="6"/>
      <c r="I742" s="6"/>
      <c r="J742" s="6"/>
      <c r="K742" s="179"/>
      <c r="L742" s="179"/>
      <c r="M742" s="6"/>
      <c r="N742" s="179"/>
      <c r="O742" s="6"/>
      <c r="P742" s="6"/>
      <c r="Q742" s="179"/>
      <c r="R742" s="54"/>
      <c r="S742" s="54"/>
    </row>
    <row r="743" spans="1:19" ht="12.75">
      <c r="A743" s="6"/>
      <c r="B743" s="6"/>
      <c r="C743" s="6"/>
      <c r="D743" s="6"/>
      <c r="E743" s="6"/>
      <c r="F743" s="6"/>
      <c r="G743" s="6"/>
      <c r="H743" s="6"/>
      <c r="I743" s="6"/>
      <c r="J743" s="6"/>
      <c r="K743" s="179"/>
      <c r="L743" s="179"/>
      <c r="M743" s="6"/>
      <c r="N743" s="179"/>
      <c r="O743" s="6"/>
      <c r="P743" s="6"/>
      <c r="Q743" s="179"/>
      <c r="R743" s="54"/>
      <c r="S743" s="54"/>
    </row>
    <row r="744" spans="1:19" ht="12.75">
      <c r="A744" s="6"/>
      <c r="B744" s="6"/>
      <c r="C744" s="6"/>
      <c r="D744" s="6"/>
      <c r="E744" s="6"/>
      <c r="F744" s="6"/>
      <c r="G744" s="6"/>
      <c r="H744" s="6"/>
      <c r="I744" s="6"/>
      <c r="J744" s="6"/>
      <c r="K744" s="179"/>
      <c r="L744" s="179"/>
      <c r="M744" s="6"/>
      <c r="N744" s="179"/>
      <c r="O744" s="6"/>
      <c r="P744" s="6"/>
      <c r="Q744" s="179"/>
      <c r="R744" s="54"/>
      <c r="S744" s="54"/>
    </row>
    <row r="745" spans="1:19" ht="12.75">
      <c r="A745" s="6"/>
      <c r="B745" s="6"/>
      <c r="C745" s="6"/>
      <c r="D745" s="6"/>
      <c r="E745" s="6"/>
      <c r="F745" s="6"/>
      <c r="G745" s="6"/>
      <c r="H745" s="6"/>
      <c r="I745" s="6"/>
      <c r="J745" s="6"/>
      <c r="K745" s="179"/>
      <c r="L745" s="179"/>
      <c r="M745" s="6"/>
      <c r="N745" s="179"/>
      <c r="O745" s="6"/>
      <c r="P745" s="6"/>
      <c r="Q745" s="179"/>
      <c r="R745" s="54"/>
      <c r="S745" s="54"/>
    </row>
    <row r="746" spans="1:19" ht="12.75">
      <c r="A746" s="6"/>
      <c r="B746" s="6"/>
      <c r="C746" s="6"/>
      <c r="D746" s="6"/>
      <c r="E746" s="6"/>
      <c r="F746" s="6"/>
      <c r="G746" s="6"/>
      <c r="H746" s="6"/>
      <c r="I746" s="6"/>
      <c r="J746" s="6"/>
      <c r="K746" s="179"/>
      <c r="L746" s="179"/>
      <c r="M746" s="6"/>
      <c r="N746" s="179"/>
      <c r="O746" s="6"/>
      <c r="P746" s="6"/>
      <c r="Q746" s="179"/>
      <c r="R746" s="54"/>
      <c r="S746" s="54"/>
    </row>
    <row r="747" spans="1:19" ht="12.75">
      <c r="A747" s="6"/>
      <c r="B747" s="6"/>
      <c r="C747" s="6"/>
      <c r="D747" s="6"/>
      <c r="E747" s="6"/>
      <c r="F747" s="6"/>
      <c r="G747" s="6"/>
      <c r="H747" s="6"/>
      <c r="I747" s="6"/>
      <c r="J747" s="6"/>
      <c r="K747" s="179"/>
      <c r="L747" s="179"/>
      <c r="M747" s="6"/>
      <c r="N747" s="179"/>
      <c r="O747" s="6"/>
      <c r="P747" s="6"/>
      <c r="Q747" s="179"/>
      <c r="R747" s="54"/>
      <c r="S747" s="54"/>
    </row>
    <row r="748" spans="1:19" ht="12.75">
      <c r="A748" s="6"/>
      <c r="B748" s="6"/>
      <c r="C748" s="6"/>
      <c r="D748" s="6"/>
      <c r="E748" s="6"/>
      <c r="F748" s="6"/>
      <c r="G748" s="6"/>
      <c r="H748" s="6"/>
      <c r="I748" s="6"/>
      <c r="J748" s="6"/>
      <c r="K748" s="179"/>
      <c r="L748" s="179"/>
      <c r="M748" s="6"/>
      <c r="N748" s="179"/>
      <c r="O748" s="6"/>
      <c r="P748" s="6"/>
      <c r="Q748" s="179"/>
      <c r="R748" s="54"/>
      <c r="S748" s="54"/>
    </row>
    <row r="749" spans="1:19" ht="12.75">
      <c r="A749" s="6"/>
      <c r="B749" s="6"/>
      <c r="C749" s="6"/>
      <c r="D749" s="6"/>
      <c r="E749" s="6"/>
      <c r="F749" s="6"/>
      <c r="G749" s="6"/>
      <c r="H749" s="6"/>
      <c r="I749" s="6"/>
      <c r="J749" s="6"/>
      <c r="K749" s="179"/>
      <c r="L749" s="179"/>
      <c r="M749" s="6"/>
      <c r="N749" s="179"/>
      <c r="O749" s="6"/>
      <c r="P749" s="6"/>
      <c r="Q749" s="179"/>
      <c r="R749" s="54"/>
      <c r="S749" s="54"/>
    </row>
    <row r="750" spans="1:19" ht="12.75">
      <c r="A750" s="6"/>
      <c r="B750" s="6"/>
      <c r="C750" s="6"/>
      <c r="D750" s="6"/>
      <c r="E750" s="6"/>
      <c r="F750" s="6"/>
      <c r="G750" s="6"/>
      <c r="H750" s="6"/>
      <c r="I750" s="6"/>
      <c r="J750" s="6"/>
      <c r="K750" s="179"/>
      <c r="L750" s="179"/>
      <c r="M750" s="6"/>
      <c r="N750" s="179"/>
      <c r="O750" s="6"/>
      <c r="P750" s="6"/>
      <c r="Q750" s="179"/>
      <c r="R750" s="54"/>
      <c r="S750" s="54"/>
    </row>
    <row r="751" spans="1:19" ht="12.75">
      <c r="A751" s="6"/>
      <c r="B751" s="6"/>
      <c r="C751" s="6"/>
      <c r="D751" s="6"/>
      <c r="E751" s="6"/>
      <c r="F751" s="6"/>
      <c r="G751" s="6"/>
      <c r="H751" s="6"/>
      <c r="I751" s="6"/>
      <c r="J751" s="6"/>
      <c r="K751" s="179"/>
      <c r="L751" s="179"/>
      <c r="M751" s="6"/>
      <c r="N751" s="179"/>
      <c r="O751" s="6"/>
      <c r="P751" s="6"/>
      <c r="Q751" s="179"/>
      <c r="R751" s="54"/>
      <c r="S751" s="54"/>
    </row>
    <row r="752" spans="1:19" ht="12.75">
      <c r="A752" s="6"/>
      <c r="B752" s="6"/>
      <c r="C752" s="6"/>
      <c r="D752" s="6"/>
      <c r="E752" s="6"/>
      <c r="F752" s="6"/>
      <c r="G752" s="6"/>
      <c r="H752" s="6"/>
      <c r="I752" s="6"/>
      <c r="J752" s="6"/>
      <c r="K752" s="179"/>
      <c r="L752" s="179"/>
      <c r="M752" s="6"/>
      <c r="N752" s="179"/>
      <c r="O752" s="6"/>
      <c r="P752" s="6"/>
      <c r="Q752" s="179"/>
      <c r="R752" s="54"/>
      <c r="S752" s="54"/>
    </row>
    <row r="753" spans="1:19" ht="12.75">
      <c r="A753" s="6"/>
      <c r="B753" s="6"/>
      <c r="C753" s="6"/>
      <c r="D753" s="6"/>
      <c r="E753" s="6"/>
      <c r="F753" s="6"/>
      <c r="G753" s="6"/>
      <c r="H753" s="6"/>
      <c r="I753" s="6"/>
      <c r="J753" s="6"/>
      <c r="K753" s="179"/>
      <c r="L753" s="179"/>
      <c r="M753" s="6"/>
      <c r="N753" s="179"/>
      <c r="O753" s="6"/>
      <c r="P753" s="6"/>
      <c r="Q753" s="179"/>
      <c r="R753" s="54"/>
      <c r="S753" s="54"/>
    </row>
    <row r="754" spans="1:19" ht="12.75">
      <c r="A754" s="6"/>
      <c r="B754" s="6"/>
      <c r="C754" s="6"/>
      <c r="D754" s="6"/>
      <c r="E754" s="6"/>
      <c r="F754" s="6"/>
      <c r="G754" s="6"/>
      <c r="H754" s="6"/>
      <c r="I754" s="6"/>
      <c r="J754" s="6"/>
      <c r="K754" s="179"/>
      <c r="L754" s="179"/>
      <c r="M754" s="6"/>
      <c r="N754" s="179"/>
      <c r="O754" s="6"/>
      <c r="P754" s="6"/>
      <c r="Q754" s="179"/>
      <c r="R754" s="54"/>
      <c r="S754" s="54"/>
    </row>
    <row r="755" spans="1:19" ht="12.75">
      <c r="A755" s="6"/>
      <c r="B755" s="6"/>
      <c r="C755" s="6"/>
      <c r="D755" s="6"/>
      <c r="E755" s="6"/>
      <c r="F755" s="6"/>
      <c r="G755" s="6"/>
      <c r="H755" s="6"/>
      <c r="I755" s="6"/>
      <c r="J755" s="6"/>
      <c r="K755" s="179"/>
      <c r="L755" s="179"/>
      <c r="M755" s="6"/>
      <c r="N755" s="179"/>
      <c r="O755" s="6"/>
      <c r="P755" s="6"/>
      <c r="Q755" s="179"/>
      <c r="R755" s="54"/>
      <c r="S755" s="54"/>
    </row>
    <row r="756" spans="1:19" ht="12.75">
      <c r="A756" s="6"/>
      <c r="B756" s="6"/>
      <c r="C756" s="6"/>
      <c r="D756" s="6"/>
      <c r="E756" s="6"/>
      <c r="F756" s="6"/>
      <c r="G756" s="6"/>
      <c r="H756" s="6"/>
      <c r="I756" s="6"/>
      <c r="J756" s="6"/>
      <c r="K756" s="179"/>
      <c r="L756" s="179"/>
      <c r="M756" s="6"/>
      <c r="N756" s="179"/>
      <c r="O756" s="6"/>
      <c r="P756" s="6"/>
      <c r="Q756" s="179"/>
      <c r="R756" s="54"/>
      <c r="S756" s="54"/>
    </row>
    <row r="757" spans="1:19" ht="12.75">
      <c r="A757" s="6"/>
      <c r="B757" s="6"/>
      <c r="C757" s="6"/>
      <c r="D757" s="6"/>
      <c r="E757" s="6"/>
      <c r="F757" s="6"/>
      <c r="G757" s="6"/>
      <c r="H757" s="6"/>
      <c r="I757" s="6"/>
      <c r="J757" s="6"/>
      <c r="K757" s="179"/>
      <c r="L757" s="179"/>
      <c r="M757" s="6"/>
      <c r="N757" s="179"/>
      <c r="O757" s="6"/>
      <c r="P757" s="6"/>
      <c r="Q757" s="179"/>
      <c r="R757" s="54"/>
      <c r="S757" s="54"/>
    </row>
    <row r="758" spans="1:19" ht="12.75">
      <c r="A758" s="6"/>
      <c r="B758" s="6"/>
      <c r="C758" s="6"/>
      <c r="D758" s="6"/>
      <c r="E758" s="6"/>
      <c r="F758" s="6"/>
      <c r="G758" s="6"/>
      <c r="H758" s="6"/>
      <c r="I758" s="6"/>
      <c r="J758" s="6"/>
      <c r="K758" s="179"/>
      <c r="L758" s="179"/>
      <c r="M758" s="6"/>
      <c r="N758" s="179"/>
      <c r="O758" s="6"/>
      <c r="P758" s="6"/>
      <c r="Q758" s="179"/>
      <c r="R758" s="54"/>
      <c r="S758" s="54"/>
    </row>
    <row r="759" spans="1:19" ht="12.75">
      <c r="A759" s="6"/>
      <c r="B759" s="6"/>
      <c r="C759" s="6"/>
      <c r="D759" s="6"/>
      <c r="E759" s="6"/>
      <c r="F759" s="6"/>
      <c r="G759" s="6"/>
      <c r="H759" s="6"/>
      <c r="I759" s="6"/>
      <c r="J759" s="6"/>
      <c r="K759" s="179"/>
      <c r="L759" s="179"/>
      <c r="M759" s="6"/>
      <c r="N759" s="179"/>
      <c r="O759" s="6"/>
      <c r="P759" s="6"/>
      <c r="Q759" s="179"/>
      <c r="R759" s="54"/>
      <c r="S759" s="54"/>
    </row>
    <row r="760" spans="1:19" ht="12.75">
      <c r="A760" s="6"/>
      <c r="B760" s="6"/>
      <c r="C760" s="6"/>
      <c r="D760" s="6"/>
      <c r="E760" s="6"/>
      <c r="F760" s="6"/>
      <c r="G760" s="6"/>
      <c r="H760" s="6"/>
      <c r="I760" s="6"/>
      <c r="J760" s="6"/>
      <c r="K760" s="179"/>
      <c r="L760" s="179"/>
      <c r="M760" s="6"/>
      <c r="N760" s="179"/>
      <c r="O760" s="6"/>
      <c r="P760" s="6"/>
      <c r="Q760" s="179"/>
      <c r="R760" s="54"/>
      <c r="S760" s="54"/>
    </row>
    <row r="761" spans="1:19" ht="12.75">
      <c r="A761" s="6"/>
      <c r="B761" s="6"/>
      <c r="C761" s="6"/>
      <c r="D761" s="6"/>
      <c r="E761" s="6"/>
      <c r="F761" s="6"/>
      <c r="G761" s="6"/>
      <c r="H761" s="6"/>
      <c r="I761" s="6"/>
      <c r="J761" s="6"/>
      <c r="K761" s="179"/>
      <c r="L761" s="179"/>
      <c r="M761" s="6"/>
      <c r="N761" s="179"/>
      <c r="O761" s="6"/>
      <c r="P761" s="6"/>
      <c r="Q761" s="179"/>
      <c r="R761" s="54"/>
      <c r="S761" s="54"/>
    </row>
    <row r="762" spans="1:19" ht="12.75">
      <c r="A762" s="6"/>
      <c r="B762" s="6"/>
      <c r="C762" s="6"/>
      <c r="D762" s="6"/>
      <c r="E762" s="6"/>
      <c r="F762" s="6"/>
      <c r="G762" s="6"/>
      <c r="H762" s="6"/>
      <c r="I762" s="6"/>
      <c r="J762" s="6"/>
      <c r="K762" s="179"/>
      <c r="L762" s="179"/>
      <c r="M762" s="6"/>
      <c r="N762" s="179"/>
      <c r="O762" s="6"/>
      <c r="P762" s="6"/>
      <c r="Q762" s="179"/>
      <c r="R762" s="54"/>
      <c r="S762" s="54"/>
    </row>
    <row r="763" spans="1:19" ht="12.75">
      <c r="A763" s="6"/>
      <c r="B763" s="6"/>
      <c r="C763" s="6"/>
      <c r="D763" s="6"/>
      <c r="E763" s="6"/>
      <c r="F763" s="6"/>
      <c r="G763" s="6"/>
      <c r="H763" s="6"/>
      <c r="I763" s="6"/>
      <c r="J763" s="6"/>
      <c r="K763" s="179"/>
      <c r="L763" s="179"/>
      <c r="M763" s="6"/>
      <c r="N763" s="179"/>
      <c r="O763" s="6"/>
      <c r="P763" s="6"/>
      <c r="Q763" s="179"/>
      <c r="R763" s="54"/>
      <c r="S763" s="54"/>
    </row>
    <row r="764" spans="1:19" ht="12.75">
      <c r="A764" s="6"/>
      <c r="B764" s="6"/>
      <c r="C764" s="6"/>
      <c r="D764" s="6"/>
      <c r="E764" s="6"/>
      <c r="F764" s="6"/>
      <c r="G764" s="6"/>
      <c r="H764" s="6"/>
      <c r="I764" s="6"/>
      <c r="J764" s="6"/>
      <c r="K764" s="179"/>
      <c r="L764" s="179"/>
      <c r="M764" s="6"/>
      <c r="N764" s="179"/>
      <c r="O764" s="6"/>
      <c r="P764" s="6"/>
      <c r="Q764" s="179"/>
      <c r="R764" s="54"/>
      <c r="S764" s="54"/>
    </row>
    <row r="765" spans="1:19" ht="12.75">
      <c r="A765" s="6"/>
      <c r="B765" s="6"/>
      <c r="C765" s="6"/>
      <c r="D765" s="6"/>
      <c r="E765" s="6"/>
      <c r="F765" s="6"/>
      <c r="G765" s="6"/>
      <c r="H765" s="6"/>
      <c r="I765" s="6"/>
      <c r="J765" s="6"/>
      <c r="K765" s="179"/>
      <c r="L765" s="179"/>
      <c r="M765" s="6"/>
      <c r="N765" s="179"/>
      <c r="O765" s="6"/>
      <c r="P765" s="6"/>
      <c r="Q765" s="179"/>
      <c r="R765" s="54"/>
      <c r="S765" s="54"/>
    </row>
    <row r="766" spans="1:19" ht="12.75">
      <c r="A766" s="6"/>
      <c r="B766" s="6"/>
      <c r="C766" s="6"/>
      <c r="D766" s="6"/>
      <c r="E766" s="6"/>
      <c r="F766" s="6"/>
      <c r="G766" s="6"/>
      <c r="H766" s="6"/>
      <c r="I766" s="6"/>
      <c r="J766" s="6"/>
      <c r="K766" s="179"/>
      <c r="L766" s="179"/>
      <c r="M766" s="6"/>
      <c r="N766" s="179"/>
      <c r="O766" s="6"/>
      <c r="P766" s="6"/>
      <c r="Q766" s="179"/>
      <c r="R766" s="54"/>
      <c r="S766" s="54"/>
    </row>
    <row r="767" spans="1:19" ht="12.75">
      <c r="A767" s="6"/>
      <c r="B767" s="6"/>
      <c r="C767" s="6"/>
      <c r="D767" s="6"/>
      <c r="E767" s="6"/>
      <c r="F767" s="6"/>
      <c r="G767" s="6"/>
      <c r="H767" s="6"/>
      <c r="I767" s="6"/>
      <c r="J767" s="6"/>
      <c r="K767" s="179"/>
      <c r="L767" s="179"/>
      <c r="M767" s="6"/>
      <c r="N767" s="179"/>
      <c r="O767" s="6"/>
      <c r="P767" s="6"/>
      <c r="Q767" s="179"/>
      <c r="R767" s="54"/>
      <c r="S767" s="54"/>
    </row>
    <row r="768" spans="1:19" ht="12.75">
      <c r="A768" s="6"/>
      <c r="B768" s="6"/>
      <c r="C768" s="6"/>
      <c r="D768" s="6"/>
      <c r="E768" s="6"/>
      <c r="F768" s="6"/>
      <c r="G768" s="6"/>
      <c r="H768" s="6"/>
      <c r="I768" s="6"/>
      <c r="J768" s="6"/>
      <c r="K768" s="179"/>
      <c r="L768" s="179"/>
      <c r="M768" s="6"/>
      <c r="N768" s="179"/>
      <c r="O768" s="6"/>
      <c r="P768" s="6"/>
      <c r="Q768" s="179"/>
      <c r="R768" s="54"/>
      <c r="S768" s="54"/>
    </row>
    <row r="769" spans="1:19" ht="12.75">
      <c r="A769" s="6"/>
      <c r="B769" s="6"/>
      <c r="C769" s="6"/>
      <c r="D769" s="6"/>
      <c r="E769" s="6"/>
      <c r="F769" s="6"/>
      <c r="G769" s="6"/>
      <c r="H769" s="6"/>
      <c r="I769" s="6"/>
      <c r="J769" s="6"/>
      <c r="K769" s="179"/>
      <c r="L769" s="179"/>
      <c r="M769" s="6"/>
      <c r="N769" s="179"/>
      <c r="O769" s="6"/>
      <c r="P769" s="6"/>
      <c r="Q769" s="179"/>
      <c r="R769" s="54"/>
      <c r="S769" s="54"/>
    </row>
    <row r="770" spans="1:19" ht="12.75">
      <c r="A770" s="6"/>
      <c r="B770" s="6"/>
      <c r="C770" s="6"/>
      <c r="D770" s="6"/>
      <c r="E770" s="6"/>
      <c r="F770" s="6"/>
      <c r="G770" s="6"/>
      <c r="H770" s="6"/>
      <c r="I770" s="6"/>
      <c r="J770" s="6"/>
      <c r="K770" s="179"/>
      <c r="L770" s="179"/>
      <c r="M770" s="6"/>
      <c r="N770" s="179"/>
      <c r="O770" s="6"/>
      <c r="P770" s="6"/>
      <c r="Q770" s="179"/>
      <c r="R770" s="54"/>
      <c r="S770" s="54"/>
    </row>
    <row r="771" spans="1:19" ht="12.75">
      <c r="A771" s="6"/>
      <c r="B771" s="6"/>
      <c r="C771" s="6"/>
      <c r="D771" s="6"/>
      <c r="E771" s="6"/>
      <c r="F771" s="6"/>
      <c r="G771" s="6"/>
      <c r="H771" s="6"/>
      <c r="I771" s="6"/>
      <c r="J771" s="6"/>
      <c r="K771" s="179"/>
      <c r="L771" s="179"/>
      <c r="M771" s="6"/>
      <c r="N771" s="179"/>
      <c r="O771" s="6"/>
      <c r="P771" s="6"/>
      <c r="Q771" s="179"/>
      <c r="R771" s="54"/>
      <c r="S771" s="54"/>
    </row>
    <row r="772" spans="1:19" ht="12.75">
      <c r="A772" s="6"/>
      <c r="B772" s="6"/>
      <c r="C772" s="6"/>
      <c r="D772" s="6"/>
      <c r="E772" s="6"/>
      <c r="F772" s="6"/>
      <c r="G772" s="6"/>
      <c r="H772" s="6"/>
      <c r="I772" s="6"/>
      <c r="J772" s="6"/>
      <c r="K772" s="179"/>
      <c r="L772" s="179"/>
      <c r="M772" s="6"/>
      <c r="N772" s="179"/>
      <c r="O772" s="6"/>
      <c r="P772" s="6"/>
      <c r="Q772" s="179"/>
      <c r="R772" s="54"/>
      <c r="S772" s="54"/>
    </row>
    <row r="773" spans="1:19" ht="12.75">
      <c r="A773" s="6"/>
      <c r="B773" s="6"/>
      <c r="C773" s="6"/>
      <c r="D773" s="6"/>
      <c r="E773" s="6"/>
      <c r="F773" s="6"/>
      <c r="G773" s="6"/>
      <c r="H773" s="6"/>
      <c r="I773" s="6"/>
      <c r="J773" s="6"/>
      <c r="K773" s="179"/>
      <c r="L773" s="179"/>
      <c r="M773" s="6"/>
      <c r="N773" s="179"/>
      <c r="O773" s="6"/>
      <c r="P773" s="6"/>
      <c r="Q773" s="179"/>
      <c r="R773" s="54"/>
      <c r="S773" s="54"/>
    </row>
    <row r="774" spans="1:19" ht="12.75">
      <c r="A774" s="6"/>
      <c r="B774" s="6"/>
      <c r="C774" s="6"/>
      <c r="D774" s="6"/>
      <c r="E774" s="6"/>
      <c r="F774" s="6"/>
      <c r="G774" s="6"/>
      <c r="H774" s="6"/>
      <c r="I774" s="6"/>
      <c r="J774" s="6"/>
      <c r="K774" s="179"/>
      <c r="L774" s="179"/>
      <c r="M774" s="6"/>
      <c r="N774" s="179"/>
      <c r="O774" s="6"/>
      <c r="P774" s="6"/>
      <c r="Q774" s="179"/>
      <c r="R774" s="54"/>
      <c r="S774" s="54"/>
    </row>
    <row r="775" spans="1:19" ht="12.75">
      <c r="A775" s="6"/>
      <c r="B775" s="6"/>
      <c r="C775" s="6"/>
      <c r="D775" s="6"/>
      <c r="E775" s="6"/>
      <c r="F775" s="6"/>
      <c r="G775" s="6"/>
      <c r="H775" s="6"/>
      <c r="I775" s="6"/>
      <c r="J775" s="6"/>
      <c r="K775" s="179"/>
      <c r="L775" s="179"/>
      <c r="M775" s="6"/>
      <c r="N775" s="179"/>
      <c r="O775" s="6"/>
      <c r="P775" s="6"/>
      <c r="Q775" s="179"/>
      <c r="R775" s="54"/>
      <c r="S775" s="54"/>
    </row>
    <row r="776" spans="1:19" ht="12.75">
      <c r="A776" s="6"/>
      <c r="B776" s="6"/>
      <c r="C776" s="6"/>
      <c r="D776" s="6"/>
      <c r="E776" s="6"/>
      <c r="F776" s="6"/>
      <c r="G776" s="6"/>
      <c r="H776" s="6"/>
      <c r="I776" s="6"/>
      <c r="J776" s="6"/>
      <c r="K776" s="179"/>
      <c r="L776" s="179"/>
      <c r="M776" s="6"/>
      <c r="N776" s="179"/>
      <c r="O776" s="6"/>
      <c r="P776" s="6"/>
      <c r="Q776" s="179"/>
      <c r="R776" s="54"/>
      <c r="S776" s="54"/>
    </row>
    <row r="777" spans="1:19" ht="12.75">
      <c r="A777" s="6"/>
      <c r="B777" s="6"/>
      <c r="C777" s="6"/>
      <c r="D777" s="6"/>
      <c r="E777" s="6"/>
      <c r="F777" s="6"/>
      <c r="G777" s="6"/>
      <c r="H777" s="6"/>
      <c r="I777" s="6"/>
      <c r="J777" s="6"/>
      <c r="K777" s="179"/>
      <c r="L777" s="179"/>
      <c r="M777" s="6"/>
      <c r="N777" s="179"/>
      <c r="O777" s="6"/>
      <c r="P777" s="6"/>
      <c r="Q777" s="179"/>
      <c r="R777" s="54"/>
      <c r="S777" s="54"/>
    </row>
    <row r="778" spans="1:19" ht="12.75">
      <c r="A778" s="6"/>
      <c r="B778" s="6"/>
      <c r="C778" s="6"/>
      <c r="D778" s="6"/>
      <c r="E778" s="6"/>
      <c r="F778" s="6"/>
      <c r="G778" s="6"/>
      <c r="H778" s="6"/>
      <c r="I778" s="6"/>
      <c r="J778" s="6"/>
      <c r="K778" s="179"/>
      <c r="L778" s="179"/>
      <c r="M778" s="6"/>
      <c r="N778" s="179"/>
      <c r="O778" s="6"/>
      <c r="P778" s="6"/>
      <c r="Q778" s="179"/>
      <c r="R778" s="54"/>
      <c r="S778" s="54"/>
    </row>
    <row r="779" spans="1:19" ht="12.75">
      <c r="A779" s="6"/>
      <c r="B779" s="6"/>
      <c r="C779" s="6"/>
      <c r="D779" s="6"/>
      <c r="E779" s="6"/>
      <c r="F779" s="6"/>
      <c r="G779" s="6"/>
      <c r="H779" s="6"/>
      <c r="I779" s="6"/>
      <c r="J779" s="6"/>
      <c r="K779" s="179"/>
      <c r="L779" s="179"/>
      <c r="M779" s="6"/>
      <c r="N779" s="179"/>
      <c r="O779" s="6"/>
      <c r="P779" s="6"/>
      <c r="Q779" s="179"/>
      <c r="R779" s="54"/>
      <c r="S779" s="54"/>
    </row>
    <row r="780" spans="1:19" ht="12.75">
      <c r="A780" s="6"/>
      <c r="B780" s="6"/>
      <c r="C780" s="6"/>
      <c r="D780" s="6"/>
      <c r="E780" s="6"/>
      <c r="F780" s="6"/>
      <c r="G780" s="6"/>
      <c r="H780" s="6"/>
      <c r="I780" s="6"/>
      <c r="J780" s="6"/>
      <c r="K780" s="179"/>
      <c r="L780" s="179"/>
      <c r="M780" s="6"/>
      <c r="N780" s="179"/>
      <c r="O780" s="6"/>
      <c r="P780" s="6"/>
      <c r="Q780" s="179"/>
      <c r="R780" s="54"/>
      <c r="S780" s="54"/>
    </row>
    <row r="781" spans="1:19" ht="12.75">
      <c r="A781" s="6"/>
      <c r="B781" s="6"/>
      <c r="C781" s="6"/>
      <c r="D781" s="6"/>
      <c r="E781" s="6"/>
      <c r="F781" s="6"/>
      <c r="G781" s="6"/>
      <c r="H781" s="6"/>
      <c r="I781" s="6"/>
      <c r="J781" s="6"/>
      <c r="K781" s="179"/>
      <c r="L781" s="179"/>
      <c r="M781" s="6"/>
      <c r="N781" s="179"/>
      <c r="O781" s="6"/>
      <c r="P781" s="6"/>
      <c r="Q781" s="179"/>
      <c r="R781" s="54"/>
      <c r="S781" s="54"/>
    </row>
    <row r="782" spans="1:19" ht="12.75">
      <c r="A782" s="6"/>
      <c r="B782" s="6"/>
      <c r="C782" s="6"/>
      <c r="D782" s="6"/>
      <c r="E782" s="6"/>
      <c r="F782" s="6"/>
      <c r="G782" s="6"/>
      <c r="H782" s="6"/>
      <c r="I782" s="6"/>
      <c r="J782" s="6"/>
      <c r="K782" s="179"/>
      <c r="L782" s="179"/>
      <c r="M782" s="6"/>
      <c r="N782" s="179"/>
      <c r="O782" s="6"/>
      <c r="P782" s="6"/>
      <c r="Q782" s="179"/>
      <c r="R782" s="54"/>
      <c r="S782" s="54"/>
    </row>
    <row r="783" spans="1:19" ht="12.75">
      <c r="A783" s="6"/>
      <c r="B783" s="6"/>
      <c r="C783" s="6"/>
      <c r="D783" s="6"/>
      <c r="E783" s="6"/>
      <c r="F783" s="6"/>
      <c r="G783" s="6"/>
      <c r="H783" s="6"/>
      <c r="I783" s="6"/>
      <c r="J783" s="6"/>
      <c r="K783" s="179"/>
      <c r="L783" s="179"/>
      <c r="M783" s="6"/>
      <c r="N783" s="179"/>
      <c r="O783" s="6"/>
      <c r="P783" s="6"/>
      <c r="Q783" s="179"/>
      <c r="R783" s="54"/>
      <c r="S783" s="54"/>
    </row>
    <row r="784" spans="1:19" ht="12.75">
      <c r="A784" s="6"/>
      <c r="B784" s="6"/>
      <c r="C784" s="6"/>
      <c r="D784" s="6"/>
      <c r="E784" s="6"/>
      <c r="F784" s="6"/>
      <c r="G784" s="6"/>
      <c r="H784" s="6"/>
      <c r="I784" s="6"/>
      <c r="J784" s="6"/>
      <c r="K784" s="179"/>
      <c r="L784" s="179"/>
      <c r="M784" s="6"/>
      <c r="N784" s="179"/>
      <c r="O784" s="6"/>
      <c r="P784" s="6"/>
      <c r="Q784" s="179"/>
      <c r="R784" s="54"/>
      <c r="S784" s="54"/>
    </row>
    <row r="785" spans="1:19" ht="12.75">
      <c r="A785" s="6"/>
      <c r="B785" s="6"/>
      <c r="C785" s="6"/>
      <c r="D785" s="6"/>
      <c r="E785" s="6"/>
      <c r="F785" s="6"/>
      <c r="G785" s="6"/>
      <c r="H785" s="6"/>
      <c r="I785" s="6"/>
      <c r="J785" s="6"/>
      <c r="K785" s="179"/>
      <c r="L785" s="179"/>
      <c r="M785" s="6"/>
      <c r="N785" s="179"/>
      <c r="O785" s="6"/>
      <c r="P785" s="6"/>
      <c r="Q785" s="179"/>
      <c r="R785" s="54"/>
      <c r="S785" s="54"/>
    </row>
    <row r="786" spans="1:19" ht="12.75">
      <c r="A786" s="6"/>
      <c r="B786" s="6"/>
      <c r="C786" s="6"/>
      <c r="D786" s="6"/>
      <c r="E786" s="6"/>
      <c r="F786" s="6"/>
      <c r="G786" s="6"/>
      <c r="H786" s="6"/>
      <c r="I786" s="6"/>
      <c r="J786" s="6"/>
      <c r="K786" s="179"/>
      <c r="L786" s="179"/>
      <c r="M786" s="6"/>
      <c r="N786" s="179"/>
      <c r="O786" s="6"/>
      <c r="P786" s="6"/>
      <c r="Q786" s="179"/>
      <c r="R786" s="54"/>
      <c r="S786" s="54"/>
    </row>
    <row r="787" spans="1:19" ht="12.75">
      <c r="A787" s="6"/>
      <c r="B787" s="6"/>
      <c r="C787" s="6"/>
      <c r="D787" s="6"/>
      <c r="E787" s="6"/>
      <c r="F787" s="6"/>
      <c r="G787" s="6"/>
      <c r="H787" s="6"/>
      <c r="I787" s="6"/>
      <c r="J787" s="6"/>
      <c r="K787" s="179"/>
      <c r="L787" s="179"/>
      <c r="M787" s="6"/>
      <c r="N787" s="179"/>
      <c r="O787" s="6"/>
      <c r="P787" s="6"/>
      <c r="Q787" s="179"/>
      <c r="R787" s="54"/>
      <c r="S787" s="54"/>
    </row>
    <row r="788" spans="1:19" ht="12.75">
      <c r="A788" s="6"/>
      <c r="B788" s="6"/>
      <c r="C788" s="6"/>
      <c r="D788" s="6"/>
      <c r="E788" s="6"/>
      <c r="F788" s="6"/>
      <c r="G788" s="6"/>
      <c r="H788" s="6"/>
      <c r="I788" s="6"/>
      <c r="J788" s="6"/>
      <c r="K788" s="179"/>
      <c r="L788" s="179"/>
      <c r="M788" s="6"/>
      <c r="N788" s="179"/>
      <c r="O788" s="6"/>
      <c r="P788" s="6"/>
      <c r="Q788" s="179"/>
      <c r="R788" s="54"/>
      <c r="S788" s="54"/>
    </row>
    <row r="789" spans="1:19" ht="12.75">
      <c r="A789" s="6"/>
      <c r="B789" s="6"/>
      <c r="C789" s="6"/>
      <c r="D789" s="6"/>
      <c r="E789" s="6"/>
      <c r="F789" s="6"/>
      <c r="G789" s="6"/>
      <c r="H789" s="6"/>
      <c r="I789" s="6"/>
      <c r="J789" s="6"/>
      <c r="K789" s="179"/>
      <c r="L789" s="179"/>
      <c r="M789" s="6"/>
      <c r="N789" s="179"/>
      <c r="O789" s="6"/>
      <c r="P789" s="6"/>
      <c r="Q789" s="179"/>
      <c r="R789" s="54"/>
      <c r="S789" s="54"/>
    </row>
    <row r="790" spans="1:19" ht="12.75">
      <c r="A790" s="6"/>
      <c r="B790" s="6"/>
      <c r="C790" s="6"/>
      <c r="D790" s="6"/>
      <c r="E790" s="6"/>
      <c r="F790" s="6"/>
      <c r="G790" s="6"/>
      <c r="H790" s="6"/>
      <c r="I790" s="6"/>
      <c r="J790" s="6"/>
      <c r="K790" s="179"/>
      <c r="L790" s="179"/>
      <c r="M790" s="6"/>
      <c r="N790" s="179"/>
      <c r="O790" s="6"/>
      <c r="P790" s="6"/>
      <c r="Q790" s="179"/>
      <c r="R790" s="54"/>
      <c r="S790" s="54"/>
    </row>
    <row r="791" spans="1:19" ht="12.75">
      <c r="A791" s="6"/>
      <c r="B791" s="6"/>
      <c r="C791" s="6"/>
      <c r="D791" s="6"/>
      <c r="E791" s="6"/>
      <c r="F791" s="6"/>
      <c r="G791" s="6"/>
      <c r="H791" s="6"/>
      <c r="I791" s="6"/>
      <c r="J791" s="6"/>
      <c r="K791" s="179"/>
      <c r="L791" s="179"/>
      <c r="M791" s="6"/>
      <c r="N791" s="179"/>
      <c r="O791" s="6"/>
      <c r="P791" s="6"/>
      <c r="Q791" s="179"/>
      <c r="R791" s="54"/>
      <c r="S791" s="54"/>
    </row>
    <row r="792" spans="1:19" ht="12.75">
      <c r="A792" s="6"/>
      <c r="B792" s="6"/>
      <c r="C792" s="6"/>
      <c r="D792" s="6"/>
      <c r="E792" s="6"/>
      <c r="F792" s="6"/>
      <c r="G792" s="6"/>
      <c r="H792" s="6"/>
      <c r="I792" s="6"/>
      <c r="J792" s="6"/>
      <c r="K792" s="179"/>
      <c r="L792" s="179"/>
      <c r="M792" s="6"/>
      <c r="N792" s="179"/>
      <c r="O792" s="6"/>
      <c r="P792" s="6"/>
      <c r="Q792" s="179"/>
      <c r="R792" s="54"/>
      <c r="S792" s="54"/>
    </row>
    <row r="793" spans="1:19" ht="12.75">
      <c r="A793" s="6"/>
      <c r="B793" s="6"/>
      <c r="C793" s="6"/>
      <c r="D793" s="6"/>
      <c r="E793" s="6"/>
      <c r="F793" s="6"/>
      <c r="G793" s="6"/>
      <c r="H793" s="6"/>
      <c r="I793" s="6"/>
      <c r="J793" s="6"/>
      <c r="K793" s="179"/>
      <c r="L793" s="179"/>
      <c r="M793" s="6"/>
      <c r="N793" s="179"/>
      <c r="O793" s="6"/>
      <c r="P793" s="6"/>
      <c r="Q793" s="179"/>
      <c r="R793" s="54"/>
      <c r="S793" s="54"/>
    </row>
    <row r="794" spans="1:19" ht="12.75">
      <c r="A794" s="6"/>
      <c r="B794" s="6"/>
      <c r="C794" s="6"/>
      <c r="D794" s="6"/>
      <c r="E794" s="6"/>
      <c r="F794" s="6"/>
      <c r="G794" s="6"/>
      <c r="H794" s="6"/>
      <c r="I794" s="6"/>
      <c r="J794" s="6"/>
      <c r="K794" s="179"/>
      <c r="L794" s="179"/>
      <c r="M794" s="6"/>
      <c r="N794" s="179"/>
      <c r="O794" s="6"/>
      <c r="P794" s="6"/>
      <c r="Q794" s="179"/>
      <c r="R794" s="54"/>
      <c r="S794" s="54"/>
    </row>
    <row r="795" spans="1:19" ht="12.75">
      <c r="A795" s="6"/>
      <c r="B795" s="6"/>
      <c r="C795" s="6"/>
      <c r="D795" s="6"/>
      <c r="E795" s="6"/>
      <c r="F795" s="6"/>
      <c r="G795" s="6"/>
      <c r="H795" s="6"/>
      <c r="I795" s="6"/>
      <c r="J795" s="6"/>
      <c r="K795" s="179"/>
      <c r="L795" s="179"/>
      <c r="M795" s="6"/>
      <c r="N795" s="179"/>
      <c r="O795" s="6"/>
      <c r="P795" s="6"/>
      <c r="Q795" s="179"/>
      <c r="R795" s="54"/>
      <c r="S795" s="54"/>
    </row>
    <row r="796" spans="1:19" ht="12.75">
      <c r="A796" s="6"/>
      <c r="B796" s="6"/>
      <c r="C796" s="6"/>
      <c r="D796" s="6"/>
      <c r="E796" s="6"/>
      <c r="F796" s="6"/>
      <c r="G796" s="6"/>
      <c r="H796" s="6"/>
      <c r="I796" s="6"/>
      <c r="J796" s="6"/>
      <c r="K796" s="179"/>
      <c r="L796" s="179"/>
      <c r="M796" s="6"/>
      <c r="N796" s="179"/>
      <c r="O796" s="6"/>
      <c r="P796" s="6"/>
      <c r="Q796" s="179"/>
      <c r="R796" s="54"/>
      <c r="S796" s="54"/>
    </row>
    <row r="797" spans="1:19" ht="12.75">
      <c r="A797" s="6"/>
      <c r="B797" s="6"/>
      <c r="C797" s="6"/>
      <c r="D797" s="6"/>
      <c r="E797" s="6"/>
      <c r="F797" s="6"/>
      <c r="G797" s="6"/>
      <c r="H797" s="6"/>
      <c r="I797" s="6"/>
      <c r="J797" s="6"/>
      <c r="K797" s="179"/>
      <c r="L797" s="179"/>
      <c r="M797" s="6"/>
      <c r="N797" s="179"/>
      <c r="O797" s="6"/>
      <c r="P797" s="6"/>
      <c r="Q797" s="179"/>
      <c r="R797" s="54"/>
      <c r="S797" s="54"/>
    </row>
    <row r="798" spans="1:19" ht="12.75">
      <c r="A798" s="6"/>
      <c r="B798" s="6"/>
      <c r="C798" s="6"/>
      <c r="D798" s="6"/>
      <c r="E798" s="6"/>
      <c r="F798" s="6"/>
      <c r="G798" s="6"/>
      <c r="H798" s="6"/>
      <c r="I798" s="6"/>
      <c r="J798" s="6"/>
      <c r="K798" s="179"/>
      <c r="L798" s="179"/>
      <c r="M798" s="6"/>
      <c r="N798" s="179"/>
      <c r="O798" s="6"/>
      <c r="P798" s="6"/>
      <c r="Q798" s="179"/>
      <c r="R798" s="54"/>
      <c r="S798" s="54"/>
    </row>
    <row r="799" spans="1:19" ht="12.75">
      <c r="A799" s="6"/>
      <c r="B799" s="6"/>
      <c r="C799" s="6"/>
      <c r="D799" s="6"/>
      <c r="E799" s="6"/>
      <c r="F799" s="6"/>
      <c r="G799" s="6"/>
      <c r="H799" s="6"/>
      <c r="I799" s="6"/>
      <c r="J799" s="6"/>
      <c r="K799" s="179"/>
      <c r="L799" s="179"/>
      <c r="M799" s="6"/>
      <c r="N799" s="179"/>
      <c r="O799" s="6"/>
      <c r="P799" s="6"/>
      <c r="Q799" s="179"/>
      <c r="R799" s="54"/>
      <c r="S799" s="54"/>
    </row>
    <row r="800" spans="1:19" ht="12.75">
      <c r="A800" s="6"/>
      <c r="B800" s="6"/>
      <c r="C800" s="6"/>
      <c r="D800" s="6"/>
      <c r="E800" s="6"/>
      <c r="F800" s="6"/>
      <c r="G800" s="6"/>
      <c r="H800" s="6"/>
      <c r="I800" s="6"/>
      <c r="J800" s="6"/>
      <c r="K800" s="179"/>
      <c r="L800" s="179"/>
      <c r="M800" s="6"/>
      <c r="N800" s="179"/>
      <c r="O800" s="6"/>
      <c r="P800" s="6"/>
      <c r="Q800" s="179"/>
      <c r="R800" s="54"/>
      <c r="S800" s="54"/>
    </row>
    <row r="801" spans="1:19" ht="12.75">
      <c r="A801" s="6"/>
      <c r="B801" s="6"/>
      <c r="C801" s="6"/>
      <c r="D801" s="6"/>
      <c r="E801" s="6"/>
      <c r="F801" s="6"/>
      <c r="G801" s="6"/>
      <c r="H801" s="6"/>
      <c r="I801" s="6"/>
      <c r="J801" s="6"/>
      <c r="K801" s="179"/>
      <c r="L801" s="179"/>
      <c r="M801" s="6"/>
      <c r="N801" s="179"/>
      <c r="O801" s="6"/>
      <c r="P801" s="6"/>
      <c r="Q801" s="179"/>
      <c r="R801" s="54"/>
      <c r="S801" s="54"/>
    </row>
    <row r="802" spans="1:19" ht="12.75">
      <c r="A802" s="6"/>
      <c r="B802" s="6"/>
      <c r="C802" s="6"/>
      <c r="D802" s="6"/>
      <c r="E802" s="6"/>
      <c r="F802" s="6"/>
      <c r="G802" s="6"/>
      <c r="H802" s="6"/>
      <c r="I802" s="6"/>
      <c r="J802" s="6"/>
      <c r="K802" s="179"/>
      <c r="L802" s="179"/>
      <c r="M802" s="6"/>
      <c r="N802" s="179"/>
      <c r="O802" s="6"/>
      <c r="P802" s="6"/>
      <c r="Q802" s="179"/>
      <c r="R802" s="54"/>
      <c r="S802" s="54"/>
    </row>
    <row r="803" spans="1:19" ht="12.75">
      <c r="A803" s="6"/>
      <c r="B803" s="6"/>
      <c r="C803" s="6"/>
      <c r="D803" s="6"/>
      <c r="E803" s="6"/>
      <c r="F803" s="6"/>
      <c r="G803" s="6"/>
      <c r="H803" s="6"/>
      <c r="I803" s="6"/>
      <c r="J803" s="6"/>
      <c r="K803" s="179"/>
      <c r="L803" s="179"/>
      <c r="M803" s="6"/>
      <c r="N803" s="179"/>
      <c r="O803" s="6"/>
      <c r="P803" s="6"/>
      <c r="Q803" s="179"/>
      <c r="R803" s="54"/>
      <c r="S803" s="54"/>
    </row>
    <row r="804" spans="1:19" ht="12.75">
      <c r="A804" s="6"/>
      <c r="B804" s="6"/>
      <c r="C804" s="6"/>
      <c r="D804" s="6"/>
      <c r="E804" s="6"/>
      <c r="F804" s="6"/>
      <c r="G804" s="6"/>
      <c r="H804" s="6"/>
      <c r="I804" s="6"/>
      <c r="J804" s="6"/>
      <c r="K804" s="179"/>
      <c r="L804" s="179"/>
      <c r="M804" s="6"/>
      <c r="N804" s="179"/>
      <c r="O804" s="6"/>
      <c r="P804" s="6"/>
      <c r="Q804" s="179"/>
      <c r="R804" s="54"/>
      <c r="S804" s="54"/>
    </row>
    <row r="805" spans="1:19" ht="12.75">
      <c r="A805" s="6"/>
      <c r="B805" s="6"/>
      <c r="C805" s="6"/>
      <c r="D805" s="6"/>
      <c r="E805" s="6"/>
      <c r="F805" s="6"/>
      <c r="G805" s="6"/>
      <c r="H805" s="6"/>
      <c r="I805" s="6"/>
      <c r="J805" s="6"/>
      <c r="K805" s="179"/>
      <c r="L805" s="179"/>
      <c r="M805" s="6"/>
      <c r="N805" s="179"/>
      <c r="O805" s="6"/>
      <c r="P805" s="6"/>
      <c r="Q805" s="179"/>
      <c r="R805" s="54"/>
      <c r="S805" s="54"/>
    </row>
    <row r="806" spans="1:19" ht="12.75">
      <c r="A806" s="6"/>
      <c r="B806" s="6"/>
      <c r="C806" s="6"/>
      <c r="D806" s="6"/>
      <c r="E806" s="6"/>
      <c r="F806" s="6"/>
      <c r="G806" s="6"/>
      <c r="H806" s="6"/>
      <c r="I806" s="6"/>
      <c r="J806" s="6"/>
      <c r="K806" s="179"/>
      <c r="L806" s="179"/>
      <c r="M806" s="6"/>
      <c r="N806" s="179"/>
      <c r="O806" s="6"/>
      <c r="P806" s="6"/>
      <c r="Q806" s="179"/>
      <c r="R806" s="54"/>
      <c r="S806" s="54"/>
    </row>
    <row r="807" spans="1:19" ht="12.75">
      <c r="A807" s="6"/>
      <c r="B807" s="6"/>
      <c r="C807" s="6"/>
      <c r="D807" s="6"/>
      <c r="E807" s="6"/>
      <c r="F807" s="6"/>
      <c r="G807" s="6"/>
      <c r="H807" s="6"/>
      <c r="I807" s="6"/>
      <c r="J807" s="6"/>
      <c r="K807" s="179"/>
      <c r="L807" s="179"/>
      <c r="M807" s="6"/>
      <c r="N807" s="179"/>
      <c r="O807" s="6"/>
      <c r="P807" s="6"/>
      <c r="Q807" s="179"/>
      <c r="R807" s="54"/>
      <c r="S807" s="54"/>
    </row>
    <row r="808" spans="1:19" ht="12.75">
      <c r="A808" s="6"/>
      <c r="B808" s="6"/>
      <c r="C808" s="6"/>
      <c r="D808" s="6"/>
      <c r="E808" s="6"/>
      <c r="F808" s="6"/>
      <c r="G808" s="6"/>
      <c r="H808" s="6"/>
      <c r="I808" s="6"/>
      <c r="J808" s="6"/>
      <c r="K808" s="179"/>
      <c r="L808" s="179"/>
      <c r="M808" s="6"/>
      <c r="N808" s="179"/>
      <c r="O808" s="6"/>
      <c r="P808" s="6"/>
      <c r="Q808" s="179"/>
      <c r="R808" s="54"/>
      <c r="S808" s="54"/>
    </row>
    <row r="809" spans="1:19" ht="12.75">
      <c r="A809" s="6"/>
      <c r="B809" s="6"/>
      <c r="C809" s="6"/>
      <c r="D809" s="6"/>
      <c r="E809" s="6"/>
      <c r="F809" s="6"/>
      <c r="G809" s="6"/>
      <c r="H809" s="6"/>
      <c r="I809" s="6"/>
      <c r="J809" s="6"/>
      <c r="K809" s="179"/>
      <c r="L809" s="179"/>
      <c r="M809" s="6"/>
      <c r="N809" s="179"/>
      <c r="O809" s="6"/>
      <c r="P809" s="6"/>
      <c r="Q809" s="179"/>
      <c r="R809" s="54"/>
      <c r="S809" s="54"/>
    </row>
    <row r="810" spans="1:19" ht="12.75">
      <c r="A810" s="6"/>
      <c r="B810" s="6"/>
      <c r="C810" s="6"/>
      <c r="D810" s="6"/>
      <c r="E810" s="6"/>
      <c r="F810" s="6"/>
      <c r="G810" s="6"/>
      <c r="H810" s="6"/>
      <c r="I810" s="6"/>
      <c r="J810" s="6"/>
      <c r="K810" s="179"/>
      <c r="L810" s="179"/>
      <c r="M810" s="6"/>
      <c r="N810" s="179"/>
      <c r="O810" s="6"/>
      <c r="P810" s="6"/>
      <c r="Q810" s="179"/>
      <c r="R810" s="54"/>
      <c r="S810" s="54"/>
    </row>
    <row r="811" spans="1:19" ht="12.75">
      <c r="A811" s="6"/>
      <c r="B811" s="6"/>
      <c r="C811" s="6"/>
      <c r="D811" s="6"/>
      <c r="E811" s="6"/>
      <c r="F811" s="6"/>
      <c r="G811" s="6"/>
      <c r="H811" s="6"/>
      <c r="I811" s="6"/>
      <c r="J811" s="6"/>
      <c r="K811" s="179"/>
      <c r="L811" s="179"/>
      <c r="M811" s="6"/>
      <c r="N811" s="179"/>
      <c r="O811" s="6"/>
      <c r="P811" s="6"/>
      <c r="Q811" s="179"/>
      <c r="R811" s="54"/>
      <c r="S811" s="54"/>
    </row>
    <row r="812" spans="1:19" ht="12.75">
      <c r="A812" s="6"/>
      <c r="B812" s="6"/>
      <c r="C812" s="6"/>
      <c r="D812" s="6"/>
      <c r="E812" s="6"/>
      <c r="F812" s="6"/>
      <c r="G812" s="6"/>
      <c r="H812" s="6"/>
      <c r="I812" s="6"/>
      <c r="J812" s="6"/>
      <c r="K812" s="179"/>
      <c r="L812" s="179"/>
      <c r="M812" s="6"/>
      <c r="N812" s="179"/>
      <c r="O812" s="6"/>
      <c r="P812" s="6"/>
      <c r="Q812" s="179"/>
      <c r="R812" s="54"/>
      <c r="S812" s="54"/>
    </row>
    <row r="813" spans="1:19" ht="12.75">
      <c r="A813" s="6"/>
      <c r="B813" s="6"/>
      <c r="C813" s="6"/>
      <c r="D813" s="6"/>
      <c r="E813" s="6"/>
      <c r="F813" s="6"/>
      <c r="G813" s="6"/>
      <c r="H813" s="6"/>
      <c r="I813" s="6"/>
      <c r="J813" s="6"/>
      <c r="K813" s="179"/>
      <c r="L813" s="179"/>
      <c r="M813" s="6"/>
      <c r="N813" s="179"/>
      <c r="O813" s="6"/>
      <c r="P813" s="6"/>
      <c r="Q813" s="179"/>
      <c r="R813" s="54"/>
      <c r="S813" s="54"/>
    </row>
    <row r="814" spans="1:19" ht="12.75">
      <c r="A814" s="6"/>
      <c r="B814" s="6"/>
      <c r="C814" s="6"/>
      <c r="D814" s="6"/>
      <c r="E814" s="6"/>
      <c r="F814" s="6"/>
      <c r="G814" s="6"/>
      <c r="H814" s="6"/>
      <c r="I814" s="6"/>
      <c r="J814" s="6"/>
      <c r="K814" s="179"/>
      <c r="L814" s="179"/>
      <c r="M814" s="6"/>
      <c r="N814" s="179"/>
      <c r="O814" s="6"/>
      <c r="P814" s="6"/>
      <c r="Q814" s="179"/>
      <c r="R814" s="54"/>
      <c r="S814" s="54"/>
    </row>
    <row r="815" spans="1:19" ht="12.75">
      <c r="A815" s="6"/>
      <c r="B815" s="6"/>
      <c r="C815" s="6"/>
      <c r="D815" s="6"/>
      <c r="E815" s="6"/>
      <c r="F815" s="6"/>
      <c r="G815" s="6"/>
      <c r="H815" s="6"/>
      <c r="I815" s="6"/>
      <c r="J815" s="6"/>
      <c r="K815" s="179"/>
      <c r="L815" s="179"/>
      <c r="M815" s="6"/>
      <c r="N815" s="179"/>
      <c r="O815" s="6"/>
      <c r="P815" s="6"/>
      <c r="Q815" s="179"/>
      <c r="R815" s="54"/>
      <c r="S815" s="54"/>
    </row>
    <row r="816" spans="1:19" ht="12.75">
      <c r="A816" s="6"/>
      <c r="B816" s="6"/>
      <c r="C816" s="6"/>
      <c r="D816" s="6"/>
      <c r="E816" s="6"/>
      <c r="F816" s="6"/>
      <c r="G816" s="6"/>
      <c r="H816" s="6"/>
      <c r="I816" s="6"/>
      <c r="J816" s="6"/>
      <c r="K816" s="179"/>
      <c r="L816" s="179"/>
      <c r="M816" s="6"/>
      <c r="N816" s="179"/>
      <c r="O816" s="6"/>
      <c r="P816" s="6"/>
      <c r="Q816" s="179"/>
      <c r="R816" s="54"/>
      <c r="S816" s="54"/>
    </row>
    <row r="817" spans="1:19" ht="12.75">
      <c r="A817" s="6"/>
      <c r="B817" s="6"/>
      <c r="C817" s="6"/>
      <c r="D817" s="6"/>
      <c r="E817" s="6"/>
      <c r="F817" s="6"/>
      <c r="G817" s="6"/>
      <c r="H817" s="6"/>
      <c r="I817" s="6"/>
      <c r="J817" s="6"/>
      <c r="K817" s="179"/>
      <c r="L817" s="179"/>
      <c r="M817" s="6"/>
      <c r="N817" s="179"/>
      <c r="O817" s="6"/>
      <c r="P817" s="6"/>
      <c r="Q817" s="179"/>
      <c r="R817" s="54"/>
      <c r="S817" s="54"/>
    </row>
    <row r="818" spans="1:19" ht="12.75">
      <c r="A818" s="6"/>
      <c r="B818" s="6"/>
      <c r="C818" s="6"/>
      <c r="D818" s="6"/>
      <c r="E818" s="6"/>
      <c r="F818" s="6"/>
      <c r="G818" s="6"/>
      <c r="H818" s="6"/>
      <c r="I818" s="6"/>
      <c r="J818" s="6"/>
      <c r="K818" s="179"/>
      <c r="L818" s="179"/>
      <c r="M818" s="6"/>
      <c r="N818" s="179"/>
      <c r="O818" s="6"/>
      <c r="P818" s="6"/>
      <c r="Q818" s="179"/>
      <c r="R818" s="54"/>
      <c r="S818" s="54"/>
    </row>
    <row r="819" spans="1:19" ht="12.75">
      <c r="A819" s="6"/>
      <c r="B819" s="6"/>
      <c r="C819" s="6"/>
      <c r="D819" s="6"/>
      <c r="E819" s="6"/>
      <c r="F819" s="6"/>
      <c r="G819" s="6"/>
      <c r="H819" s="6"/>
      <c r="I819" s="6"/>
      <c r="J819" s="6"/>
      <c r="K819" s="179"/>
      <c r="L819" s="179"/>
      <c r="M819" s="6"/>
      <c r="N819" s="179"/>
      <c r="O819" s="6"/>
      <c r="P819" s="6"/>
      <c r="Q819" s="179"/>
      <c r="R819" s="54"/>
      <c r="S819" s="54"/>
    </row>
    <row r="820" spans="1:19" ht="12.75">
      <c r="A820" s="6"/>
      <c r="B820" s="6"/>
      <c r="C820" s="6"/>
      <c r="D820" s="6"/>
      <c r="E820" s="6"/>
      <c r="F820" s="6"/>
      <c r="G820" s="6"/>
      <c r="H820" s="6"/>
      <c r="I820" s="6"/>
      <c r="J820" s="6"/>
      <c r="K820" s="179"/>
      <c r="L820" s="179"/>
      <c r="M820" s="6"/>
      <c r="N820" s="179"/>
      <c r="O820" s="6"/>
      <c r="P820" s="6"/>
      <c r="Q820" s="179"/>
      <c r="R820" s="54"/>
      <c r="S820" s="54"/>
    </row>
    <row r="821" spans="1:19" ht="12.75">
      <c r="A821" s="6"/>
      <c r="B821" s="6"/>
      <c r="C821" s="6"/>
      <c r="D821" s="6"/>
      <c r="E821" s="6"/>
      <c r="F821" s="6"/>
      <c r="G821" s="6"/>
      <c r="H821" s="6"/>
      <c r="I821" s="6"/>
      <c r="J821" s="6"/>
      <c r="K821" s="179"/>
      <c r="L821" s="179"/>
      <c r="M821" s="6"/>
      <c r="N821" s="179"/>
      <c r="O821" s="6"/>
      <c r="P821" s="6"/>
      <c r="Q821" s="179"/>
      <c r="R821" s="54"/>
      <c r="S821" s="54"/>
    </row>
    <row r="822" spans="1:19" ht="12.75">
      <c r="A822" s="6"/>
      <c r="B822" s="6"/>
      <c r="C822" s="6"/>
      <c r="D822" s="6"/>
      <c r="E822" s="6"/>
      <c r="F822" s="6"/>
      <c r="G822" s="6"/>
      <c r="H822" s="6"/>
      <c r="I822" s="6"/>
      <c r="J822" s="6"/>
      <c r="K822" s="179"/>
      <c r="L822" s="179"/>
      <c r="M822" s="6"/>
      <c r="N822" s="179"/>
      <c r="O822" s="6"/>
      <c r="P822" s="6"/>
      <c r="Q822" s="179"/>
      <c r="R822" s="54"/>
      <c r="S822" s="54"/>
    </row>
    <row r="823" spans="1:19" ht="12.75">
      <c r="A823" s="6"/>
      <c r="B823" s="6"/>
      <c r="C823" s="6"/>
      <c r="D823" s="6"/>
      <c r="E823" s="6"/>
      <c r="F823" s="6"/>
      <c r="G823" s="6"/>
      <c r="H823" s="6"/>
      <c r="I823" s="6"/>
      <c r="J823" s="6"/>
      <c r="K823" s="179"/>
      <c r="L823" s="179"/>
      <c r="M823" s="6"/>
      <c r="N823" s="179"/>
      <c r="O823" s="6"/>
      <c r="P823" s="6"/>
      <c r="Q823" s="179"/>
      <c r="R823" s="54"/>
      <c r="S823" s="54"/>
    </row>
    <row r="824" spans="1:19" ht="12.75">
      <c r="A824" s="6"/>
      <c r="B824" s="6"/>
      <c r="C824" s="6"/>
      <c r="D824" s="6"/>
      <c r="E824" s="6"/>
      <c r="F824" s="6"/>
      <c r="G824" s="6"/>
      <c r="H824" s="6"/>
      <c r="I824" s="6"/>
      <c r="J824" s="6"/>
      <c r="K824" s="179"/>
      <c r="L824" s="179"/>
      <c r="M824" s="6"/>
      <c r="N824" s="179"/>
      <c r="O824" s="6"/>
      <c r="P824" s="6"/>
      <c r="Q824" s="179"/>
      <c r="R824" s="54"/>
      <c r="S824" s="54"/>
    </row>
    <row r="825" spans="1:19" ht="12.75">
      <c r="A825" s="6"/>
      <c r="B825" s="6"/>
      <c r="C825" s="6"/>
      <c r="D825" s="6"/>
      <c r="E825" s="6"/>
      <c r="F825" s="6"/>
      <c r="G825" s="6"/>
      <c r="H825" s="6"/>
      <c r="I825" s="6"/>
      <c r="J825" s="6"/>
      <c r="K825" s="179"/>
      <c r="L825" s="179"/>
      <c r="M825" s="6"/>
      <c r="N825" s="179"/>
      <c r="O825" s="6"/>
      <c r="P825" s="6"/>
      <c r="Q825" s="179"/>
      <c r="R825" s="54"/>
      <c r="S825" s="54"/>
    </row>
    <row r="826" spans="1:19" ht="12.75">
      <c r="A826" s="6"/>
      <c r="B826" s="6"/>
      <c r="C826" s="6"/>
      <c r="D826" s="6"/>
      <c r="E826" s="6"/>
      <c r="F826" s="6"/>
      <c r="G826" s="6"/>
      <c r="H826" s="6"/>
      <c r="I826" s="6"/>
      <c r="J826" s="6"/>
      <c r="K826" s="179"/>
      <c r="L826" s="179"/>
      <c r="M826" s="6"/>
      <c r="N826" s="179"/>
      <c r="O826" s="6"/>
      <c r="P826" s="6"/>
      <c r="Q826" s="179"/>
      <c r="R826" s="54"/>
      <c r="S826" s="54"/>
    </row>
    <row r="827" spans="1:19" ht="12.75">
      <c r="A827" s="6"/>
      <c r="B827" s="6"/>
      <c r="C827" s="6"/>
      <c r="D827" s="6"/>
      <c r="E827" s="6"/>
      <c r="F827" s="6"/>
      <c r="G827" s="6"/>
      <c r="H827" s="6"/>
      <c r="I827" s="6"/>
      <c r="J827" s="6"/>
      <c r="K827" s="179"/>
      <c r="L827" s="179"/>
      <c r="M827" s="6"/>
      <c r="N827" s="179"/>
      <c r="O827" s="6"/>
      <c r="P827" s="6"/>
      <c r="Q827" s="179"/>
      <c r="R827" s="54"/>
      <c r="S827" s="54"/>
    </row>
    <row r="828" spans="1:19" ht="12.75">
      <c r="A828" s="6"/>
      <c r="B828" s="6"/>
      <c r="C828" s="6"/>
      <c r="D828" s="6"/>
      <c r="E828" s="6"/>
      <c r="F828" s="6"/>
      <c r="G828" s="6"/>
      <c r="H828" s="6"/>
      <c r="I828" s="6"/>
      <c r="J828" s="6"/>
      <c r="K828" s="179"/>
      <c r="L828" s="179"/>
      <c r="M828" s="6"/>
      <c r="N828" s="179"/>
      <c r="O828" s="6"/>
      <c r="P828" s="6"/>
      <c r="Q828" s="179"/>
      <c r="R828" s="54"/>
      <c r="S828" s="54"/>
    </row>
    <row r="829" spans="1:19" ht="12.75">
      <c r="A829" s="6"/>
      <c r="B829" s="6"/>
      <c r="C829" s="6"/>
      <c r="D829" s="6"/>
      <c r="E829" s="6"/>
      <c r="F829" s="6"/>
      <c r="G829" s="6"/>
      <c r="H829" s="6"/>
      <c r="I829" s="6"/>
      <c r="J829" s="6"/>
      <c r="K829" s="179"/>
      <c r="L829" s="179"/>
      <c r="M829" s="6"/>
      <c r="N829" s="179"/>
      <c r="O829" s="6"/>
      <c r="P829" s="6"/>
      <c r="Q829" s="179"/>
      <c r="R829" s="54"/>
      <c r="S829" s="54"/>
    </row>
    <row r="830" spans="1:19" ht="12.75">
      <c r="A830" s="6"/>
      <c r="B830" s="6"/>
      <c r="C830" s="6"/>
      <c r="D830" s="6"/>
      <c r="E830" s="6"/>
      <c r="F830" s="6"/>
      <c r="G830" s="6"/>
      <c r="H830" s="6"/>
      <c r="I830" s="6"/>
      <c r="J830" s="6"/>
      <c r="K830" s="179"/>
      <c r="L830" s="179"/>
      <c r="M830" s="6"/>
      <c r="N830" s="179"/>
      <c r="O830" s="6"/>
      <c r="P830" s="6"/>
      <c r="Q830" s="179"/>
      <c r="R830" s="54"/>
      <c r="S830" s="54"/>
    </row>
    <row r="831" spans="1:19" ht="12.75">
      <c r="A831" s="6"/>
      <c r="B831" s="6"/>
      <c r="C831" s="6"/>
      <c r="D831" s="6"/>
      <c r="E831" s="6"/>
      <c r="F831" s="6"/>
      <c r="G831" s="6"/>
      <c r="H831" s="6"/>
      <c r="I831" s="6"/>
      <c r="J831" s="6"/>
      <c r="K831" s="179"/>
      <c r="L831" s="179"/>
      <c r="M831" s="6"/>
      <c r="N831" s="179"/>
      <c r="O831" s="6"/>
      <c r="P831" s="6"/>
      <c r="Q831" s="179"/>
      <c r="R831" s="54"/>
      <c r="S831" s="54"/>
    </row>
    <row r="832" spans="1:19" ht="12.75">
      <c r="A832" s="6"/>
      <c r="B832" s="6"/>
      <c r="C832" s="6"/>
      <c r="D832" s="6"/>
      <c r="E832" s="6"/>
      <c r="F832" s="6"/>
      <c r="G832" s="6"/>
      <c r="H832" s="6"/>
      <c r="I832" s="6"/>
      <c r="J832" s="6"/>
      <c r="K832" s="179"/>
      <c r="L832" s="179"/>
      <c r="M832" s="6"/>
      <c r="N832" s="179"/>
      <c r="O832" s="6"/>
      <c r="P832" s="6"/>
      <c r="Q832" s="179"/>
      <c r="R832" s="54"/>
      <c r="S832" s="54"/>
    </row>
    <row r="833" spans="1:19" ht="12.75">
      <c r="A833" s="6"/>
      <c r="B833" s="6"/>
      <c r="C833" s="6"/>
      <c r="D833" s="6"/>
      <c r="E833" s="6"/>
      <c r="F833" s="6"/>
      <c r="G833" s="6"/>
      <c r="H833" s="6"/>
      <c r="I833" s="6"/>
      <c r="J833" s="6"/>
      <c r="K833" s="179"/>
      <c r="L833" s="179"/>
      <c r="M833" s="6"/>
      <c r="N833" s="179"/>
      <c r="O833" s="6"/>
      <c r="P833" s="6"/>
      <c r="Q833" s="179"/>
      <c r="R833" s="54"/>
      <c r="S833" s="54"/>
    </row>
    <row r="834" spans="1:19" ht="12.75">
      <c r="A834" s="6"/>
      <c r="B834" s="6"/>
      <c r="C834" s="6"/>
      <c r="D834" s="6"/>
      <c r="E834" s="6"/>
      <c r="F834" s="6"/>
      <c r="G834" s="6"/>
      <c r="H834" s="6"/>
      <c r="I834" s="6"/>
      <c r="J834" s="6"/>
      <c r="K834" s="179"/>
      <c r="L834" s="179"/>
      <c r="M834" s="6"/>
      <c r="N834" s="179"/>
      <c r="O834" s="6"/>
      <c r="P834" s="6"/>
      <c r="Q834" s="179"/>
      <c r="R834" s="54"/>
      <c r="S834" s="54"/>
    </row>
    <row r="835" spans="1:19" ht="12.75">
      <c r="A835" s="6"/>
      <c r="B835" s="6"/>
      <c r="C835" s="6"/>
      <c r="D835" s="6"/>
      <c r="E835" s="6"/>
      <c r="F835" s="6"/>
      <c r="G835" s="6"/>
      <c r="H835" s="6"/>
      <c r="I835" s="6"/>
      <c r="J835" s="6"/>
      <c r="K835" s="179"/>
      <c r="L835" s="179"/>
      <c r="M835" s="6"/>
      <c r="N835" s="179"/>
      <c r="O835" s="6"/>
      <c r="P835" s="6"/>
      <c r="Q835" s="179"/>
      <c r="R835" s="54"/>
      <c r="S835" s="54"/>
    </row>
    <row r="836" spans="1:19" ht="12.75">
      <c r="A836" s="6"/>
      <c r="B836" s="6"/>
      <c r="C836" s="6"/>
      <c r="D836" s="6"/>
      <c r="E836" s="6"/>
      <c r="F836" s="6"/>
      <c r="G836" s="6"/>
      <c r="H836" s="6"/>
      <c r="I836" s="6"/>
      <c r="J836" s="6"/>
      <c r="K836" s="179"/>
      <c r="L836" s="179"/>
      <c r="M836" s="6"/>
      <c r="N836" s="179"/>
      <c r="O836" s="6"/>
      <c r="P836" s="6"/>
      <c r="Q836" s="179"/>
      <c r="R836" s="54"/>
      <c r="S836" s="54"/>
    </row>
    <row r="837" spans="1:19" ht="12.75">
      <c r="A837" s="6"/>
      <c r="B837" s="6"/>
      <c r="C837" s="6"/>
      <c r="D837" s="6"/>
      <c r="E837" s="6"/>
      <c r="F837" s="6"/>
      <c r="G837" s="6"/>
      <c r="H837" s="6"/>
      <c r="I837" s="6"/>
      <c r="J837" s="6"/>
      <c r="K837" s="179"/>
      <c r="L837" s="179"/>
      <c r="M837" s="6"/>
      <c r="N837" s="179"/>
      <c r="O837" s="6"/>
      <c r="P837" s="6"/>
      <c r="Q837" s="179"/>
      <c r="R837" s="54"/>
      <c r="S837" s="54"/>
    </row>
    <row r="838" spans="1:19" ht="12.75">
      <c r="A838" s="6"/>
      <c r="B838" s="6"/>
      <c r="C838" s="6"/>
      <c r="D838" s="6"/>
      <c r="E838" s="6"/>
      <c r="F838" s="6"/>
      <c r="G838" s="6"/>
      <c r="H838" s="6"/>
      <c r="I838" s="6"/>
      <c r="J838" s="6"/>
      <c r="K838" s="179"/>
      <c r="L838" s="179"/>
      <c r="M838" s="6"/>
      <c r="N838" s="179"/>
      <c r="O838" s="6"/>
      <c r="P838" s="6"/>
      <c r="Q838" s="179"/>
      <c r="R838" s="54"/>
      <c r="S838" s="54"/>
    </row>
    <row r="839" spans="1:19" ht="12.75">
      <c r="A839" s="6"/>
      <c r="B839" s="6"/>
      <c r="C839" s="6"/>
      <c r="D839" s="6"/>
      <c r="E839" s="6"/>
      <c r="F839" s="6"/>
      <c r="G839" s="6"/>
      <c r="H839" s="6"/>
      <c r="I839" s="6"/>
      <c r="J839" s="6"/>
      <c r="K839" s="179"/>
      <c r="L839" s="179"/>
      <c r="M839" s="6"/>
      <c r="N839" s="179"/>
      <c r="O839" s="6"/>
      <c r="P839" s="6"/>
      <c r="Q839" s="179"/>
      <c r="R839" s="54"/>
      <c r="S839" s="54"/>
    </row>
    <row r="840" spans="1:19" ht="12.75">
      <c r="A840" s="6"/>
      <c r="B840" s="6"/>
      <c r="C840" s="6"/>
      <c r="D840" s="6"/>
      <c r="E840" s="6"/>
      <c r="F840" s="6"/>
      <c r="G840" s="6"/>
      <c r="H840" s="6"/>
      <c r="I840" s="6"/>
      <c r="J840" s="6"/>
      <c r="K840" s="179"/>
      <c r="L840" s="179"/>
      <c r="M840" s="6"/>
      <c r="N840" s="179"/>
      <c r="O840" s="6"/>
      <c r="P840" s="6"/>
      <c r="Q840" s="179"/>
      <c r="R840" s="54"/>
      <c r="S840" s="54"/>
    </row>
    <row r="841" spans="1:19" ht="12.75">
      <c r="A841" s="6"/>
      <c r="B841" s="6"/>
      <c r="C841" s="6"/>
      <c r="D841" s="6"/>
      <c r="E841" s="6"/>
      <c r="F841" s="6"/>
      <c r="G841" s="6"/>
      <c r="H841" s="6"/>
      <c r="I841" s="6"/>
      <c r="J841" s="6"/>
      <c r="K841" s="179"/>
      <c r="L841" s="179"/>
      <c r="M841" s="6"/>
      <c r="N841" s="179"/>
      <c r="O841" s="6"/>
      <c r="P841" s="6"/>
      <c r="Q841" s="179"/>
      <c r="R841" s="54"/>
      <c r="S841" s="54"/>
    </row>
    <row r="842" spans="1:19" ht="12.75">
      <c r="A842" s="6"/>
      <c r="B842" s="6"/>
      <c r="C842" s="6"/>
      <c r="D842" s="6"/>
      <c r="E842" s="6"/>
      <c r="F842" s="6"/>
      <c r="G842" s="6"/>
      <c r="H842" s="6"/>
      <c r="I842" s="6"/>
      <c r="J842" s="6"/>
      <c r="K842" s="179"/>
      <c r="L842" s="179"/>
      <c r="M842" s="6"/>
      <c r="N842" s="179"/>
      <c r="O842" s="6"/>
      <c r="P842" s="6"/>
      <c r="Q842" s="179"/>
      <c r="R842" s="54"/>
      <c r="S842" s="54"/>
    </row>
    <row r="843" spans="1:19" ht="12.75">
      <c r="A843" s="6"/>
      <c r="B843" s="6"/>
      <c r="C843" s="6"/>
      <c r="D843" s="6"/>
      <c r="E843" s="6"/>
      <c r="F843" s="6"/>
      <c r="G843" s="6"/>
      <c r="H843" s="6"/>
      <c r="I843" s="6"/>
      <c r="J843" s="6"/>
      <c r="K843" s="179"/>
      <c r="L843" s="179"/>
      <c r="M843" s="6"/>
      <c r="N843" s="179"/>
      <c r="O843" s="6"/>
      <c r="P843" s="6"/>
      <c r="Q843" s="179"/>
      <c r="R843" s="54"/>
      <c r="S843" s="54"/>
    </row>
    <row r="844" spans="1:19" ht="12.75">
      <c r="A844" s="6"/>
      <c r="B844" s="6"/>
      <c r="C844" s="6"/>
      <c r="D844" s="6"/>
      <c r="E844" s="6"/>
      <c r="F844" s="6"/>
      <c r="G844" s="6"/>
      <c r="H844" s="6"/>
      <c r="I844" s="6"/>
      <c r="J844" s="6"/>
      <c r="K844" s="179"/>
      <c r="L844" s="179"/>
      <c r="M844" s="6"/>
      <c r="N844" s="179"/>
      <c r="O844" s="6"/>
      <c r="P844" s="6"/>
      <c r="Q844" s="179"/>
      <c r="R844" s="54"/>
      <c r="S844" s="54"/>
    </row>
    <row r="845" spans="1:19" ht="12.75">
      <c r="A845" s="6"/>
      <c r="B845" s="6"/>
      <c r="C845" s="6"/>
      <c r="D845" s="6"/>
      <c r="E845" s="6"/>
      <c r="F845" s="6"/>
      <c r="G845" s="6"/>
      <c r="H845" s="6"/>
      <c r="I845" s="6"/>
      <c r="J845" s="6"/>
      <c r="K845" s="179"/>
      <c r="L845" s="179"/>
      <c r="M845" s="6"/>
      <c r="N845" s="179"/>
      <c r="O845" s="6"/>
      <c r="P845" s="6"/>
      <c r="Q845" s="179"/>
      <c r="R845" s="54"/>
      <c r="S845" s="54"/>
    </row>
    <row r="846" spans="1:19" ht="12.75">
      <c r="A846" s="6"/>
      <c r="B846" s="6"/>
      <c r="C846" s="6"/>
      <c r="D846" s="6"/>
      <c r="E846" s="6"/>
      <c r="F846" s="6"/>
      <c r="G846" s="6"/>
      <c r="H846" s="6"/>
      <c r="I846" s="6"/>
      <c r="J846" s="6"/>
      <c r="K846" s="179"/>
      <c r="L846" s="179"/>
      <c r="M846" s="6"/>
      <c r="N846" s="179"/>
      <c r="O846" s="6"/>
      <c r="P846" s="6"/>
      <c r="Q846" s="179"/>
      <c r="R846" s="54"/>
      <c r="S846" s="54"/>
    </row>
    <row r="847" spans="1:19" ht="12.75">
      <c r="A847" s="6"/>
      <c r="B847" s="6"/>
      <c r="C847" s="6"/>
      <c r="D847" s="6"/>
      <c r="E847" s="6"/>
      <c r="F847" s="6"/>
      <c r="G847" s="6"/>
      <c r="H847" s="6"/>
      <c r="I847" s="6"/>
      <c r="J847" s="6"/>
      <c r="K847" s="179"/>
      <c r="L847" s="179"/>
      <c r="M847" s="6"/>
      <c r="N847" s="179"/>
      <c r="O847" s="6"/>
      <c r="P847" s="6"/>
      <c r="Q847" s="179"/>
      <c r="R847" s="54"/>
      <c r="S847" s="54"/>
    </row>
    <row r="848" spans="1:19" ht="12.75">
      <c r="A848" s="6"/>
      <c r="B848" s="6"/>
      <c r="C848" s="6"/>
      <c r="D848" s="6"/>
      <c r="E848" s="6"/>
      <c r="F848" s="6"/>
      <c r="G848" s="6"/>
      <c r="H848" s="6"/>
      <c r="I848" s="6"/>
      <c r="J848" s="6"/>
      <c r="K848" s="179"/>
      <c r="L848" s="179"/>
      <c r="M848" s="6"/>
      <c r="N848" s="179"/>
      <c r="O848" s="6"/>
      <c r="P848" s="6"/>
      <c r="Q848" s="179"/>
      <c r="R848" s="54"/>
      <c r="S848" s="54"/>
    </row>
    <row r="849" spans="1:19" ht="12.75">
      <c r="A849" s="6"/>
      <c r="B849" s="6"/>
      <c r="C849" s="6"/>
      <c r="D849" s="6"/>
      <c r="E849" s="6"/>
      <c r="F849" s="6"/>
      <c r="G849" s="6"/>
      <c r="H849" s="6"/>
      <c r="I849" s="6"/>
      <c r="J849" s="6"/>
      <c r="K849" s="179"/>
      <c r="L849" s="179"/>
      <c r="M849" s="6"/>
      <c r="N849" s="179"/>
      <c r="O849" s="6"/>
      <c r="P849" s="6"/>
      <c r="Q849" s="179"/>
      <c r="R849" s="54"/>
      <c r="S849" s="54"/>
    </row>
    <row r="850" spans="1:19" ht="12.75">
      <c r="A850" s="6"/>
      <c r="B850" s="6"/>
      <c r="C850" s="6"/>
      <c r="D850" s="6"/>
      <c r="E850" s="6"/>
      <c r="F850" s="6"/>
      <c r="G850" s="6"/>
      <c r="H850" s="6"/>
      <c r="I850" s="6"/>
      <c r="J850" s="6"/>
      <c r="K850" s="179"/>
      <c r="L850" s="179"/>
      <c r="M850" s="6"/>
      <c r="N850" s="179"/>
      <c r="O850" s="6"/>
      <c r="P850" s="6"/>
      <c r="Q850" s="179"/>
      <c r="R850" s="54"/>
      <c r="S850" s="54"/>
    </row>
    <row r="851" spans="1:19" ht="12.75">
      <c r="A851" s="6"/>
      <c r="B851" s="6"/>
      <c r="C851" s="6"/>
      <c r="D851" s="6"/>
      <c r="E851" s="6"/>
      <c r="F851" s="6"/>
      <c r="G851" s="6"/>
      <c r="H851" s="6"/>
      <c r="I851" s="6"/>
      <c r="J851" s="6"/>
      <c r="K851" s="179"/>
      <c r="L851" s="179"/>
      <c r="M851" s="6"/>
      <c r="N851" s="179"/>
      <c r="O851" s="6"/>
      <c r="P851" s="6"/>
      <c r="Q851" s="179"/>
      <c r="R851" s="54"/>
      <c r="S851" s="54"/>
    </row>
    <row r="852" spans="1:19" ht="12.75">
      <c r="A852" s="6"/>
      <c r="B852" s="6"/>
      <c r="C852" s="6"/>
      <c r="D852" s="6"/>
      <c r="E852" s="6"/>
      <c r="F852" s="6"/>
      <c r="G852" s="6"/>
      <c r="H852" s="6"/>
      <c r="I852" s="6"/>
      <c r="J852" s="6"/>
      <c r="K852" s="179"/>
      <c r="L852" s="179"/>
      <c r="M852" s="6"/>
      <c r="N852" s="179"/>
      <c r="O852" s="6"/>
      <c r="P852" s="6"/>
      <c r="Q852" s="179"/>
      <c r="R852" s="54"/>
      <c r="S852" s="54"/>
    </row>
    <row r="853" spans="1:19" ht="12.75">
      <c r="A853" s="6"/>
      <c r="B853" s="6"/>
      <c r="C853" s="6"/>
      <c r="D853" s="6"/>
      <c r="E853" s="6"/>
      <c r="F853" s="6"/>
      <c r="G853" s="6"/>
      <c r="H853" s="6"/>
      <c r="I853" s="6"/>
      <c r="J853" s="6"/>
      <c r="K853" s="179"/>
      <c r="L853" s="179"/>
      <c r="M853" s="6"/>
      <c r="N853" s="179"/>
      <c r="O853" s="6"/>
      <c r="P853" s="6"/>
      <c r="Q853" s="179"/>
      <c r="R853" s="54"/>
      <c r="S853" s="54"/>
    </row>
    <row r="854" spans="1:19" ht="12.75">
      <c r="A854" s="6"/>
      <c r="B854" s="6"/>
      <c r="C854" s="6"/>
      <c r="D854" s="6"/>
      <c r="E854" s="6"/>
      <c r="F854" s="6"/>
      <c r="G854" s="6"/>
      <c r="H854" s="6"/>
      <c r="I854" s="6"/>
      <c r="J854" s="6"/>
      <c r="K854" s="179"/>
      <c r="L854" s="179"/>
      <c r="M854" s="6"/>
      <c r="N854" s="179"/>
      <c r="O854" s="6"/>
      <c r="P854" s="6"/>
      <c r="Q854" s="179"/>
      <c r="R854" s="54"/>
      <c r="S854" s="54"/>
    </row>
    <row r="855" spans="1:19" ht="12.75">
      <c r="A855" s="6"/>
      <c r="B855" s="6"/>
      <c r="C855" s="6"/>
      <c r="D855" s="6"/>
      <c r="E855" s="6"/>
      <c r="F855" s="6"/>
      <c r="G855" s="6"/>
      <c r="H855" s="6"/>
      <c r="I855" s="6"/>
      <c r="J855" s="6"/>
      <c r="K855" s="179"/>
      <c r="L855" s="179"/>
      <c r="M855" s="6"/>
      <c r="N855" s="179"/>
      <c r="O855" s="6"/>
      <c r="P855" s="6"/>
      <c r="Q855" s="179"/>
      <c r="R855" s="54"/>
      <c r="S855" s="54"/>
    </row>
    <row r="856" spans="1:19" ht="12.75">
      <c r="A856" s="6"/>
      <c r="B856" s="6"/>
      <c r="C856" s="6"/>
      <c r="D856" s="6"/>
      <c r="E856" s="6"/>
      <c r="F856" s="6"/>
      <c r="G856" s="6"/>
      <c r="H856" s="6"/>
      <c r="I856" s="6"/>
      <c r="J856" s="6"/>
      <c r="K856" s="179"/>
      <c r="L856" s="179"/>
      <c r="M856" s="6"/>
      <c r="N856" s="179"/>
      <c r="O856" s="6"/>
      <c r="P856" s="6"/>
      <c r="Q856" s="179"/>
      <c r="R856" s="54"/>
      <c r="S856" s="54"/>
    </row>
    <row r="857" spans="1:19" ht="12.75">
      <c r="A857" s="6"/>
      <c r="B857" s="6"/>
      <c r="C857" s="6"/>
      <c r="D857" s="6"/>
      <c r="E857" s="6"/>
      <c r="F857" s="6"/>
      <c r="G857" s="6"/>
      <c r="H857" s="6"/>
      <c r="I857" s="6"/>
      <c r="J857" s="6"/>
      <c r="K857" s="179"/>
      <c r="L857" s="179"/>
      <c r="M857" s="6"/>
      <c r="N857" s="179"/>
      <c r="O857" s="6"/>
      <c r="P857" s="6"/>
      <c r="Q857" s="179"/>
      <c r="R857" s="54"/>
      <c r="S857" s="54"/>
    </row>
    <row r="858" spans="1:19" ht="12.75">
      <c r="A858" s="6"/>
      <c r="B858" s="6"/>
      <c r="C858" s="6"/>
      <c r="D858" s="6"/>
      <c r="E858" s="6"/>
      <c r="F858" s="6"/>
      <c r="G858" s="6"/>
      <c r="H858" s="6"/>
      <c r="I858" s="6"/>
      <c r="J858" s="6"/>
      <c r="K858" s="179"/>
      <c r="L858" s="179"/>
      <c r="M858" s="6"/>
      <c r="N858" s="179"/>
      <c r="O858" s="6"/>
      <c r="P858" s="6"/>
      <c r="Q858" s="179"/>
      <c r="R858" s="54"/>
      <c r="S858" s="54"/>
    </row>
    <row r="859" spans="1:19" ht="12.75">
      <c r="A859" s="6"/>
      <c r="B859" s="6"/>
      <c r="C859" s="6"/>
      <c r="D859" s="6"/>
      <c r="E859" s="6"/>
      <c r="F859" s="6"/>
      <c r="G859" s="6"/>
      <c r="H859" s="6"/>
      <c r="I859" s="6"/>
      <c r="J859" s="6"/>
      <c r="K859" s="179"/>
      <c r="L859" s="179"/>
      <c r="M859" s="6"/>
      <c r="N859" s="179"/>
      <c r="O859" s="6"/>
      <c r="P859" s="6"/>
      <c r="Q859" s="179"/>
      <c r="R859" s="54"/>
      <c r="S859" s="54"/>
    </row>
    <row r="860" spans="1:19" ht="12.75">
      <c r="A860" s="6"/>
      <c r="B860" s="6"/>
      <c r="C860" s="6"/>
      <c r="D860" s="6"/>
      <c r="E860" s="6"/>
      <c r="F860" s="6"/>
      <c r="G860" s="6"/>
      <c r="H860" s="6"/>
      <c r="I860" s="6"/>
      <c r="J860" s="6"/>
      <c r="K860" s="179"/>
      <c r="L860" s="179"/>
      <c r="M860" s="6"/>
      <c r="N860" s="179"/>
      <c r="O860" s="6"/>
      <c r="P860" s="6"/>
      <c r="Q860" s="179"/>
      <c r="R860" s="54"/>
      <c r="S860" s="54"/>
    </row>
    <row r="861" spans="1:19" ht="12.75">
      <c r="A861" s="6"/>
      <c r="B861" s="6"/>
      <c r="C861" s="6"/>
      <c r="D861" s="6"/>
      <c r="E861" s="6"/>
      <c r="F861" s="6"/>
      <c r="G861" s="6"/>
      <c r="H861" s="6"/>
      <c r="I861" s="6"/>
      <c r="J861" s="6"/>
      <c r="K861" s="179"/>
      <c r="L861" s="179"/>
      <c r="M861" s="6"/>
      <c r="N861" s="179"/>
      <c r="O861" s="6"/>
      <c r="P861" s="6"/>
      <c r="Q861" s="179"/>
      <c r="R861" s="54"/>
      <c r="S861" s="54"/>
    </row>
    <row r="862" spans="1:19" ht="12.75">
      <c r="A862" s="6"/>
      <c r="B862" s="6"/>
      <c r="C862" s="6"/>
      <c r="D862" s="6"/>
      <c r="E862" s="6"/>
      <c r="F862" s="6"/>
      <c r="G862" s="6"/>
      <c r="H862" s="6"/>
      <c r="I862" s="6"/>
      <c r="J862" s="6"/>
      <c r="K862" s="179"/>
      <c r="L862" s="179"/>
      <c r="M862" s="6"/>
      <c r="N862" s="179"/>
      <c r="O862" s="6"/>
      <c r="P862" s="6"/>
      <c r="Q862" s="179"/>
      <c r="R862" s="54"/>
      <c r="S862" s="54"/>
    </row>
    <row r="863" spans="1:19" ht="12.75">
      <c r="A863" s="6"/>
      <c r="B863" s="6"/>
      <c r="C863" s="6"/>
      <c r="D863" s="6"/>
      <c r="E863" s="6"/>
      <c r="F863" s="6"/>
      <c r="G863" s="6"/>
      <c r="H863" s="6"/>
      <c r="I863" s="6"/>
      <c r="J863" s="6"/>
      <c r="K863" s="179"/>
      <c r="L863" s="179"/>
      <c r="M863" s="6"/>
      <c r="N863" s="179"/>
      <c r="O863" s="6"/>
      <c r="P863" s="6"/>
      <c r="Q863" s="179"/>
      <c r="R863" s="54"/>
      <c r="S863" s="54"/>
    </row>
    <row r="864" spans="1:19" ht="12.75">
      <c r="A864" s="6"/>
      <c r="B864" s="6"/>
      <c r="C864" s="6"/>
      <c r="D864" s="6"/>
      <c r="E864" s="6"/>
      <c r="F864" s="6"/>
      <c r="G864" s="6"/>
      <c r="H864" s="6"/>
      <c r="I864" s="6"/>
      <c r="J864" s="6"/>
      <c r="K864" s="179"/>
      <c r="L864" s="179"/>
      <c r="M864" s="6"/>
      <c r="N864" s="179"/>
      <c r="O864" s="6"/>
      <c r="P864" s="6"/>
      <c r="Q864" s="179"/>
      <c r="R864" s="54"/>
      <c r="S864" s="54"/>
    </row>
    <row r="865" spans="1:19" ht="12.75">
      <c r="A865" s="6"/>
      <c r="B865" s="6"/>
      <c r="C865" s="6"/>
      <c r="D865" s="6"/>
      <c r="E865" s="6"/>
      <c r="F865" s="6"/>
      <c r="G865" s="6"/>
      <c r="H865" s="6"/>
      <c r="I865" s="6"/>
      <c r="J865" s="6"/>
      <c r="K865" s="179"/>
      <c r="L865" s="179"/>
      <c r="M865" s="6"/>
      <c r="N865" s="179"/>
      <c r="O865" s="6"/>
      <c r="P865" s="6"/>
      <c r="Q865" s="179"/>
      <c r="R865" s="54"/>
      <c r="S865" s="54"/>
    </row>
    <row r="866" spans="1:19" ht="12.75">
      <c r="A866" s="6"/>
      <c r="B866" s="6"/>
      <c r="C866" s="6"/>
      <c r="D866" s="6"/>
      <c r="E866" s="6"/>
      <c r="F866" s="6"/>
      <c r="G866" s="6"/>
      <c r="H866" s="6"/>
      <c r="I866" s="6"/>
      <c r="J866" s="6"/>
      <c r="K866" s="179"/>
      <c r="L866" s="179"/>
      <c r="M866" s="6"/>
      <c r="N866" s="179"/>
      <c r="O866" s="6"/>
      <c r="P866" s="6"/>
      <c r="Q866" s="179"/>
      <c r="R866" s="54"/>
      <c r="S866" s="54"/>
    </row>
    <row r="867" spans="1:19" ht="12.75">
      <c r="A867" s="6"/>
      <c r="B867" s="6"/>
      <c r="C867" s="6"/>
      <c r="D867" s="6"/>
      <c r="E867" s="6"/>
      <c r="F867" s="6"/>
      <c r="G867" s="6"/>
      <c r="H867" s="6"/>
      <c r="I867" s="6"/>
      <c r="J867" s="6"/>
      <c r="K867" s="179"/>
      <c r="L867" s="179"/>
      <c r="M867" s="6"/>
      <c r="N867" s="179"/>
      <c r="O867" s="6"/>
      <c r="P867" s="6"/>
      <c r="Q867" s="179"/>
      <c r="R867" s="54"/>
      <c r="S867" s="54"/>
    </row>
    <row r="868" spans="1:19" ht="12.75">
      <c r="A868" s="6"/>
      <c r="B868" s="6"/>
      <c r="C868" s="6"/>
      <c r="D868" s="6"/>
      <c r="E868" s="6"/>
      <c r="F868" s="6"/>
      <c r="G868" s="6"/>
      <c r="H868" s="6"/>
      <c r="I868" s="6"/>
      <c r="J868" s="6"/>
      <c r="K868" s="179"/>
      <c r="L868" s="179"/>
      <c r="M868" s="6"/>
      <c r="N868" s="179"/>
      <c r="O868" s="6"/>
      <c r="P868" s="6"/>
      <c r="Q868" s="179"/>
      <c r="R868" s="54"/>
      <c r="S868" s="54"/>
    </row>
    <row r="869" spans="1:19" ht="12.75">
      <c r="A869" s="6"/>
      <c r="B869" s="6"/>
      <c r="C869" s="6"/>
      <c r="D869" s="6"/>
      <c r="E869" s="6"/>
      <c r="F869" s="6"/>
      <c r="G869" s="6"/>
      <c r="H869" s="6"/>
      <c r="I869" s="6"/>
      <c r="J869" s="6"/>
      <c r="K869" s="179"/>
      <c r="L869" s="179"/>
      <c r="M869" s="6"/>
      <c r="N869" s="179"/>
      <c r="O869" s="6"/>
      <c r="P869" s="6"/>
      <c r="Q869" s="179"/>
      <c r="R869" s="54"/>
      <c r="S869" s="54"/>
    </row>
    <row r="870" spans="1:19" ht="12.75">
      <c r="A870" s="6"/>
      <c r="B870" s="6"/>
      <c r="C870" s="6"/>
      <c r="D870" s="6"/>
      <c r="E870" s="6"/>
      <c r="F870" s="6"/>
      <c r="G870" s="6"/>
      <c r="H870" s="6"/>
      <c r="I870" s="6"/>
      <c r="J870" s="6"/>
      <c r="K870" s="179"/>
      <c r="L870" s="179"/>
      <c r="M870" s="6"/>
      <c r="N870" s="179"/>
      <c r="O870" s="6"/>
      <c r="P870" s="6"/>
      <c r="Q870" s="179"/>
      <c r="R870" s="54"/>
      <c r="S870" s="54"/>
    </row>
    <row r="871" spans="1:19" ht="12.75">
      <c r="A871" s="6"/>
      <c r="B871" s="6"/>
      <c r="C871" s="6"/>
      <c r="D871" s="6"/>
      <c r="E871" s="6"/>
      <c r="F871" s="6"/>
      <c r="G871" s="6"/>
      <c r="H871" s="6"/>
      <c r="I871" s="6"/>
      <c r="J871" s="6"/>
      <c r="K871" s="179"/>
      <c r="L871" s="179"/>
      <c r="M871" s="6"/>
      <c r="N871" s="179"/>
      <c r="O871" s="6"/>
      <c r="P871" s="6"/>
      <c r="Q871" s="179"/>
      <c r="R871" s="54"/>
      <c r="S871" s="54"/>
    </row>
    <row r="872" spans="1:19" ht="12.75">
      <c r="A872" s="6"/>
      <c r="B872" s="6"/>
      <c r="C872" s="6"/>
      <c r="D872" s="6"/>
      <c r="E872" s="6"/>
      <c r="F872" s="6"/>
      <c r="G872" s="6"/>
      <c r="H872" s="6"/>
      <c r="I872" s="6"/>
      <c r="J872" s="6"/>
      <c r="K872" s="179"/>
      <c r="L872" s="179"/>
      <c r="M872" s="6"/>
      <c r="N872" s="179"/>
      <c r="O872" s="6"/>
      <c r="P872" s="6"/>
      <c r="Q872" s="179"/>
      <c r="R872" s="54"/>
      <c r="S872" s="54"/>
    </row>
    <row r="873" spans="1:19" ht="12.75">
      <c r="A873" s="6"/>
      <c r="B873" s="6"/>
      <c r="C873" s="6"/>
      <c r="D873" s="6"/>
      <c r="E873" s="6"/>
      <c r="F873" s="6"/>
      <c r="G873" s="6"/>
      <c r="H873" s="6"/>
      <c r="I873" s="6"/>
      <c r="J873" s="6"/>
      <c r="K873" s="179"/>
      <c r="L873" s="179"/>
      <c r="M873" s="6"/>
      <c r="N873" s="179"/>
      <c r="O873" s="6"/>
      <c r="P873" s="6"/>
      <c r="Q873" s="179"/>
      <c r="R873" s="54"/>
      <c r="S873" s="54"/>
    </row>
    <row r="874" spans="1:19" ht="12.75">
      <c r="A874" s="6"/>
      <c r="B874" s="6"/>
      <c r="C874" s="6"/>
      <c r="D874" s="6"/>
      <c r="E874" s="6"/>
      <c r="F874" s="6"/>
      <c r="G874" s="6"/>
      <c r="H874" s="6"/>
      <c r="I874" s="6"/>
      <c r="J874" s="6"/>
      <c r="K874" s="179"/>
      <c r="L874" s="179"/>
      <c r="M874" s="6"/>
      <c r="N874" s="179"/>
      <c r="O874" s="6"/>
      <c r="P874" s="6"/>
      <c r="Q874" s="179"/>
      <c r="R874" s="54"/>
      <c r="S874" s="54"/>
    </row>
    <row r="875" spans="1:19" ht="12.75">
      <c r="A875" s="6"/>
      <c r="B875" s="6"/>
      <c r="C875" s="6"/>
      <c r="D875" s="6"/>
      <c r="E875" s="6"/>
      <c r="F875" s="6"/>
      <c r="G875" s="6"/>
      <c r="H875" s="6"/>
      <c r="I875" s="6"/>
      <c r="J875" s="6"/>
      <c r="K875" s="179"/>
      <c r="L875" s="179"/>
      <c r="M875" s="6"/>
      <c r="N875" s="179"/>
      <c r="O875" s="6"/>
      <c r="P875" s="6"/>
      <c r="Q875" s="179"/>
      <c r="R875" s="54"/>
      <c r="S875" s="54"/>
    </row>
    <row r="876" spans="1:19" ht="12.75">
      <c r="A876" s="6"/>
      <c r="B876" s="6"/>
      <c r="C876" s="6"/>
      <c r="D876" s="6"/>
      <c r="E876" s="6"/>
      <c r="F876" s="6"/>
      <c r="G876" s="6"/>
      <c r="H876" s="6"/>
      <c r="I876" s="6"/>
      <c r="J876" s="6"/>
      <c r="K876" s="179"/>
      <c r="L876" s="179"/>
      <c r="M876" s="6"/>
      <c r="N876" s="179"/>
      <c r="O876" s="6"/>
      <c r="P876" s="6"/>
      <c r="Q876" s="179"/>
      <c r="R876" s="54"/>
      <c r="S876" s="54"/>
    </row>
    <row r="877" spans="1:19" ht="12.75">
      <c r="A877" s="6"/>
      <c r="B877" s="6"/>
      <c r="C877" s="6"/>
      <c r="D877" s="6"/>
      <c r="E877" s="6"/>
      <c r="F877" s="6"/>
      <c r="G877" s="6"/>
      <c r="H877" s="6"/>
      <c r="I877" s="6"/>
      <c r="J877" s="6"/>
      <c r="K877" s="179"/>
      <c r="L877" s="179"/>
      <c r="M877" s="6"/>
      <c r="N877" s="179"/>
      <c r="O877" s="6"/>
      <c r="P877" s="6"/>
      <c r="Q877" s="179"/>
      <c r="R877" s="54"/>
      <c r="S877" s="54"/>
    </row>
    <row r="878" spans="1:19" ht="12.75">
      <c r="A878" s="6"/>
      <c r="B878" s="6"/>
      <c r="C878" s="6"/>
      <c r="D878" s="6"/>
      <c r="E878" s="6"/>
      <c r="F878" s="6"/>
      <c r="G878" s="6"/>
      <c r="H878" s="6"/>
      <c r="I878" s="6"/>
      <c r="J878" s="6"/>
      <c r="K878" s="179"/>
      <c r="L878" s="179"/>
      <c r="M878" s="6"/>
      <c r="N878" s="179"/>
      <c r="O878" s="6"/>
      <c r="P878" s="6"/>
      <c r="Q878" s="179"/>
      <c r="R878" s="54"/>
      <c r="S878" s="54"/>
    </row>
    <row r="879" spans="1:19" ht="12.75">
      <c r="A879" s="6"/>
      <c r="B879" s="6"/>
      <c r="C879" s="6"/>
      <c r="D879" s="6"/>
      <c r="E879" s="6"/>
      <c r="F879" s="6"/>
      <c r="G879" s="6"/>
      <c r="H879" s="6"/>
      <c r="I879" s="6"/>
      <c r="J879" s="6"/>
      <c r="K879" s="179"/>
      <c r="L879" s="179"/>
      <c r="M879" s="6"/>
      <c r="N879" s="179"/>
      <c r="O879" s="6"/>
      <c r="P879" s="6"/>
      <c r="Q879" s="179"/>
      <c r="R879" s="54"/>
      <c r="S879" s="54"/>
    </row>
    <row r="880" spans="1:19" ht="12.75">
      <c r="A880" s="6"/>
      <c r="B880" s="6"/>
      <c r="C880" s="6"/>
      <c r="D880" s="6"/>
      <c r="E880" s="6"/>
      <c r="F880" s="6"/>
      <c r="G880" s="6"/>
      <c r="H880" s="6"/>
      <c r="I880" s="6"/>
      <c r="J880" s="6"/>
      <c r="K880" s="179"/>
      <c r="L880" s="179"/>
      <c r="M880" s="6"/>
      <c r="N880" s="179"/>
      <c r="O880" s="6"/>
      <c r="P880" s="6"/>
      <c r="Q880" s="179"/>
      <c r="R880" s="54"/>
      <c r="S880" s="54"/>
    </row>
    <row r="881" spans="1:19" ht="12.75">
      <c r="A881" s="6"/>
      <c r="B881" s="6"/>
      <c r="C881" s="6"/>
      <c r="D881" s="6"/>
      <c r="E881" s="6"/>
      <c r="F881" s="6"/>
      <c r="G881" s="6"/>
      <c r="H881" s="6"/>
      <c r="I881" s="6"/>
      <c r="J881" s="6"/>
      <c r="K881" s="179"/>
      <c r="L881" s="179"/>
      <c r="M881" s="6"/>
      <c r="N881" s="179"/>
      <c r="O881" s="6"/>
      <c r="P881" s="6"/>
      <c r="Q881" s="179"/>
      <c r="R881" s="54"/>
      <c r="S881" s="54"/>
    </row>
    <row r="882" spans="1:19" ht="12.75">
      <c r="A882" s="6"/>
      <c r="B882" s="6"/>
      <c r="C882" s="6"/>
      <c r="D882" s="6"/>
      <c r="E882" s="6"/>
      <c r="F882" s="6"/>
      <c r="G882" s="6"/>
      <c r="H882" s="6"/>
      <c r="I882" s="6"/>
      <c r="J882" s="6"/>
      <c r="K882" s="179"/>
      <c r="L882" s="179"/>
      <c r="M882" s="6"/>
      <c r="N882" s="179"/>
      <c r="O882" s="6"/>
      <c r="P882" s="6"/>
      <c r="Q882" s="179"/>
      <c r="R882" s="54"/>
      <c r="S882" s="54"/>
    </row>
    <row r="883" spans="1:19" ht="12.75">
      <c r="A883" s="6"/>
      <c r="B883" s="6"/>
      <c r="C883" s="6"/>
      <c r="D883" s="6"/>
      <c r="E883" s="6"/>
      <c r="F883" s="6"/>
      <c r="G883" s="6"/>
      <c r="H883" s="6"/>
      <c r="I883" s="6"/>
      <c r="J883" s="6"/>
      <c r="K883" s="179"/>
      <c r="L883" s="179"/>
      <c r="M883" s="6"/>
      <c r="N883" s="179"/>
      <c r="O883" s="6"/>
      <c r="P883" s="6"/>
      <c r="Q883" s="179"/>
      <c r="R883" s="54"/>
      <c r="S883" s="54"/>
    </row>
    <row r="884" spans="1:19" ht="12.75">
      <c r="A884" s="6"/>
      <c r="B884" s="6"/>
      <c r="C884" s="6"/>
      <c r="D884" s="6"/>
      <c r="E884" s="6"/>
      <c r="F884" s="6"/>
      <c r="G884" s="6"/>
      <c r="H884" s="6"/>
      <c r="I884" s="6"/>
      <c r="J884" s="6"/>
      <c r="K884" s="179"/>
      <c r="L884" s="179"/>
      <c r="M884" s="6"/>
      <c r="N884" s="179"/>
      <c r="O884" s="6"/>
      <c r="P884" s="6"/>
      <c r="Q884" s="179"/>
      <c r="R884" s="54"/>
      <c r="S884" s="54"/>
    </row>
    <row r="885" spans="1:19" ht="12.75">
      <c r="A885" s="6"/>
      <c r="B885" s="6"/>
      <c r="C885" s="6"/>
      <c r="D885" s="6"/>
      <c r="E885" s="6"/>
      <c r="F885" s="6"/>
      <c r="G885" s="6"/>
      <c r="H885" s="6"/>
      <c r="I885" s="6"/>
      <c r="J885" s="6"/>
      <c r="K885" s="179"/>
      <c r="L885" s="179"/>
      <c r="M885" s="6"/>
      <c r="N885" s="179"/>
      <c r="O885" s="6"/>
      <c r="P885" s="6"/>
      <c r="Q885" s="179"/>
      <c r="R885" s="54"/>
      <c r="S885" s="54"/>
    </row>
    <row r="886" spans="1:19" ht="12.75">
      <c r="A886" s="6"/>
      <c r="B886" s="6"/>
      <c r="C886" s="6"/>
      <c r="D886" s="6"/>
      <c r="E886" s="6"/>
      <c r="F886" s="6"/>
      <c r="G886" s="6"/>
      <c r="H886" s="6"/>
      <c r="I886" s="6"/>
      <c r="J886" s="6"/>
      <c r="K886" s="179"/>
      <c r="L886" s="179"/>
      <c r="M886" s="6"/>
      <c r="N886" s="179"/>
      <c r="O886" s="6"/>
      <c r="P886" s="6"/>
      <c r="Q886" s="179"/>
      <c r="R886" s="54"/>
      <c r="S886" s="54"/>
    </row>
    <row r="887" spans="1:19" ht="12.75">
      <c r="A887" s="6"/>
      <c r="B887" s="6"/>
      <c r="C887" s="6"/>
      <c r="D887" s="6"/>
      <c r="E887" s="6"/>
      <c r="F887" s="6"/>
      <c r="G887" s="6"/>
      <c r="H887" s="6"/>
      <c r="I887" s="6"/>
      <c r="J887" s="6"/>
      <c r="K887" s="179"/>
      <c r="L887" s="179"/>
      <c r="M887" s="6"/>
      <c r="N887" s="179"/>
      <c r="O887" s="6"/>
      <c r="P887" s="6"/>
      <c r="Q887" s="179"/>
      <c r="R887" s="54"/>
      <c r="S887" s="54"/>
    </row>
    <row r="888" spans="1:19" ht="12.75">
      <c r="A888" s="6"/>
      <c r="B888" s="6"/>
      <c r="C888" s="6"/>
      <c r="D888" s="6"/>
      <c r="E888" s="6"/>
      <c r="F888" s="6"/>
      <c r="G888" s="6"/>
      <c r="H888" s="6"/>
      <c r="I888" s="6"/>
      <c r="J888" s="6"/>
      <c r="K888" s="179"/>
      <c r="L888" s="179"/>
      <c r="M888" s="6"/>
      <c r="N888" s="179"/>
      <c r="O888" s="6"/>
      <c r="P888" s="6"/>
      <c r="Q888" s="179"/>
      <c r="R888" s="54"/>
      <c r="S888" s="54"/>
    </row>
    <row r="889" spans="1:19" ht="12.75">
      <c r="A889" s="6"/>
      <c r="B889" s="6"/>
      <c r="C889" s="6"/>
      <c r="D889" s="6"/>
      <c r="E889" s="6"/>
      <c r="F889" s="6"/>
      <c r="G889" s="6"/>
      <c r="H889" s="6"/>
      <c r="I889" s="6"/>
      <c r="J889" s="6"/>
      <c r="K889" s="179"/>
      <c r="L889" s="179"/>
      <c r="M889" s="6"/>
      <c r="N889" s="179"/>
      <c r="O889" s="6"/>
      <c r="P889" s="6"/>
      <c r="Q889" s="179"/>
      <c r="R889" s="54"/>
      <c r="S889" s="54"/>
    </row>
    <row r="890" spans="1:19" ht="12.75">
      <c r="A890" s="6"/>
      <c r="B890" s="6"/>
      <c r="C890" s="6"/>
      <c r="D890" s="6"/>
      <c r="E890" s="6"/>
      <c r="F890" s="6"/>
      <c r="G890" s="6"/>
      <c r="H890" s="6"/>
      <c r="I890" s="6"/>
      <c r="J890" s="6"/>
      <c r="K890" s="179"/>
      <c r="L890" s="179"/>
      <c r="M890" s="6"/>
      <c r="N890" s="179"/>
      <c r="O890" s="6"/>
      <c r="P890" s="6"/>
      <c r="Q890" s="179"/>
      <c r="R890" s="54"/>
      <c r="S890" s="54"/>
    </row>
    <row r="891" spans="1:19" ht="12.75">
      <c r="A891" s="6"/>
      <c r="B891" s="6"/>
      <c r="C891" s="6"/>
      <c r="D891" s="6"/>
      <c r="E891" s="6"/>
      <c r="F891" s="6"/>
      <c r="G891" s="6"/>
      <c r="H891" s="6"/>
      <c r="I891" s="6"/>
      <c r="J891" s="6"/>
      <c r="K891" s="179"/>
      <c r="L891" s="179"/>
      <c r="M891" s="6"/>
      <c r="N891" s="179"/>
      <c r="O891" s="6"/>
      <c r="P891" s="6"/>
      <c r="Q891" s="179"/>
      <c r="R891" s="54"/>
      <c r="S891" s="54"/>
    </row>
    <row r="892" spans="1:19" ht="12.75">
      <c r="A892" s="6"/>
      <c r="B892" s="6"/>
      <c r="C892" s="6"/>
      <c r="D892" s="6"/>
      <c r="E892" s="6"/>
      <c r="F892" s="6"/>
      <c r="G892" s="6"/>
      <c r="H892" s="6"/>
      <c r="I892" s="6"/>
      <c r="J892" s="6"/>
      <c r="K892" s="179"/>
      <c r="L892" s="179"/>
      <c r="M892" s="6"/>
      <c r="N892" s="179"/>
      <c r="O892" s="6"/>
      <c r="P892" s="6"/>
      <c r="Q892" s="179"/>
      <c r="R892" s="54"/>
      <c r="S892" s="54"/>
    </row>
    <row r="893" spans="1:19" ht="12.75">
      <c r="A893" s="6"/>
      <c r="B893" s="6"/>
      <c r="C893" s="6"/>
      <c r="D893" s="6"/>
      <c r="E893" s="6"/>
      <c r="F893" s="6"/>
      <c r="G893" s="6"/>
      <c r="H893" s="6"/>
      <c r="I893" s="6"/>
      <c r="J893" s="6"/>
      <c r="K893" s="179"/>
      <c r="L893" s="179"/>
      <c r="M893" s="6"/>
      <c r="N893" s="179"/>
      <c r="O893" s="6"/>
      <c r="P893" s="6"/>
      <c r="Q893" s="179"/>
      <c r="R893" s="54"/>
      <c r="S893" s="54"/>
    </row>
    <row r="894" spans="1:19" ht="12.75">
      <c r="A894" s="6"/>
      <c r="B894" s="6"/>
      <c r="C894" s="6"/>
      <c r="D894" s="6"/>
      <c r="E894" s="6"/>
      <c r="F894" s="6"/>
      <c r="G894" s="6"/>
      <c r="H894" s="6"/>
      <c r="I894" s="6"/>
      <c r="J894" s="6"/>
      <c r="K894" s="179"/>
      <c r="L894" s="179"/>
      <c r="M894" s="6"/>
      <c r="N894" s="179"/>
      <c r="O894" s="6"/>
      <c r="P894" s="6"/>
      <c r="Q894" s="179"/>
      <c r="R894" s="54"/>
      <c r="S894" s="54"/>
    </row>
    <row r="895" spans="1:19" ht="12.75">
      <c r="A895" s="6"/>
      <c r="B895" s="6"/>
      <c r="C895" s="6"/>
      <c r="D895" s="6"/>
      <c r="E895" s="6"/>
      <c r="F895" s="6"/>
      <c r="G895" s="6"/>
      <c r="H895" s="6"/>
      <c r="I895" s="6"/>
      <c r="J895" s="6"/>
      <c r="K895" s="179"/>
      <c r="L895" s="179"/>
      <c r="M895" s="6"/>
      <c r="N895" s="179"/>
      <c r="O895" s="6"/>
      <c r="P895" s="6"/>
      <c r="Q895" s="179"/>
      <c r="R895" s="54"/>
      <c r="S895" s="54"/>
    </row>
    <row r="896" spans="1:19" ht="12.75">
      <c r="A896" s="6"/>
      <c r="B896" s="6"/>
      <c r="C896" s="6"/>
      <c r="D896" s="6"/>
      <c r="E896" s="6"/>
      <c r="F896" s="6"/>
      <c r="G896" s="6"/>
      <c r="H896" s="6"/>
      <c r="I896" s="6"/>
      <c r="J896" s="6"/>
      <c r="K896" s="179"/>
      <c r="L896" s="179"/>
      <c r="M896" s="6"/>
      <c r="N896" s="179"/>
      <c r="O896" s="6"/>
      <c r="P896" s="6"/>
      <c r="Q896" s="179"/>
      <c r="R896" s="54"/>
      <c r="S896" s="54"/>
    </row>
    <row r="897" spans="1:19" ht="12.75">
      <c r="A897" s="6"/>
      <c r="B897" s="6"/>
      <c r="C897" s="6"/>
      <c r="D897" s="6"/>
      <c r="E897" s="6"/>
      <c r="F897" s="6"/>
      <c r="G897" s="6"/>
      <c r="H897" s="6"/>
      <c r="I897" s="6"/>
      <c r="J897" s="6"/>
      <c r="K897" s="179"/>
      <c r="L897" s="179"/>
      <c r="M897" s="6"/>
      <c r="N897" s="179"/>
      <c r="O897" s="6"/>
      <c r="P897" s="6"/>
      <c r="Q897" s="179"/>
      <c r="R897" s="54"/>
      <c r="S897" s="54"/>
    </row>
    <row r="898" spans="1:19" ht="12.75">
      <c r="A898" s="6"/>
      <c r="B898" s="6"/>
      <c r="C898" s="6"/>
      <c r="D898" s="6"/>
      <c r="E898" s="6"/>
      <c r="F898" s="6"/>
      <c r="G898" s="6"/>
      <c r="H898" s="6"/>
      <c r="I898" s="6"/>
      <c r="J898" s="6"/>
      <c r="K898" s="179"/>
      <c r="L898" s="179"/>
      <c r="M898" s="6"/>
      <c r="N898" s="179"/>
      <c r="O898" s="6"/>
      <c r="P898" s="6"/>
      <c r="Q898" s="179"/>
      <c r="R898" s="54"/>
      <c r="S898" s="54"/>
    </row>
    <row r="899" spans="1:19" ht="12.75">
      <c r="A899" s="6"/>
      <c r="B899" s="6"/>
      <c r="C899" s="6"/>
      <c r="D899" s="6"/>
      <c r="E899" s="6"/>
      <c r="F899" s="6"/>
      <c r="G899" s="6"/>
      <c r="H899" s="6"/>
      <c r="I899" s="6"/>
      <c r="J899" s="6"/>
      <c r="K899" s="179"/>
      <c r="L899" s="179"/>
      <c r="M899" s="6"/>
      <c r="N899" s="179"/>
      <c r="O899" s="6"/>
      <c r="P899" s="6"/>
      <c r="Q899" s="179"/>
      <c r="R899" s="54"/>
      <c r="S899" s="54"/>
    </row>
    <row r="900" spans="1:19" ht="12.75">
      <c r="A900" s="6"/>
      <c r="B900" s="6"/>
      <c r="C900" s="6"/>
      <c r="D900" s="6"/>
      <c r="E900" s="6"/>
      <c r="F900" s="6"/>
      <c r="G900" s="6"/>
      <c r="H900" s="6"/>
      <c r="I900" s="6"/>
      <c r="J900" s="6"/>
      <c r="K900" s="179"/>
      <c r="L900" s="179"/>
      <c r="M900" s="6"/>
      <c r="N900" s="179"/>
      <c r="O900" s="6"/>
      <c r="P900" s="6"/>
      <c r="Q900" s="179"/>
      <c r="R900" s="54"/>
      <c r="S900" s="54"/>
    </row>
    <row r="901" spans="1:19" ht="12.75">
      <c r="A901" s="6"/>
      <c r="B901" s="6"/>
      <c r="C901" s="6"/>
      <c r="D901" s="6"/>
      <c r="E901" s="6"/>
      <c r="F901" s="6"/>
      <c r="G901" s="6"/>
      <c r="H901" s="6"/>
      <c r="I901" s="6"/>
      <c r="J901" s="6"/>
      <c r="K901" s="179"/>
      <c r="L901" s="179"/>
      <c r="M901" s="6"/>
      <c r="N901" s="179"/>
      <c r="O901" s="6"/>
      <c r="P901" s="6"/>
      <c r="Q901" s="179"/>
      <c r="R901" s="54"/>
      <c r="S901" s="54"/>
    </row>
    <row r="902" spans="1:19" ht="12.75">
      <c r="A902" s="6"/>
      <c r="B902" s="6"/>
      <c r="C902" s="6"/>
      <c r="D902" s="6"/>
      <c r="E902" s="6"/>
      <c r="F902" s="6"/>
      <c r="G902" s="6"/>
      <c r="H902" s="6"/>
      <c r="I902" s="6"/>
      <c r="J902" s="6"/>
      <c r="K902" s="179"/>
      <c r="L902" s="179"/>
      <c r="M902" s="6"/>
      <c r="N902" s="179"/>
      <c r="O902" s="6"/>
      <c r="P902" s="6"/>
      <c r="Q902" s="179"/>
      <c r="R902" s="54"/>
      <c r="S902" s="54"/>
    </row>
    <row r="903" spans="1:19" ht="12.75">
      <c r="A903" s="6"/>
      <c r="B903" s="6"/>
      <c r="C903" s="6"/>
      <c r="D903" s="6"/>
      <c r="E903" s="6"/>
      <c r="F903" s="6"/>
      <c r="G903" s="6"/>
      <c r="H903" s="6"/>
      <c r="I903" s="6"/>
      <c r="J903" s="6"/>
      <c r="K903" s="179"/>
      <c r="L903" s="179"/>
      <c r="M903" s="6"/>
      <c r="N903" s="179"/>
      <c r="O903" s="6"/>
      <c r="P903" s="6"/>
      <c r="Q903" s="179"/>
      <c r="R903" s="54"/>
      <c r="S903" s="54"/>
    </row>
    <row r="904" spans="1:19" ht="12.75">
      <c r="A904" s="6"/>
      <c r="B904" s="6"/>
      <c r="C904" s="6"/>
      <c r="D904" s="6"/>
      <c r="E904" s="6"/>
      <c r="F904" s="6"/>
      <c r="G904" s="6"/>
      <c r="H904" s="6"/>
      <c r="I904" s="6"/>
      <c r="J904" s="6"/>
      <c r="K904" s="179"/>
      <c r="L904" s="179"/>
      <c r="M904" s="6"/>
      <c r="N904" s="179"/>
      <c r="O904" s="6"/>
      <c r="P904" s="6"/>
      <c r="Q904" s="179"/>
      <c r="R904" s="54"/>
      <c r="S904" s="54"/>
    </row>
    <row r="905" spans="1:19" ht="12.75">
      <c r="A905" s="6"/>
      <c r="B905" s="6"/>
      <c r="C905" s="6"/>
      <c r="D905" s="6"/>
      <c r="E905" s="6"/>
      <c r="F905" s="6"/>
      <c r="G905" s="6"/>
      <c r="H905" s="6"/>
      <c r="I905" s="6"/>
      <c r="J905" s="6"/>
      <c r="K905" s="179"/>
      <c r="L905" s="179"/>
      <c r="M905" s="6"/>
      <c r="N905" s="179"/>
      <c r="O905" s="6"/>
      <c r="P905" s="6"/>
      <c r="Q905" s="179"/>
      <c r="R905" s="54"/>
      <c r="S905" s="54"/>
    </row>
    <row r="906" spans="1:19" ht="12.75">
      <c r="A906" s="6"/>
      <c r="B906" s="6"/>
      <c r="C906" s="6"/>
      <c r="D906" s="6"/>
      <c r="E906" s="6"/>
      <c r="F906" s="6"/>
      <c r="G906" s="6"/>
      <c r="H906" s="6"/>
      <c r="I906" s="6"/>
      <c r="J906" s="6"/>
      <c r="K906" s="179"/>
      <c r="L906" s="179"/>
      <c r="M906" s="6"/>
      <c r="N906" s="179"/>
      <c r="O906" s="6"/>
      <c r="P906" s="6"/>
      <c r="Q906" s="179"/>
      <c r="R906" s="54"/>
      <c r="S906" s="54"/>
    </row>
    <row r="907" spans="1:19" ht="12.75">
      <c r="A907" s="6"/>
      <c r="B907" s="6"/>
      <c r="C907" s="6"/>
      <c r="D907" s="6"/>
      <c r="E907" s="6"/>
      <c r="F907" s="6"/>
      <c r="G907" s="6"/>
      <c r="H907" s="6"/>
      <c r="I907" s="6"/>
      <c r="J907" s="6"/>
      <c r="K907" s="179"/>
      <c r="L907" s="179"/>
      <c r="M907" s="6"/>
      <c r="N907" s="179"/>
      <c r="O907" s="6"/>
      <c r="P907" s="6"/>
      <c r="Q907" s="179"/>
      <c r="R907" s="54"/>
      <c r="S907" s="54"/>
    </row>
    <row r="908" spans="1:19" ht="12.75">
      <c r="A908" s="6"/>
      <c r="B908" s="6"/>
      <c r="C908" s="6"/>
      <c r="D908" s="6"/>
      <c r="E908" s="6"/>
      <c r="F908" s="6"/>
      <c r="G908" s="6"/>
      <c r="H908" s="6"/>
      <c r="I908" s="6"/>
      <c r="J908" s="6"/>
      <c r="K908" s="179"/>
      <c r="L908" s="179"/>
      <c r="M908" s="6"/>
      <c r="N908" s="179"/>
      <c r="O908" s="6"/>
      <c r="P908" s="6"/>
      <c r="Q908" s="179"/>
      <c r="R908" s="54"/>
      <c r="S908" s="54"/>
    </row>
    <row r="909" spans="1:19" ht="12.75">
      <c r="A909" s="6"/>
      <c r="B909" s="6"/>
      <c r="C909" s="6"/>
      <c r="D909" s="6"/>
      <c r="E909" s="6"/>
      <c r="F909" s="6"/>
      <c r="G909" s="6"/>
      <c r="H909" s="6"/>
      <c r="I909" s="6"/>
      <c r="J909" s="6"/>
      <c r="K909" s="179"/>
      <c r="L909" s="179"/>
      <c r="M909" s="6"/>
      <c r="N909" s="179"/>
      <c r="O909" s="6"/>
      <c r="P909" s="6"/>
      <c r="Q909" s="179"/>
      <c r="R909" s="54"/>
      <c r="S909" s="54"/>
    </row>
    <row r="910" spans="1:19" ht="12.75">
      <c r="A910" s="6"/>
      <c r="B910" s="6"/>
      <c r="C910" s="6"/>
      <c r="D910" s="6"/>
      <c r="E910" s="6"/>
      <c r="F910" s="6"/>
      <c r="G910" s="6"/>
      <c r="H910" s="6"/>
      <c r="I910" s="6"/>
      <c r="J910" s="6"/>
      <c r="K910" s="179"/>
      <c r="L910" s="179"/>
      <c r="M910" s="6"/>
      <c r="N910" s="179"/>
      <c r="O910" s="6"/>
      <c r="P910" s="6"/>
      <c r="Q910" s="179"/>
      <c r="R910" s="54"/>
      <c r="S910" s="54"/>
    </row>
    <row r="911" spans="1:19" ht="12.75">
      <c r="A911" s="6"/>
      <c r="B911" s="6"/>
      <c r="C911" s="6"/>
      <c r="D911" s="6"/>
      <c r="E911" s="6"/>
      <c r="F911" s="6"/>
      <c r="G911" s="6"/>
      <c r="H911" s="6"/>
      <c r="I911" s="6"/>
      <c r="J911" s="6"/>
      <c r="K911" s="179"/>
      <c r="L911" s="179"/>
      <c r="M911" s="6"/>
      <c r="N911" s="179"/>
      <c r="O911" s="6"/>
      <c r="P911" s="6"/>
      <c r="Q911" s="179"/>
      <c r="R911" s="54"/>
      <c r="S911" s="54"/>
    </row>
    <row r="912" spans="1:19" ht="12.75">
      <c r="A912" s="6"/>
      <c r="B912" s="6"/>
      <c r="C912" s="6"/>
      <c r="D912" s="6"/>
      <c r="E912" s="6"/>
      <c r="F912" s="6"/>
      <c r="G912" s="6"/>
      <c r="H912" s="6"/>
      <c r="I912" s="6"/>
      <c r="J912" s="6"/>
      <c r="K912" s="179"/>
      <c r="L912" s="179"/>
      <c r="M912" s="6"/>
      <c r="N912" s="179"/>
      <c r="O912" s="6"/>
      <c r="P912" s="6"/>
      <c r="Q912" s="179"/>
      <c r="R912" s="54"/>
      <c r="S912" s="54"/>
    </row>
    <row r="913" spans="1:19" ht="12.75">
      <c r="A913" s="6"/>
      <c r="B913" s="6"/>
      <c r="C913" s="6"/>
      <c r="D913" s="6"/>
      <c r="E913" s="6"/>
      <c r="F913" s="6"/>
      <c r="G913" s="6"/>
      <c r="H913" s="6"/>
      <c r="I913" s="6"/>
      <c r="J913" s="6"/>
      <c r="K913" s="179"/>
      <c r="L913" s="179"/>
      <c r="M913" s="6"/>
      <c r="N913" s="179"/>
      <c r="O913" s="6"/>
      <c r="P913" s="6"/>
      <c r="Q913" s="179"/>
      <c r="R913" s="54"/>
      <c r="S913" s="54"/>
    </row>
    <row r="914" spans="1:19" ht="12.75">
      <c r="A914" s="6"/>
      <c r="B914" s="6"/>
      <c r="C914" s="6"/>
      <c r="D914" s="6"/>
      <c r="E914" s="6"/>
      <c r="F914" s="6"/>
      <c r="G914" s="6"/>
      <c r="H914" s="6"/>
      <c r="I914" s="6"/>
      <c r="J914" s="6"/>
      <c r="K914" s="179"/>
      <c r="L914" s="179"/>
      <c r="M914" s="6"/>
      <c r="N914" s="179"/>
      <c r="O914" s="6"/>
      <c r="P914" s="6"/>
      <c r="Q914" s="179"/>
      <c r="R914" s="54"/>
      <c r="S914" s="54"/>
    </row>
    <row r="915" spans="1:19" ht="12.75">
      <c r="A915" s="6"/>
      <c r="B915" s="6"/>
      <c r="C915" s="6"/>
      <c r="D915" s="6"/>
      <c r="E915" s="6"/>
      <c r="F915" s="6"/>
      <c r="G915" s="6"/>
      <c r="H915" s="6"/>
      <c r="I915" s="6"/>
      <c r="J915" s="6"/>
      <c r="K915" s="179"/>
      <c r="L915" s="179"/>
      <c r="M915" s="6"/>
      <c r="N915" s="179"/>
      <c r="O915" s="6"/>
      <c r="P915" s="6"/>
      <c r="Q915" s="179"/>
      <c r="R915" s="54"/>
      <c r="S915" s="54"/>
    </row>
    <row r="916" spans="1:19" ht="12.75">
      <c r="A916" s="6"/>
      <c r="B916" s="6"/>
      <c r="C916" s="6"/>
      <c r="D916" s="6"/>
      <c r="E916" s="6"/>
      <c r="F916" s="6"/>
      <c r="G916" s="6"/>
      <c r="H916" s="6"/>
      <c r="I916" s="6"/>
      <c r="J916" s="6"/>
      <c r="K916" s="179"/>
      <c r="L916" s="179"/>
      <c r="M916" s="6"/>
      <c r="N916" s="179"/>
      <c r="O916" s="6"/>
      <c r="P916" s="6"/>
      <c r="Q916" s="179"/>
      <c r="R916" s="54"/>
      <c r="S916" s="54"/>
    </row>
    <row r="917" spans="1:19" ht="12.75">
      <c r="A917" s="6"/>
      <c r="B917" s="6"/>
      <c r="C917" s="6"/>
      <c r="D917" s="6"/>
      <c r="E917" s="6"/>
      <c r="F917" s="6"/>
      <c r="G917" s="6"/>
      <c r="H917" s="6"/>
      <c r="I917" s="6"/>
      <c r="J917" s="6"/>
      <c r="K917" s="179"/>
      <c r="L917" s="179"/>
      <c r="M917" s="6"/>
      <c r="N917" s="179"/>
      <c r="O917" s="6"/>
      <c r="P917" s="6"/>
      <c r="Q917" s="179"/>
      <c r="R917" s="54"/>
      <c r="S917" s="54"/>
    </row>
    <row r="918" spans="1:19" ht="12.75">
      <c r="A918" s="6"/>
      <c r="B918" s="6"/>
      <c r="C918" s="6"/>
      <c r="D918" s="6"/>
      <c r="E918" s="6"/>
      <c r="F918" s="6"/>
      <c r="G918" s="6"/>
      <c r="H918" s="6"/>
      <c r="I918" s="6"/>
      <c r="J918" s="6"/>
      <c r="K918" s="179"/>
      <c r="L918" s="179"/>
      <c r="M918" s="6"/>
      <c r="N918" s="179"/>
      <c r="O918" s="6"/>
      <c r="P918" s="6"/>
      <c r="Q918" s="179"/>
      <c r="R918" s="54"/>
      <c r="S918" s="54"/>
    </row>
    <row r="919" spans="1:19" ht="12.75">
      <c r="A919" s="6"/>
      <c r="B919" s="6"/>
      <c r="C919" s="6"/>
      <c r="D919" s="6"/>
      <c r="E919" s="6"/>
      <c r="F919" s="6"/>
      <c r="G919" s="6"/>
      <c r="H919" s="6"/>
      <c r="I919" s="6"/>
      <c r="J919" s="6"/>
      <c r="K919" s="179"/>
      <c r="L919" s="179"/>
      <c r="M919" s="6"/>
      <c r="N919" s="179"/>
      <c r="O919" s="6"/>
      <c r="P919" s="6"/>
      <c r="Q919" s="179"/>
      <c r="R919" s="54"/>
      <c r="S919" s="54"/>
    </row>
    <row r="920" spans="1:19" ht="12.75">
      <c r="A920" s="6"/>
      <c r="B920" s="6"/>
      <c r="C920" s="6"/>
      <c r="D920" s="6"/>
      <c r="E920" s="6"/>
      <c r="F920" s="6"/>
      <c r="G920" s="6"/>
      <c r="H920" s="6"/>
      <c r="I920" s="6"/>
      <c r="J920" s="6"/>
      <c r="K920" s="179"/>
      <c r="L920" s="179"/>
      <c r="M920" s="6"/>
      <c r="N920" s="179"/>
      <c r="O920" s="6"/>
      <c r="P920" s="6"/>
      <c r="Q920" s="179"/>
      <c r="R920" s="54"/>
      <c r="S920" s="54"/>
    </row>
    <row r="921" spans="1:19" ht="12.75">
      <c r="A921" s="6"/>
      <c r="B921" s="6"/>
      <c r="C921" s="6"/>
      <c r="D921" s="6"/>
      <c r="E921" s="6"/>
      <c r="F921" s="6"/>
      <c r="G921" s="6"/>
      <c r="H921" s="6"/>
      <c r="I921" s="6"/>
      <c r="J921" s="6"/>
      <c r="K921" s="179"/>
      <c r="L921" s="179"/>
      <c r="M921" s="6"/>
      <c r="N921" s="179"/>
      <c r="O921" s="6"/>
      <c r="P921" s="6"/>
      <c r="Q921" s="179"/>
      <c r="R921" s="54"/>
      <c r="S921" s="54"/>
    </row>
    <row r="922" spans="1:19" ht="12.75">
      <c r="A922" s="6"/>
      <c r="B922" s="6"/>
      <c r="C922" s="6"/>
      <c r="D922" s="6"/>
      <c r="E922" s="6"/>
      <c r="F922" s="6"/>
      <c r="G922" s="6"/>
      <c r="H922" s="6"/>
      <c r="I922" s="6"/>
      <c r="J922" s="6"/>
      <c r="K922" s="179"/>
      <c r="L922" s="179"/>
      <c r="M922" s="6"/>
      <c r="N922" s="179"/>
      <c r="O922" s="6"/>
      <c r="P922" s="6"/>
      <c r="Q922" s="179"/>
      <c r="R922" s="54"/>
      <c r="S922" s="54"/>
    </row>
    <row r="923" spans="1:19" ht="12.75">
      <c r="A923" s="6"/>
      <c r="B923" s="6"/>
      <c r="C923" s="6"/>
      <c r="D923" s="6"/>
      <c r="E923" s="6"/>
      <c r="F923" s="6"/>
      <c r="G923" s="6"/>
      <c r="H923" s="6"/>
      <c r="I923" s="6"/>
      <c r="J923" s="6"/>
      <c r="K923" s="179"/>
      <c r="L923" s="179"/>
      <c r="M923" s="6"/>
      <c r="N923" s="179"/>
      <c r="O923" s="6"/>
      <c r="P923" s="6"/>
      <c r="Q923" s="179"/>
      <c r="R923" s="54"/>
      <c r="S923" s="54"/>
    </row>
    <row r="924" spans="1:19" ht="12.75">
      <c r="A924" s="6"/>
      <c r="B924" s="6"/>
      <c r="C924" s="6"/>
      <c r="D924" s="6"/>
      <c r="E924" s="6"/>
      <c r="F924" s="6"/>
      <c r="G924" s="6"/>
      <c r="H924" s="6"/>
      <c r="I924" s="6"/>
      <c r="J924" s="6"/>
      <c r="K924" s="179"/>
      <c r="L924" s="179"/>
      <c r="M924" s="6"/>
      <c r="N924" s="179"/>
      <c r="O924" s="6"/>
      <c r="P924" s="6"/>
      <c r="Q924" s="179"/>
      <c r="R924" s="54"/>
      <c r="S924" s="54"/>
    </row>
    <row r="925" spans="1:19" ht="12.75">
      <c r="A925" s="6"/>
      <c r="B925" s="6"/>
      <c r="C925" s="6"/>
      <c r="D925" s="6"/>
      <c r="E925" s="6"/>
      <c r="F925" s="6"/>
      <c r="G925" s="6"/>
      <c r="H925" s="6"/>
      <c r="I925" s="6"/>
      <c r="J925" s="6"/>
      <c r="K925" s="179"/>
      <c r="L925" s="179"/>
      <c r="M925" s="6"/>
      <c r="N925" s="179"/>
      <c r="O925" s="6"/>
      <c r="P925" s="6"/>
      <c r="Q925" s="179"/>
      <c r="R925" s="54"/>
      <c r="S925" s="54"/>
    </row>
    <row r="926" spans="1:19" ht="12.75">
      <c r="A926" s="6"/>
      <c r="B926" s="6"/>
      <c r="C926" s="6"/>
      <c r="D926" s="6"/>
      <c r="E926" s="6"/>
      <c r="F926" s="6"/>
      <c r="G926" s="6"/>
      <c r="H926" s="6"/>
      <c r="I926" s="6"/>
      <c r="J926" s="6"/>
      <c r="K926" s="179"/>
      <c r="L926" s="179"/>
      <c r="M926" s="6"/>
      <c r="N926" s="179"/>
      <c r="O926" s="6"/>
      <c r="P926" s="6"/>
      <c r="Q926" s="179"/>
      <c r="R926" s="54"/>
      <c r="S926" s="54"/>
    </row>
    <row r="927" spans="1:19" ht="12.75">
      <c r="A927" s="6"/>
      <c r="B927" s="6"/>
      <c r="C927" s="6"/>
      <c r="D927" s="6"/>
      <c r="E927" s="6"/>
      <c r="F927" s="6"/>
      <c r="G927" s="6"/>
      <c r="H927" s="6"/>
      <c r="I927" s="6"/>
      <c r="J927" s="6"/>
      <c r="K927" s="179"/>
      <c r="L927" s="179"/>
      <c r="M927" s="6"/>
      <c r="N927" s="179"/>
      <c r="O927" s="6"/>
      <c r="P927" s="6"/>
      <c r="Q927" s="179"/>
      <c r="R927" s="54"/>
      <c r="S927" s="54"/>
    </row>
    <row r="928" spans="1:19" ht="12.75">
      <c r="A928" s="6"/>
      <c r="B928" s="6"/>
      <c r="C928" s="6"/>
      <c r="D928" s="6"/>
      <c r="E928" s="6"/>
      <c r="F928" s="6"/>
      <c r="G928" s="6"/>
      <c r="H928" s="6"/>
      <c r="I928" s="6"/>
      <c r="J928" s="6"/>
      <c r="K928" s="179"/>
      <c r="L928" s="179"/>
      <c r="M928" s="6"/>
      <c r="N928" s="179"/>
      <c r="O928" s="6"/>
      <c r="P928" s="6"/>
      <c r="Q928" s="179"/>
      <c r="R928" s="54"/>
      <c r="S928" s="54"/>
    </row>
    <row r="929" spans="1:19" ht="12.75">
      <c r="A929" s="6"/>
      <c r="B929" s="6"/>
      <c r="C929" s="6"/>
      <c r="D929" s="6"/>
      <c r="E929" s="6"/>
      <c r="F929" s="6"/>
      <c r="G929" s="6"/>
      <c r="H929" s="6"/>
      <c r="I929" s="6"/>
      <c r="J929" s="6"/>
      <c r="K929" s="179"/>
      <c r="L929" s="179"/>
      <c r="M929" s="6"/>
      <c r="N929" s="179"/>
      <c r="O929" s="6"/>
      <c r="P929" s="6"/>
      <c r="Q929" s="179"/>
      <c r="R929" s="54"/>
      <c r="S929" s="54"/>
    </row>
    <row r="930" spans="1:19" ht="12.75">
      <c r="A930" s="6"/>
      <c r="B930" s="6"/>
      <c r="C930" s="6"/>
      <c r="D930" s="6"/>
      <c r="E930" s="6"/>
      <c r="F930" s="6"/>
      <c r="G930" s="6"/>
      <c r="H930" s="6"/>
      <c r="I930" s="6"/>
      <c r="J930" s="6"/>
      <c r="K930" s="179"/>
      <c r="L930" s="179"/>
      <c r="M930" s="6"/>
      <c r="N930" s="179"/>
      <c r="O930" s="6"/>
      <c r="P930" s="6"/>
      <c r="Q930" s="179"/>
      <c r="R930" s="54"/>
      <c r="S930" s="54"/>
    </row>
    <row r="931" spans="1:19" ht="12.75">
      <c r="A931" s="6"/>
      <c r="B931" s="6"/>
      <c r="C931" s="6"/>
      <c r="D931" s="6"/>
      <c r="E931" s="6"/>
      <c r="F931" s="6"/>
      <c r="G931" s="6"/>
      <c r="H931" s="6"/>
      <c r="I931" s="6"/>
      <c r="J931" s="6"/>
      <c r="K931" s="179"/>
      <c r="L931" s="179"/>
      <c r="M931" s="6"/>
      <c r="N931" s="179"/>
      <c r="O931" s="6"/>
      <c r="P931" s="6"/>
      <c r="Q931" s="179"/>
      <c r="R931" s="54"/>
      <c r="S931" s="54"/>
    </row>
    <row r="932" spans="1:19" ht="12.75">
      <c r="A932" s="6"/>
      <c r="B932" s="6"/>
      <c r="C932" s="6"/>
      <c r="D932" s="6"/>
      <c r="E932" s="6"/>
      <c r="F932" s="6"/>
      <c r="G932" s="6"/>
      <c r="H932" s="6"/>
      <c r="I932" s="6"/>
      <c r="J932" s="6"/>
      <c r="K932" s="179"/>
      <c r="L932" s="179"/>
      <c r="M932" s="6"/>
      <c r="N932" s="179"/>
      <c r="O932" s="6"/>
      <c r="P932" s="6"/>
      <c r="Q932" s="179"/>
      <c r="R932" s="54"/>
      <c r="S932" s="54"/>
    </row>
    <row r="933" spans="1:19" ht="12.75">
      <c r="A933" s="6"/>
      <c r="B933" s="6"/>
      <c r="C933" s="6"/>
      <c r="D933" s="6"/>
      <c r="E933" s="6"/>
      <c r="F933" s="6"/>
      <c r="G933" s="6"/>
      <c r="H933" s="6"/>
      <c r="I933" s="6"/>
      <c r="J933" s="6"/>
      <c r="K933" s="179"/>
      <c r="L933" s="179"/>
      <c r="M933" s="6"/>
      <c r="N933" s="179"/>
      <c r="O933" s="6"/>
      <c r="P933" s="6"/>
      <c r="Q933" s="179"/>
      <c r="R933" s="54"/>
      <c r="S933" s="54"/>
    </row>
    <row r="934" spans="1:19" ht="12.75">
      <c r="A934" s="6"/>
      <c r="B934" s="6"/>
      <c r="C934" s="6"/>
      <c r="D934" s="6"/>
      <c r="E934" s="6"/>
      <c r="F934" s="6"/>
      <c r="G934" s="6"/>
      <c r="H934" s="6"/>
      <c r="I934" s="6"/>
      <c r="J934" s="6"/>
      <c r="K934" s="179"/>
      <c r="L934" s="179"/>
      <c r="M934" s="6"/>
      <c r="N934" s="179"/>
      <c r="O934" s="6"/>
      <c r="P934" s="6"/>
      <c r="Q934" s="179"/>
      <c r="R934" s="54"/>
      <c r="S934" s="54"/>
    </row>
    <row r="935" spans="1:19" ht="12.75">
      <c r="A935" s="6"/>
      <c r="B935" s="6"/>
      <c r="C935" s="6"/>
      <c r="D935" s="6"/>
      <c r="E935" s="6"/>
      <c r="F935" s="6"/>
      <c r="G935" s="6"/>
      <c r="H935" s="6"/>
      <c r="I935" s="6"/>
      <c r="J935" s="6"/>
      <c r="K935" s="179"/>
      <c r="L935" s="179"/>
      <c r="M935" s="6"/>
      <c r="N935" s="179"/>
      <c r="O935" s="6"/>
      <c r="P935" s="6"/>
      <c r="Q935" s="179"/>
      <c r="R935" s="54"/>
      <c r="S935" s="54"/>
    </row>
    <row r="936" spans="1:19" ht="12.75">
      <c r="A936" s="6"/>
      <c r="B936" s="6"/>
      <c r="C936" s="6"/>
      <c r="D936" s="6"/>
      <c r="E936" s="6"/>
      <c r="F936" s="6"/>
      <c r="G936" s="6"/>
      <c r="H936" s="6"/>
      <c r="I936" s="6"/>
      <c r="J936" s="6"/>
      <c r="K936" s="179"/>
      <c r="L936" s="179"/>
      <c r="M936" s="6"/>
      <c r="N936" s="179"/>
      <c r="O936" s="6"/>
      <c r="P936" s="6"/>
      <c r="Q936" s="179"/>
      <c r="R936" s="54"/>
      <c r="S936" s="54"/>
    </row>
    <row r="937" spans="1:19" ht="12.75">
      <c r="A937" s="6"/>
      <c r="B937" s="6"/>
      <c r="C937" s="6"/>
      <c r="D937" s="6"/>
      <c r="E937" s="6"/>
      <c r="F937" s="6"/>
      <c r="G937" s="6"/>
      <c r="H937" s="6"/>
      <c r="I937" s="6"/>
      <c r="J937" s="6"/>
      <c r="K937" s="179"/>
      <c r="L937" s="179"/>
      <c r="M937" s="6"/>
      <c r="N937" s="179"/>
      <c r="O937" s="6"/>
      <c r="P937" s="6"/>
      <c r="Q937" s="179"/>
      <c r="R937" s="54"/>
      <c r="S937" s="54"/>
    </row>
    <row r="938" spans="1:19" ht="12.75">
      <c r="A938" s="6"/>
      <c r="B938" s="6"/>
      <c r="C938" s="6"/>
      <c r="D938" s="6"/>
      <c r="E938" s="6"/>
      <c r="F938" s="6"/>
      <c r="G938" s="6"/>
      <c r="H938" s="6"/>
      <c r="I938" s="6"/>
      <c r="J938" s="6"/>
      <c r="K938" s="179"/>
      <c r="L938" s="179"/>
      <c r="M938" s="6"/>
      <c r="N938" s="179"/>
      <c r="O938" s="6"/>
      <c r="P938" s="6"/>
      <c r="Q938" s="179"/>
      <c r="R938" s="54"/>
      <c r="S938" s="54"/>
    </row>
    <row r="939" spans="1:19" ht="12.75">
      <c r="A939" s="6"/>
      <c r="B939" s="6"/>
      <c r="C939" s="6"/>
      <c r="D939" s="6"/>
      <c r="E939" s="6"/>
      <c r="F939" s="6"/>
      <c r="G939" s="6"/>
      <c r="H939" s="6"/>
      <c r="I939" s="6"/>
      <c r="J939" s="6"/>
      <c r="K939" s="179"/>
      <c r="L939" s="179"/>
      <c r="M939" s="6"/>
      <c r="N939" s="179"/>
      <c r="O939" s="6"/>
      <c r="P939" s="6"/>
      <c r="Q939" s="179"/>
      <c r="R939" s="54"/>
      <c r="S939" s="54"/>
    </row>
    <row r="940" spans="1:19" ht="12.75">
      <c r="A940" s="6"/>
      <c r="B940" s="6"/>
      <c r="C940" s="6"/>
      <c r="D940" s="6"/>
      <c r="E940" s="6"/>
      <c r="F940" s="6"/>
      <c r="G940" s="6"/>
      <c r="H940" s="6"/>
      <c r="I940" s="6"/>
      <c r="J940" s="6"/>
      <c r="K940" s="179"/>
      <c r="L940" s="179"/>
      <c r="M940" s="6"/>
      <c r="N940" s="179"/>
      <c r="O940" s="6"/>
      <c r="P940" s="6"/>
      <c r="Q940" s="179"/>
      <c r="R940" s="54"/>
      <c r="S940" s="54"/>
    </row>
    <row r="941" spans="1:19" ht="12.75">
      <c r="A941" s="6"/>
      <c r="B941" s="6"/>
      <c r="C941" s="6"/>
      <c r="D941" s="6"/>
      <c r="E941" s="6"/>
      <c r="F941" s="6"/>
      <c r="G941" s="6"/>
      <c r="H941" s="6"/>
      <c r="I941" s="6"/>
      <c r="J941" s="6"/>
      <c r="K941" s="179"/>
      <c r="L941" s="179"/>
      <c r="M941" s="6"/>
      <c r="N941" s="179"/>
      <c r="O941" s="6"/>
      <c r="P941" s="6"/>
      <c r="Q941" s="179"/>
      <c r="R941" s="54"/>
      <c r="S941" s="54"/>
    </row>
    <row r="942" spans="1:19" ht="12.75">
      <c r="A942" s="6"/>
      <c r="B942" s="6"/>
      <c r="C942" s="6"/>
      <c r="D942" s="6"/>
      <c r="E942" s="6"/>
      <c r="F942" s="6"/>
      <c r="G942" s="6"/>
      <c r="H942" s="6"/>
      <c r="I942" s="6"/>
      <c r="J942" s="6"/>
      <c r="K942" s="179"/>
      <c r="L942" s="179"/>
      <c r="M942" s="6"/>
      <c r="N942" s="179"/>
      <c r="O942" s="6"/>
      <c r="P942" s="6"/>
      <c r="Q942" s="179"/>
      <c r="R942" s="54"/>
      <c r="S942" s="54"/>
    </row>
    <row r="943" spans="1:19" ht="12.75">
      <c r="A943" s="6"/>
      <c r="B943" s="6"/>
      <c r="C943" s="6"/>
      <c r="D943" s="6"/>
      <c r="E943" s="6"/>
      <c r="F943" s="6"/>
      <c r="G943" s="6"/>
      <c r="H943" s="6"/>
      <c r="I943" s="6"/>
      <c r="J943" s="6"/>
      <c r="K943" s="179"/>
      <c r="L943" s="179"/>
      <c r="M943" s="6"/>
      <c r="N943" s="179"/>
      <c r="O943" s="6"/>
      <c r="P943" s="6"/>
      <c r="Q943" s="179"/>
      <c r="R943" s="54"/>
      <c r="S943" s="54"/>
    </row>
    <row r="944" spans="1:19" ht="12.75">
      <c r="A944" s="6"/>
      <c r="B944" s="6"/>
      <c r="C944" s="6"/>
      <c r="D944" s="6"/>
      <c r="E944" s="6"/>
      <c r="F944" s="6"/>
      <c r="G944" s="6"/>
      <c r="H944" s="6"/>
      <c r="I944" s="6"/>
      <c r="J944" s="6"/>
      <c r="K944" s="179"/>
      <c r="L944" s="179"/>
      <c r="M944" s="6"/>
      <c r="N944" s="179"/>
      <c r="O944" s="6"/>
      <c r="P944" s="6"/>
      <c r="Q944" s="179"/>
      <c r="R944" s="54"/>
      <c r="S944" s="54"/>
    </row>
    <row r="945" spans="1:19" ht="12.75">
      <c r="A945" s="6"/>
      <c r="B945" s="6"/>
      <c r="C945" s="6"/>
      <c r="D945" s="6"/>
      <c r="E945" s="6"/>
      <c r="F945" s="6"/>
      <c r="G945" s="6"/>
      <c r="H945" s="6"/>
      <c r="I945" s="6"/>
      <c r="J945" s="6"/>
      <c r="K945" s="179"/>
      <c r="L945" s="179"/>
      <c r="M945" s="6"/>
      <c r="N945" s="179"/>
      <c r="O945" s="6"/>
      <c r="P945" s="6"/>
      <c r="Q945" s="179"/>
      <c r="R945" s="54"/>
      <c r="S945" s="54"/>
    </row>
    <row r="946" spans="1:19" ht="12.75">
      <c r="A946" s="6"/>
      <c r="B946" s="6"/>
      <c r="C946" s="6"/>
      <c r="D946" s="6"/>
      <c r="E946" s="6"/>
      <c r="F946" s="6"/>
      <c r="G946" s="6"/>
      <c r="H946" s="6"/>
      <c r="I946" s="6"/>
      <c r="J946" s="6"/>
      <c r="K946" s="179"/>
      <c r="L946" s="179"/>
      <c r="M946" s="6"/>
      <c r="N946" s="179"/>
      <c r="O946" s="6"/>
      <c r="P946" s="6"/>
      <c r="Q946" s="179"/>
      <c r="R946" s="54"/>
      <c r="S946" s="54"/>
    </row>
    <row r="947" spans="1:19" ht="12.75">
      <c r="A947" s="6"/>
      <c r="B947" s="6"/>
      <c r="C947" s="6"/>
      <c r="D947" s="6"/>
      <c r="E947" s="6"/>
      <c r="F947" s="6"/>
      <c r="G947" s="6"/>
      <c r="H947" s="6"/>
      <c r="I947" s="6"/>
      <c r="J947" s="6"/>
      <c r="K947" s="179"/>
      <c r="L947" s="179"/>
      <c r="M947" s="6"/>
      <c r="N947" s="179"/>
      <c r="O947" s="6"/>
      <c r="P947" s="6"/>
      <c r="Q947" s="179"/>
      <c r="R947" s="54"/>
      <c r="S947" s="54"/>
    </row>
    <row r="948" spans="1:19" ht="12.75">
      <c r="A948" s="6"/>
      <c r="B948" s="6"/>
      <c r="C948" s="6"/>
      <c r="D948" s="6"/>
      <c r="E948" s="6"/>
      <c r="F948" s="6"/>
      <c r="G948" s="6"/>
      <c r="H948" s="6"/>
      <c r="I948" s="6"/>
      <c r="J948" s="6"/>
      <c r="K948" s="179"/>
      <c r="L948" s="179"/>
      <c r="M948" s="6"/>
      <c r="N948" s="179"/>
      <c r="O948" s="6"/>
      <c r="P948" s="6"/>
      <c r="Q948" s="179"/>
      <c r="R948" s="54"/>
      <c r="S948" s="54"/>
    </row>
    <row r="949" spans="1:19" ht="12.75">
      <c r="A949" s="6"/>
      <c r="B949" s="6"/>
      <c r="C949" s="6"/>
      <c r="D949" s="6"/>
      <c r="E949" s="6"/>
      <c r="F949" s="6"/>
      <c r="G949" s="6"/>
      <c r="H949" s="6"/>
      <c r="I949" s="6"/>
      <c r="J949" s="6"/>
      <c r="K949" s="179"/>
      <c r="L949" s="179"/>
      <c r="M949" s="6"/>
      <c r="N949" s="179"/>
      <c r="O949" s="6"/>
      <c r="P949" s="6"/>
      <c r="Q949" s="179"/>
      <c r="R949" s="54"/>
      <c r="S949" s="54"/>
    </row>
    <row r="950" spans="1:19" ht="12.75">
      <c r="A950" s="6"/>
      <c r="B950" s="6"/>
      <c r="C950" s="6"/>
      <c r="D950" s="6"/>
      <c r="E950" s="6"/>
      <c r="F950" s="6"/>
      <c r="G950" s="6"/>
      <c r="H950" s="6"/>
      <c r="I950" s="6"/>
      <c r="J950" s="6"/>
      <c r="K950" s="179"/>
      <c r="L950" s="179"/>
      <c r="M950" s="6"/>
      <c r="N950" s="179"/>
      <c r="O950" s="6"/>
      <c r="P950" s="6"/>
      <c r="Q950" s="179"/>
      <c r="R950" s="54"/>
      <c r="S950" s="54"/>
    </row>
    <row r="951" spans="1:19" ht="12.75">
      <c r="A951" s="6"/>
      <c r="B951" s="6"/>
      <c r="C951" s="6"/>
      <c r="D951" s="6"/>
      <c r="E951" s="6"/>
      <c r="F951" s="6"/>
      <c r="G951" s="6"/>
      <c r="H951" s="6"/>
      <c r="I951" s="6"/>
      <c r="J951" s="6"/>
      <c r="K951" s="179"/>
      <c r="L951" s="179"/>
      <c r="M951" s="6"/>
      <c r="N951" s="179"/>
      <c r="O951" s="6"/>
      <c r="P951" s="6"/>
      <c r="Q951" s="179"/>
      <c r="R951" s="54"/>
      <c r="S951" s="54"/>
    </row>
    <row r="952" spans="1:19" ht="12.75">
      <c r="A952" s="6"/>
      <c r="B952" s="6"/>
      <c r="C952" s="6"/>
      <c r="D952" s="6"/>
      <c r="E952" s="6"/>
      <c r="F952" s="6"/>
      <c r="G952" s="6"/>
      <c r="H952" s="6"/>
      <c r="I952" s="6"/>
      <c r="J952" s="6"/>
      <c r="K952" s="179"/>
      <c r="L952" s="179"/>
      <c r="M952" s="6"/>
      <c r="N952" s="179"/>
      <c r="O952" s="6"/>
      <c r="P952" s="6"/>
      <c r="Q952" s="179"/>
      <c r="R952" s="54"/>
      <c r="S952" s="54"/>
    </row>
    <row r="953" spans="1:19" ht="12.75">
      <c r="A953" s="6"/>
      <c r="B953" s="6"/>
      <c r="C953" s="6"/>
      <c r="D953" s="6"/>
      <c r="E953" s="6"/>
      <c r="F953" s="6"/>
      <c r="G953" s="6"/>
      <c r="H953" s="6"/>
      <c r="I953" s="6"/>
      <c r="J953" s="6"/>
      <c r="K953" s="179"/>
      <c r="L953" s="179"/>
      <c r="M953" s="6"/>
      <c r="N953" s="179"/>
      <c r="O953" s="6"/>
      <c r="P953" s="6"/>
      <c r="Q953" s="179"/>
      <c r="R953" s="54"/>
      <c r="S953" s="54"/>
    </row>
    <row r="954" spans="1:19" ht="12.75">
      <c r="A954" s="6"/>
      <c r="B954" s="6"/>
      <c r="C954" s="6"/>
      <c r="D954" s="6"/>
      <c r="E954" s="6"/>
      <c r="F954" s="6"/>
      <c r="G954" s="6"/>
      <c r="H954" s="6"/>
      <c r="I954" s="6"/>
      <c r="J954" s="6"/>
      <c r="K954" s="179"/>
      <c r="L954" s="179"/>
      <c r="M954" s="6"/>
      <c r="N954" s="179"/>
      <c r="O954" s="6"/>
      <c r="P954" s="6"/>
      <c r="Q954" s="179"/>
      <c r="R954" s="54"/>
      <c r="S954" s="54"/>
    </row>
    <row r="955" spans="1:19" ht="12.75">
      <c r="A955" s="6"/>
      <c r="B955" s="6"/>
      <c r="C955" s="6"/>
      <c r="D955" s="6"/>
      <c r="E955" s="6"/>
      <c r="F955" s="6"/>
      <c r="G955" s="6"/>
      <c r="H955" s="6"/>
      <c r="I955" s="6"/>
      <c r="J955" s="6"/>
      <c r="K955" s="179"/>
      <c r="L955" s="179"/>
      <c r="M955" s="6"/>
      <c r="N955" s="179"/>
      <c r="O955" s="6"/>
      <c r="P955" s="6"/>
      <c r="Q955" s="179"/>
      <c r="R955" s="54"/>
      <c r="S955" s="54"/>
    </row>
    <row r="956" spans="1:19" ht="12.75">
      <c r="A956" s="6"/>
      <c r="B956" s="6"/>
      <c r="C956" s="6"/>
      <c r="D956" s="6"/>
      <c r="E956" s="6"/>
      <c r="F956" s="6"/>
      <c r="G956" s="6"/>
      <c r="H956" s="6"/>
      <c r="I956" s="6"/>
      <c r="J956" s="6"/>
      <c r="K956" s="179"/>
      <c r="L956" s="179"/>
      <c r="M956" s="6"/>
      <c r="N956" s="179"/>
      <c r="O956" s="6"/>
      <c r="P956" s="6"/>
      <c r="Q956" s="179"/>
      <c r="R956" s="54"/>
      <c r="S956" s="54"/>
    </row>
    <row r="957" spans="1:19" ht="12.75">
      <c r="A957" s="6"/>
      <c r="B957" s="6"/>
      <c r="C957" s="6"/>
      <c r="D957" s="6"/>
      <c r="E957" s="6"/>
      <c r="F957" s="6"/>
      <c r="G957" s="6"/>
      <c r="H957" s="6"/>
      <c r="I957" s="6"/>
      <c r="J957" s="6"/>
      <c r="K957" s="179"/>
      <c r="L957" s="179"/>
      <c r="M957" s="6"/>
      <c r="N957" s="179"/>
      <c r="O957" s="6"/>
      <c r="P957" s="6"/>
      <c r="Q957" s="179"/>
      <c r="R957" s="54"/>
      <c r="S957" s="54"/>
    </row>
    <row r="958" spans="1:19" ht="12.75">
      <c r="A958" s="6"/>
      <c r="B958" s="6"/>
      <c r="C958" s="6"/>
      <c r="D958" s="6"/>
      <c r="E958" s="6"/>
      <c r="F958" s="6"/>
      <c r="G958" s="6"/>
      <c r="H958" s="6"/>
      <c r="I958" s="6"/>
      <c r="J958" s="6"/>
      <c r="K958" s="179"/>
      <c r="L958" s="179"/>
      <c r="M958" s="6"/>
      <c r="N958" s="179"/>
      <c r="O958" s="6"/>
      <c r="P958" s="6"/>
      <c r="Q958" s="179"/>
      <c r="R958" s="54"/>
      <c r="S958" s="54"/>
    </row>
    <row r="959" spans="1:19" ht="12.75">
      <c r="A959" s="6"/>
      <c r="B959" s="6"/>
      <c r="C959" s="6"/>
      <c r="D959" s="6"/>
      <c r="E959" s="6"/>
      <c r="F959" s="6"/>
      <c r="G959" s="6"/>
      <c r="H959" s="6"/>
      <c r="I959" s="6"/>
      <c r="J959" s="6"/>
      <c r="K959" s="179"/>
      <c r="L959" s="179"/>
      <c r="M959" s="6"/>
      <c r="N959" s="179"/>
      <c r="O959" s="6"/>
      <c r="P959" s="6"/>
      <c r="Q959" s="179"/>
      <c r="R959" s="54"/>
      <c r="S959" s="54"/>
    </row>
    <row r="960" spans="1:19" ht="12.75">
      <c r="A960" s="6"/>
      <c r="B960" s="6"/>
      <c r="C960" s="6"/>
      <c r="D960" s="6"/>
      <c r="E960" s="6"/>
      <c r="F960" s="6"/>
      <c r="G960" s="6"/>
      <c r="H960" s="6"/>
      <c r="I960" s="6"/>
      <c r="J960" s="6"/>
      <c r="K960" s="179"/>
      <c r="L960" s="179"/>
      <c r="M960" s="6"/>
      <c r="N960" s="179"/>
      <c r="O960" s="6"/>
      <c r="P960" s="6"/>
      <c r="Q960" s="179"/>
      <c r="R960" s="54"/>
      <c r="S960" s="54"/>
    </row>
    <row r="961" spans="1:19" ht="12.75">
      <c r="A961" s="6"/>
      <c r="B961" s="6"/>
      <c r="C961" s="6"/>
      <c r="D961" s="6"/>
      <c r="E961" s="6"/>
      <c r="F961" s="6"/>
      <c r="G961" s="6"/>
      <c r="H961" s="6"/>
      <c r="I961" s="6"/>
      <c r="J961" s="6"/>
      <c r="K961" s="179"/>
      <c r="L961" s="179"/>
      <c r="M961" s="6"/>
      <c r="N961" s="179"/>
      <c r="O961" s="6"/>
      <c r="P961" s="6"/>
      <c r="Q961" s="179"/>
      <c r="R961" s="54"/>
      <c r="S961" s="54"/>
    </row>
    <row r="962" spans="1:19" ht="12.75">
      <c r="A962" s="6"/>
      <c r="B962" s="6"/>
      <c r="C962" s="6"/>
      <c r="D962" s="6"/>
      <c r="E962" s="6"/>
      <c r="F962" s="6"/>
      <c r="G962" s="6"/>
      <c r="H962" s="6"/>
      <c r="I962" s="6"/>
      <c r="J962" s="6"/>
      <c r="K962" s="179"/>
      <c r="L962" s="179"/>
      <c r="M962" s="6"/>
      <c r="N962" s="179"/>
      <c r="O962" s="6"/>
      <c r="P962" s="6"/>
      <c r="Q962" s="179"/>
      <c r="R962" s="54"/>
      <c r="S962" s="54"/>
    </row>
    <row r="963" spans="1:19" ht="12.75">
      <c r="A963" s="6"/>
      <c r="B963" s="6"/>
      <c r="C963" s="6"/>
      <c r="D963" s="6"/>
      <c r="E963" s="6"/>
      <c r="F963" s="6"/>
      <c r="G963" s="6"/>
      <c r="H963" s="6"/>
      <c r="I963" s="6"/>
      <c r="J963" s="6"/>
      <c r="K963" s="179"/>
      <c r="L963" s="179"/>
      <c r="M963" s="6"/>
      <c r="N963" s="179"/>
      <c r="O963" s="6"/>
      <c r="P963" s="6"/>
      <c r="Q963" s="179"/>
      <c r="R963" s="54"/>
      <c r="S963" s="54"/>
    </row>
    <row r="964" spans="1:19" ht="12.75">
      <c r="A964" s="6"/>
      <c r="B964" s="6"/>
      <c r="C964" s="6"/>
      <c r="D964" s="6"/>
      <c r="E964" s="6"/>
      <c r="F964" s="6"/>
      <c r="G964" s="6"/>
      <c r="H964" s="6"/>
      <c r="I964" s="6"/>
      <c r="J964" s="6"/>
      <c r="K964" s="179"/>
      <c r="L964" s="179"/>
      <c r="M964" s="6"/>
      <c r="N964" s="179"/>
      <c r="O964" s="6"/>
      <c r="P964" s="6"/>
      <c r="Q964" s="179"/>
      <c r="R964" s="54"/>
      <c r="S964" s="54"/>
    </row>
    <row r="965" spans="1:19" ht="12.75">
      <c r="A965" s="6"/>
      <c r="B965" s="6"/>
      <c r="C965" s="6"/>
      <c r="D965" s="6"/>
      <c r="E965" s="6"/>
      <c r="F965" s="6"/>
      <c r="G965" s="6"/>
      <c r="H965" s="6"/>
      <c r="I965" s="6"/>
      <c r="J965" s="6"/>
      <c r="K965" s="179"/>
      <c r="L965" s="179"/>
      <c r="M965" s="6"/>
      <c r="N965" s="179"/>
      <c r="O965" s="6"/>
      <c r="P965" s="6"/>
      <c r="Q965" s="179"/>
      <c r="R965" s="54"/>
      <c r="S965" s="54"/>
    </row>
    <row r="966" spans="1:19" ht="12.75">
      <c r="A966" s="6"/>
      <c r="B966" s="6"/>
      <c r="C966" s="6"/>
      <c r="D966" s="6"/>
      <c r="E966" s="6"/>
      <c r="F966" s="6"/>
      <c r="G966" s="6"/>
      <c r="H966" s="6"/>
      <c r="I966" s="6"/>
      <c r="J966" s="6"/>
      <c r="K966" s="179"/>
      <c r="L966" s="179"/>
      <c r="M966" s="6"/>
      <c r="N966" s="179"/>
      <c r="O966" s="6"/>
      <c r="P966" s="6"/>
      <c r="Q966" s="179"/>
      <c r="R966" s="54"/>
      <c r="S966" s="54"/>
    </row>
    <row r="967" spans="1:19" ht="12.75">
      <c r="A967" s="6"/>
      <c r="B967" s="6"/>
      <c r="C967" s="6"/>
      <c r="D967" s="6"/>
      <c r="E967" s="6"/>
      <c r="F967" s="6"/>
      <c r="G967" s="6"/>
      <c r="H967" s="6"/>
      <c r="I967" s="6"/>
      <c r="J967" s="6"/>
      <c r="K967" s="179"/>
      <c r="L967" s="179"/>
      <c r="M967" s="6"/>
      <c r="N967" s="179"/>
      <c r="O967" s="6"/>
      <c r="P967" s="6"/>
      <c r="Q967" s="179"/>
      <c r="R967" s="54"/>
      <c r="S967" s="54"/>
    </row>
    <row r="968" spans="1:19" ht="12.75">
      <c r="A968" s="6"/>
      <c r="B968" s="6"/>
      <c r="C968" s="6"/>
      <c r="D968" s="6"/>
      <c r="E968" s="6"/>
      <c r="F968" s="6"/>
      <c r="G968" s="6"/>
      <c r="H968" s="6"/>
      <c r="I968" s="6"/>
      <c r="J968" s="6"/>
      <c r="K968" s="179"/>
      <c r="L968" s="179"/>
      <c r="M968" s="6"/>
      <c r="N968" s="179"/>
      <c r="O968" s="6"/>
      <c r="P968" s="6"/>
      <c r="Q968" s="179"/>
      <c r="R968" s="54"/>
      <c r="S968" s="54"/>
    </row>
    <row r="969" spans="1:19" ht="12.75">
      <c r="A969" s="6"/>
      <c r="B969" s="6"/>
      <c r="C969" s="6"/>
      <c r="D969" s="6"/>
      <c r="E969" s="6"/>
      <c r="F969" s="6"/>
      <c r="G969" s="6"/>
      <c r="H969" s="6"/>
      <c r="I969" s="6"/>
      <c r="J969" s="6"/>
      <c r="K969" s="179"/>
      <c r="L969" s="179"/>
      <c r="M969" s="6"/>
      <c r="N969" s="179"/>
      <c r="O969" s="6"/>
      <c r="P969" s="6"/>
      <c r="Q969" s="179"/>
      <c r="R969" s="54"/>
      <c r="S969" s="54"/>
    </row>
    <row r="970" spans="1:19" ht="12.75">
      <c r="A970" s="6"/>
      <c r="B970" s="6"/>
      <c r="C970" s="6"/>
      <c r="D970" s="6"/>
      <c r="E970" s="6"/>
      <c r="F970" s="6"/>
      <c r="G970" s="6"/>
      <c r="H970" s="6"/>
      <c r="I970" s="6"/>
      <c r="J970" s="6"/>
      <c r="K970" s="179"/>
      <c r="L970" s="179"/>
      <c r="M970" s="6"/>
      <c r="N970" s="179"/>
      <c r="O970" s="6"/>
      <c r="P970" s="6"/>
      <c r="Q970" s="179"/>
      <c r="R970" s="54"/>
      <c r="S970" s="54"/>
    </row>
    <row r="971" spans="1:19" ht="12.75">
      <c r="A971" s="6"/>
      <c r="B971" s="6"/>
      <c r="C971" s="6"/>
      <c r="D971" s="6"/>
      <c r="E971" s="6"/>
      <c r="F971" s="6"/>
      <c r="G971" s="6"/>
      <c r="H971" s="6"/>
      <c r="I971" s="6"/>
      <c r="J971" s="6"/>
      <c r="K971" s="179"/>
      <c r="L971" s="179"/>
      <c r="M971" s="6"/>
      <c r="N971" s="179"/>
      <c r="O971" s="6"/>
      <c r="P971" s="6"/>
      <c r="Q971" s="179"/>
      <c r="R971" s="54"/>
      <c r="S971" s="54"/>
    </row>
    <row r="972" spans="1:19" ht="12.75">
      <c r="A972" s="6"/>
      <c r="B972" s="6"/>
      <c r="C972" s="6"/>
      <c r="D972" s="6"/>
      <c r="E972" s="6"/>
      <c r="F972" s="6"/>
      <c r="G972" s="6"/>
      <c r="H972" s="6"/>
      <c r="I972" s="6"/>
      <c r="J972" s="6"/>
      <c r="K972" s="179"/>
      <c r="L972" s="179"/>
      <c r="M972" s="6"/>
      <c r="N972" s="179"/>
      <c r="O972" s="6"/>
      <c r="P972" s="6"/>
      <c r="Q972" s="179"/>
      <c r="R972" s="54"/>
      <c r="S972" s="54"/>
    </row>
    <row r="973" spans="1:19" ht="12.75">
      <c r="A973" s="6"/>
      <c r="B973" s="6"/>
      <c r="C973" s="6"/>
      <c r="D973" s="6"/>
      <c r="E973" s="6"/>
      <c r="F973" s="6"/>
      <c r="G973" s="6"/>
      <c r="H973" s="6"/>
      <c r="I973" s="6"/>
      <c r="J973" s="6"/>
      <c r="K973" s="179"/>
      <c r="L973" s="179"/>
      <c r="M973" s="6"/>
      <c r="N973" s="179"/>
      <c r="O973" s="6"/>
      <c r="P973" s="6"/>
      <c r="Q973" s="179"/>
      <c r="R973" s="54"/>
      <c r="S973" s="54"/>
    </row>
    <row r="974" spans="1:19" ht="12.75">
      <c r="A974" s="6"/>
      <c r="B974" s="6"/>
      <c r="C974" s="6"/>
      <c r="D974" s="6"/>
      <c r="E974" s="6"/>
      <c r="F974" s="6"/>
      <c r="G974" s="6"/>
      <c r="H974" s="6"/>
      <c r="I974" s="6"/>
      <c r="J974" s="6"/>
      <c r="K974" s="179"/>
      <c r="L974" s="179"/>
      <c r="M974" s="6"/>
      <c r="N974" s="179"/>
      <c r="O974" s="6"/>
      <c r="P974" s="6"/>
      <c r="Q974" s="179"/>
      <c r="R974" s="54"/>
      <c r="S974" s="54"/>
    </row>
    <row r="975" spans="1:19" ht="12.75">
      <c r="A975" s="6"/>
      <c r="B975" s="6"/>
      <c r="C975" s="6"/>
      <c r="D975" s="6"/>
      <c r="E975" s="6"/>
      <c r="F975" s="6"/>
      <c r="G975" s="6"/>
      <c r="H975" s="6"/>
      <c r="I975" s="6"/>
      <c r="J975" s="6"/>
      <c r="K975" s="179"/>
      <c r="L975" s="179"/>
      <c r="M975" s="6"/>
      <c r="N975" s="179"/>
      <c r="O975" s="6"/>
      <c r="P975" s="6"/>
      <c r="Q975" s="179"/>
      <c r="R975" s="54"/>
      <c r="S975" s="54"/>
    </row>
    <row r="976" spans="1:19" ht="12.75">
      <c r="A976" s="6"/>
      <c r="B976" s="6"/>
      <c r="C976" s="6"/>
      <c r="D976" s="6"/>
      <c r="E976" s="6"/>
      <c r="F976" s="6"/>
      <c r="G976" s="6"/>
      <c r="H976" s="6"/>
      <c r="I976" s="6"/>
      <c r="J976" s="6"/>
      <c r="K976" s="179"/>
      <c r="L976" s="179"/>
      <c r="M976" s="6"/>
      <c r="N976" s="179"/>
      <c r="O976" s="6"/>
      <c r="P976" s="6"/>
      <c r="Q976" s="179"/>
      <c r="R976" s="54"/>
      <c r="S976" s="54"/>
    </row>
    <row r="977" spans="1:19" ht="12.75">
      <c r="A977" s="6"/>
      <c r="B977" s="6"/>
      <c r="C977" s="6"/>
      <c r="D977" s="6"/>
      <c r="E977" s="6"/>
      <c r="F977" s="6"/>
      <c r="G977" s="6"/>
      <c r="H977" s="6"/>
      <c r="I977" s="6"/>
      <c r="J977" s="6"/>
      <c r="K977" s="179"/>
      <c r="L977" s="179"/>
      <c r="M977" s="6"/>
      <c r="N977" s="179"/>
      <c r="O977" s="6"/>
      <c r="P977" s="6"/>
      <c r="Q977" s="179"/>
      <c r="R977" s="54"/>
      <c r="S977" s="54"/>
    </row>
    <row r="978" spans="1:19" ht="12.75">
      <c r="A978" s="6"/>
      <c r="B978" s="6"/>
      <c r="C978" s="6"/>
      <c r="D978" s="6"/>
      <c r="E978" s="6"/>
      <c r="F978" s="6"/>
      <c r="G978" s="6"/>
      <c r="H978" s="6"/>
      <c r="I978" s="6"/>
      <c r="J978" s="6"/>
      <c r="K978" s="179"/>
      <c r="L978" s="179"/>
      <c r="M978" s="6"/>
      <c r="N978" s="179"/>
      <c r="O978" s="6"/>
      <c r="P978" s="6"/>
      <c r="Q978" s="179"/>
      <c r="R978" s="54"/>
      <c r="S978" s="54"/>
    </row>
    <row r="979" spans="1:19" ht="12.75">
      <c r="A979" s="6"/>
      <c r="B979" s="6"/>
      <c r="C979" s="6"/>
      <c r="D979" s="6"/>
      <c r="E979" s="6"/>
      <c r="F979" s="6"/>
      <c r="G979" s="6"/>
      <c r="H979" s="6"/>
      <c r="I979" s="6"/>
      <c r="J979" s="6"/>
      <c r="K979" s="179"/>
      <c r="L979" s="179"/>
      <c r="M979" s="6"/>
      <c r="N979" s="179"/>
      <c r="O979" s="6"/>
      <c r="P979" s="6"/>
      <c r="Q979" s="179"/>
      <c r="R979" s="54"/>
      <c r="S979" s="54"/>
    </row>
    <row r="980" spans="1:19" ht="12.75">
      <c r="A980" s="6"/>
      <c r="B980" s="6"/>
      <c r="C980" s="6"/>
      <c r="D980" s="6"/>
      <c r="E980" s="6"/>
      <c r="F980" s="6"/>
      <c r="G980" s="6"/>
      <c r="H980" s="6"/>
      <c r="I980" s="6"/>
      <c r="J980" s="6"/>
      <c r="K980" s="179"/>
      <c r="L980" s="179"/>
      <c r="M980" s="6"/>
      <c r="N980" s="179"/>
      <c r="O980" s="6"/>
      <c r="P980" s="6"/>
      <c r="Q980" s="179"/>
      <c r="R980" s="54"/>
      <c r="S980" s="54"/>
    </row>
    <row r="981" spans="1:19" ht="12.75">
      <c r="A981" s="6"/>
      <c r="B981" s="6"/>
      <c r="C981" s="6"/>
      <c r="D981" s="6"/>
      <c r="E981" s="6"/>
      <c r="F981" s="6"/>
      <c r="G981" s="6"/>
      <c r="H981" s="6"/>
      <c r="I981" s="6"/>
      <c r="J981" s="6"/>
      <c r="K981" s="179"/>
      <c r="L981" s="179"/>
      <c r="M981" s="6"/>
      <c r="N981" s="179"/>
      <c r="O981" s="6"/>
      <c r="P981" s="6"/>
      <c r="Q981" s="179"/>
      <c r="R981" s="54"/>
      <c r="S981" s="54"/>
    </row>
    <row r="982" spans="1:19" ht="12.75">
      <c r="A982" s="6"/>
      <c r="B982" s="6"/>
      <c r="C982" s="6"/>
      <c r="D982" s="6"/>
      <c r="E982" s="6"/>
      <c r="F982" s="6"/>
      <c r="G982" s="6"/>
      <c r="H982" s="6"/>
      <c r="I982" s="6"/>
      <c r="J982" s="6"/>
      <c r="K982" s="179"/>
      <c r="L982" s="179"/>
      <c r="M982" s="6"/>
      <c r="N982" s="179"/>
      <c r="O982" s="6"/>
      <c r="P982" s="6"/>
      <c r="Q982" s="179"/>
      <c r="R982" s="54"/>
      <c r="S982" s="54"/>
    </row>
    <row r="983" spans="1:19" ht="12.75">
      <c r="A983" s="6"/>
      <c r="B983" s="6"/>
      <c r="C983" s="6"/>
      <c r="D983" s="6"/>
      <c r="E983" s="6"/>
      <c r="F983" s="6"/>
      <c r="G983" s="6"/>
      <c r="H983" s="6"/>
      <c r="I983" s="6"/>
      <c r="J983" s="6"/>
      <c r="K983" s="179"/>
      <c r="L983" s="179"/>
      <c r="M983" s="6"/>
      <c r="N983" s="179"/>
      <c r="O983" s="6"/>
      <c r="P983" s="6"/>
      <c r="Q983" s="179"/>
      <c r="R983" s="54"/>
      <c r="S983" s="54"/>
    </row>
    <row r="984" spans="1:19" ht="12.75">
      <c r="A984" s="6"/>
      <c r="B984" s="6"/>
      <c r="C984" s="6"/>
      <c r="D984" s="6"/>
      <c r="E984" s="6"/>
      <c r="F984" s="6"/>
      <c r="G984" s="6"/>
      <c r="H984" s="6"/>
      <c r="I984" s="6"/>
      <c r="J984" s="6"/>
      <c r="K984" s="179"/>
      <c r="L984" s="179"/>
      <c r="M984" s="6"/>
      <c r="N984" s="179"/>
      <c r="O984" s="6"/>
      <c r="P984" s="6"/>
      <c r="Q984" s="179"/>
      <c r="R984" s="54"/>
      <c r="S984" s="54"/>
    </row>
    <row r="985" spans="1:19" ht="12.75">
      <c r="A985" s="6"/>
      <c r="B985" s="6"/>
      <c r="C985" s="6"/>
      <c r="D985" s="6"/>
      <c r="E985" s="6"/>
      <c r="F985" s="6"/>
      <c r="G985" s="6"/>
      <c r="H985" s="6"/>
      <c r="I985" s="6"/>
      <c r="J985" s="6"/>
      <c r="K985" s="179"/>
      <c r="L985" s="179"/>
      <c r="M985" s="6"/>
      <c r="N985" s="179"/>
      <c r="O985" s="6"/>
      <c r="P985" s="6"/>
      <c r="Q985" s="179"/>
      <c r="R985" s="54"/>
      <c r="S985" s="54"/>
    </row>
    <row r="986" spans="1:19" ht="12.75">
      <c r="A986" s="6"/>
      <c r="B986" s="6"/>
      <c r="C986" s="6"/>
      <c r="D986" s="6"/>
      <c r="E986" s="6"/>
      <c r="F986" s="6"/>
      <c r="G986" s="6"/>
      <c r="H986" s="6"/>
      <c r="I986" s="6"/>
      <c r="J986" s="6"/>
      <c r="K986" s="179"/>
      <c r="L986" s="179"/>
      <c r="M986" s="6"/>
      <c r="N986" s="179"/>
      <c r="O986" s="6"/>
      <c r="P986" s="6"/>
      <c r="Q986" s="179"/>
      <c r="R986" s="54"/>
      <c r="S986" s="54"/>
    </row>
    <row r="987" spans="1:19" ht="12.75">
      <c r="A987" s="6"/>
      <c r="B987" s="6"/>
      <c r="C987" s="6"/>
      <c r="D987" s="6"/>
      <c r="E987" s="6"/>
      <c r="F987" s="6"/>
      <c r="G987" s="6"/>
      <c r="H987" s="6"/>
      <c r="I987" s="6"/>
      <c r="J987" s="6"/>
      <c r="K987" s="179"/>
      <c r="L987" s="179"/>
      <c r="M987" s="6"/>
      <c r="N987" s="179"/>
      <c r="O987" s="6"/>
      <c r="P987" s="6"/>
      <c r="Q987" s="179"/>
      <c r="R987" s="54"/>
      <c r="S987" s="54"/>
    </row>
    <row r="988" spans="1:19" ht="12.75">
      <c r="A988" s="6"/>
      <c r="B988" s="6"/>
      <c r="C988" s="6"/>
      <c r="D988" s="6"/>
      <c r="E988" s="6"/>
      <c r="F988" s="6"/>
      <c r="G988" s="6"/>
      <c r="H988" s="6"/>
      <c r="I988" s="6"/>
      <c r="J988" s="6"/>
      <c r="K988" s="179"/>
      <c r="L988" s="179"/>
      <c r="M988" s="6"/>
      <c r="N988" s="179"/>
      <c r="O988" s="6"/>
      <c r="P988" s="6"/>
      <c r="Q988" s="179"/>
      <c r="R988" s="54"/>
      <c r="S988" s="54"/>
    </row>
    <row r="989" spans="1:19" ht="12.75">
      <c r="A989" s="6"/>
      <c r="B989" s="6"/>
      <c r="C989" s="6"/>
      <c r="D989" s="6"/>
      <c r="E989" s="6"/>
      <c r="F989" s="6"/>
      <c r="G989" s="6"/>
      <c r="H989" s="6"/>
      <c r="I989" s="6"/>
      <c r="J989" s="6"/>
      <c r="K989" s="179"/>
      <c r="L989" s="179"/>
      <c r="M989" s="6"/>
      <c r="N989" s="179"/>
      <c r="O989" s="6"/>
      <c r="P989" s="6"/>
      <c r="Q989" s="179"/>
      <c r="R989" s="54"/>
      <c r="S989" s="54"/>
    </row>
    <row r="990" spans="1:19" ht="12.75">
      <c r="A990" s="6"/>
      <c r="B990" s="6"/>
      <c r="C990" s="6"/>
      <c r="D990" s="6"/>
      <c r="E990" s="6"/>
      <c r="F990" s="6"/>
      <c r="G990" s="6"/>
      <c r="H990" s="6"/>
      <c r="I990" s="6"/>
      <c r="J990" s="6"/>
      <c r="K990" s="179"/>
      <c r="L990" s="179"/>
      <c r="M990" s="6"/>
      <c r="N990" s="179"/>
      <c r="O990" s="6"/>
      <c r="P990" s="6"/>
      <c r="Q990" s="179"/>
      <c r="R990" s="54"/>
      <c r="S990" s="54"/>
    </row>
    <row r="991" spans="1:19" ht="12.75">
      <c r="A991" s="6"/>
      <c r="B991" s="6"/>
      <c r="C991" s="6"/>
      <c r="D991" s="6"/>
      <c r="E991" s="6"/>
      <c r="F991" s="6"/>
      <c r="G991" s="6"/>
      <c r="H991" s="6"/>
      <c r="I991" s="6"/>
      <c r="J991" s="6"/>
      <c r="K991" s="179"/>
      <c r="L991" s="179"/>
      <c r="M991" s="6"/>
      <c r="N991" s="179"/>
      <c r="O991" s="6"/>
      <c r="P991" s="6"/>
      <c r="Q991" s="179"/>
      <c r="R991" s="54"/>
      <c r="S991" s="54"/>
    </row>
    <row r="992" spans="1:19" ht="12.75">
      <c r="A992" s="6"/>
      <c r="B992" s="6"/>
      <c r="C992" s="6"/>
      <c r="D992" s="6"/>
      <c r="E992" s="6"/>
      <c r="F992" s="6"/>
      <c r="G992" s="6"/>
      <c r="H992" s="6"/>
      <c r="I992" s="6"/>
      <c r="J992" s="6"/>
      <c r="K992" s="179"/>
      <c r="L992" s="179"/>
      <c r="M992" s="6"/>
      <c r="N992" s="179"/>
      <c r="O992" s="6"/>
      <c r="P992" s="6"/>
      <c r="Q992" s="179"/>
      <c r="R992" s="54"/>
      <c r="S992" s="54"/>
    </row>
    <row r="993" spans="1:19" ht="12.75">
      <c r="A993" s="6"/>
      <c r="B993" s="6"/>
      <c r="C993" s="6"/>
      <c r="D993" s="6"/>
      <c r="E993" s="6"/>
      <c r="F993" s="6"/>
      <c r="G993" s="6"/>
      <c r="H993" s="6"/>
      <c r="I993" s="6"/>
      <c r="J993" s="6"/>
      <c r="K993" s="179"/>
      <c r="L993" s="179"/>
      <c r="M993" s="6"/>
      <c r="N993" s="179"/>
      <c r="O993" s="6"/>
      <c r="P993" s="6"/>
      <c r="Q993" s="179"/>
      <c r="R993" s="54"/>
      <c r="S993" s="54"/>
    </row>
    <row r="994" spans="1:19" ht="12.75">
      <c r="A994" s="6"/>
      <c r="B994" s="6"/>
      <c r="C994" s="6"/>
      <c r="D994" s="6"/>
      <c r="E994" s="6"/>
      <c r="F994" s="6"/>
      <c r="G994" s="6"/>
      <c r="H994" s="6"/>
      <c r="I994" s="6"/>
      <c r="J994" s="6"/>
      <c r="K994" s="179"/>
      <c r="L994" s="179"/>
      <c r="M994" s="6"/>
      <c r="N994" s="179"/>
      <c r="O994" s="6"/>
      <c r="P994" s="6"/>
      <c r="Q994" s="179"/>
      <c r="R994" s="54"/>
      <c r="S994" s="54"/>
    </row>
    <row r="995" spans="1:19" ht="12.75">
      <c r="A995" s="6"/>
      <c r="B995" s="6"/>
      <c r="C995" s="6"/>
      <c r="D995" s="6"/>
      <c r="E995" s="6"/>
      <c r="F995" s="6"/>
      <c r="G995" s="6"/>
      <c r="H995" s="6"/>
      <c r="I995" s="6"/>
      <c r="J995" s="6"/>
      <c r="K995" s="179"/>
      <c r="L995" s="179"/>
      <c r="M995" s="6"/>
      <c r="N995" s="179"/>
      <c r="O995" s="6"/>
      <c r="P995" s="6"/>
      <c r="Q995" s="179"/>
      <c r="R995" s="54"/>
      <c r="S995" s="54"/>
    </row>
    <row r="996" spans="1:19" ht="12.75">
      <c r="A996" s="6"/>
      <c r="B996" s="6"/>
      <c r="C996" s="6"/>
      <c r="D996" s="6"/>
      <c r="E996" s="6"/>
      <c r="F996" s="6"/>
      <c r="G996" s="6"/>
      <c r="H996" s="6"/>
      <c r="I996" s="6"/>
      <c r="J996" s="6"/>
      <c r="K996" s="179"/>
      <c r="L996" s="179"/>
      <c r="M996" s="6"/>
      <c r="N996" s="179"/>
      <c r="O996" s="6"/>
      <c r="P996" s="6"/>
      <c r="Q996" s="179"/>
      <c r="R996" s="54"/>
      <c r="S996" s="54"/>
    </row>
    <row r="997" spans="1:19" ht="12.75">
      <c r="A997" s="6"/>
      <c r="B997" s="6"/>
      <c r="C997" s="6"/>
      <c r="D997" s="6"/>
      <c r="E997" s="6"/>
      <c r="F997" s="6"/>
      <c r="G997" s="6"/>
      <c r="H997" s="6"/>
      <c r="I997" s="6"/>
      <c r="J997" s="6"/>
      <c r="K997" s="179"/>
      <c r="L997" s="179"/>
      <c r="M997" s="6"/>
      <c r="N997" s="179"/>
      <c r="O997" s="6"/>
      <c r="P997" s="6"/>
      <c r="Q997" s="179"/>
      <c r="R997" s="54"/>
      <c r="S997" s="54"/>
    </row>
    <row r="998" spans="1:19" ht="12.75">
      <c r="A998" s="6"/>
      <c r="B998" s="6"/>
      <c r="C998" s="6"/>
      <c r="D998" s="6"/>
      <c r="E998" s="6"/>
      <c r="F998" s="6"/>
      <c r="G998" s="6"/>
      <c r="H998" s="6"/>
      <c r="I998" s="6"/>
      <c r="J998" s="6"/>
      <c r="K998" s="179"/>
      <c r="L998" s="179"/>
      <c r="M998" s="6"/>
      <c r="N998" s="179"/>
      <c r="O998" s="6"/>
      <c r="P998" s="6"/>
      <c r="Q998" s="179"/>
      <c r="R998" s="54"/>
      <c r="S998" s="54"/>
    </row>
    <row r="999" spans="1:19" ht="12.75">
      <c r="A999" s="6"/>
      <c r="B999" s="6"/>
      <c r="C999" s="6"/>
      <c r="D999" s="6"/>
      <c r="E999" s="6"/>
      <c r="F999" s="6"/>
      <c r="G999" s="6"/>
      <c r="H999" s="6"/>
      <c r="I999" s="6"/>
      <c r="J999" s="6"/>
      <c r="K999" s="179"/>
      <c r="L999" s="179"/>
      <c r="M999" s="6"/>
      <c r="N999" s="179"/>
      <c r="O999" s="6"/>
      <c r="P999" s="6"/>
      <c r="Q999" s="179"/>
      <c r="R999" s="54"/>
      <c r="S999" s="54"/>
    </row>
    <row r="1000" spans="1:19" ht="12.75">
      <c r="A1000" s="6"/>
      <c r="B1000" s="6"/>
      <c r="C1000" s="6"/>
      <c r="D1000" s="6"/>
      <c r="E1000" s="6"/>
      <c r="F1000" s="6"/>
      <c r="G1000" s="6"/>
      <c r="H1000" s="6"/>
      <c r="I1000" s="6"/>
      <c r="J1000" s="6"/>
      <c r="K1000" s="179"/>
      <c r="L1000" s="179"/>
      <c r="M1000" s="6"/>
      <c r="N1000" s="179"/>
      <c r="O1000" s="6"/>
      <c r="P1000" s="6"/>
      <c r="Q1000" s="179"/>
      <c r="R1000" s="54"/>
      <c r="S1000" s="54"/>
    </row>
    <row r="1001" spans="1:19" ht="12.75">
      <c r="A1001" s="6"/>
      <c r="B1001" s="6"/>
      <c r="C1001" s="6"/>
      <c r="D1001" s="6"/>
      <c r="E1001" s="6"/>
      <c r="F1001" s="6"/>
      <c r="G1001" s="6"/>
      <c r="H1001" s="6"/>
      <c r="I1001" s="6"/>
      <c r="J1001" s="6"/>
      <c r="K1001" s="179"/>
      <c r="L1001" s="179"/>
      <c r="M1001" s="6"/>
      <c r="N1001" s="179"/>
      <c r="O1001" s="6"/>
      <c r="P1001" s="6"/>
      <c r="Q1001" s="179"/>
      <c r="R1001" s="54"/>
      <c r="S1001" s="54"/>
    </row>
  </sheetData>
  <hyperlinks>
    <hyperlink ref="E2" r:id="rId1" xr:uid="{00000000-0004-0000-1B00-000000000000}"/>
    <hyperlink ref="O2" r:id="rId2" xr:uid="{00000000-0004-0000-1B00-000001000000}"/>
    <hyperlink ref="E3" r:id="rId3" xr:uid="{00000000-0004-0000-1B00-000002000000}"/>
    <hyperlink ref="O3" r:id="rId4" xr:uid="{00000000-0004-0000-1B00-000003000000}"/>
    <hyperlink ref="E4" r:id="rId5" xr:uid="{00000000-0004-0000-1B00-000004000000}"/>
    <hyperlink ref="O4" r:id="rId6" xr:uid="{00000000-0004-0000-1B00-000005000000}"/>
    <hyperlink ref="E5" r:id="rId7" xr:uid="{00000000-0004-0000-1B00-000006000000}"/>
    <hyperlink ref="O5" r:id="rId8" xr:uid="{00000000-0004-0000-1B00-000007000000}"/>
    <hyperlink ref="E6" r:id="rId9" xr:uid="{00000000-0004-0000-1B00-000008000000}"/>
    <hyperlink ref="O6" r:id="rId10" xr:uid="{00000000-0004-0000-1B00-000009000000}"/>
    <hyperlink ref="E7" r:id="rId11" xr:uid="{00000000-0004-0000-1B00-00000A000000}"/>
    <hyperlink ref="O7" r:id="rId12" xr:uid="{00000000-0004-0000-1B00-00000B000000}"/>
    <hyperlink ref="E8" r:id="rId13" xr:uid="{00000000-0004-0000-1B00-00000C000000}"/>
    <hyperlink ref="O8" r:id="rId14" xr:uid="{00000000-0004-0000-1B00-00000D000000}"/>
    <hyperlink ref="E9" r:id="rId15" xr:uid="{00000000-0004-0000-1B00-00000E000000}"/>
    <hyperlink ref="O9" r:id="rId16" xr:uid="{00000000-0004-0000-1B00-00000F000000}"/>
    <hyperlink ref="E10" r:id="rId17" xr:uid="{00000000-0004-0000-1B00-000010000000}"/>
    <hyperlink ref="O10" r:id="rId18" xr:uid="{00000000-0004-0000-1B00-000011000000}"/>
    <hyperlink ref="E11" r:id="rId19" xr:uid="{00000000-0004-0000-1B00-000012000000}"/>
    <hyperlink ref="O11" r:id="rId20" xr:uid="{00000000-0004-0000-1B00-000013000000}"/>
    <hyperlink ref="E12" r:id="rId21" xr:uid="{00000000-0004-0000-1B00-000014000000}"/>
    <hyperlink ref="O12" r:id="rId22" xr:uid="{00000000-0004-0000-1B00-000015000000}"/>
    <hyperlink ref="E13" r:id="rId23" xr:uid="{00000000-0004-0000-1B00-000016000000}"/>
    <hyperlink ref="O13" r:id="rId24" xr:uid="{00000000-0004-0000-1B00-000017000000}"/>
    <hyperlink ref="E14" r:id="rId25" xr:uid="{00000000-0004-0000-1B00-000018000000}"/>
    <hyperlink ref="O14" r:id="rId26" xr:uid="{00000000-0004-0000-1B00-000019000000}"/>
    <hyperlink ref="E15" r:id="rId27" xr:uid="{00000000-0004-0000-1B00-00001A000000}"/>
    <hyperlink ref="O15" r:id="rId28" xr:uid="{00000000-0004-0000-1B00-00001B000000}"/>
    <hyperlink ref="E16" r:id="rId29" xr:uid="{00000000-0004-0000-1B00-00001C000000}"/>
    <hyperlink ref="O16" r:id="rId30" xr:uid="{00000000-0004-0000-1B00-00001D000000}"/>
    <hyperlink ref="E17" r:id="rId31" xr:uid="{00000000-0004-0000-1B00-00001E000000}"/>
    <hyperlink ref="O17" r:id="rId32" xr:uid="{00000000-0004-0000-1B00-00001F000000}"/>
    <hyperlink ref="E18" r:id="rId33" xr:uid="{00000000-0004-0000-1B00-000020000000}"/>
    <hyperlink ref="O18" r:id="rId34" xr:uid="{00000000-0004-0000-1B00-000021000000}"/>
    <hyperlink ref="E19" r:id="rId35" xr:uid="{00000000-0004-0000-1B00-000022000000}"/>
    <hyperlink ref="O19" r:id="rId36" xr:uid="{00000000-0004-0000-1B00-000023000000}"/>
    <hyperlink ref="E20" r:id="rId37" xr:uid="{00000000-0004-0000-1B00-000024000000}"/>
    <hyperlink ref="O20" r:id="rId38" xr:uid="{00000000-0004-0000-1B00-000025000000}"/>
    <hyperlink ref="E21" r:id="rId39" xr:uid="{00000000-0004-0000-1B00-000026000000}"/>
    <hyperlink ref="O21" r:id="rId40" xr:uid="{00000000-0004-0000-1B00-000027000000}"/>
    <hyperlink ref="E22" r:id="rId41" xr:uid="{00000000-0004-0000-1B00-000028000000}"/>
    <hyperlink ref="O22" r:id="rId42" xr:uid="{00000000-0004-0000-1B00-000029000000}"/>
    <hyperlink ref="E23" r:id="rId43" xr:uid="{00000000-0004-0000-1B00-00002A000000}"/>
    <hyperlink ref="O23" r:id="rId44" xr:uid="{00000000-0004-0000-1B00-00002B000000}"/>
    <hyperlink ref="E24" r:id="rId45" xr:uid="{00000000-0004-0000-1B00-00002C000000}"/>
    <hyperlink ref="O24" r:id="rId46" xr:uid="{00000000-0004-0000-1B00-00002D000000}"/>
    <hyperlink ref="E25" r:id="rId47" xr:uid="{00000000-0004-0000-1B00-00002E000000}"/>
    <hyperlink ref="O25" r:id="rId48" xr:uid="{00000000-0004-0000-1B00-00002F000000}"/>
    <hyperlink ref="E26" r:id="rId49" xr:uid="{00000000-0004-0000-1B00-000030000000}"/>
    <hyperlink ref="O26" r:id="rId50" xr:uid="{00000000-0004-0000-1B00-000031000000}"/>
    <hyperlink ref="E27" r:id="rId51" xr:uid="{00000000-0004-0000-1B00-000032000000}"/>
    <hyperlink ref="O27" r:id="rId52" xr:uid="{00000000-0004-0000-1B00-000033000000}"/>
    <hyperlink ref="O29" r:id="rId53" xr:uid="{00000000-0004-0000-1B00-000034000000}"/>
    <hyperlink ref="O30" r:id="rId54" xr:uid="{00000000-0004-0000-1B00-000035000000}"/>
    <hyperlink ref="O31" r:id="rId55" xr:uid="{00000000-0004-0000-1B00-000036000000}"/>
    <hyperlink ref="O32" r:id="rId56" xr:uid="{00000000-0004-0000-1B00-000037000000}"/>
    <hyperlink ref="O35" r:id="rId57" xr:uid="{00000000-0004-0000-1B00-000038000000}"/>
    <hyperlink ref="O36" r:id="rId58" xr:uid="{00000000-0004-0000-1B00-000039000000}"/>
    <hyperlink ref="O37" r:id="rId59" xr:uid="{00000000-0004-0000-1B00-00003A000000}"/>
    <hyperlink ref="O38" r:id="rId60" xr:uid="{00000000-0004-0000-1B00-00003B000000}"/>
    <hyperlink ref="O39" r:id="rId61" xr:uid="{00000000-0004-0000-1B00-00003C000000}"/>
    <hyperlink ref="O40" r:id="rId62" xr:uid="{00000000-0004-0000-1B00-00003D000000}"/>
    <hyperlink ref="O41" r:id="rId63" xr:uid="{00000000-0004-0000-1B00-00003E000000}"/>
    <hyperlink ref="O42" r:id="rId64" xr:uid="{00000000-0004-0000-1B00-00003F000000}"/>
    <hyperlink ref="O43" r:id="rId65" xr:uid="{00000000-0004-0000-1B00-000040000000}"/>
    <hyperlink ref="O44" r:id="rId66" xr:uid="{00000000-0004-0000-1B00-000041000000}"/>
    <hyperlink ref="O45" r:id="rId67" xr:uid="{00000000-0004-0000-1B00-000042000000}"/>
    <hyperlink ref="O46" r:id="rId68" xr:uid="{00000000-0004-0000-1B00-000043000000}"/>
    <hyperlink ref="O47" r:id="rId69" xr:uid="{00000000-0004-0000-1B00-000044000000}"/>
    <hyperlink ref="O48" r:id="rId70" xr:uid="{00000000-0004-0000-1B00-000045000000}"/>
    <hyperlink ref="O49" r:id="rId71" xr:uid="{00000000-0004-0000-1B00-000046000000}"/>
    <hyperlink ref="O51" r:id="rId72" xr:uid="{00000000-0004-0000-1B00-000047000000}"/>
    <hyperlink ref="O52" r:id="rId73" xr:uid="{00000000-0004-0000-1B00-000048000000}"/>
    <hyperlink ref="O53" r:id="rId74" xr:uid="{00000000-0004-0000-1B00-000049000000}"/>
    <hyperlink ref="O54" r:id="rId75" xr:uid="{00000000-0004-0000-1B00-00004A000000}"/>
    <hyperlink ref="O55" r:id="rId76" xr:uid="{00000000-0004-0000-1B00-00004B000000}"/>
    <hyperlink ref="O56" r:id="rId77" xr:uid="{00000000-0004-0000-1B00-00004C000000}"/>
    <hyperlink ref="O57" r:id="rId78" xr:uid="{00000000-0004-0000-1B00-00004D000000}"/>
    <hyperlink ref="O58" r:id="rId79" xr:uid="{00000000-0004-0000-1B00-00004E000000}"/>
    <hyperlink ref="O59" r:id="rId80" xr:uid="{00000000-0004-0000-1B00-00004F000000}"/>
    <hyperlink ref="O60" r:id="rId81" xr:uid="{00000000-0004-0000-1B00-000050000000}"/>
    <hyperlink ref="O61" r:id="rId82" xr:uid="{00000000-0004-0000-1B00-000051000000}"/>
    <hyperlink ref="O63" r:id="rId83" xr:uid="{00000000-0004-0000-1B00-000052000000}"/>
    <hyperlink ref="O64" r:id="rId84" xr:uid="{00000000-0004-0000-1B00-000053000000}"/>
    <hyperlink ref="O65" r:id="rId85" xr:uid="{00000000-0004-0000-1B00-000054000000}"/>
    <hyperlink ref="O67" r:id="rId86" xr:uid="{00000000-0004-0000-1B00-000055000000}"/>
    <hyperlink ref="O68" r:id="rId87" xr:uid="{00000000-0004-0000-1B00-000056000000}"/>
    <hyperlink ref="O69" r:id="rId88" xr:uid="{00000000-0004-0000-1B00-000057000000}"/>
    <hyperlink ref="O70" r:id="rId89" xr:uid="{00000000-0004-0000-1B00-000058000000}"/>
    <hyperlink ref="O71" r:id="rId90" xr:uid="{00000000-0004-0000-1B00-000059000000}"/>
    <hyperlink ref="O72" r:id="rId91" xr:uid="{00000000-0004-0000-1B00-00005A000000}"/>
    <hyperlink ref="O73" r:id="rId92" xr:uid="{00000000-0004-0000-1B00-00005B000000}"/>
    <hyperlink ref="O74" r:id="rId93" xr:uid="{00000000-0004-0000-1B00-00005C000000}"/>
    <hyperlink ref="O75" r:id="rId94" xr:uid="{00000000-0004-0000-1B00-00005D000000}"/>
    <hyperlink ref="O76" r:id="rId95" xr:uid="{00000000-0004-0000-1B00-00005E000000}"/>
    <hyperlink ref="O77" r:id="rId96" xr:uid="{00000000-0004-0000-1B00-00005F000000}"/>
    <hyperlink ref="O79" r:id="rId97" xr:uid="{00000000-0004-0000-1B00-000060000000}"/>
    <hyperlink ref="O80" r:id="rId98" xr:uid="{00000000-0004-0000-1B00-000061000000}"/>
    <hyperlink ref="O83" r:id="rId99" xr:uid="{00000000-0004-0000-1B00-000062000000}"/>
    <hyperlink ref="O84" r:id="rId100" xr:uid="{00000000-0004-0000-1B00-000063000000}"/>
    <hyperlink ref="O85" r:id="rId101" xr:uid="{00000000-0004-0000-1B00-000064000000}"/>
    <hyperlink ref="O86" r:id="rId102" xr:uid="{00000000-0004-0000-1B00-000065000000}"/>
    <hyperlink ref="O87" r:id="rId103" xr:uid="{00000000-0004-0000-1B00-000066000000}"/>
    <hyperlink ref="O88" r:id="rId104" xr:uid="{00000000-0004-0000-1B00-000067000000}"/>
    <hyperlink ref="O90" r:id="rId105" xr:uid="{00000000-0004-0000-1B00-000068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Q1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2" max="2" width="21.42578125" customWidth="1"/>
    <col min="3" max="4" width="43.5703125" customWidth="1"/>
    <col min="5" max="5" width="33.5703125" customWidth="1"/>
    <col min="7" max="7" width="12.5703125" customWidth="1"/>
    <col min="8" max="8" width="42.42578125" customWidth="1"/>
    <col min="9" max="10" width="43.5703125" customWidth="1"/>
    <col min="11" max="11" width="30.5703125" customWidth="1"/>
    <col min="12" max="12" width="24.7109375" customWidth="1"/>
    <col min="13" max="13" width="24.5703125" customWidth="1"/>
    <col min="14" max="14" width="15.5703125" customWidth="1"/>
    <col min="15" max="15" width="17.5703125" customWidth="1"/>
  </cols>
  <sheetData>
    <row r="1" spans="1:17" ht="35.25" customHeight="1">
      <c r="A1" s="274" t="s">
        <v>6259</v>
      </c>
      <c r="B1" s="274" t="s">
        <v>389</v>
      </c>
      <c r="C1" s="274" t="s">
        <v>5634</v>
      </c>
      <c r="D1" s="271" t="s">
        <v>5630</v>
      </c>
      <c r="E1" s="274" t="s">
        <v>5627</v>
      </c>
      <c r="F1" s="274" t="s">
        <v>7812</v>
      </c>
      <c r="G1" s="274" t="s">
        <v>4</v>
      </c>
      <c r="H1" s="274" t="s">
        <v>8398</v>
      </c>
      <c r="I1" s="274" t="s">
        <v>6</v>
      </c>
      <c r="J1" s="274" t="s">
        <v>1822</v>
      </c>
      <c r="K1" s="274" t="s">
        <v>7</v>
      </c>
      <c r="L1" s="274" t="s">
        <v>6260</v>
      </c>
      <c r="M1" s="274" t="s">
        <v>8</v>
      </c>
      <c r="N1" s="274" t="s">
        <v>6060</v>
      </c>
      <c r="O1" s="274" t="s">
        <v>1818</v>
      </c>
      <c r="P1" s="274" t="s">
        <v>1821</v>
      </c>
      <c r="Q1" s="318"/>
    </row>
    <row r="2" spans="1:17" ht="25.5">
      <c r="A2" s="61">
        <v>40179</v>
      </c>
      <c r="B2" s="6" t="s">
        <v>6872</v>
      </c>
      <c r="C2" s="472" t="s">
        <v>8399</v>
      </c>
      <c r="D2" s="472" t="s">
        <v>8400</v>
      </c>
      <c r="E2" s="6" t="s">
        <v>8401</v>
      </c>
      <c r="F2" s="6"/>
      <c r="G2" s="6"/>
      <c r="H2" s="160" t="s">
        <v>8402</v>
      </c>
      <c r="I2" s="164" t="s">
        <v>8403</v>
      </c>
      <c r="J2" s="178"/>
      <c r="K2" s="158" t="s">
        <v>3303</v>
      </c>
      <c r="L2" s="6" t="s">
        <v>6132</v>
      </c>
      <c r="M2" s="160" t="s">
        <v>8404</v>
      </c>
      <c r="N2" s="6" t="s">
        <v>6104</v>
      </c>
      <c r="O2" s="6"/>
      <c r="P2" s="6" t="s">
        <v>1828</v>
      </c>
      <c r="Q2" s="54"/>
    </row>
    <row r="3" spans="1:17" ht="63.75">
      <c r="A3" s="61">
        <v>40238</v>
      </c>
      <c r="B3" s="6" t="s">
        <v>6872</v>
      </c>
      <c r="C3" s="297" t="s">
        <v>8405</v>
      </c>
      <c r="D3" s="467" t="s">
        <v>8406</v>
      </c>
      <c r="E3" s="6" t="s">
        <v>8407</v>
      </c>
      <c r="F3" s="6"/>
      <c r="G3" s="6" t="s">
        <v>2172</v>
      </c>
      <c r="H3" s="158" t="s">
        <v>8408</v>
      </c>
      <c r="I3" s="22" t="s">
        <v>8409</v>
      </c>
      <c r="J3" s="179"/>
      <c r="K3" s="6" t="s">
        <v>8410</v>
      </c>
      <c r="L3" s="6"/>
      <c r="M3" s="160"/>
      <c r="N3" s="6" t="s">
        <v>1824</v>
      </c>
      <c r="O3" s="6"/>
      <c r="P3" s="6"/>
      <c r="Q3" s="54"/>
    </row>
    <row r="4" spans="1:17" ht="38.25">
      <c r="A4" s="61">
        <v>40269</v>
      </c>
      <c r="B4" s="6" t="s">
        <v>6872</v>
      </c>
      <c r="C4" s="297" t="s">
        <v>8411</v>
      </c>
      <c r="D4" s="467" t="s">
        <v>8412</v>
      </c>
      <c r="E4" s="6" t="s">
        <v>8413</v>
      </c>
      <c r="F4" s="6"/>
      <c r="G4" s="6" t="s">
        <v>3097</v>
      </c>
      <c r="H4" s="158" t="s">
        <v>8414</v>
      </c>
      <c r="I4" s="22" t="s">
        <v>8415</v>
      </c>
      <c r="J4" s="179"/>
      <c r="K4" s="160" t="s">
        <v>8416</v>
      </c>
      <c r="L4" s="6" t="s">
        <v>6132</v>
      </c>
      <c r="M4" s="160" t="s">
        <v>8417</v>
      </c>
      <c r="N4" s="6" t="s">
        <v>6064</v>
      </c>
      <c r="O4" s="6"/>
      <c r="P4" s="6" t="s">
        <v>1828</v>
      </c>
      <c r="Q4" s="54"/>
    </row>
    <row r="5" spans="1:17" ht="25.5">
      <c r="A5" s="61">
        <v>40299</v>
      </c>
      <c r="B5" s="6" t="s">
        <v>6872</v>
      </c>
      <c r="C5" s="291" t="s">
        <v>8418</v>
      </c>
      <c r="D5" s="468" t="s">
        <v>8419</v>
      </c>
      <c r="E5" s="6" t="s">
        <v>8420</v>
      </c>
      <c r="F5" s="6"/>
      <c r="G5" s="6"/>
      <c r="H5" s="158" t="s">
        <v>8421</v>
      </c>
      <c r="I5" s="22" t="s">
        <v>8422</v>
      </c>
      <c r="J5" s="179"/>
      <c r="K5" s="6" t="s">
        <v>8423</v>
      </c>
      <c r="L5" s="475" t="s">
        <v>1808</v>
      </c>
      <c r="M5" s="531" t="s">
        <v>8424</v>
      </c>
      <c r="N5" s="6" t="s">
        <v>1824</v>
      </c>
      <c r="O5" s="6"/>
      <c r="P5" s="6" t="s">
        <v>1828</v>
      </c>
      <c r="Q5" s="54"/>
    </row>
    <row r="6" spans="1:17" ht="114.75">
      <c r="A6" s="61">
        <v>40330</v>
      </c>
      <c r="B6" s="6" t="s">
        <v>6872</v>
      </c>
      <c r="C6" s="291" t="s">
        <v>8425</v>
      </c>
      <c r="D6" s="468" t="s">
        <v>8426</v>
      </c>
      <c r="E6" s="6" t="s">
        <v>8427</v>
      </c>
      <c r="F6" s="6"/>
      <c r="G6" s="6"/>
      <c r="H6" s="158" t="s">
        <v>8421</v>
      </c>
      <c r="I6" s="22" t="s">
        <v>8428</v>
      </c>
      <c r="J6" s="179"/>
      <c r="K6" s="160" t="s">
        <v>8429</v>
      </c>
      <c r="L6" s="475" t="s">
        <v>1808</v>
      </c>
      <c r="M6" s="160"/>
      <c r="N6" s="6" t="s">
        <v>6933</v>
      </c>
      <c r="O6" s="6"/>
      <c r="P6" s="6"/>
      <c r="Q6" s="54"/>
    </row>
    <row r="7" spans="1:17" ht="38.25">
      <c r="A7" s="61">
        <v>40360</v>
      </c>
      <c r="B7" s="6" t="s">
        <v>6872</v>
      </c>
      <c r="C7" s="297" t="s">
        <v>8430</v>
      </c>
      <c r="D7" s="467" t="s">
        <v>8431</v>
      </c>
      <c r="E7" s="6" t="s">
        <v>8432</v>
      </c>
      <c r="F7" s="6"/>
      <c r="G7" s="6"/>
      <c r="H7" s="158" t="s">
        <v>8402</v>
      </c>
      <c r="I7" s="22" t="s">
        <v>8433</v>
      </c>
      <c r="J7" s="179"/>
      <c r="K7" s="6" t="s">
        <v>1502</v>
      </c>
      <c r="L7" s="475" t="s">
        <v>1808</v>
      </c>
      <c r="M7" s="160" t="s">
        <v>8434</v>
      </c>
      <c r="N7" s="6" t="s">
        <v>1824</v>
      </c>
      <c r="O7" s="6"/>
      <c r="P7" s="6" t="s">
        <v>2449</v>
      </c>
      <c r="Q7" s="54"/>
    </row>
    <row r="8" spans="1:17" ht="25.5">
      <c r="A8" s="62">
        <v>40391</v>
      </c>
      <c r="B8" s="6" t="s">
        <v>6872</v>
      </c>
      <c r="C8" s="297" t="s">
        <v>8435</v>
      </c>
      <c r="D8" s="467" t="s">
        <v>8436</v>
      </c>
      <c r="E8" s="6" t="s">
        <v>8437</v>
      </c>
      <c r="F8" s="6"/>
      <c r="G8" s="6"/>
      <c r="H8" s="158" t="s">
        <v>8421</v>
      </c>
      <c r="I8" s="22" t="s">
        <v>8438</v>
      </c>
      <c r="J8" s="179"/>
      <c r="K8" s="6" t="s">
        <v>8439</v>
      </c>
      <c r="L8" s="475" t="s">
        <v>1808</v>
      </c>
      <c r="M8" s="160"/>
      <c r="N8" s="6" t="s">
        <v>1824</v>
      </c>
      <c r="O8" s="6"/>
      <c r="P8" s="6"/>
      <c r="Q8" s="54"/>
    </row>
    <row r="9" spans="1:17" ht="25.5">
      <c r="A9" s="61">
        <v>40422</v>
      </c>
      <c r="B9" s="6" t="s">
        <v>6872</v>
      </c>
      <c r="C9" s="472" t="s">
        <v>8440</v>
      </c>
      <c r="D9" s="472" t="s">
        <v>8441</v>
      </c>
      <c r="E9" s="158" t="s">
        <v>8442</v>
      </c>
      <c r="F9" s="6"/>
      <c r="G9" s="6"/>
      <c r="H9" s="158" t="s">
        <v>8421</v>
      </c>
      <c r="I9" s="164" t="s">
        <v>8443</v>
      </c>
      <c r="J9" s="178"/>
      <c r="K9" s="158" t="s">
        <v>8444</v>
      </c>
      <c r="L9" s="6"/>
      <c r="M9" s="160"/>
      <c r="N9" s="6" t="s">
        <v>1824</v>
      </c>
      <c r="O9" s="6"/>
      <c r="P9" s="6"/>
      <c r="Q9" s="54"/>
    </row>
    <row r="10" spans="1:17" ht="38.25">
      <c r="A10" s="62">
        <v>40452</v>
      </c>
      <c r="B10" s="6" t="s">
        <v>6872</v>
      </c>
      <c r="C10" s="297" t="s">
        <v>8445</v>
      </c>
      <c r="D10" s="467" t="s">
        <v>8446</v>
      </c>
      <c r="E10" s="160" t="s">
        <v>8447</v>
      </c>
      <c r="F10" s="6"/>
      <c r="G10" s="6" t="s">
        <v>62</v>
      </c>
      <c r="H10" s="158" t="s">
        <v>8402</v>
      </c>
      <c r="I10" s="22" t="s">
        <v>8448</v>
      </c>
      <c r="J10" s="179"/>
      <c r="K10" s="6" t="s">
        <v>8449</v>
      </c>
      <c r="L10" s="6" t="s">
        <v>6132</v>
      </c>
      <c r="M10" s="160" t="s">
        <v>8450</v>
      </c>
      <c r="N10" s="6" t="s">
        <v>6104</v>
      </c>
      <c r="O10" s="6"/>
      <c r="P10" s="6" t="s">
        <v>6314</v>
      </c>
      <c r="Q10" s="54"/>
    </row>
    <row r="11" spans="1:17" ht="51">
      <c r="A11" s="6" t="s">
        <v>8451</v>
      </c>
      <c r="B11" s="158" t="s">
        <v>6872</v>
      </c>
      <c r="C11" s="291" t="s">
        <v>8452</v>
      </c>
      <c r="D11" s="468" t="s">
        <v>8453</v>
      </c>
      <c r="E11" s="8" t="s">
        <v>8454</v>
      </c>
      <c r="F11" s="6"/>
      <c r="G11" s="6" t="s">
        <v>8455</v>
      </c>
      <c r="H11" s="158" t="s">
        <v>8402</v>
      </c>
      <c r="I11" s="22" t="s">
        <v>8456</v>
      </c>
      <c r="J11" s="179"/>
      <c r="K11" s="6" t="s">
        <v>1491</v>
      </c>
      <c r="L11" s="475" t="s">
        <v>1808</v>
      </c>
      <c r="M11" s="160" t="s">
        <v>8457</v>
      </c>
      <c r="N11" s="6" t="s">
        <v>1824</v>
      </c>
      <c r="O11" s="6"/>
      <c r="P11" s="6" t="s">
        <v>6783</v>
      </c>
      <c r="Q11" s="54"/>
    </row>
    <row r="12" spans="1:17" ht="38.25">
      <c r="A12" s="6" t="s">
        <v>8458</v>
      </c>
      <c r="B12" s="6" t="s">
        <v>6872</v>
      </c>
      <c r="C12" s="291" t="s">
        <v>8459</v>
      </c>
      <c r="D12" s="468" t="s">
        <v>8460</v>
      </c>
      <c r="E12" s="6" t="s">
        <v>8461</v>
      </c>
      <c r="F12" s="6"/>
      <c r="G12" s="6" t="s">
        <v>62</v>
      </c>
      <c r="H12" s="158" t="s">
        <v>8402</v>
      </c>
      <c r="I12" s="22" t="s">
        <v>8462</v>
      </c>
      <c r="J12" s="179"/>
      <c r="K12" s="6" t="s">
        <v>8463</v>
      </c>
      <c r="L12" s="475" t="s">
        <v>1808</v>
      </c>
      <c r="M12" s="160" t="s">
        <v>8464</v>
      </c>
      <c r="N12" s="6" t="s">
        <v>6104</v>
      </c>
      <c r="O12" s="6"/>
      <c r="P12" s="6" t="s">
        <v>1828</v>
      </c>
      <c r="Q12" s="54"/>
    </row>
    <row r="13" spans="1:17" ht="25.5">
      <c r="A13" s="6" t="s">
        <v>8465</v>
      </c>
      <c r="B13" s="6" t="s">
        <v>6872</v>
      </c>
      <c r="C13" s="297" t="s">
        <v>8466</v>
      </c>
      <c r="D13" s="467" t="s">
        <v>8467</v>
      </c>
      <c r="E13" s="6" t="s">
        <v>8468</v>
      </c>
      <c r="F13" s="6"/>
      <c r="G13" s="6" t="s">
        <v>62</v>
      </c>
      <c r="H13" s="158" t="s">
        <v>8402</v>
      </c>
      <c r="I13" s="22" t="s">
        <v>8469</v>
      </c>
      <c r="J13" s="179"/>
      <c r="K13" s="6" t="s">
        <v>4782</v>
      </c>
      <c r="L13" s="6" t="s">
        <v>6179</v>
      </c>
      <c r="M13" s="6" t="s">
        <v>4099</v>
      </c>
      <c r="N13" s="6" t="s">
        <v>6064</v>
      </c>
      <c r="O13" s="6"/>
      <c r="P13" s="6" t="s">
        <v>2611</v>
      </c>
      <c r="Q13" s="54"/>
    </row>
    <row r="14" spans="1:17" ht="38.25">
      <c r="A14" s="6" t="s">
        <v>8470</v>
      </c>
      <c r="B14" s="6" t="s">
        <v>6872</v>
      </c>
      <c r="C14" s="297" t="s">
        <v>8471</v>
      </c>
      <c r="D14" s="467" t="s">
        <v>8472</v>
      </c>
      <c r="E14" s="6" t="s">
        <v>8473</v>
      </c>
      <c r="F14" s="6"/>
      <c r="G14" s="6" t="s">
        <v>4987</v>
      </c>
      <c r="H14" s="158" t="s">
        <v>8474</v>
      </c>
      <c r="I14" s="22" t="s">
        <v>8475</v>
      </c>
      <c r="J14" s="179"/>
      <c r="K14" s="158" t="s">
        <v>8476</v>
      </c>
      <c r="L14" s="475" t="s">
        <v>1808</v>
      </c>
      <c r="M14" s="6" t="s">
        <v>8477</v>
      </c>
      <c r="N14" s="6" t="s">
        <v>1824</v>
      </c>
      <c r="O14" s="6"/>
      <c r="P14" s="6" t="s">
        <v>2449</v>
      </c>
      <c r="Q14" s="54"/>
    </row>
    <row r="15" spans="1:17" ht="25.5">
      <c r="A15" s="6" t="s">
        <v>8478</v>
      </c>
      <c r="B15" s="6" t="s">
        <v>6872</v>
      </c>
      <c r="C15" s="297" t="s">
        <v>8479</v>
      </c>
      <c r="D15" s="467" t="s">
        <v>8480</v>
      </c>
      <c r="E15" s="6" t="s">
        <v>8481</v>
      </c>
      <c r="F15" s="6"/>
      <c r="G15" s="6" t="s">
        <v>4987</v>
      </c>
      <c r="H15" s="158" t="s">
        <v>8482</v>
      </c>
      <c r="I15" s="22" t="s">
        <v>8483</v>
      </c>
      <c r="J15" s="179"/>
      <c r="K15" s="158" t="s">
        <v>1451</v>
      </c>
      <c r="L15" s="475" t="s">
        <v>1808</v>
      </c>
      <c r="M15" s="6" t="s">
        <v>8484</v>
      </c>
      <c r="N15" s="6" t="s">
        <v>1824</v>
      </c>
      <c r="O15" s="6"/>
      <c r="P15" s="6" t="s">
        <v>2611</v>
      </c>
      <c r="Q15" s="54"/>
    </row>
    <row r="16" spans="1:17" ht="25.5">
      <c r="A16" s="6" t="s">
        <v>8485</v>
      </c>
      <c r="B16" s="6" t="s">
        <v>6872</v>
      </c>
      <c r="C16" s="472" t="s">
        <v>8486</v>
      </c>
      <c r="D16" s="472" t="s">
        <v>8487</v>
      </c>
      <c r="E16" s="6" t="s">
        <v>8481</v>
      </c>
      <c r="F16" s="6"/>
      <c r="G16" s="6" t="s">
        <v>4982</v>
      </c>
      <c r="H16" s="158" t="s">
        <v>8482</v>
      </c>
      <c r="I16" s="164" t="s">
        <v>8488</v>
      </c>
      <c r="J16" s="178"/>
      <c r="K16" s="6" t="s">
        <v>8489</v>
      </c>
      <c r="L16" s="475" t="s">
        <v>1808</v>
      </c>
      <c r="M16" s="6" t="s">
        <v>2557</v>
      </c>
      <c r="N16" s="6" t="s">
        <v>1824</v>
      </c>
      <c r="O16" s="6"/>
      <c r="P16" s="6" t="s">
        <v>2613</v>
      </c>
      <c r="Q16" s="54"/>
    </row>
    <row r="17" spans="1:17" ht="38.25">
      <c r="A17" s="6" t="s">
        <v>8490</v>
      </c>
      <c r="B17" s="6" t="s">
        <v>6872</v>
      </c>
      <c r="C17" s="291" t="s">
        <v>8491</v>
      </c>
      <c r="D17" s="468" t="s">
        <v>8492</v>
      </c>
      <c r="E17" s="6" t="s">
        <v>8493</v>
      </c>
      <c r="F17" s="6"/>
      <c r="G17" s="6" t="s">
        <v>1940</v>
      </c>
      <c r="H17" s="158" t="s">
        <v>8474</v>
      </c>
      <c r="I17" s="22" t="s">
        <v>8494</v>
      </c>
      <c r="J17" s="179"/>
      <c r="K17" s="6" t="s">
        <v>8476</v>
      </c>
      <c r="L17" s="475" t="s">
        <v>1808</v>
      </c>
      <c r="M17" s="6" t="s">
        <v>8477</v>
      </c>
      <c r="N17" s="6" t="s">
        <v>1824</v>
      </c>
      <c r="O17" s="6"/>
      <c r="P17" s="6" t="s">
        <v>2449</v>
      </c>
      <c r="Q17" s="54"/>
    </row>
    <row r="18" spans="1:17" ht="51">
      <c r="A18" s="6" t="s">
        <v>8495</v>
      </c>
      <c r="B18" s="6" t="s">
        <v>6872</v>
      </c>
      <c r="C18" s="291" t="s">
        <v>8496</v>
      </c>
      <c r="D18" s="468" t="s">
        <v>8497</v>
      </c>
      <c r="E18" s="6" t="s">
        <v>8498</v>
      </c>
      <c r="F18" s="6"/>
      <c r="G18" s="6" t="s">
        <v>4787</v>
      </c>
      <c r="H18" s="158" t="s">
        <v>8421</v>
      </c>
      <c r="I18" s="22" t="s">
        <v>8499</v>
      </c>
      <c r="J18" s="179"/>
      <c r="K18" s="6" t="s">
        <v>8500</v>
      </c>
      <c r="L18" s="475" t="s">
        <v>1808</v>
      </c>
      <c r="M18" s="6" t="s">
        <v>8501</v>
      </c>
      <c r="N18" s="6" t="s">
        <v>6064</v>
      </c>
      <c r="O18" s="6"/>
      <c r="P18" s="6" t="s">
        <v>1828</v>
      </c>
      <c r="Q18" s="54"/>
    </row>
    <row r="19" spans="1:17" ht="51">
      <c r="A19" s="6" t="s">
        <v>8502</v>
      </c>
      <c r="B19" s="6" t="s">
        <v>6872</v>
      </c>
      <c r="C19" s="291" t="s">
        <v>8503</v>
      </c>
      <c r="D19" s="468" t="s">
        <v>8504</v>
      </c>
      <c r="E19" s="6" t="s">
        <v>8505</v>
      </c>
      <c r="F19" s="6"/>
      <c r="G19" s="6" t="s">
        <v>8506</v>
      </c>
      <c r="H19" s="158" t="s">
        <v>8402</v>
      </c>
      <c r="I19" s="22" t="s">
        <v>8507</v>
      </c>
      <c r="J19" s="179"/>
      <c r="K19" s="6" t="s">
        <v>8508</v>
      </c>
      <c r="L19" s="475" t="s">
        <v>1808</v>
      </c>
      <c r="M19" s="6" t="s">
        <v>8509</v>
      </c>
      <c r="N19" s="6" t="s">
        <v>6064</v>
      </c>
      <c r="O19" s="6"/>
      <c r="P19" s="6" t="s">
        <v>2656</v>
      </c>
      <c r="Q19" s="54"/>
    </row>
    <row r="20" spans="1:17" ht="38.25">
      <c r="A20" s="179" t="s">
        <v>8510</v>
      </c>
      <c r="B20" s="178"/>
      <c r="C20" s="179"/>
      <c r="D20" s="546"/>
      <c r="E20" s="179" t="s">
        <v>8511</v>
      </c>
      <c r="F20" s="54"/>
      <c r="G20" s="54"/>
      <c r="H20" s="178" t="s">
        <v>8512</v>
      </c>
      <c r="I20" s="179" t="s">
        <v>8513</v>
      </c>
      <c r="J20" s="190" t="s">
        <v>8130</v>
      </c>
      <c r="K20" s="179" t="s">
        <v>565</v>
      </c>
      <c r="L20" s="536" t="s">
        <v>1808</v>
      </c>
      <c r="M20" s="187"/>
      <c r="N20" s="179" t="s">
        <v>6064</v>
      </c>
      <c r="O20" s="179"/>
      <c r="P20" s="54"/>
      <c r="Q20" s="54"/>
    </row>
    <row r="21" spans="1:17" ht="12.75">
      <c r="A21" s="520"/>
      <c r="B21" s="547"/>
      <c r="C21" s="520"/>
      <c r="D21" s="520"/>
      <c r="E21" s="520"/>
      <c r="F21" s="520"/>
      <c r="G21" s="520"/>
      <c r="H21" s="547"/>
      <c r="I21" s="522"/>
      <c r="J21" s="525"/>
      <c r="K21" s="520"/>
      <c r="L21" s="548"/>
      <c r="M21" s="549"/>
      <c r="N21" s="520"/>
      <c r="O21" s="520"/>
      <c r="P21" s="520"/>
      <c r="Q21" s="550"/>
    </row>
    <row r="22" spans="1:17" ht="38.25">
      <c r="A22" s="6" t="s">
        <v>8514</v>
      </c>
      <c r="B22" s="158" t="s">
        <v>6983</v>
      </c>
      <c r="C22" s="6"/>
      <c r="D22" s="468" t="s">
        <v>8515</v>
      </c>
      <c r="E22" s="6" t="s">
        <v>8516</v>
      </c>
      <c r="F22" s="6"/>
      <c r="G22" s="6"/>
      <c r="H22" s="158" t="s">
        <v>8512</v>
      </c>
      <c r="I22" s="22" t="s">
        <v>8517</v>
      </c>
      <c r="J22" s="180" t="s">
        <v>8518</v>
      </c>
      <c r="K22" s="6" t="s">
        <v>8519</v>
      </c>
      <c r="L22" s="475" t="s">
        <v>1808</v>
      </c>
      <c r="M22" s="160" t="s">
        <v>8520</v>
      </c>
      <c r="N22" s="6" t="s">
        <v>6064</v>
      </c>
      <c r="O22" s="6"/>
      <c r="P22" s="6" t="s">
        <v>6783</v>
      </c>
      <c r="Q22" s="54"/>
    </row>
    <row r="23" spans="1:17" ht="25.5">
      <c r="A23" s="6" t="s">
        <v>8521</v>
      </c>
      <c r="B23" s="158" t="s">
        <v>6983</v>
      </c>
      <c r="C23" s="6"/>
      <c r="D23" s="468" t="s">
        <v>8522</v>
      </c>
      <c r="E23" s="6" t="s">
        <v>8523</v>
      </c>
      <c r="F23" s="6"/>
      <c r="G23" s="6"/>
      <c r="H23" s="158" t="s">
        <v>8512</v>
      </c>
      <c r="I23" s="22" t="s">
        <v>8524</v>
      </c>
      <c r="J23" s="180" t="s">
        <v>8525</v>
      </c>
      <c r="K23" s="6" t="s">
        <v>8526</v>
      </c>
      <c r="L23" s="6" t="s">
        <v>6132</v>
      </c>
      <c r="M23" s="160" t="s">
        <v>8527</v>
      </c>
      <c r="N23" s="6" t="s">
        <v>8528</v>
      </c>
      <c r="O23" s="6"/>
      <c r="P23" s="6" t="s">
        <v>8529</v>
      </c>
      <c r="Q23" s="54"/>
    </row>
    <row r="24" spans="1:17" ht="76.5">
      <c r="A24" s="6" t="s">
        <v>8530</v>
      </c>
      <c r="B24" s="158" t="s">
        <v>6983</v>
      </c>
      <c r="C24" s="6"/>
      <c r="D24" s="468" t="s">
        <v>8531</v>
      </c>
      <c r="E24" s="6" t="s">
        <v>8532</v>
      </c>
      <c r="F24" s="6"/>
      <c r="G24" s="6"/>
      <c r="H24" s="158" t="s">
        <v>8512</v>
      </c>
      <c r="I24" s="22" t="s">
        <v>8533</v>
      </c>
      <c r="J24" s="180" t="s">
        <v>8534</v>
      </c>
      <c r="K24" s="6" t="s">
        <v>8535</v>
      </c>
      <c r="L24" s="475" t="s">
        <v>1808</v>
      </c>
      <c r="M24" s="160" t="s">
        <v>8536</v>
      </c>
      <c r="N24" s="6" t="s">
        <v>8528</v>
      </c>
      <c r="O24" s="6"/>
      <c r="P24" s="6" t="s">
        <v>6314</v>
      </c>
      <c r="Q24" s="54"/>
    </row>
    <row r="25" spans="1:17" ht="25.5">
      <c r="A25" s="56" t="s">
        <v>8537</v>
      </c>
      <c r="B25" s="426" t="s">
        <v>6983</v>
      </c>
      <c r="C25" s="56"/>
      <c r="D25" s="56"/>
      <c r="E25" s="56"/>
      <c r="F25" s="6"/>
      <c r="G25" s="56"/>
      <c r="H25" s="426" t="s">
        <v>8512</v>
      </c>
      <c r="I25" s="208"/>
      <c r="J25" s="191"/>
      <c r="K25" s="56"/>
      <c r="L25" s="475" t="s">
        <v>1808</v>
      </c>
      <c r="M25" s="551"/>
      <c r="N25" s="56" t="s">
        <v>7924</v>
      </c>
      <c r="O25" s="6"/>
      <c r="P25" s="6"/>
      <c r="Q25" s="54"/>
    </row>
    <row r="26" spans="1:17" ht="25.5">
      <c r="A26" s="56" t="s">
        <v>8538</v>
      </c>
      <c r="B26" s="426" t="s">
        <v>6983</v>
      </c>
      <c r="C26" s="56"/>
      <c r="D26" s="56"/>
      <c r="E26" s="56"/>
      <c r="F26" s="6"/>
      <c r="G26" s="56"/>
      <c r="H26" s="426" t="s">
        <v>8512</v>
      </c>
      <c r="I26" s="208"/>
      <c r="J26" s="191"/>
      <c r="K26" s="56"/>
      <c r="L26" s="475" t="s">
        <v>1808</v>
      </c>
      <c r="M26" s="56"/>
      <c r="N26" s="56" t="s">
        <v>7924</v>
      </c>
      <c r="O26" s="6"/>
      <c r="P26" s="6"/>
      <c r="Q26" s="54"/>
    </row>
    <row r="27" spans="1:17" ht="25.5">
      <c r="A27" s="56" t="s">
        <v>8539</v>
      </c>
      <c r="B27" s="426" t="s">
        <v>6983</v>
      </c>
      <c r="C27" s="56"/>
      <c r="D27" s="56"/>
      <c r="E27" s="56"/>
      <c r="F27" s="6"/>
      <c r="G27" s="56"/>
      <c r="H27" s="426" t="s">
        <v>8512</v>
      </c>
      <c r="I27" s="208"/>
      <c r="J27" s="191"/>
      <c r="K27" s="56"/>
      <c r="L27" s="475" t="s">
        <v>1808</v>
      </c>
      <c r="M27" s="56"/>
      <c r="N27" s="56" t="s">
        <v>7924</v>
      </c>
      <c r="O27" s="6"/>
      <c r="P27" s="6"/>
      <c r="Q27" s="54"/>
    </row>
    <row r="28" spans="1:17" ht="25.5">
      <c r="A28" s="56" t="s">
        <v>8540</v>
      </c>
      <c r="B28" s="426" t="s">
        <v>6983</v>
      </c>
      <c r="C28" s="56"/>
      <c r="D28" s="56"/>
      <c r="E28" s="56"/>
      <c r="F28" s="6"/>
      <c r="G28" s="56"/>
      <c r="H28" s="426" t="s">
        <v>8512</v>
      </c>
      <c r="I28" s="208"/>
      <c r="J28" s="191"/>
      <c r="K28" s="56"/>
      <c r="L28" s="475" t="s">
        <v>1808</v>
      </c>
      <c r="M28" s="56"/>
      <c r="N28" s="56" t="s">
        <v>7924</v>
      </c>
      <c r="O28" s="6"/>
      <c r="P28" s="6"/>
      <c r="Q28" s="54"/>
    </row>
    <row r="29" spans="1:17" ht="66" customHeight="1">
      <c r="A29" s="6" t="s">
        <v>8541</v>
      </c>
      <c r="B29" s="158" t="s">
        <v>6983</v>
      </c>
      <c r="C29" s="6"/>
      <c r="D29" s="468" t="s">
        <v>8542</v>
      </c>
      <c r="E29" s="6" t="s">
        <v>8543</v>
      </c>
      <c r="F29" s="6"/>
      <c r="G29" s="6"/>
      <c r="H29" s="158" t="s">
        <v>8512</v>
      </c>
      <c r="I29" s="22" t="s">
        <v>8544</v>
      </c>
      <c r="J29" s="528" t="s">
        <v>8545</v>
      </c>
      <c r="K29" s="6" t="s">
        <v>8546</v>
      </c>
      <c r="L29" s="475" t="s">
        <v>1808</v>
      </c>
      <c r="M29" s="6"/>
      <c r="N29" s="6" t="s">
        <v>6064</v>
      </c>
      <c r="O29" s="6"/>
      <c r="P29" s="6"/>
      <c r="Q29" s="54"/>
    </row>
    <row r="30" spans="1:17" ht="63.75">
      <c r="A30" s="6" t="s">
        <v>8547</v>
      </c>
      <c r="B30" s="158" t="s">
        <v>6983</v>
      </c>
      <c r="C30" s="6"/>
      <c r="D30" s="468" t="s">
        <v>8548</v>
      </c>
      <c r="E30" s="6" t="s">
        <v>8549</v>
      </c>
      <c r="F30" s="6"/>
      <c r="G30" s="6"/>
      <c r="H30" s="158" t="s">
        <v>8512</v>
      </c>
      <c r="I30" s="22" t="s">
        <v>8550</v>
      </c>
      <c r="J30" s="180" t="s">
        <v>8551</v>
      </c>
      <c r="K30" s="6" t="s">
        <v>1502</v>
      </c>
      <c r="L30" s="475" t="s">
        <v>1808</v>
      </c>
      <c r="M30" s="6" t="s">
        <v>8552</v>
      </c>
      <c r="N30" s="6" t="s">
        <v>6064</v>
      </c>
      <c r="O30" s="6"/>
      <c r="P30" s="6" t="s">
        <v>2449</v>
      </c>
      <c r="Q30" s="54"/>
    </row>
    <row r="31" spans="1:17" ht="63.75">
      <c r="A31" s="6" t="s">
        <v>8553</v>
      </c>
      <c r="B31" s="158" t="s">
        <v>6983</v>
      </c>
      <c r="C31" s="6"/>
      <c r="D31" s="468" t="s">
        <v>8554</v>
      </c>
      <c r="E31" s="6" t="s">
        <v>8555</v>
      </c>
      <c r="F31" s="6"/>
      <c r="G31" s="6"/>
      <c r="H31" s="158" t="s">
        <v>8512</v>
      </c>
      <c r="I31" s="22" t="s">
        <v>8556</v>
      </c>
      <c r="J31" s="180" t="s">
        <v>8557</v>
      </c>
      <c r="K31" s="6" t="s">
        <v>8558</v>
      </c>
      <c r="L31" s="475" t="s">
        <v>1808</v>
      </c>
      <c r="M31" s="160" t="s">
        <v>8559</v>
      </c>
      <c r="N31" s="6" t="s">
        <v>6064</v>
      </c>
      <c r="O31" s="6"/>
      <c r="P31" s="6" t="s">
        <v>2656</v>
      </c>
      <c r="Q31" s="54"/>
    </row>
    <row r="32" spans="1:17" ht="38.25">
      <c r="A32" s="6" t="s">
        <v>8560</v>
      </c>
      <c r="B32" s="158" t="s">
        <v>6983</v>
      </c>
      <c r="C32" s="6"/>
      <c r="D32" s="552" t="s">
        <v>8561</v>
      </c>
      <c r="E32" s="6" t="s">
        <v>8562</v>
      </c>
      <c r="F32" s="6"/>
      <c r="G32" s="6"/>
      <c r="H32" s="158" t="s">
        <v>8512</v>
      </c>
      <c r="I32" s="22" t="s">
        <v>8563</v>
      </c>
      <c r="J32" s="180" t="s">
        <v>8564</v>
      </c>
      <c r="K32" s="6" t="s">
        <v>8565</v>
      </c>
      <c r="L32" s="475" t="s">
        <v>6132</v>
      </c>
      <c r="M32" s="6" t="s">
        <v>8566</v>
      </c>
      <c r="N32" s="6" t="s">
        <v>6064</v>
      </c>
      <c r="O32" s="6"/>
      <c r="P32" s="6" t="s">
        <v>2656</v>
      </c>
      <c r="Q32" s="54"/>
    </row>
    <row r="33" spans="1:17" ht="153">
      <c r="A33" s="6" t="s">
        <v>8567</v>
      </c>
      <c r="B33" s="158" t="s">
        <v>6983</v>
      </c>
      <c r="C33" s="6"/>
      <c r="D33" s="468" t="s">
        <v>8568</v>
      </c>
      <c r="E33" s="6" t="s">
        <v>8569</v>
      </c>
      <c r="F33" s="6"/>
      <c r="G33" s="6"/>
      <c r="H33" s="158" t="s">
        <v>8512</v>
      </c>
      <c r="I33" s="22" t="s">
        <v>8428</v>
      </c>
      <c r="J33" s="180" t="s">
        <v>8570</v>
      </c>
      <c r="K33" s="6" t="s">
        <v>8571</v>
      </c>
      <c r="L33" s="475" t="s">
        <v>1808</v>
      </c>
      <c r="M33" s="6"/>
      <c r="N33" s="6" t="s">
        <v>6064</v>
      </c>
      <c r="O33" s="6"/>
      <c r="P33" s="6"/>
      <c r="Q33" s="54"/>
    </row>
    <row r="34" spans="1:17" ht="25.5">
      <c r="A34" s="6" t="s">
        <v>8572</v>
      </c>
      <c r="B34" s="158" t="s">
        <v>6983</v>
      </c>
      <c r="C34" s="6"/>
      <c r="D34" s="468" t="s">
        <v>8573</v>
      </c>
      <c r="E34" s="6" t="s">
        <v>8574</v>
      </c>
      <c r="F34" s="6"/>
      <c r="G34" s="6"/>
      <c r="H34" s="158" t="s">
        <v>8512</v>
      </c>
      <c r="I34" s="22" t="s">
        <v>8575</v>
      </c>
      <c r="J34" s="180" t="s">
        <v>8576</v>
      </c>
      <c r="K34" s="6" t="s">
        <v>8577</v>
      </c>
      <c r="L34" s="6" t="s">
        <v>6132</v>
      </c>
      <c r="M34" s="6" t="s">
        <v>8578</v>
      </c>
      <c r="N34" s="6" t="s">
        <v>6189</v>
      </c>
      <c r="O34" s="6"/>
      <c r="P34" s="6" t="s">
        <v>6370</v>
      </c>
      <c r="Q34" s="54"/>
    </row>
    <row r="35" spans="1:17" ht="127.5">
      <c r="A35" s="6" t="s">
        <v>8579</v>
      </c>
      <c r="B35" s="158" t="s">
        <v>6983</v>
      </c>
      <c r="C35" s="6"/>
      <c r="D35" s="468" t="s">
        <v>8580</v>
      </c>
      <c r="E35" s="6" t="s">
        <v>8581</v>
      </c>
      <c r="F35" s="6"/>
      <c r="G35" s="6"/>
      <c r="H35" s="158" t="s">
        <v>8512</v>
      </c>
      <c r="I35" s="22" t="s">
        <v>8582</v>
      </c>
      <c r="J35" s="180" t="s">
        <v>8583</v>
      </c>
      <c r="K35" s="6" t="s">
        <v>8584</v>
      </c>
      <c r="L35" s="475" t="s">
        <v>1808</v>
      </c>
      <c r="M35" s="6" t="s">
        <v>8585</v>
      </c>
      <c r="N35" s="6" t="s">
        <v>6189</v>
      </c>
      <c r="O35" s="6"/>
      <c r="P35" s="6"/>
      <c r="Q35" s="54"/>
    </row>
    <row r="36" spans="1:17" ht="89.25">
      <c r="A36" s="6" t="s">
        <v>8586</v>
      </c>
      <c r="B36" s="158" t="s">
        <v>6983</v>
      </c>
      <c r="C36" s="6"/>
      <c r="D36" s="468" t="s">
        <v>8587</v>
      </c>
      <c r="E36" s="6" t="s">
        <v>8588</v>
      </c>
      <c r="F36" s="6"/>
      <c r="G36" s="6"/>
      <c r="H36" s="158" t="s">
        <v>8512</v>
      </c>
      <c r="I36" s="22" t="s">
        <v>8589</v>
      </c>
      <c r="J36" s="180" t="s">
        <v>8590</v>
      </c>
      <c r="K36" s="160" t="s">
        <v>8591</v>
      </c>
      <c r="L36" s="475" t="s">
        <v>1808</v>
      </c>
      <c r="M36" s="6"/>
      <c r="N36" s="6" t="s">
        <v>6189</v>
      </c>
      <c r="O36" s="6"/>
      <c r="P36" s="6"/>
      <c r="Q36" s="54"/>
    </row>
    <row r="37" spans="1:17" ht="27" customHeight="1">
      <c r="A37" s="6" t="s">
        <v>8592</v>
      </c>
      <c r="B37" s="158" t="s">
        <v>6983</v>
      </c>
      <c r="C37" s="6"/>
      <c r="D37" s="468" t="s">
        <v>8593</v>
      </c>
      <c r="E37" s="6" t="s">
        <v>8562</v>
      </c>
      <c r="F37" s="6"/>
      <c r="G37" s="6"/>
      <c r="H37" s="158" t="s">
        <v>8512</v>
      </c>
      <c r="I37" s="22" t="s">
        <v>8594</v>
      </c>
      <c r="J37" s="528" t="s">
        <v>8595</v>
      </c>
      <c r="K37" s="6" t="s">
        <v>8596</v>
      </c>
      <c r="L37" s="475" t="s">
        <v>6132</v>
      </c>
      <c r="M37" s="160" t="s">
        <v>8597</v>
      </c>
      <c r="N37" s="6" t="s">
        <v>6104</v>
      </c>
      <c r="O37" s="6"/>
      <c r="P37" s="6" t="s">
        <v>1847</v>
      </c>
      <c r="Q37" s="54"/>
    </row>
    <row r="38" spans="1:17" ht="51">
      <c r="A38" s="6" t="s">
        <v>8598</v>
      </c>
      <c r="B38" s="158" t="s">
        <v>6983</v>
      </c>
      <c r="C38" s="158"/>
      <c r="D38" s="553" t="s">
        <v>8599</v>
      </c>
      <c r="E38" s="6" t="s">
        <v>8600</v>
      </c>
      <c r="F38" s="6"/>
      <c r="G38" s="6"/>
      <c r="H38" s="158" t="s">
        <v>8512</v>
      </c>
      <c r="I38" s="164" t="s">
        <v>8601</v>
      </c>
      <c r="J38" s="545" t="s">
        <v>8602</v>
      </c>
      <c r="K38" s="160" t="s">
        <v>8603</v>
      </c>
      <c r="L38" s="475" t="s">
        <v>1808</v>
      </c>
      <c r="M38" s="160" t="s">
        <v>8243</v>
      </c>
      <c r="N38" s="6" t="s">
        <v>6064</v>
      </c>
      <c r="O38" s="6"/>
      <c r="P38" s="6" t="s">
        <v>1847</v>
      </c>
      <c r="Q38" s="54"/>
    </row>
    <row r="39" spans="1:17" ht="38.25">
      <c r="A39" s="6" t="s">
        <v>8604</v>
      </c>
      <c r="B39" s="158" t="s">
        <v>6983</v>
      </c>
      <c r="C39" s="6"/>
      <c r="D39" s="468" t="s">
        <v>8605</v>
      </c>
      <c r="E39" s="6" t="s">
        <v>8606</v>
      </c>
      <c r="F39" s="6"/>
      <c r="G39" s="6"/>
      <c r="H39" s="158" t="s">
        <v>8512</v>
      </c>
      <c r="I39" s="22" t="s">
        <v>8607</v>
      </c>
      <c r="J39" s="180" t="s">
        <v>8608</v>
      </c>
      <c r="K39" s="6" t="s">
        <v>8609</v>
      </c>
      <c r="L39" s="475" t="s">
        <v>1808</v>
      </c>
      <c r="M39" s="6" t="s">
        <v>5148</v>
      </c>
      <c r="N39" s="6" t="s">
        <v>6064</v>
      </c>
      <c r="O39" s="6"/>
      <c r="P39" s="6" t="s">
        <v>2467</v>
      </c>
      <c r="Q39" s="54"/>
    </row>
    <row r="40" spans="1:17" ht="38.25">
      <c r="A40" s="6" t="s">
        <v>8610</v>
      </c>
      <c r="B40" s="158" t="s">
        <v>6983</v>
      </c>
      <c r="C40" s="6"/>
      <c r="D40" s="468" t="s">
        <v>8611</v>
      </c>
      <c r="E40" s="6" t="s">
        <v>8612</v>
      </c>
      <c r="F40" s="6"/>
      <c r="G40" s="6"/>
      <c r="H40" s="158" t="s">
        <v>8512</v>
      </c>
      <c r="I40" s="22" t="s">
        <v>8613</v>
      </c>
      <c r="J40" s="180" t="s">
        <v>8570</v>
      </c>
      <c r="K40" s="6" t="s">
        <v>8614</v>
      </c>
      <c r="L40" s="475" t="s">
        <v>1808</v>
      </c>
      <c r="M40" s="6" t="s">
        <v>8615</v>
      </c>
      <c r="N40" s="6" t="s">
        <v>6064</v>
      </c>
      <c r="O40" s="6"/>
      <c r="P40" s="6" t="s">
        <v>1847</v>
      </c>
      <c r="Q40" s="54"/>
    </row>
    <row r="41" spans="1:17" ht="38.25">
      <c r="A41" s="6" t="s">
        <v>8616</v>
      </c>
      <c r="B41" s="158" t="s">
        <v>6983</v>
      </c>
      <c r="C41" s="6"/>
      <c r="D41" s="468" t="s">
        <v>8617</v>
      </c>
      <c r="E41" s="6" t="s">
        <v>8618</v>
      </c>
      <c r="F41" s="6"/>
      <c r="G41" s="6"/>
      <c r="H41" s="158" t="s">
        <v>8512</v>
      </c>
      <c r="I41" s="22" t="s">
        <v>8619</v>
      </c>
      <c r="J41" s="180" t="s">
        <v>8570</v>
      </c>
      <c r="K41" s="6" t="s">
        <v>8620</v>
      </c>
      <c r="L41" s="475" t="s">
        <v>1808</v>
      </c>
      <c r="M41" s="160"/>
      <c r="N41" s="6" t="s">
        <v>6064</v>
      </c>
      <c r="O41" s="6"/>
      <c r="P41" s="6"/>
      <c r="Q41" s="54"/>
    </row>
    <row r="42" spans="1:17" ht="51">
      <c r="A42" s="6" t="s">
        <v>8621</v>
      </c>
      <c r="B42" s="158" t="s">
        <v>6983</v>
      </c>
      <c r="C42" s="6"/>
      <c r="D42" s="468" t="s">
        <v>8622</v>
      </c>
      <c r="E42" s="6" t="s">
        <v>8623</v>
      </c>
      <c r="F42" s="6"/>
      <c r="G42" s="6"/>
      <c r="H42" s="158" t="s">
        <v>8512</v>
      </c>
      <c r="I42" s="22" t="s">
        <v>8624</v>
      </c>
      <c r="J42" s="180" t="s">
        <v>8570</v>
      </c>
      <c r="K42" s="6" t="s">
        <v>8625</v>
      </c>
      <c r="L42" s="475" t="s">
        <v>1808</v>
      </c>
      <c r="M42" s="160" t="s">
        <v>8626</v>
      </c>
      <c r="N42" s="6" t="s">
        <v>6064</v>
      </c>
      <c r="O42" s="6"/>
      <c r="P42" s="6" t="s">
        <v>6783</v>
      </c>
      <c r="Q42" s="54"/>
    </row>
    <row r="43" spans="1:17" ht="51">
      <c r="A43" s="6" t="s">
        <v>8627</v>
      </c>
      <c r="B43" s="158" t="s">
        <v>6983</v>
      </c>
      <c r="C43" s="6"/>
      <c r="D43" s="468" t="s">
        <v>8628</v>
      </c>
      <c r="E43" s="6" t="s">
        <v>8629</v>
      </c>
      <c r="F43" s="6"/>
      <c r="G43" s="6"/>
      <c r="H43" s="158" t="s">
        <v>8512</v>
      </c>
      <c r="I43" s="22" t="s">
        <v>8630</v>
      </c>
      <c r="J43" s="180" t="s">
        <v>8631</v>
      </c>
      <c r="K43" s="6" t="s">
        <v>8632</v>
      </c>
      <c r="L43" s="475" t="s">
        <v>1808</v>
      </c>
      <c r="M43" s="158" t="s">
        <v>8181</v>
      </c>
      <c r="N43" s="6" t="s">
        <v>6064</v>
      </c>
      <c r="O43" s="6"/>
      <c r="P43" s="6" t="s">
        <v>2449</v>
      </c>
      <c r="Q43" s="54"/>
    </row>
    <row r="44" spans="1:17" ht="89.25">
      <c r="A44" s="6" t="s">
        <v>8633</v>
      </c>
      <c r="B44" s="158" t="s">
        <v>6983</v>
      </c>
      <c r="C44" s="6"/>
      <c r="D44" s="468" t="s">
        <v>8634</v>
      </c>
      <c r="E44" s="6" t="s">
        <v>8635</v>
      </c>
      <c r="F44" s="6"/>
      <c r="G44" s="6"/>
      <c r="H44" s="158" t="s">
        <v>8512</v>
      </c>
      <c r="I44" s="22" t="s">
        <v>8636</v>
      </c>
      <c r="J44" s="180" t="s">
        <v>8570</v>
      </c>
      <c r="K44" s="6" t="s">
        <v>8637</v>
      </c>
      <c r="L44" s="475" t="s">
        <v>1808</v>
      </c>
      <c r="M44" s="160"/>
      <c r="N44" s="6" t="s">
        <v>6064</v>
      </c>
      <c r="O44" s="6"/>
      <c r="P44" s="6"/>
      <c r="Q44" s="54"/>
    </row>
    <row r="45" spans="1:17" ht="25.5">
      <c r="A45" s="6" t="s">
        <v>8638</v>
      </c>
      <c r="B45" s="158" t="s">
        <v>6983</v>
      </c>
      <c r="C45" s="6"/>
      <c r="D45" s="468" t="s">
        <v>8639</v>
      </c>
      <c r="E45" s="6" t="s">
        <v>8640</v>
      </c>
      <c r="F45" s="6"/>
      <c r="G45" s="6"/>
      <c r="H45" s="158" t="s">
        <v>8512</v>
      </c>
      <c r="I45" s="22" t="s">
        <v>8641</v>
      </c>
      <c r="J45" s="180" t="s">
        <v>8642</v>
      </c>
      <c r="K45" s="6" t="s">
        <v>1722</v>
      </c>
      <c r="L45" s="475" t="s">
        <v>1808</v>
      </c>
      <c r="M45" s="160" t="s">
        <v>8643</v>
      </c>
      <c r="N45" s="6" t="s">
        <v>6064</v>
      </c>
      <c r="O45" s="6"/>
      <c r="P45" s="6" t="s">
        <v>8644</v>
      </c>
      <c r="Q45" s="54"/>
    </row>
    <row r="46" spans="1:17" ht="25.5">
      <c r="A46" s="56" t="s">
        <v>8645</v>
      </c>
      <c r="B46" s="426" t="s">
        <v>6983</v>
      </c>
      <c r="C46" s="56"/>
      <c r="D46" s="56"/>
      <c r="E46" s="56"/>
      <c r="F46" s="6"/>
      <c r="G46" s="56"/>
      <c r="H46" s="426" t="s">
        <v>8512</v>
      </c>
      <c r="I46" s="208"/>
      <c r="J46" s="191"/>
      <c r="K46" s="56"/>
      <c r="L46" s="544" t="s">
        <v>1808</v>
      </c>
      <c r="M46" s="551"/>
      <c r="N46" s="56" t="s">
        <v>7924</v>
      </c>
      <c r="O46" s="56"/>
      <c r="P46" s="56"/>
      <c r="Q46" s="54"/>
    </row>
    <row r="47" spans="1:17" ht="38.25">
      <c r="A47" s="6" t="s">
        <v>8646</v>
      </c>
      <c r="B47" s="158" t="s">
        <v>6983</v>
      </c>
      <c r="C47" s="6"/>
      <c r="D47" s="468" t="s">
        <v>8647</v>
      </c>
      <c r="E47" s="64" t="s">
        <v>8612</v>
      </c>
      <c r="F47" s="6"/>
      <c r="G47" s="6"/>
      <c r="H47" s="158" t="s">
        <v>8512</v>
      </c>
      <c r="I47" s="22" t="s">
        <v>8648</v>
      </c>
      <c r="J47" s="180" t="s">
        <v>8570</v>
      </c>
      <c r="K47" s="6" t="s">
        <v>4500</v>
      </c>
      <c r="L47" s="475" t="s">
        <v>1808</v>
      </c>
      <c r="M47" s="160" t="s">
        <v>8649</v>
      </c>
      <c r="N47" s="6" t="s">
        <v>6064</v>
      </c>
      <c r="O47" s="6"/>
      <c r="P47" s="6" t="s">
        <v>1847</v>
      </c>
      <c r="Q47" s="54"/>
    </row>
    <row r="48" spans="1:17" ht="76.5">
      <c r="A48" s="6" t="s">
        <v>8650</v>
      </c>
      <c r="B48" s="158" t="s">
        <v>6983</v>
      </c>
      <c r="C48" s="158"/>
      <c r="D48" s="474" t="s">
        <v>8651</v>
      </c>
      <c r="E48" s="6" t="s">
        <v>8652</v>
      </c>
      <c r="F48" s="6"/>
      <c r="G48" s="6"/>
      <c r="H48" s="158" t="s">
        <v>8512</v>
      </c>
      <c r="I48" s="164" t="s">
        <v>8653</v>
      </c>
      <c r="J48" s="545" t="s">
        <v>8654</v>
      </c>
      <c r="K48" s="6" t="s">
        <v>8655</v>
      </c>
      <c r="L48" s="475" t="s">
        <v>6132</v>
      </c>
      <c r="M48" s="160" t="s">
        <v>8656</v>
      </c>
      <c r="N48" s="6" t="s">
        <v>6064</v>
      </c>
      <c r="O48" s="6"/>
      <c r="P48" s="6" t="s">
        <v>2449</v>
      </c>
      <c r="Q48" s="54"/>
    </row>
    <row r="49" spans="1:17" ht="76.5">
      <c r="A49" s="6" t="s">
        <v>8657</v>
      </c>
      <c r="B49" s="158" t="s">
        <v>6983</v>
      </c>
      <c r="C49" s="6"/>
      <c r="D49" s="468" t="s">
        <v>8658</v>
      </c>
      <c r="E49" s="6" t="s">
        <v>8659</v>
      </c>
      <c r="F49" s="6"/>
      <c r="G49" s="6"/>
      <c r="H49" s="158" t="s">
        <v>8512</v>
      </c>
      <c r="I49" s="22" t="s">
        <v>8660</v>
      </c>
      <c r="J49" s="180" t="s">
        <v>8661</v>
      </c>
      <c r="K49" s="6"/>
      <c r="L49" s="475" t="s">
        <v>1808</v>
      </c>
      <c r="M49" s="160"/>
      <c r="N49" s="6" t="s">
        <v>6064</v>
      </c>
      <c r="O49" s="6"/>
      <c r="P49" s="6"/>
      <c r="Q49" s="54"/>
    </row>
    <row r="50" spans="1:17" ht="25.5">
      <c r="A50" s="6" t="s">
        <v>8662</v>
      </c>
      <c r="B50" s="158" t="s">
        <v>6983</v>
      </c>
      <c r="C50" s="6"/>
      <c r="D50" s="468" t="s">
        <v>8663</v>
      </c>
      <c r="E50" s="6" t="s">
        <v>8664</v>
      </c>
      <c r="F50" s="6"/>
      <c r="G50" s="6"/>
      <c r="H50" s="158" t="s">
        <v>8512</v>
      </c>
      <c r="I50" s="22" t="s">
        <v>8665</v>
      </c>
      <c r="J50" s="180" t="s">
        <v>8666</v>
      </c>
      <c r="K50" s="6" t="s">
        <v>8667</v>
      </c>
      <c r="L50" s="6" t="s">
        <v>6179</v>
      </c>
      <c r="M50" s="160" t="s">
        <v>8668</v>
      </c>
      <c r="N50" s="6" t="s">
        <v>6189</v>
      </c>
      <c r="O50" s="6"/>
      <c r="P50" s="6" t="s">
        <v>8280</v>
      </c>
      <c r="Q50" s="54"/>
    </row>
    <row r="51" spans="1:17" ht="25.5">
      <c r="A51" s="56" t="s">
        <v>8669</v>
      </c>
      <c r="B51" s="426" t="s">
        <v>6983</v>
      </c>
      <c r="C51" s="56"/>
      <c r="D51" s="56"/>
      <c r="E51" s="56" t="s">
        <v>8562</v>
      </c>
      <c r="F51" s="6"/>
      <c r="G51" s="56"/>
      <c r="H51" s="426" t="s">
        <v>8512</v>
      </c>
      <c r="I51" s="208"/>
      <c r="J51" s="191"/>
      <c r="K51" s="56"/>
      <c r="L51" s="544" t="s">
        <v>1808</v>
      </c>
      <c r="M51" s="56"/>
      <c r="N51" s="56" t="s">
        <v>7924</v>
      </c>
      <c r="O51" s="6"/>
      <c r="P51" s="6"/>
      <c r="Q51" s="54"/>
    </row>
    <row r="52" spans="1:17" ht="25.5">
      <c r="A52" s="56" t="s">
        <v>8670</v>
      </c>
      <c r="B52" s="426" t="s">
        <v>6983</v>
      </c>
      <c r="C52" s="56"/>
      <c r="D52" s="56"/>
      <c r="E52" s="56"/>
      <c r="F52" s="6"/>
      <c r="G52" s="56"/>
      <c r="H52" s="426" t="s">
        <v>8512</v>
      </c>
      <c r="I52" s="208"/>
      <c r="J52" s="554"/>
      <c r="K52" s="56"/>
      <c r="L52" s="544" t="s">
        <v>1808</v>
      </c>
      <c r="M52" s="551"/>
      <c r="N52" s="56" t="s">
        <v>7924</v>
      </c>
      <c r="O52" s="6"/>
      <c r="P52" s="6"/>
      <c r="Q52" s="54"/>
    </row>
    <row r="53" spans="1:17" ht="25.5">
      <c r="A53" s="56" t="s">
        <v>8671</v>
      </c>
      <c r="B53" s="426" t="s">
        <v>6983</v>
      </c>
      <c r="C53" s="56"/>
      <c r="D53" s="56"/>
      <c r="E53" s="56"/>
      <c r="F53" s="6"/>
      <c r="G53" s="56"/>
      <c r="H53" s="426" t="s">
        <v>8512</v>
      </c>
      <c r="I53" s="208"/>
      <c r="J53" s="554"/>
      <c r="K53" s="56"/>
      <c r="L53" s="544" t="s">
        <v>1808</v>
      </c>
      <c r="M53" s="56"/>
      <c r="N53" s="56" t="s">
        <v>7924</v>
      </c>
      <c r="O53" s="6"/>
      <c r="P53" s="6"/>
      <c r="Q53" s="54"/>
    </row>
    <row r="54" spans="1:17" ht="38.25">
      <c r="A54" s="6" t="s">
        <v>8672</v>
      </c>
      <c r="B54" s="158" t="s">
        <v>6983</v>
      </c>
      <c r="C54" s="6"/>
      <c r="D54" s="468" t="s">
        <v>8673</v>
      </c>
      <c r="E54" s="6" t="s">
        <v>8674</v>
      </c>
      <c r="F54" s="6"/>
      <c r="G54" s="6"/>
      <c r="H54" s="158" t="s">
        <v>8512</v>
      </c>
      <c r="I54" s="22" t="s">
        <v>8675</v>
      </c>
      <c r="J54" s="180" t="s">
        <v>8676</v>
      </c>
      <c r="K54" s="6" t="s">
        <v>8677</v>
      </c>
      <c r="L54" s="6" t="s">
        <v>6132</v>
      </c>
      <c r="M54" s="6" t="s">
        <v>8678</v>
      </c>
      <c r="N54" s="6" t="s">
        <v>6941</v>
      </c>
      <c r="O54" s="6"/>
      <c r="P54" s="6" t="s">
        <v>1828</v>
      </c>
      <c r="Q54" s="54"/>
    </row>
    <row r="55" spans="1:17" ht="38.25">
      <c r="A55" s="6" t="s">
        <v>8679</v>
      </c>
      <c r="B55" s="158" t="s">
        <v>6983</v>
      </c>
      <c r="C55" s="6"/>
      <c r="D55" s="468" t="s">
        <v>8680</v>
      </c>
      <c r="E55" s="6" t="s">
        <v>8681</v>
      </c>
      <c r="F55" s="6"/>
      <c r="G55" s="6"/>
      <c r="H55" s="158" t="s">
        <v>8512</v>
      </c>
      <c r="I55" s="22" t="s">
        <v>8682</v>
      </c>
      <c r="J55" s="180" t="s">
        <v>8683</v>
      </c>
      <c r="K55" s="6" t="s">
        <v>8684</v>
      </c>
      <c r="L55" s="475" t="s">
        <v>1808</v>
      </c>
      <c r="M55" s="6"/>
      <c r="N55" s="6" t="s">
        <v>8685</v>
      </c>
      <c r="O55" s="6"/>
      <c r="P55" s="6"/>
      <c r="Q55" s="54"/>
    </row>
    <row r="56" spans="1:17" ht="25.5">
      <c r="A56" s="6" t="s">
        <v>8686</v>
      </c>
      <c r="B56" s="158" t="s">
        <v>6983</v>
      </c>
      <c r="C56" s="6"/>
      <c r="D56" s="468" t="s">
        <v>8680</v>
      </c>
      <c r="E56" s="6" t="s">
        <v>8687</v>
      </c>
      <c r="F56" s="6"/>
      <c r="G56" s="6"/>
      <c r="H56" s="158" t="s">
        <v>8512</v>
      </c>
      <c r="I56" s="22" t="s">
        <v>8688</v>
      </c>
      <c r="J56" s="180" t="s">
        <v>8689</v>
      </c>
      <c r="K56" s="6" t="s">
        <v>8690</v>
      </c>
      <c r="L56" s="475" t="s">
        <v>1808</v>
      </c>
      <c r="M56" s="6" t="s">
        <v>8691</v>
      </c>
      <c r="N56" s="6" t="s">
        <v>6189</v>
      </c>
      <c r="O56" s="6"/>
      <c r="P56" s="6" t="s">
        <v>1879</v>
      </c>
      <c r="Q56" s="54"/>
    </row>
    <row r="57" spans="1:17" ht="38.25">
      <c r="A57" s="6" t="s">
        <v>8692</v>
      </c>
      <c r="B57" s="158" t="s">
        <v>6983</v>
      </c>
      <c r="C57" s="6"/>
      <c r="D57" s="468" t="s">
        <v>8693</v>
      </c>
      <c r="E57" s="6" t="s">
        <v>8694</v>
      </c>
      <c r="F57" s="6"/>
      <c r="G57" s="6"/>
      <c r="H57" s="158" t="s">
        <v>8512</v>
      </c>
      <c r="I57" s="22" t="s">
        <v>8695</v>
      </c>
      <c r="J57" s="180" t="s">
        <v>8696</v>
      </c>
      <c r="K57" s="6" t="s">
        <v>8697</v>
      </c>
      <c r="L57" s="475" t="s">
        <v>1808</v>
      </c>
      <c r="M57" s="160" t="s">
        <v>8698</v>
      </c>
      <c r="N57" s="6" t="s">
        <v>6104</v>
      </c>
      <c r="O57" s="6"/>
      <c r="P57" s="6" t="s">
        <v>6370</v>
      </c>
      <c r="Q57" s="54"/>
    </row>
    <row r="58" spans="1:17" ht="76.5">
      <c r="A58" s="6" t="s">
        <v>8699</v>
      </c>
      <c r="B58" s="158" t="s">
        <v>6983</v>
      </c>
      <c r="C58" s="6"/>
      <c r="D58" s="468" t="s">
        <v>8700</v>
      </c>
      <c r="E58" s="6" t="s">
        <v>8701</v>
      </c>
      <c r="F58" s="6"/>
      <c r="G58" s="6"/>
      <c r="H58" s="158" t="s">
        <v>8512</v>
      </c>
      <c r="I58" s="22" t="s">
        <v>8702</v>
      </c>
      <c r="J58" s="54" t="s">
        <v>8703</v>
      </c>
      <c r="K58" s="6" t="s">
        <v>581</v>
      </c>
      <c r="L58" s="475" t="s">
        <v>1808</v>
      </c>
      <c r="M58" s="160" t="s">
        <v>8704</v>
      </c>
      <c r="N58" s="6" t="s">
        <v>6217</v>
      </c>
      <c r="O58" s="6"/>
      <c r="P58" s="6" t="s">
        <v>6370</v>
      </c>
      <c r="Q58" s="54"/>
    </row>
    <row r="59" spans="1:17" ht="51">
      <c r="A59" s="6" t="s">
        <v>8705</v>
      </c>
      <c r="B59" s="158" t="s">
        <v>6983</v>
      </c>
      <c r="C59" s="6"/>
      <c r="D59" s="468" t="s">
        <v>8706</v>
      </c>
      <c r="E59" s="6" t="s">
        <v>8707</v>
      </c>
      <c r="F59" s="6"/>
      <c r="G59" s="6"/>
      <c r="H59" s="158" t="s">
        <v>8512</v>
      </c>
      <c r="I59" s="22" t="s">
        <v>8708</v>
      </c>
      <c r="J59" s="180" t="s">
        <v>8709</v>
      </c>
      <c r="K59" s="6" t="s">
        <v>8710</v>
      </c>
      <c r="L59" s="6" t="s">
        <v>6132</v>
      </c>
      <c r="M59" s="160" t="s">
        <v>3500</v>
      </c>
      <c r="N59" s="6" t="s">
        <v>8711</v>
      </c>
      <c r="O59" s="6"/>
      <c r="P59" s="6" t="s">
        <v>1847</v>
      </c>
      <c r="Q59" s="54"/>
    </row>
    <row r="60" spans="1:17" ht="63.75">
      <c r="A60" s="6" t="s">
        <v>8712</v>
      </c>
      <c r="B60" s="158" t="s">
        <v>6983</v>
      </c>
      <c r="C60" s="6"/>
      <c r="D60" s="468" t="s">
        <v>8713</v>
      </c>
      <c r="E60" s="6" t="s">
        <v>8714</v>
      </c>
      <c r="F60" s="6"/>
      <c r="G60" s="6"/>
      <c r="H60" s="158" t="s">
        <v>8512</v>
      </c>
      <c r="I60" s="22" t="s">
        <v>8715</v>
      </c>
      <c r="J60" s="180" t="s">
        <v>8716</v>
      </c>
      <c r="K60" s="6" t="s">
        <v>8717</v>
      </c>
      <c r="L60" s="6" t="s">
        <v>6179</v>
      </c>
      <c r="M60" s="160"/>
      <c r="N60" s="6" t="s">
        <v>8711</v>
      </c>
      <c r="O60" s="6"/>
      <c r="P60" s="6"/>
      <c r="Q60" s="54"/>
    </row>
    <row r="61" spans="1:17" ht="25.5">
      <c r="A61" s="56" t="s">
        <v>8718</v>
      </c>
      <c r="B61" s="426" t="s">
        <v>6983</v>
      </c>
      <c r="C61" s="56"/>
      <c r="D61" s="56"/>
      <c r="E61" s="56"/>
      <c r="F61" s="6"/>
      <c r="G61" s="56"/>
      <c r="H61" s="426" t="s">
        <v>8512</v>
      </c>
      <c r="I61" s="208"/>
      <c r="J61" s="191"/>
      <c r="K61" s="56"/>
      <c r="L61" s="475" t="s">
        <v>1808</v>
      </c>
      <c r="M61" s="551"/>
      <c r="N61" s="56" t="s">
        <v>7924</v>
      </c>
      <c r="O61" s="6"/>
      <c r="P61" s="6"/>
      <c r="Q61" s="54"/>
    </row>
    <row r="62" spans="1:17" ht="76.5">
      <c r="A62" s="6" t="s">
        <v>8719</v>
      </c>
      <c r="B62" s="158" t="s">
        <v>6983</v>
      </c>
      <c r="C62" s="6"/>
      <c r="D62" s="468" t="s">
        <v>8720</v>
      </c>
      <c r="E62" s="6" t="s">
        <v>8721</v>
      </c>
      <c r="F62" s="6"/>
      <c r="G62" s="6"/>
      <c r="H62" s="158" t="s">
        <v>8512</v>
      </c>
      <c r="I62" s="22" t="s">
        <v>8660</v>
      </c>
      <c r="J62" s="180" t="s">
        <v>8722</v>
      </c>
      <c r="K62" s="6" t="s">
        <v>8697</v>
      </c>
      <c r="L62" s="475" t="s">
        <v>1808</v>
      </c>
      <c r="M62" s="160" t="s">
        <v>8698</v>
      </c>
      <c r="N62" s="6" t="s">
        <v>6137</v>
      </c>
      <c r="O62" s="6"/>
      <c r="P62" s="6" t="s">
        <v>6370</v>
      </c>
      <c r="Q62" s="54"/>
    </row>
    <row r="63" spans="1:17" ht="51">
      <c r="A63" s="6" t="s">
        <v>8723</v>
      </c>
      <c r="B63" s="158" t="s">
        <v>6983</v>
      </c>
      <c r="C63" s="6"/>
      <c r="D63" s="468" t="s">
        <v>8724</v>
      </c>
      <c r="E63" s="6" t="s">
        <v>8549</v>
      </c>
      <c r="F63" s="6"/>
      <c r="G63" s="6"/>
      <c r="H63" s="158" t="s">
        <v>8512</v>
      </c>
      <c r="I63" s="22" t="s">
        <v>8725</v>
      </c>
      <c r="J63" s="180" t="s">
        <v>8726</v>
      </c>
      <c r="K63" s="6" t="s">
        <v>8727</v>
      </c>
      <c r="L63" s="475" t="s">
        <v>1808</v>
      </c>
      <c r="M63" s="160"/>
      <c r="N63" s="6" t="s">
        <v>6189</v>
      </c>
      <c r="O63" s="6"/>
      <c r="P63" s="6"/>
      <c r="Q63" s="54"/>
    </row>
    <row r="64" spans="1:17" ht="38.25">
      <c r="A64" s="6" t="s">
        <v>8728</v>
      </c>
      <c r="B64" s="158" t="s">
        <v>6983</v>
      </c>
      <c r="C64" s="6"/>
      <c r="D64" s="468" t="s">
        <v>8729</v>
      </c>
      <c r="E64" s="6" t="s">
        <v>8730</v>
      </c>
      <c r="F64" s="6"/>
      <c r="G64" s="6"/>
      <c r="H64" s="158" t="s">
        <v>8512</v>
      </c>
      <c r="I64" s="22" t="s">
        <v>8731</v>
      </c>
      <c r="J64" s="190" t="s">
        <v>8130</v>
      </c>
      <c r="K64" s="6" t="s">
        <v>8732</v>
      </c>
      <c r="L64" s="475" t="s">
        <v>6132</v>
      </c>
      <c r="M64" s="6" t="s">
        <v>8733</v>
      </c>
      <c r="N64" s="6" t="s">
        <v>6137</v>
      </c>
      <c r="O64" s="6"/>
      <c r="P64" s="6" t="s">
        <v>1847</v>
      </c>
      <c r="Q64" s="54"/>
    </row>
    <row r="65" spans="1:17" ht="25.5">
      <c r="A65" s="56" t="s">
        <v>8734</v>
      </c>
      <c r="B65" s="426" t="s">
        <v>6983</v>
      </c>
      <c r="C65" s="56"/>
      <c r="D65" s="56"/>
      <c r="E65" s="56"/>
      <c r="F65" s="6"/>
      <c r="G65" s="56"/>
      <c r="H65" s="426" t="s">
        <v>8512</v>
      </c>
      <c r="I65" s="208"/>
      <c r="J65" s="191"/>
      <c r="K65" s="56"/>
      <c r="L65" s="475" t="s">
        <v>1808</v>
      </c>
      <c r="M65" s="56"/>
      <c r="N65" s="56" t="s">
        <v>7924</v>
      </c>
      <c r="O65" s="6"/>
      <c r="P65" s="6"/>
      <c r="Q65" s="54"/>
    </row>
    <row r="66" spans="1:17" ht="25.5">
      <c r="A66" s="56" t="s">
        <v>8735</v>
      </c>
      <c r="B66" s="426" t="s">
        <v>6983</v>
      </c>
      <c r="C66" s="56"/>
      <c r="D66" s="56"/>
      <c r="E66" s="56"/>
      <c r="F66" s="6"/>
      <c r="G66" s="56"/>
      <c r="H66" s="426" t="s">
        <v>8512</v>
      </c>
      <c r="I66" s="208"/>
      <c r="J66" s="191"/>
      <c r="K66" s="56"/>
      <c r="L66" s="475" t="s">
        <v>1808</v>
      </c>
      <c r="M66" s="56"/>
      <c r="N66" s="56" t="s">
        <v>7924</v>
      </c>
      <c r="O66" s="6"/>
      <c r="P66" s="6"/>
      <c r="Q66" s="54"/>
    </row>
    <row r="67" spans="1:17" ht="25.5">
      <c r="A67" s="56" t="s">
        <v>8736</v>
      </c>
      <c r="B67" s="426" t="s">
        <v>6983</v>
      </c>
      <c r="C67" s="56"/>
      <c r="D67" s="56"/>
      <c r="E67" s="56"/>
      <c r="F67" s="6"/>
      <c r="G67" s="56"/>
      <c r="H67" s="426" t="s">
        <v>8512</v>
      </c>
      <c r="I67" s="208"/>
      <c r="J67" s="191"/>
      <c r="K67" s="56"/>
      <c r="L67" s="475" t="s">
        <v>1808</v>
      </c>
      <c r="M67" s="56"/>
      <c r="N67" s="56" t="s">
        <v>7924</v>
      </c>
      <c r="O67" s="6"/>
      <c r="P67" s="6"/>
      <c r="Q67" s="54"/>
    </row>
    <row r="68" spans="1:17" ht="25.5">
      <c r="A68" s="56" t="s">
        <v>8737</v>
      </c>
      <c r="B68" s="426" t="s">
        <v>6983</v>
      </c>
      <c r="C68" s="56"/>
      <c r="D68" s="56"/>
      <c r="E68" s="56"/>
      <c r="F68" s="6"/>
      <c r="G68" s="56"/>
      <c r="H68" s="426" t="s">
        <v>8512</v>
      </c>
      <c r="I68" s="208"/>
      <c r="J68" s="191"/>
      <c r="K68" s="56"/>
      <c r="L68" s="475" t="s">
        <v>1808</v>
      </c>
      <c r="M68" s="56"/>
      <c r="N68" s="56" t="s">
        <v>7924</v>
      </c>
      <c r="O68" s="6"/>
      <c r="P68" s="6"/>
      <c r="Q68" s="54"/>
    </row>
    <row r="69" spans="1:17" ht="25.5">
      <c r="A69" s="56" t="s">
        <v>8738</v>
      </c>
      <c r="B69" s="426" t="s">
        <v>6983</v>
      </c>
      <c r="C69" s="56"/>
      <c r="D69" s="56"/>
      <c r="E69" s="56"/>
      <c r="F69" s="6"/>
      <c r="G69" s="56"/>
      <c r="H69" s="426" t="s">
        <v>8512</v>
      </c>
      <c r="I69" s="208"/>
      <c r="J69" s="191"/>
      <c r="K69" s="56"/>
      <c r="L69" s="475" t="s">
        <v>1808</v>
      </c>
      <c r="M69" s="56"/>
      <c r="N69" s="56" t="s">
        <v>7924</v>
      </c>
      <c r="O69" s="6"/>
      <c r="P69" s="6"/>
      <c r="Q69" s="54"/>
    </row>
    <row r="70" spans="1:17" ht="25.5">
      <c r="A70" s="56" t="s">
        <v>8739</v>
      </c>
      <c r="B70" s="426" t="s">
        <v>6983</v>
      </c>
      <c r="C70" s="56"/>
      <c r="D70" s="56"/>
      <c r="E70" s="56"/>
      <c r="F70" s="6"/>
      <c r="G70" s="56"/>
      <c r="H70" s="426" t="s">
        <v>8512</v>
      </c>
      <c r="I70" s="208"/>
      <c r="J70" s="191"/>
      <c r="K70" s="56" t="s">
        <v>997</v>
      </c>
      <c r="L70" s="475" t="s">
        <v>1808</v>
      </c>
      <c r="M70" s="56"/>
      <c r="N70" s="56" t="s">
        <v>7924</v>
      </c>
      <c r="O70" s="6"/>
      <c r="P70" s="6"/>
      <c r="Q70" s="54"/>
    </row>
    <row r="71" spans="1:17" ht="76.5">
      <c r="A71" s="6" t="s">
        <v>8740</v>
      </c>
      <c r="B71" s="158" t="s">
        <v>6983</v>
      </c>
      <c r="C71" s="6"/>
      <c r="D71" s="468" t="s">
        <v>8741</v>
      </c>
      <c r="E71" s="6" t="s">
        <v>8742</v>
      </c>
      <c r="F71" s="6"/>
      <c r="G71" s="6"/>
      <c r="H71" s="158" t="s">
        <v>8512</v>
      </c>
      <c r="I71" s="22" t="s">
        <v>8163</v>
      </c>
      <c r="J71" s="180" t="s">
        <v>8743</v>
      </c>
      <c r="K71" s="6" t="s">
        <v>8744</v>
      </c>
      <c r="L71" s="6" t="s">
        <v>6132</v>
      </c>
      <c r="M71" s="6"/>
      <c r="N71" s="6" t="s">
        <v>6217</v>
      </c>
      <c r="O71" s="6"/>
      <c r="P71" s="6"/>
      <c r="Q71" s="54"/>
    </row>
    <row r="72" spans="1:17" ht="25.5">
      <c r="A72" s="56" t="s">
        <v>8745</v>
      </c>
      <c r="B72" s="426" t="s">
        <v>6983</v>
      </c>
      <c r="C72" s="56"/>
      <c r="D72" s="56"/>
      <c r="E72" s="56"/>
      <c r="F72" s="6"/>
      <c r="G72" s="56"/>
      <c r="H72" s="426" t="s">
        <v>8512</v>
      </c>
      <c r="I72" s="208"/>
      <c r="J72" s="191"/>
      <c r="K72" s="56"/>
      <c r="L72" s="475" t="s">
        <v>1808</v>
      </c>
      <c r="M72" s="56"/>
      <c r="N72" s="56" t="s">
        <v>7924</v>
      </c>
      <c r="O72" s="6"/>
      <c r="P72" s="6"/>
      <c r="Q72" s="54"/>
    </row>
    <row r="73" spans="1:17" ht="38.25">
      <c r="A73" s="6" t="s">
        <v>8746</v>
      </c>
      <c r="B73" s="158" t="s">
        <v>6983</v>
      </c>
      <c r="C73" s="6"/>
      <c r="D73" s="468" t="s">
        <v>8747</v>
      </c>
      <c r="E73" s="6" t="s">
        <v>8748</v>
      </c>
      <c r="F73" s="6"/>
      <c r="G73" s="6"/>
      <c r="H73" s="158" t="s">
        <v>8512</v>
      </c>
      <c r="I73" s="22" t="s">
        <v>8749</v>
      </c>
      <c r="J73" s="180" t="s">
        <v>8750</v>
      </c>
      <c r="K73" s="6" t="s">
        <v>8751</v>
      </c>
      <c r="L73" s="6" t="s">
        <v>6179</v>
      </c>
      <c r="M73" s="6" t="s">
        <v>8243</v>
      </c>
      <c r="N73" s="6" t="s">
        <v>6064</v>
      </c>
      <c r="O73" s="6"/>
      <c r="P73" s="6" t="s">
        <v>1847</v>
      </c>
      <c r="Q73" s="54"/>
    </row>
    <row r="74" spans="1:17" ht="38.25">
      <c r="A74" s="6" t="s">
        <v>8752</v>
      </c>
      <c r="B74" s="158" t="s">
        <v>6983</v>
      </c>
      <c r="C74" s="6"/>
      <c r="D74" s="468" t="s">
        <v>8753</v>
      </c>
      <c r="E74" s="6" t="s">
        <v>8754</v>
      </c>
      <c r="F74" s="6"/>
      <c r="G74" s="6"/>
      <c r="H74" s="158" t="s">
        <v>8512</v>
      </c>
      <c r="I74" s="22" t="s">
        <v>8755</v>
      </c>
      <c r="J74" s="180" t="s">
        <v>8756</v>
      </c>
      <c r="K74" s="6" t="s">
        <v>8757</v>
      </c>
      <c r="L74" s="6" t="s">
        <v>6132</v>
      </c>
      <c r="M74" s="6" t="s">
        <v>8758</v>
      </c>
      <c r="N74" s="6" t="s">
        <v>6064</v>
      </c>
      <c r="O74" s="6"/>
      <c r="P74" s="6" t="s">
        <v>1847</v>
      </c>
      <c r="Q74" s="54"/>
    </row>
    <row r="75" spans="1:17" ht="38.25">
      <c r="A75" s="6" t="s">
        <v>8759</v>
      </c>
      <c r="B75" s="158" t="s">
        <v>6983</v>
      </c>
      <c r="C75" s="6"/>
      <c r="D75" s="468" t="s">
        <v>8760</v>
      </c>
      <c r="E75" s="6" t="s">
        <v>8754</v>
      </c>
      <c r="F75" s="6"/>
      <c r="G75" s="6"/>
      <c r="H75" s="158" t="s">
        <v>8512</v>
      </c>
      <c r="I75" s="22" t="s">
        <v>8761</v>
      </c>
      <c r="J75" s="180" t="s">
        <v>8762</v>
      </c>
      <c r="K75" s="6" t="s">
        <v>8763</v>
      </c>
      <c r="L75" s="6" t="s">
        <v>6132</v>
      </c>
      <c r="M75" s="6" t="s">
        <v>8243</v>
      </c>
      <c r="N75" s="6" t="s">
        <v>6064</v>
      </c>
      <c r="O75" s="6"/>
      <c r="P75" s="6" t="s">
        <v>1847</v>
      </c>
      <c r="Q75" s="54"/>
    </row>
    <row r="76" spans="1:17" ht="38.25">
      <c r="A76" s="6" t="s">
        <v>8764</v>
      </c>
      <c r="B76" s="158" t="s">
        <v>6983</v>
      </c>
      <c r="C76" s="6"/>
      <c r="D76" s="468" t="s">
        <v>8765</v>
      </c>
      <c r="E76" s="6" t="s">
        <v>8766</v>
      </c>
      <c r="F76" s="6"/>
      <c r="G76" s="6"/>
      <c r="H76" s="158" t="s">
        <v>8512</v>
      </c>
      <c r="I76" s="22" t="s">
        <v>8767</v>
      </c>
      <c r="J76" s="180" t="s">
        <v>8768</v>
      </c>
      <c r="K76" s="6" t="s">
        <v>8769</v>
      </c>
      <c r="L76" s="6" t="s">
        <v>6132</v>
      </c>
      <c r="M76" s="6" t="s">
        <v>8770</v>
      </c>
      <c r="N76" s="6" t="s">
        <v>6064</v>
      </c>
      <c r="O76" s="6"/>
      <c r="P76" s="6" t="s">
        <v>2656</v>
      </c>
      <c r="Q76" s="54"/>
    </row>
    <row r="77" spans="1:17" ht="114.75">
      <c r="A77" s="6" t="s">
        <v>8771</v>
      </c>
      <c r="B77" s="158" t="s">
        <v>6983</v>
      </c>
      <c r="C77" s="6"/>
      <c r="D77" s="468" t="s">
        <v>8772</v>
      </c>
      <c r="E77" s="6" t="s">
        <v>8773</v>
      </c>
      <c r="F77" s="6"/>
      <c r="G77" s="6"/>
      <c r="H77" s="158" t="s">
        <v>8512</v>
      </c>
      <c r="I77" s="22" t="s">
        <v>8774</v>
      </c>
      <c r="J77" s="180" t="s">
        <v>8775</v>
      </c>
      <c r="K77" s="6" t="s">
        <v>8776</v>
      </c>
      <c r="L77" s="475" t="s">
        <v>1808</v>
      </c>
      <c r="M77" s="6" t="s">
        <v>8777</v>
      </c>
      <c r="N77" s="6" t="s">
        <v>6064</v>
      </c>
      <c r="O77" s="6"/>
      <c r="P77" s="6" t="s">
        <v>2467</v>
      </c>
      <c r="Q77" s="54"/>
    </row>
    <row r="78" spans="1:17" ht="25.5">
      <c r="A78" s="56" t="s">
        <v>8778</v>
      </c>
      <c r="B78" s="426" t="s">
        <v>6983</v>
      </c>
      <c r="C78" s="56"/>
      <c r="D78" s="56"/>
      <c r="E78" s="56"/>
      <c r="F78" s="6"/>
      <c r="G78" s="56"/>
      <c r="H78" s="426" t="s">
        <v>8512</v>
      </c>
      <c r="I78" s="208"/>
      <c r="J78" s="191"/>
      <c r="K78" s="56"/>
      <c r="L78" s="475" t="s">
        <v>1808</v>
      </c>
      <c r="M78" s="56"/>
      <c r="N78" s="56" t="s">
        <v>7924</v>
      </c>
      <c r="O78" s="6"/>
      <c r="P78" s="6"/>
      <c r="Q78" s="54"/>
    </row>
    <row r="79" spans="1:17" ht="25.5">
      <c r="A79" s="56" t="s">
        <v>8779</v>
      </c>
      <c r="B79" s="426" t="s">
        <v>6983</v>
      </c>
      <c r="C79" s="56"/>
      <c r="D79" s="56"/>
      <c r="E79" s="56"/>
      <c r="F79" s="6"/>
      <c r="G79" s="56"/>
      <c r="H79" s="426" t="s">
        <v>8512</v>
      </c>
      <c r="I79" s="208"/>
      <c r="J79" s="191"/>
      <c r="K79" s="56"/>
      <c r="L79" s="475" t="s">
        <v>1808</v>
      </c>
      <c r="M79" s="56"/>
      <c r="N79" s="56" t="s">
        <v>7924</v>
      </c>
      <c r="O79" s="6"/>
      <c r="P79" s="6"/>
      <c r="Q79" s="54"/>
    </row>
    <row r="80" spans="1:17" ht="63.75">
      <c r="A80" s="6" t="s">
        <v>8780</v>
      </c>
      <c r="B80" s="158" t="s">
        <v>6983</v>
      </c>
      <c r="C80" s="6"/>
      <c r="D80" s="468" t="s">
        <v>8781</v>
      </c>
      <c r="E80" s="6" t="s">
        <v>8782</v>
      </c>
      <c r="F80" s="6"/>
      <c r="G80" s="6"/>
      <c r="H80" s="158" t="s">
        <v>8512</v>
      </c>
      <c r="I80" s="22" t="s">
        <v>8783</v>
      </c>
      <c r="J80" s="180" t="s">
        <v>8784</v>
      </c>
      <c r="K80" s="6" t="s">
        <v>8785</v>
      </c>
      <c r="L80" s="475" t="s">
        <v>1808</v>
      </c>
      <c r="M80" s="6" t="s">
        <v>8786</v>
      </c>
      <c r="N80" s="6" t="s">
        <v>6137</v>
      </c>
      <c r="O80" s="6"/>
      <c r="P80" s="6" t="s">
        <v>5712</v>
      </c>
      <c r="Q80" s="54"/>
    </row>
    <row r="81" spans="1:17" ht="38.25">
      <c r="A81" s="6" t="s">
        <v>8787</v>
      </c>
      <c r="B81" s="158" t="s">
        <v>6983</v>
      </c>
      <c r="C81" s="6"/>
      <c r="D81" s="468" t="s">
        <v>8788</v>
      </c>
      <c r="E81" s="6" t="s">
        <v>8789</v>
      </c>
      <c r="F81" s="6"/>
      <c r="G81" s="6"/>
      <c r="H81" s="158" t="s">
        <v>8512</v>
      </c>
      <c r="I81" s="22" t="s">
        <v>8790</v>
      </c>
      <c r="J81" s="180" t="s">
        <v>8791</v>
      </c>
      <c r="K81" s="6" t="s">
        <v>8792</v>
      </c>
      <c r="L81" s="475" t="s">
        <v>1808</v>
      </c>
      <c r="M81" s="6" t="s">
        <v>8793</v>
      </c>
      <c r="N81" s="6" t="s">
        <v>6137</v>
      </c>
      <c r="O81" s="6"/>
      <c r="P81" s="6" t="s">
        <v>2467</v>
      </c>
      <c r="Q81" s="54"/>
    </row>
    <row r="82" spans="1:17" ht="51">
      <c r="A82" s="6" t="s">
        <v>8794</v>
      </c>
      <c r="B82" s="158" t="s">
        <v>6983</v>
      </c>
      <c r="C82" s="6"/>
      <c r="D82" s="468" t="s">
        <v>8795</v>
      </c>
      <c r="E82" s="6" t="s">
        <v>8796</v>
      </c>
      <c r="F82" s="6"/>
      <c r="G82" s="6"/>
      <c r="H82" s="158" t="s">
        <v>8512</v>
      </c>
      <c r="I82" s="22" t="s">
        <v>8797</v>
      </c>
      <c r="J82" s="180" t="s">
        <v>8798</v>
      </c>
      <c r="K82" s="6" t="s">
        <v>8799</v>
      </c>
      <c r="L82" s="475" t="s">
        <v>1808</v>
      </c>
      <c r="M82" s="6" t="s">
        <v>8800</v>
      </c>
      <c r="N82" s="6" t="s">
        <v>6071</v>
      </c>
      <c r="O82" s="6"/>
      <c r="P82" s="6" t="s">
        <v>8280</v>
      </c>
      <c r="Q82" s="54"/>
    </row>
    <row r="83" spans="1:17" ht="38.25">
      <c r="A83" s="6" t="s">
        <v>8801</v>
      </c>
      <c r="B83" s="158" t="s">
        <v>6983</v>
      </c>
      <c r="C83" s="6"/>
      <c r="D83" s="468" t="s">
        <v>8802</v>
      </c>
      <c r="E83" s="6" t="s">
        <v>8754</v>
      </c>
      <c r="F83" s="6"/>
      <c r="G83" s="6"/>
      <c r="H83" s="158" t="s">
        <v>8512</v>
      </c>
      <c r="I83" s="22" t="s">
        <v>8803</v>
      </c>
      <c r="J83" s="180" t="s">
        <v>8804</v>
      </c>
      <c r="K83" s="6" t="s">
        <v>8805</v>
      </c>
      <c r="L83" s="6" t="s">
        <v>6132</v>
      </c>
      <c r="M83" s="6" t="s">
        <v>8806</v>
      </c>
      <c r="N83" s="6" t="s">
        <v>6064</v>
      </c>
      <c r="O83" s="6"/>
      <c r="P83" s="6" t="s">
        <v>1847</v>
      </c>
      <c r="Q83" s="54"/>
    </row>
    <row r="84" spans="1:17" ht="38.25">
      <c r="A84" s="6" t="s">
        <v>8807</v>
      </c>
      <c r="B84" s="158" t="s">
        <v>6983</v>
      </c>
      <c r="C84" s="6"/>
      <c r="D84" s="468" t="s">
        <v>8808</v>
      </c>
      <c r="E84" s="6" t="s">
        <v>8809</v>
      </c>
      <c r="F84" s="6"/>
      <c r="G84" s="6"/>
      <c r="H84" s="158" t="s">
        <v>8512</v>
      </c>
      <c r="I84" s="22" t="s">
        <v>8810</v>
      </c>
      <c r="J84" s="180" t="s">
        <v>8811</v>
      </c>
      <c r="K84" s="6" t="s">
        <v>8812</v>
      </c>
      <c r="L84" s="475" t="s">
        <v>1808</v>
      </c>
      <c r="M84" s="6"/>
      <c r="N84" s="6" t="s">
        <v>6064</v>
      </c>
      <c r="O84" s="6"/>
      <c r="P84" s="6"/>
      <c r="Q84" s="54"/>
    </row>
    <row r="85" spans="1:17" ht="38.25">
      <c r="A85" s="6" t="s">
        <v>8813</v>
      </c>
      <c r="B85" s="158" t="s">
        <v>6983</v>
      </c>
      <c r="C85" s="6"/>
      <c r="D85" s="468" t="s">
        <v>8814</v>
      </c>
      <c r="E85" s="6" t="s">
        <v>8815</v>
      </c>
      <c r="F85" s="6"/>
      <c r="G85" s="6"/>
      <c r="H85" s="158" t="s">
        <v>8512</v>
      </c>
      <c r="I85" s="22" t="s">
        <v>8816</v>
      </c>
      <c r="J85" s="180" t="s">
        <v>8817</v>
      </c>
      <c r="K85" s="6" t="s">
        <v>8818</v>
      </c>
      <c r="L85" s="6" t="s">
        <v>6132</v>
      </c>
      <c r="M85" s="6" t="s">
        <v>8819</v>
      </c>
      <c r="N85" s="6" t="s">
        <v>6941</v>
      </c>
      <c r="O85" s="6"/>
      <c r="P85" s="6" t="s">
        <v>2467</v>
      </c>
      <c r="Q85" s="54"/>
    </row>
    <row r="86" spans="1:17" ht="25.5">
      <c r="A86" s="56" t="s">
        <v>8820</v>
      </c>
      <c r="B86" s="426" t="s">
        <v>6983</v>
      </c>
      <c r="C86" s="56"/>
      <c r="D86" s="56"/>
      <c r="E86" s="56"/>
      <c r="F86" s="6"/>
      <c r="G86" s="56"/>
      <c r="H86" s="426" t="s">
        <v>8512</v>
      </c>
      <c r="I86" s="208"/>
      <c r="J86" s="191"/>
      <c r="K86" s="56"/>
      <c r="L86" s="544" t="s">
        <v>1808</v>
      </c>
      <c r="M86" s="56"/>
      <c r="N86" s="56" t="s">
        <v>7924</v>
      </c>
      <c r="O86" s="56"/>
      <c r="P86" s="56"/>
      <c r="Q86" s="54"/>
    </row>
    <row r="87" spans="1:17" ht="76.5">
      <c r="A87" s="6" t="s">
        <v>8821</v>
      </c>
      <c r="B87" s="158" t="s">
        <v>6983</v>
      </c>
      <c r="C87" s="6"/>
      <c r="D87" s="468" t="s">
        <v>8822</v>
      </c>
      <c r="E87" s="6" t="s">
        <v>8823</v>
      </c>
      <c r="F87" s="6"/>
      <c r="G87" s="6"/>
      <c r="H87" s="158" t="s">
        <v>8512</v>
      </c>
      <c r="I87" s="22" t="s">
        <v>8824</v>
      </c>
      <c r="J87" s="180" t="s">
        <v>8825</v>
      </c>
      <c r="K87" s="6" t="s">
        <v>8632</v>
      </c>
      <c r="L87" s="475" t="s">
        <v>1808</v>
      </c>
      <c r="M87" s="6" t="s">
        <v>8826</v>
      </c>
      <c r="N87" s="6" t="s">
        <v>6064</v>
      </c>
      <c r="O87" s="6"/>
      <c r="P87" s="6" t="s">
        <v>2449</v>
      </c>
      <c r="Q87" s="54"/>
    </row>
    <row r="88" spans="1:17" ht="51">
      <c r="A88" s="6" t="s">
        <v>8827</v>
      </c>
      <c r="B88" s="158" t="s">
        <v>6983</v>
      </c>
      <c r="C88" s="6"/>
      <c r="D88" s="468" t="s">
        <v>8828</v>
      </c>
      <c r="E88" s="6" t="s">
        <v>8829</v>
      </c>
      <c r="F88" s="6"/>
      <c r="G88" s="6"/>
      <c r="H88" s="158" t="s">
        <v>8512</v>
      </c>
      <c r="I88" s="22" t="s">
        <v>8218</v>
      </c>
      <c r="J88" s="180" t="s">
        <v>8830</v>
      </c>
      <c r="K88" s="6" t="s">
        <v>8831</v>
      </c>
      <c r="L88" s="6" t="s">
        <v>6132</v>
      </c>
      <c r="M88" s="6" t="s">
        <v>8832</v>
      </c>
      <c r="N88" s="6" t="s">
        <v>6104</v>
      </c>
      <c r="O88" s="6"/>
      <c r="P88" s="6" t="s">
        <v>1828</v>
      </c>
      <c r="Q88" s="54"/>
    </row>
    <row r="89" spans="1:17" ht="25.5">
      <c r="A89" s="56" t="s">
        <v>8833</v>
      </c>
      <c r="B89" s="426" t="s">
        <v>6983</v>
      </c>
      <c r="C89" s="56"/>
      <c r="D89" s="56"/>
      <c r="E89" s="56"/>
      <c r="F89" s="6"/>
      <c r="G89" s="56"/>
      <c r="H89" s="426" t="s">
        <v>8512</v>
      </c>
      <c r="I89" s="208"/>
      <c r="J89" s="191"/>
      <c r="K89" s="56"/>
      <c r="L89" s="475" t="s">
        <v>1808</v>
      </c>
      <c r="M89" s="56"/>
      <c r="N89" s="56" t="s">
        <v>7924</v>
      </c>
      <c r="O89" s="6"/>
      <c r="P89" s="6"/>
      <c r="Q89" s="54"/>
    </row>
    <row r="90" spans="1:17" ht="38.25">
      <c r="A90" s="6" t="s">
        <v>8834</v>
      </c>
      <c r="B90" s="158" t="s">
        <v>6983</v>
      </c>
      <c r="C90" s="6"/>
      <c r="D90" s="468" t="s">
        <v>8835</v>
      </c>
      <c r="E90" s="6" t="s">
        <v>8836</v>
      </c>
      <c r="F90" s="6"/>
      <c r="G90" s="6"/>
      <c r="H90" s="158" t="s">
        <v>8512</v>
      </c>
      <c r="I90" s="22" t="s">
        <v>8837</v>
      </c>
      <c r="J90" s="180" t="s">
        <v>8838</v>
      </c>
      <c r="K90" s="6" t="s">
        <v>722</v>
      </c>
      <c r="L90" s="475" t="s">
        <v>1808</v>
      </c>
      <c r="M90" s="6" t="s">
        <v>8839</v>
      </c>
      <c r="N90" s="6" t="s">
        <v>6064</v>
      </c>
      <c r="O90" s="6"/>
      <c r="P90" s="6" t="s">
        <v>8840</v>
      </c>
      <c r="Q90" s="54"/>
    </row>
    <row r="91" spans="1:17" ht="25.5">
      <c r="A91" s="56" t="s">
        <v>8841</v>
      </c>
      <c r="B91" s="426" t="s">
        <v>6983</v>
      </c>
      <c r="C91" s="56"/>
      <c r="D91" s="56"/>
      <c r="E91" s="56"/>
      <c r="F91" s="6"/>
      <c r="G91" s="56"/>
      <c r="H91" s="426" t="s">
        <v>8512</v>
      </c>
      <c r="I91" s="208"/>
      <c r="J91" s="191"/>
      <c r="K91" s="56"/>
      <c r="L91" s="475" t="s">
        <v>1808</v>
      </c>
      <c r="M91" s="56"/>
      <c r="N91" s="56" t="s">
        <v>7924</v>
      </c>
      <c r="O91" s="6"/>
      <c r="P91" s="6"/>
      <c r="Q91" s="54"/>
    </row>
    <row r="92" spans="1:17" ht="38.25">
      <c r="A92" s="6" t="s">
        <v>8842</v>
      </c>
      <c r="B92" s="158" t="s">
        <v>6983</v>
      </c>
      <c r="C92" s="6"/>
      <c r="D92" s="468" t="s">
        <v>8843</v>
      </c>
      <c r="E92" s="6" t="s">
        <v>8844</v>
      </c>
      <c r="F92" s="6"/>
      <c r="G92" s="6"/>
      <c r="H92" s="158" t="s">
        <v>8512</v>
      </c>
      <c r="I92" s="22" t="s">
        <v>8845</v>
      </c>
      <c r="J92" s="180" t="s">
        <v>8846</v>
      </c>
      <c r="K92" s="6"/>
      <c r="L92" s="475" t="s">
        <v>1808</v>
      </c>
      <c r="M92" s="6" t="s">
        <v>8847</v>
      </c>
      <c r="N92" s="6" t="s">
        <v>6064</v>
      </c>
      <c r="O92" s="6"/>
      <c r="P92" s="6" t="s">
        <v>1828</v>
      </c>
      <c r="Q92" s="54"/>
    </row>
    <row r="93" spans="1:17" ht="25.5">
      <c r="A93" s="6" t="s">
        <v>8848</v>
      </c>
      <c r="B93" s="158" t="s">
        <v>6983</v>
      </c>
      <c r="C93" s="6"/>
      <c r="D93" s="468" t="s">
        <v>8849</v>
      </c>
      <c r="E93" s="6" t="s">
        <v>8850</v>
      </c>
      <c r="F93" s="6"/>
      <c r="G93" s="6"/>
      <c r="H93" s="158" t="s">
        <v>8512</v>
      </c>
      <c r="I93" s="22" t="s">
        <v>8851</v>
      </c>
      <c r="J93" s="180" t="s">
        <v>8852</v>
      </c>
      <c r="K93" s="6" t="s">
        <v>8853</v>
      </c>
      <c r="L93" s="6" t="s">
        <v>6132</v>
      </c>
      <c r="M93" s="6" t="s">
        <v>8854</v>
      </c>
      <c r="N93" s="6" t="s">
        <v>6941</v>
      </c>
      <c r="O93" s="6"/>
      <c r="P93" s="6" t="s">
        <v>1828</v>
      </c>
      <c r="Q93" s="54"/>
    </row>
    <row r="94" spans="1:17" ht="76.5">
      <c r="A94" s="6" t="s">
        <v>8855</v>
      </c>
      <c r="B94" s="158" t="s">
        <v>6983</v>
      </c>
      <c r="C94" s="6"/>
      <c r="D94" s="468" t="s">
        <v>8856</v>
      </c>
      <c r="E94" s="6" t="s">
        <v>8857</v>
      </c>
      <c r="F94" s="6"/>
      <c r="G94" s="6"/>
      <c r="H94" s="158" t="s">
        <v>8512</v>
      </c>
      <c r="I94" s="22" t="s">
        <v>8858</v>
      </c>
      <c r="J94" s="180" t="s">
        <v>8859</v>
      </c>
      <c r="K94" s="6" t="s">
        <v>8625</v>
      </c>
      <c r="L94" s="475" t="s">
        <v>1808</v>
      </c>
      <c r="M94" s="6" t="s">
        <v>8860</v>
      </c>
      <c r="N94" s="6" t="s">
        <v>8861</v>
      </c>
      <c r="O94" s="6"/>
      <c r="P94" s="6" t="s">
        <v>8862</v>
      </c>
      <c r="Q94" s="54"/>
    </row>
    <row r="95" spans="1:17" ht="76.5">
      <c r="A95" s="555" t="s">
        <v>8863</v>
      </c>
      <c r="B95" s="158" t="s">
        <v>6983</v>
      </c>
      <c r="C95" s="6"/>
      <c r="D95" s="468" t="s">
        <v>8864</v>
      </c>
      <c r="E95" s="6" t="s">
        <v>8865</v>
      </c>
      <c r="F95" s="6"/>
      <c r="G95" s="6"/>
      <c r="H95" s="158" t="s">
        <v>8512</v>
      </c>
      <c r="I95" s="22" t="s">
        <v>8866</v>
      </c>
      <c r="J95" s="180" t="s">
        <v>8867</v>
      </c>
      <c r="K95" s="6" t="s">
        <v>8868</v>
      </c>
      <c r="L95" s="475" t="s">
        <v>1808</v>
      </c>
      <c r="M95" s="6" t="s">
        <v>8869</v>
      </c>
      <c r="N95" s="6" t="s">
        <v>8861</v>
      </c>
      <c r="O95" s="6"/>
      <c r="P95" s="6" t="s">
        <v>6314</v>
      </c>
      <c r="Q95" s="54"/>
    </row>
    <row r="96" spans="1:17" ht="25.5">
      <c r="A96" s="56" t="s">
        <v>8870</v>
      </c>
      <c r="B96" s="426" t="s">
        <v>6983</v>
      </c>
      <c r="C96" s="56"/>
      <c r="D96" s="56"/>
      <c r="E96" s="56"/>
      <c r="F96" s="6"/>
      <c r="G96" s="56"/>
      <c r="H96" s="426" t="s">
        <v>8512</v>
      </c>
      <c r="I96" s="208"/>
      <c r="J96" s="191"/>
      <c r="K96" s="56"/>
      <c r="L96" s="475" t="s">
        <v>1808</v>
      </c>
      <c r="M96" s="56"/>
      <c r="N96" s="56" t="s">
        <v>7924</v>
      </c>
      <c r="O96" s="6"/>
      <c r="P96" s="6"/>
      <c r="Q96" s="54"/>
    </row>
    <row r="97" spans="1:17" ht="63.75">
      <c r="A97" s="6" t="s">
        <v>8871</v>
      </c>
      <c r="B97" s="158" t="s">
        <v>6983</v>
      </c>
      <c r="C97" s="6"/>
      <c r="D97" s="468" t="s">
        <v>8872</v>
      </c>
      <c r="E97" s="6" t="s">
        <v>8873</v>
      </c>
      <c r="F97" s="6"/>
      <c r="G97" s="6"/>
      <c r="H97" s="158" t="s">
        <v>8512</v>
      </c>
      <c r="I97" s="22" t="s">
        <v>8874</v>
      </c>
      <c r="J97" s="180" t="s">
        <v>8875</v>
      </c>
      <c r="K97" s="6" t="s">
        <v>8876</v>
      </c>
      <c r="L97" s="6" t="s">
        <v>6132</v>
      </c>
      <c r="M97" s="6" t="s">
        <v>8877</v>
      </c>
      <c r="N97" s="6" t="s">
        <v>8878</v>
      </c>
      <c r="O97" s="6"/>
      <c r="P97" s="6" t="s">
        <v>2611</v>
      </c>
      <c r="Q97" s="54"/>
    </row>
    <row r="98" spans="1:17" ht="51">
      <c r="A98" s="6" t="s">
        <v>8879</v>
      </c>
      <c r="B98" s="158" t="s">
        <v>6983</v>
      </c>
      <c r="C98" s="6"/>
      <c r="D98" s="468" t="s">
        <v>8880</v>
      </c>
      <c r="E98" s="6" t="s">
        <v>8881</v>
      </c>
      <c r="F98" s="6"/>
      <c r="G98" s="6"/>
      <c r="H98" s="158" t="s">
        <v>8512</v>
      </c>
      <c r="I98" s="22" t="s">
        <v>8882</v>
      </c>
      <c r="J98" s="180" t="s">
        <v>8883</v>
      </c>
      <c r="K98" s="6" t="s">
        <v>8884</v>
      </c>
      <c r="L98" s="6" t="s">
        <v>6132</v>
      </c>
      <c r="M98" s="6" t="s">
        <v>8885</v>
      </c>
      <c r="N98" s="6" t="s">
        <v>6092</v>
      </c>
      <c r="O98" s="6"/>
      <c r="P98" s="6" t="s">
        <v>2656</v>
      </c>
      <c r="Q98" s="54"/>
    </row>
    <row r="99" spans="1:17" ht="51">
      <c r="A99" s="6" t="s">
        <v>8886</v>
      </c>
      <c r="B99" s="158" t="s">
        <v>6983</v>
      </c>
      <c r="C99" s="6"/>
      <c r="D99" s="468" t="s">
        <v>8887</v>
      </c>
      <c r="E99" s="6" t="s">
        <v>8888</v>
      </c>
      <c r="F99" s="6"/>
      <c r="G99" s="6"/>
      <c r="H99" s="158" t="s">
        <v>8512</v>
      </c>
      <c r="I99" s="22" t="s">
        <v>8889</v>
      </c>
      <c r="J99" s="180" t="s">
        <v>8890</v>
      </c>
      <c r="K99" s="6" t="s">
        <v>8891</v>
      </c>
      <c r="L99" s="475" t="s">
        <v>1808</v>
      </c>
      <c r="M99" s="6"/>
      <c r="N99" s="6" t="s">
        <v>6071</v>
      </c>
      <c r="O99" s="6"/>
      <c r="P99" s="6"/>
      <c r="Q99" s="54"/>
    </row>
    <row r="100" spans="1:17" ht="25.5">
      <c r="A100" s="56" t="s">
        <v>8892</v>
      </c>
      <c r="B100" s="426" t="s">
        <v>6983</v>
      </c>
      <c r="C100" s="56"/>
      <c r="D100" s="56"/>
      <c r="E100" s="56"/>
      <c r="F100" s="6"/>
      <c r="G100" s="56"/>
      <c r="H100" s="426" t="s">
        <v>8512</v>
      </c>
      <c r="I100" s="208"/>
      <c r="J100" s="191"/>
      <c r="K100" s="56"/>
      <c r="L100" s="475" t="s">
        <v>1808</v>
      </c>
      <c r="M100" s="56"/>
      <c r="N100" s="56" t="s">
        <v>7924</v>
      </c>
      <c r="O100" s="6"/>
      <c r="P100" s="6"/>
      <c r="Q100" s="54"/>
    </row>
    <row r="101" spans="1:17" ht="38.25">
      <c r="A101" s="6" t="s">
        <v>8893</v>
      </c>
      <c r="B101" s="158" t="s">
        <v>6983</v>
      </c>
      <c r="C101" s="6"/>
      <c r="D101" s="468" t="s">
        <v>8894</v>
      </c>
      <c r="E101" s="6" t="s">
        <v>8895</v>
      </c>
      <c r="F101" s="6"/>
      <c r="G101" s="6"/>
      <c r="H101" s="158" t="s">
        <v>8512</v>
      </c>
      <c r="I101" s="22" t="s">
        <v>8896</v>
      </c>
      <c r="J101" s="180" t="s">
        <v>8897</v>
      </c>
      <c r="K101" s="6" t="s">
        <v>8898</v>
      </c>
      <c r="L101" s="6" t="s">
        <v>6132</v>
      </c>
      <c r="M101" s="6" t="s">
        <v>8899</v>
      </c>
      <c r="N101" s="6" t="s">
        <v>6064</v>
      </c>
      <c r="O101" s="6"/>
      <c r="P101" s="6" t="s">
        <v>2611</v>
      </c>
      <c r="Q101" s="54"/>
    </row>
    <row r="102" spans="1:17" ht="25.5">
      <c r="A102" s="56" t="s">
        <v>8900</v>
      </c>
      <c r="B102" s="426" t="s">
        <v>6983</v>
      </c>
      <c r="C102" s="56"/>
      <c r="D102" s="56"/>
      <c r="E102" s="56"/>
      <c r="F102" s="6"/>
      <c r="G102" s="56"/>
      <c r="H102" s="426" t="s">
        <v>8512</v>
      </c>
      <c r="I102" s="208"/>
      <c r="J102" s="191"/>
      <c r="K102" s="56"/>
      <c r="L102" s="475" t="s">
        <v>1808</v>
      </c>
      <c r="M102" s="56"/>
      <c r="N102" s="56" t="s">
        <v>7924</v>
      </c>
      <c r="O102" s="6"/>
      <c r="P102" s="6"/>
      <c r="Q102" s="54"/>
    </row>
    <row r="103" spans="1:17" ht="25.5">
      <c r="A103" s="56" t="s">
        <v>8901</v>
      </c>
      <c r="B103" s="426" t="s">
        <v>6983</v>
      </c>
      <c r="C103" s="56"/>
      <c r="D103" s="56"/>
      <c r="E103" s="56"/>
      <c r="F103" s="6"/>
      <c r="G103" s="56"/>
      <c r="H103" s="426" t="s">
        <v>8512</v>
      </c>
      <c r="I103" s="208"/>
      <c r="J103" s="191"/>
      <c r="K103" s="56"/>
      <c r="L103" s="475" t="s">
        <v>1808</v>
      </c>
      <c r="M103" s="56"/>
      <c r="N103" s="56" t="s">
        <v>7924</v>
      </c>
      <c r="O103" s="6"/>
      <c r="P103" s="6"/>
      <c r="Q103" s="54"/>
    </row>
    <row r="104" spans="1:17" ht="25.5">
      <c r="A104" s="56" t="s">
        <v>8902</v>
      </c>
      <c r="B104" s="426" t="s">
        <v>6983</v>
      </c>
      <c r="C104" s="56"/>
      <c r="D104" s="56"/>
      <c r="E104" s="56"/>
      <c r="F104" s="6"/>
      <c r="G104" s="56"/>
      <c r="H104" s="426" t="s">
        <v>8512</v>
      </c>
      <c r="I104" s="208"/>
      <c r="J104" s="191"/>
      <c r="K104" s="56"/>
      <c r="L104" s="475" t="s">
        <v>1808</v>
      </c>
      <c r="M104" s="56"/>
      <c r="N104" s="56" t="s">
        <v>7924</v>
      </c>
      <c r="O104" s="6"/>
      <c r="P104" s="6"/>
      <c r="Q104" s="54"/>
    </row>
    <row r="105" spans="1:17" ht="25.5">
      <c r="A105" s="56" t="s">
        <v>8903</v>
      </c>
      <c r="B105" s="426" t="s">
        <v>6983</v>
      </c>
      <c r="C105" s="56"/>
      <c r="D105" s="56"/>
      <c r="E105" s="56"/>
      <c r="F105" s="6"/>
      <c r="G105" s="56"/>
      <c r="H105" s="426" t="s">
        <v>8512</v>
      </c>
      <c r="I105" s="208"/>
      <c r="J105" s="191"/>
      <c r="K105" s="56"/>
      <c r="L105" s="475" t="s">
        <v>1808</v>
      </c>
      <c r="M105" s="56"/>
      <c r="N105" s="56" t="s">
        <v>7924</v>
      </c>
      <c r="O105" s="6"/>
      <c r="P105" s="6"/>
      <c r="Q105" s="54"/>
    </row>
    <row r="106" spans="1:17" ht="51">
      <c r="A106" s="6" t="s">
        <v>8904</v>
      </c>
      <c r="B106" s="158" t="s">
        <v>6983</v>
      </c>
      <c r="C106" s="6"/>
      <c r="D106" s="468" t="s">
        <v>8905</v>
      </c>
      <c r="E106" s="6" t="s">
        <v>8906</v>
      </c>
      <c r="F106" s="6"/>
      <c r="G106" s="6"/>
      <c r="H106" s="158" t="s">
        <v>8512</v>
      </c>
      <c r="I106" s="22" t="s">
        <v>8907</v>
      </c>
      <c r="J106" s="180" t="s">
        <v>8908</v>
      </c>
      <c r="K106" s="6" t="s">
        <v>8909</v>
      </c>
      <c r="L106" s="6" t="s">
        <v>6132</v>
      </c>
      <c r="M106" s="6" t="s">
        <v>8910</v>
      </c>
      <c r="N106" s="6" t="s">
        <v>6941</v>
      </c>
      <c r="O106" s="6"/>
      <c r="P106" s="6" t="s">
        <v>1828</v>
      </c>
      <c r="Q106" s="54"/>
    </row>
    <row r="107" spans="1:17" ht="25.5">
      <c r="A107" s="56" t="s">
        <v>8911</v>
      </c>
      <c r="B107" s="426" t="s">
        <v>6983</v>
      </c>
      <c r="C107" s="56"/>
      <c r="D107" s="56"/>
      <c r="E107" s="56"/>
      <c r="F107" s="6"/>
      <c r="G107" s="56"/>
      <c r="H107" s="426" t="s">
        <v>8512</v>
      </c>
      <c r="I107" s="208"/>
      <c r="J107" s="191"/>
      <c r="K107" s="56"/>
      <c r="L107" s="475" t="s">
        <v>1808</v>
      </c>
      <c r="M107" s="56"/>
      <c r="N107" s="56" t="s">
        <v>7924</v>
      </c>
      <c r="O107" s="6"/>
      <c r="P107" s="6"/>
      <c r="Q107" s="54"/>
    </row>
    <row r="108" spans="1:17" ht="25.5">
      <c r="A108" s="56" t="s">
        <v>8912</v>
      </c>
      <c r="B108" s="426" t="s">
        <v>6983</v>
      </c>
      <c r="C108" s="56"/>
      <c r="D108" s="56"/>
      <c r="E108" s="56"/>
      <c r="F108" s="6"/>
      <c r="G108" s="56"/>
      <c r="H108" s="426" t="s">
        <v>8512</v>
      </c>
      <c r="I108" s="208"/>
      <c r="J108" s="191"/>
      <c r="K108" s="56"/>
      <c r="L108" s="475" t="s">
        <v>1808</v>
      </c>
      <c r="M108" s="56"/>
      <c r="N108" s="56" t="s">
        <v>7924</v>
      </c>
      <c r="O108" s="6"/>
      <c r="P108" s="6"/>
      <c r="Q108" s="54"/>
    </row>
    <row r="109" spans="1:17" ht="25.5">
      <c r="A109" s="56" t="s">
        <v>8913</v>
      </c>
      <c r="B109" s="426" t="s">
        <v>6983</v>
      </c>
      <c r="C109" s="56"/>
      <c r="D109" s="56"/>
      <c r="E109" s="56"/>
      <c r="F109" s="6"/>
      <c r="G109" s="56"/>
      <c r="H109" s="426" t="s">
        <v>8512</v>
      </c>
      <c r="I109" s="208"/>
      <c r="J109" s="191"/>
      <c r="K109" s="56"/>
      <c r="L109" s="475" t="s">
        <v>1808</v>
      </c>
      <c r="M109" s="56"/>
      <c r="N109" s="56" t="s">
        <v>7924</v>
      </c>
      <c r="O109" s="6"/>
      <c r="P109" s="6"/>
      <c r="Q109" s="54"/>
    </row>
    <row r="110" spans="1:17" ht="51">
      <c r="A110" s="6" t="s">
        <v>8914</v>
      </c>
      <c r="B110" s="158" t="s">
        <v>6983</v>
      </c>
      <c r="C110" s="6"/>
      <c r="D110" s="468" t="s">
        <v>8915</v>
      </c>
      <c r="E110" s="6" t="s">
        <v>8916</v>
      </c>
      <c r="F110" s="6"/>
      <c r="G110" s="6"/>
      <c r="H110" s="158" t="s">
        <v>8512</v>
      </c>
      <c r="I110" s="22" t="s">
        <v>8917</v>
      </c>
      <c r="J110" s="180" t="s">
        <v>8918</v>
      </c>
      <c r="K110" s="6" t="s">
        <v>8919</v>
      </c>
      <c r="L110" s="475" t="s">
        <v>1808</v>
      </c>
      <c r="M110" s="6" t="s">
        <v>8920</v>
      </c>
      <c r="N110" s="6" t="s">
        <v>6064</v>
      </c>
      <c r="O110" s="6"/>
      <c r="P110" s="6" t="s">
        <v>2460</v>
      </c>
      <c r="Q110" s="54"/>
    </row>
    <row r="111" spans="1:17" ht="25.5">
      <c r="A111" s="56" t="s">
        <v>8921</v>
      </c>
      <c r="B111" s="426" t="s">
        <v>6983</v>
      </c>
      <c r="C111" s="56"/>
      <c r="D111" s="56"/>
      <c r="E111" s="56"/>
      <c r="F111" s="6"/>
      <c r="G111" s="56"/>
      <c r="H111" s="426" t="s">
        <v>8512</v>
      </c>
      <c r="I111" s="208"/>
      <c r="J111" s="191"/>
      <c r="K111" s="56"/>
      <c r="L111" s="475" t="s">
        <v>1808</v>
      </c>
      <c r="M111" s="56"/>
      <c r="N111" s="56" t="s">
        <v>7924</v>
      </c>
      <c r="O111" s="6"/>
      <c r="P111" s="6" t="s">
        <v>2460</v>
      </c>
      <c r="Q111" s="54"/>
    </row>
    <row r="112" spans="1:17" ht="38.25">
      <c r="A112" s="6" t="s">
        <v>8922</v>
      </c>
      <c r="B112" s="158" t="s">
        <v>6983</v>
      </c>
      <c r="C112" s="6"/>
      <c r="D112" s="468" t="s">
        <v>8923</v>
      </c>
      <c r="E112" s="6" t="s">
        <v>8924</v>
      </c>
      <c r="F112" s="6"/>
      <c r="G112" s="6"/>
      <c r="H112" s="158" t="s">
        <v>8512</v>
      </c>
      <c r="I112" s="22" t="s">
        <v>8925</v>
      </c>
      <c r="J112" s="180" t="s">
        <v>8926</v>
      </c>
      <c r="K112" s="6" t="s">
        <v>8927</v>
      </c>
      <c r="L112" s="475" t="s">
        <v>1808</v>
      </c>
      <c r="M112" s="6" t="s">
        <v>8928</v>
      </c>
      <c r="N112" s="6" t="s">
        <v>6104</v>
      </c>
      <c r="O112" s="6"/>
      <c r="P112" s="6"/>
      <c r="Q112" s="54"/>
    </row>
    <row r="113" spans="1:17" ht="25.5">
      <c r="A113" s="56" t="s">
        <v>8929</v>
      </c>
      <c r="B113" s="426" t="s">
        <v>6983</v>
      </c>
      <c r="C113" s="56"/>
      <c r="D113" s="56"/>
      <c r="E113" s="56"/>
      <c r="F113" s="6"/>
      <c r="G113" s="56"/>
      <c r="H113" s="426" t="s">
        <v>8512</v>
      </c>
      <c r="I113" s="208"/>
      <c r="J113" s="191"/>
      <c r="K113" s="56"/>
      <c r="L113" s="475" t="s">
        <v>1808</v>
      </c>
      <c r="M113" s="56"/>
      <c r="N113" s="56" t="s">
        <v>7924</v>
      </c>
      <c r="O113" s="6"/>
      <c r="P113" s="6"/>
      <c r="Q113" s="54"/>
    </row>
    <row r="114" spans="1:17" ht="25.5">
      <c r="A114" s="56" t="s">
        <v>8930</v>
      </c>
      <c r="B114" s="426" t="s">
        <v>6983</v>
      </c>
      <c r="C114" s="56"/>
      <c r="D114" s="56"/>
      <c r="E114" s="56"/>
      <c r="F114" s="6"/>
      <c r="G114" s="56"/>
      <c r="H114" s="426" t="s">
        <v>8512</v>
      </c>
      <c r="I114" s="208"/>
      <c r="J114" s="191"/>
      <c r="K114" s="56"/>
      <c r="L114" s="475" t="s">
        <v>1808</v>
      </c>
      <c r="M114" s="56"/>
      <c r="N114" s="56" t="s">
        <v>7924</v>
      </c>
      <c r="O114" s="6"/>
      <c r="P114" s="6"/>
      <c r="Q114" s="54"/>
    </row>
    <row r="115" spans="1:17" ht="25.5">
      <c r="A115" s="56" t="s">
        <v>8931</v>
      </c>
      <c r="B115" s="426" t="s">
        <v>6983</v>
      </c>
      <c r="C115" s="56"/>
      <c r="D115" s="56"/>
      <c r="E115" s="56"/>
      <c r="F115" s="6"/>
      <c r="G115" s="56"/>
      <c r="H115" s="426" t="s">
        <v>8512</v>
      </c>
      <c r="I115" s="208"/>
      <c r="J115" s="191"/>
      <c r="K115" s="56"/>
      <c r="L115" s="475" t="s">
        <v>1808</v>
      </c>
      <c r="M115" s="56"/>
      <c r="N115" s="56" t="s">
        <v>7924</v>
      </c>
      <c r="O115" s="6"/>
      <c r="P115" s="6"/>
      <c r="Q115" s="54"/>
    </row>
    <row r="116" spans="1:17" ht="25.5">
      <c r="A116" s="56" t="s">
        <v>8932</v>
      </c>
      <c r="B116" s="426" t="s">
        <v>6983</v>
      </c>
      <c r="C116" s="56"/>
      <c r="D116" s="56"/>
      <c r="E116" s="56"/>
      <c r="F116" s="6"/>
      <c r="G116" s="56"/>
      <c r="H116" s="426" t="s">
        <v>8512</v>
      </c>
      <c r="I116" s="208"/>
      <c r="J116" s="191"/>
      <c r="K116" s="56"/>
      <c r="L116" s="475" t="s">
        <v>1808</v>
      </c>
      <c r="M116" s="56"/>
      <c r="N116" s="56" t="s">
        <v>7924</v>
      </c>
      <c r="O116" s="6"/>
      <c r="P116" s="6"/>
      <c r="Q116" s="54"/>
    </row>
    <row r="117" spans="1:17" ht="25.5">
      <c r="A117" s="56" t="s">
        <v>8933</v>
      </c>
      <c r="B117" s="426" t="s">
        <v>6983</v>
      </c>
      <c r="C117" s="56"/>
      <c r="D117" s="56"/>
      <c r="E117" s="56"/>
      <c r="F117" s="6"/>
      <c r="G117" s="56"/>
      <c r="H117" s="426" t="s">
        <v>8512</v>
      </c>
      <c r="I117" s="208"/>
      <c r="J117" s="191"/>
      <c r="K117" s="56"/>
      <c r="L117" s="475" t="s">
        <v>1808</v>
      </c>
      <c r="M117" s="56"/>
      <c r="N117" s="56" t="s">
        <v>7924</v>
      </c>
      <c r="O117" s="6"/>
      <c r="P117" s="6"/>
      <c r="Q117" s="54"/>
    </row>
    <row r="118" spans="1:17" ht="38.25">
      <c r="A118" s="6" t="s">
        <v>8934</v>
      </c>
      <c r="B118" s="158" t="s">
        <v>6983</v>
      </c>
      <c r="C118" s="6"/>
      <c r="D118" s="468" t="s">
        <v>8935</v>
      </c>
      <c r="E118" s="6"/>
      <c r="F118" s="6"/>
      <c r="G118" s="6"/>
      <c r="H118" s="158" t="s">
        <v>8512</v>
      </c>
      <c r="I118" s="22" t="s">
        <v>8936</v>
      </c>
      <c r="J118" s="180" t="s">
        <v>8937</v>
      </c>
      <c r="K118" s="6" t="s">
        <v>8938</v>
      </c>
      <c r="L118" s="475" t="s">
        <v>1808</v>
      </c>
      <c r="M118" s="6" t="s">
        <v>8939</v>
      </c>
      <c r="N118" s="6" t="s">
        <v>6064</v>
      </c>
      <c r="O118" s="6"/>
      <c r="P118" s="6" t="s">
        <v>2611</v>
      </c>
      <c r="Q118" s="54"/>
    </row>
    <row r="119" spans="1:17" ht="63.75">
      <c r="A119" s="6" t="s">
        <v>8940</v>
      </c>
      <c r="B119" s="158" t="s">
        <v>6983</v>
      </c>
      <c r="C119" s="6"/>
      <c r="D119" s="468" t="s">
        <v>8941</v>
      </c>
      <c r="E119" s="6" t="s">
        <v>8942</v>
      </c>
      <c r="F119" s="6"/>
      <c r="G119" s="6"/>
      <c r="H119" s="158" t="s">
        <v>8512</v>
      </c>
      <c r="I119" s="22" t="s">
        <v>8943</v>
      </c>
      <c r="J119" s="180" t="s">
        <v>8944</v>
      </c>
      <c r="K119" s="6" t="s">
        <v>8945</v>
      </c>
      <c r="L119" s="6" t="s">
        <v>6132</v>
      </c>
      <c r="M119" s="6" t="s">
        <v>8946</v>
      </c>
      <c r="N119" s="6" t="s">
        <v>6064</v>
      </c>
      <c r="O119" s="6"/>
      <c r="P119" s="6" t="s">
        <v>2449</v>
      </c>
      <c r="Q119" s="54"/>
    </row>
    <row r="120" spans="1:17" ht="12.75">
      <c r="A120" s="6"/>
      <c r="B120" s="6"/>
      <c r="C120" s="6"/>
      <c r="D120" s="6"/>
      <c r="E120" s="6"/>
      <c r="F120" s="6"/>
      <c r="G120" s="6"/>
      <c r="H120" s="6"/>
      <c r="I120" s="22"/>
      <c r="J120" s="179"/>
      <c r="K120" s="6"/>
      <c r="L120" s="6"/>
      <c r="M120" s="6"/>
      <c r="N120" s="6"/>
      <c r="O120" s="6"/>
      <c r="P120" s="6"/>
      <c r="Q120" s="54"/>
    </row>
    <row r="121" spans="1:17" ht="12.75">
      <c r="A121" s="6"/>
      <c r="B121" s="6"/>
      <c r="C121" s="6"/>
      <c r="D121" s="6"/>
      <c r="E121" s="6"/>
      <c r="F121" s="6"/>
      <c r="G121" s="6"/>
      <c r="H121" s="6"/>
      <c r="I121" s="22"/>
      <c r="J121" s="179"/>
      <c r="K121" s="6"/>
      <c r="L121" s="6"/>
      <c r="M121" s="6"/>
      <c r="N121" s="6"/>
      <c r="O121" s="6"/>
      <c r="P121" s="6"/>
      <c r="Q121" s="54"/>
    </row>
    <row r="122" spans="1:17" ht="12.75">
      <c r="A122" s="6"/>
      <c r="B122" s="6"/>
      <c r="C122" s="6"/>
      <c r="D122" s="6"/>
      <c r="E122" s="6"/>
      <c r="F122" s="6"/>
      <c r="G122" s="6"/>
      <c r="H122" s="6"/>
      <c r="I122" s="22"/>
      <c r="J122" s="179"/>
      <c r="K122" s="6"/>
      <c r="L122" s="6"/>
      <c r="M122" s="6"/>
      <c r="N122" s="6"/>
      <c r="O122" s="6"/>
      <c r="P122" s="6"/>
      <c r="Q122" s="54"/>
    </row>
    <row r="123" spans="1:17" ht="12.75">
      <c r="A123" s="6"/>
      <c r="B123" s="6"/>
      <c r="C123" s="6"/>
      <c r="D123" s="6"/>
      <c r="E123" s="6"/>
      <c r="F123" s="6"/>
      <c r="G123" s="6"/>
      <c r="H123" s="6"/>
      <c r="I123" s="22"/>
      <c r="J123" s="179"/>
      <c r="K123" s="6"/>
      <c r="L123" s="6"/>
      <c r="M123" s="6"/>
      <c r="N123" s="6"/>
      <c r="O123" s="6"/>
      <c r="P123" s="6"/>
      <c r="Q123" s="54"/>
    </row>
    <row r="124" spans="1:17" ht="12.75">
      <c r="A124" s="6"/>
      <c r="B124" s="6"/>
      <c r="C124" s="6"/>
      <c r="D124" s="6"/>
      <c r="E124" s="6"/>
      <c r="F124" s="6"/>
      <c r="G124" s="6"/>
      <c r="H124" s="6"/>
      <c r="I124" s="22"/>
      <c r="J124" s="179"/>
      <c r="K124" s="6"/>
      <c r="L124" s="6"/>
      <c r="M124" s="6"/>
      <c r="N124" s="6"/>
      <c r="O124" s="6"/>
      <c r="P124" s="6"/>
      <c r="Q124" s="54"/>
    </row>
    <row r="125" spans="1:17" ht="12.75">
      <c r="A125" s="6"/>
      <c r="B125" s="6"/>
      <c r="C125" s="6"/>
      <c r="D125" s="6"/>
      <c r="E125" s="6"/>
      <c r="F125" s="6"/>
      <c r="G125" s="6"/>
      <c r="H125" s="6"/>
      <c r="I125" s="22"/>
      <c r="J125" s="179"/>
      <c r="K125" s="6"/>
      <c r="L125" s="6"/>
      <c r="M125" s="6"/>
      <c r="N125" s="6"/>
      <c r="O125" s="6"/>
      <c r="P125" s="6"/>
      <c r="Q125" s="54"/>
    </row>
    <row r="126" spans="1:17" ht="12.75">
      <c r="A126" s="6"/>
      <c r="B126" s="6"/>
      <c r="C126" s="6"/>
      <c r="D126" s="6"/>
      <c r="E126" s="6"/>
      <c r="F126" s="6"/>
      <c r="G126" s="6"/>
      <c r="H126" s="6"/>
      <c r="I126" s="22"/>
      <c r="J126" s="179"/>
      <c r="K126" s="6"/>
      <c r="L126" s="6"/>
      <c r="M126" s="6"/>
      <c r="N126" s="6"/>
      <c r="O126" s="6"/>
      <c r="P126" s="6"/>
      <c r="Q126" s="54"/>
    </row>
    <row r="127" spans="1:17" ht="12.75">
      <c r="A127" s="6"/>
      <c r="B127" s="6"/>
      <c r="C127" s="6"/>
      <c r="D127" s="6"/>
      <c r="E127" s="6"/>
      <c r="F127" s="6"/>
      <c r="G127" s="6"/>
      <c r="H127" s="6"/>
      <c r="I127" s="22"/>
      <c r="J127" s="179"/>
      <c r="K127" s="6"/>
      <c r="L127" s="6"/>
      <c r="M127" s="6"/>
      <c r="N127" s="6"/>
      <c r="O127" s="6"/>
      <c r="P127" s="6"/>
      <c r="Q127" s="54"/>
    </row>
    <row r="128" spans="1:17" ht="12.75">
      <c r="A128" s="6"/>
      <c r="B128" s="6"/>
      <c r="C128" s="6"/>
      <c r="D128" s="6"/>
      <c r="E128" s="6"/>
      <c r="F128" s="6"/>
      <c r="G128" s="6"/>
      <c r="H128" s="6"/>
      <c r="I128" s="22"/>
      <c r="J128" s="179"/>
      <c r="K128" s="6"/>
      <c r="L128" s="6"/>
      <c r="M128" s="6"/>
      <c r="N128" s="6"/>
      <c r="O128" s="6"/>
      <c r="P128" s="6"/>
      <c r="Q128" s="54"/>
    </row>
    <row r="129" spans="1:17" ht="12.75">
      <c r="A129" s="6"/>
      <c r="B129" s="6"/>
      <c r="C129" s="6"/>
      <c r="D129" s="6"/>
      <c r="E129" s="6"/>
      <c r="F129" s="6"/>
      <c r="G129" s="6"/>
      <c r="H129" s="6"/>
      <c r="I129" s="22"/>
      <c r="J129" s="179"/>
      <c r="K129" s="6"/>
      <c r="L129" s="6"/>
      <c r="M129" s="6"/>
      <c r="N129" s="6"/>
      <c r="O129" s="6"/>
      <c r="P129" s="6"/>
      <c r="Q129" s="54"/>
    </row>
    <row r="130" spans="1:17" ht="12.75">
      <c r="A130" s="6"/>
      <c r="B130" s="6"/>
      <c r="C130" s="6"/>
      <c r="D130" s="6"/>
      <c r="E130" s="6"/>
      <c r="F130" s="6"/>
      <c r="G130" s="6"/>
      <c r="H130" s="6"/>
      <c r="I130" s="22"/>
      <c r="J130" s="179"/>
      <c r="K130" s="6"/>
      <c r="L130" s="6"/>
      <c r="M130" s="6"/>
      <c r="N130" s="6"/>
      <c r="O130" s="6"/>
      <c r="P130" s="6"/>
      <c r="Q130" s="54"/>
    </row>
    <row r="131" spans="1:17" ht="12.75">
      <c r="A131" s="6"/>
      <c r="B131" s="6"/>
      <c r="C131" s="6"/>
      <c r="D131" s="6"/>
      <c r="E131" s="6"/>
      <c r="F131" s="6"/>
      <c r="G131" s="6"/>
      <c r="H131" s="6"/>
      <c r="I131" s="22"/>
      <c r="J131" s="179"/>
      <c r="K131" s="6"/>
      <c r="L131" s="6"/>
      <c r="M131" s="6"/>
      <c r="N131" s="6"/>
      <c r="O131" s="6"/>
      <c r="P131" s="6"/>
      <c r="Q131" s="54"/>
    </row>
  </sheetData>
  <hyperlinks>
    <hyperlink ref="C2" r:id="rId1" xr:uid="{00000000-0004-0000-1C00-000000000000}"/>
    <hyperlink ref="D2" r:id="rId2" xr:uid="{00000000-0004-0000-1C00-000001000000}"/>
    <hyperlink ref="C3" r:id="rId3" xr:uid="{00000000-0004-0000-1C00-000002000000}"/>
    <hyperlink ref="D3" r:id="rId4" xr:uid="{00000000-0004-0000-1C00-000003000000}"/>
    <hyperlink ref="C4" r:id="rId5" xr:uid="{00000000-0004-0000-1C00-000004000000}"/>
    <hyperlink ref="D4" r:id="rId6" xr:uid="{00000000-0004-0000-1C00-000005000000}"/>
    <hyperlink ref="C5" r:id="rId7" xr:uid="{00000000-0004-0000-1C00-000006000000}"/>
    <hyperlink ref="D5" r:id="rId8" xr:uid="{00000000-0004-0000-1C00-000007000000}"/>
    <hyperlink ref="C6" r:id="rId9" xr:uid="{00000000-0004-0000-1C00-000008000000}"/>
    <hyperlink ref="D6" r:id="rId10" xr:uid="{00000000-0004-0000-1C00-000009000000}"/>
    <hyperlink ref="C7" r:id="rId11" xr:uid="{00000000-0004-0000-1C00-00000A000000}"/>
    <hyperlink ref="D7" r:id="rId12" xr:uid="{00000000-0004-0000-1C00-00000B000000}"/>
    <hyperlink ref="C8" r:id="rId13" xr:uid="{00000000-0004-0000-1C00-00000C000000}"/>
    <hyperlink ref="D8" r:id="rId14" xr:uid="{00000000-0004-0000-1C00-00000D000000}"/>
    <hyperlink ref="C9" r:id="rId15" xr:uid="{00000000-0004-0000-1C00-00000E000000}"/>
    <hyperlink ref="D9" r:id="rId16" xr:uid="{00000000-0004-0000-1C00-00000F000000}"/>
    <hyperlink ref="C10" r:id="rId17" xr:uid="{00000000-0004-0000-1C00-000010000000}"/>
    <hyperlink ref="D10" r:id="rId18" xr:uid="{00000000-0004-0000-1C00-000011000000}"/>
    <hyperlink ref="C11" r:id="rId19" xr:uid="{00000000-0004-0000-1C00-000012000000}"/>
    <hyperlink ref="D11" r:id="rId20" xr:uid="{00000000-0004-0000-1C00-000013000000}"/>
    <hyperlink ref="C12" r:id="rId21" xr:uid="{00000000-0004-0000-1C00-000014000000}"/>
    <hyperlink ref="D12" r:id="rId22" xr:uid="{00000000-0004-0000-1C00-000015000000}"/>
    <hyperlink ref="C13" r:id="rId23" xr:uid="{00000000-0004-0000-1C00-000016000000}"/>
    <hyperlink ref="D13" r:id="rId24" xr:uid="{00000000-0004-0000-1C00-000017000000}"/>
    <hyperlink ref="C14" r:id="rId25" xr:uid="{00000000-0004-0000-1C00-000018000000}"/>
    <hyperlink ref="D14" r:id="rId26" xr:uid="{00000000-0004-0000-1C00-000019000000}"/>
    <hyperlink ref="C15" r:id="rId27" xr:uid="{00000000-0004-0000-1C00-00001A000000}"/>
    <hyperlink ref="D15" r:id="rId28" xr:uid="{00000000-0004-0000-1C00-00001B000000}"/>
    <hyperlink ref="C16" r:id="rId29" xr:uid="{00000000-0004-0000-1C00-00001C000000}"/>
    <hyperlink ref="D16" r:id="rId30" xr:uid="{00000000-0004-0000-1C00-00001D000000}"/>
    <hyperlink ref="C17" r:id="rId31" xr:uid="{00000000-0004-0000-1C00-00001E000000}"/>
    <hyperlink ref="D17" r:id="rId32" xr:uid="{00000000-0004-0000-1C00-00001F000000}"/>
    <hyperlink ref="C18" r:id="rId33" xr:uid="{00000000-0004-0000-1C00-000020000000}"/>
    <hyperlink ref="D18" r:id="rId34" xr:uid="{00000000-0004-0000-1C00-000021000000}"/>
    <hyperlink ref="C19" r:id="rId35" xr:uid="{00000000-0004-0000-1C00-000022000000}"/>
    <hyperlink ref="D19" r:id="rId36" xr:uid="{00000000-0004-0000-1C00-000023000000}"/>
    <hyperlink ref="D22" r:id="rId37" xr:uid="{00000000-0004-0000-1C00-000024000000}"/>
    <hyperlink ref="D23" r:id="rId38" xr:uid="{00000000-0004-0000-1C00-000025000000}"/>
    <hyperlink ref="D24" r:id="rId39" xr:uid="{00000000-0004-0000-1C00-000026000000}"/>
    <hyperlink ref="D29" r:id="rId40" xr:uid="{00000000-0004-0000-1C00-000027000000}"/>
    <hyperlink ref="D30" r:id="rId41" xr:uid="{00000000-0004-0000-1C00-000028000000}"/>
    <hyperlink ref="D31" r:id="rId42" xr:uid="{00000000-0004-0000-1C00-000029000000}"/>
    <hyperlink ref="D32" r:id="rId43" xr:uid="{00000000-0004-0000-1C00-00002A000000}"/>
    <hyperlink ref="D33" r:id="rId44" xr:uid="{00000000-0004-0000-1C00-00002B000000}"/>
    <hyperlink ref="D34" r:id="rId45" xr:uid="{00000000-0004-0000-1C00-00002C000000}"/>
    <hyperlink ref="D35" r:id="rId46" xr:uid="{00000000-0004-0000-1C00-00002D000000}"/>
    <hyperlink ref="D36" r:id="rId47" xr:uid="{00000000-0004-0000-1C00-00002E000000}"/>
    <hyperlink ref="D37" r:id="rId48" xr:uid="{00000000-0004-0000-1C00-00002F000000}"/>
    <hyperlink ref="D38" r:id="rId49" xr:uid="{00000000-0004-0000-1C00-000030000000}"/>
    <hyperlink ref="D39" r:id="rId50" xr:uid="{00000000-0004-0000-1C00-000031000000}"/>
    <hyperlink ref="D40" r:id="rId51" xr:uid="{00000000-0004-0000-1C00-000032000000}"/>
    <hyperlink ref="D41" r:id="rId52" xr:uid="{00000000-0004-0000-1C00-000033000000}"/>
    <hyperlink ref="D42" r:id="rId53" xr:uid="{00000000-0004-0000-1C00-000034000000}"/>
    <hyperlink ref="D43" r:id="rId54" xr:uid="{00000000-0004-0000-1C00-000035000000}"/>
    <hyperlink ref="D44" r:id="rId55" xr:uid="{00000000-0004-0000-1C00-000036000000}"/>
    <hyperlink ref="D45" r:id="rId56" xr:uid="{00000000-0004-0000-1C00-000037000000}"/>
    <hyperlink ref="D47" r:id="rId57" xr:uid="{00000000-0004-0000-1C00-000038000000}"/>
    <hyperlink ref="D48" r:id="rId58" xr:uid="{00000000-0004-0000-1C00-000039000000}"/>
    <hyperlink ref="D49" r:id="rId59" xr:uid="{00000000-0004-0000-1C00-00003A000000}"/>
    <hyperlink ref="D50" r:id="rId60" xr:uid="{00000000-0004-0000-1C00-00003B000000}"/>
    <hyperlink ref="D54" r:id="rId61" xr:uid="{00000000-0004-0000-1C00-00003C000000}"/>
    <hyperlink ref="D55" r:id="rId62" xr:uid="{00000000-0004-0000-1C00-00003D000000}"/>
    <hyperlink ref="D56" r:id="rId63" xr:uid="{00000000-0004-0000-1C00-00003E000000}"/>
    <hyperlink ref="D57" r:id="rId64" xr:uid="{00000000-0004-0000-1C00-00003F000000}"/>
    <hyperlink ref="D58" r:id="rId65" xr:uid="{00000000-0004-0000-1C00-000040000000}"/>
    <hyperlink ref="D59" r:id="rId66" xr:uid="{00000000-0004-0000-1C00-000041000000}"/>
    <hyperlink ref="D60" r:id="rId67" xr:uid="{00000000-0004-0000-1C00-000042000000}"/>
    <hyperlink ref="D62" r:id="rId68" xr:uid="{00000000-0004-0000-1C00-000043000000}"/>
    <hyperlink ref="D63" r:id="rId69" xr:uid="{00000000-0004-0000-1C00-000044000000}"/>
    <hyperlink ref="D64" r:id="rId70" xr:uid="{00000000-0004-0000-1C00-000045000000}"/>
    <hyperlink ref="D71" r:id="rId71" xr:uid="{00000000-0004-0000-1C00-000046000000}"/>
    <hyperlink ref="D73" r:id="rId72" xr:uid="{00000000-0004-0000-1C00-000047000000}"/>
    <hyperlink ref="D74" r:id="rId73" xr:uid="{00000000-0004-0000-1C00-000048000000}"/>
    <hyperlink ref="D75" r:id="rId74" xr:uid="{00000000-0004-0000-1C00-000049000000}"/>
    <hyperlink ref="D76" r:id="rId75" xr:uid="{00000000-0004-0000-1C00-00004A000000}"/>
    <hyperlink ref="D77" r:id="rId76" xr:uid="{00000000-0004-0000-1C00-00004B000000}"/>
    <hyperlink ref="D80" r:id="rId77" xr:uid="{00000000-0004-0000-1C00-00004C000000}"/>
    <hyperlink ref="D81" r:id="rId78" xr:uid="{00000000-0004-0000-1C00-00004D000000}"/>
    <hyperlink ref="D82" r:id="rId79" xr:uid="{00000000-0004-0000-1C00-00004E000000}"/>
    <hyperlink ref="D83" r:id="rId80" xr:uid="{00000000-0004-0000-1C00-00004F000000}"/>
    <hyperlink ref="D84" r:id="rId81" xr:uid="{00000000-0004-0000-1C00-000050000000}"/>
    <hyperlink ref="D85" r:id="rId82" xr:uid="{00000000-0004-0000-1C00-000051000000}"/>
    <hyperlink ref="D87" r:id="rId83" xr:uid="{00000000-0004-0000-1C00-000052000000}"/>
    <hyperlink ref="D88" r:id="rId84" xr:uid="{00000000-0004-0000-1C00-000053000000}"/>
    <hyperlink ref="D90" r:id="rId85" xr:uid="{00000000-0004-0000-1C00-000054000000}"/>
    <hyperlink ref="D92" r:id="rId86" xr:uid="{00000000-0004-0000-1C00-000055000000}"/>
    <hyperlink ref="D93" r:id="rId87" xr:uid="{00000000-0004-0000-1C00-000056000000}"/>
    <hyperlink ref="D94" r:id="rId88" xr:uid="{00000000-0004-0000-1C00-000057000000}"/>
    <hyperlink ref="D95" r:id="rId89" xr:uid="{00000000-0004-0000-1C00-000058000000}"/>
    <hyperlink ref="D97" r:id="rId90" xr:uid="{00000000-0004-0000-1C00-000059000000}"/>
    <hyperlink ref="D98" r:id="rId91" xr:uid="{00000000-0004-0000-1C00-00005A000000}"/>
    <hyperlink ref="D99" r:id="rId92" xr:uid="{00000000-0004-0000-1C00-00005B000000}"/>
    <hyperlink ref="D101" r:id="rId93" xr:uid="{00000000-0004-0000-1C00-00005C000000}"/>
    <hyperlink ref="D106" r:id="rId94" xr:uid="{00000000-0004-0000-1C00-00005D000000}"/>
    <hyperlink ref="D110" r:id="rId95" xr:uid="{00000000-0004-0000-1C00-00005E000000}"/>
    <hyperlink ref="D112" r:id="rId96" xr:uid="{00000000-0004-0000-1C00-00005F000000}"/>
    <hyperlink ref="D118" r:id="rId97" xr:uid="{00000000-0004-0000-1C00-000060000000}"/>
    <hyperlink ref="D119" r:id="rId98" xr:uid="{00000000-0004-0000-1C00-00006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Q8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5703125" customWidth="1"/>
    <col min="2" max="2" width="27.42578125" customWidth="1"/>
    <col min="3" max="3" width="34.42578125" customWidth="1"/>
    <col min="4" max="4" width="23.85546875" customWidth="1"/>
    <col min="5" max="6" width="39.5703125" customWidth="1"/>
    <col min="7" max="7" width="48.7109375" customWidth="1"/>
    <col min="8" max="8" width="26.5703125" customWidth="1"/>
    <col min="9" max="9" width="40.42578125" customWidth="1"/>
    <col min="10" max="10" width="31.140625" customWidth="1"/>
    <col min="11" max="11" width="14.28515625" customWidth="1"/>
    <col min="12" max="12" width="17.7109375" customWidth="1"/>
    <col min="13" max="13" width="15.5703125" customWidth="1"/>
    <col min="14" max="14" width="17.5703125" customWidth="1"/>
  </cols>
  <sheetData>
    <row r="1" spans="1:17" ht="50.25" customHeight="1">
      <c r="A1" s="274" t="s">
        <v>6259</v>
      </c>
      <c r="B1" s="274" t="s">
        <v>8398</v>
      </c>
      <c r="C1" s="274" t="s">
        <v>6</v>
      </c>
      <c r="D1" s="274" t="s">
        <v>6645</v>
      </c>
      <c r="E1" s="274" t="s">
        <v>5634</v>
      </c>
      <c r="F1" s="271" t="s">
        <v>5630</v>
      </c>
      <c r="G1" s="274" t="s">
        <v>7</v>
      </c>
      <c r="H1" s="274" t="s">
        <v>6260</v>
      </c>
      <c r="I1" s="274" t="s">
        <v>8</v>
      </c>
      <c r="J1" s="274" t="s">
        <v>5627</v>
      </c>
      <c r="K1" s="274" t="s">
        <v>389</v>
      </c>
      <c r="L1" s="274" t="s">
        <v>4</v>
      </c>
      <c r="M1" s="274" t="s">
        <v>6060</v>
      </c>
      <c r="N1" s="274" t="s">
        <v>1818</v>
      </c>
      <c r="O1" s="274" t="s">
        <v>1821</v>
      </c>
      <c r="P1" s="274" t="s">
        <v>7812</v>
      </c>
      <c r="Q1" s="318"/>
    </row>
    <row r="2" spans="1:17" ht="38.25">
      <c r="A2" s="61">
        <v>39814</v>
      </c>
      <c r="B2" s="158" t="s">
        <v>8947</v>
      </c>
      <c r="C2" s="164" t="s">
        <v>8948</v>
      </c>
      <c r="D2" s="9"/>
      <c r="E2" s="488" t="s">
        <v>8949</v>
      </c>
      <c r="F2" s="518" t="s">
        <v>8950</v>
      </c>
      <c r="G2" s="158" t="s">
        <v>8951</v>
      </c>
      <c r="H2" s="475" t="s">
        <v>1808</v>
      </c>
      <c r="I2" s="160" t="s">
        <v>8952</v>
      </c>
      <c r="J2" s="6" t="s">
        <v>8953</v>
      </c>
      <c r="K2" s="6" t="s">
        <v>6872</v>
      </c>
      <c r="L2" s="6" t="s">
        <v>8954</v>
      </c>
      <c r="M2" s="6" t="s">
        <v>6137</v>
      </c>
      <c r="N2" s="6"/>
      <c r="O2" s="6" t="s">
        <v>2656</v>
      </c>
      <c r="P2" s="6"/>
      <c r="Q2" s="6"/>
    </row>
    <row r="3" spans="1:17" ht="51">
      <c r="A3" s="61">
        <v>39845</v>
      </c>
      <c r="B3" s="158" t="s">
        <v>8947</v>
      </c>
      <c r="C3" s="22" t="s">
        <v>8955</v>
      </c>
      <c r="D3" s="9"/>
      <c r="E3" s="490" t="s">
        <v>8956</v>
      </c>
      <c r="F3" s="489" t="s">
        <v>8957</v>
      </c>
      <c r="G3" s="6" t="s">
        <v>8958</v>
      </c>
      <c r="H3" s="475" t="s">
        <v>1808</v>
      </c>
      <c r="I3" s="160"/>
      <c r="J3" s="6" t="s">
        <v>8959</v>
      </c>
      <c r="K3" s="6" t="s">
        <v>6872</v>
      </c>
      <c r="L3" s="6" t="s">
        <v>4982</v>
      </c>
      <c r="M3" s="6" t="s">
        <v>1824</v>
      </c>
      <c r="N3" s="6"/>
      <c r="O3" s="6"/>
      <c r="P3" s="6"/>
      <c r="Q3" s="6"/>
    </row>
    <row r="4" spans="1:17" ht="38.25">
      <c r="A4" s="61">
        <v>39873</v>
      </c>
      <c r="B4" s="158" t="s">
        <v>8960</v>
      </c>
      <c r="C4" s="22" t="s">
        <v>8961</v>
      </c>
      <c r="D4" s="9"/>
      <c r="E4" s="490" t="s">
        <v>8962</v>
      </c>
      <c r="F4" s="489" t="s">
        <v>8963</v>
      </c>
      <c r="G4" s="6" t="s">
        <v>8958</v>
      </c>
      <c r="H4" s="475" t="s">
        <v>1808</v>
      </c>
      <c r="I4" s="160"/>
      <c r="J4" s="6" t="s">
        <v>8964</v>
      </c>
      <c r="K4" s="6" t="s">
        <v>6872</v>
      </c>
      <c r="L4" s="6" t="s">
        <v>4987</v>
      </c>
      <c r="M4" s="6" t="s">
        <v>1824</v>
      </c>
      <c r="N4" s="6"/>
      <c r="O4" s="6"/>
      <c r="P4" s="6"/>
      <c r="Q4" s="6"/>
    </row>
    <row r="5" spans="1:17" ht="25.5">
      <c r="A5" s="61">
        <v>39904</v>
      </c>
      <c r="B5" s="158" t="s">
        <v>8960</v>
      </c>
      <c r="C5" s="22" t="s">
        <v>8965</v>
      </c>
      <c r="D5" s="9"/>
      <c r="E5" s="490" t="s">
        <v>8966</v>
      </c>
      <c r="F5" s="489" t="s">
        <v>8967</v>
      </c>
      <c r="G5" s="6" t="s">
        <v>8968</v>
      </c>
      <c r="H5" s="475" t="s">
        <v>1808</v>
      </c>
      <c r="I5" s="166" t="s">
        <v>8969</v>
      </c>
      <c r="J5" s="6" t="s">
        <v>8970</v>
      </c>
      <c r="K5" s="6" t="s">
        <v>6872</v>
      </c>
      <c r="L5" s="6" t="s">
        <v>4987</v>
      </c>
      <c r="M5" s="6" t="s">
        <v>1824</v>
      </c>
      <c r="N5" s="6"/>
      <c r="O5" s="6" t="s">
        <v>1828</v>
      </c>
      <c r="P5" s="6"/>
      <c r="Q5" s="6"/>
    </row>
    <row r="6" spans="1:17" ht="63.75">
      <c r="A6" s="61">
        <v>39934</v>
      </c>
      <c r="B6" s="158" t="s">
        <v>8960</v>
      </c>
      <c r="C6" s="22" t="s">
        <v>3249</v>
      </c>
      <c r="D6" s="6"/>
      <c r="E6" s="291" t="s">
        <v>8971</v>
      </c>
      <c r="F6" s="468" t="s">
        <v>8972</v>
      </c>
      <c r="G6" s="160" t="s">
        <v>8973</v>
      </c>
      <c r="H6" s="6" t="s">
        <v>6132</v>
      </c>
      <c r="I6" s="160" t="s">
        <v>8974</v>
      </c>
      <c r="J6" s="6" t="s">
        <v>8975</v>
      </c>
      <c r="K6" s="6" t="s">
        <v>6872</v>
      </c>
      <c r="L6" s="6" t="s">
        <v>8976</v>
      </c>
      <c r="M6" s="6" t="s">
        <v>6137</v>
      </c>
      <c r="N6" s="6"/>
      <c r="O6" s="6" t="s">
        <v>2467</v>
      </c>
      <c r="P6" s="6"/>
      <c r="Q6" s="6"/>
    </row>
    <row r="7" spans="1:17" ht="51">
      <c r="A7" s="61">
        <v>39965</v>
      </c>
      <c r="B7" s="158" t="s">
        <v>8960</v>
      </c>
      <c r="C7" s="22" t="s">
        <v>8977</v>
      </c>
      <c r="D7" s="6"/>
      <c r="E7" s="291" t="s">
        <v>8978</v>
      </c>
      <c r="F7" s="468" t="s">
        <v>8979</v>
      </c>
      <c r="G7" s="6" t="s">
        <v>8980</v>
      </c>
      <c r="H7" s="6" t="s">
        <v>6132</v>
      </c>
      <c r="I7" s="160" t="s">
        <v>8981</v>
      </c>
      <c r="J7" s="6" t="s">
        <v>2453</v>
      </c>
      <c r="K7" s="6" t="s">
        <v>6872</v>
      </c>
      <c r="L7" s="6" t="s">
        <v>8982</v>
      </c>
      <c r="M7" s="6" t="s">
        <v>6724</v>
      </c>
      <c r="N7" s="6"/>
      <c r="O7" s="6" t="s">
        <v>1828</v>
      </c>
      <c r="P7" s="6"/>
      <c r="Q7" s="6"/>
    </row>
    <row r="8" spans="1:17" ht="38.25">
      <c r="A8" s="62">
        <v>39995</v>
      </c>
      <c r="B8" s="158" t="s">
        <v>8960</v>
      </c>
      <c r="C8" s="22" t="s">
        <v>8983</v>
      </c>
      <c r="D8" s="6"/>
      <c r="E8" s="291" t="s">
        <v>8984</v>
      </c>
      <c r="F8" s="468" t="s">
        <v>8985</v>
      </c>
      <c r="G8" s="6" t="s">
        <v>8986</v>
      </c>
      <c r="H8" s="475" t="s">
        <v>1808</v>
      </c>
      <c r="I8" s="160" t="s">
        <v>2508</v>
      </c>
      <c r="J8" s="6" t="s">
        <v>8987</v>
      </c>
      <c r="K8" s="6" t="s">
        <v>6872</v>
      </c>
      <c r="L8" s="6" t="s">
        <v>8988</v>
      </c>
      <c r="M8" s="6" t="s">
        <v>6064</v>
      </c>
      <c r="N8" s="6"/>
      <c r="O8" s="6" t="s">
        <v>1828</v>
      </c>
      <c r="P8" s="6"/>
      <c r="Q8" s="6"/>
    </row>
    <row r="9" spans="1:17" ht="51">
      <c r="A9" s="61">
        <v>40026</v>
      </c>
      <c r="B9" s="158" t="s">
        <v>8960</v>
      </c>
      <c r="C9" s="164" t="s">
        <v>8989</v>
      </c>
      <c r="D9" s="158"/>
      <c r="E9" s="472" t="s">
        <v>8990</v>
      </c>
      <c r="F9" s="472" t="s">
        <v>8991</v>
      </c>
      <c r="G9" s="158" t="s">
        <v>8992</v>
      </c>
      <c r="H9" s="475" t="s">
        <v>1808</v>
      </c>
      <c r="I9" s="160" t="s">
        <v>4890</v>
      </c>
      <c r="J9" s="158" t="s">
        <v>8993</v>
      </c>
      <c r="K9" s="6" t="s">
        <v>6872</v>
      </c>
      <c r="L9" s="6" t="s">
        <v>8994</v>
      </c>
      <c r="M9" s="6" t="s">
        <v>1824</v>
      </c>
      <c r="N9" s="6"/>
      <c r="O9" s="6" t="s">
        <v>2611</v>
      </c>
      <c r="P9" s="6"/>
      <c r="Q9" s="6"/>
    </row>
    <row r="10" spans="1:17" ht="38.25">
      <c r="A10" s="62">
        <v>40057</v>
      </c>
      <c r="B10" s="158" t="s">
        <v>8960</v>
      </c>
      <c r="C10" s="22" t="s">
        <v>8995</v>
      </c>
      <c r="D10" s="6"/>
      <c r="E10" s="297" t="s">
        <v>8996</v>
      </c>
      <c r="F10" s="467" t="s">
        <v>8997</v>
      </c>
      <c r="G10" s="6" t="s">
        <v>3333</v>
      </c>
      <c r="H10" s="475" t="s">
        <v>1808</v>
      </c>
      <c r="I10" s="160" t="s">
        <v>5013</v>
      </c>
      <c r="J10" s="160" t="s">
        <v>8998</v>
      </c>
      <c r="K10" s="6" t="s">
        <v>6872</v>
      </c>
      <c r="L10" s="6" t="s">
        <v>4787</v>
      </c>
      <c r="M10" s="6" t="s">
        <v>1824</v>
      </c>
      <c r="N10" s="6"/>
      <c r="O10" s="6" t="s">
        <v>1828</v>
      </c>
      <c r="P10" s="6"/>
      <c r="Q10" s="6"/>
    </row>
    <row r="11" spans="1:17" ht="38.25">
      <c r="A11" s="62">
        <v>40087</v>
      </c>
      <c r="B11" s="158" t="s">
        <v>8960</v>
      </c>
      <c r="C11" s="22" t="s">
        <v>8999</v>
      </c>
      <c r="D11" s="6"/>
      <c r="E11" s="297" t="s">
        <v>9000</v>
      </c>
      <c r="F11" s="467" t="s">
        <v>9001</v>
      </c>
      <c r="G11" s="6" t="s">
        <v>820</v>
      </c>
      <c r="H11" s="475" t="s">
        <v>1808</v>
      </c>
      <c r="I11" s="160" t="s">
        <v>9002</v>
      </c>
      <c r="J11" s="8" t="s">
        <v>9003</v>
      </c>
      <c r="K11" s="158" t="s">
        <v>6872</v>
      </c>
      <c r="L11" s="6" t="s">
        <v>4787</v>
      </c>
      <c r="M11" s="6" t="s">
        <v>1824</v>
      </c>
      <c r="N11" s="6"/>
      <c r="O11" s="6" t="s">
        <v>2656</v>
      </c>
      <c r="P11" s="6"/>
      <c r="Q11" s="6"/>
    </row>
    <row r="12" spans="1:17" ht="38.25">
      <c r="A12" s="62">
        <v>40118</v>
      </c>
      <c r="B12" s="158" t="s">
        <v>8960</v>
      </c>
      <c r="C12" s="22" t="s">
        <v>9004</v>
      </c>
      <c r="D12" s="6"/>
      <c r="E12" s="297" t="s">
        <v>9005</v>
      </c>
      <c r="F12" s="467" t="s">
        <v>9006</v>
      </c>
      <c r="G12" s="6" t="s">
        <v>9007</v>
      </c>
      <c r="H12" s="475" t="s">
        <v>1808</v>
      </c>
      <c r="I12" s="160"/>
      <c r="J12" s="6" t="s">
        <v>9008</v>
      </c>
      <c r="K12" s="6" t="s">
        <v>6872</v>
      </c>
      <c r="L12" s="6" t="s">
        <v>4787</v>
      </c>
      <c r="M12" s="6" t="s">
        <v>6064</v>
      </c>
      <c r="N12" s="6"/>
      <c r="O12" s="6"/>
      <c r="P12" s="6"/>
      <c r="Q12" s="6"/>
    </row>
    <row r="13" spans="1:17" ht="38.25">
      <c r="A13" s="62">
        <v>40148</v>
      </c>
      <c r="B13" s="158" t="s">
        <v>8960</v>
      </c>
      <c r="C13" s="22" t="s">
        <v>9009</v>
      </c>
      <c r="D13" s="6"/>
      <c r="E13" s="297" t="s">
        <v>9010</v>
      </c>
      <c r="F13" s="467" t="s">
        <v>9011</v>
      </c>
      <c r="G13" s="6" t="s">
        <v>9012</v>
      </c>
      <c r="H13" s="475" t="s">
        <v>1808</v>
      </c>
      <c r="I13" s="6" t="s">
        <v>9013</v>
      </c>
      <c r="J13" s="6" t="s">
        <v>9014</v>
      </c>
      <c r="K13" s="6" t="s">
        <v>6872</v>
      </c>
      <c r="L13" s="6" t="s">
        <v>4987</v>
      </c>
      <c r="M13" s="6" t="s">
        <v>1824</v>
      </c>
      <c r="N13" s="6"/>
      <c r="O13" s="6" t="s">
        <v>2656</v>
      </c>
      <c r="P13" s="6"/>
      <c r="Q13" s="6"/>
    </row>
    <row r="14" spans="1:17" ht="38.25">
      <c r="A14" s="6" t="s">
        <v>9015</v>
      </c>
      <c r="B14" s="158" t="s">
        <v>8960</v>
      </c>
      <c r="C14" s="22" t="s">
        <v>9016</v>
      </c>
      <c r="D14" s="6"/>
      <c r="E14" s="297" t="s">
        <v>9017</v>
      </c>
      <c r="F14" s="467" t="s">
        <v>9018</v>
      </c>
      <c r="G14" s="158" t="s">
        <v>581</v>
      </c>
      <c r="H14" s="475" t="s">
        <v>1808</v>
      </c>
      <c r="I14" s="6" t="s">
        <v>9019</v>
      </c>
      <c r="J14" s="6" t="s">
        <v>9020</v>
      </c>
      <c r="K14" s="6" t="s">
        <v>6872</v>
      </c>
      <c r="L14" s="6" t="s">
        <v>4982</v>
      </c>
      <c r="M14" s="6" t="s">
        <v>1824</v>
      </c>
      <c r="N14" s="6"/>
      <c r="O14" s="6" t="s">
        <v>6370</v>
      </c>
      <c r="P14" s="6"/>
      <c r="Q14" s="6"/>
    </row>
    <row r="15" spans="1:17" ht="38.25">
      <c r="A15" s="6" t="s">
        <v>9021</v>
      </c>
      <c r="B15" s="158" t="s">
        <v>8960</v>
      </c>
      <c r="C15" s="22" t="s">
        <v>9022</v>
      </c>
      <c r="D15" s="6"/>
      <c r="E15" s="297" t="s">
        <v>9023</v>
      </c>
      <c r="F15" s="467" t="s">
        <v>9024</v>
      </c>
      <c r="G15" s="158" t="s">
        <v>1722</v>
      </c>
      <c r="H15" s="475" t="s">
        <v>1808</v>
      </c>
      <c r="I15" s="6" t="s">
        <v>2557</v>
      </c>
      <c r="J15" s="6" t="s">
        <v>9025</v>
      </c>
      <c r="K15" s="6" t="s">
        <v>6872</v>
      </c>
      <c r="L15" s="6" t="s">
        <v>4787</v>
      </c>
      <c r="M15" s="6" t="s">
        <v>1824</v>
      </c>
      <c r="N15" s="6"/>
      <c r="O15" s="6" t="s">
        <v>2613</v>
      </c>
      <c r="P15" s="6"/>
      <c r="Q15" s="6"/>
    </row>
    <row r="16" spans="1:17" ht="25.5">
      <c r="A16" s="6" t="s">
        <v>9026</v>
      </c>
      <c r="B16" s="158" t="s">
        <v>8960</v>
      </c>
      <c r="C16" s="164" t="s">
        <v>9027</v>
      </c>
      <c r="D16" s="158"/>
      <c r="E16" s="472" t="s">
        <v>9028</v>
      </c>
      <c r="F16" s="472" t="s">
        <v>9029</v>
      </c>
      <c r="G16" s="6" t="s">
        <v>9030</v>
      </c>
      <c r="H16" s="475" t="s">
        <v>1808</v>
      </c>
      <c r="I16" s="6" t="s">
        <v>9031</v>
      </c>
      <c r="J16" s="6" t="s">
        <v>9032</v>
      </c>
      <c r="K16" s="6" t="s">
        <v>6872</v>
      </c>
      <c r="L16" s="6" t="s">
        <v>1141</v>
      </c>
      <c r="M16" s="6" t="s">
        <v>6137</v>
      </c>
      <c r="N16" s="6"/>
      <c r="O16" s="6" t="s">
        <v>2611</v>
      </c>
      <c r="P16" s="6"/>
      <c r="Q16" s="6"/>
    </row>
    <row r="17" spans="1:17" ht="38.25">
      <c r="A17" s="6" t="s">
        <v>9033</v>
      </c>
      <c r="B17" s="158" t="s">
        <v>8960</v>
      </c>
      <c r="C17" s="22" t="s">
        <v>9034</v>
      </c>
      <c r="D17" s="6"/>
      <c r="E17" s="291" t="s">
        <v>9035</v>
      </c>
      <c r="F17" s="468" t="s">
        <v>9036</v>
      </c>
      <c r="G17" s="6" t="s">
        <v>1722</v>
      </c>
      <c r="H17" s="475" t="s">
        <v>1808</v>
      </c>
      <c r="I17" s="6" t="s">
        <v>2557</v>
      </c>
      <c r="J17" s="6" t="s">
        <v>9037</v>
      </c>
      <c r="K17" s="6" t="s">
        <v>6872</v>
      </c>
      <c r="L17" s="6" t="s">
        <v>9038</v>
      </c>
      <c r="M17" s="6" t="s">
        <v>1824</v>
      </c>
      <c r="N17" s="6"/>
      <c r="O17" s="6" t="s">
        <v>2613</v>
      </c>
      <c r="P17" s="6"/>
      <c r="Q17" s="6"/>
    </row>
    <row r="18" spans="1:17" ht="38.25">
      <c r="A18" s="6" t="s">
        <v>9039</v>
      </c>
      <c r="B18" s="158" t="s">
        <v>8960</v>
      </c>
      <c r="C18" s="22" t="s">
        <v>9040</v>
      </c>
      <c r="D18" s="6"/>
      <c r="E18" s="297" t="s">
        <v>9041</v>
      </c>
      <c r="F18" s="467" t="s">
        <v>9042</v>
      </c>
      <c r="G18" s="6" t="s">
        <v>650</v>
      </c>
      <c r="H18" s="475" t="s">
        <v>1808</v>
      </c>
      <c r="I18" s="6" t="s">
        <v>9043</v>
      </c>
      <c r="J18" s="6" t="s">
        <v>9044</v>
      </c>
      <c r="K18" s="6" t="s">
        <v>6872</v>
      </c>
      <c r="L18" s="6" t="s">
        <v>9038</v>
      </c>
      <c r="M18" s="6" t="s">
        <v>1824</v>
      </c>
      <c r="N18" s="6"/>
      <c r="O18" s="6" t="s">
        <v>6314</v>
      </c>
      <c r="P18" s="6"/>
      <c r="Q18" s="6"/>
    </row>
    <row r="19" spans="1:17" ht="38.25">
      <c r="A19" s="6" t="s">
        <v>9045</v>
      </c>
      <c r="B19" s="158" t="s">
        <v>8960</v>
      </c>
      <c r="C19" s="22" t="s">
        <v>9046</v>
      </c>
      <c r="D19" s="6"/>
      <c r="E19" s="291" t="s">
        <v>9047</v>
      </c>
      <c r="F19" s="468" t="s">
        <v>9048</v>
      </c>
      <c r="G19" s="6" t="s">
        <v>8980</v>
      </c>
      <c r="H19" s="6" t="s">
        <v>6132</v>
      </c>
      <c r="I19" s="6" t="s">
        <v>9049</v>
      </c>
      <c r="J19" s="6" t="s">
        <v>9050</v>
      </c>
      <c r="K19" s="6" t="s">
        <v>6872</v>
      </c>
      <c r="L19" s="6" t="s">
        <v>9051</v>
      </c>
      <c r="M19" s="6" t="s">
        <v>6724</v>
      </c>
      <c r="N19" s="6"/>
      <c r="O19" s="6" t="s">
        <v>1828</v>
      </c>
      <c r="P19" s="6"/>
      <c r="Q19" s="6"/>
    </row>
    <row r="20" spans="1:17" ht="38.25">
      <c r="A20" s="6" t="s">
        <v>9052</v>
      </c>
      <c r="B20" s="158" t="s">
        <v>8960</v>
      </c>
      <c r="C20" s="22" t="s">
        <v>9040</v>
      </c>
      <c r="D20" s="6"/>
      <c r="E20" s="297" t="s">
        <v>9053</v>
      </c>
      <c r="F20" s="467" t="s">
        <v>9054</v>
      </c>
      <c r="G20" s="6" t="s">
        <v>1478</v>
      </c>
      <c r="H20" s="475" t="s">
        <v>1808</v>
      </c>
      <c r="I20" s="160" t="s">
        <v>9055</v>
      </c>
      <c r="J20" s="6" t="s">
        <v>9056</v>
      </c>
      <c r="K20" s="158" t="s">
        <v>6872</v>
      </c>
      <c r="L20" s="158" t="s">
        <v>9038</v>
      </c>
      <c r="M20" s="6" t="s">
        <v>1824</v>
      </c>
      <c r="N20" s="6"/>
      <c r="O20" s="6"/>
      <c r="P20" s="6"/>
      <c r="Q20" s="6"/>
    </row>
    <row r="21" spans="1:17" ht="38.25">
      <c r="A21" s="6" t="s">
        <v>9057</v>
      </c>
      <c r="B21" s="158" t="s">
        <v>8960</v>
      </c>
      <c r="C21" s="22" t="s">
        <v>9058</v>
      </c>
      <c r="D21" s="6"/>
      <c r="E21" s="291" t="s">
        <v>9059</v>
      </c>
      <c r="F21" s="468" t="s">
        <v>9060</v>
      </c>
      <c r="G21" s="6" t="s">
        <v>9061</v>
      </c>
      <c r="H21" s="475" t="s">
        <v>1808</v>
      </c>
      <c r="I21" s="160" t="s">
        <v>9062</v>
      </c>
      <c r="J21" s="6" t="s">
        <v>9063</v>
      </c>
      <c r="K21" s="158" t="s">
        <v>6872</v>
      </c>
      <c r="L21" s="6" t="s">
        <v>62</v>
      </c>
      <c r="M21" s="6" t="s">
        <v>6137</v>
      </c>
      <c r="N21" s="6"/>
      <c r="O21" s="6" t="s">
        <v>5647</v>
      </c>
      <c r="P21" s="6"/>
      <c r="Q21" s="6"/>
    </row>
    <row r="22" spans="1:17" ht="38.25">
      <c r="A22" s="6" t="s">
        <v>9064</v>
      </c>
      <c r="B22" s="158" t="s">
        <v>8960</v>
      </c>
      <c r="C22" s="22" t="s">
        <v>9065</v>
      </c>
      <c r="D22" s="6"/>
      <c r="E22" s="291" t="s">
        <v>9066</v>
      </c>
      <c r="F22" s="468" t="s">
        <v>9067</v>
      </c>
      <c r="G22" s="6"/>
      <c r="H22" s="475" t="s">
        <v>1808</v>
      </c>
      <c r="I22" s="160"/>
      <c r="J22" s="217" t="s">
        <v>9068</v>
      </c>
      <c r="K22" s="6" t="s">
        <v>6872</v>
      </c>
      <c r="L22" s="6" t="s">
        <v>1940</v>
      </c>
      <c r="M22" s="6" t="s">
        <v>6064</v>
      </c>
      <c r="N22" s="6"/>
      <c r="O22" s="6"/>
      <c r="P22" s="6"/>
      <c r="Q22" s="6"/>
    </row>
    <row r="23" spans="1:17" ht="12.75">
      <c r="A23" s="556"/>
      <c r="B23" s="815"/>
      <c r="C23" s="812"/>
      <c r="D23" s="812"/>
      <c r="E23" s="812"/>
      <c r="F23" s="812"/>
      <c r="G23" s="812"/>
      <c r="H23" s="812"/>
      <c r="I23" s="812"/>
      <c r="J23" s="812"/>
      <c r="K23" s="812"/>
      <c r="L23" s="812"/>
      <c r="M23" s="812"/>
      <c r="N23" s="812"/>
      <c r="O23" s="812"/>
      <c r="P23" s="812"/>
      <c r="Q23" s="813"/>
    </row>
    <row r="24" spans="1:17" ht="25.5">
      <c r="A24" s="160" t="s">
        <v>9069</v>
      </c>
      <c r="B24" s="158" t="s">
        <v>8512</v>
      </c>
      <c r="C24" s="22" t="s">
        <v>9070</v>
      </c>
      <c r="D24" s="158" t="s">
        <v>9071</v>
      </c>
      <c r="E24" s="158"/>
      <c r="F24" s="474" t="s">
        <v>9072</v>
      </c>
      <c r="G24" s="6" t="s">
        <v>9073</v>
      </c>
      <c r="H24" s="6" t="s">
        <v>6132</v>
      </c>
      <c r="I24" s="160" t="s">
        <v>9074</v>
      </c>
      <c r="J24" s="6" t="s">
        <v>9075</v>
      </c>
      <c r="K24" s="6" t="s">
        <v>6872</v>
      </c>
      <c r="L24" s="6"/>
      <c r="M24" s="6" t="s">
        <v>1824</v>
      </c>
      <c r="N24" s="6"/>
      <c r="O24" s="6" t="s">
        <v>1847</v>
      </c>
      <c r="P24" s="6"/>
      <c r="Q24" s="6"/>
    </row>
    <row r="25" spans="1:17" ht="51">
      <c r="A25" s="160" t="s">
        <v>9076</v>
      </c>
      <c r="B25" s="158" t="s">
        <v>8512</v>
      </c>
      <c r="C25" s="22" t="s">
        <v>9077</v>
      </c>
      <c r="D25" s="158" t="s">
        <v>9071</v>
      </c>
      <c r="E25" s="158"/>
      <c r="F25" s="474" t="s">
        <v>9078</v>
      </c>
      <c r="G25" s="6" t="s">
        <v>9079</v>
      </c>
      <c r="H25" s="6" t="s">
        <v>6132</v>
      </c>
      <c r="I25" s="160" t="s">
        <v>9080</v>
      </c>
      <c r="J25" s="6" t="s">
        <v>9081</v>
      </c>
      <c r="K25" s="6" t="s">
        <v>6872</v>
      </c>
      <c r="L25" s="6"/>
      <c r="M25" s="6" t="s">
        <v>1824</v>
      </c>
      <c r="N25" s="6"/>
      <c r="O25" s="6" t="s">
        <v>8326</v>
      </c>
      <c r="P25" s="6"/>
      <c r="Q25" s="6"/>
    </row>
    <row r="26" spans="1:17" ht="38.25">
      <c r="A26" s="160" t="s">
        <v>9082</v>
      </c>
      <c r="B26" s="158" t="s">
        <v>8512</v>
      </c>
      <c r="C26" s="22" t="s">
        <v>9083</v>
      </c>
      <c r="D26" s="158" t="s">
        <v>9071</v>
      </c>
      <c r="E26" s="158"/>
      <c r="F26" s="474" t="s">
        <v>9084</v>
      </c>
      <c r="G26" s="6" t="s">
        <v>9085</v>
      </c>
      <c r="H26" s="6" t="s">
        <v>6132</v>
      </c>
      <c r="I26" s="6" t="s">
        <v>9086</v>
      </c>
      <c r="J26" s="6" t="s">
        <v>9075</v>
      </c>
      <c r="K26" s="6" t="s">
        <v>6872</v>
      </c>
      <c r="L26" s="6"/>
      <c r="M26" s="6" t="s">
        <v>1824</v>
      </c>
      <c r="N26" s="6"/>
      <c r="O26" s="6" t="s">
        <v>1847</v>
      </c>
      <c r="P26" s="6"/>
      <c r="Q26" s="6"/>
    </row>
    <row r="27" spans="1:17" ht="38.25">
      <c r="A27" s="160" t="s">
        <v>9087</v>
      </c>
      <c r="B27" s="158" t="s">
        <v>8512</v>
      </c>
      <c r="C27" s="22" t="s">
        <v>9088</v>
      </c>
      <c r="D27" s="158" t="s">
        <v>9071</v>
      </c>
      <c r="E27" s="158"/>
      <c r="F27" s="474" t="s">
        <v>9089</v>
      </c>
      <c r="G27" s="6" t="s">
        <v>9090</v>
      </c>
      <c r="H27" s="6" t="s">
        <v>6132</v>
      </c>
      <c r="I27" s="6" t="s">
        <v>9091</v>
      </c>
      <c r="J27" s="6" t="s">
        <v>9075</v>
      </c>
      <c r="K27" s="6" t="s">
        <v>6872</v>
      </c>
      <c r="L27" s="6"/>
      <c r="M27" s="6" t="s">
        <v>1824</v>
      </c>
      <c r="N27" s="6"/>
      <c r="O27" s="6" t="s">
        <v>1847</v>
      </c>
      <c r="P27" s="6"/>
      <c r="Q27" s="6"/>
    </row>
    <row r="28" spans="1:17" ht="127.5">
      <c r="A28" s="160" t="s">
        <v>9092</v>
      </c>
      <c r="B28" s="158" t="s">
        <v>8512</v>
      </c>
      <c r="C28" s="22" t="s">
        <v>9093</v>
      </c>
      <c r="D28" s="6" t="s">
        <v>9094</v>
      </c>
      <c r="E28" s="6"/>
      <c r="F28" s="468" t="s">
        <v>9095</v>
      </c>
      <c r="G28" s="6" t="s">
        <v>9096</v>
      </c>
      <c r="H28" s="6" t="s">
        <v>6132</v>
      </c>
      <c r="I28" s="6"/>
      <c r="J28" s="6" t="s">
        <v>9097</v>
      </c>
      <c r="K28" s="6" t="s">
        <v>6872</v>
      </c>
      <c r="L28" s="6"/>
      <c r="M28" s="6" t="s">
        <v>6064</v>
      </c>
      <c r="N28" s="6"/>
      <c r="O28" s="6"/>
      <c r="P28" s="6"/>
      <c r="Q28" s="6"/>
    </row>
    <row r="29" spans="1:17" ht="58.5" customHeight="1">
      <c r="A29" s="160" t="s">
        <v>9098</v>
      </c>
      <c r="B29" s="158" t="s">
        <v>8512</v>
      </c>
      <c r="C29" s="22" t="s">
        <v>9099</v>
      </c>
      <c r="D29" s="6" t="s">
        <v>9100</v>
      </c>
      <c r="E29" s="6"/>
      <c r="F29" s="468" t="s">
        <v>9101</v>
      </c>
      <c r="G29" s="6" t="s">
        <v>1491</v>
      </c>
      <c r="H29" s="475" t="s">
        <v>1808</v>
      </c>
      <c r="I29" s="6" t="s">
        <v>9102</v>
      </c>
      <c r="J29" s="6" t="s">
        <v>9103</v>
      </c>
      <c r="K29" s="6" t="s">
        <v>6872</v>
      </c>
      <c r="L29" s="6"/>
      <c r="M29" s="6" t="s">
        <v>6064</v>
      </c>
      <c r="N29" s="6"/>
      <c r="O29" s="6" t="s">
        <v>8862</v>
      </c>
      <c r="P29" s="6"/>
      <c r="Q29" s="6"/>
    </row>
    <row r="30" spans="1:17" ht="38.25">
      <c r="A30" s="160" t="s">
        <v>9104</v>
      </c>
      <c r="B30" s="158" t="s">
        <v>8512</v>
      </c>
      <c r="C30" s="22" t="s">
        <v>9105</v>
      </c>
      <c r="D30" s="6" t="s">
        <v>9106</v>
      </c>
      <c r="E30" s="6"/>
      <c r="F30" s="468" t="s">
        <v>9107</v>
      </c>
      <c r="G30" s="6" t="s">
        <v>9108</v>
      </c>
      <c r="H30" s="6" t="s">
        <v>6132</v>
      </c>
      <c r="I30" s="6" t="s">
        <v>9109</v>
      </c>
      <c r="J30" s="6" t="s">
        <v>9075</v>
      </c>
      <c r="K30" s="6" t="s">
        <v>6872</v>
      </c>
      <c r="L30" s="6"/>
      <c r="M30" s="6" t="s">
        <v>1824</v>
      </c>
      <c r="N30" s="6"/>
      <c r="O30" s="6" t="s">
        <v>2467</v>
      </c>
      <c r="P30" s="6"/>
      <c r="Q30" s="6"/>
    </row>
    <row r="31" spans="1:17" ht="76.5">
      <c r="A31" s="160" t="s">
        <v>9110</v>
      </c>
      <c r="B31" s="158" t="s">
        <v>8512</v>
      </c>
      <c r="C31" s="22" t="s">
        <v>9111</v>
      </c>
      <c r="D31" s="6" t="s">
        <v>9112</v>
      </c>
      <c r="E31" s="6"/>
      <c r="F31" s="468" t="s">
        <v>9113</v>
      </c>
      <c r="G31" s="6" t="s">
        <v>9114</v>
      </c>
      <c r="H31" s="475" t="s">
        <v>1808</v>
      </c>
      <c r="I31" s="160"/>
      <c r="J31" s="6" t="s">
        <v>9115</v>
      </c>
      <c r="K31" s="6" t="s">
        <v>6872</v>
      </c>
      <c r="L31" s="6"/>
      <c r="M31" s="6" t="s">
        <v>6064</v>
      </c>
      <c r="N31" s="6"/>
      <c r="O31" s="6"/>
      <c r="P31" s="6"/>
      <c r="Q31" s="6"/>
    </row>
    <row r="32" spans="1:17" ht="51">
      <c r="A32" s="160" t="s">
        <v>9116</v>
      </c>
      <c r="B32" s="158" t="s">
        <v>8512</v>
      </c>
      <c r="C32" s="22" t="s">
        <v>9117</v>
      </c>
      <c r="D32" s="6" t="s">
        <v>9118</v>
      </c>
      <c r="E32" s="6"/>
      <c r="F32" s="468" t="s">
        <v>9119</v>
      </c>
      <c r="G32" s="6" t="s">
        <v>1389</v>
      </c>
      <c r="H32" s="475" t="s">
        <v>1808</v>
      </c>
      <c r="I32" s="6" t="s">
        <v>9120</v>
      </c>
      <c r="J32" s="6" t="s">
        <v>9121</v>
      </c>
      <c r="K32" s="6" t="s">
        <v>6872</v>
      </c>
      <c r="L32" s="6"/>
      <c r="M32" s="6" t="s">
        <v>6064</v>
      </c>
      <c r="N32" s="6"/>
      <c r="O32" s="6" t="s">
        <v>2611</v>
      </c>
      <c r="P32" s="6"/>
      <c r="Q32" s="6"/>
    </row>
    <row r="33" spans="1:17" ht="153">
      <c r="A33" s="160" t="s">
        <v>9122</v>
      </c>
      <c r="B33" s="158" t="s">
        <v>8512</v>
      </c>
      <c r="C33" s="22" t="s">
        <v>9123</v>
      </c>
      <c r="D33" s="6" t="s">
        <v>9124</v>
      </c>
      <c r="E33" s="6"/>
      <c r="F33" s="468" t="s">
        <v>9125</v>
      </c>
      <c r="G33" s="6" t="s">
        <v>956</v>
      </c>
      <c r="H33" s="475" t="s">
        <v>1808</v>
      </c>
      <c r="I33" s="6" t="s">
        <v>4414</v>
      </c>
      <c r="J33" s="6" t="s">
        <v>9126</v>
      </c>
      <c r="K33" s="6" t="s">
        <v>6872</v>
      </c>
      <c r="L33" s="6"/>
      <c r="M33" s="6" t="s">
        <v>6064</v>
      </c>
      <c r="N33" s="6"/>
      <c r="O33" s="6" t="s">
        <v>6822</v>
      </c>
      <c r="P33" s="6"/>
      <c r="Q33" s="6"/>
    </row>
    <row r="34" spans="1:17" ht="38.25">
      <c r="A34" s="160" t="s">
        <v>9127</v>
      </c>
      <c r="B34" s="158" t="s">
        <v>8512</v>
      </c>
      <c r="C34" s="22" t="s">
        <v>9128</v>
      </c>
      <c r="D34" s="6" t="s">
        <v>9129</v>
      </c>
      <c r="E34" s="6"/>
      <c r="F34" s="468" t="s">
        <v>9130</v>
      </c>
      <c r="G34" s="6" t="s">
        <v>9131</v>
      </c>
      <c r="H34" s="475" t="s">
        <v>1808</v>
      </c>
      <c r="I34" s="6" t="s">
        <v>9132</v>
      </c>
      <c r="J34" s="6" t="s">
        <v>9115</v>
      </c>
      <c r="K34" s="6" t="s">
        <v>6872</v>
      </c>
      <c r="L34" s="6"/>
      <c r="M34" s="6" t="s">
        <v>6064</v>
      </c>
      <c r="N34" s="6"/>
      <c r="O34" s="6" t="s">
        <v>1847</v>
      </c>
      <c r="P34" s="6"/>
      <c r="Q34" s="6"/>
    </row>
    <row r="35" spans="1:17" ht="89.25">
      <c r="A35" s="160" t="s">
        <v>9133</v>
      </c>
      <c r="B35" s="158" t="s">
        <v>8512</v>
      </c>
      <c r="C35" s="22" t="s">
        <v>9134</v>
      </c>
      <c r="D35" s="6" t="s">
        <v>9135</v>
      </c>
      <c r="E35" s="6"/>
      <c r="F35" s="468" t="s">
        <v>9136</v>
      </c>
      <c r="G35" s="6" t="s">
        <v>8632</v>
      </c>
      <c r="H35" s="475" t="s">
        <v>1808</v>
      </c>
      <c r="I35" s="6" t="s">
        <v>8181</v>
      </c>
      <c r="J35" s="6" t="s">
        <v>9137</v>
      </c>
      <c r="K35" s="6" t="s">
        <v>6872</v>
      </c>
      <c r="L35" s="6"/>
      <c r="M35" s="6" t="s">
        <v>6064</v>
      </c>
      <c r="N35" s="6"/>
      <c r="O35" s="6" t="s">
        <v>2449</v>
      </c>
      <c r="P35" s="6"/>
      <c r="Q35" s="6"/>
    </row>
    <row r="36" spans="1:17" ht="51">
      <c r="A36" s="160" t="s">
        <v>9138</v>
      </c>
      <c r="B36" s="158" t="s">
        <v>8512</v>
      </c>
      <c r="C36" s="22" t="s">
        <v>9139</v>
      </c>
      <c r="D36" s="6" t="s">
        <v>9140</v>
      </c>
      <c r="E36" s="6"/>
      <c r="F36" s="468" t="s">
        <v>9141</v>
      </c>
      <c r="G36" s="160" t="s">
        <v>9142</v>
      </c>
      <c r="H36" s="475" t="s">
        <v>1808</v>
      </c>
      <c r="I36" s="6" t="s">
        <v>9143</v>
      </c>
      <c r="J36" s="6" t="s">
        <v>9144</v>
      </c>
      <c r="K36" s="6" t="s">
        <v>6872</v>
      </c>
      <c r="L36" s="6"/>
      <c r="M36" s="6" t="s">
        <v>6064</v>
      </c>
      <c r="N36" s="6"/>
      <c r="O36" s="6"/>
      <c r="P36" s="6"/>
      <c r="Q36" s="6"/>
    </row>
    <row r="37" spans="1:17" ht="38.25">
      <c r="A37" s="160" t="s">
        <v>9145</v>
      </c>
      <c r="B37" s="158" t="s">
        <v>8512</v>
      </c>
      <c r="C37" s="22" t="s">
        <v>9146</v>
      </c>
      <c r="D37" s="6" t="s">
        <v>9147</v>
      </c>
      <c r="E37" s="6"/>
      <c r="F37" s="468" t="s">
        <v>9148</v>
      </c>
      <c r="G37" s="6" t="s">
        <v>2331</v>
      </c>
      <c r="H37" s="475" t="s">
        <v>1808</v>
      </c>
      <c r="I37" s="160" t="s">
        <v>3500</v>
      </c>
      <c r="J37" s="6" t="s">
        <v>9149</v>
      </c>
      <c r="K37" s="6" t="s">
        <v>6872</v>
      </c>
      <c r="L37" s="6"/>
      <c r="M37" s="6" t="s">
        <v>6217</v>
      </c>
      <c r="N37" s="6"/>
      <c r="O37" s="6" t="s">
        <v>1847</v>
      </c>
      <c r="P37" s="6"/>
      <c r="Q37" s="6"/>
    </row>
    <row r="38" spans="1:17" ht="51">
      <c r="A38" s="160" t="s">
        <v>9150</v>
      </c>
      <c r="B38" s="158" t="s">
        <v>8512</v>
      </c>
      <c r="C38" s="164" t="s">
        <v>9151</v>
      </c>
      <c r="D38" s="158" t="s">
        <v>9152</v>
      </c>
      <c r="E38" s="158"/>
      <c r="F38" s="553" t="s">
        <v>9153</v>
      </c>
      <c r="G38" s="160" t="s">
        <v>9154</v>
      </c>
      <c r="H38" s="475" t="s">
        <v>1808</v>
      </c>
      <c r="I38" s="160" t="s">
        <v>9155</v>
      </c>
      <c r="J38" s="6" t="s">
        <v>9156</v>
      </c>
      <c r="K38" s="6" t="s">
        <v>6872</v>
      </c>
      <c r="L38" s="6"/>
      <c r="M38" s="6" t="s">
        <v>6064</v>
      </c>
      <c r="N38" s="6"/>
      <c r="O38" s="6" t="s">
        <v>8644</v>
      </c>
      <c r="P38" s="6"/>
      <c r="Q38" s="6"/>
    </row>
    <row r="39" spans="1:17" ht="102">
      <c r="A39" s="160" t="s">
        <v>9157</v>
      </c>
      <c r="B39" s="158" t="s">
        <v>8512</v>
      </c>
      <c r="C39" s="22" t="s">
        <v>9158</v>
      </c>
      <c r="D39" s="6" t="s">
        <v>9159</v>
      </c>
      <c r="E39" s="6"/>
      <c r="F39" s="468" t="s">
        <v>9160</v>
      </c>
      <c r="G39" s="6" t="s">
        <v>4834</v>
      </c>
      <c r="H39" s="475" t="s">
        <v>1808</v>
      </c>
      <c r="I39" s="6" t="s">
        <v>9161</v>
      </c>
      <c r="J39" s="6" t="s">
        <v>9162</v>
      </c>
      <c r="K39" s="6" t="s">
        <v>6872</v>
      </c>
      <c r="L39" s="6" t="s">
        <v>997</v>
      </c>
      <c r="M39" s="6" t="s">
        <v>1824</v>
      </c>
      <c r="N39" s="6"/>
      <c r="O39" s="6" t="s">
        <v>1847</v>
      </c>
      <c r="P39" s="6"/>
      <c r="Q39" s="6"/>
    </row>
    <row r="40" spans="1:17" ht="114.75">
      <c r="A40" s="160" t="s">
        <v>9163</v>
      </c>
      <c r="B40" s="158" t="s">
        <v>8512</v>
      </c>
      <c r="C40" s="22" t="s">
        <v>9164</v>
      </c>
      <c r="D40" s="6" t="s">
        <v>9165</v>
      </c>
      <c r="E40" s="6"/>
      <c r="F40" s="468" t="s">
        <v>9166</v>
      </c>
      <c r="G40" s="6" t="s">
        <v>9167</v>
      </c>
      <c r="H40" s="475" t="s">
        <v>1808</v>
      </c>
      <c r="I40" s="6" t="s">
        <v>9168</v>
      </c>
      <c r="J40" s="6" t="s">
        <v>9169</v>
      </c>
      <c r="K40" s="6" t="s">
        <v>6872</v>
      </c>
      <c r="L40" s="6"/>
      <c r="M40" s="6" t="s">
        <v>1824</v>
      </c>
      <c r="N40" s="6"/>
      <c r="O40" s="6" t="s">
        <v>1847</v>
      </c>
      <c r="P40" s="6"/>
      <c r="Q40" s="6"/>
    </row>
    <row r="41" spans="1:17" ht="76.5">
      <c r="A41" s="160" t="s">
        <v>9170</v>
      </c>
      <c r="B41" s="158" t="s">
        <v>8512</v>
      </c>
      <c r="C41" s="22" t="s">
        <v>9171</v>
      </c>
      <c r="D41" s="6" t="s">
        <v>9172</v>
      </c>
      <c r="E41" s="6"/>
      <c r="F41" s="468" t="s">
        <v>9173</v>
      </c>
      <c r="G41" s="6" t="s">
        <v>9174</v>
      </c>
      <c r="H41" s="475" t="s">
        <v>1808</v>
      </c>
      <c r="I41" s="160" t="s">
        <v>9175</v>
      </c>
      <c r="J41" s="6" t="s">
        <v>9176</v>
      </c>
      <c r="K41" s="6" t="s">
        <v>6872</v>
      </c>
      <c r="L41" s="6"/>
      <c r="M41" s="6" t="s">
        <v>6064</v>
      </c>
      <c r="N41" s="6"/>
      <c r="O41" s="6" t="s">
        <v>8280</v>
      </c>
      <c r="P41" s="6"/>
      <c r="Q41" s="6"/>
    </row>
    <row r="42" spans="1:17" ht="76.5">
      <c r="A42" s="160" t="s">
        <v>9177</v>
      </c>
      <c r="B42" s="158" t="s">
        <v>8512</v>
      </c>
      <c r="C42" s="22" t="s">
        <v>9178</v>
      </c>
      <c r="D42" s="6" t="s">
        <v>9179</v>
      </c>
      <c r="E42" s="6"/>
      <c r="F42" s="468" t="s">
        <v>9180</v>
      </c>
      <c r="G42" s="6" t="s">
        <v>722</v>
      </c>
      <c r="H42" s="475" t="s">
        <v>1808</v>
      </c>
      <c r="I42" s="160" t="s">
        <v>9181</v>
      </c>
      <c r="J42" s="6" t="s">
        <v>9182</v>
      </c>
      <c r="K42" s="6" t="s">
        <v>6872</v>
      </c>
      <c r="L42" s="6"/>
      <c r="M42" s="6" t="s">
        <v>6064</v>
      </c>
      <c r="N42" s="6"/>
      <c r="O42" s="6" t="s">
        <v>2467</v>
      </c>
      <c r="P42" s="6"/>
      <c r="Q42" s="6"/>
    </row>
    <row r="43" spans="1:17" ht="89.25">
      <c r="A43" s="160" t="s">
        <v>9183</v>
      </c>
      <c r="B43" s="158" t="s">
        <v>8512</v>
      </c>
      <c r="C43" s="22" t="s">
        <v>9184</v>
      </c>
      <c r="D43" s="6" t="s">
        <v>9185</v>
      </c>
      <c r="E43" s="6"/>
      <c r="F43" s="468" t="s">
        <v>9186</v>
      </c>
      <c r="G43" s="6" t="s">
        <v>722</v>
      </c>
      <c r="H43" s="475" t="s">
        <v>1808</v>
      </c>
      <c r="I43" s="158" t="s">
        <v>9187</v>
      </c>
      <c r="J43" s="6" t="s">
        <v>9188</v>
      </c>
      <c r="K43" s="6" t="s">
        <v>6872</v>
      </c>
      <c r="L43" s="6"/>
      <c r="M43" s="6" t="s">
        <v>6064</v>
      </c>
      <c r="N43" s="6"/>
      <c r="O43" s="6" t="s">
        <v>2467</v>
      </c>
      <c r="P43" s="6"/>
      <c r="Q43" s="6"/>
    </row>
    <row r="44" spans="1:17" ht="25.5">
      <c r="A44" s="160" t="s">
        <v>9189</v>
      </c>
      <c r="B44" s="158" t="s">
        <v>8512</v>
      </c>
      <c r="C44" s="22" t="s">
        <v>9190</v>
      </c>
      <c r="D44" s="56"/>
      <c r="E44" s="56"/>
      <c r="F44" s="468" t="s">
        <v>9191</v>
      </c>
      <c r="G44" s="6" t="s">
        <v>722</v>
      </c>
      <c r="H44" s="475" t="s">
        <v>1808</v>
      </c>
      <c r="I44" s="160" t="s">
        <v>9181</v>
      </c>
      <c r="J44" s="6" t="s">
        <v>9192</v>
      </c>
      <c r="K44" s="6" t="s">
        <v>6872</v>
      </c>
      <c r="L44" s="6"/>
      <c r="M44" s="6" t="s">
        <v>6064</v>
      </c>
      <c r="N44" s="6"/>
      <c r="O44" s="6" t="s">
        <v>2467</v>
      </c>
      <c r="P44" s="6"/>
      <c r="Q44" s="6"/>
    </row>
    <row r="45" spans="1:17" ht="25.5">
      <c r="A45" s="160" t="s">
        <v>9193</v>
      </c>
      <c r="B45" s="158" t="s">
        <v>8512</v>
      </c>
      <c r="C45" s="22"/>
      <c r="D45" s="56"/>
      <c r="E45" s="56"/>
      <c r="F45" s="479"/>
      <c r="G45" s="6"/>
      <c r="H45" s="475" t="s">
        <v>1808</v>
      </c>
      <c r="I45" s="160"/>
      <c r="J45" s="6"/>
      <c r="K45" s="6" t="s">
        <v>6872</v>
      </c>
      <c r="L45" s="6"/>
      <c r="M45" s="557"/>
      <c r="N45" s="6"/>
      <c r="O45" s="6"/>
      <c r="P45" s="6"/>
      <c r="Q45" s="6"/>
    </row>
    <row r="46" spans="1:17" ht="76.5">
      <c r="A46" s="160" t="s">
        <v>9194</v>
      </c>
      <c r="B46" s="158" t="s">
        <v>8512</v>
      </c>
      <c r="C46" s="22" t="s">
        <v>9195</v>
      </c>
      <c r="D46" s="6" t="s">
        <v>9196</v>
      </c>
      <c r="E46" s="6"/>
      <c r="F46" s="468" t="s">
        <v>9197</v>
      </c>
      <c r="G46" s="6" t="s">
        <v>9198</v>
      </c>
      <c r="H46" s="475" t="s">
        <v>1808</v>
      </c>
      <c r="I46" s="160" t="s">
        <v>9199</v>
      </c>
      <c r="J46" s="6" t="s">
        <v>9200</v>
      </c>
      <c r="K46" s="6" t="s">
        <v>6872</v>
      </c>
      <c r="L46" s="6"/>
      <c r="M46" s="6" t="s">
        <v>6064</v>
      </c>
      <c r="N46" s="6"/>
      <c r="O46" s="6" t="s">
        <v>2656</v>
      </c>
      <c r="P46" s="6"/>
      <c r="Q46" s="6"/>
    </row>
    <row r="47" spans="1:17" ht="102">
      <c r="A47" s="160" t="s">
        <v>9201</v>
      </c>
      <c r="B47" s="158" t="s">
        <v>8512</v>
      </c>
      <c r="C47" s="22" t="s">
        <v>9202</v>
      </c>
      <c r="D47" s="6" t="s">
        <v>9203</v>
      </c>
      <c r="E47" s="6"/>
      <c r="F47" s="468" t="s">
        <v>9204</v>
      </c>
      <c r="G47" s="6" t="s">
        <v>1389</v>
      </c>
      <c r="H47" s="475" t="s">
        <v>1808</v>
      </c>
      <c r="I47" s="160" t="s">
        <v>9205</v>
      </c>
      <c r="J47" s="64" t="s">
        <v>9206</v>
      </c>
      <c r="K47" s="6" t="s">
        <v>6872</v>
      </c>
      <c r="L47" s="6"/>
      <c r="M47" s="6" t="s">
        <v>6064</v>
      </c>
      <c r="N47" s="6"/>
      <c r="O47" s="6" t="s">
        <v>2611</v>
      </c>
      <c r="P47" s="6"/>
      <c r="Q47" s="6"/>
    </row>
    <row r="48" spans="1:17" ht="76.5">
      <c r="A48" s="160" t="s">
        <v>9207</v>
      </c>
      <c r="B48" s="158" t="s">
        <v>8512</v>
      </c>
      <c r="C48" s="164" t="s">
        <v>9208</v>
      </c>
      <c r="D48" s="158" t="s">
        <v>9209</v>
      </c>
      <c r="E48" s="158"/>
      <c r="F48" s="474" t="s">
        <v>9210</v>
      </c>
      <c r="G48" s="6" t="s">
        <v>9211</v>
      </c>
      <c r="H48" s="6" t="s">
        <v>6132</v>
      </c>
      <c r="I48" s="160"/>
      <c r="J48" s="6" t="s">
        <v>9212</v>
      </c>
      <c r="K48" s="6" t="s">
        <v>6872</v>
      </c>
      <c r="L48" s="6"/>
      <c r="M48" s="6" t="s">
        <v>6137</v>
      </c>
      <c r="N48" s="6"/>
      <c r="O48" s="6"/>
      <c r="P48" s="6"/>
      <c r="Q48" s="6"/>
    </row>
    <row r="49" spans="1:17" ht="140.25">
      <c r="A49" s="160" t="s">
        <v>9213</v>
      </c>
      <c r="B49" s="158" t="s">
        <v>8512</v>
      </c>
      <c r="C49" s="22" t="s">
        <v>9214</v>
      </c>
      <c r="D49" s="6" t="s">
        <v>9215</v>
      </c>
      <c r="E49" s="6"/>
      <c r="F49" s="468" t="s">
        <v>9216</v>
      </c>
      <c r="G49" s="6" t="s">
        <v>9217</v>
      </c>
      <c r="H49" s="6" t="s">
        <v>6132</v>
      </c>
      <c r="I49" s="160" t="s">
        <v>9218</v>
      </c>
      <c r="J49" s="6" t="s">
        <v>9219</v>
      </c>
      <c r="K49" s="6" t="s">
        <v>6872</v>
      </c>
      <c r="L49" s="6"/>
      <c r="M49" s="6" t="s">
        <v>7869</v>
      </c>
      <c r="N49" s="6"/>
      <c r="O49" s="6" t="s">
        <v>6314</v>
      </c>
      <c r="P49" s="6"/>
      <c r="Q49" s="6"/>
    </row>
    <row r="50" spans="1:17" ht="25.5">
      <c r="A50" s="160" t="s">
        <v>9220</v>
      </c>
      <c r="B50" s="158" t="s">
        <v>8512</v>
      </c>
      <c r="C50" s="22"/>
      <c r="D50" s="6"/>
      <c r="E50" s="6"/>
      <c r="F50" s="479"/>
      <c r="G50" s="6"/>
      <c r="H50" s="475" t="s">
        <v>1808</v>
      </c>
      <c r="I50" s="160"/>
      <c r="J50" s="6"/>
      <c r="K50" s="6" t="s">
        <v>6872</v>
      </c>
      <c r="L50" s="6"/>
      <c r="M50" s="557"/>
      <c r="N50" s="6"/>
      <c r="O50" s="6"/>
      <c r="P50" s="6"/>
      <c r="Q50" s="6"/>
    </row>
    <row r="51" spans="1:17" ht="76.5">
      <c r="A51" s="160" t="s">
        <v>9221</v>
      </c>
      <c r="B51" s="158" t="s">
        <v>8512</v>
      </c>
      <c r="C51" s="22" t="s">
        <v>9222</v>
      </c>
      <c r="D51" s="6" t="s">
        <v>9223</v>
      </c>
      <c r="E51" s="6"/>
      <c r="F51" s="468" t="s">
        <v>9224</v>
      </c>
      <c r="G51" s="6" t="s">
        <v>9225</v>
      </c>
      <c r="H51" s="475" t="s">
        <v>1808</v>
      </c>
      <c r="I51" s="6" t="s">
        <v>9226</v>
      </c>
      <c r="J51" s="6" t="s">
        <v>9227</v>
      </c>
      <c r="K51" s="6" t="s">
        <v>6872</v>
      </c>
      <c r="L51" s="6"/>
      <c r="M51" s="6" t="s">
        <v>6729</v>
      </c>
      <c r="N51" s="6"/>
      <c r="O51" s="6" t="s">
        <v>1847</v>
      </c>
      <c r="P51" s="6"/>
      <c r="Q51" s="6"/>
    </row>
    <row r="52" spans="1:17" ht="38.25">
      <c r="A52" s="160" t="s">
        <v>9228</v>
      </c>
      <c r="B52" s="158" t="s">
        <v>8512</v>
      </c>
      <c r="C52" s="22" t="s">
        <v>8367</v>
      </c>
      <c r="D52" s="6" t="s">
        <v>9229</v>
      </c>
      <c r="E52" s="6"/>
      <c r="F52" s="468" t="s">
        <v>9230</v>
      </c>
      <c r="G52" s="6" t="s">
        <v>9231</v>
      </c>
      <c r="H52" s="6" t="s">
        <v>6179</v>
      </c>
      <c r="I52" s="160" t="s">
        <v>8370</v>
      </c>
      <c r="J52" s="6" t="s">
        <v>9232</v>
      </c>
      <c r="K52" s="6" t="s">
        <v>6872</v>
      </c>
      <c r="L52" s="6"/>
      <c r="M52" s="6" t="s">
        <v>6137</v>
      </c>
      <c r="N52" s="6"/>
      <c r="O52" s="6" t="s">
        <v>8280</v>
      </c>
      <c r="P52" s="6"/>
      <c r="Q52" s="6"/>
    </row>
    <row r="53" spans="1:17" ht="38.25">
      <c r="A53" s="160" t="s">
        <v>9233</v>
      </c>
      <c r="B53" s="158" t="s">
        <v>8512</v>
      </c>
      <c r="C53" s="22" t="s">
        <v>9234</v>
      </c>
      <c r="D53" s="6" t="s">
        <v>9235</v>
      </c>
      <c r="E53" s="6"/>
      <c r="F53" s="468" t="s">
        <v>9236</v>
      </c>
      <c r="G53" s="6" t="s">
        <v>8591</v>
      </c>
      <c r="H53" s="475" t="s">
        <v>1808</v>
      </c>
      <c r="I53" s="6" t="s">
        <v>9237</v>
      </c>
      <c r="J53" s="6" t="s">
        <v>9238</v>
      </c>
      <c r="K53" s="6" t="s">
        <v>6872</v>
      </c>
      <c r="L53" s="6"/>
      <c r="M53" s="6" t="s">
        <v>6064</v>
      </c>
      <c r="N53" s="6"/>
      <c r="O53" s="6" t="s">
        <v>2467</v>
      </c>
      <c r="P53" s="6"/>
      <c r="Q53" s="6"/>
    </row>
    <row r="54" spans="1:17" ht="51">
      <c r="A54" s="160" t="s">
        <v>9239</v>
      </c>
      <c r="B54" s="158" t="s">
        <v>8512</v>
      </c>
      <c r="C54" s="22" t="s">
        <v>9240</v>
      </c>
      <c r="D54" s="56"/>
      <c r="E54" s="56"/>
      <c r="F54" s="468" t="s">
        <v>9241</v>
      </c>
      <c r="G54" s="6" t="s">
        <v>9242</v>
      </c>
      <c r="H54" s="475" t="s">
        <v>6132</v>
      </c>
      <c r="I54" s="6" t="s">
        <v>9243</v>
      </c>
      <c r="J54" s="6" t="s">
        <v>9244</v>
      </c>
      <c r="K54" s="6" t="s">
        <v>6872</v>
      </c>
      <c r="L54" s="6"/>
      <c r="M54" s="6" t="s">
        <v>6217</v>
      </c>
      <c r="N54" s="6"/>
      <c r="O54" s="6" t="s">
        <v>1847</v>
      </c>
      <c r="P54" s="6"/>
      <c r="Q54" s="6"/>
    </row>
    <row r="55" spans="1:17" ht="38.25">
      <c r="A55" s="160" t="s">
        <v>9245</v>
      </c>
      <c r="B55" s="158" t="s">
        <v>8512</v>
      </c>
      <c r="C55" s="22" t="s">
        <v>9246</v>
      </c>
      <c r="D55" s="6" t="s">
        <v>9247</v>
      </c>
      <c r="E55" s="6"/>
      <c r="F55" s="468" t="s">
        <v>9248</v>
      </c>
      <c r="G55" s="6" t="s">
        <v>9249</v>
      </c>
      <c r="H55" s="475" t="s">
        <v>1808</v>
      </c>
      <c r="I55" s="6" t="s">
        <v>9250</v>
      </c>
      <c r="J55" s="6" t="s">
        <v>9251</v>
      </c>
      <c r="K55" s="6" t="s">
        <v>6872</v>
      </c>
      <c r="L55" s="6"/>
      <c r="M55" s="6" t="s">
        <v>6137</v>
      </c>
      <c r="N55" s="6"/>
      <c r="O55" s="6" t="s">
        <v>2613</v>
      </c>
      <c r="P55" s="6"/>
      <c r="Q55" s="6"/>
    </row>
    <row r="56" spans="1:17" ht="89.25">
      <c r="A56" s="160" t="s">
        <v>9252</v>
      </c>
      <c r="B56" s="158" t="s">
        <v>8512</v>
      </c>
      <c r="C56" s="22" t="s">
        <v>9253</v>
      </c>
      <c r="D56" s="6" t="s">
        <v>9254</v>
      </c>
      <c r="E56" s="6"/>
      <c r="F56" s="468" t="s">
        <v>9255</v>
      </c>
      <c r="G56" s="6" t="s">
        <v>9256</v>
      </c>
      <c r="H56" s="475" t="s">
        <v>1808</v>
      </c>
      <c r="I56" s="6" t="s">
        <v>8786</v>
      </c>
      <c r="J56" s="6" t="s">
        <v>9257</v>
      </c>
      <c r="K56" s="6" t="s">
        <v>6872</v>
      </c>
      <c r="L56" s="6"/>
      <c r="M56" s="6" t="s">
        <v>6137</v>
      </c>
      <c r="N56" s="6"/>
      <c r="O56" s="6" t="s">
        <v>7367</v>
      </c>
      <c r="P56" s="6"/>
      <c r="Q56" s="6"/>
    </row>
    <row r="57" spans="1:17" ht="102">
      <c r="A57" s="160" t="s">
        <v>9258</v>
      </c>
      <c r="B57" s="158" t="s">
        <v>8512</v>
      </c>
      <c r="C57" s="22" t="s">
        <v>9259</v>
      </c>
      <c r="D57" s="6" t="s">
        <v>9260</v>
      </c>
      <c r="E57" s="6"/>
      <c r="F57" s="468" t="s">
        <v>9261</v>
      </c>
      <c r="G57" s="6" t="s">
        <v>9262</v>
      </c>
      <c r="H57" s="6" t="s">
        <v>6132</v>
      </c>
      <c r="I57" s="160" t="s">
        <v>9263</v>
      </c>
      <c r="J57" s="6" t="s">
        <v>9003</v>
      </c>
      <c r="K57" s="6" t="s">
        <v>6872</v>
      </c>
      <c r="L57" s="6"/>
      <c r="M57" s="6" t="s">
        <v>6217</v>
      </c>
      <c r="N57" s="6"/>
      <c r="O57" s="6" t="s">
        <v>2656</v>
      </c>
      <c r="P57" s="6"/>
      <c r="Q57" s="6"/>
    </row>
    <row r="58" spans="1:17" ht="63.75">
      <c r="A58" s="160" t="s">
        <v>9264</v>
      </c>
      <c r="B58" s="158" t="s">
        <v>8512</v>
      </c>
      <c r="C58" s="22" t="s">
        <v>9265</v>
      </c>
      <c r="D58" s="6" t="s">
        <v>9266</v>
      </c>
      <c r="E58" s="6"/>
      <c r="F58" s="468" t="s">
        <v>9267</v>
      </c>
      <c r="G58" s="6" t="s">
        <v>9268</v>
      </c>
      <c r="H58" s="475" t="s">
        <v>1808</v>
      </c>
      <c r="I58" s="160"/>
      <c r="J58" s="6" t="s">
        <v>9269</v>
      </c>
      <c r="K58" s="6" t="s">
        <v>6872</v>
      </c>
      <c r="L58" s="6"/>
      <c r="M58" s="6" t="s">
        <v>6064</v>
      </c>
      <c r="N58" s="6"/>
      <c r="O58" s="6"/>
      <c r="P58" s="6"/>
      <c r="Q58" s="6"/>
    </row>
    <row r="59" spans="1:17" ht="178.5">
      <c r="A59" s="160" t="s">
        <v>9270</v>
      </c>
      <c r="B59" s="158" t="s">
        <v>8512</v>
      </c>
      <c r="C59" s="22" t="s">
        <v>9271</v>
      </c>
      <c r="D59" s="6" t="s">
        <v>9272</v>
      </c>
      <c r="E59" s="6"/>
      <c r="F59" s="468" t="s">
        <v>9273</v>
      </c>
      <c r="G59" s="6" t="s">
        <v>9274</v>
      </c>
      <c r="H59" s="6" t="s">
        <v>6132</v>
      </c>
      <c r="I59" s="160" t="s">
        <v>9275</v>
      </c>
      <c r="J59" s="6" t="s">
        <v>9276</v>
      </c>
      <c r="K59" s="6" t="s">
        <v>6872</v>
      </c>
      <c r="L59" s="6"/>
      <c r="M59" s="6" t="s">
        <v>9277</v>
      </c>
      <c r="N59" s="6"/>
      <c r="O59" s="6" t="s">
        <v>7922</v>
      </c>
      <c r="P59" s="6"/>
      <c r="Q59" s="6"/>
    </row>
    <row r="60" spans="1:17" ht="102">
      <c r="A60" s="160" t="s">
        <v>9278</v>
      </c>
      <c r="B60" s="158" t="s">
        <v>8512</v>
      </c>
      <c r="C60" s="22" t="s">
        <v>9279</v>
      </c>
      <c r="D60" s="6" t="s">
        <v>9280</v>
      </c>
      <c r="E60" s="6"/>
      <c r="F60" s="468" t="s">
        <v>9281</v>
      </c>
      <c r="G60" s="6" t="s">
        <v>9282</v>
      </c>
      <c r="H60" s="6" t="s">
        <v>6179</v>
      </c>
      <c r="I60" s="160" t="s">
        <v>9283</v>
      </c>
      <c r="J60" s="6" t="s">
        <v>9063</v>
      </c>
      <c r="K60" s="6" t="s">
        <v>6872</v>
      </c>
      <c r="L60" s="6"/>
      <c r="M60" s="6" t="s">
        <v>6170</v>
      </c>
      <c r="N60" s="6"/>
      <c r="O60" s="6" t="s">
        <v>9284</v>
      </c>
      <c r="P60" s="6"/>
      <c r="Q60" s="6"/>
    </row>
    <row r="61" spans="1:17" ht="204">
      <c r="A61" s="160" t="s">
        <v>9285</v>
      </c>
      <c r="B61" s="158" t="s">
        <v>8512</v>
      </c>
      <c r="C61" s="22" t="s">
        <v>9286</v>
      </c>
      <c r="D61" s="6" t="s">
        <v>9287</v>
      </c>
      <c r="E61" s="6"/>
      <c r="F61" s="468" t="s">
        <v>9288</v>
      </c>
      <c r="G61" s="6" t="s">
        <v>9289</v>
      </c>
      <c r="H61" s="475" t="s">
        <v>1808</v>
      </c>
      <c r="I61" s="160" t="s">
        <v>9290</v>
      </c>
      <c r="J61" s="6" t="s">
        <v>9291</v>
      </c>
      <c r="K61" s="6" t="s">
        <v>6872</v>
      </c>
      <c r="L61" s="6"/>
      <c r="M61" s="6" t="s">
        <v>6092</v>
      </c>
      <c r="N61" s="6"/>
      <c r="O61" s="6" t="s">
        <v>6783</v>
      </c>
      <c r="P61" s="6"/>
      <c r="Q61" s="6"/>
    </row>
    <row r="62" spans="1:17" ht="12.75">
      <c r="A62" s="160"/>
      <c r="B62" s="158"/>
      <c r="C62" s="180"/>
      <c r="D62" s="179"/>
      <c r="E62" s="179"/>
      <c r="F62" s="546"/>
      <c r="G62" s="179" t="s">
        <v>997</v>
      </c>
      <c r="H62" s="6"/>
      <c r="I62" s="160"/>
      <c r="J62" s="179"/>
      <c r="K62" s="179"/>
      <c r="L62" s="54"/>
      <c r="M62" s="179"/>
      <c r="N62" s="179"/>
      <c r="O62" s="54"/>
      <c r="P62" s="54"/>
      <c r="Q62" s="54"/>
    </row>
    <row r="63" spans="1:17" ht="12.75">
      <c r="A63" s="160"/>
      <c r="B63" s="158"/>
      <c r="C63" s="180"/>
      <c r="D63" s="179"/>
      <c r="E63" s="179"/>
      <c r="F63" s="546"/>
      <c r="G63" s="179"/>
      <c r="H63" s="6"/>
      <c r="I63" s="160"/>
      <c r="J63" s="179"/>
      <c r="K63" s="179"/>
      <c r="L63" s="54"/>
      <c r="M63" s="179"/>
      <c r="N63" s="179"/>
      <c r="O63" s="54"/>
      <c r="P63" s="54"/>
      <c r="Q63" s="54"/>
    </row>
    <row r="64" spans="1:17" ht="12.75">
      <c r="A64" s="160"/>
      <c r="B64" s="158"/>
      <c r="C64" s="180"/>
      <c r="D64" s="179"/>
      <c r="E64" s="179"/>
      <c r="F64" s="546"/>
      <c r="G64" s="179"/>
      <c r="H64" s="6"/>
      <c r="I64" s="6"/>
      <c r="J64" s="179"/>
      <c r="K64" s="179"/>
      <c r="L64" s="54"/>
      <c r="M64" s="179" t="s">
        <v>9292</v>
      </c>
      <c r="N64" s="179"/>
      <c r="O64" s="54"/>
      <c r="P64" s="54"/>
      <c r="Q64" s="54"/>
    </row>
    <row r="65" spans="1:17" ht="12.75">
      <c r="A65" s="160"/>
      <c r="B65" s="158"/>
      <c r="C65" s="180"/>
      <c r="D65" s="179"/>
      <c r="E65" s="179"/>
      <c r="F65" s="179"/>
      <c r="G65" s="179"/>
      <c r="H65" s="6"/>
      <c r="I65" s="6"/>
      <c r="J65" s="179"/>
      <c r="K65" s="179"/>
      <c r="L65" s="54"/>
      <c r="M65" s="179"/>
      <c r="N65" s="179"/>
      <c r="O65" s="54"/>
      <c r="P65" s="54"/>
      <c r="Q65" s="54"/>
    </row>
    <row r="66" spans="1:17" ht="12.75">
      <c r="A66" s="160"/>
      <c r="B66" s="158"/>
      <c r="C66" s="180"/>
      <c r="D66" s="179"/>
      <c r="E66" s="179"/>
      <c r="F66" s="179"/>
      <c r="G66" s="179"/>
      <c r="H66" s="6"/>
      <c r="I66" s="6"/>
      <c r="J66" s="179"/>
      <c r="K66" s="179"/>
      <c r="L66" s="54"/>
      <c r="M66" s="179"/>
      <c r="N66" s="179"/>
      <c r="O66" s="54"/>
      <c r="P66" s="54"/>
      <c r="Q66" s="54"/>
    </row>
    <row r="67" spans="1:17" ht="12.75">
      <c r="A67" s="160"/>
      <c r="B67" s="158"/>
      <c r="C67" s="180"/>
      <c r="D67" s="179"/>
      <c r="E67" s="179"/>
      <c r="F67" s="179"/>
      <c r="G67" s="179"/>
      <c r="H67" s="6"/>
      <c r="I67" s="6"/>
      <c r="J67" s="179"/>
      <c r="K67" s="179"/>
      <c r="L67" s="54"/>
      <c r="M67" s="179"/>
      <c r="N67" s="179"/>
      <c r="O67" s="54"/>
      <c r="P67" s="54"/>
      <c r="Q67" s="54"/>
    </row>
    <row r="68" spans="1:17" ht="12.75">
      <c r="A68" s="160"/>
      <c r="B68" s="158"/>
      <c r="C68" s="180" t="s">
        <v>997</v>
      </c>
      <c r="D68" s="179"/>
      <c r="E68" s="179"/>
      <c r="F68" s="179"/>
      <c r="G68" s="179"/>
      <c r="H68" s="6"/>
      <c r="I68" s="6"/>
      <c r="J68" s="179"/>
      <c r="K68" s="179"/>
      <c r="L68" s="54"/>
      <c r="M68" s="179"/>
      <c r="N68" s="179"/>
      <c r="O68" s="54"/>
      <c r="P68" s="54"/>
      <c r="Q68" s="54"/>
    </row>
    <row r="69" spans="1:17" ht="12.75">
      <c r="A69" s="160"/>
      <c r="B69" s="558"/>
      <c r="C69" s="180"/>
      <c r="D69" s="179"/>
      <c r="E69" s="179"/>
      <c r="F69" s="179"/>
      <c r="G69" s="179"/>
      <c r="H69" s="6"/>
      <c r="I69" s="6"/>
      <c r="J69" s="179"/>
      <c r="K69" s="179"/>
      <c r="L69" s="54"/>
      <c r="M69" s="179"/>
      <c r="N69" s="179"/>
      <c r="O69" s="54"/>
      <c r="P69" s="54"/>
      <c r="Q69" s="54"/>
    </row>
    <row r="70" spans="1:17" ht="12.75">
      <c r="A70" s="6"/>
      <c r="B70" s="558"/>
      <c r="C70" s="180"/>
      <c r="D70" s="179"/>
      <c r="E70" s="179"/>
      <c r="F70" s="179"/>
      <c r="G70" s="179"/>
      <c r="H70" s="6"/>
      <c r="I70" s="6"/>
      <c r="J70" s="179"/>
      <c r="K70" s="179"/>
      <c r="L70" s="54"/>
      <c r="M70" s="179"/>
      <c r="N70" s="179"/>
      <c r="O70" s="54"/>
      <c r="P70" s="54"/>
      <c r="Q70" s="54"/>
    </row>
    <row r="71" spans="1:17" ht="12.75">
      <c r="A71" s="6"/>
      <c r="B71" s="558"/>
      <c r="C71" s="180"/>
      <c r="D71" s="179"/>
      <c r="E71" s="179"/>
      <c r="F71" s="179"/>
      <c r="G71" s="179"/>
      <c r="H71" s="6"/>
      <c r="I71" s="6"/>
      <c r="J71" s="179"/>
      <c r="K71" s="179"/>
      <c r="L71" s="54" t="s">
        <v>997</v>
      </c>
      <c r="M71" s="179"/>
      <c r="N71" s="179"/>
      <c r="O71" s="54"/>
      <c r="P71" s="54"/>
      <c r="Q71" s="54"/>
    </row>
    <row r="72" spans="1:17" ht="12.75">
      <c r="A72" s="6"/>
      <c r="B72" s="558"/>
      <c r="C72" s="180"/>
      <c r="D72" s="179"/>
      <c r="E72" s="179"/>
      <c r="F72" s="179"/>
      <c r="G72" s="179"/>
      <c r="H72" s="6"/>
      <c r="I72" s="6"/>
      <c r="J72" s="179"/>
      <c r="K72" s="179"/>
      <c r="L72" s="54"/>
      <c r="M72" s="179"/>
      <c r="N72" s="179"/>
      <c r="O72" s="54"/>
      <c r="P72" s="54"/>
      <c r="Q72" s="54"/>
    </row>
    <row r="73" spans="1:17" ht="12.75">
      <c r="A73" s="6"/>
      <c r="B73" s="558"/>
      <c r="C73" s="180"/>
      <c r="D73" s="179"/>
      <c r="E73" s="179"/>
      <c r="F73" s="179"/>
      <c r="G73" s="179"/>
      <c r="H73" s="6"/>
      <c r="I73" s="6"/>
      <c r="J73" s="179"/>
      <c r="K73" s="179"/>
      <c r="L73" s="54"/>
      <c r="M73" s="179"/>
      <c r="N73" s="179"/>
      <c r="O73" s="54"/>
      <c r="P73" s="54"/>
      <c r="Q73" s="54"/>
    </row>
    <row r="74" spans="1:17" ht="12.75">
      <c r="A74" s="6"/>
      <c r="B74" s="6"/>
      <c r="C74" s="180"/>
      <c r="D74" s="179"/>
      <c r="E74" s="179"/>
      <c r="F74" s="179"/>
      <c r="G74" s="179"/>
      <c r="H74" s="6"/>
      <c r="I74" s="6"/>
      <c r="J74" s="179"/>
      <c r="K74" s="179"/>
      <c r="L74" s="54"/>
      <c r="M74" s="179"/>
      <c r="N74" s="179"/>
      <c r="O74" s="54"/>
      <c r="P74" s="54"/>
      <c r="Q74" s="54"/>
    </row>
    <row r="75" spans="1:17" ht="12.75">
      <c r="A75" s="6"/>
      <c r="B75" s="6"/>
      <c r="C75" s="180"/>
      <c r="D75" s="179"/>
      <c r="E75" s="179"/>
      <c r="F75" s="179"/>
      <c r="G75" s="179"/>
      <c r="H75" s="6"/>
      <c r="I75" s="6"/>
      <c r="J75" s="179"/>
      <c r="K75" s="179"/>
      <c r="L75" s="54"/>
      <c r="M75" s="179"/>
      <c r="N75" s="179"/>
      <c r="O75" s="54"/>
      <c r="P75" s="54"/>
      <c r="Q75" s="54"/>
    </row>
    <row r="76" spans="1:17" ht="12.75">
      <c r="A76" s="6"/>
      <c r="B76" s="558"/>
      <c r="C76" s="180"/>
      <c r="D76" s="179"/>
      <c r="E76" s="179"/>
      <c r="F76" s="179"/>
      <c r="G76" s="179"/>
      <c r="H76" s="6"/>
      <c r="I76" s="6"/>
      <c r="J76" s="179"/>
      <c r="K76" s="179"/>
      <c r="L76" s="54"/>
      <c r="M76" s="179"/>
      <c r="N76" s="179"/>
      <c r="O76" s="54"/>
      <c r="P76" s="54"/>
      <c r="Q76" s="54"/>
    </row>
    <row r="77" spans="1:17" ht="12.75">
      <c r="A77" s="6"/>
      <c r="B77" s="558"/>
      <c r="C77" s="180"/>
      <c r="D77" s="179"/>
      <c r="E77" s="179"/>
      <c r="F77" s="179"/>
      <c r="G77" s="179"/>
      <c r="H77" s="6"/>
      <c r="I77" s="6"/>
      <c r="J77" s="179"/>
      <c r="K77" s="179"/>
      <c r="L77" s="54"/>
      <c r="M77" s="179"/>
      <c r="N77" s="179"/>
      <c r="O77" s="54"/>
      <c r="P77" s="54"/>
      <c r="Q77" s="54"/>
    </row>
    <row r="78" spans="1:17" ht="12.75">
      <c r="A78" s="6"/>
      <c r="B78" s="6"/>
      <c r="C78" s="180"/>
      <c r="D78" s="179"/>
      <c r="E78" s="179"/>
      <c r="F78" s="179"/>
      <c r="G78" s="179"/>
      <c r="H78" s="6"/>
      <c r="I78" s="6"/>
      <c r="J78" s="179"/>
      <c r="K78" s="179"/>
      <c r="L78" s="54"/>
      <c r="M78" s="179"/>
      <c r="N78" s="179"/>
      <c r="O78" s="54"/>
      <c r="P78" s="54"/>
      <c r="Q78" s="54"/>
    </row>
    <row r="79" spans="1:17" ht="12.75">
      <c r="A79" s="6"/>
      <c r="B79" s="558"/>
      <c r="C79" s="180"/>
      <c r="D79" s="179"/>
      <c r="E79" s="179"/>
      <c r="F79" s="179"/>
      <c r="G79" s="179"/>
      <c r="H79" s="6"/>
      <c r="I79" s="6"/>
      <c r="J79" s="179"/>
      <c r="K79" s="179"/>
      <c r="L79" s="54"/>
      <c r="M79" s="179"/>
      <c r="N79" s="179"/>
      <c r="O79" s="54"/>
      <c r="P79" s="54"/>
      <c r="Q79" s="54"/>
    </row>
    <row r="80" spans="1:17" ht="12.75">
      <c r="A80" s="6"/>
      <c r="B80" s="558"/>
      <c r="C80" s="180"/>
      <c r="D80" s="179"/>
      <c r="E80" s="179"/>
      <c r="F80" s="179"/>
      <c r="G80" s="179"/>
      <c r="H80" s="6"/>
      <c r="I80" s="6"/>
      <c r="J80" s="179"/>
      <c r="K80" s="179"/>
      <c r="L80" s="54"/>
      <c r="M80" s="179"/>
      <c r="N80" s="179"/>
      <c r="O80" s="54"/>
      <c r="P80" s="54"/>
      <c r="Q80" s="54"/>
    </row>
    <row r="81" spans="1:17" ht="12.75">
      <c r="A81" s="6"/>
      <c r="B81" s="6"/>
      <c r="C81" s="180"/>
      <c r="D81" s="179"/>
      <c r="E81" s="179"/>
      <c r="F81" s="179"/>
      <c r="G81" s="179"/>
      <c r="H81" s="6"/>
      <c r="I81" s="6"/>
      <c r="J81" s="179"/>
      <c r="K81" s="179"/>
      <c r="L81" s="54"/>
      <c r="M81" s="179"/>
      <c r="N81" s="179"/>
      <c r="O81" s="54"/>
      <c r="P81" s="54"/>
      <c r="Q81" s="54"/>
    </row>
  </sheetData>
  <mergeCells count="1">
    <mergeCell ref="B23:Q23"/>
  </mergeCells>
  <hyperlinks>
    <hyperlink ref="E2" r:id="rId1" xr:uid="{00000000-0004-0000-1D00-000000000000}"/>
    <hyperlink ref="F2" r:id="rId2" xr:uid="{00000000-0004-0000-1D00-000001000000}"/>
    <hyperlink ref="E3" r:id="rId3" xr:uid="{00000000-0004-0000-1D00-000002000000}"/>
    <hyperlink ref="F3" r:id="rId4" xr:uid="{00000000-0004-0000-1D00-000003000000}"/>
    <hyperlink ref="E4" r:id="rId5" xr:uid="{00000000-0004-0000-1D00-000004000000}"/>
    <hyperlink ref="F4" r:id="rId6" xr:uid="{00000000-0004-0000-1D00-000005000000}"/>
    <hyperlink ref="E5" r:id="rId7" xr:uid="{00000000-0004-0000-1D00-000006000000}"/>
    <hyperlink ref="F5" r:id="rId8" xr:uid="{00000000-0004-0000-1D00-000007000000}"/>
    <hyperlink ref="E6" r:id="rId9" xr:uid="{00000000-0004-0000-1D00-000008000000}"/>
    <hyperlink ref="F6" r:id="rId10" xr:uid="{00000000-0004-0000-1D00-000009000000}"/>
    <hyperlink ref="E7" r:id="rId11" xr:uid="{00000000-0004-0000-1D00-00000A000000}"/>
    <hyperlink ref="F7" r:id="rId12" xr:uid="{00000000-0004-0000-1D00-00000B000000}"/>
    <hyperlink ref="E8" r:id="rId13" xr:uid="{00000000-0004-0000-1D00-00000C000000}"/>
    <hyperlink ref="F8" r:id="rId14" xr:uid="{00000000-0004-0000-1D00-00000D000000}"/>
    <hyperlink ref="E9" r:id="rId15" xr:uid="{00000000-0004-0000-1D00-00000E000000}"/>
    <hyperlink ref="F9" r:id="rId16" xr:uid="{00000000-0004-0000-1D00-00000F000000}"/>
    <hyperlink ref="E10" r:id="rId17" xr:uid="{00000000-0004-0000-1D00-000010000000}"/>
    <hyperlink ref="F10" r:id="rId18" xr:uid="{00000000-0004-0000-1D00-000011000000}"/>
    <hyperlink ref="E11" r:id="rId19" xr:uid="{00000000-0004-0000-1D00-000012000000}"/>
    <hyperlink ref="F11" r:id="rId20" xr:uid="{00000000-0004-0000-1D00-000013000000}"/>
    <hyperlink ref="E12" r:id="rId21" xr:uid="{00000000-0004-0000-1D00-000014000000}"/>
    <hyperlink ref="F12" r:id="rId22" xr:uid="{00000000-0004-0000-1D00-000015000000}"/>
    <hyperlink ref="E13" r:id="rId23" xr:uid="{00000000-0004-0000-1D00-000016000000}"/>
    <hyperlink ref="F13" r:id="rId24" xr:uid="{00000000-0004-0000-1D00-000017000000}"/>
    <hyperlink ref="E14" r:id="rId25" xr:uid="{00000000-0004-0000-1D00-000018000000}"/>
    <hyperlink ref="F14" r:id="rId26" xr:uid="{00000000-0004-0000-1D00-000019000000}"/>
    <hyperlink ref="E15" r:id="rId27" xr:uid="{00000000-0004-0000-1D00-00001A000000}"/>
    <hyperlink ref="F15" r:id="rId28" xr:uid="{00000000-0004-0000-1D00-00001B000000}"/>
    <hyperlink ref="E16" r:id="rId29" xr:uid="{00000000-0004-0000-1D00-00001C000000}"/>
    <hyperlink ref="F16" r:id="rId30" xr:uid="{00000000-0004-0000-1D00-00001D000000}"/>
    <hyperlink ref="E17" r:id="rId31" xr:uid="{00000000-0004-0000-1D00-00001E000000}"/>
    <hyperlink ref="F17" r:id="rId32" xr:uid="{00000000-0004-0000-1D00-00001F000000}"/>
    <hyperlink ref="E18" r:id="rId33" xr:uid="{00000000-0004-0000-1D00-000020000000}"/>
    <hyperlink ref="F18" r:id="rId34" xr:uid="{00000000-0004-0000-1D00-000021000000}"/>
    <hyperlink ref="E19" r:id="rId35" xr:uid="{00000000-0004-0000-1D00-000022000000}"/>
    <hyperlink ref="F19" r:id="rId36" xr:uid="{00000000-0004-0000-1D00-000023000000}"/>
    <hyperlink ref="E20" r:id="rId37" xr:uid="{00000000-0004-0000-1D00-000024000000}"/>
    <hyperlink ref="F20" r:id="rId38" xr:uid="{00000000-0004-0000-1D00-000025000000}"/>
    <hyperlink ref="E21" r:id="rId39" xr:uid="{00000000-0004-0000-1D00-000026000000}"/>
    <hyperlink ref="F21" r:id="rId40" xr:uid="{00000000-0004-0000-1D00-000027000000}"/>
    <hyperlink ref="E22" r:id="rId41" xr:uid="{00000000-0004-0000-1D00-000028000000}"/>
    <hyperlink ref="F22" r:id="rId42" xr:uid="{00000000-0004-0000-1D00-000029000000}"/>
    <hyperlink ref="F24" r:id="rId43" xr:uid="{00000000-0004-0000-1D00-00002A000000}"/>
    <hyperlink ref="F25" r:id="rId44" xr:uid="{00000000-0004-0000-1D00-00002B000000}"/>
    <hyperlink ref="F26" r:id="rId45" xr:uid="{00000000-0004-0000-1D00-00002C000000}"/>
    <hyperlink ref="F27" r:id="rId46" xr:uid="{00000000-0004-0000-1D00-00002D000000}"/>
    <hyperlink ref="F28" r:id="rId47" xr:uid="{00000000-0004-0000-1D00-00002E000000}"/>
    <hyperlink ref="F29" r:id="rId48" xr:uid="{00000000-0004-0000-1D00-00002F000000}"/>
    <hyperlink ref="F30" r:id="rId49" xr:uid="{00000000-0004-0000-1D00-000030000000}"/>
    <hyperlink ref="F31" r:id="rId50" xr:uid="{00000000-0004-0000-1D00-000031000000}"/>
    <hyperlink ref="F32" r:id="rId51" xr:uid="{00000000-0004-0000-1D00-000032000000}"/>
    <hyperlink ref="F33" r:id="rId52" xr:uid="{00000000-0004-0000-1D00-000033000000}"/>
    <hyperlink ref="F34" r:id="rId53" xr:uid="{00000000-0004-0000-1D00-000034000000}"/>
    <hyperlink ref="F35" r:id="rId54" xr:uid="{00000000-0004-0000-1D00-000035000000}"/>
    <hyperlink ref="F36" r:id="rId55" xr:uid="{00000000-0004-0000-1D00-000036000000}"/>
    <hyperlink ref="F37" r:id="rId56" xr:uid="{00000000-0004-0000-1D00-000037000000}"/>
    <hyperlink ref="F38" r:id="rId57" xr:uid="{00000000-0004-0000-1D00-000038000000}"/>
    <hyperlink ref="F39" r:id="rId58" xr:uid="{00000000-0004-0000-1D00-000039000000}"/>
    <hyperlink ref="F40" r:id="rId59" xr:uid="{00000000-0004-0000-1D00-00003A000000}"/>
    <hyperlink ref="F41" r:id="rId60" xr:uid="{00000000-0004-0000-1D00-00003B000000}"/>
    <hyperlink ref="F42" r:id="rId61" xr:uid="{00000000-0004-0000-1D00-00003C000000}"/>
    <hyperlink ref="F43" r:id="rId62" xr:uid="{00000000-0004-0000-1D00-00003D000000}"/>
    <hyperlink ref="F44" r:id="rId63" xr:uid="{00000000-0004-0000-1D00-00003E000000}"/>
    <hyperlink ref="F46" r:id="rId64" xr:uid="{00000000-0004-0000-1D00-00003F000000}"/>
    <hyperlink ref="F47" r:id="rId65" xr:uid="{00000000-0004-0000-1D00-000040000000}"/>
    <hyperlink ref="F48" r:id="rId66" xr:uid="{00000000-0004-0000-1D00-000041000000}"/>
    <hyperlink ref="F49" r:id="rId67" xr:uid="{00000000-0004-0000-1D00-000042000000}"/>
    <hyperlink ref="F51" r:id="rId68" xr:uid="{00000000-0004-0000-1D00-000043000000}"/>
    <hyperlink ref="F52" r:id="rId69" xr:uid="{00000000-0004-0000-1D00-000044000000}"/>
    <hyperlink ref="F53" r:id="rId70" xr:uid="{00000000-0004-0000-1D00-000045000000}"/>
    <hyperlink ref="F54" r:id="rId71" xr:uid="{00000000-0004-0000-1D00-000046000000}"/>
    <hyperlink ref="F55" r:id="rId72" xr:uid="{00000000-0004-0000-1D00-000047000000}"/>
    <hyperlink ref="F56" r:id="rId73" xr:uid="{00000000-0004-0000-1D00-000048000000}"/>
    <hyperlink ref="F57" r:id="rId74" xr:uid="{00000000-0004-0000-1D00-000049000000}"/>
    <hyperlink ref="F58" r:id="rId75" xr:uid="{00000000-0004-0000-1D00-00004A000000}"/>
    <hyperlink ref="F59" r:id="rId76" xr:uid="{00000000-0004-0000-1D00-00004B000000}"/>
    <hyperlink ref="F60" r:id="rId77" xr:uid="{00000000-0004-0000-1D00-00004C000000}"/>
    <hyperlink ref="F61" r:id="rId78" xr:uid="{00000000-0004-0000-1D00-00004D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P1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20.140625" customWidth="1"/>
    <col min="2" max="2" width="48" customWidth="1"/>
    <col min="3" max="5" width="43" customWidth="1"/>
    <col min="6" max="6" width="34.7109375" customWidth="1"/>
    <col min="7" max="7" width="19.7109375" customWidth="1"/>
    <col min="8" max="8" width="35.28515625" customWidth="1"/>
    <col min="9" max="9" width="40.42578125" customWidth="1"/>
    <col min="10" max="10" width="25.85546875" customWidth="1"/>
    <col min="11" max="11" width="14.28515625" customWidth="1"/>
    <col min="12" max="12" width="15.5703125" customWidth="1"/>
    <col min="13" max="13" width="22.42578125" customWidth="1"/>
    <col min="14" max="14" width="15.5703125" customWidth="1"/>
    <col min="15" max="15" width="17.5703125" customWidth="1"/>
  </cols>
  <sheetData>
    <row r="1" spans="1:16" ht="25.5">
      <c r="A1" s="274" t="s">
        <v>6259</v>
      </c>
      <c r="B1" s="274" t="s">
        <v>9293</v>
      </c>
      <c r="C1" s="274" t="s">
        <v>6</v>
      </c>
      <c r="D1" s="274" t="s">
        <v>5634</v>
      </c>
      <c r="E1" s="271" t="s">
        <v>5630</v>
      </c>
      <c r="F1" s="274" t="s">
        <v>7</v>
      </c>
      <c r="G1" s="274" t="s">
        <v>7388</v>
      </c>
      <c r="H1" s="274" t="s">
        <v>6645</v>
      </c>
      <c r="I1" s="274" t="s">
        <v>8</v>
      </c>
      <c r="J1" s="274" t="s">
        <v>5627</v>
      </c>
      <c r="K1" s="274" t="s">
        <v>389</v>
      </c>
      <c r="L1" s="274" t="s">
        <v>4</v>
      </c>
      <c r="M1" s="274" t="s">
        <v>6060</v>
      </c>
      <c r="N1" s="274" t="s">
        <v>6413</v>
      </c>
      <c r="O1" s="274" t="s">
        <v>1821</v>
      </c>
      <c r="P1" s="318"/>
    </row>
    <row r="2" spans="1:16" ht="25.5">
      <c r="A2" s="61">
        <v>39448</v>
      </c>
      <c r="B2" s="158" t="s">
        <v>9294</v>
      </c>
      <c r="C2" s="158" t="s">
        <v>9295</v>
      </c>
      <c r="D2" s="472" t="s">
        <v>9296</v>
      </c>
      <c r="E2" s="472" t="s">
        <v>9297</v>
      </c>
      <c r="F2" s="158" t="s">
        <v>9298</v>
      </c>
      <c r="G2" s="475" t="s">
        <v>1808</v>
      </c>
      <c r="H2" s="9"/>
      <c r="I2" s="160" t="s">
        <v>9299</v>
      </c>
      <c r="J2" s="6" t="s">
        <v>9300</v>
      </c>
      <c r="K2" s="6" t="s">
        <v>6872</v>
      </c>
      <c r="L2" s="6" t="s">
        <v>394</v>
      </c>
      <c r="M2" s="6" t="s">
        <v>6071</v>
      </c>
      <c r="N2" s="6"/>
      <c r="O2" s="6" t="s">
        <v>1828</v>
      </c>
      <c r="P2" s="54"/>
    </row>
    <row r="3" spans="1:16" ht="38.25">
      <c r="A3" s="61">
        <v>39479</v>
      </c>
      <c r="B3" s="158" t="s">
        <v>9301</v>
      </c>
      <c r="C3" s="6" t="s">
        <v>9302</v>
      </c>
      <c r="D3" s="297" t="s">
        <v>9303</v>
      </c>
      <c r="E3" s="467" t="s">
        <v>9304</v>
      </c>
      <c r="F3" s="6" t="s">
        <v>575</v>
      </c>
      <c r="G3" s="475" t="s">
        <v>1808</v>
      </c>
      <c r="H3" s="9"/>
      <c r="I3" s="160" t="s">
        <v>2508</v>
      </c>
      <c r="J3" s="6" t="s">
        <v>9305</v>
      </c>
      <c r="K3" s="6" t="s">
        <v>6872</v>
      </c>
      <c r="L3" s="6"/>
      <c r="M3" s="6" t="s">
        <v>6170</v>
      </c>
      <c r="N3" s="6" t="s">
        <v>1824</v>
      </c>
      <c r="O3" s="6" t="s">
        <v>1828</v>
      </c>
      <c r="P3" s="54"/>
    </row>
    <row r="4" spans="1:16" ht="38.25">
      <c r="A4" s="61">
        <v>39508</v>
      </c>
      <c r="B4" s="158" t="s">
        <v>9301</v>
      </c>
      <c r="C4" s="6" t="s">
        <v>9306</v>
      </c>
      <c r="D4" s="297" t="s">
        <v>9307</v>
      </c>
      <c r="E4" s="467" t="s">
        <v>9308</v>
      </c>
      <c r="F4" s="6" t="s">
        <v>9309</v>
      </c>
      <c r="G4" s="475" t="s">
        <v>1808</v>
      </c>
      <c r="H4" s="9"/>
      <c r="I4" s="160" t="s">
        <v>9310</v>
      </c>
      <c r="J4" s="6" t="s">
        <v>9311</v>
      </c>
      <c r="K4" s="6" t="s">
        <v>6872</v>
      </c>
      <c r="L4" s="6" t="s">
        <v>3097</v>
      </c>
      <c r="M4" s="6" t="s">
        <v>6064</v>
      </c>
      <c r="N4" s="6"/>
      <c r="O4" s="6" t="s">
        <v>1828</v>
      </c>
      <c r="P4" s="54"/>
    </row>
    <row r="5" spans="1:16" ht="27" customHeight="1">
      <c r="A5" s="61">
        <v>39539</v>
      </c>
      <c r="B5" s="158" t="s">
        <v>9312</v>
      </c>
      <c r="C5" s="6" t="s">
        <v>9313</v>
      </c>
      <c r="D5" s="297" t="s">
        <v>9314</v>
      </c>
      <c r="E5" s="467" t="s">
        <v>9315</v>
      </c>
      <c r="F5" s="6" t="s">
        <v>9316</v>
      </c>
      <c r="G5" s="475" t="s">
        <v>1808</v>
      </c>
      <c r="H5" s="6"/>
      <c r="I5" s="160"/>
      <c r="J5" s="6" t="s">
        <v>9044</v>
      </c>
      <c r="K5" s="6" t="s">
        <v>6872</v>
      </c>
      <c r="L5" s="6"/>
      <c r="M5" s="6" t="s">
        <v>6064</v>
      </c>
      <c r="N5" s="6"/>
      <c r="O5" s="6"/>
      <c r="P5" s="54"/>
    </row>
    <row r="6" spans="1:16" ht="38.25">
      <c r="A6" s="61">
        <v>39569</v>
      </c>
      <c r="B6" s="158" t="s">
        <v>9312</v>
      </c>
      <c r="C6" s="6" t="s">
        <v>9317</v>
      </c>
      <c r="D6" s="291" t="s">
        <v>9318</v>
      </c>
      <c r="E6" s="468" t="s">
        <v>9319</v>
      </c>
      <c r="F6" s="160" t="s">
        <v>9320</v>
      </c>
      <c r="G6" s="475" t="s">
        <v>1808</v>
      </c>
      <c r="H6" s="6"/>
      <c r="I6" s="160"/>
      <c r="J6" s="6" t="s">
        <v>9321</v>
      </c>
      <c r="K6" s="6" t="s">
        <v>6872</v>
      </c>
      <c r="L6" s="6"/>
      <c r="M6" s="6" t="s">
        <v>6064</v>
      </c>
      <c r="N6" s="6"/>
      <c r="O6" s="6"/>
      <c r="P6" s="54"/>
    </row>
    <row r="7" spans="1:16" ht="25.5">
      <c r="A7" s="61">
        <v>39600</v>
      </c>
      <c r="B7" s="158" t="s">
        <v>9312</v>
      </c>
      <c r="C7" s="6" t="s">
        <v>9322</v>
      </c>
      <c r="D7" s="297" t="s">
        <v>9323</v>
      </c>
      <c r="E7" s="467" t="s">
        <v>9324</v>
      </c>
      <c r="F7" s="6" t="s">
        <v>5045</v>
      </c>
      <c r="G7" s="475" t="s">
        <v>1808</v>
      </c>
      <c r="H7" s="6"/>
      <c r="I7" s="160" t="s">
        <v>4149</v>
      </c>
      <c r="J7" s="6" t="s">
        <v>9325</v>
      </c>
      <c r="K7" s="6" t="s">
        <v>6872</v>
      </c>
      <c r="L7" s="6"/>
      <c r="M7" s="6" t="s">
        <v>6217</v>
      </c>
      <c r="N7" s="6" t="s">
        <v>1824</v>
      </c>
      <c r="O7" s="6" t="s">
        <v>1828</v>
      </c>
      <c r="P7" s="54"/>
    </row>
    <row r="8" spans="1:16" ht="25.5">
      <c r="A8" s="62">
        <v>39630</v>
      </c>
      <c r="B8" s="158" t="s">
        <v>9312</v>
      </c>
      <c r="C8" s="6" t="s">
        <v>9326</v>
      </c>
      <c r="D8" s="297" t="s">
        <v>9327</v>
      </c>
      <c r="E8" s="467" t="s">
        <v>9328</v>
      </c>
      <c r="F8" s="6" t="s">
        <v>9329</v>
      </c>
      <c r="G8" s="475" t="s">
        <v>1808</v>
      </c>
      <c r="H8" s="6"/>
      <c r="I8" s="160"/>
      <c r="J8" s="6" t="s">
        <v>9330</v>
      </c>
      <c r="K8" s="6" t="s">
        <v>6872</v>
      </c>
      <c r="L8" s="6"/>
      <c r="M8" s="6" t="s">
        <v>6064</v>
      </c>
      <c r="N8" s="6"/>
      <c r="O8" s="6"/>
      <c r="P8" s="54"/>
    </row>
    <row r="9" spans="1:16" ht="25.5">
      <c r="A9" s="61">
        <v>39661</v>
      </c>
      <c r="B9" s="158" t="s">
        <v>9294</v>
      </c>
      <c r="C9" s="158" t="s">
        <v>9331</v>
      </c>
      <c r="D9" s="472" t="s">
        <v>9332</v>
      </c>
      <c r="E9" s="472" t="s">
        <v>9333</v>
      </c>
      <c r="F9" s="158" t="s">
        <v>1478</v>
      </c>
      <c r="G9" s="475" t="s">
        <v>1808</v>
      </c>
      <c r="H9" s="158"/>
      <c r="I9" s="160"/>
      <c r="J9" s="158" t="s">
        <v>9334</v>
      </c>
      <c r="K9" s="6" t="s">
        <v>6872</v>
      </c>
      <c r="L9" s="6"/>
      <c r="M9" s="6" t="s">
        <v>6064</v>
      </c>
      <c r="N9" s="6" t="s">
        <v>1824</v>
      </c>
      <c r="O9" s="6" t="s">
        <v>1879</v>
      </c>
      <c r="P9" s="54"/>
    </row>
    <row r="10" spans="1:16" ht="35.25" customHeight="1">
      <c r="A10" s="62">
        <v>39692</v>
      </c>
      <c r="B10" s="158" t="s">
        <v>9312</v>
      </c>
      <c r="C10" s="6" t="s">
        <v>9335</v>
      </c>
      <c r="D10" s="297" t="s">
        <v>9336</v>
      </c>
      <c r="E10" s="467" t="s">
        <v>9337</v>
      </c>
      <c r="F10" s="6" t="s">
        <v>9338</v>
      </c>
      <c r="G10" s="475" t="s">
        <v>1808</v>
      </c>
      <c r="H10" s="6"/>
      <c r="I10" s="160" t="s">
        <v>9339</v>
      </c>
      <c r="J10" s="160" t="s">
        <v>9340</v>
      </c>
      <c r="K10" s="6" t="s">
        <v>6872</v>
      </c>
      <c r="L10" s="6"/>
      <c r="M10" s="6" t="s">
        <v>6724</v>
      </c>
      <c r="N10" s="6"/>
      <c r="O10" s="6" t="s">
        <v>6314</v>
      </c>
      <c r="P10" s="54"/>
    </row>
    <row r="11" spans="1:16" ht="102">
      <c r="A11" s="62">
        <v>39722</v>
      </c>
      <c r="B11" s="158" t="s">
        <v>9312</v>
      </c>
      <c r="C11" s="6" t="s">
        <v>9341</v>
      </c>
      <c r="D11" s="297" t="s">
        <v>9342</v>
      </c>
      <c r="E11" s="467" t="s">
        <v>9343</v>
      </c>
      <c r="F11" s="6" t="s">
        <v>9344</v>
      </c>
      <c r="G11" s="475" t="s">
        <v>1808</v>
      </c>
      <c r="H11" s="6"/>
      <c r="I11" s="160" t="s">
        <v>4149</v>
      </c>
      <c r="J11" s="8" t="s">
        <v>9345</v>
      </c>
      <c r="K11" s="158" t="s">
        <v>6872</v>
      </c>
      <c r="L11" s="6"/>
      <c r="M11" s="6" t="s">
        <v>6064</v>
      </c>
      <c r="N11" s="6" t="s">
        <v>1824</v>
      </c>
      <c r="O11" s="6"/>
      <c r="P11" s="54"/>
    </row>
    <row r="12" spans="1:16" ht="25.5">
      <c r="A12" s="62">
        <v>39753</v>
      </c>
      <c r="B12" s="158" t="s">
        <v>9312</v>
      </c>
      <c r="C12" s="6" t="s">
        <v>9346</v>
      </c>
      <c r="D12" s="297" t="s">
        <v>9347</v>
      </c>
      <c r="E12" s="467" t="s">
        <v>9348</v>
      </c>
      <c r="F12" s="6" t="s">
        <v>3333</v>
      </c>
      <c r="G12" s="475" t="s">
        <v>1808</v>
      </c>
      <c r="H12" s="6"/>
      <c r="I12" s="160" t="s">
        <v>5013</v>
      </c>
      <c r="J12" s="6" t="s">
        <v>9188</v>
      </c>
      <c r="K12" s="6" t="s">
        <v>6872</v>
      </c>
      <c r="L12" s="6"/>
      <c r="M12" s="6" t="s">
        <v>6933</v>
      </c>
      <c r="N12" s="6" t="s">
        <v>1824</v>
      </c>
      <c r="O12" s="6" t="s">
        <v>1828</v>
      </c>
      <c r="P12" s="54"/>
    </row>
    <row r="13" spans="1:16" ht="25.5">
      <c r="A13" s="62">
        <v>39783</v>
      </c>
      <c r="B13" s="158" t="s">
        <v>9312</v>
      </c>
      <c r="C13" s="6" t="s">
        <v>9349</v>
      </c>
      <c r="D13" s="297" t="s">
        <v>9350</v>
      </c>
      <c r="E13" s="467" t="s">
        <v>9351</v>
      </c>
      <c r="F13" s="6" t="s">
        <v>9352</v>
      </c>
      <c r="G13" s="475" t="s">
        <v>1808</v>
      </c>
      <c r="H13" s="6"/>
      <c r="I13" s="6" t="s">
        <v>5013</v>
      </c>
      <c r="J13" s="6" t="s">
        <v>9188</v>
      </c>
      <c r="K13" s="6" t="s">
        <v>6872</v>
      </c>
      <c r="L13" s="6"/>
      <c r="M13" s="6" t="s">
        <v>6064</v>
      </c>
      <c r="N13" s="6"/>
      <c r="O13" s="6" t="s">
        <v>1828</v>
      </c>
      <c r="P13" s="54"/>
    </row>
    <row r="14" spans="1:16" ht="51">
      <c r="A14" s="6" t="s">
        <v>9353</v>
      </c>
      <c r="B14" s="158" t="s">
        <v>9312</v>
      </c>
      <c r="C14" s="6" t="s">
        <v>9354</v>
      </c>
      <c r="D14" s="291" t="s">
        <v>9355</v>
      </c>
      <c r="E14" s="468" t="s">
        <v>9356</v>
      </c>
      <c r="F14" s="158" t="s">
        <v>1680</v>
      </c>
      <c r="G14" s="475" t="s">
        <v>1808</v>
      </c>
      <c r="H14" s="6"/>
      <c r="I14" s="6" t="s">
        <v>9357</v>
      </c>
      <c r="J14" s="6" t="s">
        <v>9358</v>
      </c>
      <c r="K14" s="6" t="s">
        <v>6872</v>
      </c>
      <c r="L14" s="6"/>
      <c r="M14" s="6" t="s">
        <v>6064</v>
      </c>
      <c r="N14" s="6" t="s">
        <v>1824</v>
      </c>
      <c r="O14" s="6" t="s">
        <v>2611</v>
      </c>
      <c r="P14" s="54"/>
    </row>
    <row r="15" spans="1:16" ht="38.25">
      <c r="A15" s="6" t="s">
        <v>9359</v>
      </c>
      <c r="B15" s="158" t="s">
        <v>9312</v>
      </c>
      <c r="C15" s="6" t="s">
        <v>9360</v>
      </c>
      <c r="D15" s="297" t="s">
        <v>9361</v>
      </c>
      <c r="E15" s="467" t="s">
        <v>9362</v>
      </c>
      <c r="F15" s="158" t="s">
        <v>1389</v>
      </c>
      <c r="G15" s="475" t="s">
        <v>1808</v>
      </c>
      <c r="H15" s="6"/>
      <c r="I15" s="6" t="s">
        <v>9363</v>
      </c>
      <c r="J15" s="6" t="s">
        <v>9364</v>
      </c>
      <c r="K15" s="6" t="s">
        <v>6872</v>
      </c>
      <c r="L15" s="6" t="s">
        <v>9365</v>
      </c>
      <c r="M15" s="6" t="s">
        <v>6064</v>
      </c>
      <c r="N15" s="6" t="s">
        <v>1824</v>
      </c>
      <c r="O15" s="6" t="s">
        <v>2611</v>
      </c>
      <c r="P15" s="54"/>
    </row>
    <row r="16" spans="1:16" ht="25.5">
      <c r="A16" s="6" t="s">
        <v>9366</v>
      </c>
      <c r="B16" s="158" t="s">
        <v>9312</v>
      </c>
      <c r="C16" s="158" t="s">
        <v>9346</v>
      </c>
      <c r="D16" s="472" t="s">
        <v>9367</v>
      </c>
      <c r="E16" s="472" t="s">
        <v>9368</v>
      </c>
      <c r="F16" s="6" t="s">
        <v>3333</v>
      </c>
      <c r="G16" s="475" t="s">
        <v>1808</v>
      </c>
      <c r="H16" s="158"/>
      <c r="I16" s="6" t="s">
        <v>5013</v>
      </c>
      <c r="J16" s="6" t="s">
        <v>9188</v>
      </c>
      <c r="K16" s="6" t="s">
        <v>6872</v>
      </c>
      <c r="L16" s="6" t="s">
        <v>8063</v>
      </c>
      <c r="M16" s="6" t="s">
        <v>6933</v>
      </c>
      <c r="N16" s="6" t="s">
        <v>1824</v>
      </c>
      <c r="O16" s="6" t="s">
        <v>1828</v>
      </c>
      <c r="P16" s="54"/>
    </row>
    <row r="17" spans="1:16" ht="102">
      <c r="A17" s="6" t="s">
        <v>9369</v>
      </c>
      <c r="B17" s="158" t="s">
        <v>9312</v>
      </c>
      <c r="C17" s="6" t="s">
        <v>9370</v>
      </c>
      <c r="D17" s="291" t="s">
        <v>9371</v>
      </c>
      <c r="E17" s="468" t="s">
        <v>9372</v>
      </c>
      <c r="F17" s="6" t="s">
        <v>9373</v>
      </c>
      <c r="G17" s="475" t="s">
        <v>1808</v>
      </c>
      <c r="H17" s="6"/>
      <c r="I17" s="160" t="s">
        <v>4149</v>
      </c>
      <c r="J17" s="6" t="s">
        <v>9374</v>
      </c>
      <c r="K17" s="6" t="s">
        <v>6872</v>
      </c>
      <c r="L17" s="6" t="s">
        <v>4982</v>
      </c>
      <c r="M17" s="6" t="s">
        <v>6064</v>
      </c>
      <c r="N17" s="6" t="s">
        <v>1824</v>
      </c>
      <c r="O17" s="6"/>
      <c r="P17" s="54"/>
    </row>
    <row r="18" spans="1:16" ht="76.5">
      <c r="A18" s="6" t="s">
        <v>9375</v>
      </c>
      <c r="B18" s="158" t="s">
        <v>9312</v>
      </c>
      <c r="C18" s="6" t="s">
        <v>9376</v>
      </c>
      <c r="D18" s="291" t="s">
        <v>9377</v>
      </c>
      <c r="E18" s="468" t="s">
        <v>9378</v>
      </c>
      <c r="F18" s="6" t="s">
        <v>9379</v>
      </c>
      <c r="G18" s="475" t="s">
        <v>1808</v>
      </c>
      <c r="H18" s="6"/>
      <c r="I18" s="160" t="s">
        <v>4149</v>
      </c>
      <c r="J18" s="6" t="s">
        <v>9380</v>
      </c>
      <c r="K18" s="6" t="s">
        <v>6872</v>
      </c>
      <c r="L18" s="6" t="s">
        <v>4987</v>
      </c>
      <c r="M18" s="6" t="s">
        <v>6064</v>
      </c>
      <c r="N18" s="6" t="s">
        <v>1824</v>
      </c>
      <c r="O18" s="6"/>
      <c r="P18" s="54"/>
    </row>
    <row r="19" spans="1:16" ht="25.5">
      <c r="A19" s="6" t="s">
        <v>9381</v>
      </c>
      <c r="B19" s="158" t="s">
        <v>9312</v>
      </c>
      <c r="C19" s="6" t="s">
        <v>9382</v>
      </c>
      <c r="D19" s="291" t="s">
        <v>9383</v>
      </c>
      <c r="E19" s="468" t="s">
        <v>9384</v>
      </c>
      <c r="F19" s="6" t="s">
        <v>9385</v>
      </c>
      <c r="G19" s="6" t="s">
        <v>6132</v>
      </c>
      <c r="H19" s="6"/>
      <c r="I19" s="6" t="s">
        <v>9386</v>
      </c>
      <c r="J19" s="6"/>
      <c r="K19" s="6" t="s">
        <v>6872</v>
      </c>
      <c r="L19" s="6"/>
      <c r="M19" s="6" t="s">
        <v>6092</v>
      </c>
      <c r="N19" s="6"/>
      <c r="O19" s="6" t="s">
        <v>2449</v>
      </c>
      <c r="P19" s="54"/>
    </row>
    <row r="20" spans="1:16" ht="38.25">
      <c r="A20" s="6" t="s">
        <v>9387</v>
      </c>
      <c r="B20" s="158" t="s">
        <v>9312</v>
      </c>
      <c r="C20" s="6" t="s">
        <v>9388</v>
      </c>
      <c r="D20" s="297" t="s">
        <v>9389</v>
      </c>
      <c r="E20" s="467" t="s">
        <v>9390</v>
      </c>
      <c r="F20" s="6" t="s">
        <v>9391</v>
      </c>
      <c r="G20" s="475" t="s">
        <v>1808</v>
      </c>
      <c r="H20" s="6"/>
      <c r="I20" s="160" t="s">
        <v>4149</v>
      </c>
      <c r="J20" s="6" t="s">
        <v>9392</v>
      </c>
      <c r="K20" s="158" t="s">
        <v>6872</v>
      </c>
      <c r="L20" s="6"/>
      <c r="M20" s="6" t="s">
        <v>6064</v>
      </c>
      <c r="N20" s="6" t="s">
        <v>1824</v>
      </c>
      <c r="O20" s="6"/>
      <c r="P20" s="54"/>
    </row>
    <row r="21" spans="1:16" ht="29.25" customHeight="1">
      <c r="A21" s="6" t="s">
        <v>9393</v>
      </c>
      <c r="B21" s="158" t="s">
        <v>9312</v>
      </c>
      <c r="C21" s="6" t="s">
        <v>9394</v>
      </c>
      <c r="D21" s="297" t="s">
        <v>9395</v>
      </c>
      <c r="E21" s="467" t="s">
        <v>9396</v>
      </c>
      <c r="F21" s="6" t="s">
        <v>9397</v>
      </c>
      <c r="G21" s="475" t="s">
        <v>1808</v>
      </c>
      <c r="H21" s="6"/>
      <c r="I21" s="160" t="s">
        <v>4149</v>
      </c>
      <c r="J21" s="6" t="s">
        <v>9398</v>
      </c>
      <c r="K21" s="158" t="s">
        <v>6872</v>
      </c>
      <c r="L21" s="6"/>
      <c r="M21" s="6" t="s">
        <v>6064</v>
      </c>
      <c r="N21" s="6" t="s">
        <v>1824</v>
      </c>
      <c r="O21" s="6"/>
      <c r="P21" s="54"/>
    </row>
    <row r="22" spans="1:16" ht="51">
      <c r="A22" s="6" t="s">
        <v>9399</v>
      </c>
      <c r="B22" s="158" t="s">
        <v>9312</v>
      </c>
      <c r="C22" s="6" t="s">
        <v>9400</v>
      </c>
      <c r="D22" s="297" t="s">
        <v>9401</v>
      </c>
      <c r="E22" s="467" t="s">
        <v>9402</v>
      </c>
      <c r="F22" s="6" t="s">
        <v>3555</v>
      </c>
      <c r="G22" s="475" t="s">
        <v>1808</v>
      </c>
      <c r="H22" s="6"/>
      <c r="I22" s="160" t="s">
        <v>4149</v>
      </c>
      <c r="J22" s="217" t="s">
        <v>9403</v>
      </c>
      <c r="K22" s="6" t="s">
        <v>6872</v>
      </c>
      <c r="L22" s="6"/>
      <c r="M22" s="6" t="s">
        <v>6064</v>
      </c>
      <c r="N22" s="6" t="s">
        <v>1824</v>
      </c>
      <c r="O22" s="6" t="s">
        <v>1828</v>
      </c>
      <c r="P22" s="54"/>
    </row>
    <row r="23" spans="1:16" ht="25.5">
      <c r="A23" s="6" t="s">
        <v>9404</v>
      </c>
      <c r="B23" s="158" t="s">
        <v>9312</v>
      </c>
      <c r="C23" s="6" t="s">
        <v>9405</v>
      </c>
      <c r="D23" s="291" t="s">
        <v>9406</v>
      </c>
      <c r="E23" s="468" t="s">
        <v>9407</v>
      </c>
      <c r="F23" s="6" t="s">
        <v>8973</v>
      </c>
      <c r="G23" s="6" t="s">
        <v>6132</v>
      </c>
      <c r="H23" s="6"/>
      <c r="I23" s="160" t="s">
        <v>8974</v>
      </c>
      <c r="J23" s="6" t="s">
        <v>8975</v>
      </c>
      <c r="K23" s="6" t="s">
        <v>6872</v>
      </c>
      <c r="L23" s="6"/>
      <c r="M23" s="6" t="s">
        <v>6217</v>
      </c>
      <c r="N23" s="6"/>
      <c r="O23" s="6" t="s">
        <v>2467</v>
      </c>
      <c r="P23" s="54"/>
    </row>
    <row r="24" spans="1:16" ht="25.5">
      <c r="A24" s="6" t="s">
        <v>9408</v>
      </c>
      <c r="B24" s="158" t="s">
        <v>9312</v>
      </c>
      <c r="C24" s="6" t="s">
        <v>9409</v>
      </c>
      <c r="D24" s="297" t="s">
        <v>9410</v>
      </c>
      <c r="E24" s="467" t="s">
        <v>9411</v>
      </c>
      <c r="F24" s="6" t="s">
        <v>9412</v>
      </c>
      <c r="G24" s="475" t="s">
        <v>1808</v>
      </c>
      <c r="H24" s="6"/>
      <c r="I24" s="160" t="s">
        <v>9413</v>
      </c>
      <c r="J24" s="6" t="s">
        <v>9414</v>
      </c>
      <c r="K24" s="6" t="s">
        <v>6872</v>
      </c>
      <c r="L24" s="6" t="s">
        <v>62</v>
      </c>
      <c r="M24" s="6" t="s">
        <v>6724</v>
      </c>
      <c r="N24" s="6"/>
      <c r="O24" s="6" t="s">
        <v>2467</v>
      </c>
      <c r="P24" s="54"/>
    </row>
    <row r="25" spans="1:16" ht="25.5">
      <c r="A25" s="6" t="s">
        <v>9415</v>
      </c>
      <c r="B25" s="158" t="s">
        <v>9312</v>
      </c>
      <c r="C25" s="6" t="s">
        <v>9416</v>
      </c>
      <c r="D25" s="297" t="s">
        <v>9417</v>
      </c>
      <c r="E25" s="467" t="s">
        <v>9418</v>
      </c>
      <c r="F25" s="6" t="s">
        <v>722</v>
      </c>
      <c r="G25" s="475" t="s">
        <v>1808</v>
      </c>
      <c r="H25" s="6"/>
      <c r="I25" s="6" t="s">
        <v>9419</v>
      </c>
      <c r="J25" s="6" t="s">
        <v>9420</v>
      </c>
      <c r="K25" s="158" t="s">
        <v>6872</v>
      </c>
      <c r="L25" s="6" t="s">
        <v>4982</v>
      </c>
      <c r="M25" s="6" t="s">
        <v>6064</v>
      </c>
      <c r="N25" s="6" t="s">
        <v>1824</v>
      </c>
      <c r="O25" s="6" t="s">
        <v>2467</v>
      </c>
      <c r="P25" s="54"/>
    </row>
    <row r="26" spans="1:16" ht="51">
      <c r="A26" s="6" t="s">
        <v>9421</v>
      </c>
      <c r="B26" s="158" t="s">
        <v>9312</v>
      </c>
      <c r="C26" s="6" t="s">
        <v>9422</v>
      </c>
      <c r="D26" s="291" t="s">
        <v>9423</v>
      </c>
      <c r="E26" s="468" t="s">
        <v>9424</v>
      </c>
      <c r="F26" s="6" t="s">
        <v>722</v>
      </c>
      <c r="G26" s="475" t="s">
        <v>1808</v>
      </c>
      <c r="H26" s="6"/>
      <c r="I26" s="6" t="s">
        <v>9425</v>
      </c>
      <c r="J26" s="6" t="s">
        <v>9426</v>
      </c>
      <c r="K26" s="6" t="s">
        <v>6872</v>
      </c>
      <c r="L26" s="6" t="s">
        <v>4987</v>
      </c>
      <c r="M26" s="6" t="s">
        <v>6064</v>
      </c>
      <c r="N26" s="6" t="s">
        <v>1824</v>
      </c>
      <c r="O26" s="6" t="s">
        <v>2467</v>
      </c>
      <c r="P26" s="54"/>
    </row>
    <row r="27" spans="1:16" ht="38.25">
      <c r="A27" s="6" t="s">
        <v>9427</v>
      </c>
      <c r="B27" s="158" t="s">
        <v>9312</v>
      </c>
      <c r="C27" s="6" t="s">
        <v>9428</v>
      </c>
      <c r="D27" s="297" t="s">
        <v>9429</v>
      </c>
      <c r="E27" s="467" t="s">
        <v>9430</v>
      </c>
      <c r="F27" s="6" t="s">
        <v>9431</v>
      </c>
      <c r="G27" s="475" t="s">
        <v>1808</v>
      </c>
      <c r="H27" s="6"/>
      <c r="I27" s="160"/>
      <c r="J27" s="6" t="s">
        <v>9212</v>
      </c>
      <c r="K27" s="6" t="s">
        <v>6872</v>
      </c>
      <c r="L27" s="6" t="s">
        <v>62</v>
      </c>
      <c r="M27" s="6" t="s">
        <v>6217</v>
      </c>
      <c r="N27" s="6" t="s">
        <v>1824</v>
      </c>
      <c r="O27" s="6" t="s">
        <v>5656</v>
      </c>
      <c r="P27" s="54"/>
    </row>
    <row r="28" spans="1:16" ht="58.5" customHeight="1">
      <c r="A28" s="6" t="s">
        <v>9432</v>
      </c>
      <c r="B28" s="158" t="s">
        <v>9312</v>
      </c>
      <c r="C28" s="6" t="s">
        <v>9433</v>
      </c>
      <c r="D28" s="291" t="s">
        <v>9434</v>
      </c>
      <c r="E28" s="468" t="s">
        <v>9435</v>
      </c>
      <c r="F28" s="6" t="s">
        <v>9436</v>
      </c>
      <c r="G28" s="475" t="s">
        <v>1808</v>
      </c>
      <c r="H28" s="6"/>
      <c r="I28" s="6" t="s">
        <v>9437</v>
      </c>
      <c r="J28" s="6" t="s">
        <v>9438</v>
      </c>
      <c r="K28" s="6" t="s">
        <v>6872</v>
      </c>
      <c r="L28" s="6" t="s">
        <v>62</v>
      </c>
      <c r="M28" s="6" t="s">
        <v>6137</v>
      </c>
      <c r="N28" s="6"/>
      <c r="O28" s="6" t="s">
        <v>2656</v>
      </c>
      <c r="P28" s="54"/>
    </row>
    <row r="29" spans="1:16" ht="63.75">
      <c r="A29" s="6" t="s">
        <v>9439</v>
      </c>
      <c r="B29" s="158" t="s">
        <v>9312</v>
      </c>
      <c r="C29" s="6" t="s">
        <v>9440</v>
      </c>
      <c r="D29" s="291" t="s">
        <v>9441</v>
      </c>
      <c r="E29" s="468" t="s">
        <v>9442</v>
      </c>
      <c r="F29" s="6" t="s">
        <v>9443</v>
      </c>
      <c r="G29" s="6" t="s">
        <v>6132</v>
      </c>
      <c r="H29" s="6"/>
      <c r="I29" s="6" t="s">
        <v>9444</v>
      </c>
      <c r="J29" s="6" t="s">
        <v>9445</v>
      </c>
      <c r="K29" s="6" t="s">
        <v>6872</v>
      </c>
      <c r="L29" s="6" t="s">
        <v>62</v>
      </c>
      <c r="M29" s="6" t="s">
        <v>6941</v>
      </c>
      <c r="N29" s="6"/>
      <c r="O29" s="6" t="s">
        <v>2449</v>
      </c>
      <c r="P29" s="54"/>
    </row>
    <row r="30" spans="1:16" ht="25.5">
      <c r="A30" s="6" t="s">
        <v>9446</v>
      </c>
      <c r="B30" s="158" t="s">
        <v>9312</v>
      </c>
      <c r="C30" s="6" t="s">
        <v>9447</v>
      </c>
      <c r="D30" s="297" t="s">
        <v>9448</v>
      </c>
      <c r="E30" s="467" t="s">
        <v>9449</v>
      </c>
      <c r="F30" s="6" t="s">
        <v>9450</v>
      </c>
      <c r="G30" s="6" t="s">
        <v>6132</v>
      </c>
      <c r="H30" s="6"/>
      <c r="I30" s="160" t="s">
        <v>9451</v>
      </c>
      <c r="J30" s="6" t="s">
        <v>9452</v>
      </c>
      <c r="K30" s="6" t="s">
        <v>6872</v>
      </c>
      <c r="L30" s="6" t="s">
        <v>652</v>
      </c>
      <c r="M30" s="6" t="s">
        <v>6729</v>
      </c>
      <c r="N30" s="6"/>
      <c r="O30" s="6" t="s">
        <v>2460</v>
      </c>
      <c r="P30" s="54"/>
    </row>
    <row r="31" spans="1:16" ht="25.5">
      <c r="A31" s="6" t="s">
        <v>9453</v>
      </c>
      <c r="B31" s="158" t="s">
        <v>9312</v>
      </c>
      <c r="C31" s="6" t="s">
        <v>9454</v>
      </c>
      <c r="D31" s="297" t="s">
        <v>9455</v>
      </c>
      <c r="E31" s="467" t="s">
        <v>9456</v>
      </c>
      <c r="F31" s="6" t="s">
        <v>9457</v>
      </c>
      <c r="G31" s="475" t="s">
        <v>1808</v>
      </c>
      <c r="H31" s="6"/>
      <c r="I31" s="6"/>
      <c r="J31" s="6" t="s">
        <v>9458</v>
      </c>
      <c r="K31" s="158" t="s">
        <v>6872</v>
      </c>
      <c r="L31" s="6"/>
      <c r="M31" s="6" t="s">
        <v>6064</v>
      </c>
      <c r="N31" s="6" t="s">
        <v>1824</v>
      </c>
      <c r="O31" s="6"/>
      <c r="P31" s="54"/>
    </row>
    <row r="32" spans="1:16" ht="25.5">
      <c r="A32" s="6" t="s">
        <v>9459</v>
      </c>
      <c r="B32" s="158" t="s">
        <v>9312</v>
      </c>
      <c r="C32" s="6" t="s">
        <v>9460</v>
      </c>
      <c r="D32" s="297" t="s">
        <v>9461</v>
      </c>
      <c r="E32" s="467" t="s">
        <v>9462</v>
      </c>
      <c r="F32" s="6" t="s">
        <v>9463</v>
      </c>
      <c r="G32" s="475" t="s">
        <v>1808</v>
      </c>
      <c r="H32" s="6"/>
      <c r="I32" s="6" t="s">
        <v>9464</v>
      </c>
      <c r="J32" s="6" t="s">
        <v>9465</v>
      </c>
      <c r="K32" s="6" t="s">
        <v>6872</v>
      </c>
      <c r="L32" s="6"/>
      <c r="M32" s="6" t="s">
        <v>6064</v>
      </c>
      <c r="N32" s="6" t="s">
        <v>1824</v>
      </c>
      <c r="O32" s="6" t="s">
        <v>2611</v>
      </c>
      <c r="P32" s="54"/>
    </row>
    <row r="33" spans="1:16" ht="25.5">
      <c r="A33" s="6" t="s">
        <v>9466</v>
      </c>
      <c r="B33" s="158" t="s">
        <v>9312</v>
      </c>
      <c r="C33" s="6" t="s">
        <v>9467</v>
      </c>
      <c r="D33" s="297" t="s">
        <v>9468</v>
      </c>
      <c r="E33" s="467" t="s">
        <v>9469</v>
      </c>
      <c r="F33" s="6" t="s">
        <v>4775</v>
      </c>
      <c r="G33" s="475" t="s">
        <v>1808</v>
      </c>
      <c r="H33" s="6"/>
      <c r="I33" s="6" t="s">
        <v>9470</v>
      </c>
      <c r="J33" s="6" t="s">
        <v>9471</v>
      </c>
      <c r="K33" s="6" t="s">
        <v>6872</v>
      </c>
      <c r="L33" s="6" t="s">
        <v>4787</v>
      </c>
      <c r="M33" s="6" t="s">
        <v>6064</v>
      </c>
      <c r="N33" s="6" t="s">
        <v>1824</v>
      </c>
      <c r="O33" s="6" t="s">
        <v>2613</v>
      </c>
      <c r="P33" s="54"/>
    </row>
    <row r="34" spans="1:16" ht="25.5">
      <c r="A34" s="6" t="s">
        <v>9472</v>
      </c>
      <c r="B34" s="158" t="s">
        <v>9312</v>
      </c>
      <c r="C34" s="6" t="s">
        <v>9473</v>
      </c>
      <c r="D34" s="291" t="s">
        <v>9474</v>
      </c>
      <c r="E34" s="468" t="s">
        <v>9475</v>
      </c>
      <c r="F34" s="6" t="s">
        <v>572</v>
      </c>
      <c r="G34" s="475" t="s">
        <v>1808</v>
      </c>
      <c r="H34" s="6"/>
      <c r="I34" s="158" t="s">
        <v>9476</v>
      </c>
      <c r="J34" s="6" t="s">
        <v>8420</v>
      </c>
      <c r="K34" s="6" t="s">
        <v>6872</v>
      </c>
      <c r="L34" s="6"/>
      <c r="M34" s="6" t="s">
        <v>6064</v>
      </c>
      <c r="N34" s="6" t="s">
        <v>1824</v>
      </c>
      <c r="O34" s="6" t="s">
        <v>2460</v>
      </c>
      <c r="P34" s="54"/>
    </row>
    <row r="35" spans="1:16" ht="25.5">
      <c r="A35" s="6" t="s">
        <v>9477</v>
      </c>
      <c r="B35" s="158" t="s">
        <v>9312</v>
      </c>
      <c r="C35" s="6" t="s">
        <v>9478</v>
      </c>
      <c r="D35" s="291" t="s">
        <v>9479</v>
      </c>
      <c r="E35" s="468" t="s">
        <v>9480</v>
      </c>
      <c r="F35" s="160" t="s">
        <v>9481</v>
      </c>
      <c r="G35" s="6" t="s">
        <v>6132</v>
      </c>
      <c r="H35" s="6"/>
      <c r="I35" s="6" t="s">
        <v>9482</v>
      </c>
      <c r="J35" s="6" t="s">
        <v>9483</v>
      </c>
      <c r="K35" s="6" t="s">
        <v>6872</v>
      </c>
      <c r="L35" s="6"/>
      <c r="M35" s="6" t="s">
        <v>6064</v>
      </c>
      <c r="N35" s="6"/>
      <c r="O35" s="6" t="s">
        <v>1828</v>
      </c>
      <c r="P35" s="54"/>
    </row>
    <row r="36" spans="1:16" ht="12.75">
      <c r="A36" s="559"/>
      <c r="B36" s="560"/>
      <c r="C36" s="560"/>
      <c r="D36" s="560"/>
      <c r="E36" s="560"/>
      <c r="F36" s="560"/>
      <c r="G36" s="560"/>
      <c r="H36" s="560"/>
      <c r="I36" s="560"/>
      <c r="J36" s="560"/>
      <c r="K36" s="560"/>
      <c r="L36" s="560"/>
      <c r="M36" s="560"/>
      <c r="N36" s="560"/>
      <c r="O36" s="560"/>
      <c r="P36" s="561"/>
    </row>
    <row r="37" spans="1:16" ht="63.75">
      <c r="A37" s="6" t="s">
        <v>9484</v>
      </c>
      <c r="B37" s="158" t="s">
        <v>8512</v>
      </c>
      <c r="C37" s="6" t="s">
        <v>9485</v>
      </c>
      <c r="D37" s="6"/>
      <c r="E37" s="468" t="s">
        <v>9486</v>
      </c>
      <c r="F37" s="6" t="s">
        <v>9487</v>
      </c>
      <c r="G37" s="6" t="s">
        <v>6179</v>
      </c>
      <c r="H37" s="158" t="s">
        <v>9488</v>
      </c>
      <c r="I37" s="160" t="s">
        <v>9489</v>
      </c>
      <c r="J37" s="6" t="s">
        <v>9490</v>
      </c>
      <c r="K37" s="6" t="s">
        <v>6872</v>
      </c>
      <c r="L37" s="6"/>
      <c r="M37" s="6" t="s">
        <v>6064</v>
      </c>
      <c r="N37" s="6"/>
      <c r="O37" s="6" t="s">
        <v>1828</v>
      </c>
      <c r="P37" s="54"/>
    </row>
    <row r="38" spans="1:16" ht="63.75">
      <c r="A38" s="6" t="s">
        <v>9491</v>
      </c>
      <c r="B38" s="158" t="s">
        <v>8512</v>
      </c>
      <c r="C38" s="158" t="s">
        <v>9492</v>
      </c>
      <c r="D38" s="158"/>
      <c r="E38" s="553" t="s">
        <v>9493</v>
      </c>
      <c r="F38" s="160" t="s">
        <v>4346</v>
      </c>
      <c r="G38" s="475" t="s">
        <v>1808</v>
      </c>
      <c r="H38" s="6" t="s">
        <v>9071</v>
      </c>
      <c r="I38" s="160" t="s">
        <v>3841</v>
      </c>
      <c r="J38" s="6" t="s">
        <v>9494</v>
      </c>
      <c r="K38" s="6" t="s">
        <v>6872</v>
      </c>
      <c r="L38" s="6"/>
      <c r="M38" s="6" t="s">
        <v>1824</v>
      </c>
      <c r="N38" s="6"/>
      <c r="O38" s="6" t="s">
        <v>1828</v>
      </c>
      <c r="P38" s="54"/>
    </row>
    <row r="39" spans="1:16" ht="63.75">
      <c r="A39" s="6" t="s">
        <v>9495</v>
      </c>
      <c r="B39" s="158" t="s">
        <v>8512</v>
      </c>
      <c r="C39" s="6" t="s">
        <v>9496</v>
      </c>
      <c r="D39" s="6"/>
      <c r="E39" s="468" t="s">
        <v>9497</v>
      </c>
      <c r="F39" s="6" t="s">
        <v>9487</v>
      </c>
      <c r="G39" s="6" t="s">
        <v>6179</v>
      </c>
      <c r="H39" s="6" t="s">
        <v>9498</v>
      </c>
      <c r="I39" s="6" t="s">
        <v>9489</v>
      </c>
      <c r="J39" s="6" t="s">
        <v>9499</v>
      </c>
      <c r="K39" s="6" t="s">
        <v>6872</v>
      </c>
      <c r="L39" s="6"/>
      <c r="M39" s="6" t="s">
        <v>6064</v>
      </c>
      <c r="N39" s="6"/>
      <c r="O39" s="6" t="s">
        <v>1828</v>
      </c>
      <c r="P39" s="54"/>
    </row>
    <row r="40" spans="1:16" ht="51">
      <c r="A40" s="6" t="s">
        <v>9500</v>
      </c>
      <c r="B40" s="158" t="s">
        <v>8512</v>
      </c>
      <c r="C40" s="6" t="s">
        <v>9501</v>
      </c>
      <c r="D40" s="6"/>
      <c r="E40" s="468" t="s">
        <v>9502</v>
      </c>
      <c r="F40" s="6" t="s">
        <v>9503</v>
      </c>
      <c r="G40" s="475" t="s">
        <v>1808</v>
      </c>
      <c r="H40" s="6" t="s">
        <v>9504</v>
      </c>
      <c r="I40" s="6" t="s">
        <v>9505</v>
      </c>
      <c r="J40" s="6" t="s">
        <v>9506</v>
      </c>
      <c r="K40" s="6" t="s">
        <v>6872</v>
      </c>
      <c r="L40" s="6"/>
      <c r="M40" s="6" t="s">
        <v>6729</v>
      </c>
      <c r="N40" s="6"/>
      <c r="O40" s="6" t="s">
        <v>2611</v>
      </c>
      <c r="P40" s="54"/>
    </row>
    <row r="41" spans="1:16" ht="25.5">
      <c r="A41" s="6" t="s">
        <v>9507</v>
      </c>
      <c r="B41" s="158" t="s">
        <v>8512</v>
      </c>
      <c r="C41" s="6" t="s">
        <v>9508</v>
      </c>
      <c r="D41" s="6"/>
      <c r="E41" s="468" t="s">
        <v>9509</v>
      </c>
      <c r="F41" s="6" t="s">
        <v>9510</v>
      </c>
      <c r="G41" s="6" t="s">
        <v>6132</v>
      </c>
      <c r="H41" s="6" t="s">
        <v>9071</v>
      </c>
      <c r="I41" s="160" t="s">
        <v>9511</v>
      </c>
      <c r="J41" s="6" t="s">
        <v>9075</v>
      </c>
      <c r="K41" s="6" t="s">
        <v>6872</v>
      </c>
      <c r="L41" s="6"/>
      <c r="M41" s="6" t="s">
        <v>1824</v>
      </c>
      <c r="N41" s="6"/>
      <c r="O41" s="6" t="s">
        <v>2656</v>
      </c>
      <c r="P41" s="54"/>
    </row>
    <row r="42" spans="1:16" ht="38.25">
      <c r="A42" s="6" t="s">
        <v>9512</v>
      </c>
      <c r="B42" s="158" t="s">
        <v>8512</v>
      </c>
      <c r="C42" s="6" t="s">
        <v>9513</v>
      </c>
      <c r="D42" s="6"/>
      <c r="E42" s="468" t="s">
        <v>9514</v>
      </c>
      <c r="F42" s="6" t="s">
        <v>9515</v>
      </c>
      <c r="G42" s="475" t="s">
        <v>6132</v>
      </c>
      <c r="H42" s="6" t="s">
        <v>9516</v>
      </c>
      <c r="I42" s="160" t="s">
        <v>5254</v>
      </c>
      <c r="J42" s="6" t="s">
        <v>9517</v>
      </c>
      <c r="K42" s="6" t="s">
        <v>6872</v>
      </c>
      <c r="L42" s="6"/>
      <c r="M42" s="6" t="s">
        <v>6064</v>
      </c>
      <c r="N42" s="6"/>
      <c r="O42" s="6" t="s">
        <v>2656</v>
      </c>
      <c r="P42" s="54"/>
    </row>
    <row r="43" spans="1:16" ht="38.25">
      <c r="A43" s="6" t="s">
        <v>9518</v>
      </c>
      <c r="B43" s="158" t="s">
        <v>8512</v>
      </c>
      <c r="C43" s="6" t="s">
        <v>9519</v>
      </c>
      <c r="D43" s="6"/>
      <c r="E43" s="468" t="s">
        <v>9520</v>
      </c>
      <c r="F43" s="6" t="s">
        <v>9521</v>
      </c>
      <c r="G43" s="6" t="s">
        <v>6132</v>
      </c>
      <c r="H43" s="6" t="s">
        <v>9071</v>
      </c>
      <c r="I43" s="158" t="s">
        <v>9522</v>
      </c>
      <c r="J43" s="6" t="s">
        <v>9523</v>
      </c>
      <c r="K43" s="6" t="s">
        <v>6872</v>
      </c>
      <c r="L43" s="6"/>
      <c r="M43" s="6" t="s">
        <v>1824</v>
      </c>
      <c r="N43" s="6"/>
      <c r="O43" s="6"/>
      <c r="P43" s="54"/>
    </row>
    <row r="44" spans="1:16" ht="25.5">
      <c r="A44" s="6" t="s">
        <v>9524</v>
      </c>
      <c r="B44" s="158" t="s">
        <v>8512</v>
      </c>
      <c r="C44" s="6" t="s">
        <v>9525</v>
      </c>
      <c r="D44" s="6"/>
      <c r="E44" s="468" t="s">
        <v>9526</v>
      </c>
      <c r="F44" s="6" t="s">
        <v>9527</v>
      </c>
      <c r="G44" s="6" t="s">
        <v>6132</v>
      </c>
      <c r="H44" s="6" t="s">
        <v>9528</v>
      </c>
      <c r="I44" s="160" t="s">
        <v>9529</v>
      </c>
      <c r="J44" s="6" t="s">
        <v>9530</v>
      </c>
      <c r="K44" s="6" t="s">
        <v>6872</v>
      </c>
      <c r="L44" s="6"/>
      <c r="M44" s="6" t="s">
        <v>6724</v>
      </c>
      <c r="N44" s="6"/>
      <c r="O44" s="6" t="s">
        <v>1828</v>
      </c>
      <c r="P44" s="54"/>
    </row>
    <row r="45" spans="1:16" ht="51">
      <c r="A45" s="6" t="s">
        <v>9531</v>
      </c>
      <c r="B45" s="158" t="s">
        <v>8512</v>
      </c>
      <c r="C45" s="6" t="s">
        <v>9532</v>
      </c>
      <c r="D45" s="6"/>
      <c r="E45" s="468" t="s">
        <v>9533</v>
      </c>
      <c r="F45" s="6" t="s">
        <v>9534</v>
      </c>
      <c r="G45" s="6" t="s">
        <v>6179</v>
      </c>
      <c r="H45" s="6" t="s">
        <v>9535</v>
      </c>
      <c r="I45" s="160"/>
      <c r="J45" s="6" t="s">
        <v>9149</v>
      </c>
      <c r="K45" s="6" t="s">
        <v>6872</v>
      </c>
      <c r="L45" s="6"/>
      <c r="M45" s="6" t="s">
        <v>6071</v>
      </c>
      <c r="N45" s="6"/>
      <c r="O45" s="6"/>
      <c r="P45" s="54"/>
    </row>
    <row r="46" spans="1:16" ht="25.5">
      <c r="A46" s="6" t="s">
        <v>9536</v>
      </c>
      <c r="B46" s="158" t="s">
        <v>8512</v>
      </c>
      <c r="C46" s="6" t="s">
        <v>9537</v>
      </c>
      <c r="D46" s="6"/>
      <c r="E46" s="562" t="s">
        <v>9538</v>
      </c>
      <c r="G46" s="6" t="s">
        <v>6132</v>
      </c>
      <c r="H46" s="6" t="s">
        <v>9539</v>
      </c>
      <c r="I46" s="160" t="s">
        <v>9540</v>
      </c>
      <c r="J46" s="6" t="s">
        <v>9541</v>
      </c>
      <c r="K46" s="6" t="s">
        <v>6872</v>
      </c>
      <c r="L46" s="6"/>
      <c r="M46" s="6" t="s">
        <v>1824</v>
      </c>
      <c r="N46" s="6"/>
      <c r="O46" s="6" t="s">
        <v>1847</v>
      </c>
      <c r="P46" s="54"/>
    </row>
    <row r="47" spans="1:16" ht="38.25">
      <c r="A47" s="6" t="s">
        <v>9542</v>
      </c>
      <c r="B47" s="158" t="s">
        <v>8512</v>
      </c>
      <c r="C47" s="6" t="s">
        <v>9543</v>
      </c>
      <c r="D47" s="6"/>
      <c r="E47" s="468" t="s">
        <v>9544</v>
      </c>
      <c r="F47" s="6" t="s">
        <v>500</v>
      </c>
      <c r="G47" s="475" t="s">
        <v>1808</v>
      </c>
      <c r="H47" s="6" t="s">
        <v>9545</v>
      </c>
      <c r="I47" s="160" t="s">
        <v>9546</v>
      </c>
      <c r="J47" s="64" t="s">
        <v>9547</v>
      </c>
      <c r="K47" s="6" t="s">
        <v>6872</v>
      </c>
      <c r="L47" s="6"/>
      <c r="M47" s="6" t="s">
        <v>6064</v>
      </c>
      <c r="N47" s="6"/>
      <c r="O47" s="6" t="s">
        <v>8280</v>
      </c>
      <c r="P47" s="54"/>
    </row>
    <row r="48" spans="1:16" ht="89.25">
      <c r="A48" s="6" t="s">
        <v>9548</v>
      </c>
      <c r="B48" s="158" t="s">
        <v>8512</v>
      </c>
      <c r="C48" s="158" t="s">
        <v>9549</v>
      </c>
      <c r="D48" s="158"/>
      <c r="E48" s="474" t="s">
        <v>9550</v>
      </c>
      <c r="F48" s="6" t="s">
        <v>9551</v>
      </c>
      <c r="G48" s="475" t="s">
        <v>1808</v>
      </c>
      <c r="H48" s="158" t="s">
        <v>9552</v>
      </c>
      <c r="I48" s="160" t="s">
        <v>9553</v>
      </c>
      <c r="J48" s="6" t="s">
        <v>9554</v>
      </c>
      <c r="K48" s="6" t="s">
        <v>6872</v>
      </c>
      <c r="L48" s="6"/>
      <c r="M48" s="6" t="s">
        <v>6064</v>
      </c>
      <c r="N48" s="6"/>
      <c r="O48" s="6" t="s">
        <v>2449</v>
      </c>
      <c r="P48" s="54"/>
    </row>
    <row r="49" spans="1:16" ht="25.5">
      <c r="A49" s="6" t="s">
        <v>9555</v>
      </c>
      <c r="B49" s="158" t="s">
        <v>8512</v>
      </c>
      <c r="C49" s="6" t="s">
        <v>9556</v>
      </c>
      <c r="D49" s="6"/>
      <c r="E49" s="468" t="s">
        <v>9557</v>
      </c>
      <c r="F49" s="6" t="s">
        <v>9558</v>
      </c>
      <c r="G49" s="6" t="s">
        <v>6179</v>
      </c>
      <c r="H49" s="6" t="s">
        <v>9559</v>
      </c>
      <c r="I49" s="160" t="s">
        <v>9560</v>
      </c>
      <c r="J49" s="6" t="s">
        <v>9561</v>
      </c>
      <c r="K49" s="6" t="s">
        <v>6872</v>
      </c>
      <c r="L49" s="6"/>
      <c r="M49" s="6" t="s">
        <v>6064</v>
      </c>
      <c r="N49" s="6"/>
      <c r="O49" s="6" t="s">
        <v>6822</v>
      </c>
      <c r="P49" s="54"/>
    </row>
    <row r="50" spans="1:16" ht="38.25">
      <c r="A50" s="6" t="s">
        <v>9562</v>
      </c>
      <c r="B50" s="158" t="s">
        <v>8512</v>
      </c>
      <c r="C50" s="6" t="s">
        <v>9563</v>
      </c>
      <c r="D50" s="6"/>
      <c r="E50" s="468" t="s">
        <v>9564</v>
      </c>
      <c r="F50" s="6" t="s">
        <v>9565</v>
      </c>
      <c r="G50" s="6" t="s">
        <v>6179</v>
      </c>
      <c r="H50" s="6" t="s">
        <v>9566</v>
      </c>
      <c r="I50" s="160" t="s">
        <v>9567</v>
      </c>
      <c r="J50" s="6" t="s">
        <v>9568</v>
      </c>
      <c r="K50" s="6" t="s">
        <v>6872</v>
      </c>
      <c r="L50" s="6"/>
      <c r="M50" s="6" t="s">
        <v>6064</v>
      </c>
      <c r="N50" s="6"/>
      <c r="O50" s="6" t="s">
        <v>8280</v>
      </c>
      <c r="P50" s="54"/>
    </row>
    <row r="51" spans="1:16" ht="12.75">
      <c r="A51" s="6" t="s">
        <v>9569</v>
      </c>
      <c r="B51" s="132" t="s">
        <v>8512</v>
      </c>
      <c r="C51" s="6"/>
      <c r="D51" s="6"/>
      <c r="E51" s="479"/>
      <c r="F51" s="6"/>
      <c r="G51" s="563" t="s">
        <v>1808</v>
      </c>
      <c r="H51" s="6"/>
      <c r="I51" s="6"/>
      <c r="J51" s="6"/>
      <c r="K51" s="6" t="s">
        <v>6872</v>
      </c>
      <c r="L51" s="6"/>
      <c r="M51" s="6" t="s">
        <v>7924</v>
      </c>
      <c r="N51" s="6"/>
      <c r="O51" s="6"/>
      <c r="P51" s="54"/>
    </row>
    <row r="52" spans="1:16" ht="38.25">
      <c r="A52" s="6" t="s">
        <v>9570</v>
      </c>
      <c r="B52" s="158" t="s">
        <v>8512</v>
      </c>
      <c r="C52" s="6" t="s">
        <v>9571</v>
      </c>
      <c r="D52" s="6"/>
      <c r="E52" s="468" t="s">
        <v>9572</v>
      </c>
      <c r="F52" s="6" t="s">
        <v>9573</v>
      </c>
      <c r="G52" s="6" t="s">
        <v>6179</v>
      </c>
      <c r="H52" s="6" t="s">
        <v>9574</v>
      </c>
      <c r="I52" s="160" t="s">
        <v>9575</v>
      </c>
      <c r="J52" s="6" t="s">
        <v>9576</v>
      </c>
      <c r="K52" s="6" t="s">
        <v>6872</v>
      </c>
      <c r="L52" s="6"/>
      <c r="M52" s="6" t="s">
        <v>6955</v>
      </c>
      <c r="N52" s="6"/>
      <c r="O52" s="6" t="s">
        <v>1847</v>
      </c>
      <c r="P52" s="54"/>
    </row>
    <row r="53" spans="1:16" ht="63.75">
      <c r="A53" s="6" t="s">
        <v>9577</v>
      </c>
      <c r="B53" s="158" t="s">
        <v>8512</v>
      </c>
      <c r="C53" s="6" t="s">
        <v>9578</v>
      </c>
      <c r="D53" s="6"/>
      <c r="E53" s="468" t="s">
        <v>9579</v>
      </c>
      <c r="F53" s="6" t="s">
        <v>9580</v>
      </c>
      <c r="G53" s="6" t="s">
        <v>6132</v>
      </c>
      <c r="H53" s="6" t="s">
        <v>9581</v>
      </c>
      <c r="I53" s="6" t="s">
        <v>9582</v>
      </c>
      <c r="J53" s="6" t="s">
        <v>9583</v>
      </c>
      <c r="K53" s="6" t="s">
        <v>6872</v>
      </c>
      <c r="L53" s="6"/>
      <c r="M53" s="6" t="s">
        <v>9584</v>
      </c>
      <c r="N53" s="6"/>
      <c r="O53" s="6" t="s">
        <v>1847</v>
      </c>
      <c r="P53" s="54"/>
    </row>
    <row r="54" spans="1:16" ht="25.5">
      <c r="A54" s="6" t="s">
        <v>9585</v>
      </c>
      <c r="B54" s="158" t="s">
        <v>8512</v>
      </c>
      <c r="C54" s="6" t="s">
        <v>9586</v>
      </c>
      <c r="D54" s="6"/>
      <c r="E54" s="468" t="s">
        <v>9587</v>
      </c>
      <c r="F54" s="6" t="s">
        <v>9588</v>
      </c>
      <c r="G54" s="6" t="s">
        <v>6132</v>
      </c>
      <c r="H54" s="6" t="s">
        <v>9589</v>
      </c>
      <c r="I54" s="6" t="s">
        <v>9590</v>
      </c>
      <c r="J54" s="6" t="s">
        <v>9591</v>
      </c>
      <c r="K54" s="6" t="s">
        <v>6872</v>
      </c>
      <c r="L54" s="6"/>
      <c r="M54" s="6" t="s">
        <v>6941</v>
      </c>
      <c r="N54" s="6"/>
      <c r="O54" s="6" t="s">
        <v>1847</v>
      </c>
      <c r="P54" s="54"/>
    </row>
    <row r="55" spans="1:16" ht="38.25">
      <c r="A55" s="6" t="s">
        <v>9592</v>
      </c>
      <c r="B55" s="158" t="s">
        <v>8512</v>
      </c>
      <c r="C55" s="6" t="s">
        <v>9593</v>
      </c>
      <c r="D55" s="6"/>
      <c r="E55" s="468" t="s">
        <v>9594</v>
      </c>
      <c r="F55" s="6" t="s">
        <v>9595</v>
      </c>
      <c r="G55" s="475" t="s">
        <v>1808</v>
      </c>
      <c r="H55" s="6" t="s">
        <v>9596</v>
      </c>
      <c r="I55" s="6" t="s">
        <v>9597</v>
      </c>
      <c r="J55" s="6" t="s">
        <v>9598</v>
      </c>
      <c r="K55" s="6" t="s">
        <v>6872</v>
      </c>
      <c r="L55" s="6"/>
      <c r="M55" s="6" t="s">
        <v>6170</v>
      </c>
      <c r="N55" s="6"/>
      <c r="O55" s="6" t="s">
        <v>1847</v>
      </c>
      <c r="P55" s="54"/>
    </row>
    <row r="56" spans="1:16" ht="63.75">
      <c r="A56" s="6" t="s">
        <v>9599</v>
      </c>
      <c r="B56" s="158" t="s">
        <v>8512</v>
      </c>
      <c r="C56" s="6" t="s">
        <v>9600</v>
      </c>
      <c r="D56" s="6"/>
      <c r="E56" s="468" t="s">
        <v>9601</v>
      </c>
      <c r="F56" s="6" t="s">
        <v>9602</v>
      </c>
      <c r="G56" s="475" t="s">
        <v>1808</v>
      </c>
      <c r="H56" s="6" t="s">
        <v>9603</v>
      </c>
      <c r="I56" s="6" t="s">
        <v>9604</v>
      </c>
      <c r="J56" s="6" t="s">
        <v>9311</v>
      </c>
      <c r="K56" s="6" t="s">
        <v>6872</v>
      </c>
      <c r="L56" s="6"/>
      <c r="M56" s="6" t="s">
        <v>6933</v>
      </c>
      <c r="N56" s="6"/>
      <c r="O56" s="6" t="s">
        <v>1847</v>
      </c>
      <c r="P56" s="54"/>
    </row>
    <row r="57" spans="1:16" ht="38.25">
      <c r="A57" s="6" t="s">
        <v>9605</v>
      </c>
      <c r="B57" s="158" t="s">
        <v>8512</v>
      </c>
      <c r="C57" s="6" t="s">
        <v>9606</v>
      </c>
      <c r="D57" s="6"/>
      <c r="E57" s="468" t="s">
        <v>9607</v>
      </c>
      <c r="F57" s="6" t="s">
        <v>9608</v>
      </c>
      <c r="G57" s="475" t="s">
        <v>1808</v>
      </c>
      <c r="H57" s="6" t="s">
        <v>9609</v>
      </c>
      <c r="I57" s="160" t="s">
        <v>9610</v>
      </c>
      <c r="J57" s="6" t="s">
        <v>8953</v>
      </c>
      <c r="K57" s="6" t="s">
        <v>6872</v>
      </c>
      <c r="L57" s="6"/>
      <c r="M57" s="6" t="s">
        <v>6064</v>
      </c>
      <c r="N57" s="6"/>
      <c r="O57" s="6" t="s">
        <v>1847</v>
      </c>
      <c r="P57" s="54"/>
    </row>
    <row r="58" spans="1:16" ht="25.5">
      <c r="A58" s="6" t="s">
        <v>9611</v>
      </c>
      <c r="B58" s="158" t="s">
        <v>8512</v>
      </c>
      <c r="C58" s="6" t="s">
        <v>9612</v>
      </c>
      <c r="D58" s="6"/>
      <c r="E58" s="468" t="s">
        <v>9613</v>
      </c>
      <c r="F58" s="6" t="s">
        <v>9614</v>
      </c>
      <c r="G58" s="6" t="s">
        <v>6132</v>
      </c>
      <c r="H58" s="6" t="s">
        <v>9615</v>
      </c>
      <c r="I58" s="160" t="s">
        <v>9616</v>
      </c>
      <c r="J58" s="6" t="s">
        <v>9617</v>
      </c>
      <c r="K58" s="6" t="s">
        <v>6872</v>
      </c>
      <c r="L58" s="6"/>
      <c r="M58" s="6" t="s">
        <v>6104</v>
      </c>
      <c r="N58" s="6"/>
      <c r="O58" s="6" t="s">
        <v>1847</v>
      </c>
      <c r="P58" s="54"/>
    </row>
    <row r="59" spans="1:16" ht="38.25">
      <c r="A59" s="6" t="s">
        <v>9618</v>
      </c>
      <c r="B59" s="158" t="s">
        <v>8512</v>
      </c>
      <c r="C59" s="6" t="s">
        <v>9619</v>
      </c>
      <c r="D59" s="6"/>
      <c r="E59" s="468" t="s">
        <v>9620</v>
      </c>
      <c r="F59" s="6" t="s">
        <v>9621</v>
      </c>
      <c r="G59" s="475" t="s">
        <v>1808</v>
      </c>
      <c r="H59" s="6" t="s">
        <v>9622</v>
      </c>
      <c r="I59" s="160" t="s">
        <v>9623</v>
      </c>
      <c r="J59" s="6" t="s">
        <v>9624</v>
      </c>
      <c r="K59" s="6" t="s">
        <v>6872</v>
      </c>
      <c r="L59" s="6"/>
      <c r="M59" s="6" t="s">
        <v>6137</v>
      </c>
      <c r="N59" s="6"/>
      <c r="O59" s="6" t="s">
        <v>2460</v>
      </c>
      <c r="P59" s="54"/>
    </row>
    <row r="60" spans="1:16" ht="38.25">
      <c r="A60" s="6" t="s">
        <v>9625</v>
      </c>
      <c r="B60" s="158" t="s">
        <v>8512</v>
      </c>
      <c r="C60" s="6" t="s">
        <v>9626</v>
      </c>
      <c r="D60" s="6"/>
      <c r="E60" s="468" t="s">
        <v>9627</v>
      </c>
      <c r="F60" s="6" t="s">
        <v>840</v>
      </c>
      <c r="G60" s="475" t="s">
        <v>1808</v>
      </c>
      <c r="H60" s="6" t="s">
        <v>9628</v>
      </c>
      <c r="I60" s="160"/>
      <c r="J60" s="6" t="s">
        <v>9003</v>
      </c>
      <c r="K60" s="6" t="s">
        <v>6872</v>
      </c>
      <c r="L60" s="6"/>
      <c r="M60" s="6" t="s">
        <v>6933</v>
      </c>
      <c r="N60" s="6"/>
      <c r="O60" s="6"/>
      <c r="P60" s="54"/>
    </row>
    <row r="61" spans="1:16" ht="25.5">
      <c r="A61" s="6" t="s">
        <v>9629</v>
      </c>
      <c r="B61" s="132" t="s">
        <v>8512</v>
      </c>
      <c r="C61" s="6"/>
      <c r="D61" s="6"/>
      <c r="E61" s="468" t="s">
        <v>9630</v>
      </c>
      <c r="F61" s="6"/>
      <c r="G61" s="563" t="s">
        <v>1808</v>
      </c>
      <c r="H61" s="6"/>
      <c r="I61" s="148"/>
      <c r="J61" s="6"/>
      <c r="K61" s="6" t="s">
        <v>6872</v>
      </c>
      <c r="L61" s="6"/>
      <c r="M61" s="6" t="s">
        <v>7924</v>
      </c>
      <c r="N61" s="6"/>
      <c r="O61" s="6"/>
      <c r="P61" s="54"/>
    </row>
    <row r="62" spans="1:16" ht="76.5">
      <c r="A62" s="6" t="s">
        <v>9631</v>
      </c>
      <c r="B62" s="158" t="s">
        <v>8512</v>
      </c>
      <c r="C62" s="6" t="s">
        <v>9632</v>
      </c>
      <c r="D62" s="6"/>
      <c r="E62" s="468" t="s">
        <v>9633</v>
      </c>
      <c r="F62" s="6" t="s">
        <v>9634</v>
      </c>
      <c r="G62" s="6" t="s">
        <v>6132</v>
      </c>
      <c r="H62" s="6" t="s">
        <v>9635</v>
      </c>
      <c r="I62" s="160" t="s">
        <v>9636</v>
      </c>
      <c r="J62" s="6" t="s">
        <v>9637</v>
      </c>
      <c r="K62" s="6" t="s">
        <v>6872</v>
      </c>
      <c r="L62" s="6"/>
      <c r="M62" s="6" t="s">
        <v>6064</v>
      </c>
      <c r="N62" s="6"/>
      <c r="O62" s="6" t="s">
        <v>6370</v>
      </c>
      <c r="P62" s="54"/>
    </row>
    <row r="63" spans="1:16" ht="38.25">
      <c r="A63" s="6" t="s">
        <v>9638</v>
      </c>
      <c r="B63" s="158" t="s">
        <v>8512</v>
      </c>
      <c r="C63" s="6" t="s">
        <v>9639</v>
      </c>
      <c r="D63" s="6"/>
      <c r="E63" s="468" t="s">
        <v>9640</v>
      </c>
      <c r="F63" s="6" t="s">
        <v>9641</v>
      </c>
      <c r="G63" s="475" t="s">
        <v>6132</v>
      </c>
      <c r="H63" s="6" t="s">
        <v>9642</v>
      </c>
      <c r="I63" s="160" t="s">
        <v>5656</v>
      </c>
      <c r="J63" s="6" t="s">
        <v>9643</v>
      </c>
      <c r="K63" s="6" t="s">
        <v>6872</v>
      </c>
      <c r="L63" s="6"/>
      <c r="M63" s="6" t="s">
        <v>6064</v>
      </c>
      <c r="N63" s="6"/>
      <c r="O63" s="6" t="s">
        <v>9644</v>
      </c>
      <c r="P63" s="54"/>
    </row>
    <row r="64" spans="1:16" ht="25.5">
      <c r="A64" s="6" t="s">
        <v>9645</v>
      </c>
      <c r="B64" s="158" t="s">
        <v>8512</v>
      </c>
      <c r="C64" s="6" t="s">
        <v>9646</v>
      </c>
      <c r="D64" s="6"/>
      <c r="E64" s="468" t="s">
        <v>9647</v>
      </c>
      <c r="F64" s="6" t="s">
        <v>9648</v>
      </c>
      <c r="G64" s="475" t="s">
        <v>1808</v>
      </c>
      <c r="H64" s="6" t="s">
        <v>9649</v>
      </c>
      <c r="I64" s="6" t="s">
        <v>3663</v>
      </c>
      <c r="J64" s="6" t="s">
        <v>9650</v>
      </c>
      <c r="K64" s="6" t="s">
        <v>6872</v>
      </c>
      <c r="L64" s="6"/>
      <c r="M64" s="6" t="s">
        <v>6064</v>
      </c>
      <c r="N64" s="6"/>
      <c r="O64" s="6" t="s">
        <v>9651</v>
      </c>
      <c r="P64" s="54"/>
    </row>
    <row r="65" spans="1:16" ht="63.75">
      <c r="A65" s="6" t="s">
        <v>9652</v>
      </c>
      <c r="B65" s="158" t="s">
        <v>8512</v>
      </c>
      <c r="C65" s="6" t="s">
        <v>9653</v>
      </c>
      <c r="D65" s="6"/>
      <c r="E65" s="468" t="s">
        <v>9654</v>
      </c>
      <c r="F65" s="6" t="s">
        <v>9655</v>
      </c>
      <c r="G65" s="475" t="s">
        <v>1808</v>
      </c>
      <c r="H65" s="6" t="s">
        <v>9656</v>
      </c>
      <c r="I65" s="6" t="s">
        <v>9657</v>
      </c>
      <c r="J65" s="6" t="s">
        <v>9658</v>
      </c>
      <c r="K65" s="6" t="s">
        <v>6872</v>
      </c>
      <c r="L65" s="6"/>
      <c r="M65" s="6" t="s">
        <v>6217</v>
      </c>
      <c r="N65" s="6"/>
      <c r="O65" s="6" t="s">
        <v>1828</v>
      </c>
      <c r="P65" s="54"/>
    </row>
    <row r="66" spans="1:16" ht="63.75">
      <c r="A66" s="6" t="s">
        <v>9659</v>
      </c>
      <c r="B66" s="158" t="s">
        <v>8512</v>
      </c>
      <c r="C66" s="6" t="s">
        <v>9660</v>
      </c>
      <c r="D66" s="6"/>
      <c r="E66" s="468" t="s">
        <v>9661</v>
      </c>
      <c r="F66" s="6" t="s">
        <v>9662</v>
      </c>
      <c r="G66" s="6" t="s">
        <v>6132</v>
      </c>
      <c r="H66" s="6" t="s">
        <v>9663</v>
      </c>
      <c r="I66" s="6" t="s">
        <v>9664</v>
      </c>
      <c r="J66" s="6" t="s">
        <v>9665</v>
      </c>
      <c r="K66" s="6" t="s">
        <v>6872</v>
      </c>
      <c r="L66" s="6"/>
      <c r="M66" s="6" t="s">
        <v>6217</v>
      </c>
      <c r="N66" s="6"/>
      <c r="O66" s="6" t="s">
        <v>9651</v>
      </c>
      <c r="P66" s="54"/>
    </row>
    <row r="67" spans="1:16" ht="51">
      <c r="A67" s="6" t="s">
        <v>9666</v>
      </c>
      <c r="B67" s="158" t="s">
        <v>8512</v>
      </c>
      <c r="C67" s="6" t="s">
        <v>9667</v>
      </c>
      <c r="D67" s="6"/>
      <c r="E67" s="468" t="s">
        <v>9668</v>
      </c>
      <c r="F67" s="6" t="s">
        <v>9669</v>
      </c>
      <c r="G67" s="6" t="s">
        <v>6132</v>
      </c>
      <c r="H67" s="6" t="s">
        <v>9670</v>
      </c>
      <c r="I67" s="6" t="s">
        <v>9671</v>
      </c>
      <c r="J67" s="6" t="s">
        <v>9672</v>
      </c>
      <c r="K67" s="6" t="s">
        <v>6872</v>
      </c>
      <c r="L67" s="6"/>
      <c r="M67" s="6" t="s">
        <v>6217</v>
      </c>
      <c r="N67" s="6"/>
      <c r="O67" s="6" t="s">
        <v>1828</v>
      </c>
      <c r="P67" s="54"/>
    </row>
    <row r="68" spans="1:16" ht="63.75">
      <c r="A68" s="6" t="s">
        <v>9673</v>
      </c>
      <c r="B68" s="158" t="s">
        <v>8512</v>
      </c>
      <c r="C68" s="6" t="s">
        <v>9674</v>
      </c>
      <c r="D68" s="6"/>
      <c r="E68" s="468" t="s">
        <v>9675</v>
      </c>
      <c r="F68" s="6" t="s">
        <v>9676</v>
      </c>
      <c r="G68" s="475" t="s">
        <v>1808</v>
      </c>
      <c r="H68" s="6" t="s">
        <v>9677</v>
      </c>
      <c r="I68" s="6"/>
      <c r="J68" s="6" t="s">
        <v>8562</v>
      </c>
      <c r="K68" s="6" t="s">
        <v>6872</v>
      </c>
      <c r="L68" s="6"/>
      <c r="M68" s="6" t="s">
        <v>6170</v>
      </c>
      <c r="N68" s="6"/>
      <c r="O68" s="6"/>
      <c r="P68" s="54"/>
    </row>
    <row r="69" spans="1:16" ht="38.25">
      <c r="A69" s="6" t="s">
        <v>9678</v>
      </c>
      <c r="B69" s="158" t="s">
        <v>8512</v>
      </c>
      <c r="C69" s="6" t="s">
        <v>9679</v>
      </c>
      <c r="D69" s="6"/>
      <c r="E69" s="468" t="s">
        <v>9680</v>
      </c>
      <c r="F69" s="6" t="s">
        <v>9681</v>
      </c>
      <c r="G69" s="475" t="s">
        <v>1808</v>
      </c>
      <c r="H69" s="6" t="s">
        <v>9603</v>
      </c>
      <c r="I69" s="6" t="s">
        <v>9682</v>
      </c>
      <c r="J69" s="6" t="s">
        <v>9683</v>
      </c>
      <c r="K69" s="6" t="s">
        <v>6872</v>
      </c>
      <c r="L69" s="6"/>
      <c r="M69" s="6" t="s">
        <v>6170</v>
      </c>
      <c r="N69" s="6"/>
      <c r="O69" s="6" t="s">
        <v>1847</v>
      </c>
      <c r="P69" s="54"/>
    </row>
    <row r="70" spans="1:16" ht="12.75">
      <c r="A70" s="6" t="s">
        <v>9684</v>
      </c>
      <c r="B70" s="132" t="s">
        <v>8512</v>
      </c>
      <c r="C70" s="6"/>
      <c r="D70" s="6"/>
      <c r="E70" s="479"/>
      <c r="F70" s="6"/>
      <c r="G70" s="563" t="s">
        <v>1808</v>
      </c>
      <c r="H70" s="6"/>
      <c r="I70" s="6"/>
      <c r="J70" s="6"/>
      <c r="K70" s="6" t="s">
        <v>6872</v>
      </c>
      <c r="L70" s="6"/>
      <c r="M70" s="6" t="s">
        <v>7924</v>
      </c>
      <c r="N70" s="6"/>
      <c r="O70" s="6"/>
      <c r="P70" s="54"/>
    </row>
    <row r="71" spans="1:16" ht="12.75">
      <c r="A71" s="6" t="s">
        <v>9685</v>
      </c>
      <c r="B71" s="132" t="s">
        <v>8512</v>
      </c>
      <c r="C71" s="6"/>
      <c r="D71" s="6"/>
      <c r="E71" s="479"/>
      <c r="F71" s="6"/>
      <c r="G71" s="563" t="s">
        <v>1808</v>
      </c>
      <c r="H71" s="6"/>
      <c r="I71" s="6"/>
      <c r="J71" s="6"/>
      <c r="K71" s="6" t="s">
        <v>6872</v>
      </c>
      <c r="L71" s="6"/>
      <c r="M71" s="6" t="s">
        <v>7924</v>
      </c>
      <c r="N71" s="6"/>
      <c r="O71" s="6"/>
      <c r="P71" s="54"/>
    </row>
    <row r="72" spans="1:16" ht="51">
      <c r="A72" s="6" t="s">
        <v>9686</v>
      </c>
      <c r="B72" s="158" t="s">
        <v>8512</v>
      </c>
      <c r="C72" s="6" t="s">
        <v>9687</v>
      </c>
      <c r="D72" s="6"/>
      <c r="E72" s="468" t="s">
        <v>9688</v>
      </c>
      <c r="F72" s="6" t="s">
        <v>9689</v>
      </c>
      <c r="G72" s="6" t="s">
        <v>6132</v>
      </c>
      <c r="H72" s="6" t="s">
        <v>9690</v>
      </c>
      <c r="I72" s="6" t="s">
        <v>9691</v>
      </c>
      <c r="J72" s="6" t="s">
        <v>9692</v>
      </c>
      <c r="K72" s="6" t="s">
        <v>6872</v>
      </c>
      <c r="L72" s="6"/>
      <c r="M72" s="6" t="s">
        <v>6170</v>
      </c>
      <c r="N72" s="6"/>
      <c r="O72" s="6" t="s">
        <v>1828</v>
      </c>
      <c r="P72" s="54"/>
    </row>
    <row r="73" spans="1:16" ht="38.25">
      <c r="A73" s="6" t="s">
        <v>9693</v>
      </c>
      <c r="B73" s="158" t="s">
        <v>8512</v>
      </c>
      <c r="C73" s="6" t="s">
        <v>9694</v>
      </c>
      <c r="D73" s="6"/>
      <c r="E73" s="468" t="s">
        <v>9695</v>
      </c>
      <c r="F73" s="6" t="s">
        <v>9696</v>
      </c>
      <c r="G73" s="475" t="s">
        <v>1808</v>
      </c>
      <c r="H73" s="6" t="s">
        <v>9697</v>
      </c>
      <c r="I73" s="6"/>
      <c r="J73" s="6" t="s">
        <v>9698</v>
      </c>
      <c r="K73" s="6" t="s">
        <v>6872</v>
      </c>
      <c r="L73" s="6"/>
      <c r="M73" s="6" t="s">
        <v>6064</v>
      </c>
      <c r="N73" s="6"/>
      <c r="O73" s="6"/>
      <c r="P73" s="54"/>
    </row>
    <row r="74" spans="1:16" ht="12.75">
      <c r="A74" s="6" t="s">
        <v>9699</v>
      </c>
      <c r="B74" s="132" t="s">
        <v>8512</v>
      </c>
      <c r="C74" s="6"/>
      <c r="D74" s="6"/>
      <c r="E74" s="479"/>
      <c r="F74" s="6"/>
      <c r="G74" s="563" t="s">
        <v>1808</v>
      </c>
      <c r="H74" s="6"/>
      <c r="I74" s="6"/>
      <c r="J74" s="6"/>
      <c r="K74" s="6" t="s">
        <v>6872</v>
      </c>
      <c r="L74" s="6"/>
      <c r="M74" s="6" t="s">
        <v>7924</v>
      </c>
      <c r="N74" s="6"/>
      <c r="O74" s="6"/>
      <c r="P74" s="54"/>
    </row>
    <row r="75" spans="1:16" ht="38.25">
      <c r="A75" s="6" t="s">
        <v>9700</v>
      </c>
      <c r="B75" s="158" t="s">
        <v>8512</v>
      </c>
      <c r="C75" s="6" t="s">
        <v>9701</v>
      </c>
      <c r="D75" s="6"/>
      <c r="E75" s="468" t="s">
        <v>9702</v>
      </c>
      <c r="F75" s="6" t="s">
        <v>9703</v>
      </c>
      <c r="G75" s="6" t="s">
        <v>6132</v>
      </c>
      <c r="H75" s="6" t="s">
        <v>9106</v>
      </c>
      <c r="I75" s="6" t="s">
        <v>9704</v>
      </c>
      <c r="J75" s="6" t="s">
        <v>9075</v>
      </c>
      <c r="K75" s="6" t="s">
        <v>6872</v>
      </c>
      <c r="L75" s="6"/>
      <c r="M75" s="6" t="s">
        <v>1824</v>
      </c>
      <c r="N75" s="6"/>
      <c r="O75" s="6" t="s">
        <v>1847</v>
      </c>
      <c r="P75" s="54"/>
    </row>
    <row r="76" spans="1:16" ht="51">
      <c r="A76" s="6" t="s">
        <v>9705</v>
      </c>
      <c r="B76" s="158" t="s">
        <v>8512</v>
      </c>
      <c r="C76" s="6" t="s">
        <v>9706</v>
      </c>
      <c r="D76" s="6"/>
      <c r="E76" s="468" t="s">
        <v>9707</v>
      </c>
      <c r="F76" s="6" t="s">
        <v>9708</v>
      </c>
      <c r="G76" s="475" t="s">
        <v>1808</v>
      </c>
      <c r="H76" s="6" t="s">
        <v>9709</v>
      </c>
      <c r="I76" s="6" t="s">
        <v>9710</v>
      </c>
      <c r="J76" s="6" t="s">
        <v>9711</v>
      </c>
      <c r="K76" s="6" t="s">
        <v>6872</v>
      </c>
      <c r="L76" s="6"/>
      <c r="M76" s="6" t="s">
        <v>6064</v>
      </c>
      <c r="N76" s="6"/>
      <c r="O76" s="6" t="s">
        <v>2611</v>
      </c>
      <c r="P76" s="54"/>
    </row>
    <row r="77" spans="1:16" ht="51">
      <c r="A77" s="6" t="s">
        <v>9712</v>
      </c>
      <c r="B77" s="158" t="s">
        <v>8512</v>
      </c>
      <c r="C77" s="6" t="s">
        <v>9713</v>
      </c>
      <c r="D77" s="6"/>
      <c r="E77" s="468" t="s">
        <v>9714</v>
      </c>
      <c r="F77" s="6" t="s">
        <v>9715</v>
      </c>
      <c r="G77" s="6" t="s">
        <v>6132</v>
      </c>
      <c r="H77" s="6" t="s">
        <v>9716</v>
      </c>
      <c r="I77" s="6" t="s">
        <v>9717</v>
      </c>
      <c r="J77" s="6" t="s">
        <v>9718</v>
      </c>
      <c r="K77" s="6" t="s">
        <v>6872</v>
      </c>
      <c r="L77" s="6"/>
      <c r="M77" s="6" t="s">
        <v>6064</v>
      </c>
      <c r="N77" s="6"/>
      <c r="O77" s="6" t="s">
        <v>2467</v>
      </c>
      <c r="P77" s="54"/>
    </row>
    <row r="78" spans="1:16" ht="38.25">
      <c r="A78" s="6" t="s">
        <v>9719</v>
      </c>
      <c r="B78" s="158" t="s">
        <v>8512</v>
      </c>
      <c r="C78" s="6" t="s">
        <v>9720</v>
      </c>
      <c r="D78" s="6"/>
      <c r="E78" s="468" t="s">
        <v>9721</v>
      </c>
      <c r="F78" s="6" t="s">
        <v>9722</v>
      </c>
      <c r="G78" s="475" t="s">
        <v>1808</v>
      </c>
      <c r="H78" s="6" t="s">
        <v>9723</v>
      </c>
      <c r="I78" s="6" t="s">
        <v>9275</v>
      </c>
      <c r="J78" s="6" t="s">
        <v>9724</v>
      </c>
      <c r="K78" s="6" t="s">
        <v>6872</v>
      </c>
      <c r="L78" s="6"/>
      <c r="M78" s="6" t="s">
        <v>6092</v>
      </c>
      <c r="N78" s="6"/>
      <c r="O78" s="6" t="s">
        <v>7922</v>
      </c>
      <c r="P78" s="54"/>
    </row>
    <row r="79" spans="1:16" ht="25.5">
      <c r="A79" s="6" t="s">
        <v>9725</v>
      </c>
      <c r="B79" s="158" t="s">
        <v>8512</v>
      </c>
      <c r="C79" s="6" t="s">
        <v>9726</v>
      </c>
      <c r="D79" s="6"/>
      <c r="E79" s="468" t="s">
        <v>9727</v>
      </c>
      <c r="F79" s="6" t="s">
        <v>9728</v>
      </c>
      <c r="G79" s="475" t="s">
        <v>6132</v>
      </c>
      <c r="H79" s="6" t="s">
        <v>9729</v>
      </c>
      <c r="I79" s="6" t="s">
        <v>9730</v>
      </c>
      <c r="J79" s="6" t="s">
        <v>9075</v>
      </c>
      <c r="K79" s="6" t="s">
        <v>6872</v>
      </c>
      <c r="L79" s="6"/>
      <c r="M79" s="6" t="s">
        <v>1824</v>
      </c>
      <c r="N79" s="6"/>
      <c r="O79" s="6"/>
      <c r="P79" s="54"/>
    </row>
    <row r="80" spans="1:16" ht="38.25">
      <c r="A80" s="6" t="s">
        <v>9731</v>
      </c>
      <c r="B80" s="158" t="s">
        <v>8512</v>
      </c>
      <c r="C80" s="6" t="s">
        <v>9732</v>
      </c>
      <c r="D80" s="6"/>
      <c r="E80" s="468" t="s">
        <v>9733</v>
      </c>
      <c r="F80" s="6" t="s">
        <v>9734</v>
      </c>
      <c r="G80" s="6" t="s">
        <v>6132</v>
      </c>
      <c r="H80" s="6" t="s">
        <v>9735</v>
      </c>
      <c r="I80" s="6" t="s">
        <v>9736</v>
      </c>
      <c r="J80" s="6" t="s">
        <v>9737</v>
      </c>
      <c r="K80" s="6" t="s">
        <v>6872</v>
      </c>
      <c r="L80" s="6"/>
      <c r="M80" s="6" t="s">
        <v>6170</v>
      </c>
      <c r="N80" s="6"/>
      <c r="O80" s="6" t="s">
        <v>1847</v>
      </c>
      <c r="P80" s="54"/>
    </row>
    <row r="81" spans="1:16" ht="38.25">
      <c r="A81" s="6" t="s">
        <v>9738</v>
      </c>
      <c r="B81" s="158" t="s">
        <v>8512</v>
      </c>
      <c r="C81" s="6" t="s">
        <v>9739</v>
      </c>
      <c r="D81" s="6"/>
      <c r="E81" s="468" t="s">
        <v>9740</v>
      </c>
      <c r="F81" s="6" t="s">
        <v>9741</v>
      </c>
      <c r="G81" s="6" t="s">
        <v>6132</v>
      </c>
      <c r="H81" s="6" t="s">
        <v>9742</v>
      </c>
      <c r="I81" s="6" t="s">
        <v>9743</v>
      </c>
      <c r="J81" s="6" t="s">
        <v>9744</v>
      </c>
      <c r="K81" s="6" t="s">
        <v>6872</v>
      </c>
      <c r="L81" s="6"/>
      <c r="M81" s="6" t="s">
        <v>6941</v>
      </c>
      <c r="N81" s="6"/>
      <c r="O81" s="6" t="s">
        <v>1847</v>
      </c>
      <c r="P81" s="54"/>
    </row>
    <row r="82" spans="1:16" ht="25.5">
      <c r="A82" s="6" t="s">
        <v>9745</v>
      </c>
      <c r="B82" s="132" t="s">
        <v>8512</v>
      </c>
      <c r="C82" s="6"/>
      <c r="D82" s="6"/>
      <c r="E82" s="468" t="s">
        <v>9746</v>
      </c>
      <c r="F82" s="6"/>
      <c r="G82" s="563" t="s">
        <v>1808</v>
      </c>
      <c r="H82" s="6"/>
      <c r="I82" s="6"/>
      <c r="J82" s="6"/>
      <c r="K82" s="6" t="s">
        <v>6872</v>
      </c>
      <c r="L82" s="6"/>
      <c r="M82" s="6" t="s">
        <v>7924</v>
      </c>
      <c r="N82" s="6"/>
      <c r="O82" s="6"/>
      <c r="P82" s="54"/>
    </row>
    <row r="83" spans="1:16" ht="38.25">
      <c r="A83" s="6" t="s">
        <v>9747</v>
      </c>
      <c r="B83" s="158" t="s">
        <v>8512</v>
      </c>
      <c r="C83" s="6" t="s">
        <v>9748</v>
      </c>
      <c r="D83" s="6"/>
      <c r="E83" s="468" t="s">
        <v>9749</v>
      </c>
      <c r="F83" s="6" t="s">
        <v>9750</v>
      </c>
      <c r="G83" s="475" t="s">
        <v>1808</v>
      </c>
      <c r="H83" s="6" t="s">
        <v>9751</v>
      </c>
      <c r="I83" s="6"/>
      <c r="J83" s="6" t="s">
        <v>9752</v>
      </c>
      <c r="K83" s="6" t="s">
        <v>6872</v>
      </c>
      <c r="L83" s="6"/>
      <c r="M83" s="6" t="s">
        <v>6064</v>
      </c>
      <c r="N83" s="6"/>
      <c r="O83" s="6"/>
      <c r="P83" s="54"/>
    </row>
    <row r="84" spans="1:16" ht="51">
      <c r="A84" s="6" t="s">
        <v>9753</v>
      </c>
      <c r="B84" s="158" t="s">
        <v>8512</v>
      </c>
      <c r="C84" s="6" t="s">
        <v>9754</v>
      </c>
      <c r="D84" s="6"/>
      <c r="E84" s="468" t="s">
        <v>9755</v>
      </c>
      <c r="F84" s="6" t="s">
        <v>9756</v>
      </c>
      <c r="G84" s="475" t="s">
        <v>1808</v>
      </c>
      <c r="H84" s="6" t="s">
        <v>9757</v>
      </c>
      <c r="I84" s="6"/>
      <c r="J84" s="6" t="s">
        <v>9758</v>
      </c>
      <c r="K84" s="6" t="s">
        <v>6872</v>
      </c>
      <c r="L84" s="6"/>
      <c r="M84" s="6" t="s">
        <v>6064</v>
      </c>
      <c r="N84" s="6"/>
      <c r="O84" s="6"/>
      <c r="P84" s="54"/>
    </row>
    <row r="85" spans="1:16" ht="63.75">
      <c r="A85" s="6" t="s">
        <v>9759</v>
      </c>
      <c r="B85" s="158" t="s">
        <v>8512</v>
      </c>
      <c r="C85" s="6" t="s">
        <v>9760</v>
      </c>
      <c r="D85" s="6"/>
      <c r="E85" s="468" t="s">
        <v>9761</v>
      </c>
      <c r="F85" s="6" t="s">
        <v>9762</v>
      </c>
      <c r="G85" s="475" t="s">
        <v>1808</v>
      </c>
      <c r="H85" s="6" t="s">
        <v>9763</v>
      </c>
      <c r="I85" s="6" t="s">
        <v>9764</v>
      </c>
      <c r="J85" s="6" t="s">
        <v>9765</v>
      </c>
      <c r="K85" s="6" t="s">
        <v>6872</v>
      </c>
      <c r="L85" s="6"/>
      <c r="M85" s="6" t="s">
        <v>6071</v>
      </c>
      <c r="N85" s="6"/>
      <c r="O85" s="6" t="s">
        <v>2611</v>
      </c>
      <c r="P85" s="54"/>
    </row>
    <row r="86" spans="1:16" ht="38.25">
      <c r="A86" s="6" t="s">
        <v>9766</v>
      </c>
      <c r="B86" s="158" t="s">
        <v>8512</v>
      </c>
      <c r="C86" s="6" t="s">
        <v>9767</v>
      </c>
      <c r="D86" s="6"/>
      <c r="E86" s="468" t="s">
        <v>9768</v>
      </c>
      <c r="F86" s="6" t="s">
        <v>9769</v>
      </c>
      <c r="G86" s="475" t="s">
        <v>1808</v>
      </c>
      <c r="H86" s="6" t="s">
        <v>9770</v>
      </c>
      <c r="I86" s="6" t="s">
        <v>9771</v>
      </c>
      <c r="J86" s="6" t="s">
        <v>9772</v>
      </c>
      <c r="K86" s="6" t="s">
        <v>6872</v>
      </c>
      <c r="L86" s="6"/>
      <c r="M86" s="6" t="s">
        <v>6064</v>
      </c>
      <c r="N86" s="6"/>
      <c r="O86" s="6" t="s">
        <v>1828</v>
      </c>
      <c r="P86" s="54"/>
    </row>
    <row r="87" spans="1:16" ht="38.25">
      <c r="A87" s="6" t="s">
        <v>9773</v>
      </c>
      <c r="B87" s="158" t="s">
        <v>8512</v>
      </c>
      <c r="C87" s="6" t="s">
        <v>9774</v>
      </c>
      <c r="D87" s="6"/>
      <c r="E87" s="468" t="s">
        <v>9775</v>
      </c>
      <c r="F87" s="6" t="s">
        <v>9776</v>
      </c>
      <c r="G87" s="475" t="s">
        <v>1808</v>
      </c>
      <c r="H87" s="6" t="s">
        <v>9777</v>
      </c>
      <c r="I87" s="6" t="s">
        <v>9778</v>
      </c>
      <c r="J87" s="6" t="s">
        <v>9779</v>
      </c>
      <c r="K87" s="6" t="s">
        <v>6872</v>
      </c>
      <c r="L87" s="6"/>
      <c r="M87" s="6" t="s">
        <v>6064</v>
      </c>
      <c r="N87" s="6"/>
      <c r="O87" s="6" t="s">
        <v>7922</v>
      </c>
      <c r="P87" s="54"/>
    </row>
    <row r="88" spans="1:16" ht="38.25">
      <c r="A88" s="6" t="s">
        <v>9780</v>
      </c>
      <c r="B88" s="158" t="s">
        <v>8512</v>
      </c>
      <c r="C88" s="6" t="s">
        <v>9781</v>
      </c>
      <c r="D88" s="6"/>
      <c r="E88" s="564" t="s">
        <v>9782</v>
      </c>
      <c r="F88" s="6" t="s">
        <v>9268</v>
      </c>
      <c r="G88" s="475" t="s">
        <v>1808</v>
      </c>
      <c r="H88" s="6" t="s">
        <v>9783</v>
      </c>
      <c r="I88" s="6"/>
      <c r="J88" s="6" t="s">
        <v>9784</v>
      </c>
      <c r="K88" s="6" t="s">
        <v>6872</v>
      </c>
      <c r="L88" s="6"/>
      <c r="M88" s="6" t="s">
        <v>6064</v>
      </c>
      <c r="N88" s="6"/>
      <c r="O88" s="6"/>
      <c r="P88" s="54"/>
    </row>
    <row r="89" spans="1:16" ht="38.25">
      <c r="A89" s="6" t="s">
        <v>9785</v>
      </c>
      <c r="B89" s="158" t="s">
        <v>8512</v>
      </c>
      <c r="C89" s="6" t="s">
        <v>9786</v>
      </c>
      <c r="D89" s="6"/>
      <c r="E89" s="564" t="s">
        <v>9787</v>
      </c>
      <c r="F89" s="6"/>
      <c r="G89" s="475" t="s">
        <v>1808</v>
      </c>
      <c r="H89" s="6" t="s">
        <v>9788</v>
      </c>
      <c r="I89" s="6"/>
      <c r="J89" s="6" t="s">
        <v>8888</v>
      </c>
      <c r="K89" s="6" t="s">
        <v>6872</v>
      </c>
      <c r="L89" s="6"/>
      <c r="M89" s="6" t="s">
        <v>6071</v>
      </c>
      <c r="N89" s="6"/>
      <c r="O89" s="6"/>
      <c r="P89" s="54"/>
    </row>
    <row r="90" spans="1:16" ht="51">
      <c r="A90" s="6" t="s">
        <v>9789</v>
      </c>
      <c r="B90" s="158" t="s">
        <v>8512</v>
      </c>
      <c r="C90" s="6" t="s">
        <v>9790</v>
      </c>
      <c r="D90" s="6"/>
      <c r="E90" s="564" t="s">
        <v>9791</v>
      </c>
      <c r="F90" s="6" t="s">
        <v>9792</v>
      </c>
      <c r="G90" s="6" t="s">
        <v>6132</v>
      </c>
      <c r="H90" s="6" t="s">
        <v>9793</v>
      </c>
      <c r="I90" s="6" t="s">
        <v>9794</v>
      </c>
      <c r="J90" s="6" t="s">
        <v>8694</v>
      </c>
      <c r="K90" s="6" t="s">
        <v>6872</v>
      </c>
      <c r="L90" s="6"/>
      <c r="M90" s="6" t="s">
        <v>6064</v>
      </c>
      <c r="N90" s="6"/>
      <c r="O90" s="6" t="s">
        <v>8644</v>
      </c>
      <c r="P90" s="54"/>
    </row>
    <row r="91" spans="1:16" ht="51">
      <c r="A91" s="6" t="s">
        <v>9795</v>
      </c>
      <c r="B91" s="158" t="s">
        <v>8512</v>
      </c>
      <c r="C91" s="6" t="s">
        <v>9796</v>
      </c>
      <c r="D91" s="6"/>
      <c r="E91" s="468" t="s">
        <v>9797</v>
      </c>
      <c r="F91" s="6" t="s">
        <v>9798</v>
      </c>
      <c r="G91" s="6" t="s">
        <v>6132</v>
      </c>
      <c r="H91" s="6" t="s">
        <v>9799</v>
      </c>
      <c r="I91" s="6" t="s">
        <v>9800</v>
      </c>
      <c r="J91" s="6" t="s">
        <v>9801</v>
      </c>
      <c r="K91" s="6" t="s">
        <v>6872</v>
      </c>
      <c r="L91" s="6"/>
      <c r="M91" s="6" t="s">
        <v>6217</v>
      </c>
      <c r="N91" s="6"/>
      <c r="O91" s="6" t="s">
        <v>6370</v>
      </c>
      <c r="P91" s="54"/>
    </row>
    <row r="92" spans="1:16" ht="51">
      <c r="A92" s="6" t="s">
        <v>9802</v>
      </c>
      <c r="B92" s="158" t="s">
        <v>8512</v>
      </c>
      <c r="C92" s="6" t="s">
        <v>9803</v>
      </c>
      <c r="D92" s="6"/>
      <c r="E92" s="468" t="s">
        <v>9804</v>
      </c>
      <c r="F92" s="6" t="s">
        <v>581</v>
      </c>
      <c r="G92" s="475" t="s">
        <v>1808</v>
      </c>
      <c r="H92" s="6" t="s">
        <v>9805</v>
      </c>
      <c r="I92" s="6" t="s">
        <v>9806</v>
      </c>
      <c r="J92" s="6" t="s">
        <v>9807</v>
      </c>
      <c r="K92" s="6" t="s">
        <v>6872</v>
      </c>
      <c r="L92" s="6"/>
      <c r="M92" s="6" t="s">
        <v>6064</v>
      </c>
      <c r="N92" s="6"/>
      <c r="O92" s="6" t="s">
        <v>6370</v>
      </c>
      <c r="P92" s="54"/>
    </row>
    <row r="93" spans="1:16" ht="165.75">
      <c r="A93" s="6" t="s">
        <v>9808</v>
      </c>
      <c r="B93" s="158" t="s">
        <v>8512</v>
      </c>
      <c r="C93" s="6" t="s">
        <v>9809</v>
      </c>
      <c r="D93" s="6"/>
      <c r="E93" s="468" t="s">
        <v>9810</v>
      </c>
      <c r="F93" s="6" t="s">
        <v>9811</v>
      </c>
      <c r="G93" s="6" t="s">
        <v>6132</v>
      </c>
      <c r="H93" s="6" t="s">
        <v>9812</v>
      </c>
      <c r="I93" s="6" t="s">
        <v>9813</v>
      </c>
      <c r="J93" s="6" t="s">
        <v>9814</v>
      </c>
      <c r="K93" s="6" t="s">
        <v>6872</v>
      </c>
      <c r="L93" s="6"/>
      <c r="M93" s="6" t="s">
        <v>6092</v>
      </c>
      <c r="N93" s="6"/>
      <c r="O93" s="6" t="s">
        <v>1847</v>
      </c>
      <c r="P93" s="54"/>
    </row>
    <row r="94" spans="1:16" ht="114.75">
      <c r="A94" s="6" t="s">
        <v>9815</v>
      </c>
      <c r="B94" s="158" t="s">
        <v>8512</v>
      </c>
      <c r="C94" s="6" t="s">
        <v>9816</v>
      </c>
      <c r="D94" s="6"/>
      <c r="E94" s="468" t="s">
        <v>9817</v>
      </c>
      <c r="F94" s="6" t="s">
        <v>9818</v>
      </c>
      <c r="G94" s="6" t="s">
        <v>6132</v>
      </c>
      <c r="H94" s="6" t="s">
        <v>9819</v>
      </c>
      <c r="I94" s="6" t="s">
        <v>9820</v>
      </c>
      <c r="J94" s="6" t="s">
        <v>9821</v>
      </c>
      <c r="K94" s="6" t="s">
        <v>6872</v>
      </c>
      <c r="L94" s="6"/>
      <c r="M94" s="6" t="s">
        <v>6092</v>
      </c>
      <c r="N94" s="6"/>
      <c r="O94" s="6" t="s">
        <v>2467</v>
      </c>
      <c r="P94" s="54"/>
    </row>
    <row r="95" spans="1:16" ht="76.5">
      <c r="A95" s="6" t="s">
        <v>9822</v>
      </c>
      <c r="B95" s="158" t="s">
        <v>8512</v>
      </c>
      <c r="C95" s="6" t="s">
        <v>9823</v>
      </c>
      <c r="D95" s="6"/>
      <c r="E95" s="468" t="s">
        <v>9824</v>
      </c>
      <c r="F95" s="6" t="s">
        <v>9825</v>
      </c>
      <c r="G95" s="6" t="s">
        <v>6132</v>
      </c>
      <c r="H95" s="6" t="s">
        <v>9826</v>
      </c>
      <c r="I95" s="6" t="s">
        <v>9827</v>
      </c>
      <c r="J95" s="6" t="s">
        <v>9828</v>
      </c>
      <c r="K95" s="6" t="s">
        <v>6872</v>
      </c>
      <c r="L95" s="6"/>
      <c r="M95" s="6" t="s">
        <v>6217</v>
      </c>
      <c r="N95" s="6"/>
      <c r="O95" s="6" t="s">
        <v>2449</v>
      </c>
      <c r="P95" s="54"/>
    </row>
    <row r="96" spans="1:16" ht="38.25">
      <c r="A96" s="6" t="s">
        <v>9829</v>
      </c>
      <c r="B96" s="158" t="s">
        <v>8512</v>
      </c>
      <c r="C96" s="6" t="s">
        <v>9830</v>
      </c>
      <c r="D96" s="6"/>
      <c r="E96" s="468" t="s">
        <v>9831</v>
      </c>
      <c r="F96" s="6" t="s">
        <v>8792</v>
      </c>
      <c r="G96" s="475" t="s">
        <v>1808</v>
      </c>
      <c r="H96" s="6" t="s">
        <v>9832</v>
      </c>
      <c r="I96" s="6" t="s">
        <v>9833</v>
      </c>
      <c r="J96" s="6" t="s">
        <v>9834</v>
      </c>
      <c r="K96" s="6" t="s">
        <v>6872</v>
      </c>
      <c r="L96" s="6"/>
      <c r="M96" s="6" t="s">
        <v>6064</v>
      </c>
      <c r="N96" s="6"/>
      <c r="O96" s="6" t="s">
        <v>2467</v>
      </c>
      <c r="P96" s="54"/>
    </row>
    <row r="97" spans="1:16" ht="51">
      <c r="A97" s="6" t="s">
        <v>9835</v>
      </c>
      <c r="B97" s="158" t="s">
        <v>8512</v>
      </c>
      <c r="C97" s="6" t="s">
        <v>9836</v>
      </c>
      <c r="D97" s="6"/>
      <c r="E97" s="468" t="s">
        <v>9837</v>
      </c>
      <c r="F97" s="6" t="s">
        <v>8792</v>
      </c>
      <c r="G97" s="475" t="s">
        <v>1808</v>
      </c>
      <c r="H97" s="6" t="s">
        <v>9838</v>
      </c>
      <c r="I97" s="6" t="s">
        <v>9839</v>
      </c>
      <c r="J97" s="6" t="s">
        <v>9188</v>
      </c>
      <c r="K97" s="6" t="s">
        <v>6872</v>
      </c>
      <c r="L97" s="6"/>
      <c r="M97" s="6" t="s">
        <v>6137</v>
      </c>
      <c r="N97" s="6"/>
      <c r="O97" s="6" t="s">
        <v>2467</v>
      </c>
      <c r="P97" s="54"/>
    </row>
    <row r="98" spans="1:16" ht="89.25">
      <c r="A98" s="6" t="s">
        <v>9840</v>
      </c>
      <c r="B98" s="158" t="s">
        <v>8512</v>
      </c>
      <c r="C98" s="6" t="s">
        <v>9841</v>
      </c>
      <c r="D98" s="6"/>
      <c r="E98" s="468" t="s">
        <v>9842</v>
      </c>
      <c r="F98" s="6" t="s">
        <v>8792</v>
      </c>
      <c r="G98" s="475" t="s">
        <v>1808</v>
      </c>
      <c r="H98" s="6" t="s">
        <v>9843</v>
      </c>
      <c r="I98" s="6" t="s">
        <v>9839</v>
      </c>
      <c r="J98" s="6" t="s">
        <v>9844</v>
      </c>
      <c r="K98" s="6" t="s">
        <v>6872</v>
      </c>
      <c r="L98" s="6"/>
      <c r="M98" s="6" t="s">
        <v>6064</v>
      </c>
      <c r="N98" s="6"/>
      <c r="O98" s="6" t="s">
        <v>2467</v>
      </c>
      <c r="P98" s="54"/>
    </row>
    <row r="99" spans="1:16" ht="63.75">
      <c r="A99" s="6" t="s">
        <v>9845</v>
      </c>
      <c r="B99" s="158" t="s">
        <v>8512</v>
      </c>
      <c r="C99" s="6" t="s">
        <v>9846</v>
      </c>
      <c r="D99" s="6"/>
      <c r="E99" s="468" t="s">
        <v>9847</v>
      </c>
      <c r="F99" s="6" t="s">
        <v>9848</v>
      </c>
      <c r="G99" s="475" t="s">
        <v>1808</v>
      </c>
      <c r="H99" s="6" t="s">
        <v>9849</v>
      </c>
      <c r="I99" s="6" t="s">
        <v>9850</v>
      </c>
      <c r="J99" s="6" t="s">
        <v>9834</v>
      </c>
      <c r="K99" s="6" t="s">
        <v>6872</v>
      </c>
      <c r="L99" s="6"/>
      <c r="M99" s="6" t="s">
        <v>6064</v>
      </c>
      <c r="N99" s="6"/>
      <c r="O99" s="6" t="s">
        <v>2656</v>
      </c>
      <c r="P99" s="54"/>
    </row>
    <row r="100" spans="1:16" ht="51">
      <c r="A100" s="6" t="s">
        <v>9851</v>
      </c>
      <c r="B100" s="158" t="s">
        <v>8512</v>
      </c>
      <c r="C100" s="6" t="s">
        <v>9852</v>
      </c>
      <c r="D100" s="6"/>
      <c r="E100" s="468" t="s">
        <v>9853</v>
      </c>
      <c r="F100" s="6" t="s">
        <v>8625</v>
      </c>
      <c r="G100" s="475" t="s">
        <v>1808</v>
      </c>
      <c r="H100" s="6" t="s">
        <v>9854</v>
      </c>
      <c r="I100" s="6" t="s">
        <v>9855</v>
      </c>
      <c r="J100" s="6" t="s">
        <v>9856</v>
      </c>
      <c r="K100" s="6" t="s">
        <v>6872</v>
      </c>
      <c r="L100" s="6"/>
      <c r="M100" s="6" t="s">
        <v>9857</v>
      </c>
      <c r="N100" s="6"/>
      <c r="O100" s="6" t="s">
        <v>6783</v>
      </c>
      <c r="P100" s="54"/>
    </row>
    <row r="101" spans="1:16" ht="63.75">
      <c r="A101" s="6" t="s">
        <v>9858</v>
      </c>
      <c r="B101" s="158" t="s">
        <v>8512</v>
      </c>
      <c r="C101" s="6" t="s">
        <v>9859</v>
      </c>
      <c r="D101" s="6"/>
      <c r="E101" s="468" t="s">
        <v>9860</v>
      </c>
      <c r="F101" s="6" t="s">
        <v>4346</v>
      </c>
      <c r="G101" s="475" t="s">
        <v>1808</v>
      </c>
      <c r="H101" s="6" t="s">
        <v>9071</v>
      </c>
      <c r="I101" s="6" t="s">
        <v>9861</v>
      </c>
      <c r="J101" s="6" t="s">
        <v>9075</v>
      </c>
      <c r="K101" s="6" t="s">
        <v>6872</v>
      </c>
      <c r="L101" s="6"/>
      <c r="M101" s="6" t="s">
        <v>1824</v>
      </c>
      <c r="N101" s="6"/>
      <c r="O101" s="6" t="s">
        <v>1847</v>
      </c>
      <c r="P101" s="54"/>
    </row>
    <row r="102" spans="1:16" ht="38.25">
      <c r="A102" s="6" t="s">
        <v>9862</v>
      </c>
      <c r="B102" s="158" t="s">
        <v>8512</v>
      </c>
      <c r="C102" s="6" t="s">
        <v>9863</v>
      </c>
      <c r="D102" s="6"/>
      <c r="E102" s="468" t="s">
        <v>9864</v>
      </c>
      <c r="F102" s="6" t="s">
        <v>9865</v>
      </c>
      <c r="G102" s="475" t="s">
        <v>1808</v>
      </c>
      <c r="H102" s="6" t="s">
        <v>9866</v>
      </c>
      <c r="I102" s="6" t="s">
        <v>9867</v>
      </c>
      <c r="J102" s="6" t="s">
        <v>9868</v>
      </c>
      <c r="K102" s="6" t="s">
        <v>6872</v>
      </c>
      <c r="L102" s="6"/>
      <c r="M102" s="6" t="s">
        <v>6137</v>
      </c>
      <c r="N102" s="6"/>
      <c r="O102" s="6" t="s">
        <v>6822</v>
      </c>
      <c r="P102" s="54"/>
    </row>
    <row r="103" spans="1:16" ht="76.5">
      <c r="A103" s="6" t="s">
        <v>9869</v>
      </c>
      <c r="B103" s="158" t="s">
        <v>8512</v>
      </c>
      <c r="C103" s="6" t="s">
        <v>9870</v>
      </c>
      <c r="D103" s="6"/>
      <c r="E103" s="468" t="s">
        <v>9871</v>
      </c>
      <c r="F103" s="6" t="s">
        <v>8625</v>
      </c>
      <c r="G103" s="475" t="s">
        <v>1808</v>
      </c>
      <c r="H103" s="6" t="s">
        <v>9872</v>
      </c>
      <c r="I103" s="6" t="s">
        <v>9873</v>
      </c>
      <c r="J103" s="6" t="s">
        <v>9874</v>
      </c>
      <c r="K103" s="6" t="s">
        <v>6872</v>
      </c>
      <c r="L103" s="6"/>
      <c r="M103" s="6" t="s">
        <v>6064</v>
      </c>
      <c r="N103" s="6"/>
      <c r="O103" s="6" t="s">
        <v>6783</v>
      </c>
      <c r="P103" s="54"/>
    </row>
    <row r="104" spans="1:16" ht="51">
      <c r="A104" s="6" t="s">
        <v>9875</v>
      </c>
      <c r="B104" s="158" t="s">
        <v>8512</v>
      </c>
      <c r="C104" s="6" t="s">
        <v>9876</v>
      </c>
      <c r="D104" s="6"/>
      <c r="E104" s="468" t="s">
        <v>9877</v>
      </c>
      <c r="F104" s="6" t="s">
        <v>8625</v>
      </c>
      <c r="G104" s="475" t="s">
        <v>1808</v>
      </c>
      <c r="H104" s="6" t="s">
        <v>9878</v>
      </c>
      <c r="I104" s="6" t="s">
        <v>9873</v>
      </c>
      <c r="J104" s="6" t="s">
        <v>9879</v>
      </c>
      <c r="K104" s="6" t="s">
        <v>6872</v>
      </c>
      <c r="L104" s="6"/>
      <c r="M104" s="6" t="s">
        <v>6064</v>
      </c>
      <c r="N104" s="6"/>
      <c r="O104" s="6" t="s">
        <v>6783</v>
      </c>
      <c r="P104" s="54"/>
    </row>
    <row r="105" spans="1:16" ht="38.25">
      <c r="A105" s="6" t="s">
        <v>9880</v>
      </c>
      <c r="B105" s="158" t="s">
        <v>8512</v>
      </c>
      <c r="C105" s="6" t="s">
        <v>9881</v>
      </c>
      <c r="D105" s="6"/>
      <c r="E105" s="468" t="s">
        <v>9882</v>
      </c>
      <c r="F105" s="6" t="s">
        <v>8625</v>
      </c>
      <c r="G105" s="475" t="s">
        <v>1808</v>
      </c>
      <c r="H105" s="6" t="s">
        <v>9883</v>
      </c>
      <c r="I105" s="6" t="s">
        <v>9884</v>
      </c>
      <c r="J105" s="6" t="s">
        <v>9885</v>
      </c>
      <c r="K105" s="6" t="s">
        <v>6872</v>
      </c>
      <c r="L105" s="6"/>
      <c r="M105" s="6" t="s">
        <v>6064</v>
      </c>
      <c r="N105" s="6"/>
      <c r="O105" s="6" t="s">
        <v>6783</v>
      </c>
      <c r="P105" s="54"/>
    </row>
    <row r="106" spans="1:16" ht="38.25">
      <c r="A106" s="6" t="s">
        <v>9886</v>
      </c>
      <c r="B106" s="158" t="s">
        <v>8512</v>
      </c>
      <c r="C106" s="6" t="s">
        <v>9887</v>
      </c>
      <c r="D106" s="6"/>
      <c r="E106" s="468" t="s">
        <v>9888</v>
      </c>
      <c r="F106" s="6" t="s">
        <v>8625</v>
      </c>
      <c r="G106" s="475" t="s">
        <v>1808</v>
      </c>
      <c r="H106" s="6" t="s">
        <v>9889</v>
      </c>
      <c r="I106" s="6" t="s">
        <v>9873</v>
      </c>
      <c r="J106" s="6" t="s">
        <v>9121</v>
      </c>
      <c r="K106" s="6" t="s">
        <v>6872</v>
      </c>
      <c r="L106" s="6"/>
      <c r="M106" s="6" t="s">
        <v>6064</v>
      </c>
      <c r="N106" s="6"/>
      <c r="O106" s="6" t="s">
        <v>6783</v>
      </c>
      <c r="P106" s="54"/>
    </row>
    <row r="107" spans="1:16" ht="25.5">
      <c r="A107" s="6" t="s">
        <v>9890</v>
      </c>
      <c r="B107" s="158" t="s">
        <v>8512</v>
      </c>
      <c r="C107" s="6" t="s">
        <v>9891</v>
      </c>
      <c r="D107" s="6"/>
      <c r="E107" s="468" t="s">
        <v>9892</v>
      </c>
      <c r="F107" s="6" t="s">
        <v>9893</v>
      </c>
      <c r="G107" s="6" t="s">
        <v>6132</v>
      </c>
      <c r="H107" s="6" t="s">
        <v>9071</v>
      </c>
      <c r="I107" s="6" t="s">
        <v>9894</v>
      </c>
      <c r="J107" s="6" t="s">
        <v>9075</v>
      </c>
      <c r="K107" s="6" t="s">
        <v>6872</v>
      </c>
      <c r="L107" s="6"/>
      <c r="M107" s="6" t="s">
        <v>1824</v>
      </c>
      <c r="N107" s="6"/>
      <c r="O107" s="6" t="s">
        <v>2656</v>
      </c>
      <c r="P107" s="54"/>
    </row>
    <row r="108" spans="1:16" ht="38.25">
      <c r="A108" s="6" t="s">
        <v>9895</v>
      </c>
      <c r="B108" s="158" t="s">
        <v>8512</v>
      </c>
      <c r="C108" s="6" t="s">
        <v>9896</v>
      </c>
      <c r="D108" s="6"/>
      <c r="E108" s="468" t="s">
        <v>9897</v>
      </c>
      <c r="F108" s="6" t="s">
        <v>9898</v>
      </c>
      <c r="G108" s="6" t="s">
        <v>6132</v>
      </c>
      <c r="H108" s="6" t="s">
        <v>9899</v>
      </c>
      <c r="I108" s="6" t="s">
        <v>9900</v>
      </c>
      <c r="J108" s="6" t="s">
        <v>9901</v>
      </c>
      <c r="K108" s="6" t="s">
        <v>6872</v>
      </c>
      <c r="L108" s="6"/>
      <c r="M108" s="6" t="s">
        <v>6170</v>
      </c>
      <c r="N108" s="6"/>
      <c r="O108" s="6" t="s">
        <v>6370</v>
      </c>
      <c r="P108" s="54"/>
    </row>
    <row r="109" spans="1:16" ht="102">
      <c r="A109" s="6" t="s">
        <v>9902</v>
      </c>
      <c r="B109" s="158" t="s">
        <v>8512</v>
      </c>
      <c r="C109" s="6" t="s">
        <v>9903</v>
      </c>
      <c r="D109" s="6"/>
      <c r="E109" s="468" t="s">
        <v>9904</v>
      </c>
      <c r="F109" s="6" t="s">
        <v>9905</v>
      </c>
      <c r="G109" s="475" t="s">
        <v>1808</v>
      </c>
      <c r="H109" s="6" t="s">
        <v>9071</v>
      </c>
      <c r="I109" s="6"/>
      <c r="J109" s="6" t="s">
        <v>9906</v>
      </c>
      <c r="K109" s="6" t="s">
        <v>6872</v>
      </c>
      <c r="L109" s="6"/>
      <c r="M109" s="6" t="s">
        <v>1824</v>
      </c>
      <c r="N109" s="6"/>
      <c r="O109" s="6"/>
      <c r="P109" s="54"/>
    </row>
    <row r="110" spans="1:16" ht="25.5">
      <c r="A110" s="6" t="s">
        <v>9907</v>
      </c>
      <c r="B110" s="158" t="s">
        <v>8512</v>
      </c>
      <c r="C110" s="6" t="s">
        <v>9908</v>
      </c>
      <c r="D110" s="6"/>
      <c r="E110" s="468" t="s">
        <v>9909</v>
      </c>
      <c r="F110" s="6" t="s">
        <v>9910</v>
      </c>
      <c r="G110" s="475" t="s">
        <v>1808</v>
      </c>
      <c r="H110" s="6" t="s">
        <v>9911</v>
      </c>
      <c r="I110" s="6" t="s">
        <v>3841</v>
      </c>
      <c r="J110" s="6" t="s">
        <v>9912</v>
      </c>
      <c r="K110" s="6" t="s">
        <v>6872</v>
      </c>
      <c r="L110" s="6"/>
      <c r="M110" s="6" t="s">
        <v>6064</v>
      </c>
      <c r="N110" s="6"/>
      <c r="O110" s="6" t="s">
        <v>1847</v>
      </c>
      <c r="P110" s="54"/>
    </row>
    <row r="111" spans="1:16" ht="12.75">
      <c r="A111" s="6"/>
      <c r="B111" s="158"/>
      <c r="C111" s="6"/>
      <c r="D111" s="6"/>
      <c r="E111" s="6"/>
      <c r="F111" s="6"/>
      <c r="G111" s="6"/>
      <c r="H111" s="6"/>
      <c r="I111" s="6"/>
      <c r="J111" s="6"/>
      <c r="K111" s="6"/>
      <c r="L111" s="6"/>
      <c r="M111" s="6"/>
      <c r="N111" s="6"/>
      <c r="O111" s="6"/>
      <c r="P111" s="54"/>
    </row>
    <row r="112" spans="1:16" ht="12.75">
      <c r="A112" s="6"/>
      <c r="B112" s="158"/>
      <c r="C112" s="6"/>
      <c r="D112" s="6"/>
      <c r="E112" s="6"/>
      <c r="F112" s="6"/>
      <c r="G112" s="6"/>
      <c r="H112" s="6"/>
      <c r="I112" s="6"/>
      <c r="J112" s="6"/>
      <c r="K112" s="6"/>
      <c r="L112" s="6"/>
      <c r="M112" s="6"/>
      <c r="N112" s="6"/>
      <c r="O112" s="6"/>
      <c r="P112" s="54"/>
    </row>
    <row r="113" spans="1:16" ht="12.75">
      <c r="A113" s="6"/>
      <c r="B113" s="158"/>
      <c r="C113" s="6"/>
      <c r="D113" s="6"/>
      <c r="E113" s="6"/>
      <c r="F113" s="6"/>
      <c r="G113" s="6"/>
      <c r="H113" s="6"/>
      <c r="I113" s="6"/>
      <c r="J113" s="6"/>
      <c r="K113" s="6"/>
      <c r="L113" s="6"/>
      <c r="M113" s="6"/>
      <c r="N113" s="6"/>
      <c r="O113" s="6"/>
      <c r="P113" s="54"/>
    </row>
    <row r="114" spans="1:16" ht="12.75">
      <c r="A114" s="6"/>
      <c r="B114" s="158"/>
      <c r="C114" s="6"/>
      <c r="D114" s="6"/>
      <c r="E114" s="6"/>
      <c r="F114" s="6"/>
      <c r="G114" s="6"/>
      <c r="H114" s="6"/>
      <c r="I114" s="6"/>
      <c r="J114" s="6"/>
      <c r="K114" s="6"/>
      <c r="L114" s="6"/>
      <c r="M114" s="6"/>
      <c r="N114" s="6"/>
      <c r="O114" s="6"/>
      <c r="P114" s="54"/>
    </row>
    <row r="115" spans="1:16" ht="12.75">
      <c r="A115" s="6"/>
      <c r="B115" s="158"/>
      <c r="C115" s="6"/>
      <c r="D115" s="6"/>
      <c r="E115" s="6"/>
      <c r="F115" s="6"/>
      <c r="G115" s="6"/>
      <c r="H115" s="6"/>
      <c r="I115" s="6"/>
      <c r="J115" s="6"/>
      <c r="K115" s="6"/>
      <c r="L115" s="6"/>
      <c r="M115" s="6"/>
      <c r="N115" s="6"/>
      <c r="O115" s="6"/>
      <c r="P115" s="54"/>
    </row>
    <row r="116" spans="1:16" ht="12.75">
      <c r="A116" s="6"/>
      <c r="B116" s="158"/>
      <c r="C116" s="6"/>
      <c r="D116" s="6"/>
      <c r="E116" s="6"/>
      <c r="F116" s="6"/>
      <c r="G116" s="6"/>
      <c r="H116" s="6"/>
      <c r="I116" s="6"/>
      <c r="J116" s="6"/>
      <c r="K116" s="6"/>
      <c r="L116" s="6"/>
      <c r="M116" s="6"/>
      <c r="N116" s="6"/>
      <c r="O116" s="6"/>
      <c r="P116" s="54"/>
    </row>
    <row r="117" spans="1:16" ht="12.75">
      <c r="A117" s="6"/>
      <c r="B117" s="158"/>
      <c r="C117" s="6"/>
      <c r="D117" s="6"/>
      <c r="E117" s="6"/>
      <c r="F117" s="6"/>
      <c r="G117" s="6"/>
      <c r="H117" s="6"/>
      <c r="I117" s="6"/>
      <c r="J117" s="6"/>
      <c r="K117" s="6"/>
      <c r="L117" s="6"/>
      <c r="M117" s="6"/>
      <c r="N117" s="6"/>
      <c r="O117" s="6"/>
      <c r="P117" s="54"/>
    </row>
    <row r="118" spans="1:16" ht="12.75">
      <c r="A118" s="6"/>
      <c r="B118" s="158"/>
      <c r="C118" s="6"/>
      <c r="D118" s="6"/>
      <c r="E118" s="6"/>
      <c r="F118" s="6"/>
      <c r="G118" s="6"/>
      <c r="H118" s="6"/>
      <c r="I118" s="6"/>
      <c r="J118" s="6"/>
      <c r="K118" s="6"/>
      <c r="L118" s="6"/>
      <c r="M118" s="6"/>
      <c r="N118" s="6"/>
      <c r="O118" s="6"/>
      <c r="P118" s="54"/>
    </row>
    <row r="119" spans="1:16" ht="12.75">
      <c r="A119" s="6"/>
      <c r="B119" s="6"/>
      <c r="C119" s="6"/>
      <c r="D119" s="6"/>
      <c r="E119" s="6"/>
      <c r="F119" s="6"/>
      <c r="G119" s="6"/>
      <c r="H119" s="6"/>
      <c r="I119" s="6"/>
      <c r="J119" s="6"/>
      <c r="K119" s="6"/>
      <c r="L119" s="6"/>
      <c r="M119" s="6"/>
      <c r="N119" s="6"/>
      <c r="O119" s="6"/>
      <c r="P119" s="54"/>
    </row>
    <row r="120" spans="1:16" ht="12.75">
      <c r="A120" s="6"/>
      <c r="B120" s="6"/>
      <c r="C120" s="6"/>
      <c r="D120" s="6"/>
      <c r="E120" s="6"/>
      <c r="F120" s="6"/>
      <c r="G120" s="6"/>
      <c r="H120" s="6"/>
      <c r="I120" s="6"/>
      <c r="J120" s="6"/>
      <c r="K120" s="6"/>
      <c r="L120" s="6"/>
      <c r="M120" s="6"/>
      <c r="N120" s="6"/>
      <c r="O120" s="6"/>
      <c r="P120" s="54"/>
    </row>
    <row r="121" spans="1:16" ht="12.75">
      <c r="A121" s="6"/>
      <c r="B121" s="6"/>
      <c r="C121" s="6"/>
      <c r="D121" s="6"/>
      <c r="E121" s="6"/>
      <c r="F121" s="6"/>
      <c r="G121" s="6"/>
      <c r="H121" s="6"/>
      <c r="I121" s="6"/>
      <c r="J121" s="6"/>
      <c r="K121" s="6"/>
      <c r="L121" s="6"/>
      <c r="M121" s="6"/>
      <c r="N121" s="6"/>
      <c r="O121" s="6"/>
      <c r="P121" s="54"/>
    </row>
    <row r="122" spans="1:16" ht="12.75">
      <c r="A122" s="6"/>
      <c r="B122" s="6"/>
      <c r="C122" s="6"/>
      <c r="D122" s="6"/>
      <c r="E122" s="6"/>
      <c r="F122" s="6"/>
      <c r="G122" s="6"/>
      <c r="H122" s="6"/>
      <c r="I122" s="6"/>
      <c r="J122" s="6"/>
      <c r="K122" s="6"/>
      <c r="L122" s="6"/>
      <c r="M122" s="6"/>
      <c r="N122" s="6"/>
      <c r="O122" s="6"/>
      <c r="P122" s="54"/>
    </row>
    <row r="123" spans="1:16" ht="12.75">
      <c r="A123" s="6"/>
      <c r="B123" s="6"/>
      <c r="C123" s="6"/>
      <c r="D123" s="6"/>
      <c r="E123" s="6"/>
      <c r="F123" s="6"/>
      <c r="G123" s="6"/>
      <c r="H123" s="6"/>
      <c r="I123" s="6"/>
      <c r="J123" s="6"/>
      <c r="K123" s="6"/>
      <c r="L123" s="6"/>
      <c r="M123" s="6"/>
      <c r="N123" s="6"/>
      <c r="O123" s="6"/>
      <c r="P123" s="54"/>
    </row>
    <row r="124" spans="1:16" ht="12.75">
      <c r="A124" s="6"/>
      <c r="B124" s="6"/>
      <c r="C124" s="6"/>
      <c r="D124" s="6"/>
      <c r="E124" s="6"/>
      <c r="F124" s="6"/>
      <c r="G124" s="6"/>
      <c r="H124" s="6"/>
      <c r="I124" s="6"/>
      <c r="J124" s="6"/>
      <c r="K124" s="6"/>
      <c r="L124" s="6"/>
      <c r="M124" s="6"/>
      <c r="N124" s="6"/>
      <c r="O124" s="6"/>
      <c r="P124" s="54"/>
    </row>
    <row r="125" spans="1:16" ht="12.75">
      <c r="A125" s="6"/>
      <c r="B125" s="6"/>
      <c r="C125" s="6"/>
      <c r="D125" s="6"/>
      <c r="E125" s="6"/>
      <c r="F125" s="6"/>
      <c r="G125" s="6"/>
      <c r="H125" s="6"/>
      <c r="I125" s="6"/>
      <c r="J125" s="6"/>
      <c r="K125" s="6"/>
      <c r="L125" s="6"/>
      <c r="M125" s="6"/>
      <c r="N125" s="6"/>
      <c r="O125" s="6"/>
      <c r="P125" s="54"/>
    </row>
    <row r="126" spans="1:16" ht="12.75">
      <c r="A126" s="6"/>
      <c r="B126" s="6"/>
      <c r="C126" s="6"/>
      <c r="D126" s="6"/>
      <c r="E126" s="6"/>
      <c r="F126" s="6"/>
      <c r="G126" s="6"/>
      <c r="H126" s="6"/>
      <c r="I126" s="6"/>
      <c r="J126" s="6"/>
      <c r="K126" s="6"/>
      <c r="L126" s="6"/>
      <c r="M126" s="6"/>
      <c r="N126" s="6"/>
      <c r="O126" s="6"/>
      <c r="P126" s="54"/>
    </row>
    <row r="127" spans="1:16" ht="12.75">
      <c r="A127" s="6"/>
      <c r="B127" s="6"/>
      <c r="C127" s="6"/>
      <c r="D127" s="6"/>
      <c r="E127" s="6"/>
      <c r="F127" s="6"/>
      <c r="G127" s="6"/>
      <c r="H127" s="6"/>
      <c r="I127" s="6"/>
      <c r="J127" s="6"/>
      <c r="K127" s="6"/>
      <c r="L127" s="6"/>
      <c r="M127" s="6"/>
      <c r="N127" s="6"/>
      <c r="O127" s="6"/>
      <c r="P127" s="54"/>
    </row>
    <row r="128" spans="1:16" ht="12.75">
      <c r="A128" s="6"/>
      <c r="B128" s="6"/>
      <c r="C128" s="6"/>
      <c r="D128" s="6"/>
      <c r="E128" s="6"/>
      <c r="F128" s="6"/>
      <c r="G128" s="6"/>
      <c r="H128" s="6"/>
      <c r="I128" s="6"/>
      <c r="J128" s="6"/>
      <c r="K128" s="6"/>
      <c r="L128" s="6"/>
      <c r="M128" s="6"/>
      <c r="N128" s="6"/>
      <c r="O128" s="6"/>
      <c r="P128" s="54"/>
    </row>
    <row r="129" spans="1:16" ht="12.75">
      <c r="A129" s="6"/>
      <c r="B129" s="6"/>
      <c r="C129" s="6"/>
      <c r="D129" s="6"/>
      <c r="E129" s="6"/>
      <c r="F129" s="6"/>
      <c r="G129" s="6"/>
      <c r="H129" s="6"/>
      <c r="I129" s="6"/>
      <c r="J129" s="6"/>
      <c r="K129" s="6"/>
      <c r="L129" s="6"/>
      <c r="M129" s="6"/>
      <c r="N129" s="6"/>
      <c r="O129" s="6"/>
      <c r="P129" s="54"/>
    </row>
    <row r="130" spans="1:16" ht="12.75">
      <c r="A130" s="6"/>
      <c r="B130" s="6"/>
      <c r="C130" s="6"/>
      <c r="D130" s="6"/>
      <c r="E130" s="6"/>
      <c r="F130" s="6"/>
      <c r="G130" s="6"/>
      <c r="H130" s="6"/>
      <c r="I130" s="6"/>
      <c r="J130" s="6"/>
      <c r="K130" s="6"/>
      <c r="L130" s="6"/>
      <c r="M130" s="6"/>
      <c r="N130" s="6"/>
      <c r="O130" s="6"/>
      <c r="P130" s="54"/>
    </row>
    <row r="131" spans="1:16" ht="12.75">
      <c r="A131" s="6"/>
      <c r="B131" s="6"/>
      <c r="C131" s="6"/>
      <c r="D131" s="6"/>
      <c r="E131" s="6"/>
      <c r="F131" s="6"/>
      <c r="G131" s="6"/>
      <c r="H131" s="6"/>
      <c r="I131" s="6"/>
      <c r="J131" s="6"/>
      <c r="K131" s="6"/>
      <c r="L131" s="6"/>
      <c r="M131" s="6"/>
      <c r="N131" s="6"/>
      <c r="O131" s="6"/>
      <c r="P131" s="54"/>
    </row>
    <row r="132" spans="1:16" ht="12.75">
      <c r="A132" s="6"/>
      <c r="B132" s="6"/>
      <c r="C132" s="6"/>
      <c r="D132" s="6"/>
      <c r="E132" s="6"/>
      <c r="F132" s="6"/>
      <c r="G132" s="6"/>
      <c r="H132" s="6"/>
      <c r="I132" s="6"/>
      <c r="J132" s="6"/>
      <c r="K132" s="6"/>
      <c r="L132" s="6"/>
      <c r="M132" s="6"/>
      <c r="N132" s="6"/>
      <c r="O132" s="6"/>
      <c r="P132" s="54"/>
    </row>
    <row r="133" spans="1:16" ht="12.75">
      <c r="A133" s="6"/>
      <c r="B133" s="6"/>
      <c r="C133" s="6"/>
      <c r="D133" s="6"/>
      <c r="E133" s="6"/>
      <c r="F133" s="6"/>
      <c r="G133" s="6"/>
      <c r="H133" s="6"/>
      <c r="I133" s="6"/>
      <c r="J133" s="6"/>
      <c r="K133" s="6"/>
      <c r="L133" s="6"/>
      <c r="M133" s="6"/>
      <c r="N133" s="6"/>
      <c r="O133" s="6"/>
      <c r="P133" s="54"/>
    </row>
    <row r="134" spans="1:16" ht="12.75">
      <c r="A134" s="6"/>
      <c r="B134" s="6"/>
      <c r="C134" s="6"/>
      <c r="D134" s="6"/>
      <c r="E134" s="6"/>
      <c r="F134" s="6"/>
      <c r="G134" s="6"/>
      <c r="H134" s="6"/>
      <c r="I134" s="6"/>
      <c r="J134" s="6"/>
      <c r="K134" s="6"/>
      <c r="L134" s="6"/>
      <c r="M134" s="6"/>
      <c r="N134" s="6"/>
      <c r="O134" s="6"/>
      <c r="P134" s="54"/>
    </row>
    <row r="135" spans="1:16" ht="12.75">
      <c r="A135" s="6"/>
      <c r="B135" s="6"/>
      <c r="C135" s="6"/>
      <c r="D135" s="6"/>
      <c r="E135" s="6"/>
      <c r="F135" s="6"/>
      <c r="G135" s="6"/>
      <c r="H135" s="6"/>
      <c r="I135" s="6"/>
      <c r="J135" s="6"/>
      <c r="K135" s="6"/>
      <c r="L135" s="6"/>
      <c r="M135" s="6"/>
      <c r="N135" s="6"/>
      <c r="O135" s="6"/>
      <c r="P135" s="54"/>
    </row>
    <row r="136" spans="1:16" ht="12.75">
      <c r="A136" s="6"/>
      <c r="B136" s="6"/>
      <c r="C136" s="6"/>
      <c r="D136" s="6"/>
      <c r="E136" s="6"/>
      <c r="F136" s="6"/>
      <c r="G136" s="6"/>
      <c r="H136" s="6"/>
      <c r="I136" s="6"/>
      <c r="J136" s="6"/>
      <c r="K136" s="6"/>
      <c r="L136" s="6"/>
      <c r="M136" s="6"/>
      <c r="N136" s="6"/>
      <c r="O136" s="6"/>
      <c r="P136" s="54"/>
    </row>
    <row r="137" spans="1:16" ht="12.75">
      <c r="A137" s="6"/>
      <c r="B137" s="6"/>
      <c r="C137" s="6"/>
      <c r="D137" s="6"/>
      <c r="E137" s="6"/>
      <c r="F137" s="6"/>
      <c r="G137" s="6"/>
      <c r="H137" s="6"/>
      <c r="I137" s="6"/>
      <c r="J137" s="6"/>
      <c r="K137" s="6"/>
      <c r="L137" s="6"/>
      <c r="M137" s="6"/>
      <c r="N137" s="6"/>
      <c r="O137" s="6"/>
      <c r="P137" s="54"/>
    </row>
    <row r="138" spans="1:16" ht="12.75">
      <c r="A138" s="6"/>
      <c r="B138" s="6"/>
      <c r="C138" s="6"/>
      <c r="D138" s="6"/>
      <c r="E138" s="6"/>
      <c r="F138" s="6"/>
      <c r="G138" s="6"/>
      <c r="H138" s="6"/>
      <c r="I138" s="6"/>
      <c r="J138" s="6"/>
      <c r="K138" s="6"/>
      <c r="L138" s="6"/>
      <c r="M138" s="6"/>
      <c r="N138" s="6"/>
      <c r="O138" s="6"/>
      <c r="P138" s="54"/>
    </row>
    <row r="139" spans="1:16" ht="12.75">
      <c r="A139" s="6"/>
      <c r="B139" s="6"/>
      <c r="C139" s="6"/>
      <c r="D139" s="6"/>
      <c r="E139" s="6"/>
      <c r="F139" s="6"/>
      <c r="G139" s="6"/>
      <c r="H139" s="6"/>
      <c r="I139" s="6"/>
      <c r="J139" s="6"/>
      <c r="K139" s="6"/>
      <c r="L139" s="6"/>
      <c r="M139" s="6"/>
      <c r="N139" s="6"/>
      <c r="O139" s="6"/>
      <c r="P139" s="54"/>
    </row>
    <row r="140" spans="1:16" ht="12.75">
      <c r="A140" s="6"/>
      <c r="B140" s="6"/>
      <c r="C140" s="6"/>
      <c r="D140" s="6"/>
      <c r="E140" s="6"/>
      <c r="F140" s="6"/>
      <c r="G140" s="6"/>
      <c r="H140" s="6"/>
      <c r="I140" s="6"/>
      <c r="J140" s="6"/>
      <c r="K140" s="6"/>
      <c r="L140" s="6"/>
      <c r="M140" s="6"/>
      <c r="N140" s="6"/>
      <c r="O140" s="6"/>
      <c r="P140" s="54"/>
    </row>
    <row r="141" spans="1:16" ht="12.75">
      <c r="A141" s="6"/>
      <c r="B141" s="6"/>
      <c r="C141" s="6"/>
      <c r="D141" s="6"/>
      <c r="E141" s="6"/>
      <c r="F141" s="6"/>
      <c r="G141" s="6"/>
      <c r="H141" s="6"/>
      <c r="I141" s="6"/>
      <c r="J141" s="6"/>
      <c r="K141" s="6"/>
      <c r="L141" s="6"/>
      <c r="M141" s="6"/>
      <c r="N141" s="6"/>
      <c r="O141" s="6"/>
      <c r="P141" s="54"/>
    </row>
    <row r="142" spans="1:16" ht="12.75">
      <c r="A142" s="6"/>
      <c r="B142" s="6"/>
      <c r="C142" s="6"/>
      <c r="D142" s="6"/>
      <c r="E142" s="6"/>
      <c r="F142" s="6"/>
      <c r="G142" s="6"/>
      <c r="H142" s="6"/>
      <c r="I142" s="6"/>
      <c r="J142" s="6"/>
      <c r="K142" s="6"/>
      <c r="L142" s="6"/>
      <c r="M142" s="6"/>
      <c r="N142" s="6"/>
      <c r="O142" s="6"/>
      <c r="P142" s="54"/>
    </row>
    <row r="143" spans="1:16" ht="12.75">
      <c r="A143" s="6"/>
      <c r="B143" s="6"/>
      <c r="C143" s="6"/>
      <c r="D143" s="6"/>
      <c r="E143" s="6"/>
      <c r="F143" s="6"/>
      <c r="G143" s="6"/>
      <c r="H143" s="6"/>
      <c r="I143" s="6"/>
      <c r="J143" s="6"/>
      <c r="K143" s="6"/>
      <c r="L143" s="6"/>
      <c r="M143" s="6"/>
      <c r="N143" s="6"/>
      <c r="O143" s="6"/>
      <c r="P143" s="54"/>
    </row>
    <row r="144" spans="1:16" ht="12.75">
      <c r="A144" s="6"/>
      <c r="B144" s="6"/>
      <c r="C144" s="6"/>
      <c r="D144" s="6"/>
      <c r="E144" s="6"/>
      <c r="F144" s="6"/>
      <c r="G144" s="6"/>
      <c r="H144" s="6"/>
      <c r="I144" s="6"/>
      <c r="J144" s="6"/>
      <c r="K144" s="6"/>
      <c r="L144" s="6"/>
      <c r="M144" s="6"/>
      <c r="N144" s="6"/>
      <c r="O144" s="6"/>
      <c r="P144" s="54"/>
    </row>
    <row r="145" spans="1:16" ht="12.75">
      <c r="A145" s="6"/>
      <c r="B145" s="6"/>
      <c r="C145" s="6"/>
      <c r="D145" s="6"/>
      <c r="E145" s="6"/>
      <c r="F145" s="6"/>
      <c r="G145" s="6"/>
      <c r="H145" s="6"/>
      <c r="I145" s="6"/>
      <c r="J145" s="6"/>
      <c r="K145" s="6"/>
      <c r="L145" s="6"/>
      <c r="M145" s="6"/>
      <c r="N145" s="6"/>
      <c r="O145" s="6"/>
      <c r="P145" s="54"/>
    </row>
    <row r="146" spans="1:16" ht="12.75">
      <c r="A146" s="6"/>
      <c r="B146" s="6"/>
      <c r="C146" s="6"/>
      <c r="D146" s="6"/>
      <c r="E146" s="6"/>
      <c r="F146" s="6"/>
      <c r="G146" s="6"/>
      <c r="H146" s="6"/>
      <c r="I146" s="6"/>
      <c r="J146" s="6"/>
      <c r="K146" s="6"/>
      <c r="L146" s="6"/>
      <c r="M146" s="6"/>
      <c r="N146" s="6"/>
      <c r="O146" s="6"/>
      <c r="P146" s="54"/>
    </row>
    <row r="147" spans="1:16" ht="12.75">
      <c r="A147" s="6"/>
      <c r="B147" s="6"/>
      <c r="C147" s="6"/>
      <c r="D147" s="6"/>
      <c r="E147" s="6"/>
      <c r="F147" s="6"/>
      <c r="G147" s="6"/>
      <c r="H147" s="6"/>
      <c r="I147" s="6"/>
      <c r="J147" s="6"/>
      <c r="K147" s="6"/>
      <c r="L147" s="6"/>
      <c r="M147" s="6"/>
      <c r="N147" s="6"/>
      <c r="O147" s="6"/>
      <c r="P147" s="54"/>
    </row>
    <row r="148" spans="1:16" ht="12.75">
      <c r="A148" s="6"/>
      <c r="B148" s="6"/>
      <c r="C148" s="6"/>
      <c r="D148" s="6"/>
      <c r="E148" s="6"/>
      <c r="F148" s="6"/>
      <c r="G148" s="6"/>
      <c r="H148" s="6"/>
      <c r="I148" s="6"/>
      <c r="J148" s="6"/>
      <c r="K148" s="6"/>
      <c r="L148" s="6"/>
      <c r="M148" s="6"/>
      <c r="N148" s="6"/>
      <c r="O148" s="6"/>
      <c r="P148" s="54"/>
    </row>
    <row r="149" spans="1:16" ht="12.75">
      <c r="A149" s="6"/>
      <c r="B149" s="6"/>
      <c r="C149" s="6"/>
      <c r="D149" s="6"/>
      <c r="E149" s="6"/>
      <c r="F149" s="6"/>
      <c r="G149" s="6"/>
      <c r="H149" s="6"/>
      <c r="I149" s="6"/>
      <c r="J149" s="6"/>
      <c r="K149" s="6"/>
      <c r="L149" s="6"/>
      <c r="M149" s="6"/>
      <c r="N149" s="6"/>
      <c r="O149" s="6"/>
      <c r="P149" s="54"/>
    </row>
    <row r="150" spans="1:16" ht="12.75">
      <c r="A150" s="6"/>
      <c r="B150" s="6"/>
      <c r="C150" s="6"/>
      <c r="D150" s="6"/>
      <c r="E150" s="6"/>
      <c r="F150" s="6"/>
      <c r="G150" s="6"/>
      <c r="H150" s="6"/>
      <c r="I150" s="6"/>
      <c r="J150" s="6"/>
      <c r="K150" s="6"/>
      <c r="L150" s="6"/>
      <c r="M150" s="6"/>
      <c r="N150" s="6"/>
      <c r="O150" s="6"/>
      <c r="P150" s="54"/>
    </row>
    <row r="151" spans="1:16" ht="12.75">
      <c r="A151" s="6"/>
      <c r="B151" s="6"/>
      <c r="C151" s="6"/>
      <c r="D151" s="6"/>
      <c r="E151" s="6"/>
      <c r="F151" s="6"/>
      <c r="G151" s="6"/>
      <c r="H151" s="6"/>
      <c r="I151" s="6"/>
      <c r="J151" s="6"/>
      <c r="K151" s="6"/>
      <c r="L151" s="6"/>
      <c r="M151" s="6"/>
      <c r="N151" s="6"/>
      <c r="O151" s="6"/>
      <c r="P151" s="54"/>
    </row>
  </sheetData>
  <hyperlinks>
    <hyperlink ref="D2" r:id="rId1" xr:uid="{00000000-0004-0000-1E00-000000000000}"/>
    <hyperlink ref="E2" r:id="rId2" xr:uid="{00000000-0004-0000-1E00-000001000000}"/>
    <hyperlink ref="D3" r:id="rId3" xr:uid="{00000000-0004-0000-1E00-000002000000}"/>
    <hyperlink ref="E3" r:id="rId4" xr:uid="{00000000-0004-0000-1E00-000003000000}"/>
    <hyperlink ref="D4" r:id="rId5" xr:uid="{00000000-0004-0000-1E00-000004000000}"/>
    <hyperlink ref="E4" r:id="rId6" xr:uid="{00000000-0004-0000-1E00-000005000000}"/>
    <hyperlink ref="D5" r:id="rId7" xr:uid="{00000000-0004-0000-1E00-000006000000}"/>
    <hyperlink ref="E5" r:id="rId8" xr:uid="{00000000-0004-0000-1E00-000007000000}"/>
    <hyperlink ref="D6" r:id="rId9" xr:uid="{00000000-0004-0000-1E00-000008000000}"/>
    <hyperlink ref="E6" r:id="rId10" xr:uid="{00000000-0004-0000-1E00-000009000000}"/>
    <hyperlink ref="D7" r:id="rId11" xr:uid="{00000000-0004-0000-1E00-00000A000000}"/>
    <hyperlink ref="E7" r:id="rId12" xr:uid="{00000000-0004-0000-1E00-00000B000000}"/>
    <hyperlink ref="D8" r:id="rId13" xr:uid="{00000000-0004-0000-1E00-00000C000000}"/>
    <hyperlink ref="E8" r:id="rId14" xr:uid="{00000000-0004-0000-1E00-00000D000000}"/>
    <hyperlink ref="D9" r:id="rId15" xr:uid="{00000000-0004-0000-1E00-00000E000000}"/>
    <hyperlink ref="E9" r:id="rId16" xr:uid="{00000000-0004-0000-1E00-00000F000000}"/>
    <hyperlink ref="D10" r:id="rId17" xr:uid="{00000000-0004-0000-1E00-000010000000}"/>
    <hyperlink ref="E10" r:id="rId18" xr:uid="{00000000-0004-0000-1E00-000011000000}"/>
    <hyperlink ref="D11" r:id="rId19" xr:uid="{00000000-0004-0000-1E00-000012000000}"/>
    <hyperlink ref="E11" r:id="rId20" xr:uid="{00000000-0004-0000-1E00-000013000000}"/>
    <hyperlink ref="D12" r:id="rId21" xr:uid="{00000000-0004-0000-1E00-000014000000}"/>
    <hyperlink ref="E12" r:id="rId22" xr:uid="{00000000-0004-0000-1E00-000015000000}"/>
    <hyperlink ref="D13" r:id="rId23" xr:uid="{00000000-0004-0000-1E00-000016000000}"/>
    <hyperlink ref="E13" r:id="rId24" xr:uid="{00000000-0004-0000-1E00-000017000000}"/>
    <hyperlink ref="D14" r:id="rId25" xr:uid="{00000000-0004-0000-1E00-000018000000}"/>
    <hyperlink ref="E14" r:id="rId26" xr:uid="{00000000-0004-0000-1E00-000019000000}"/>
    <hyperlink ref="D15" r:id="rId27" xr:uid="{00000000-0004-0000-1E00-00001A000000}"/>
    <hyperlink ref="E15" r:id="rId28" xr:uid="{00000000-0004-0000-1E00-00001B000000}"/>
    <hyperlink ref="D16" r:id="rId29" xr:uid="{00000000-0004-0000-1E00-00001C000000}"/>
    <hyperlink ref="E16" r:id="rId30" xr:uid="{00000000-0004-0000-1E00-00001D000000}"/>
    <hyperlink ref="D17" r:id="rId31" xr:uid="{00000000-0004-0000-1E00-00001E000000}"/>
    <hyperlink ref="E17" r:id="rId32" xr:uid="{00000000-0004-0000-1E00-00001F000000}"/>
    <hyperlink ref="D18" r:id="rId33" xr:uid="{00000000-0004-0000-1E00-000020000000}"/>
    <hyperlink ref="E18" r:id="rId34" xr:uid="{00000000-0004-0000-1E00-000021000000}"/>
    <hyperlink ref="D19" r:id="rId35" xr:uid="{00000000-0004-0000-1E00-000022000000}"/>
    <hyperlink ref="E19" r:id="rId36" xr:uid="{00000000-0004-0000-1E00-000023000000}"/>
    <hyperlink ref="D20" r:id="rId37" xr:uid="{00000000-0004-0000-1E00-000024000000}"/>
    <hyperlink ref="E20" r:id="rId38" xr:uid="{00000000-0004-0000-1E00-000025000000}"/>
    <hyperlink ref="D21" r:id="rId39" xr:uid="{00000000-0004-0000-1E00-000026000000}"/>
    <hyperlink ref="E21" r:id="rId40" xr:uid="{00000000-0004-0000-1E00-000027000000}"/>
    <hyperlink ref="D22" r:id="rId41" xr:uid="{00000000-0004-0000-1E00-000028000000}"/>
    <hyperlink ref="E22" r:id="rId42" xr:uid="{00000000-0004-0000-1E00-000029000000}"/>
    <hyperlink ref="D23" r:id="rId43" xr:uid="{00000000-0004-0000-1E00-00002A000000}"/>
    <hyperlink ref="E23" r:id="rId44" xr:uid="{00000000-0004-0000-1E00-00002B000000}"/>
    <hyperlink ref="D24" r:id="rId45" xr:uid="{00000000-0004-0000-1E00-00002C000000}"/>
    <hyperlink ref="E24" r:id="rId46" xr:uid="{00000000-0004-0000-1E00-00002D000000}"/>
    <hyperlink ref="D25" r:id="rId47" xr:uid="{00000000-0004-0000-1E00-00002E000000}"/>
    <hyperlink ref="E25" r:id="rId48" xr:uid="{00000000-0004-0000-1E00-00002F000000}"/>
    <hyperlink ref="D26" r:id="rId49" xr:uid="{00000000-0004-0000-1E00-000030000000}"/>
    <hyperlink ref="E26" r:id="rId50" xr:uid="{00000000-0004-0000-1E00-000031000000}"/>
    <hyperlink ref="D27" r:id="rId51" xr:uid="{00000000-0004-0000-1E00-000032000000}"/>
    <hyperlink ref="E27" r:id="rId52" xr:uid="{00000000-0004-0000-1E00-000033000000}"/>
    <hyperlink ref="D28" r:id="rId53" xr:uid="{00000000-0004-0000-1E00-000034000000}"/>
    <hyperlink ref="E28" r:id="rId54" xr:uid="{00000000-0004-0000-1E00-000035000000}"/>
    <hyperlink ref="D29" r:id="rId55" xr:uid="{00000000-0004-0000-1E00-000036000000}"/>
    <hyperlink ref="E29" r:id="rId56" xr:uid="{00000000-0004-0000-1E00-000037000000}"/>
    <hyperlink ref="D30" r:id="rId57" xr:uid="{00000000-0004-0000-1E00-000038000000}"/>
    <hyperlink ref="E30" r:id="rId58" xr:uid="{00000000-0004-0000-1E00-000039000000}"/>
    <hyperlink ref="D31" r:id="rId59" xr:uid="{00000000-0004-0000-1E00-00003A000000}"/>
    <hyperlink ref="E31" r:id="rId60" xr:uid="{00000000-0004-0000-1E00-00003B000000}"/>
    <hyperlink ref="D32" r:id="rId61" xr:uid="{00000000-0004-0000-1E00-00003C000000}"/>
    <hyperlink ref="E32" r:id="rId62" xr:uid="{00000000-0004-0000-1E00-00003D000000}"/>
    <hyperlink ref="D33" r:id="rId63" xr:uid="{00000000-0004-0000-1E00-00003E000000}"/>
    <hyperlink ref="E33" r:id="rId64" xr:uid="{00000000-0004-0000-1E00-00003F000000}"/>
    <hyperlink ref="D34" r:id="rId65" xr:uid="{00000000-0004-0000-1E00-000040000000}"/>
    <hyperlink ref="E34" r:id="rId66" xr:uid="{00000000-0004-0000-1E00-000041000000}"/>
    <hyperlink ref="D35" r:id="rId67" xr:uid="{00000000-0004-0000-1E00-000042000000}"/>
    <hyperlink ref="E35" r:id="rId68" xr:uid="{00000000-0004-0000-1E00-000043000000}"/>
    <hyperlink ref="E37" r:id="rId69" xr:uid="{00000000-0004-0000-1E00-000044000000}"/>
    <hyperlink ref="E38" r:id="rId70" xr:uid="{00000000-0004-0000-1E00-000045000000}"/>
    <hyperlink ref="E39" r:id="rId71" xr:uid="{00000000-0004-0000-1E00-000046000000}"/>
    <hyperlink ref="E40" r:id="rId72" xr:uid="{00000000-0004-0000-1E00-000047000000}"/>
    <hyperlink ref="E41" r:id="rId73" xr:uid="{00000000-0004-0000-1E00-000048000000}"/>
    <hyperlink ref="E42" r:id="rId74" xr:uid="{00000000-0004-0000-1E00-000049000000}"/>
    <hyperlink ref="E43" r:id="rId75" xr:uid="{00000000-0004-0000-1E00-00004A000000}"/>
    <hyperlink ref="E44" r:id="rId76" xr:uid="{00000000-0004-0000-1E00-00004B000000}"/>
    <hyperlink ref="E45" r:id="rId77" xr:uid="{00000000-0004-0000-1E00-00004C000000}"/>
    <hyperlink ref="E46" r:id="rId78" xr:uid="{00000000-0004-0000-1E00-00004D000000}"/>
    <hyperlink ref="E47" r:id="rId79" xr:uid="{00000000-0004-0000-1E00-00004E000000}"/>
    <hyperlink ref="E48" r:id="rId80" xr:uid="{00000000-0004-0000-1E00-00004F000000}"/>
    <hyperlink ref="E49" r:id="rId81" xr:uid="{00000000-0004-0000-1E00-000050000000}"/>
    <hyperlink ref="E50" r:id="rId82" xr:uid="{00000000-0004-0000-1E00-000051000000}"/>
    <hyperlink ref="E52" r:id="rId83" xr:uid="{00000000-0004-0000-1E00-000052000000}"/>
    <hyperlink ref="E53" r:id="rId84" xr:uid="{00000000-0004-0000-1E00-000053000000}"/>
    <hyperlink ref="E54" r:id="rId85" xr:uid="{00000000-0004-0000-1E00-000054000000}"/>
    <hyperlink ref="E55" r:id="rId86" xr:uid="{00000000-0004-0000-1E00-000055000000}"/>
    <hyperlink ref="E56" r:id="rId87" xr:uid="{00000000-0004-0000-1E00-000056000000}"/>
    <hyperlink ref="E57" r:id="rId88" xr:uid="{00000000-0004-0000-1E00-000057000000}"/>
    <hyperlink ref="E58" r:id="rId89" xr:uid="{00000000-0004-0000-1E00-000058000000}"/>
    <hyperlink ref="E59" r:id="rId90" xr:uid="{00000000-0004-0000-1E00-000059000000}"/>
    <hyperlink ref="E60" r:id="rId91" xr:uid="{00000000-0004-0000-1E00-00005A000000}"/>
    <hyperlink ref="E61" r:id="rId92" xr:uid="{00000000-0004-0000-1E00-00005B000000}"/>
    <hyperlink ref="E62" r:id="rId93" xr:uid="{00000000-0004-0000-1E00-00005C000000}"/>
    <hyperlink ref="E63" r:id="rId94" xr:uid="{00000000-0004-0000-1E00-00005D000000}"/>
    <hyperlink ref="E64" r:id="rId95" xr:uid="{00000000-0004-0000-1E00-00005E000000}"/>
    <hyperlink ref="E65" r:id="rId96" xr:uid="{00000000-0004-0000-1E00-00005F000000}"/>
    <hyperlink ref="E66" r:id="rId97" xr:uid="{00000000-0004-0000-1E00-000060000000}"/>
    <hyperlink ref="E67" r:id="rId98" xr:uid="{00000000-0004-0000-1E00-000061000000}"/>
    <hyperlink ref="E68" r:id="rId99" xr:uid="{00000000-0004-0000-1E00-000062000000}"/>
    <hyperlink ref="E69" r:id="rId100" xr:uid="{00000000-0004-0000-1E00-000063000000}"/>
    <hyperlink ref="E72" r:id="rId101" xr:uid="{00000000-0004-0000-1E00-000064000000}"/>
    <hyperlink ref="E73" r:id="rId102" xr:uid="{00000000-0004-0000-1E00-000065000000}"/>
    <hyperlink ref="E75" r:id="rId103" xr:uid="{00000000-0004-0000-1E00-000066000000}"/>
    <hyperlink ref="E76" r:id="rId104" xr:uid="{00000000-0004-0000-1E00-000067000000}"/>
    <hyperlink ref="E77" r:id="rId105" xr:uid="{00000000-0004-0000-1E00-000068000000}"/>
    <hyperlink ref="E78" r:id="rId106" xr:uid="{00000000-0004-0000-1E00-000069000000}"/>
    <hyperlink ref="E79" r:id="rId107" xr:uid="{00000000-0004-0000-1E00-00006A000000}"/>
    <hyperlink ref="E80" r:id="rId108" xr:uid="{00000000-0004-0000-1E00-00006B000000}"/>
    <hyperlink ref="E81" r:id="rId109" xr:uid="{00000000-0004-0000-1E00-00006C000000}"/>
    <hyperlink ref="E82" r:id="rId110" xr:uid="{00000000-0004-0000-1E00-00006D000000}"/>
    <hyperlink ref="E83" r:id="rId111" xr:uid="{00000000-0004-0000-1E00-00006E000000}"/>
    <hyperlink ref="E84" r:id="rId112" xr:uid="{00000000-0004-0000-1E00-00006F000000}"/>
    <hyperlink ref="E85" r:id="rId113" xr:uid="{00000000-0004-0000-1E00-000070000000}"/>
    <hyperlink ref="E86" r:id="rId114" xr:uid="{00000000-0004-0000-1E00-000071000000}"/>
    <hyperlink ref="E87" r:id="rId115" xr:uid="{00000000-0004-0000-1E00-000072000000}"/>
    <hyperlink ref="E88" r:id="rId116" xr:uid="{00000000-0004-0000-1E00-000073000000}"/>
    <hyperlink ref="E89" r:id="rId117" xr:uid="{00000000-0004-0000-1E00-000074000000}"/>
    <hyperlink ref="E90" r:id="rId118" xr:uid="{00000000-0004-0000-1E00-000075000000}"/>
    <hyperlink ref="E91" r:id="rId119" xr:uid="{00000000-0004-0000-1E00-000076000000}"/>
    <hyperlink ref="E92" r:id="rId120" xr:uid="{00000000-0004-0000-1E00-000077000000}"/>
    <hyperlink ref="E93" r:id="rId121" xr:uid="{00000000-0004-0000-1E00-000078000000}"/>
    <hyperlink ref="E94" r:id="rId122" xr:uid="{00000000-0004-0000-1E00-000079000000}"/>
    <hyperlink ref="E95" r:id="rId123" xr:uid="{00000000-0004-0000-1E00-00007A000000}"/>
    <hyperlink ref="E96" r:id="rId124" xr:uid="{00000000-0004-0000-1E00-00007B000000}"/>
    <hyperlink ref="E97" r:id="rId125" xr:uid="{00000000-0004-0000-1E00-00007C000000}"/>
    <hyperlink ref="E98" r:id="rId126" xr:uid="{00000000-0004-0000-1E00-00007D000000}"/>
    <hyperlink ref="E99" r:id="rId127" xr:uid="{00000000-0004-0000-1E00-00007E000000}"/>
    <hyperlink ref="E100" r:id="rId128" xr:uid="{00000000-0004-0000-1E00-00007F000000}"/>
    <hyperlink ref="E101" r:id="rId129" xr:uid="{00000000-0004-0000-1E00-000080000000}"/>
    <hyperlink ref="E102" r:id="rId130" xr:uid="{00000000-0004-0000-1E00-000081000000}"/>
    <hyperlink ref="E103" r:id="rId131" xr:uid="{00000000-0004-0000-1E00-000082000000}"/>
    <hyperlink ref="E104" r:id="rId132" xr:uid="{00000000-0004-0000-1E00-000083000000}"/>
    <hyperlink ref="E105" r:id="rId133" xr:uid="{00000000-0004-0000-1E00-000084000000}"/>
    <hyperlink ref="E106" r:id="rId134" xr:uid="{00000000-0004-0000-1E00-000085000000}"/>
    <hyperlink ref="E107" r:id="rId135" xr:uid="{00000000-0004-0000-1E00-000086000000}"/>
    <hyperlink ref="E108" r:id="rId136" xr:uid="{00000000-0004-0000-1E00-000087000000}"/>
    <hyperlink ref="E109" r:id="rId137" xr:uid="{00000000-0004-0000-1E00-000088000000}"/>
    <hyperlink ref="E110" r:id="rId138" xr:uid="{00000000-0004-0000-1E00-000089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D1001"/>
  <sheetViews>
    <sheetView workbookViewId="0"/>
  </sheetViews>
  <sheetFormatPr defaultColWidth="12.5703125" defaultRowHeight="15.75" customHeight="1"/>
  <cols>
    <col min="1" max="1" width="22.5703125" customWidth="1"/>
    <col min="2" max="2" width="16.7109375" hidden="1" customWidth="1"/>
    <col min="3" max="3" width="16.7109375" customWidth="1"/>
    <col min="4" max="4" width="16.28515625" customWidth="1"/>
  </cols>
  <sheetData>
    <row r="1" spans="1:4">
      <c r="A1" s="565" t="s">
        <v>9913</v>
      </c>
      <c r="B1" s="210" t="s">
        <v>9914</v>
      </c>
      <c r="C1" s="565" t="s">
        <v>9915</v>
      </c>
      <c r="D1" s="566" t="s">
        <v>9916</v>
      </c>
    </row>
    <row r="2" spans="1:4">
      <c r="A2" s="567" t="s">
        <v>62</v>
      </c>
      <c r="B2" s="179">
        <v>5</v>
      </c>
      <c r="C2" s="179" t="e">
        <f>'[1]Statistics-10 years'!P14</f>
        <v>#REF!</v>
      </c>
      <c r="D2" s="53" t="e">
        <f>'[1]Statistics-10 years'!P15</f>
        <v>#REF!</v>
      </c>
    </row>
    <row r="3" spans="1:4">
      <c r="A3" s="568" t="s">
        <v>9917</v>
      </c>
      <c r="B3" s="179">
        <v>7</v>
      </c>
      <c r="C3" s="179" t="e">
        <f>'[1]Statistics-10 years'!P40</f>
        <v>#REF!</v>
      </c>
      <c r="D3" s="53" t="e">
        <f>'[1]Statistics-10 years'!P41</f>
        <v>#REF!</v>
      </c>
    </row>
    <row r="4" spans="1:4">
      <c r="A4" s="567" t="s">
        <v>1383</v>
      </c>
      <c r="B4" s="179">
        <v>4</v>
      </c>
      <c r="C4" s="179" t="e">
        <f>'[1]Statistics-10 years'!P60</f>
        <v>#REF!</v>
      </c>
      <c r="D4" s="53" t="e">
        <f>'[1]Statistics-10 years'!P61</f>
        <v>#REF!</v>
      </c>
    </row>
    <row r="5" spans="1:4">
      <c r="A5" s="569" t="s">
        <v>6056</v>
      </c>
      <c r="B5" s="570"/>
      <c r="C5" s="570" t="e">
        <f t="shared" ref="C5:D5" si="0">SUM(C2:C4)</f>
        <v>#REF!</v>
      </c>
      <c r="D5" s="571" t="e">
        <f t="shared" si="0"/>
        <v>#REF!</v>
      </c>
    </row>
    <row r="6" spans="1:4">
      <c r="A6" s="105"/>
      <c r="B6" s="304"/>
      <c r="C6" s="304"/>
      <c r="D6" s="43"/>
    </row>
    <row r="7" spans="1:4">
      <c r="A7" s="567" t="s">
        <v>9918</v>
      </c>
      <c r="B7" s="179"/>
      <c r="C7" s="179"/>
      <c r="D7" s="53"/>
    </row>
    <row r="8" spans="1:4">
      <c r="A8" s="816" t="s">
        <v>62</v>
      </c>
      <c r="B8" s="52"/>
      <c r="C8" s="179">
        <v>1</v>
      </c>
      <c r="D8" s="58">
        <v>302825.5</v>
      </c>
    </row>
    <row r="9" spans="1:4">
      <c r="A9" s="817"/>
      <c r="B9" s="52"/>
      <c r="C9" s="179">
        <v>1</v>
      </c>
      <c r="D9" s="179" t="s">
        <v>9919</v>
      </c>
    </row>
    <row r="10" spans="1:4">
      <c r="A10" s="567" t="s">
        <v>85</v>
      </c>
      <c r="B10" s="52"/>
      <c r="C10" s="179">
        <v>2</v>
      </c>
      <c r="D10" s="179" t="s">
        <v>9919</v>
      </c>
    </row>
    <row r="11" spans="1:4">
      <c r="A11" s="569" t="s">
        <v>6056</v>
      </c>
      <c r="B11" s="179"/>
      <c r="C11" s="570">
        <f>C10+C9+C8</f>
        <v>4</v>
      </c>
      <c r="D11" s="572">
        <v>302825.5</v>
      </c>
    </row>
    <row r="12" spans="1:4" ht="15.75" customHeight="1">
      <c r="A12" s="573"/>
      <c r="B12" s="304"/>
      <c r="C12" s="105"/>
      <c r="D12" s="574" t="e">
        <f>D11+D5</f>
        <v>#REF!</v>
      </c>
    </row>
    <row r="13" spans="1:4">
      <c r="A13" s="105"/>
      <c r="B13" s="304"/>
      <c r="C13" s="105"/>
    </row>
    <row r="14" spans="1:4">
      <c r="A14" s="105"/>
      <c r="B14" s="304"/>
      <c r="C14" s="105"/>
    </row>
    <row r="15" spans="1:4">
      <c r="A15" s="105"/>
      <c r="B15" s="304"/>
      <c r="C15" s="105"/>
    </row>
    <row r="16" spans="1:4">
      <c r="A16" s="105"/>
      <c r="B16" s="304"/>
      <c r="C16" s="105"/>
    </row>
    <row r="17" spans="1:3">
      <c r="A17" s="105"/>
      <c r="B17" s="105"/>
      <c r="C17" s="105"/>
    </row>
    <row r="18" spans="1:3">
      <c r="A18" s="105"/>
      <c r="B18" s="105"/>
      <c r="C18" s="105"/>
    </row>
    <row r="19" spans="1:3">
      <c r="A19" s="105"/>
      <c r="B19" s="105"/>
      <c r="C19" s="105"/>
    </row>
    <row r="20" spans="1:3">
      <c r="A20" s="105"/>
      <c r="B20" s="105"/>
      <c r="C20" s="105"/>
    </row>
    <row r="21" spans="1:3">
      <c r="A21" s="105"/>
      <c r="B21" s="105"/>
      <c r="C21" s="105"/>
    </row>
    <row r="22" spans="1:3">
      <c r="A22" s="105"/>
      <c r="B22" s="105"/>
      <c r="C22" s="105"/>
    </row>
    <row r="23" spans="1:3">
      <c r="A23" s="105"/>
      <c r="B23" s="105"/>
      <c r="C23" s="105"/>
    </row>
    <row r="24" spans="1:3">
      <c r="A24" s="105"/>
      <c r="B24" s="105"/>
      <c r="C24" s="105"/>
    </row>
    <row r="25" spans="1:3">
      <c r="A25" s="105"/>
      <c r="B25" s="105"/>
      <c r="C25" s="105"/>
    </row>
    <row r="26" spans="1:3">
      <c r="A26" s="105"/>
      <c r="B26" s="105"/>
      <c r="C26" s="105"/>
    </row>
    <row r="27" spans="1:3">
      <c r="A27" s="105"/>
      <c r="B27" s="105"/>
      <c r="C27" s="105"/>
    </row>
    <row r="28" spans="1:3">
      <c r="A28" s="105"/>
      <c r="B28" s="105"/>
      <c r="C28" s="105"/>
    </row>
    <row r="29" spans="1:3">
      <c r="A29" s="105"/>
      <c r="B29" s="105"/>
      <c r="C29" s="105"/>
    </row>
    <row r="30" spans="1:3">
      <c r="A30" s="105"/>
      <c r="B30" s="105"/>
      <c r="C30" s="105"/>
    </row>
    <row r="31" spans="1:3">
      <c r="A31" s="105"/>
      <c r="B31" s="105"/>
      <c r="C31" s="105"/>
    </row>
    <row r="32" spans="1:3">
      <c r="A32" s="105"/>
      <c r="B32" s="105"/>
      <c r="C32" s="105"/>
    </row>
    <row r="33" spans="1:3">
      <c r="A33" s="105"/>
      <c r="B33" s="105"/>
      <c r="C33" s="105"/>
    </row>
    <row r="34" spans="1:3">
      <c r="A34" s="105"/>
      <c r="B34" s="105"/>
      <c r="C34" s="105"/>
    </row>
    <row r="35" spans="1:3">
      <c r="A35" s="105"/>
      <c r="B35" s="105"/>
      <c r="C35" s="105"/>
    </row>
    <row r="36" spans="1:3">
      <c r="A36" s="105"/>
      <c r="B36" s="105"/>
      <c r="C36" s="105"/>
    </row>
    <row r="37" spans="1:3" ht="12.75">
      <c r="A37" s="105"/>
      <c r="B37" s="105"/>
      <c r="C37" s="105"/>
    </row>
    <row r="38" spans="1:3" ht="12.75">
      <c r="A38" s="105"/>
      <c r="B38" s="105"/>
      <c r="C38" s="105"/>
    </row>
    <row r="39" spans="1:3" ht="12.75">
      <c r="A39" s="105"/>
      <c r="B39" s="105"/>
      <c r="C39" s="105"/>
    </row>
    <row r="40" spans="1:3" ht="12.75">
      <c r="A40" s="105"/>
      <c r="B40" s="105"/>
      <c r="C40" s="105"/>
    </row>
    <row r="41" spans="1:3" ht="12.75">
      <c r="A41" s="105"/>
      <c r="B41" s="105"/>
      <c r="C41" s="105"/>
    </row>
    <row r="42" spans="1:3" ht="12.75">
      <c r="A42" s="105"/>
      <c r="B42" s="105"/>
      <c r="C42" s="105"/>
    </row>
    <row r="43" spans="1:3" ht="12.75">
      <c r="A43" s="105"/>
      <c r="B43" s="105"/>
      <c r="C43" s="105"/>
    </row>
    <row r="44" spans="1:3" ht="12.75">
      <c r="A44" s="105"/>
      <c r="B44" s="105"/>
      <c r="C44" s="105"/>
    </row>
    <row r="45" spans="1:3" ht="12.75">
      <c r="A45" s="105"/>
      <c r="B45" s="105"/>
      <c r="C45" s="105"/>
    </row>
    <row r="46" spans="1:3" ht="12.75">
      <c r="A46" s="105"/>
      <c r="B46" s="105"/>
      <c r="C46" s="105"/>
    </row>
    <row r="47" spans="1:3" ht="12.75">
      <c r="A47" s="105"/>
      <c r="B47" s="105"/>
      <c r="C47" s="105"/>
    </row>
    <row r="48" spans="1:3" ht="12.75">
      <c r="A48" s="105"/>
      <c r="B48" s="105"/>
      <c r="C48" s="105"/>
    </row>
    <row r="49" spans="1:3" ht="12.75">
      <c r="A49" s="105"/>
      <c r="B49" s="105"/>
      <c r="C49" s="105"/>
    </row>
    <row r="50" spans="1:3" ht="12.75">
      <c r="A50" s="105"/>
      <c r="B50" s="105"/>
      <c r="C50" s="105"/>
    </row>
    <row r="51" spans="1:3" ht="12.75">
      <c r="A51" s="105"/>
      <c r="B51" s="105"/>
      <c r="C51" s="105"/>
    </row>
    <row r="52" spans="1:3" ht="12.75">
      <c r="A52" s="105"/>
      <c r="B52" s="105"/>
      <c r="C52" s="105"/>
    </row>
    <row r="53" spans="1:3" ht="12.75">
      <c r="A53" s="105"/>
      <c r="B53" s="105"/>
      <c r="C53" s="105"/>
    </row>
    <row r="54" spans="1:3" ht="12.75">
      <c r="A54" s="105"/>
      <c r="B54" s="105"/>
      <c r="C54" s="105"/>
    </row>
    <row r="55" spans="1:3" ht="12.75">
      <c r="A55" s="105"/>
      <c r="B55" s="105"/>
      <c r="C55" s="105"/>
    </row>
    <row r="56" spans="1:3" ht="12.75">
      <c r="A56" s="105"/>
      <c r="B56" s="105"/>
      <c r="C56" s="105"/>
    </row>
    <row r="57" spans="1:3" ht="12.75">
      <c r="A57" s="105"/>
      <c r="B57" s="105"/>
      <c r="C57" s="105"/>
    </row>
    <row r="58" spans="1:3" ht="12.75">
      <c r="A58" s="105"/>
      <c r="B58" s="105"/>
      <c r="C58" s="105"/>
    </row>
    <row r="59" spans="1:3" ht="12.75">
      <c r="A59" s="105"/>
      <c r="B59" s="105"/>
      <c r="C59" s="105"/>
    </row>
    <row r="60" spans="1:3" ht="12.75">
      <c r="A60" s="105"/>
      <c r="B60" s="105"/>
      <c r="C60" s="105"/>
    </row>
    <row r="61" spans="1:3" ht="12.75">
      <c r="A61" s="105"/>
      <c r="B61" s="105"/>
      <c r="C61" s="105"/>
    </row>
    <row r="62" spans="1:3" ht="12.75">
      <c r="A62" s="105"/>
      <c r="B62" s="105"/>
      <c r="C62" s="105"/>
    </row>
    <row r="63" spans="1:3" ht="12.75">
      <c r="A63" s="105"/>
      <c r="B63" s="105"/>
      <c r="C63" s="105"/>
    </row>
    <row r="64" spans="1:3" ht="12.75">
      <c r="A64" s="105"/>
      <c r="B64" s="105"/>
      <c r="C64" s="105"/>
    </row>
    <row r="65" spans="1:3" ht="12.75">
      <c r="A65" s="105"/>
      <c r="B65" s="105"/>
      <c r="C65" s="105"/>
    </row>
    <row r="66" spans="1:3" ht="12.75">
      <c r="A66" s="105"/>
      <c r="B66" s="105"/>
      <c r="C66" s="105"/>
    </row>
    <row r="67" spans="1:3" ht="12.75">
      <c r="A67" s="105"/>
      <c r="B67" s="105"/>
      <c r="C67" s="105"/>
    </row>
    <row r="68" spans="1:3" ht="12.75">
      <c r="A68" s="105"/>
      <c r="B68" s="105"/>
      <c r="C68" s="105"/>
    </row>
    <row r="69" spans="1:3" ht="12.75">
      <c r="A69" s="105"/>
      <c r="B69" s="105"/>
      <c r="C69" s="105"/>
    </row>
    <row r="70" spans="1:3" ht="12.75">
      <c r="A70" s="105"/>
      <c r="B70" s="105"/>
      <c r="C70" s="105"/>
    </row>
    <row r="71" spans="1:3" ht="12.75">
      <c r="A71" s="105"/>
      <c r="B71" s="105"/>
      <c r="C71" s="105"/>
    </row>
    <row r="72" spans="1:3" ht="12.75">
      <c r="A72" s="105"/>
      <c r="B72" s="105"/>
      <c r="C72" s="105"/>
    </row>
    <row r="73" spans="1:3" ht="12.75">
      <c r="A73" s="105"/>
      <c r="B73" s="105"/>
      <c r="C73" s="105"/>
    </row>
    <row r="74" spans="1:3" ht="12.75">
      <c r="A74" s="105"/>
      <c r="B74" s="105"/>
      <c r="C74" s="105"/>
    </row>
    <row r="75" spans="1:3" ht="12.75">
      <c r="A75" s="105"/>
      <c r="B75" s="105"/>
      <c r="C75" s="105"/>
    </row>
    <row r="76" spans="1:3" ht="12.75">
      <c r="A76" s="105"/>
      <c r="B76" s="105"/>
      <c r="C76" s="105"/>
    </row>
    <row r="77" spans="1:3" ht="12.75">
      <c r="A77" s="105"/>
      <c r="B77" s="105"/>
      <c r="C77" s="105"/>
    </row>
    <row r="78" spans="1:3" ht="12.75">
      <c r="A78" s="105"/>
      <c r="B78" s="105"/>
      <c r="C78" s="105"/>
    </row>
    <row r="79" spans="1:3" ht="12.75">
      <c r="A79" s="105"/>
      <c r="B79" s="105"/>
      <c r="C79" s="105"/>
    </row>
    <row r="80" spans="1:3" ht="12.75">
      <c r="A80" s="105"/>
      <c r="B80" s="105"/>
      <c r="C80" s="105"/>
    </row>
    <row r="81" spans="1:3" ht="12.75">
      <c r="A81" s="105"/>
      <c r="B81" s="105"/>
      <c r="C81" s="105"/>
    </row>
    <row r="82" spans="1:3" ht="12.75">
      <c r="A82" s="105"/>
      <c r="B82" s="105"/>
      <c r="C82" s="105"/>
    </row>
    <row r="83" spans="1:3" ht="12.75">
      <c r="A83" s="105"/>
      <c r="B83" s="105"/>
      <c r="C83" s="105"/>
    </row>
    <row r="84" spans="1:3" ht="12.75">
      <c r="A84" s="105"/>
      <c r="B84" s="105"/>
      <c r="C84" s="105"/>
    </row>
    <row r="85" spans="1:3" ht="12.75">
      <c r="A85" s="105"/>
      <c r="B85" s="105"/>
      <c r="C85" s="105"/>
    </row>
    <row r="86" spans="1:3" ht="12.75">
      <c r="A86" s="105"/>
      <c r="B86" s="105"/>
      <c r="C86" s="105"/>
    </row>
    <row r="87" spans="1:3" ht="12.75">
      <c r="A87" s="105"/>
      <c r="B87" s="105"/>
      <c r="C87" s="105"/>
    </row>
    <row r="88" spans="1:3" ht="12.75">
      <c r="A88" s="105"/>
      <c r="B88" s="105"/>
      <c r="C88" s="105"/>
    </row>
    <row r="89" spans="1:3" ht="12.75">
      <c r="A89" s="105"/>
      <c r="B89" s="105"/>
      <c r="C89" s="105"/>
    </row>
    <row r="90" spans="1:3" ht="12.75">
      <c r="A90" s="105"/>
      <c r="B90" s="105"/>
      <c r="C90" s="105"/>
    </row>
    <row r="91" spans="1:3" ht="12.75">
      <c r="A91" s="105"/>
      <c r="B91" s="105"/>
      <c r="C91" s="105"/>
    </row>
    <row r="92" spans="1:3" ht="12.75">
      <c r="A92" s="105"/>
      <c r="B92" s="105"/>
      <c r="C92" s="105"/>
    </row>
    <row r="93" spans="1:3" ht="12.75">
      <c r="A93" s="105"/>
      <c r="B93" s="105"/>
      <c r="C93" s="105"/>
    </row>
    <row r="94" spans="1:3" ht="12.75">
      <c r="A94" s="105"/>
      <c r="B94" s="105"/>
      <c r="C94" s="105"/>
    </row>
    <row r="95" spans="1:3" ht="12.75">
      <c r="A95" s="105"/>
      <c r="B95" s="105"/>
      <c r="C95" s="105"/>
    </row>
    <row r="96" spans="1:3" ht="12.75">
      <c r="A96" s="105"/>
      <c r="B96" s="105"/>
      <c r="C96" s="105"/>
    </row>
    <row r="97" spans="1:3" ht="12.75">
      <c r="A97" s="105"/>
      <c r="B97" s="105"/>
      <c r="C97" s="105"/>
    </row>
    <row r="98" spans="1:3" ht="12.75">
      <c r="A98" s="105"/>
      <c r="B98" s="105"/>
      <c r="C98" s="105"/>
    </row>
    <row r="99" spans="1:3" ht="12.75">
      <c r="A99" s="105"/>
      <c r="B99" s="105"/>
      <c r="C99" s="105"/>
    </row>
    <row r="100" spans="1:3" ht="12.75">
      <c r="A100" s="105"/>
      <c r="B100" s="105"/>
      <c r="C100" s="105"/>
    </row>
    <row r="101" spans="1:3" ht="12.75">
      <c r="A101" s="105"/>
      <c r="B101" s="105"/>
      <c r="C101" s="105"/>
    </row>
    <row r="102" spans="1:3" ht="12.75">
      <c r="A102" s="105"/>
      <c r="B102" s="105"/>
      <c r="C102" s="105"/>
    </row>
    <row r="103" spans="1:3" ht="12.75">
      <c r="A103" s="105"/>
      <c r="B103" s="105"/>
      <c r="C103" s="105"/>
    </row>
    <row r="104" spans="1:3" ht="12.75">
      <c r="A104" s="105"/>
      <c r="B104" s="105"/>
      <c r="C104" s="105"/>
    </row>
    <row r="105" spans="1:3" ht="12.75">
      <c r="A105" s="105"/>
      <c r="B105" s="105"/>
      <c r="C105" s="105"/>
    </row>
    <row r="106" spans="1:3" ht="12.75">
      <c r="A106" s="105"/>
      <c r="B106" s="105"/>
      <c r="C106" s="105"/>
    </row>
    <row r="107" spans="1:3" ht="12.75">
      <c r="A107" s="105"/>
      <c r="B107" s="105"/>
      <c r="C107" s="105"/>
    </row>
    <row r="108" spans="1:3" ht="12.75">
      <c r="A108" s="105"/>
      <c r="B108" s="105"/>
      <c r="C108" s="105"/>
    </row>
    <row r="109" spans="1:3" ht="12.75">
      <c r="A109" s="105"/>
      <c r="B109" s="105"/>
      <c r="C109" s="105"/>
    </row>
    <row r="110" spans="1:3" ht="12.75">
      <c r="A110" s="105"/>
      <c r="B110" s="105"/>
      <c r="C110" s="105"/>
    </row>
    <row r="111" spans="1:3" ht="12.75">
      <c r="A111" s="105"/>
      <c r="B111" s="105"/>
      <c r="C111" s="105"/>
    </row>
    <row r="112" spans="1:3" ht="12.75">
      <c r="A112" s="105"/>
      <c r="B112" s="105"/>
      <c r="C112" s="105"/>
    </row>
    <row r="113" spans="1:3" ht="12.75">
      <c r="A113" s="105"/>
      <c r="B113" s="105"/>
      <c r="C113" s="105"/>
    </row>
    <row r="114" spans="1:3" ht="12.75">
      <c r="A114" s="105"/>
      <c r="B114" s="105"/>
      <c r="C114" s="105"/>
    </row>
    <row r="115" spans="1:3" ht="12.75">
      <c r="A115" s="105"/>
      <c r="B115" s="105"/>
      <c r="C115" s="105"/>
    </row>
    <row r="116" spans="1:3" ht="12.75">
      <c r="A116" s="105"/>
      <c r="B116" s="105"/>
      <c r="C116" s="105"/>
    </row>
    <row r="117" spans="1:3" ht="12.75">
      <c r="A117" s="105"/>
      <c r="B117" s="105"/>
      <c r="C117" s="105"/>
    </row>
    <row r="118" spans="1:3" ht="12.75">
      <c r="A118" s="105"/>
      <c r="B118" s="105"/>
      <c r="C118" s="105"/>
    </row>
    <row r="119" spans="1:3" ht="12.75">
      <c r="A119" s="105"/>
      <c r="B119" s="105"/>
      <c r="C119" s="105"/>
    </row>
    <row r="120" spans="1:3" ht="12.75">
      <c r="A120" s="105"/>
      <c r="B120" s="105"/>
      <c r="C120" s="105"/>
    </row>
    <row r="121" spans="1:3" ht="12.75">
      <c r="A121" s="105"/>
      <c r="B121" s="105"/>
      <c r="C121" s="105"/>
    </row>
    <row r="122" spans="1:3" ht="12.75">
      <c r="A122" s="105"/>
      <c r="B122" s="105"/>
      <c r="C122" s="105"/>
    </row>
    <row r="123" spans="1:3" ht="12.75">
      <c r="A123" s="105"/>
      <c r="B123" s="105"/>
      <c r="C123" s="105"/>
    </row>
    <row r="124" spans="1:3" ht="12.75">
      <c r="A124" s="105"/>
      <c r="B124" s="105"/>
      <c r="C124" s="105"/>
    </row>
    <row r="125" spans="1:3" ht="12.75">
      <c r="A125" s="105"/>
      <c r="B125" s="105"/>
      <c r="C125" s="105"/>
    </row>
    <row r="126" spans="1:3" ht="12.75">
      <c r="A126" s="105"/>
      <c r="B126" s="105"/>
      <c r="C126" s="105"/>
    </row>
    <row r="127" spans="1:3" ht="12.75">
      <c r="A127" s="105"/>
      <c r="B127" s="105"/>
      <c r="C127" s="105"/>
    </row>
    <row r="128" spans="1:3" ht="12.75">
      <c r="A128" s="105"/>
      <c r="B128" s="105"/>
      <c r="C128" s="105"/>
    </row>
    <row r="129" spans="1:3" ht="12.75">
      <c r="A129" s="105"/>
      <c r="B129" s="105"/>
      <c r="C129" s="105"/>
    </row>
    <row r="130" spans="1:3" ht="12.75">
      <c r="A130" s="105"/>
      <c r="B130" s="105"/>
      <c r="C130" s="105"/>
    </row>
    <row r="131" spans="1:3" ht="12.75">
      <c r="A131" s="105"/>
      <c r="B131" s="105"/>
      <c r="C131" s="105"/>
    </row>
    <row r="132" spans="1:3" ht="12.75">
      <c r="A132" s="105"/>
      <c r="B132" s="105"/>
      <c r="C132" s="105"/>
    </row>
    <row r="133" spans="1:3" ht="12.75">
      <c r="A133" s="105"/>
      <c r="B133" s="105"/>
      <c r="C133" s="105"/>
    </row>
    <row r="134" spans="1:3" ht="12.75">
      <c r="A134" s="105"/>
      <c r="B134" s="105"/>
      <c r="C134" s="105"/>
    </row>
    <row r="135" spans="1:3" ht="12.75">
      <c r="A135" s="105"/>
      <c r="B135" s="105"/>
      <c r="C135" s="105"/>
    </row>
    <row r="136" spans="1:3" ht="12.75">
      <c r="A136" s="105"/>
      <c r="B136" s="105"/>
      <c r="C136" s="105"/>
    </row>
    <row r="137" spans="1:3" ht="12.75">
      <c r="A137" s="105"/>
      <c r="B137" s="105"/>
      <c r="C137" s="105"/>
    </row>
    <row r="138" spans="1:3" ht="12.75">
      <c r="A138" s="105"/>
      <c r="B138" s="105"/>
      <c r="C138" s="105"/>
    </row>
    <row r="139" spans="1:3" ht="12.75">
      <c r="A139" s="105"/>
      <c r="B139" s="105"/>
      <c r="C139" s="105"/>
    </row>
    <row r="140" spans="1:3" ht="12.75">
      <c r="A140" s="105"/>
      <c r="B140" s="105"/>
      <c r="C140" s="105"/>
    </row>
    <row r="141" spans="1:3" ht="12.75">
      <c r="A141" s="105"/>
      <c r="B141" s="105"/>
      <c r="C141" s="105"/>
    </row>
    <row r="142" spans="1:3" ht="12.75">
      <c r="A142" s="105"/>
      <c r="B142" s="105"/>
      <c r="C142" s="105"/>
    </row>
    <row r="143" spans="1:3" ht="12.75">
      <c r="A143" s="105"/>
      <c r="B143" s="105"/>
      <c r="C143" s="105"/>
    </row>
    <row r="144" spans="1:3" ht="12.75">
      <c r="A144" s="105"/>
      <c r="B144" s="105"/>
      <c r="C144" s="105"/>
    </row>
    <row r="145" spans="1:3" ht="12.75">
      <c r="A145" s="105"/>
      <c r="B145" s="105"/>
      <c r="C145" s="105"/>
    </row>
    <row r="146" spans="1:3" ht="12.75">
      <c r="A146" s="105"/>
      <c r="B146" s="105"/>
      <c r="C146" s="105"/>
    </row>
    <row r="147" spans="1:3" ht="12.75">
      <c r="A147" s="105"/>
      <c r="B147" s="105"/>
      <c r="C147" s="105"/>
    </row>
    <row r="148" spans="1:3" ht="12.75">
      <c r="A148" s="105"/>
      <c r="B148" s="105"/>
      <c r="C148" s="105"/>
    </row>
    <row r="149" spans="1:3" ht="12.75">
      <c r="A149" s="105"/>
      <c r="B149" s="105"/>
      <c r="C149" s="105"/>
    </row>
    <row r="150" spans="1:3" ht="12.75">
      <c r="A150" s="105"/>
      <c r="B150" s="105"/>
      <c r="C150" s="105"/>
    </row>
    <row r="151" spans="1:3" ht="12.75">
      <c r="A151" s="105"/>
      <c r="B151" s="105"/>
      <c r="C151" s="105"/>
    </row>
    <row r="152" spans="1:3" ht="12.75">
      <c r="A152" s="105"/>
      <c r="B152" s="105"/>
      <c r="C152" s="105"/>
    </row>
    <row r="153" spans="1:3" ht="12.75">
      <c r="A153" s="105"/>
      <c r="B153" s="105"/>
      <c r="C153" s="105"/>
    </row>
    <row r="154" spans="1:3" ht="12.75">
      <c r="A154" s="105"/>
      <c r="B154" s="105"/>
      <c r="C154" s="105"/>
    </row>
    <row r="155" spans="1:3" ht="12.75">
      <c r="A155" s="105"/>
      <c r="B155" s="105"/>
      <c r="C155" s="105"/>
    </row>
    <row r="156" spans="1:3" ht="12.75">
      <c r="A156" s="105"/>
      <c r="B156" s="105"/>
      <c r="C156" s="105"/>
    </row>
    <row r="157" spans="1:3" ht="12.75">
      <c r="A157" s="105"/>
      <c r="B157" s="105"/>
      <c r="C157" s="105"/>
    </row>
    <row r="158" spans="1:3" ht="12.75">
      <c r="A158" s="105"/>
      <c r="B158" s="105"/>
      <c r="C158" s="105"/>
    </row>
    <row r="159" spans="1:3" ht="12.75">
      <c r="A159" s="105"/>
      <c r="B159" s="105"/>
      <c r="C159" s="105"/>
    </row>
    <row r="160" spans="1:3" ht="12.75">
      <c r="A160" s="105"/>
      <c r="B160" s="105"/>
      <c r="C160" s="105"/>
    </row>
    <row r="161" spans="1:3" ht="12.75">
      <c r="A161" s="105"/>
      <c r="B161" s="105"/>
      <c r="C161" s="105"/>
    </row>
    <row r="162" spans="1:3" ht="12.75">
      <c r="A162" s="105"/>
      <c r="B162" s="105"/>
      <c r="C162" s="105"/>
    </row>
    <row r="163" spans="1:3" ht="12.75">
      <c r="A163" s="105"/>
      <c r="B163" s="105"/>
      <c r="C163" s="105"/>
    </row>
    <row r="164" spans="1:3" ht="12.75">
      <c r="A164" s="105"/>
      <c r="B164" s="105"/>
      <c r="C164" s="105"/>
    </row>
    <row r="165" spans="1:3" ht="12.75">
      <c r="A165" s="105"/>
      <c r="B165" s="105"/>
      <c r="C165" s="105"/>
    </row>
    <row r="166" spans="1:3" ht="12.75">
      <c r="A166" s="105"/>
      <c r="B166" s="105"/>
      <c r="C166" s="105"/>
    </row>
    <row r="167" spans="1:3" ht="12.75">
      <c r="A167" s="105"/>
      <c r="B167" s="105"/>
      <c r="C167" s="105"/>
    </row>
    <row r="168" spans="1:3" ht="12.75">
      <c r="A168" s="105"/>
      <c r="B168" s="105"/>
      <c r="C168" s="105"/>
    </row>
    <row r="169" spans="1:3" ht="12.75">
      <c r="A169" s="105"/>
      <c r="B169" s="105"/>
      <c r="C169" s="105"/>
    </row>
    <row r="170" spans="1:3" ht="12.75">
      <c r="A170" s="105"/>
      <c r="B170" s="105"/>
      <c r="C170" s="105"/>
    </row>
    <row r="171" spans="1:3" ht="12.75">
      <c r="A171" s="105"/>
      <c r="B171" s="105"/>
      <c r="C171" s="105"/>
    </row>
    <row r="172" spans="1:3" ht="12.75">
      <c r="A172" s="105"/>
      <c r="B172" s="105"/>
      <c r="C172" s="105"/>
    </row>
    <row r="173" spans="1:3" ht="12.75">
      <c r="A173" s="105"/>
      <c r="B173" s="105"/>
      <c r="C173" s="105"/>
    </row>
    <row r="174" spans="1:3" ht="12.75">
      <c r="A174" s="105"/>
      <c r="B174" s="105"/>
      <c r="C174" s="105"/>
    </row>
    <row r="175" spans="1:3" ht="12.75">
      <c r="A175" s="105"/>
      <c r="B175" s="105"/>
      <c r="C175" s="105"/>
    </row>
    <row r="176" spans="1:3" ht="12.75">
      <c r="A176" s="105"/>
      <c r="B176" s="105"/>
      <c r="C176" s="105"/>
    </row>
    <row r="177" spans="1:3" ht="12.75">
      <c r="A177" s="105"/>
      <c r="B177" s="105"/>
      <c r="C177" s="105"/>
    </row>
    <row r="178" spans="1:3" ht="12.75">
      <c r="A178" s="105"/>
      <c r="B178" s="105"/>
      <c r="C178" s="105"/>
    </row>
    <row r="179" spans="1:3" ht="12.75">
      <c r="A179" s="105"/>
      <c r="B179" s="105"/>
      <c r="C179" s="105"/>
    </row>
    <row r="180" spans="1:3" ht="12.75">
      <c r="A180" s="105"/>
      <c r="B180" s="105"/>
      <c r="C180" s="105"/>
    </row>
    <row r="181" spans="1:3" ht="12.75">
      <c r="A181" s="105"/>
      <c r="B181" s="105"/>
      <c r="C181" s="105"/>
    </row>
    <row r="182" spans="1:3" ht="12.75">
      <c r="A182" s="105"/>
      <c r="B182" s="105"/>
      <c r="C182" s="105"/>
    </row>
    <row r="183" spans="1:3" ht="12.75">
      <c r="A183" s="105"/>
      <c r="B183" s="105"/>
      <c r="C183" s="105"/>
    </row>
    <row r="184" spans="1:3" ht="12.75">
      <c r="A184" s="105"/>
      <c r="B184" s="105"/>
      <c r="C184" s="105"/>
    </row>
    <row r="185" spans="1:3" ht="12.75">
      <c r="A185" s="105"/>
      <c r="B185" s="105"/>
      <c r="C185" s="105"/>
    </row>
    <row r="186" spans="1:3" ht="12.75">
      <c r="A186" s="105"/>
      <c r="B186" s="105"/>
      <c r="C186" s="105"/>
    </row>
    <row r="187" spans="1:3" ht="12.75">
      <c r="A187" s="105"/>
      <c r="B187" s="105"/>
      <c r="C187" s="105"/>
    </row>
    <row r="188" spans="1:3" ht="12.75">
      <c r="A188" s="105"/>
      <c r="B188" s="105"/>
      <c r="C188" s="105"/>
    </row>
    <row r="189" spans="1:3" ht="12.75">
      <c r="A189" s="105"/>
      <c r="B189" s="105"/>
      <c r="C189" s="105"/>
    </row>
    <row r="190" spans="1:3" ht="12.75">
      <c r="A190" s="105"/>
      <c r="B190" s="105"/>
      <c r="C190" s="105"/>
    </row>
    <row r="191" spans="1:3" ht="12.75">
      <c r="A191" s="105"/>
      <c r="B191" s="105"/>
      <c r="C191" s="105"/>
    </row>
    <row r="192" spans="1:3" ht="12.75">
      <c r="A192" s="105"/>
      <c r="B192" s="105"/>
      <c r="C192" s="105"/>
    </row>
    <row r="193" spans="1:3" ht="12.75">
      <c r="A193" s="105"/>
      <c r="B193" s="105"/>
      <c r="C193" s="105"/>
    </row>
    <row r="194" spans="1:3" ht="12.75">
      <c r="A194" s="105"/>
      <c r="B194" s="105"/>
      <c r="C194" s="105"/>
    </row>
    <row r="195" spans="1:3" ht="12.75">
      <c r="A195" s="105"/>
      <c r="B195" s="105"/>
      <c r="C195" s="105"/>
    </row>
    <row r="196" spans="1:3" ht="12.75">
      <c r="A196" s="105"/>
      <c r="B196" s="105"/>
      <c r="C196" s="105"/>
    </row>
    <row r="197" spans="1:3" ht="12.75">
      <c r="A197" s="105"/>
      <c r="B197" s="105"/>
      <c r="C197" s="105"/>
    </row>
    <row r="198" spans="1:3" ht="12.75">
      <c r="A198" s="105"/>
      <c r="B198" s="105"/>
      <c r="C198" s="105"/>
    </row>
    <row r="199" spans="1:3" ht="12.75">
      <c r="A199" s="105"/>
      <c r="B199" s="105"/>
      <c r="C199" s="105"/>
    </row>
    <row r="200" spans="1:3" ht="12.75">
      <c r="A200" s="105"/>
      <c r="B200" s="105"/>
      <c r="C200" s="105"/>
    </row>
    <row r="201" spans="1:3" ht="12.75">
      <c r="A201" s="105"/>
      <c r="B201" s="105"/>
      <c r="C201" s="105"/>
    </row>
    <row r="202" spans="1:3" ht="12.75">
      <c r="A202" s="105"/>
      <c r="B202" s="105"/>
      <c r="C202" s="105"/>
    </row>
    <row r="203" spans="1:3" ht="12.75">
      <c r="A203" s="105"/>
      <c r="B203" s="105"/>
      <c r="C203" s="105"/>
    </row>
    <row r="204" spans="1:3" ht="12.75">
      <c r="A204" s="105"/>
      <c r="B204" s="105"/>
      <c r="C204" s="105"/>
    </row>
    <row r="205" spans="1:3" ht="12.75">
      <c r="A205" s="105"/>
      <c r="B205" s="105"/>
      <c r="C205" s="105"/>
    </row>
    <row r="206" spans="1:3" ht="12.75">
      <c r="A206" s="105"/>
      <c r="B206" s="105"/>
      <c r="C206" s="105"/>
    </row>
    <row r="207" spans="1:3" ht="12.75">
      <c r="A207" s="105"/>
      <c r="B207" s="105"/>
      <c r="C207" s="105"/>
    </row>
    <row r="208" spans="1:3" ht="12.75">
      <c r="A208" s="105"/>
      <c r="B208" s="105"/>
      <c r="C208" s="105"/>
    </row>
    <row r="209" spans="1:3" ht="12.75">
      <c r="A209" s="105"/>
      <c r="B209" s="105"/>
      <c r="C209" s="105"/>
    </row>
    <row r="210" spans="1:3" ht="12.75">
      <c r="A210" s="105"/>
      <c r="B210" s="105"/>
      <c r="C210" s="105"/>
    </row>
    <row r="211" spans="1:3" ht="12.75">
      <c r="A211" s="105"/>
      <c r="B211" s="105"/>
      <c r="C211" s="105"/>
    </row>
    <row r="212" spans="1:3" ht="12.75">
      <c r="A212" s="105"/>
      <c r="B212" s="105"/>
      <c r="C212" s="105"/>
    </row>
    <row r="213" spans="1:3" ht="12.75">
      <c r="A213" s="105"/>
      <c r="B213" s="105"/>
      <c r="C213" s="105"/>
    </row>
    <row r="214" spans="1:3" ht="12.75">
      <c r="A214" s="105"/>
      <c r="B214" s="105"/>
      <c r="C214" s="105"/>
    </row>
    <row r="215" spans="1:3" ht="12.75">
      <c r="A215" s="105"/>
      <c r="B215" s="105"/>
      <c r="C215" s="105"/>
    </row>
    <row r="216" spans="1:3" ht="12.75">
      <c r="A216" s="105"/>
      <c r="B216" s="105"/>
      <c r="C216" s="105"/>
    </row>
    <row r="217" spans="1:3" ht="12.75">
      <c r="A217" s="105"/>
      <c r="B217" s="105"/>
      <c r="C217" s="105"/>
    </row>
    <row r="218" spans="1:3" ht="12.75">
      <c r="A218" s="105"/>
      <c r="B218" s="105"/>
      <c r="C218" s="105"/>
    </row>
    <row r="219" spans="1:3" ht="12.75">
      <c r="A219" s="105"/>
      <c r="B219" s="105"/>
      <c r="C219" s="105"/>
    </row>
    <row r="220" spans="1:3" ht="12.75">
      <c r="A220" s="105"/>
      <c r="B220" s="105"/>
      <c r="C220" s="105"/>
    </row>
    <row r="221" spans="1:3" ht="12.75">
      <c r="A221" s="105"/>
      <c r="B221" s="105"/>
      <c r="C221" s="105"/>
    </row>
    <row r="222" spans="1:3" ht="12.75">
      <c r="A222" s="105"/>
      <c r="B222" s="105"/>
      <c r="C222" s="105"/>
    </row>
    <row r="223" spans="1:3" ht="12.75">
      <c r="A223" s="105"/>
      <c r="B223" s="105"/>
      <c r="C223" s="105"/>
    </row>
    <row r="224" spans="1:3" ht="12.75">
      <c r="A224" s="105"/>
      <c r="B224" s="105"/>
      <c r="C224" s="105"/>
    </row>
    <row r="225" spans="1:3" ht="12.75">
      <c r="A225" s="105"/>
      <c r="B225" s="105"/>
      <c r="C225" s="105"/>
    </row>
    <row r="226" spans="1:3" ht="12.75">
      <c r="A226" s="105"/>
      <c r="B226" s="105"/>
      <c r="C226" s="105"/>
    </row>
    <row r="227" spans="1:3" ht="12.75">
      <c r="A227" s="105"/>
      <c r="B227" s="105"/>
      <c r="C227" s="105"/>
    </row>
    <row r="228" spans="1:3" ht="12.75">
      <c r="A228" s="105"/>
      <c r="B228" s="105"/>
      <c r="C228" s="105"/>
    </row>
    <row r="229" spans="1:3" ht="12.75">
      <c r="A229" s="105"/>
      <c r="B229" s="105"/>
      <c r="C229" s="105"/>
    </row>
    <row r="230" spans="1:3" ht="12.75">
      <c r="A230" s="105"/>
      <c r="B230" s="105"/>
      <c r="C230" s="105"/>
    </row>
    <row r="231" spans="1:3" ht="12.75">
      <c r="A231" s="105"/>
      <c r="B231" s="105"/>
      <c r="C231" s="105"/>
    </row>
    <row r="232" spans="1:3" ht="12.75">
      <c r="A232" s="105"/>
      <c r="B232" s="105"/>
      <c r="C232" s="105"/>
    </row>
    <row r="233" spans="1:3" ht="12.75">
      <c r="A233" s="105"/>
      <c r="B233" s="105"/>
      <c r="C233" s="105"/>
    </row>
    <row r="234" spans="1:3" ht="12.75">
      <c r="A234" s="105"/>
      <c r="B234" s="105"/>
      <c r="C234" s="105"/>
    </row>
    <row r="235" spans="1:3" ht="12.75">
      <c r="A235" s="105"/>
      <c r="B235" s="105"/>
      <c r="C235" s="105"/>
    </row>
    <row r="236" spans="1:3" ht="12.75">
      <c r="A236" s="105"/>
      <c r="B236" s="105"/>
      <c r="C236" s="105"/>
    </row>
    <row r="237" spans="1:3" ht="12.75">
      <c r="A237" s="105"/>
      <c r="B237" s="105"/>
      <c r="C237" s="105"/>
    </row>
    <row r="238" spans="1:3" ht="12.75">
      <c r="A238" s="105"/>
      <c r="B238" s="105"/>
      <c r="C238" s="105"/>
    </row>
    <row r="239" spans="1:3" ht="12.75">
      <c r="A239" s="105"/>
      <c r="B239" s="105"/>
      <c r="C239" s="105"/>
    </row>
    <row r="240" spans="1:3" ht="12.75">
      <c r="A240" s="105"/>
      <c r="B240" s="105"/>
      <c r="C240" s="105"/>
    </row>
    <row r="241" spans="1:3" ht="12.75">
      <c r="A241" s="105"/>
      <c r="B241" s="105"/>
      <c r="C241" s="105"/>
    </row>
    <row r="242" spans="1:3" ht="12.75">
      <c r="A242" s="105"/>
      <c r="B242" s="105"/>
      <c r="C242" s="105"/>
    </row>
    <row r="243" spans="1:3" ht="12.75">
      <c r="A243" s="105"/>
      <c r="B243" s="105"/>
      <c r="C243" s="105"/>
    </row>
    <row r="244" spans="1:3" ht="12.75">
      <c r="A244" s="105"/>
      <c r="B244" s="105"/>
      <c r="C244" s="105"/>
    </row>
    <row r="245" spans="1:3" ht="12.75">
      <c r="A245" s="105"/>
      <c r="B245" s="105"/>
      <c r="C245" s="105"/>
    </row>
    <row r="246" spans="1:3" ht="12.75">
      <c r="A246" s="105"/>
      <c r="B246" s="105"/>
      <c r="C246" s="105"/>
    </row>
    <row r="247" spans="1:3" ht="12.75">
      <c r="A247" s="105"/>
      <c r="B247" s="105"/>
      <c r="C247" s="105"/>
    </row>
    <row r="248" spans="1:3" ht="12.75">
      <c r="A248" s="105"/>
      <c r="B248" s="105"/>
      <c r="C248" s="105"/>
    </row>
    <row r="249" spans="1:3" ht="12.75">
      <c r="A249" s="105"/>
      <c r="B249" s="105"/>
      <c r="C249" s="105"/>
    </row>
    <row r="250" spans="1:3" ht="12.75">
      <c r="A250" s="105"/>
      <c r="B250" s="105"/>
      <c r="C250" s="105"/>
    </row>
    <row r="251" spans="1:3" ht="12.75">
      <c r="A251" s="105"/>
      <c r="B251" s="105"/>
      <c r="C251" s="105"/>
    </row>
    <row r="252" spans="1:3" ht="12.75">
      <c r="A252" s="105"/>
      <c r="B252" s="105"/>
      <c r="C252" s="105"/>
    </row>
    <row r="253" spans="1:3" ht="12.75">
      <c r="A253" s="105"/>
      <c r="B253" s="105"/>
      <c r="C253" s="105"/>
    </row>
    <row r="254" spans="1:3" ht="12.75">
      <c r="A254" s="105"/>
      <c r="B254" s="105"/>
      <c r="C254" s="105"/>
    </row>
    <row r="255" spans="1:3" ht="12.75">
      <c r="A255" s="105"/>
      <c r="B255" s="105"/>
      <c r="C255" s="105"/>
    </row>
    <row r="256" spans="1:3" ht="12.75">
      <c r="A256" s="105"/>
      <c r="B256" s="105"/>
      <c r="C256" s="105"/>
    </row>
    <row r="257" spans="1:3" ht="12.75">
      <c r="A257" s="105"/>
      <c r="B257" s="105"/>
      <c r="C257" s="105"/>
    </row>
    <row r="258" spans="1:3" ht="12.75">
      <c r="A258" s="105"/>
      <c r="B258" s="105"/>
      <c r="C258" s="105"/>
    </row>
    <row r="259" spans="1:3" ht="12.75">
      <c r="A259" s="105"/>
      <c r="B259" s="105"/>
      <c r="C259" s="105"/>
    </row>
    <row r="260" spans="1:3" ht="12.75">
      <c r="A260" s="105"/>
      <c r="B260" s="105"/>
      <c r="C260" s="105"/>
    </row>
    <row r="261" spans="1:3" ht="12.75">
      <c r="A261" s="105"/>
      <c r="B261" s="105"/>
      <c r="C261" s="105"/>
    </row>
    <row r="262" spans="1:3" ht="12.75">
      <c r="A262" s="105"/>
      <c r="B262" s="105"/>
      <c r="C262" s="105"/>
    </row>
    <row r="263" spans="1:3" ht="12.75">
      <c r="A263" s="105"/>
      <c r="B263" s="105"/>
      <c r="C263" s="105"/>
    </row>
    <row r="264" spans="1:3" ht="12.75">
      <c r="A264" s="105"/>
      <c r="B264" s="105"/>
      <c r="C264" s="105"/>
    </row>
    <row r="265" spans="1:3" ht="12.75">
      <c r="A265" s="105"/>
      <c r="B265" s="105"/>
      <c r="C265" s="105"/>
    </row>
    <row r="266" spans="1:3" ht="12.75">
      <c r="A266" s="105"/>
      <c r="B266" s="105"/>
      <c r="C266" s="105"/>
    </row>
    <row r="267" spans="1:3" ht="12.75">
      <c r="A267" s="105"/>
      <c r="B267" s="105"/>
      <c r="C267" s="105"/>
    </row>
    <row r="268" spans="1:3" ht="12.75">
      <c r="A268" s="105"/>
      <c r="B268" s="105"/>
      <c r="C268" s="105"/>
    </row>
    <row r="269" spans="1:3" ht="12.75">
      <c r="A269" s="105"/>
      <c r="B269" s="105"/>
      <c r="C269" s="105"/>
    </row>
    <row r="270" spans="1:3" ht="12.75">
      <c r="A270" s="105"/>
      <c r="B270" s="105"/>
      <c r="C270" s="105"/>
    </row>
    <row r="271" spans="1:3" ht="12.75">
      <c r="A271" s="105"/>
      <c r="B271" s="105"/>
      <c r="C271" s="105"/>
    </row>
    <row r="272" spans="1:3" ht="12.75">
      <c r="A272" s="105"/>
      <c r="B272" s="105"/>
      <c r="C272" s="105"/>
    </row>
    <row r="273" spans="1:3" ht="12.75">
      <c r="A273" s="105"/>
      <c r="B273" s="105"/>
      <c r="C273" s="105"/>
    </row>
    <row r="274" spans="1:3" ht="12.75">
      <c r="A274" s="105"/>
      <c r="B274" s="105"/>
      <c r="C274" s="105"/>
    </row>
    <row r="275" spans="1:3" ht="12.75">
      <c r="A275" s="105"/>
      <c r="B275" s="105"/>
      <c r="C275" s="105"/>
    </row>
    <row r="276" spans="1:3" ht="12.75">
      <c r="A276" s="105"/>
      <c r="B276" s="105"/>
      <c r="C276" s="105"/>
    </row>
    <row r="277" spans="1:3" ht="12.75">
      <c r="A277" s="105"/>
      <c r="B277" s="105"/>
      <c r="C277" s="105"/>
    </row>
    <row r="278" spans="1:3" ht="12.75">
      <c r="A278" s="105"/>
      <c r="B278" s="105"/>
      <c r="C278" s="105"/>
    </row>
    <row r="279" spans="1:3" ht="12.75">
      <c r="A279" s="105"/>
      <c r="B279" s="105"/>
      <c r="C279" s="105"/>
    </row>
    <row r="280" spans="1:3" ht="12.75">
      <c r="A280" s="105"/>
      <c r="B280" s="105"/>
      <c r="C280" s="105"/>
    </row>
    <row r="281" spans="1:3" ht="12.75">
      <c r="A281" s="105"/>
      <c r="B281" s="105"/>
      <c r="C281" s="105"/>
    </row>
    <row r="282" spans="1:3" ht="12.75">
      <c r="A282" s="105"/>
      <c r="B282" s="105"/>
      <c r="C282" s="105"/>
    </row>
    <row r="283" spans="1:3" ht="12.75">
      <c r="A283" s="105"/>
      <c r="B283" s="105"/>
      <c r="C283" s="105"/>
    </row>
    <row r="284" spans="1:3" ht="12.75">
      <c r="A284" s="105"/>
      <c r="B284" s="105"/>
      <c r="C284" s="105"/>
    </row>
    <row r="285" spans="1:3" ht="12.75">
      <c r="A285" s="105"/>
      <c r="B285" s="105"/>
      <c r="C285" s="105"/>
    </row>
    <row r="286" spans="1:3" ht="12.75">
      <c r="A286" s="105"/>
      <c r="B286" s="105"/>
      <c r="C286" s="105"/>
    </row>
    <row r="287" spans="1:3" ht="12.75">
      <c r="A287" s="105"/>
      <c r="B287" s="105"/>
      <c r="C287" s="105"/>
    </row>
    <row r="288" spans="1:3" ht="12.75">
      <c r="A288" s="105"/>
      <c r="B288" s="105"/>
      <c r="C288" s="105"/>
    </row>
    <row r="289" spans="1:3" ht="12.75">
      <c r="A289" s="105"/>
      <c r="B289" s="105"/>
      <c r="C289" s="105"/>
    </row>
    <row r="290" spans="1:3" ht="12.75">
      <c r="A290" s="105"/>
      <c r="B290" s="105"/>
      <c r="C290" s="105"/>
    </row>
    <row r="291" spans="1:3" ht="12.75">
      <c r="A291" s="105"/>
      <c r="B291" s="105"/>
      <c r="C291" s="105"/>
    </row>
    <row r="292" spans="1:3" ht="12.75">
      <c r="A292" s="105"/>
      <c r="B292" s="105"/>
      <c r="C292" s="105"/>
    </row>
    <row r="293" spans="1:3" ht="12.75">
      <c r="A293" s="105"/>
      <c r="B293" s="105"/>
      <c r="C293" s="105"/>
    </row>
    <row r="294" spans="1:3" ht="12.75">
      <c r="A294" s="105"/>
      <c r="B294" s="105"/>
      <c r="C294" s="105"/>
    </row>
    <row r="295" spans="1:3" ht="12.75">
      <c r="A295" s="105"/>
      <c r="B295" s="105"/>
      <c r="C295" s="105"/>
    </row>
    <row r="296" spans="1:3" ht="12.75">
      <c r="A296" s="105"/>
      <c r="B296" s="105"/>
      <c r="C296" s="105"/>
    </row>
    <row r="297" spans="1:3" ht="12.75">
      <c r="A297" s="105"/>
      <c r="B297" s="105"/>
      <c r="C297" s="105"/>
    </row>
    <row r="298" spans="1:3" ht="12.75">
      <c r="A298" s="105"/>
      <c r="B298" s="105"/>
      <c r="C298" s="105"/>
    </row>
    <row r="299" spans="1:3" ht="12.75">
      <c r="A299" s="105"/>
      <c r="B299" s="105"/>
      <c r="C299" s="105"/>
    </row>
    <row r="300" spans="1:3" ht="12.75">
      <c r="A300" s="105"/>
      <c r="B300" s="105"/>
      <c r="C300" s="105"/>
    </row>
    <row r="301" spans="1:3" ht="12.75">
      <c r="A301" s="105"/>
      <c r="B301" s="105"/>
      <c r="C301" s="105"/>
    </row>
    <row r="302" spans="1:3" ht="12.75">
      <c r="A302" s="105"/>
      <c r="B302" s="105"/>
      <c r="C302" s="105"/>
    </row>
    <row r="303" spans="1:3" ht="12.75">
      <c r="A303" s="105"/>
      <c r="B303" s="105"/>
      <c r="C303" s="105"/>
    </row>
    <row r="304" spans="1:3" ht="12.75">
      <c r="A304" s="105"/>
      <c r="B304" s="105"/>
      <c r="C304" s="105"/>
    </row>
    <row r="305" spans="1:3" ht="12.75">
      <c r="A305" s="105"/>
      <c r="B305" s="105"/>
      <c r="C305" s="105"/>
    </row>
    <row r="306" spans="1:3" ht="12.75">
      <c r="A306" s="105"/>
      <c r="B306" s="105"/>
      <c r="C306" s="105"/>
    </row>
    <row r="307" spans="1:3" ht="12.75">
      <c r="A307" s="105"/>
      <c r="B307" s="105"/>
      <c r="C307" s="105"/>
    </row>
    <row r="308" spans="1:3" ht="12.75">
      <c r="A308" s="105"/>
      <c r="B308" s="105"/>
      <c r="C308" s="105"/>
    </row>
    <row r="309" spans="1:3" ht="12.75">
      <c r="A309" s="105"/>
      <c r="B309" s="105"/>
      <c r="C309" s="105"/>
    </row>
    <row r="310" spans="1:3" ht="12.75">
      <c r="A310" s="105"/>
      <c r="B310" s="105"/>
      <c r="C310" s="105"/>
    </row>
    <row r="311" spans="1:3" ht="12.75">
      <c r="A311" s="105"/>
      <c r="B311" s="105"/>
      <c r="C311" s="105"/>
    </row>
    <row r="312" spans="1:3" ht="12.75">
      <c r="A312" s="105"/>
      <c r="B312" s="105"/>
      <c r="C312" s="105"/>
    </row>
    <row r="313" spans="1:3" ht="12.75">
      <c r="A313" s="105"/>
      <c r="B313" s="105"/>
      <c r="C313" s="105"/>
    </row>
    <row r="314" spans="1:3" ht="12.75">
      <c r="A314" s="105"/>
      <c r="B314" s="105"/>
      <c r="C314" s="105"/>
    </row>
    <row r="315" spans="1:3" ht="12.75">
      <c r="A315" s="105"/>
      <c r="B315" s="105"/>
      <c r="C315" s="105"/>
    </row>
    <row r="316" spans="1:3" ht="12.75">
      <c r="A316" s="105"/>
      <c r="B316" s="105"/>
      <c r="C316" s="105"/>
    </row>
    <row r="317" spans="1:3" ht="12.75">
      <c r="A317" s="105"/>
      <c r="B317" s="105"/>
      <c r="C317" s="105"/>
    </row>
    <row r="318" spans="1:3" ht="12.75">
      <c r="A318" s="105"/>
      <c r="B318" s="105"/>
      <c r="C318" s="105"/>
    </row>
    <row r="319" spans="1:3" ht="12.75">
      <c r="A319" s="105"/>
      <c r="B319" s="105"/>
      <c r="C319" s="105"/>
    </row>
    <row r="320" spans="1:3" ht="12.75">
      <c r="A320" s="105"/>
      <c r="B320" s="105"/>
      <c r="C320" s="105"/>
    </row>
    <row r="321" spans="1:3" ht="12.75">
      <c r="A321" s="105"/>
      <c r="B321" s="105"/>
      <c r="C321" s="105"/>
    </row>
    <row r="322" spans="1:3" ht="12.75">
      <c r="A322" s="105"/>
      <c r="B322" s="105"/>
      <c r="C322" s="105"/>
    </row>
    <row r="323" spans="1:3" ht="12.75">
      <c r="A323" s="105"/>
      <c r="B323" s="105"/>
      <c r="C323" s="105"/>
    </row>
    <row r="324" spans="1:3" ht="12.75">
      <c r="A324" s="105"/>
      <c r="B324" s="105"/>
      <c r="C324" s="105"/>
    </row>
    <row r="325" spans="1:3" ht="12.75">
      <c r="A325" s="105"/>
      <c r="B325" s="105"/>
      <c r="C325" s="105"/>
    </row>
    <row r="326" spans="1:3" ht="12.75">
      <c r="A326" s="105"/>
      <c r="B326" s="105"/>
      <c r="C326" s="105"/>
    </row>
    <row r="327" spans="1:3" ht="12.75">
      <c r="A327" s="105"/>
      <c r="B327" s="105"/>
      <c r="C327" s="105"/>
    </row>
    <row r="328" spans="1:3" ht="12.75">
      <c r="A328" s="105"/>
      <c r="B328" s="105"/>
      <c r="C328" s="105"/>
    </row>
    <row r="329" spans="1:3" ht="12.75">
      <c r="A329" s="105"/>
      <c r="B329" s="105"/>
      <c r="C329" s="105"/>
    </row>
    <row r="330" spans="1:3" ht="12.75">
      <c r="A330" s="105"/>
      <c r="B330" s="105"/>
      <c r="C330" s="105"/>
    </row>
    <row r="331" spans="1:3" ht="12.75">
      <c r="A331" s="105"/>
      <c r="B331" s="105"/>
      <c r="C331" s="105"/>
    </row>
    <row r="332" spans="1:3" ht="12.75">
      <c r="A332" s="105"/>
      <c r="B332" s="105"/>
      <c r="C332" s="105"/>
    </row>
    <row r="333" spans="1:3" ht="12.75">
      <c r="A333" s="105"/>
      <c r="B333" s="105"/>
      <c r="C333" s="105"/>
    </row>
    <row r="334" spans="1:3" ht="12.75">
      <c r="A334" s="105"/>
      <c r="B334" s="105"/>
      <c r="C334" s="105"/>
    </row>
    <row r="335" spans="1:3" ht="12.75">
      <c r="A335" s="105"/>
      <c r="B335" s="105"/>
      <c r="C335" s="105"/>
    </row>
    <row r="336" spans="1:3" ht="12.75">
      <c r="A336" s="105"/>
      <c r="B336" s="105"/>
      <c r="C336" s="105"/>
    </row>
    <row r="337" spans="1:3" ht="12.75">
      <c r="A337" s="105"/>
      <c r="B337" s="105"/>
      <c r="C337" s="105"/>
    </row>
    <row r="338" spans="1:3" ht="12.75">
      <c r="A338" s="105"/>
      <c r="B338" s="105"/>
      <c r="C338" s="105"/>
    </row>
    <row r="339" spans="1:3" ht="12.75">
      <c r="A339" s="105"/>
      <c r="B339" s="105"/>
      <c r="C339" s="105"/>
    </row>
    <row r="340" spans="1:3" ht="12.75">
      <c r="A340" s="105"/>
      <c r="B340" s="105"/>
      <c r="C340" s="105"/>
    </row>
    <row r="341" spans="1:3" ht="12.75">
      <c r="A341" s="105"/>
      <c r="B341" s="105"/>
      <c r="C341" s="105"/>
    </row>
    <row r="342" spans="1:3" ht="12.75">
      <c r="A342" s="105"/>
      <c r="B342" s="105"/>
      <c r="C342" s="105"/>
    </row>
    <row r="343" spans="1:3" ht="12.75">
      <c r="A343" s="105"/>
      <c r="B343" s="105"/>
      <c r="C343" s="105"/>
    </row>
    <row r="344" spans="1:3" ht="12.75">
      <c r="A344" s="105"/>
      <c r="B344" s="105"/>
      <c r="C344" s="105"/>
    </row>
    <row r="345" spans="1:3" ht="12.75">
      <c r="A345" s="105"/>
      <c r="B345" s="105"/>
      <c r="C345" s="105"/>
    </row>
    <row r="346" spans="1:3" ht="12.75">
      <c r="A346" s="105"/>
      <c r="B346" s="105"/>
      <c r="C346" s="105"/>
    </row>
    <row r="347" spans="1:3" ht="12.75">
      <c r="A347" s="105"/>
      <c r="B347" s="105"/>
      <c r="C347" s="105"/>
    </row>
    <row r="348" spans="1:3" ht="12.75">
      <c r="A348" s="105"/>
      <c r="B348" s="105"/>
      <c r="C348" s="105"/>
    </row>
    <row r="349" spans="1:3" ht="12.75">
      <c r="A349" s="105"/>
      <c r="B349" s="105"/>
      <c r="C349" s="105"/>
    </row>
    <row r="350" spans="1:3" ht="12.75">
      <c r="A350" s="105"/>
      <c r="B350" s="105"/>
      <c r="C350" s="105"/>
    </row>
    <row r="351" spans="1:3" ht="12.75">
      <c r="A351" s="105"/>
      <c r="B351" s="105"/>
      <c r="C351" s="105"/>
    </row>
    <row r="352" spans="1:3" ht="12.75">
      <c r="A352" s="105"/>
      <c r="B352" s="105"/>
      <c r="C352" s="105"/>
    </row>
    <row r="353" spans="1:3" ht="12.75">
      <c r="A353" s="105"/>
      <c r="B353" s="105"/>
      <c r="C353" s="105"/>
    </row>
    <row r="354" spans="1:3" ht="12.75">
      <c r="A354" s="105"/>
      <c r="B354" s="105"/>
      <c r="C354" s="105"/>
    </row>
    <row r="355" spans="1:3" ht="12.75">
      <c r="A355" s="105"/>
      <c r="B355" s="105"/>
      <c r="C355" s="105"/>
    </row>
    <row r="356" spans="1:3" ht="12.75">
      <c r="A356" s="105"/>
      <c r="B356" s="105"/>
      <c r="C356" s="105"/>
    </row>
    <row r="357" spans="1:3" ht="12.75">
      <c r="A357" s="105"/>
      <c r="B357" s="105"/>
      <c r="C357" s="105"/>
    </row>
    <row r="358" spans="1:3" ht="12.75">
      <c r="A358" s="105"/>
      <c r="B358" s="105"/>
      <c r="C358" s="105"/>
    </row>
    <row r="359" spans="1:3" ht="12.75">
      <c r="A359" s="105"/>
      <c r="B359" s="105"/>
      <c r="C359" s="105"/>
    </row>
    <row r="360" spans="1:3" ht="12.75">
      <c r="A360" s="105"/>
      <c r="B360" s="105"/>
      <c r="C360" s="105"/>
    </row>
    <row r="361" spans="1:3" ht="12.75">
      <c r="A361" s="105"/>
      <c r="B361" s="105"/>
      <c r="C361" s="105"/>
    </row>
    <row r="362" spans="1:3" ht="12.75">
      <c r="A362" s="105"/>
      <c r="B362" s="105"/>
      <c r="C362" s="105"/>
    </row>
    <row r="363" spans="1:3" ht="12.75">
      <c r="A363" s="105"/>
      <c r="B363" s="105"/>
      <c r="C363" s="105"/>
    </row>
    <row r="364" spans="1:3" ht="12.75">
      <c r="A364" s="105"/>
      <c r="B364" s="105"/>
      <c r="C364" s="105"/>
    </row>
    <row r="365" spans="1:3" ht="12.75">
      <c r="A365" s="105"/>
      <c r="B365" s="105"/>
      <c r="C365" s="105"/>
    </row>
    <row r="366" spans="1:3" ht="12.75">
      <c r="A366" s="105"/>
      <c r="B366" s="105"/>
      <c r="C366" s="105"/>
    </row>
    <row r="367" spans="1:3" ht="12.75">
      <c r="A367" s="105"/>
      <c r="B367" s="105"/>
      <c r="C367" s="105"/>
    </row>
    <row r="368" spans="1:3" ht="12.75">
      <c r="A368" s="105"/>
      <c r="B368" s="105"/>
      <c r="C368" s="105"/>
    </row>
    <row r="369" spans="1:3" ht="12.75">
      <c r="A369" s="105"/>
      <c r="B369" s="105"/>
      <c r="C369" s="105"/>
    </row>
    <row r="370" spans="1:3" ht="12.75">
      <c r="A370" s="105"/>
      <c r="B370" s="105"/>
      <c r="C370" s="105"/>
    </row>
    <row r="371" spans="1:3" ht="12.75">
      <c r="A371" s="105"/>
      <c r="B371" s="105"/>
      <c r="C371" s="105"/>
    </row>
    <row r="372" spans="1:3" ht="12.75">
      <c r="A372" s="105"/>
      <c r="B372" s="105"/>
      <c r="C372" s="105"/>
    </row>
    <row r="373" spans="1:3" ht="12.75">
      <c r="A373" s="105"/>
      <c r="B373" s="105"/>
      <c r="C373" s="105"/>
    </row>
    <row r="374" spans="1:3" ht="12.75">
      <c r="A374" s="105"/>
      <c r="B374" s="105"/>
      <c r="C374" s="105"/>
    </row>
    <row r="375" spans="1:3" ht="12.75">
      <c r="A375" s="105"/>
      <c r="B375" s="105"/>
      <c r="C375" s="105"/>
    </row>
    <row r="376" spans="1:3" ht="12.75">
      <c r="A376" s="105"/>
      <c r="B376" s="105"/>
      <c r="C376" s="105"/>
    </row>
    <row r="377" spans="1:3" ht="12.75">
      <c r="A377" s="105"/>
      <c r="B377" s="105"/>
      <c r="C377" s="105"/>
    </row>
    <row r="378" spans="1:3" ht="12.75">
      <c r="A378" s="105"/>
      <c r="B378" s="105"/>
      <c r="C378" s="105"/>
    </row>
    <row r="379" spans="1:3" ht="12.75">
      <c r="A379" s="105"/>
      <c r="B379" s="105"/>
      <c r="C379" s="105"/>
    </row>
    <row r="380" spans="1:3" ht="12.75">
      <c r="A380" s="105"/>
      <c r="B380" s="105"/>
      <c r="C380" s="105"/>
    </row>
    <row r="381" spans="1:3" ht="12.75">
      <c r="A381" s="105"/>
      <c r="B381" s="105"/>
      <c r="C381" s="105"/>
    </row>
    <row r="382" spans="1:3" ht="12.75">
      <c r="A382" s="105"/>
      <c r="B382" s="105"/>
      <c r="C382" s="105"/>
    </row>
    <row r="383" spans="1:3" ht="12.75">
      <c r="A383" s="105"/>
      <c r="B383" s="105"/>
      <c r="C383" s="105"/>
    </row>
    <row r="384" spans="1:3" ht="12.75">
      <c r="A384" s="105"/>
      <c r="B384" s="105"/>
      <c r="C384" s="105"/>
    </row>
    <row r="385" spans="1:3" ht="12.75">
      <c r="A385" s="105"/>
      <c r="B385" s="105"/>
      <c r="C385" s="105"/>
    </row>
    <row r="386" spans="1:3" ht="12.75">
      <c r="A386" s="105"/>
      <c r="B386" s="105"/>
      <c r="C386" s="105"/>
    </row>
    <row r="387" spans="1:3" ht="12.75">
      <c r="A387" s="105"/>
      <c r="B387" s="105"/>
      <c r="C387" s="105"/>
    </row>
    <row r="388" spans="1:3" ht="12.75">
      <c r="A388" s="105"/>
      <c r="B388" s="105"/>
      <c r="C388" s="105"/>
    </row>
    <row r="389" spans="1:3" ht="12.75">
      <c r="A389" s="105"/>
      <c r="B389" s="105"/>
      <c r="C389" s="105"/>
    </row>
    <row r="390" spans="1:3" ht="12.75">
      <c r="A390" s="105"/>
      <c r="B390" s="105"/>
      <c r="C390" s="105"/>
    </row>
    <row r="391" spans="1:3" ht="12.75">
      <c r="A391" s="105"/>
      <c r="B391" s="105"/>
      <c r="C391" s="105"/>
    </row>
    <row r="392" spans="1:3" ht="12.75">
      <c r="A392" s="105"/>
      <c r="B392" s="105"/>
      <c r="C392" s="105"/>
    </row>
    <row r="393" spans="1:3" ht="12.75">
      <c r="A393" s="105"/>
      <c r="B393" s="105"/>
      <c r="C393" s="105"/>
    </row>
    <row r="394" spans="1:3" ht="12.75">
      <c r="A394" s="105"/>
      <c r="B394" s="105"/>
      <c r="C394" s="105"/>
    </row>
    <row r="395" spans="1:3" ht="12.75">
      <c r="A395" s="105"/>
      <c r="B395" s="105"/>
      <c r="C395" s="105"/>
    </row>
    <row r="396" spans="1:3" ht="12.75">
      <c r="A396" s="105"/>
      <c r="B396" s="105"/>
      <c r="C396" s="105"/>
    </row>
    <row r="397" spans="1:3" ht="12.75">
      <c r="A397" s="105"/>
      <c r="B397" s="105"/>
      <c r="C397" s="105"/>
    </row>
    <row r="398" spans="1:3" ht="12.75">
      <c r="A398" s="105"/>
      <c r="B398" s="105"/>
      <c r="C398" s="105"/>
    </row>
    <row r="399" spans="1:3" ht="12.75">
      <c r="A399" s="105"/>
      <c r="B399" s="105"/>
      <c r="C399" s="105"/>
    </row>
    <row r="400" spans="1:3" ht="12.75">
      <c r="A400" s="105"/>
      <c r="B400" s="105"/>
      <c r="C400" s="105"/>
    </row>
    <row r="401" spans="1:3" ht="12.75">
      <c r="A401" s="105"/>
      <c r="B401" s="105"/>
      <c r="C401" s="105"/>
    </row>
    <row r="402" spans="1:3" ht="12.75">
      <c r="A402" s="105"/>
      <c r="B402" s="105"/>
      <c r="C402" s="105"/>
    </row>
    <row r="403" spans="1:3" ht="12.75">
      <c r="A403" s="105"/>
      <c r="B403" s="105"/>
      <c r="C403" s="105"/>
    </row>
    <row r="404" spans="1:3" ht="12.75">
      <c r="A404" s="105"/>
      <c r="B404" s="105"/>
      <c r="C404" s="105"/>
    </row>
    <row r="405" spans="1:3" ht="12.75">
      <c r="A405" s="105"/>
      <c r="B405" s="105"/>
      <c r="C405" s="105"/>
    </row>
    <row r="406" spans="1:3" ht="12.75">
      <c r="A406" s="105"/>
      <c r="B406" s="105"/>
      <c r="C406" s="105"/>
    </row>
    <row r="407" spans="1:3" ht="12.75">
      <c r="A407" s="105"/>
      <c r="B407" s="105"/>
      <c r="C407" s="105"/>
    </row>
    <row r="408" spans="1:3" ht="12.75">
      <c r="A408" s="105"/>
      <c r="B408" s="105"/>
      <c r="C408" s="105"/>
    </row>
    <row r="409" spans="1:3" ht="12.75">
      <c r="A409" s="105"/>
      <c r="B409" s="105"/>
      <c r="C409" s="105"/>
    </row>
    <row r="410" spans="1:3" ht="12.75">
      <c r="A410" s="105"/>
      <c r="B410" s="105"/>
      <c r="C410" s="105"/>
    </row>
    <row r="411" spans="1:3" ht="12.75">
      <c r="A411" s="105"/>
      <c r="B411" s="105"/>
      <c r="C411" s="105"/>
    </row>
    <row r="412" spans="1:3" ht="12.75">
      <c r="A412" s="105"/>
      <c r="B412" s="105"/>
      <c r="C412" s="105"/>
    </row>
    <row r="413" spans="1:3" ht="12.75">
      <c r="A413" s="105"/>
      <c r="B413" s="105"/>
      <c r="C413" s="105"/>
    </row>
    <row r="414" spans="1:3" ht="12.75">
      <c r="A414" s="105"/>
      <c r="B414" s="105"/>
      <c r="C414" s="105"/>
    </row>
    <row r="415" spans="1:3" ht="12.75">
      <c r="A415" s="105"/>
      <c r="B415" s="105"/>
      <c r="C415" s="105"/>
    </row>
    <row r="416" spans="1:3" ht="12.75">
      <c r="A416" s="105"/>
      <c r="B416" s="105"/>
      <c r="C416" s="105"/>
    </row>
    <row r="417" spans="1:3" ht="12.75">
      <c r="A417" s="105"/>
      <c r="B417" s="105"/>
      <c r="C417" s="105"/>
    </row>
    <row r="418" spans="1:3" ht="12.75">
      <c r="A418" s="105"/>
      <c r="B418" s="105"/>
      <c r="C418" s="105"/>
    </row>
    <row r="419" spans="1:3" ht="12.75">
      <c r="A419" s="105"/>
      <c r="B419" s="105"/>
      <c r="C419" s="105"/>
    </row>
    <row r="420" spans="1:3" ht="12.75">
      <c r="A420" s="105"/>
      <c r="B420" s="105"/>
      <c r="C420" s="105"/>
    </row>
    <row r="421" spans="1:3" ht="12.75">
      <c r="A421" s="105"/>
      <c r="B421" s="105"/>
      <c r="C421" s="105"/>
    </row>
    <row r="422" spans="1:3" ht="12.75">
      <c r="A422" s="105"/>
      <c r="B422" s="105"/>
      <c r="C422" s="105"/>
    </row>
    <row r="423" spans="1:3" ht="12.75">
      <c r="A423" s="105"/>
      <c r="B423" s="105"/>
      <c r="C423" s="105"/>
    </row>
    <row r="424" spans="1:3" ht="12.75">
      <c r="A424" s="105"/>
      <c r="B424" s="105"/>
      <c r="C424" s="105"/>
    </row>
    <row r="425" spans="1:3" ht="12.75">
      <c r="A425" s="105"/>
      <c r="B425" s="105"/>
      <c r="C425" s="105"/>
    </row>
    <row r="426" spans="1:3" ht="12.75">
      <c r="A426" s="105"/>
      <c r="B426" s="105"/>
      <c r="C426" s="105"/>
    </row>
    <row r="427" spans="1:3" ht="12.75">
      <c r="A427" s="105"/>
      <c r="B427" s="105"/>
      <c r="C427" s="105"/>
    </row>
    <row r="428" spans="1:3" ht="12.75">
      <c r="A428" s="105"/>
      <c r="B428" s="105"/>
      <c r="C428" s="105"/>
    </row>
    <row r="429" spans="1:3" ht="12.75">
      <c r="A429" s="105"/>
      <c r="B429" s="105"/>
      <c r="C429" s="105"/>
    </row>
    <row r="430" spans="1:3" ht="12.75">
      <c r="A430" s="105"/>
      <c r="B430" s="105"/>
      <c r="C430" s="105"/>
    </row>
    <row r="431" spans="1:3" ht="12.75">
      <c r="A431" s="105"/>
      <c r="B431" s="105"/>
      <c r="C431" s="105"/>
    </row>
    <row r="432" spans="1:3" ht="12.75">
      <c r="A432" s="105"/>
      <c r="B432" s="105"/>
      <c r="C432" s="105"/>
    </row>
    <row r="433" spans="1:3" ht="12.75">
      <c r="A433" s="105"/>
      <c r="B433" s="105"/>
      <c r="C433" s="105"/>
    </row>
    <row r="434" spans="1:3" ht="12.75">
      <c r="A434" s="105"/>
      <c r="B434" s="105"/>
      <c r="C434" s="105"/>
    </row>
    <row r="435" spans="1:3" ht="12.75">
      <c r="A435" s="105"/>
      <c r="B435" s="105"/>
      <c r="C435" s="105"/>
    </row>
    <row r="436" spans="1:3" ht="12.75">
      <c r="A436" s="105"/>
      <c r="B436" s="105"/>
      <c r="C436" s="105"/>
    </row>
    <row r="437" spans="1:3" ht="12.75">
      <c r="A437" s="105"/>
      <c r="B437" s="105"/>
      <c r="C437" s="105"/>
    </row>
    <row r="438" spans="1:3" ht="12.75">
      <c r="A438" s="105"/>
      <c r="B438" s="105"/>
      <c r="C438" s="105"/>
    </row>
    <row r="439" spans="1:3" ht="12.75">
      <c r="A439" s="105"/>
      <c r="B439" s="105"/>
      <c r="C439" s="105"/>
    </row>
    <row r="440" spans="1:3" ht="12.75">
      <c r="A440" s="105"/>
      <c r="B440" s="105"/>
      <c r="C440" s="105"/>
    </row>
    <row r="441" spans="1:3" ht="12.75">
      <c r="A441" s="105"/>
      <c r="B441" s="105"/>
      <c r="C441" s="105"/>
    </row>
    <row r="442" spans="1:3" ht="12.75">
      <c r="A442" s="105"/>
      <c r="B442" s="105"/>
      <c r="C442" s="105"/>
    </row>
    <row r="443" spans="1:3" ht="12.75">
      <c r="A443" s="105"/>
      <c r="B443" s="105"/>
      <c r="C443" s="105"/>
    </row>
    <row r="444" spans="1:3" ht="12.75">
      <c r="A444" s="105"/>
      <c r="B444" s="105"/>
      <c r="C444" s="105"/>
    </row>
    <row r="445" spans="1:3" ht="12.75">
      <c r="A445" s="105"/>
      <c r="B445" s="105"/>
      <c r="C445" s="105"/>
    </row>
    <row r="446" spans="1:3" ht="12.75">
      <c r="A446" s="105"/>
      <c r="B446" s="105"/>
      <c r="C446" s="105"/>
    </row>
    <row r="447" spans="1:3" ht="12.75">
      <c r="A447" s="105"/>
      <c r="B447" s="105"/>
      <c r="C447" s="105"/>
    </row>
    <row r="448" spans="1:3" ht="12.75">
      <c r="A448" s="105"/>
      <c r="B448" s="105"/>
      <c r="C448" s="105"/>
    </row>
    <row r="449" spans="1:3" ht="12.75">
      <c r="A449" s="105"/>
      <c r="B449" s="105"/>
      <c r="C449" s="105"/>
    </row>
    <row r="450" spans="1:3" ht="12.75">
      <c r="A450" s="105"/>
      <c r="B450" s="105"/>
      <c r="C450" s="105"/>
    </row>
    <row r="451" spans="1:3" ht="12.75">
      <c r="A451" s="105"/>
      <c r="B451" s="105"/>
      <c r="C451" s="105"/>
    </row>
    <row r="452" spans="1:3" ht="12.75">
      <c r="A452" s="105"/>
      <c r="B452" s="105"/>
      <c r="C452" s="105"/>
    </row>
    <row r="453" spans="1:3" ht="12.75">
      <c r="A453" s="105"/>
      <c r="B453" s="105"/>
      <c r="C453" s="105"/>
    </row>
    <row r="454" spans="1:3" ht="12.75">
      <c r="A454" s="105"/>
      <c r="B454" s="105"/>
      <c r="C454" s="105"/>
    </row>
    <row r="455" spans="1:3" ht="12.75">
      <c r="A455" s="105"/>
      <c r="B455" s="105"/>
      <c r="C455" s="105"/>
    </row>
    <row r="456" spans="1:3" ht="12.75">
      <c r="A456" s="105"/>
      <c r="B456" s="105"/>
      <c r="C456" s="105"/>
    </row>
    <row r="457" spans="1:3" ht="12.75">
      <c r="A457" s="105"/>
      <c r="B457" s="105"/>
      <c r="C457" s="105"/>
    </row>
    <row r="458" spans="1:3" ht="12.75">
      <c r="A458" s="105"/>
      <c r="B458" s="105"/>
      <c r="C458" s="105"/>
    </row>
    <row r="459" spans="1:3" ht="12.75">
      <c r="A459" s="105"/>
      <c r="B459" s="105"/>
      <c r="C459" s="105"/>
    </row>
    <row r="460" spans="1:3" ht="12.75">
      <c r="A460" s="105"/>
      <c r="B460" s="105"/>
      <c r="C460" s="105"/>
    </row>
    <row r="461" spans="1:3" ht="12.75">
      <c r="A461" s="105"/>
      <c r="B461" s="105"/>
      <c r="C461" s="105"/>
    </row>
    <row r="462" spans="1:3" ht="12.75">
      <c r="A462" s="105"/>
      <c r="B462" s="105"/>
      <c r="C462" s="105"/>
    </row>
    <row r="463" spans="1:3" ht="12.75">
      <c r="A463" s="105"/>
      <c r="B463" s="105"/>
      <c r="C463" s="105"/>
    </row>
    <row r="464" spans="1:3" ht="12.75">
      <c r="A464" s="105"/>
      <c r="B464" s="105"/>
      <c r="C464" s="105"/>
    </row>
    <row r="465" spans="1:3" ht="12.75">
      <c r="A465" s="105"/>
      <c r="B465" s="105"/>
      <c r="C465" s="105"/>
    </row>
    <row r="466" spans="1:3" ht="12.75">
      <c r="A466" s="105"/>
      <c r="B466" s="105"/>
      <c r="C466" s="105"/>
    </row>
    <row r="467" spans="1:3" ht="12.75">
      <c r="A467" s="105"/>
      <c r="B467" s="105"/>
      <c r="C467" s="105"/>
    </row>
    <row r="468" spans="1:3" ht="12.75">
      <c r="A468" s="105"/>
      <c r="B468" s="105"/>
      <c r="C468" s="105"/>
    </row>
    <row r="469" spans="1:3" ht="12.75">
      <c r="A469" s="105"/>
      <c r="B469" s="105"/>
      <c r="C469" s="105"/>
    </row>
    <row r="470" spans="1:3" ht="12.75">
      <c r="A470" s="105"/>
      <c r="B470" s="105"/>
      <c r="C470" s="105"/>
    </row>
    <row r="471" spans="1:3" ht="12.75">
      <c r="A471" s="105"/>
      <c r="B471" s="105"/>
      <c r="C471" s="105"/>
    </row>
    <row r="472" spans="1:3" ht="12.75">
      <c r="A472" s="105"/>
      <c r="B472" s="105"/>
      <c r="C472" s="105"/>
    </row>
    <row r="473" spans="1:3" ht="12.75">
      <c r="A473" s="105"/>
      <c r="B473" s="105"/>
      <c r="C473" s="105"/>
    </row>
    <row r="474" spans="1:3" ht="12.75">
      <c r="A474" s="105"/>
      <c r="B474" s="105"/>
      <c r="C474" s="105"/>
    </row>
    <row r="475" spans="1:3" ht="12.75">
      <c r="A475" s="105"/>
      <c r="B475" s="105"/>
      <c r="C475" s="105"/>
    </row>
    <row r="476" spans="1:3" ht="12.75">
      <c r="A476" s="105"/>
      <c r="B476" s="105"/>
      <c r="C476" s="105"/>
    </row>
    <row r="477" spans="1:3" ht="12.75">
      <c r="A477" s="105"/>
      <c r="B477" s="105"/>
      <c r="C477" s="105"/>
    </row>
    <row r="478" spans="1:3" ht="12.75">
      <c r="A478" s="105"/>
      <c r="B478" s="105"/>
      <c r="C478" s="105"/>
    </row>
    <row r="479" spans="1:3" ht="12.75">
      <c r="A479" s="105"/>
      <c r="B479" s="105"/>
      <c r="C479" s="105"/>
    </row>
    <row r="480" spans="1:3" ht="12.75">
      <c r="A480" s="105"/>
      <c r="B480" s="105"/>
      <c r="C480" s="105"/>
    </row>
    <row r="481" spans="1:3" ht="12.75">
      <c r="A481" s="105"/>
      <c r="B481" s="105"/>
      <c r="C481" s="105"/>
    </row>
    <row r="482" spans="1:3" ht="12.75">
      <c r="A482" s="105"/>
      <c r="B482" s="105"/>
      <c r="C482" s="105"/>
    </row>
    <row r="483" spans="1:3" ht="12.75">
      <c r="A483" s="105"/>
      <c r="B483" s="105"/>
      <c r="C483" s="105"/>
    </row>
    <row r="484" spans="1:3" ht="12.75">
      <c r="A484" s="105"/>
      <c r="B484" s="105"/>
      <c r="C484" s="105"/>
    </row>
    <row r="485" spans="1:3" ht="12.75">
      <c r="A485" s="105"/>
      <c r="B485" s="105"/>
      <c r="C485" s="105"/>
    </row>
    <row r="486" spans="1:3" ht="12.75">
      <c r="A486" s="105"/>
      <c r="B486" s="105"/>
      <c r="C486" s="105"/>
    </row>
    <row r="487" spans="1:3" ht="12.75">
      <c r="A487" s="105"/>
      <c r="B487" s="105"/>
      <c r="C487" s="105"/>
    </row>
    <row r="488" spans="1:3" ht="12.75">
      <c r="A488" s="105"/>
      <c r="B488" s="105"/>
      <c r="C488" s="105"/>
    </row>
    <row r="489" spans="1:3" ht="12.75">
      <c r="A489" s="105"/>
      <c r="B489" s="105"/>
      <c r="C489" s="105"/>
    </row>
    <row r="490" spans="1:3" ht="12.75">
      <c r="A490" s="105"/>
      <c r="B490" s="105"/>
      <c r="C490" s="105"/>
    </row>
    <row r="491" spans="1:3" ht="12.75">
      <c r="A491" s="105"/>
      <c r="B491" s="105"/>
      <c r="C491" s="105"/>
    </row>
    <row r="492" spans="1:3" ht="12.75">
      <c r="A492" s="105"/>
      <c r="B492" s="105"/>
      <c r="C492" s="105"/>
    </row>
    <row r="493" spans="1:3" ht="12.75">
      <c r="A493" s="105"/>
      <c r="B493" s="105"/>
      <c r="C493" s="105"/>
    </row>
    <row r="494" spans="1:3" ht="12.75">
      <c r="A494" s="105"/>
      <c r="B494" s="105"/>
      <c r="C494" s="105"/>
    </row>
    <row r="495" spans="1:3" ht="12.75">
      <c r="A495" s="105"/>
      <c r="B495" s="105"/>
      <c r="C495" s="105"/>
    </row>
    <row r="496" spans="1:3" ht="12.75">
      <c r="A496" s="105"/>
      <c r="B496" s="105"/>
      <c r="C496" s="105"/>
    </row>
    <row r="497" spans="1:3" ht="12.75">
      <c r="A497" s="105"/>
      <c r="B497" s="105"/>
      <c r="C497" s="105"/>
    </row>
    <row r="498" spans="1:3" ht="12.75">
      <c r="A498" s="105"/>
      <c r="B498" s="105"/>
      <c r="C498" s="105"/>
    </row>
    <row r="499" spans="1:3" ht="12.75">
      <c r="A499" s="105"/>
      <c r="B499" s="105"/>
      <c r="C499" s="105"/>
    </row>
    <row r="500" spans="1:3" ht="12.75">
      <c r="A500" s="105"/>
      <c r="B500" s="105"/>
      <c r="C500" s="105"/>
    </row>
    <row r="501" spans="1:3" ht="12.75">
      <c r="A501" s="105"/>
      <c r="B501" s="105"/>
      <c r="C501" s="105"/>
    </row>
    <row r="502" spans="1:3" ht="12.75">
      <c r="A502" s="105"/>
      <c r="B502" s="105"/>
      <c r="C502" s="105"/>
    </row>
    <row r="503" spans="1:3" ht="12.75">
      <c r="A503" s="105"/>
      <c r="B503" s="105"/>
      <c r="C503" s="105"/>
    </row>
    <row r="504" spans="1:3" ht="12.75">
      <c r="A504" s="105"/>
      <c r="B504" s="105"/>
      <c r="C504" s="105"/>
    </row>
    <row r="505" spans="1:3" ht="12.75">
      <c r="A505" s="105"/>
      <c r="B505" s="105"/>
      <c r="C505" s="105"/>
    </row>
    <row r="506" spans="1:3" ht="12.75">
      <c r="A506" s="105"/>
      <c r="B506" s="105"/>
      <c r="C506" s="105"/>
    </row>
    <row r="507" spans="1:3" ht="12.75">
      <c r="A507" s="105"/>
      <c r="B507" s="105"/>
      <c r="C507" s="105"/>
    </row>
    <row r="508" spans="1:3" ht="12.75">
      <c r="A508" s="105"/>
      <c r="B508" s="105"/>
      <c r="C508" s="105"/>
    </row>
    <row r="509" spans="1:3" ht="12.75">
      <c r="A509" s="105"/>
      <c r="B509" s="105"/>
      <c r="C509" s="105"/>
    </row>
    <row r="510" spans="1:3" ht="12.75">
      <c r="A510" s="105"/>
      <c r="B510" s="105"/>
      <c r="C510" s="105"/>
    </row>
    <row r="511" spans="1:3" ht="12.75">
      <c r="A511" s="105"/>
      <c r="B511" s="105"/>
      <c r="C511" s="105"/>
    </row>
    <row r="512" spans="1:3" ht="12.75">
      <c r="A512" s="105"/>
      <c r="B512" s="105"/>
      <c r="C512" s="105"/>
    </row>
    <row r="513" spans="1:3" ht="12.75">
      <c r="A513" s="105"/>
      <c r="B513" s="105"/>
      <c r="C513" s="105"/>
    </row>
    <row r="514" spans="1:3" ht="12.75">
      <c r="A514" s="105"/>
      <c r="B514" s="105"/>
      <c r="C514" s="105"/>
    </row>
    <row r="515" spans="1:3" ht="12.75">
      <c r="A515" s="105"/>
      <c r="B515" s="105"/>
      <c r="C515" s="105"/>
    </row>
    <row r="516" spans="1:3" ht="12.75">
      <c r="A516" s="105"/>
      <c r="B516" s="105"/>
      <c r="C516" s="105"/>
    </row>
    <row r="517" spans="1:3" ht="12.75">
      <c r="A517" s="105"/>
      <c r="B517" s="105"/>
      <c r="C517" s="105"/>
    </row>
    <row r="518" spans="1:3" ht="12.75">
      <c r="A518" s="105"/>
      <c r="B518" s="105"/>
      <c r="C518" s="105"/>
    </row>
    <row r="519" spans="1:3" ht="12.75">
      <c r="A519" s="105"/>
      <c r="B519" s="105"/>
      <c r="C519" s="105"/>
    </row>
    <row r="520" spans="1:3" ht="12.75">
      <c r="A520" s="105"/>
      <c r="B520" s="105"/>
      <c r="C520" s="105"/>
    </row>
    <row r="521" spans="1:3" ht="12.75">
      <c r="A521" s="105"/>
      <c r="B521" s="105"/>
      <c r="C521" s="105"/>
    </row>
    <row r="522" spans="1:3" ht="12.75">
      <c r="A522" s="105"/>
      <c r="B522" s="105"/>
      <c r="C522" s="105"/>
    </row>
    <row r="523" spans="1:3" ht="12.75">
      <c r="A523" s="105"/>
      <c r="B523" s="105"/>
      <c r="C523" s="105"/>
    </row>
    <row r="524" spans="1:3" ht="12.75">
      <c r="A524" s="105"/>
      <c r="B524" s="105"/>
      <c r="C524" s="105"/>
    </row>
    <row r="525" spans="1:3" ht="12.75">
      <c r="A525" s="105"/>
      <c r="B525" s="105"/>
      <c r="C525" s="105"/>
    </row>
    <row r="526" spans="1:3" ht="12.75">
      <c r="A526" s="105"/>
      <c r="B526" s="105"/>
      <c r="C526" s="105"/>
    </row>
    <row r="527" spans="1:3" ht="12.75">
      <c r="A527" s="105"/>
      <c r="B527" s="105"/>
      <c r="C527" s="105"/>
    </row>
    <row r="528" spans="1:3" ht="12.75">
      <c r="A528" s="105"/>
      <c r="B528" s="105"/>
      <c r="C528" s="105"/>
    </row>
    <row r="529" spans="1:3" ht="12.75">
      <c r="A529" s="105"/>
      <c r="B529" s="105"/>
      <c r="C529" s="105"/>
    </row>
    <row r="530" spans="1:3" ht="12.75">
      <c r="A530" s="105"/>
      <c r="B530" s="105"/>
      <c r="C530" s="105"/>
    </row>
    <row r="531" spans="1:3" ht="12.75">
      <c r="A531" s="105"/>
      <c r="B531" s="105"/>
      <c r="C531" s="105"/>
    </row>
    <row r="532" spans="1:3" ht="12.75">
      <c r="A532" s="105"/>
      <c r="B532" s="105"/>
      <c r="C532" s="105"/>
    </row>
    <row r="533" spans="1:3" ht="12.75">
      <c r="A533" s="105"/>
      <c r="B533" s="105"/>
      <c r="C533" s="105"/>
    </row>
    <row r="534" spans="1:3" ht="12.75">
      <c r="A534" s="105"/>
      <c r="B534" s="105"/>
      <c r="C534" s="105"/>
    </row>
    <row r="535" spans="1:3" ht="12.75">
      <c r="A535" s="105"/>
      <c r="B535" s="105"/>
      <c r="C535" s="105"/>
    </row>
    <row r="536" spans="1:3" ht="12.75">
      <c r="A536" s="105"/>
      <c r="B536" s="105"/>
      <c r="C536" s="105"/>
    </row>
    <row r="537" spans="1:3" ht="12.75">
      <c r="A537" s="105"/>
      <c r="B537" s="105"/>
      <c r="C537" s="105"/>
    </row>
    <row r="538" spans="1:3" ht="12.75">
      <c r="A538" s="105"/>
      <c r="B538" s="105"/>
      <c r="C538" s="105"/>
    </row>
    <row r="539" spans="1:3" ht="12.75">
      <c r="A539" s="105"/>
      <c r="B539" s="105"/>
      <c r="C539" s="105"/>
    </row>
    <row r="540" spans="1:3" ht="12.75">
      <c r="A540" s="105"/>
      <c r="B540" s="105"/>
      <c r="C540" s="105"/>
    </row>
    <row r="541" spans="1:3" ht="12.75">
      <c r="A541" s="105"/>
      <c r="B541" s="105"/>
      <c r="C541" s="105"/>
    </row>
    <row r="542" spans="1:3" ht="12.75">
      <c r="A542" s="105"/>
      <c r="B542" s="105"/>
      <c r="C542" s="105"/>
    </row>
    <row r="543" spans="1:3" ht="12.75">
      <c r="A543" s="105"/>
      <c r="B543" s="105"/>
      <c r="C543" s="105"/>
    </row>
    <row r="544" spans="1:3" ht="12.75">
      <c r="A544" s="105"/>
      <c r="B544" s="105"/>
      <c r="C544" s="105"/>
    </row>
    <row r="545" spans="1:3" ht="12.75">
      <c r="A545" s="105"/>
      <c r="B545" s="105"/>
      <c r="C545" s="105"/>
    </row>
    <row r="546" spans="1:3" ht="12.75">
      <c r="A546" s="105"/>
      <c r="B546" s="105"/>
      <c r="C546" s="105"/>
    </row>
    <row r="547" spans="1:3" ht="12.75">
      <c r="A547" s="105"/>
      <c r="B547" s="105"/>
      <c r="C547" s="105"/>
    </row>
    <row r="548" spans="1:3" ht="12.75">
      <c r="A548" s="105"/>
      <c r="B548" s="105"/>
      <c r="C548" s="105"/>
    </row>
    <row r="549" spans="1:3" ht="12.75">
      <c r="A549" s="105"/>
      <c r="B549" s="105"/>
      <c r="C549" s="105"/>
    </row>
    <row r="550" spans="1:3" ht="12.75">
      <c r="A550" s="105"/>
      <c r="B550" s="105"/>
      <c r="C550" s="105"/>
    </row>
    <row r="551" spans="1:3" ht="12.75">
      <c r="A551" s="105"/>
      <c r="B551" s="105"/>
      <c r="C551" s="105"/>
    </row>
    <row r="552" spans="1:3" ht="12.75">
      <c r="A552" s="105"/>
      <c r="B552" s="105"/>
      <c r="C552" s="105"/>
    </row>
    <row r="553" spans="1:3" ht="12.75">
      <c r="A553" s="105"/>
      <c r="B553" s="105"/>
      <c r="C553" s="105"/>
    </row>
    <row r="554" spans="1:3" ht="12.75">
      <c r="A554" s="105"/>
      <c r="B554" s="105"/>
      <c r="C554" s="105"/>
    </row>
    <row r="555" spans="1:3" ht="12.75">
      <c r="A555" s="105"/>
      <c r="B555" s="105"/>
      <c r="C555" s="105"/>
    </row>
    <row r="556" spans="1:3" ht="12.75">
      <c r="A556" s="105"/>
      <c r="B556" s="105"/>
      <c r="C556" s="105"/>
    </row>
    <row r="557" spans="1:3" ht="12.75">
      <c r="A557" s="105"/>
      <c r="B557" s="105"/>
      <c r="C557" s="105"/>
    </row>
    <row r="558" spans="1:3" ht="12.75">
      <c r="A558" s="105"/>
      <c r="B558" s="105"/>
      <c r="C558" s="105"/>
    </row>
    <row r="559" spans="1:3" ht="12.75">
      <c r="A559" s="105"/>
      <c r="B559" s="105"/>
      <c r="C559" s="105"/>
    </row>
    <row r="560" spans="1:3" ht="12.75">
      <c r="A560" s="105"/>
      <c r="B560" s="105"/>
      <c r="C560" s="105"/>
    </row>
    <row r="561" spans="1:3" ht="12.75">
      <c r="A561" s="105"/>
      <c r="B561" s="105"/>
      <c r="C561" s="105"/>
    </row>
    <row r="562" spans="1:3" ht="12.75">
      <c r="A562" s="105"/>
      <c r="B562" s="105"/>
      <c r="C562" s="105"/>
    </row>
    <row r="563" spans="1:3" ht="12.75">
      <c r="A563" s="105"/>
      <c r="B563" s="105"/>
      <c r="C563" s="105"/>
    </row>
    <row r="564" spans="1:3" ht="12.75">
      <c r="A564" s="105"/>
      <c r="B564" s="105"/>
      <c r="C564" s="105"/>
    </row>
    <row r="565" spans="1:3" ht="12.75">
      <c r="A565" s="105"/>
      <c r="B565" s="105"/>
      <c r="C565" s="105"/>
    </row>
    <row r="566" spans="1:3" ht="12.75">
      <c r="A566" s="105"/>
      <c r="B566" s="105"/>
      <c r="C566" s="105"/>
    </row>
    <row r="567" spans="1:3" ht="12.75">
      <c r="A567" s="105"/>
      <c r="B567" s="105"/>
      <c r="C567" s="105"/>
    </row>
    <row r="568" spans="1:3" ht="12.75">
      <c r="A568" s="105"/>
      <c r="B568" s="105"/>
      <c r="C568" s="105"/>
    </row>
    <row r="569" spans="1:3" ht="12.75">
      <c r="A569" s="105"/>
      <c r="B569" s="105"/>
      <c r="C569" s="105"/>
    </row>
    <row r="570" spans="1:3" ht="12.75">
      <c r="A570" s="105"/>
      <c r="B570" s="105"/>
      <c r="C570" s="105"/>
    </row>
    <row r="571" spans="1:3" ht="12.75">
      <c r="A571" s="105"/>
      <c r="B571" s="105"/>
      <c r="C571" s="105"/>
    </row>
    <row r="572" spans="1:3" ht="12.75">
      <c r="A572" s="105"/>
      <c r="B572" s="105"/>
      <c r="C572" s="105"/>
    </row>
    <row r="573" spans="1:3" ht="12.75">
      <c r="A573" s="105"/>
      <c r="B573" s="105"/>
      <c r="C573" s="105"/>
    </row>
    <row r="574" spans="1:3" ht="12.75">
      <c r="A574" s="105"/>
      <c r="B574" s="105"/>
      <c r="C574" s="105"/>
    </row>
    <row r="575" spans="1:3" ht="12.75">
      <c r="A575" s="105"/>
      <c r="B575" s="105"/>
      <c r="C575" s="105"/>
    </row>
    <row r="576" spans="1:3" ht="12.75">
      <c r="A576" s="105"/>
      <c r="B576" s="105"/>
      <c r="C576" s="105"/>
    </row>
    <row r="577" spans="1:3" ht="12.75">
      <c r="A577" s="105"/>
      <c r="B577" s="105"/>
      <c r="C577" s="105"/>
    </row>
    <row r="578" spans="1:3" ht="12.75">
      <c r="A578" s="105"/>
      <c r="B578" s="105"/>
      <c r="C578" s="105"/>
    </row>
    <row r="579" spans="1:3" ht="12.75">
      <c r="A579" s="105"/>
      <c r="B579" s="105"/>
      <c r="C579" s="105"/>
    </row>
    <row r="580" spans="1:3" ht="12.75">
      <c r="A580" s="105"/>
      <c r="B580" s="105"/>
      <c r="C580" s="105"/>
    </row>
    <row r="581" spans="1:3" ht="12.75">
      <c r="A581" s="105"/>
      <c r="B581" s="105"/>
      <c r="C581" s="105"/>
    </row>
    <row r="582" spans="1:3" ht="12.75">
      <c r="A582" s="105"/>
      <c r="B582" s="105"/>
      <c r="C582" s="105"/>
    </row>
    <row r="583" spans="1:3" ht="12.75">
      <c r="A583" s="105"/>
      <c r="B583" s="105"/>
      <c r="C583" s="105"/>
    </row>
    <row r="584" spans="1:3" ht="12.75">
      <c r="A584" s="105"/>
      <c r="B584" s="105"/>
      <c r="C584" s="105"/>
    </row>
    <row r="585" spans="1:3" ht="12.75">
      <c r="A585" s="105"/>
      <c r="B585" s="105"/>
      <c r="C585" s="105"/>
    </row>
    <row r="586" spans="1:3" ht="12.75">
      <c r="A586" s="105"/>
      <c r="B586" s="105"/>
      <c r="C586" s="105"/>
    </row>
    <row r="587" spans="1:3" ht="12.75">
      <c r="A587" s="105"/>
      <c r="B587" s="105"/>
      <c r="C587" s="105"/>
    </row>
    <row r="588" spans="1:3" ht="12.75">
      <c r="A588" s="105"/>
      <c r="B588" s="105"/>
      <c r="C588" s="105"/>
    </row>
    <row r="589" spans="1:3" ht="12.75">
      <c r="A589" s="105"/>
      <c r="B589" s="105"/>
      <c r="C589" s="105"/>
    </row>
    <row r="590" spans="1:3" ht="12.75">
      <c r="A590" s="105"/>
      <c r="B590" s="105"/>
      <c r="C590" s="105"/>
    </row>
    <row r="591" spans="1:3" ht="12.75">
      <c r="A591" s="105"/>
      <c r="B591" s="105"/>
      <c r="C591" s="105"/>
    </row>
    <row r="592" spans="1:3" ht="12.75">
      <c r="A592" s="105"/>
      <c r="B592" s="105"/>
      <c r="C592" s="105"/>
    </row>
    <row r="593" spans="1:3" ht="12.75">
      <c r="A593" s="105"/>
      <c r="B593" s="105"/>
      <c r="C593" s="105"/>
    </row>
    <row r="594" spans="1:3" ht="12.75">
      <c r="A594" s="105"/>
      <c r="B594" s="105"/>
      <c r="C594" s="105"/>
    </row>
    <row r="595" spans="1:3" ht="12.75">
      <c r="A595" s="105"/>
      <c r="B595" s="105"/>
      <c r="C595" s="105"/>
    </row>
    <row r="596" spans="1:3" ht="12.75">
      <c r="A596" s="105"/>
      <c r="B596" s="105"/>
      <c r="C596" s="105"/>
    </row>
    <row r="597" spans="1:3" ht="12.75">
      <c r="A597" s="105"/>
      <c r="B597" s="105"/>
      <c r="C597" s="105"/>
    </row>
    <row r="598" spans="1:3" ht="12.75">
      <c r="A598" s="105"/>
      <c r="B598" s="105"/>
      <c r="C598" s="105"/>
    </row>
    <row r="599" spans="1:3" ht="12.75">
      <c r="A599" s="105"/>
      <c r="B599" s="105"/>
      <c r="C599" s="105"/>
    </row>
    <row r="600" spans="1:3" ht="12.75">
      <c r="A600" s="105"/>
      <c r="B600" s="105"/>
      <c r="C600" s="105"/>
    </row>
    <row r="601" spans="1:3" ht="12.75">
      <c r="A601" s="105"/>
      <c r="B601" s="105"/>
      <c r="C601" s="105"/>
    </row>
    <row r="602" spans="1:3" ht="12.75">
      <c r="A602" s="105"/>
      <c r="B602" s="105"/>
      <c r="C602" s="105"/>
    </row>
    <row r="603" spans="1:3" ht="12.75">
      <c r="A603" s="105"/>
      <c r="B603" s="105"/>
      <c r="C603" s="105"/>
    </row>
    <row r="604" spans="1:3" ht="12.75">
      <c r="A604" s="105"/>
      <c r="B604" s="105"/>
      <c r="C604" s="105"/>
    </row>
    <row r="605" spans="1:3" ht="12.75">
      <c r="A605" s="105"/>
      <c r="B605" s="105"/>
      <c r="C605" s="105"/>
    </row>
    <row r="606" spans="1:3" ht="12.75">
      <c r="A606" s="105"/>
      <c r="B606" s="105"/>
      <c r="C606" s="105"/>
    </row>
    <row r="607" spans="1:3" ht="12.75">
      <c r="A607" s="105"/>
      <c r="B607" s="105"/>
      <c r="C607" s="105"/>
    </row>
    <row r="608" spans="1:3" ht="12.75">
      <c r="A608" s="105"/>
      <c r="B608" s="105"/>
      <c r="C608" s="105"/>
    </row>
    <row r="609" spans="1:3" ht="12.75">
      <c r="A609" s="105"/>
      <c r="B609" s="105"/>
      <c r="C609" s="105"/>
    </row>
    <row r="610" spans="1:3" ht="12.75">
      <c r="A610" s="105"/>
      <c r="B610" s="105"/>
      <c r="C610" s="105"/>
    </row>
    <row r="611" spans="1:3" ht="12.75">
      <c r="A611" s="105"/>
      <c r="B611" s="105"/>
      <c r="C611" s="105"/>
    </row>
    <row r="612" spans="1:3" ht="12.75">
      <c r="A612" s="105"/>
      <c r="B612" s="105"/>
      <c r="C612" s="105"/>
    </row>
    <row r="613" spans="1:3" ht="12.75">
      <c r="A613" s="105"/>
      <c r="B613" s="105"/>
      <c r="C613" s="105"/>
    </row>
    <row r="614" spans="1:3" ht="12.75">
      <c r="A614" s="105"/>
      <c r="B614" s="105"/>
      <c r="C614" s="105"/>
    </row>
    <row r="615" spans="1:3" ht="12.75">
      <c r="A615" s="105"/>
      <c r="B615" s="105"/>
      <c r="C615" s="105"/>
    </row>
    <row r="616" spans="1:3" ht="12.75">
      <c r="A616" s="105"/>
      <c r="B616" s="105"/>
      <c r="C616" s="105"/>
    </row>
    <row r="617" spans="1:3" ht="12.75">
      <c r="A617" s="105"/>
      <c r="B617" s="105"/>
      <c r="C617" s="105"/>
    </row>
    <row r="618" spans="1:3" ht="12.75">
      <c r="A618" s="105"/>
      <c r="B618" s="105"/>
      <c r="C618" s="105"/>
    </row>
    <row r="619" spans="1:3" ht="12.75">
      <c r="A619" s="105"/>
      <c r="B619" s="105"/>
      <c r="C619" s="105"/>
    </row>
    <row r="620" spans="1:3" ht="12.75">
      <c r="A620" s="105"/>
      <c r="B620" s="105"/>
      <c r="C620" s="105"/>
    </row>
    <row r="621" spans="1:3" ht="12.75">
      <c r="A621" s="105"/>
      <c r="B621" s="105"/>
      <c r="C621" s="105"/>
    </row>
    <row r="622" spans="1:3" ht="12.75">
      <c r="A622" s="105"/>
      <c r="B622" s="105"/>
      <c r="C622" s="105"/>
    </row>
    <row r="623" spans="1:3" ht="12.75">
      <c r="A623" s="105"/>
      <c r="B623" s="105"/>
      <c r="C623" s="105"/>
    </row>
    <row r="624" spans="1:3" ht="12.75">
      <c r="A624" s="105"/>
      <c r="B624" s="105"/>
      <c r="C624" s="105"/>
    </row>
    <row r="625" spans="1:3" ht="12.75">
      <c r="A625" s="105"/>
      <c r="B625" s="105"/>
      <c r="C625" s="105"/>
    </row>
    <row r="626" spans="1:3" ht="12.75">
      <c r="A626" s="105"/>
      <c r="B626" s="105"/>
      <c r="C626" s="105"/>
    </row>
    <row r="627" spans="1:3" ht="12.75">
      <c r="A627" s="105"/>
      <c r="B627" s="105"/>
      <c r="C627" s="105"/>
    </row>
    <row r="628" spans="1:3" ht="12.75">
      <c r="A628" s="105"/>
      <c r="B628" s="105"/>
      <c r="C628" s="105"/>
    </row>
    <row r="629" spans="1:3" ht="12.75">
      <c r="A629" s="105"/>
      <c r="B629" s="105"/>
      <c r="C629" s="105"/>
    </row>
    <row r="630" spans="1:3" ht="12.75">
      <c r="A630" s="105"/>
      <c r="B630" s="105"/>
      <c r="C630" s="105"/>
    </row>
    <row r="631" spans="1:3" ht="12.75">
      <c r="A631" s="105"/>
      <c r="B631" s="105"/>
      <c r="C631" s="105"/>
    </row>
    <row r="632" spans="1:3" ht="12.75">
      <c r="A632" s="105"/>
      <c r="B632" s="105"/>
      <c r="C632" s="105"/>
    </row>
    <row r="633" spans="1:3" ht="12.75">
      <c r="A633" s="105"/>
      <c r="B633" s="105"/>
      <c r="C633" s="105"/>
    </row>
    <row r="634" spans="1:3" ht="12.75">
      <c r="A634" s="105"/>
      <c r="B634" s="105"/>
      <c r="C634" s="105"/>
    </row>
    <row r="635" spans="1:3" ht="12.75">
      <c r="A635" s="105"/>
      <c r="B635" s="105"/>
      <c r="C635" s="105"/>
    </row>
    <row r="636" spans="1:3" ht="12.75">
      <c r="A636" s="105"/>
      <c r="B636" s="105"/>
      <c r="C636" s="105"/>
    </row>
    <row r="637" spans="1:3" ht="12.75">
      <c r="A637" s="105"/>
      <c r="B637" s="105"/>
      <c r="C637" s="105"/>
    </row>
    <row r="638" spans="1:3" ht="12.75">
      <c r="A638" s="105"/>
      <c r="B638" s="105"/>
      <c r="C638" s="105"/>
    </row>
    <row r="639" spans="1:3" ht="12.75">
      <c r="A639" s="105"/>
      <c r="B639" s="105"/>
      <c r="C639" s="105"/>
    </row>
    <row r="640" spans="1:3" ht="12.75">
      <c r="A640" s="105"/>
      <c r="B640" s="105"/>
      <c r="C640" s="105"/>
    </row>
    <row r="641" spans="1:3" ht="12.75">
      <c r="A641" s="105"/>
      <c r="B641" s="105"/>
      <c r="C641" s="105"/>
    </row>
    <row r="642" spans="1:3" ht="12.75">
      <c r="A642" s="105"/>
      <c r="B642" s="105"/>
      <c r="C642" s="105"/>
    </row>
    <row r="643" spans="1:3" ht="12.75">
      <c r="A643" s="105"/>
      <c r="B643" s="105"/>
      <c r="C643" s="105"/>
    </row>
    <row r="644" spans="1:3" ht="12.75">
      <c r="A644" s="105"/>
      <c r="B644" s="105"/>
      <c r="C644" s="105"/>
    </row>
    <row r="645" spans="1:3" ht="12.75">
      <c r="A645" s="105"/>
      <c r="B645" s="105"/>
      <c r="C645" s="105"/>
    </row>
    <row r="646" spans="1:3" ht="12.75">
      <c r="A646" s="105"/>
      <c r="B646" s="105"/>
      <c r="C646" s="105"/>
    </row>
    <row r="647" spans="1:3" ht="12.75">
      <c r="A647" s="105"/>
      <c r="B647" s="105"/>
      <c r="C647" s="105"/>
    </row>
    <row r="648" spans="1:3" ht="12.75">
      <c r="A648" s="105"/>
      <c r="B648" s="105"/>
      <c r="C648" s="105"/>
    </row>
    <row r="649" spans="1:3" ht="12.75">
      <c r="A649" s="105"/>
      <c r="B649" s="105"/>
      <c r="C649" s="105"/>
    </row>
    <row r="650" spans="1:3" ht="12.75">
      <c r="A650" s="105"/>
      <c r="B650" s="105"/>
      <c r="C650" s="105"/>
    </row>
    <row r="651" spans="1:3" ht="12.75">
      <c r="A651" s="105"/>
      <c r="B651" s="105"/>
      <c r="C651" s="105"/>
    </row>
    <row r="652" spans="1:3" ht="12.75">
      <c r="A652" s="105"/>
      <c r="B652" s="105"/>
      <c r="C652" s="105"/>
    </row>
    <row r="653" spans="1:3" ht="12.75">
      <c r="A653" s="105"/>
      <c r="B653" s="105"/>
      <c r="C653" s="105"/>
    </row>
    <row r="654" spans="1:3" ht="12.75">
      <c r="A654" s="105"/>
      <c r="B654" s="105"/>
      <c r="C654" s="105"/>
    </row>
    <row r="655" spans="1:3" ht="12.75">
      <c r="A655" s="105"/>
      <c r="B655" s="105"/>
      <c r="C655" s="105"/>
    </row>
    <row r="656" spans="1:3" ht="12.75">
      <c r="A656" s="105"/>
      <c r="B656" s="105"/>
      <c r="C656" s="105"/>
    </row>
    <row r="657" spans="1:3" ht="12.75">
      <c r="A657" s="105"/>
      <c r="B657" s="105"/>
      <c r="C657" s="105"/>
    </row>
    <row r="658" spans="1:3" ht="12.75">
      <c r="A658" s="105"/>
      <c r="B658" s="105"/>
      <c r="C658" s="105"/>
    </row>
    <row r="659" spans="1:3" ht="12.75">
      <c r="A659" s="105"/>
      <c r="B659" s="105"/>
      <c r="C659" s="105"/>
    </row>
    <row r="660" spans="1:3" ht="12.75">
      <c r="A660" s="105"/>
      <c r="B660" s="105"/>
      <c r="C660" s="105"/>
    </row>
    <row r="661" spans="1:3" ht="12.75">
      <c r="A661" s="105"/>
      <c r="B661" s="105"/>
      <c r="C661" s="105"/>
    </row>
    <row r="662" spans="1:3" ht="12.75">
      <c r="A662" s="105"/>
      <c r="B662" s="105"/>
      <c r="C662" s="105"/>
    </row>
    <row r="663" spans="1:3" ht="12.75">
      <c r="A663" s="105"/>
      <c r="B663" s="105"/>
      <c r="C663" s="105"/>
    </row>
    <row r="664" spans="1:3" ht="12.75">
      <c r="A664" s="105"/>
      <c r="B664" s="105"/>
      <c r="C664" s="105"/>
    </row>
    <row r="665" spans="1:3" ht="12.75">
      <c r="A665" s="105"/>
      <c r="B665" s="105"/>
      <c r="C665" s="105"/>
    </row>
    <row r="666" spans="1:3" ht="12.75">
      <c r="A666" s="105"/>
      <c r="B666" s="105"/>
      <c r="C666" s="105"/>
    </row>
    <row r="667" spans="1:3" ht="12.75">
      <c r="A667" s="105"/>
      <c r="B667" s="105"/>
      <c r="C667" s="105"/>
    </row>
    <row r="668" spans="1:3" ht="12.75">
      <c r="A668" s="105"/>
      <c r="B668" s="105"/>
      <c r="C668" s="105"/>
    </row>
    <row r="669" spans="1:3" ht="12.75">
      <c r="A669" s="105"/>
      <c r="B669" s="105"/>
      <c r="C669" s="105"/>
    </row>
    <row r="670" spans="1:3" ht="12.75">
      <c r="A670" s="105"/>
      <c r="B670" s="105"/>
      <c r="C670" s="105"/>
    </row>
    <row r="671" spans="1:3" ht="12.75">
      <c r="A671" s="105"/>
      <c r="B671" s="105"/>
      <c r="C671" s="105"/>
    </row>
    <row r="672" spans="1:3" ht="12.75">
      <c r="A672" s="105"/>
      <c r="B672" s="105"/>
      <c r="C672" s="105"/>
    </row>
    <row r="673" spans="1:3" ht="12.75">
      <c r="A673" s="105"/>
      <c r="B673" s="105"/>
      <c r="C673" s="105"/>
    </row>
    <row r="674" spans="1:3" ht="12.75">
      <c r="A674" s="105"/>
      <c r="B674" s="105"/>
      <c r="C674" s="105"/>
    </row>
    <row r="675" spans="1:3" ht="12.75">
      <c r="A675" s="105"/>
      <c r="B675" s="105"/>
      <c r="C675" s="105"/>
    </row>
    <row r="676" spans="1:3" ht="12.75">
      <c r="A676" s="105"/>
      <c r="B676" s="105"/>
      <c r="C676" s="105"/>
    </row>
    <row r="677" spans="1:3" ht="12.75">
      <c r="A677" s="105"/>
      <c r="B677" s="105"/>
      <c r="C677" s="105"/>
    </row>
    <row r="678" spans="1:3" ht="12.75">
      <c r="A678" s="105"/>
      <c r="B678" s="105"/>
      <c r="C678" s="105"/>
    </row>
    <row r="679" spans="1:3" ht="12.75">
      <c r="A679" s="105"/>
      <c r="B679" s="105"/>
      <c r="C679" s="105"/>
    </row>
    <row r="680" spans="1:3" ht="12.75">
      <c r="A680" s="105"/>
      <c r="B680" s="105"/>
      <c r="C680" s="105"/>
    </row>
    <row r="681" spans="1:3" ht="12.75">
      <c r="A681" s="105"/>
      <c r="B681" s="105"/>
      <c r="C681" s="105"/>
    </row>
    <row r="682" spans="1:3" ht="12.75">
      <c r="A682" s="105"/>
      <c r="B682" s="105"/>
      <c r="C682" s="105"/>
    </row>
    <row r="683" spans="1:3" ht="12.75">
      <c r="A683" s="105"/>
      <c r="B683" s="105"/>
      <c r="C683" s="105"/>
    </row>
    <row r="684" spans="1:3" ht="12.75">
      <c r="A684" s="105"/>
      <c r="B684" s="105"/>
      <c r="C684" s="105"/>
    </row>
    <row r="685" spans="1:3" ht="12.75">
      <c r="A685" s="105"/>
      <c r="B685" s="105"/>
      <c r="C685" s="105"/>
    </row>
    <row r="686" spans="1:3" ht="12.75">
      <c r="A686" s="105"/>
      <c r="B686" s="105"/>
      <c r="C686" s="105"/>
    </row>
    <row r="687" spans="1:3" ht="12.75">
      <c r="A687" s="105"/>
      <c r="B687" s="105"/>
      <c r="C687" s="105"/>
    </row>
    <row r="688" spans="1:3" ht="12.75">
      <c r="A688" s="105"/>
      <c r="B688" s="105"/>
      <c r="C688" s="105"/>
    </row>
    <row r="689" spans="1:3" ht="12.75">
      <c r="A689" s="105"/>
      <c r="B689" s="105"/>
      <c r="C689" s="105"/>
    </row>
    <row r="690" spans="1:3" ht="12.75">
      <c r="A690" s="105"/>
      <c r="B690" s="105"/>
      <c r="C690" s="105"/>
    </row>
    <row r="691" spans="1:3" ht="12.75">
      <c r="A691" s="105"/>
      <c r="B691" s="105"/>
      <c r="C691" s="105"/>
    </row>
    <row r="692" spans="1:3" ht="12.75">
      <c r="A692" s="105"/>
      <c r="B692" s="105"/>
      <c r="C692" s="105"/>
    </row>
    <row r="693" spans="1:3" ht="12.75">
      <c r="A693" s="105"/>
      <c r="B693" s="105"/>
      <c r="C693" s="105"/>
    </row>
    <row r="694" spans="1:3" ht="12.75">
      <c r="A694" s="105"/>
      <c r="B694" s="105"/>
      <c r="C694" s="105"/>
    </row>
    <row r="695" spans="1:3" ht="12.75">
      <c r="A695" s="105"/>
      <c r="B695" s="105"/>
      <c r="C695" s="105"/>
    </row>
    <row r="696" spans="1:3" ht="12.75">
      <c r="A696" s="105"/>
      <c r="B696" s="105"/>
      <c r="C696" s="105"/>
    </row>
    <row r="697" spans="1:3" ht="12.75">
      <c r="A697" s="105"/>
      <c r="B697" s="105"/>
      <c r="C697" s="105"/>
    </row>
    <row r="698" spans="1:3" ht="12.75">
      <c r="A698" s="105"/>
      <c r="B698" s="105"/>
      <c r="C698" s="105"/>
    </row>
    <row r="699" spans="1:3" ht="12.75">
      <c r="A699" s="105"/>
      <c r="B699" s="105"/>
      <c r="C699" s="105"/>
    </row>
    <row r="700" spans="1:3" ht="12.75">
      <c r="A700" s="105"/>
      <c r="B700" s="105"/>
      <c r="C700" s="105"/>
    </row>
    <row r="701" spans="1:3" ht="12.75">
      <c r="A701" s="105"/>
      <c r="B701" s="105"/>
      <c r="C701" s="105"/>
    </row>
    <row r="702" spans="1:3" ht="12.75">
      <c r="A702" s="105"/>
      <c r="B702" s="105"/>
      <c r="C702" s="105"/>
    </row>
    <row r="703" spans="1:3" ht="12.75">
      <c r="A703" s="105"/>
      <c r="B703" s="105"/>
      <c r="C703" s="105"/>
    </row>
    <row r="704" spans="1:3" ht="12.75">
      <c r="A704" s="105"/>
      <c r="B704" s="105"/>
      <c r="C704" s="105"/>
    </row>
    <row r="705" spans="1:3" ht="12.75">
      <c r="A705" s="105"/>
      <c r="B705" s="105"/>
      <c r="C705" s="105"/>
    </row>
    <row r="706" spans="1:3" ht="12.75">
      <c r="A706" s="105"/>
      <c r="B706" s="105"/>
      <c r="C706" s="105"/>
    </row>
    <row r="707" spans="1:3" ht="12.75">
      <c r="A707" s="105"/>
      <c r="B707" s="105"/>
      <c r="C707" s="105"/>
    </row>
    <row r="708" spans="1:3" ht="12.75">
      <c r="A708" s="105"/>
      <c r="B708" s="105"/>
      <c r="C708" s="105"/>
    </row>
    <row r="709" spans="1:3" ht="12.75">
      <c r="A709" s="105"/>
      <c r="B709" s="105"/>
      <c r="C709" s="105"/>
    </row>
    <row r="710" spans="1:3" ht="12.75">
      <c r="A710" s="105"/>
      <c r="B710" s="105"/>
      <c r="C710" s="105"/>
    </row>
    <row r="711" spans="1:3" ht="12.75">
      <c r="A711" s="105"/>
      <c r="B711" s="105"/>
      <c r="C711" s="105"/>
    </row>
    <row r="712" spans="1:3" ht="12.75">
      <c r="A712" s="105"/>
      <c r="B712" s="105"/>
      <c r="C712" s="105"/>
    </row>
    <row r="713" spans="1:3" ht="12.75">
      <c r="A713" s="105"/>
      <c r="B713" s="105"/>
      <c r="C713" s="105"/>
    </row>
    <row r="714" spans="1:3" ht="12.75">
      <c r="A714" s="105"/>
      <c r="B714" s="105"/>
      <c r="C714" s="105"/>
    </row>
    <row r="715" spans="1:3" ht="12.75">
      <c r="A715" s="105"/>
      <c r="B715" s="105"/>
      <c r="C715" s="105"/>
    </row>
    <row r="716" spans="1:3" ht="12.75">
      <c r="A716" s="105"/>
      <c r="B716" s="105"/>
      <c r="C716" s="105"/>
    </row>
    <row r="717" spans="1:3" ht="12.75">
      <c r="A717" s="105"/>
      <c r="B717" s="105"/>
      <c r="C717" s="105"/>
    </row>
    <row r="718" spans="1:3" ht="12.75">
      <c r="A718" s="105"/>
      <c r="B718" s="105"/>
      <c r="C718" s="105"/>
    </row>
    <row r="719" spans="1:3" ht="12.75">
      <c r="A719" s="105"/>
      <c r="B719" s="105"/>
      <c r="C719" s="105"/>
    </row>
    <row r="720" spans="1:3" ht="12.75">
      <c r="A720" s="105"/>
      <c r="B720" s="105"/>
      <c r="C720" s="105"/>
    </row>
    <row r="721" spans="1:3" ht="12.75">
      <c r="A721" s="105"/>
      <c r="B721" s="105"/>
      <c r="C721" s="105"/>
    </row>
    <row r="722" spans="1:3" ht="12.75">
      <c r="A722" s="105"/>
      <c r="B722" s="105"/>
      <c r="C722" s="105"/>
    </row>
    <row r="723" spans="1:3" ht="12.75">
      <c r="A723" s="105"/>
      <c r="B723" s="105"/>
      <c r="C723" s="105"/>
    </row>
    <row r="724" spans="1:3" ht="12.75">
      <c r="A724" s="105"/>
      <c r="B724" s="105"/>
      <c r="C724" s="105"/>
    </row>
    <row r="725" spans="1:3" ht="12.75">
      <c r="A725" s="105"/>
      <c r="B725" s="105"/>
      <c r="C725" s="105"/>
    </row>
    <row r="726" spans="1:3" ht="12.75">
      <c r="A726" s="105"/>
      <c r="B726" s="105"/>
      <c r="C726" s="105"/>
    </row>
    <row r="727" spans="1:3" ht="12.75">
      <c r="A727" s="105"/>
      <c r="B727" s="105"/>
      <c r="C727" s="105"/>
    </row>
    <row r="728" spans="1:3" ht="12.75">
      <c r="A728" s="105"/>
      <c r="B728" s="105"/>
      <c r="C728" s="105"/>
    </row>
    <row r="729" spans="1:3" ht="12.75">
      <c r="A729" s="105"/>
      <c r="B729" s="105"/>
      <c r="C729" s="105"/>
    </row>
    <row r="730" spans="1:3" ht="12.75">
      <c r="A730" s="105"/>
      <c r="B730" s="105"/>
      <c r="C730" s="105"/>
    </row>
    <row r="731" spans="1:3" ht="12.75">
      <c r="A731" s="105"/>
      <c r="B731" s="105"/>
      <c r="C731" s="105"/>
    </row>
    <row r="732" spans="1:3" ht="12.75">
      <c r="A732" s="105"/>
      <c r="B732" s="105"/>
      <c r="C732" s="105"/>
    </row>
    <row r="733" spans="1:3" ht="12.75">
      <c r="A733" s="105"/>
      <c r="B733" s="105"/>
      <c r="C733" s="105"/>
    </row>
    <row r="734" spans="1:3" ht="12.75">
      <c r="A734" s="105"/>
      <c r="B734" s="105"/>
      <c r="C734" s="105"/>
    </row>
    <row r="735" spans="1:3" ht="12.75">
      <c r="A735" s="105"/>
      <c r="B735" s="105"/>
      <c r="C735" s="105"/>
    </row>
    <row r="736" spans="1:3" ht="12.75">
      <c r="A736" s="105"/>
      <c r="B736" s="105"/>
      <c r="C736" s="105"/>
    </row>
    <row r="737" spans="1:3" ht="12.75">
      <c r="A737" s="105"/>
      <c r="B737" s="105"/>
      <c r="C737" s="105"/>
    </row>
    <row r="738" spans="1:3" ht="12.75">
      <c r="A738" s="105"/>
      <c r="B738" s="105"/>
      <c r="C738" s="105"/>
    </row>
    <row r="739" spans="1:3" ht="12.75">
      <c r="A739" s="105"/>
      <c r="B739" s="105"/>
      <c r="C739" s="105"/>
    </row>
    <row r="740" spans="1:3" ht="12.75">
      <c r="A740" s="105"/>
      <c r="B740" s="105"/>
      <c r="C740" s="105"/>
    </row>
    <row r="741" spans="1:3" ht="12.75">
      <c r="A741" s="105"/>
      <c r="B741" s="105"/>
      <c r="C741" s="105"/>
    </row>
    <row r="742" spans="1:3" ht="12.75">
      <c r="A742" s="105"/>
      <c r="B742" s="105"/>
      <c r="C742" s="105"/>
    </row>
    <row r="743" spans="1:3" ht="12.75">
      <c r="A743" s="105"/>
      <c r="B743" s="105"/>
      <c r="C743" s="105"/>
    </row>
    <row r="744" spans="1:3" ht="12.75">
      <c r="A744" s="105"/>
      <c r="B744" s="105"/>
      <c r="C744" s="105"/>
    </row>
    <row r="745" spans="1:3" ht="12.75">
      <c r="A745" s="105"/>
      <c r="B745" s="105"/>
      <c r="C745" s="105"/>
    </row>
    <row r="746" spans="1:3" ht="12.75">
      <c r="A746" s="105"/>
      <c r="B746" s="105"/>
      <c r="C746" s="105"/>
    </row>
    <row r="747" spans="1:3" ht="12.75">
      <c r="A747" s="105"/>
      <c r="B747" s="105"/>
      <c r="C747" s="105"/>
    </row>
    <row r="748" spans="1:3" ht="12.75">
      <c r="A748" s="105"/>
      <c r="B748" s="105"/>
      <c r="C748" s="105"/>
    </row>
    <row r="749" spans="1:3" ht="12.75">
      <c r="A749" s="105"/>
      <c r="B749" s="105"/>
      <c r="C749" s="105"/>
    </row>
    <row r="750" spans="1:3" ht="12.75">
      <c r="A750" s="105"/>
      <c r="B750" s="105"/>
      <c r="C750" s="105"/>
    </row>
    <row r="751" spans="1:3" ht="12.75">
      <c r="A751" s="105"/>
      <c r="B751" s="105"/>
      <c r="C751" s="105"/>
    </row>
    <row r="752" spans="1:3" ht="12.75">
      <c r="A752" s="105"/>
      <c r="B752" s="105"/>
      <c r="C752" s="105"/>
    </row>
    <row r="753" spans="1:3" ht="12.75">
      <c r="A753" s="105"/>
      <c r="B753" s="105"/>
      <c r="C753" s="105"/>
    </row>
    <row r="754" spans="1:3" ht="12.75">
      <c r="A754" s="105"/>
      <c r="B754" s="105"/>
      <c r="C754" s="105"/>
    </row>
    <row r="755" spans="1:3" ht="12.75">
      <c r="A755" s="105"/>
      <c r="B755" s="105"/>
      <c r="C755" s="105"/>
    </row>
    <row r="756" spans="1:3" ht="12.75">
      <c r="A756" s="105"/>
      <c r="B756" s="105"/>
      <c r="C756" s="105"/>
    </row>
    <row r="757" spans="1:3" ht="12.75">
      <c r="A757" s="105"/>
      <c r="B757" s="105"/>
      <c r="C757" s="105"/>
    </row>
    <row r="758" spans="1:3" ht="12.75">
      <c r="A758" s="105"/>
      <c r="B758" s="105"/>
      <c r="C758" s="105"/>
    </row>
    <row r="759" spans="1:3" ht="12.75">
      <c r="A759" s="105"/>
      <c r="B759" s="105"/>
      <c r="C759" s="105"/>
    </row>
    <row r="760" spans="1:3" ht="12.75">
      <c r="A760" s="105"/>
      <c r="B760" s="105"/>
      <c r="C760" s="105"/>
    </row>
    <row r="761" spans="1:3" ht="12.75">
      <c r="A761" s="105"/>
      <c r="B761" s="105"/>
      <c r="C761" s="105"/>
    </row>
    <row r="762" spans="1:3" ht="12.75">
      <c r="A762" s="105"/>
      <c r="B762" s="105"/>
      <c r="C762" s="105"/>
    </row>
    <row r="763" spans="1:3" ht="12.75">
      <c r="A763" s="105"/>
      <c r="B763" s="105"/>
      <c r="C763" s="105"/>
    </row>
    <row r="764" spans="1:3" ht="12.75">
      <c r="A764" s="105"/>
      <c r="B764" s="105"/>
      <c r="C764" s="105"/>
    </row>
    <row r="765" spans="1:3" ht="12.75">
      <c r="A765" s="105"/>
      <c r="B765" s="105"/>
      <c r="C765" s="105"/>
    </row>
    <row r="766" spans="1:3" ht="12.75">
      <c r="A766" s="105"/>
      <c r="B766" s="105"/>
      <c r="C766" s="105"/>
    </row>
    <row r="767" spans="1:3" ht="12.75">
      <c r="A767" s="105"/>
      <c r="B767" s="105"/>
      <c r="C767" s="105"/>
    </row>
    <row r="768" spans="1:3" ht="12.75">
      <c r="A768" s="105"/>
      <c r="B768" s="105"/>
      <c r="C768" s="105"/>
    </row>
    <row r="769" spans="1:3" ht="12.75">
      <c r="A769" s="105"/>
      <c r="B769" s="105"/>
      <c r="C769" s="105"/>
    </row>
    <row r="770" spans="1:3" ht="12.75">
      <c r="A770" s="105"/>
      <c r="B770" s="105"/>
      <c r="C770" s="105"/>
    </row>
    <row r="771" spans="1:3" ht="12.75">
      <c r="A771" s="105"/>
      <c r="B771" s="105"/>
      <c r="C771" s="105"/>
    </row>
    <row r="772" spans="1:3" ht="12.75">
      <c r="A772" s="105"/>
      <c r="B772" s="105"/>
      <c r="C772" s="105"/>
    </row>
    <row r="773" spans="1:3" ht="12.75">
      <c r="A773" s="105"/>
      <c r="B773" s="105"/>
      <c r="C773" s="105"/>
    </row>
    <row r="774" spans="1:3" ht="12.75">
      <c r="A774" s="105"/>
      <c r="B774" s="105"/>
      <c r="C774" s="105"/>
    </row>
    <row r="775" spans="1:3" ht="12.75">
      <c r="A775" s="105"/>
      <c r="B775" s="105"/>
      <c r="C775" s="105"/>
    </row>
    <row r="776" spans="1:3" ht="12.75">
      <c r="A776" s="105"/>
      <c r="B776" s="105"/>
      <c r="C776" s="105"/>
    </row>
    <row r="777" spans="1:3" ht="12.75">
      <c r="A777" s="105"/>
      <c r="B777" s="105"/>
      <c r="C777" s="105"/>
    </row>
    <row r="778" spans="1:3" ht="12.75">
      <c r="A778" s="105"/>
      <c r="B778" s="105"/>
      <c r="C778" s="105"/>
    </row>
    <row r="779" spans="1:3" ht="12.75">
      <c r="A779" s="105"/>
      <c r="B779" s="105"/>
      <c r="C779" s="105"/>
    </row>
    <row r="780" spans="1:3" ht="12.75">
      <c r="A780" s="105"/>
      <c r="B780" s="105"/>
      <c r="C780" s="105"/>
    </row>
    <row r="781" spans="1:3" ht="12.75">
      <c r="A781" s="105"/>
      <c r="B781" s="105"/>
      <c r="C781" s="105"/>
    </row>
    <row r="782" spans="1:3" ht="12.75">
      <c r="A782" s="105"/>
      <c r="B782" s="105"/>
      <c r="C782" s="105"/>
    </row>
    <row r="783" spans="1:3" ht="12.75">
      <c r="A783" s="105"/>
      <c r="B783" s="105"/>
      <c r="C783" s="105"/>
    </row>
    <row r="784" spans="1:3" ht="12.75">
      <c r="A784" s="105"/>
      <c r="B784" s="105"/>
      <c r="C784" s="105"/>
    </row>
    <row r="785" spans="1:3" ht="12.75">
      <c r="A785" s="105"/>
      <c r="B785" s="105"/>
      <c r="C785" s="105"/>
    </row>
    <row r="786" spans="1:3" ht="12.75">
      <c r="A786" s="105"/>
      <c r="B786" s="105"/>
      <c r="C786" s="105"/>
    </row>
    <row r="787" spans="1:3" ht="12.75">
      <c r="A787" s="105"/>
      <c r="B787" s="105"/>
      <c r="C787" s="105"/>
    </row>
    <row r="788" spans="1:3" ht="12.75">
      <c r="A788" s="105"/>
      <c r="B788" s="105"/>
      <c r="C788" s="105"/>
    </row>
    <row r="789" spans="1:3" ht="12.75">
      <c r="A789" s="105"/>
      <c r="B789" s="105"/>
      <c r="C789" s="105"/>
    </row>
    <row r="790" spans="1:3" ht="12.75">
      <c r="A790" s="105"/>
      <c r="B790" s="105"/>
      <c r="C790" s="105"/>
    </row>
    <row r="791" spans="1:3" ht="12.75">
      <c r="A791" s="105"/>
      <c r="B791" s="105"/>
      <c r="C791" s="105"/>
    </row>
    <row r="792" spans="1:3" ht="12.75">
      <c r="A792" s="105"/>
      <c r="B792" s="105"/>
      <c r="C792" s="105"/>
    </row>
    <row r="793" spans="1:3" ht="12.75">
      <c r="A793" s="105"/>
      <c r="B793" s="105"/>
      <c r="C793" s="105"/>
    </row>
    <row r="794" spans="1:3" ht="12.75">
      <c r="A794" s="105"/>
      <c r="B794" s="105"/>
      <c r="C794" s="105"/>
    </row>
    <row r="795" spans="1:3" ht="12.75">
      <c r="A795" s="105"/>
      <c r="B795" s="105"/>
      <c r="C795" s="105"/>
    </row>
    <row r="796" spans="1:3" ht="12.75">
      <c r="A796" s="105"/>
      <c r="B796" s="105"/>
      <c r="C796" s="105"/>
    </row>
    <row r="797" spans="1:3" ht="12.75">
      <c r="A797" s="105"/>
      <c r="B797" s="105"/>
      <c r="C797" s="105"/>
    </row>
    <row r="798" spans="1:3" ht="12.75">
      <c r="A798" s="105"/>
      <c r="B798" s="105"/>
      <c r="C798" s="105"/>
    </row>
    <row r="799" spans="1:3" ht="12.75">
      <c r="A799" s="105"/>
      <c r="B799" s="105"/>
      <c r="C799" s="105"/>
    </row>
    <row r="800" spans="1:3" ht="12.75">
      <c r="A800" s="105"/>
      <c r="B800" s="105"/>
      <c r="C800" s="105"/>
    </row>
    <row r="801" spans="1:3" ht="12.75">
      <c r="A801" s="105"/>
      <c r="B801" s="105"/>
      <c r="C801" s="105"/>
    </row>
    <row r="802" spans="1:3" ht="12.75">
      <c r="A802" s="105"/>
      <c r="B802" s="105"/>
      <c r="C802" s="105"/>
    </row>
    <row r="803" spans="1:3" ht="12.75">
      <c r="A803" s="105"/>
      <c r="B803" s="105"/>
      <c r="C803" s="105"/>
    </row>
    <row r="804" spans="1:3" ht="12.75">
      <c r="A804" s="105"/>
      <c r="B804" s="105"/>
      <c r="C804" s="105"/>
    </row>
    <row r="805" spans="1:3" ht="12.75">
      <c r="A805" s="105"/>
      <c r="B805" s="105"/>
      <c r="C805" s="105"/>
    </row>
    <row r="806" spans="1:3" ht="12.75">
      <c r="A806" s="105"/>
      <c r="B806" s="105"/>
      <c r="C806" s="105"/>
    </row>
    <row r="807" spans="1:3" ht="12.75">
      <c r="A807" s="105"/>
      <c r="B807" s="105"/>
      <c r="C807" s="105"/>
    </row>
    <row r="808" spans="1:3" ht="12.75">
      <c r="A808" s="105"/>
      <c r="B808" s="105"/>
      <c r="C808" s="105"/>
    </row>
    <row r="809" spans="1:3" ht="12.75">
      <c r="A809" s="105"/>
      <c r="B809" s="105"/>
      <c r="C809" s="105"/>
    </row>
    <row r="810" spans="1:3" ht="12.75">
      <c r="A810" s="105"/>
      <c r="B810" s="105"/>
      <c r="C810" s="105"/>
    </row>
    <row r="811" spans="1:3" ht="12.75">
      <c r="A811" s="105"/>
      <c r="B811" s="105"/>
      <c r="C811" s="105"/>
    </row>
    <row r="812" spans="1:3" ht="12.75">
      <c r="A812" s="105"/>
      <c r="B812" s="105"/>
      <c r="C812" s="105"/>
    </row>
    <row r="813" spans="1:3" ht="12.75">
      <c r="A813" s="105"/>
      <c r="B813" s="105"/>
      <c r="C813" s="105"/>
    </row>
    <row r="814" spans="1:3" ht="12.75">
      <c r="A814" s="105"/>
      <c r="B814" s="105"/>
      <c r="C814" s="105"/>
    </row>
    <row r="815" spans="1:3" ht="12.75">
      <c r="A815" s="105"/>
      <c r="B815" s="105"/>
      <c r="C815" s="105"/>
    </row>
    <row r="816" spans="1:3" ht="12.75">
      <c r="A816" s="105"/>
      <c r="B816" s="105"/>
      <c r="C816" s="105"/>
    </row>
    <row r="817" spans="1:3" ht="12.75">
      <c r="A817" s="105"/>
      <c r="B817" s="105"/>
      <c r="C817" s="105"/>
    </row>
    <row r="818" spans="1:3" ht="12.75">
      <c r="A818" s="105"/>
      <c r="B818" s="105"/>
      <c r="C818" s="105"/>
    </row>
    <row r="819" spans="1:3" ht="12.75">
      <c r="A819" s="105"/>
      <c r="B819" s="105"/>
      <c r="C819" s="105"/>
    </row>
    <row r="820" spans="1:3" ht="12.75">
      <c r="A820" s="105"/>
      <c r="B820" s="105"/>
      <c r="C820" s="105"/>
    </row>
    <row r="821" spans="1:3" ht="12.75">
      <c r="A821" s="105"/>
      <c r="B821" s="105"/>
      <c r="C821" s="105"/>
    </row>
    <row r="822" spans="1:3" ht="12.75">
      <c r="A822" s="105"/>
      <c r="B822" s="105"/>
      <c r="C822" s="105"/>
    </row>
    <row r="823" spans="1:3" ht="12.75">
      <c r="A823" s="105"/>
      <c r="B823" s="105"/>
      <c r="C823" s="105"/>
    </row>
    <row r="824" spans="1:3" ht="12.75">
      <c r="A824" s="105"/>
      <c r="B824" s="105"/>
      <c r="C824" s="105"/>
    </row>
    <row r="825" spans="1:3" ht="12.75">
      <c r="A825" s="105"/>
      <c r="B825" s="105"/>
      <c r="C825" s="105"/>
    </row>
    <row r="826" spans="1:3" ht="12.75">
      <c r="A826" s="105"/>
      <c r="B826" s="105"/>
      <c r="C826" s="105"/>
    </row>
    <row r="827" spans="1:3" ht="12.75">
      <c r="A827" s="105"/>
      <c r="B827" s="105"/>
      <c r="C827" s="105"/>
    </row>
    <row r="828" spans="1:3" ht="12.75">
      <c r="A828" s="105"/>
      <c r="B828" s="105"/>
      <c r="C828" s="105"/>
    </row>
    <row r="829" spans="1:3" ht="12.75">
      <c r="A829" s="105"/>
      <c r="B829" s="105"/>
      <c r="C829" s="105"/>
    </row>
    <row r="830" spans="1:3" ht="12.75">
      <c r="A830" s="105"/>
      <c r="B830" s="105"/>
      <c r="C830" s="105"/>
    </row>
    <row r="831" spans="1:3" ht="12.75">
      <c r="A831" s="105"/>
      <c r="B831" s="105"/>
      <c r="C831" s="105"/>
    </row>
    <row r="832" spans="1:3" ht="12.75">
      <c r="A832" s="105"/>
      <c r="B832" s="105"/>
      <c r="C832" s="105"/>
    </row>
    <row r="833" spans="1:3" ht="12.75">
      <c r="A833" s="105"/>
      <c r="B833" s="105"/>
      <c r="C833" s="105"/>
    </row>
    <row r="834" spans="1:3" ht="12.75">
      <c r="A834" s="105"/>
      <c r="B834" s="105"/>
      <c r="C834" s="105"/>
    </row>
    <row r="835" spans="1:3" ht="12.75">
      <c r="A835" s="105"/>
      <c r="B835" s="105"/>
      <c r="C835" s="105"/>
    </row>
    <row r="836" spans="1:3" ht="12.75">
      <c r="A836" s="105"/>
      <c r="B836" s="105"/>
      <c r="C836" s="105"/>
    </row>
    <row r="837" spans="1:3" ht="12.75">
      <c r="A837" s="105"/>
      <c r="B837" s="105"/>
      <c r="C837" s="105"/>
    </row>
    <row r="838" spans="1:3" ht="12.75">
      <c r="A838" s="105"/>
      <c r="B838" s="105"/>
      <c r="C838" s="105"/>
    </row>
    <row r="839" spans="1:3" ht="12.75">
      <c r="A839" s="105"/>
      <c r="B839" s="105"/>
      <c r="C839" s="105"/>
    </row>
    <row r="840" spans="1:3" ht="12.75">
      <c r="A840" s="105"/>
      <c r="B840" s="105"/>
      <c r="C840" s="105"/>
    </row>
    <row r="841" spans="1:3" ht="12.75">
      <c r="A841" s="105"/>
      <c r="B841" s="105"/>
      <c r="C841" s="105"/>
    </row>
    <row r="842" spans="1:3" ht="12.75">
      <c r="A842" s="105"/>
      <c r="B842" s="105"/>
      <c r="C842" s="105"/>
    </row>
    <row r="843" spans="1:3" ht="12.75">
      <c r="A843" s="105"/>
      <c r="B843" s="105"/>
      <c r="C843" s="105"/>
    </row>
    <row r="844" spans="1:3" ht="12.75">
      <c r="A844" s="105"/>
      <c r="B844" s="105"/>
      <c r="C844" s="105"/>
    </row>
    <row r="845" spans="1:3" ht="12.75">
      <c r="A845" s="105"/>
      <c r="B845" s="105"/>
      <c r="C845" s="105"/>
    </row>
    <row r="846" spans="1:3" ht="12.75">
      <c r="A846" s="105"/>
      <c r="B846" s="105"/>
      <c r="C846" s="105"/>
    </row>
    <row r="847" spans="1:3" ht="12.75">
      <c r="A847" s="105"/>
      <c r="B847" s="105"/>
      <c r="C847" s="105"/>
    </row>
    <row r="848" spans="1:3" ht="12.75">
      <c r="A848" s="105"/>
      <c r="B848" s="105"/>
      <c r="C848" s="105"/>
    </row>
    <row r="849" spans="1:3" ht="12.75">
      <c r="A849" s="105"/>
      <c r="B849" s="105"/>
      <c r="C849" s="105"/>
    </row>
    <row r="850" spans="1:3" ht="12.75">
      <c r="A850" s="105"/>
      <c r="B850" s="105"/>
      <c r="C850" s="105"/>
    </row>
    <row r="851" spans="1:3" ht="12.75">
      <c r="A851" s="105"/>
      <c r="B851" s="105"/>
      <c r="C851" s="105"/>
    </row>
    <row r="852" spans="1:3" ht="12.75">
      <c r="A852" s="105"/>
      <c r="B852" s="105"/>
      <c r="C852" s="105"/>
    </row>
    <row r="853" spans="1:3" ht="12.75">
      <c r="A853" s="105"/>
      <c r="B853" s="105"/>
      <c r="C853" s="105"/>
    </row>
    <row r="854" spans="1:3" ht="12.75">
      <c r="A854" s="105"/>
      <c r="B854" s="105"/>
      <c r="C854" s="105"/>
    </row>
    <row r="855" spans="1:3" ht="12.75">
      <c r="A855" s="105"/>
      <c r="B855" s="105"/>
      <c r="C855" s="105"/>
    </row>
    <row r="856" spans="1:3" ht="12.75">
      <c r="A856" s="105"/>
      <c r="B856" s="105"/>
      <c r="C856" s="105"/>
    </row>
    <row r="857" spans="1:3" ht="12.75">
      <c r="A857" s="105"/>
      <c r="B857" s="105"/>
      <c r="C857" s="105"/>
    </row>
    <row r="858" spans="1:3" ht="12.75">
      <c r="A858" s="105"/>
      <c r="B858" s="105"/>
      <c r="C858" s="105"/>
    </row>
    <row r="859" spans="1:3" ht="12.75">
      <c r="A859" s="105"/>
      <c r="B859" s="105"/>
      <c r="C859" s="105"/>
    </row>
    <row r="860" spans="1:3" ht="12.75">
      <c r="A860" s="105"/>
      <c r="B860" s="105"/>
      <c r="C860" s="105"/>
    </row>
    <row r="861" spans="1:3" ht="12.75">
      <c r="A861" s="105"/>
      <c r="B861" s="105"/>
      <c r="C861" s="105"/>
    </row>
    <row r="862" spans="1:3" ht="12.75">
      <c r="A862" s="105"/>
      <c r="B862" s="105"/>
      <c r="C862" s="105"/>
    </row>
    <row r="863" spans="1:3" ht="12.75">
      <c r="A863" s="105"/>
      <c r="B863" s="105"/>
      <c r="C863" s="105"/>
    </row>
    <row r="864" spans="1:3" ht="12.75">
      <c r="A864" s="105"/>
      <c r="B864" s="105"/>
      <c r="C864" s="105"/>
    </row>
    <row r="865" spans="1:3" ht="12.75">
      <c r="A865" s="105"/>
      <c r="B865" s="105"/>
      <c r="C865" s="105"/>
    </row>
    <row r="866" spans="1:3" ht="12.75">
      <c r="A866" s="105"/>
      <c r="B866" s="105"/>
      <c r="C866" s="105"/>
    </row>
    <row r="867" spans="1:3" ht="12.75">
      <c r="A867" s="105"/>
      <c r="B867" s="105"/>
      <c r="C867" s="105"/>
    </row>
    <row r="868" spans="1:3" ht="12.75">
      <c r="A868" s="105"/>
      <c r="B868" s="105"/>
      <c r="C868" s="105"/>
    </row>
    <row r="869" spans="1:3" ht="12.75">
      <c r="A869" s="105"/>
      <c r="B869" s="105"/>
      <c r="C869" s="105"/>
    </row>
    <row r="870" spans="1:3" ht="12.75">
      <c r="A870" s="105"/>
      <c r="B870" s="105"/>
      <c r="C870" s="105"/>
    </row>
    <row r="871" spans="1:3" ht="12.75">
      <c r="A871" s="105"/>
      <c r="B871" s="105"/>
      <c r="C871" s="105"/>
    </row>
    <row r="872" spans="1:3" ht="12.75">
      <c r="A872" s="105"/>
      <c r="B872" s="105"/>
      <c r="C872" s="105"/>
    </row>
    <row r="873" spans="1:3" ht="12.75">
      <c r="A873" s="105"/>
      <c r="B873" s="105"/>
      <c r="C873" s="105"/>
    </row>
    <row r="874" spans="1:3" ht="12.75">
      <c r="A874" s="105"/>
      <c r="B874" s="105"/>
      <c r="C874" s="105"/>
    </row>
    <row r="875" spans="1:3" ht="12.75">
      <c r="A875" s="105"/>
      <c r="B875" s="105"/>
      <c r="C875" s="105"/>
    </row>
    <row r="876" spans="1:3" ht="12.75">
      <c r="A876" s="105"/>
      <c r="B876" s="105"/>
      <c r="C876" s="105"/>
    </row>
    <row r="877" spans="1:3" ht="12.75">
      <c r="A877" s="105"/>
      <c r="B877" s="105"/>
      <c r="C877" s="105"/>
    </row>
    <row r="878" spans="1:3" ht="12.75">
      <c r="A878" s="105"/>
      <c r="B878" s="105"/>
      <c r="C878" s="105"/>
    </row>
    <row r="879" spans="1:3" ht="12.75">
      <c r="A879" s="105"/>
      <c r="B879" s="105"/>
      <c r="C879" s="105"/>
    </row>
    <row r="880" spans="1:3" ht="12.75">
      <c r="A880" s="105"/>
      <c r="B880" s="105"/>
      <c r="C880" s="105"/>
    </row>
    <row r="881" spans="1:3" ht="12.75">
      <c r="A881" s="105"/>
      <c r="B881" s="105"/>
      <c r="C881" s="105"/>
    </row>
    <row r="882" spans="1:3" ht="12.75">
      <c r="A882" s="105"/>
      <c r="B882" s="105"/>
      <c r="C882" s="105"/>
    </row>
    <row r="883" spans="1:3" ht="12.75">
      <c r="A883" s="105"/>
      <c r="B883" s="105"/>
      <c r="C883" s="105"/>
    </row>
    <row r="884" spans="1:3" ht="12.75">
      <c r="A884" s="105"/>
      <c r="B884" s="105"/>
      <c r="C884" s="105"/>
    </row>
    <row r="885" spans="1:3" ht="12.75">
      <c r="A885" s="105"/>
      <c r="B885" s="105"/>
      <c r="C885" s="105"/>
    </row>
    <row r="886" spans="1:3" ht="12.75">
      <c r="A886" s="105"/>
      <c r="B886" s="105"/>
      <c r="C886" s="105"/>
    </row>
    <row r="887" spans="1:3" ht="12.75">
      <c r="A887" s="105"/>
      <c r="B887" s="105"/>
      <c r="C887" s="105"/>
    </row>
    <row r="888" spans="1:3" ht="12.75">
      <c r="A888" s="105"/>
      <c r="B888" s="105"/>
      <c r="C888" s="105"/>
    </row>
    <row r="889" spans="1:3" ht="12.75">
      <c r="A889" s="105"/>
      <c r="B889" s="105"/>
      <c r="C889" s="105"/>
    </row>
    <row r="890" spans="1:3" ht="12.75">
      <c r="A890" s="105"/>
      <c r="B890" s="105"/>
      <c r="C890" s="105"/>
    </row>
    <row r="891" spans="1:3" ht="12.75">
      <c r="A891" s="105"/>
      <c r="B891" s="105"/>
      <c r="C891" s="105"/>
    </row>
    <row r="892" spans="1:3" ht="12.75">
      <c r="A892" s="105"/>
      <c r="B892" s="105"/>
      <c r="C892" s="105"/>
    </row>
    <row r="893" spans="1:3" ht="12.75">
      <c r="A893" s="105"/>
      <c r="B893" s="105"/>
      <c r="C893" s="105"/>
    </row>
    <row r="894" spans="1:3" ht="12.75">
      <c r="A894" s="105"/>
      <c r="B894" s="105"/>
      <c r="C894" s="105"/>
    </row>
    <row r="895" spans="1:3" ht="12.75">
      <c r="A895" s="105"/>
      <c r="B895" s="105"/>
      <c r="C895" s="105"/>
    </row>
    <row r="896" spans="1:3" ht="12.75">
      <c r="A896" s="105"/>
      <c r="B896" s="105"/>
      <c r="C896" s="105"/>
    </row>
    <row r="897" spans="1:3" ht="12.75">
      <c r="A897" s="105"/>
      <c r="B897" s="105"/>
      <c r="C897" s="105"/>
    </row>
    <row r="898" spans="1:3" ht="12.75">
      <c r="A898" s="105"/>
      <c r="B898" s="105"/>
      <c r="C898" s="105"/>
    </row>
    <row r="899" spans="1:3" ht="12.75">
      <c r="A899" s="105"/>
      <c r="B899" s="105"/>
      <c r="C899" s="105"/>
    </row>
    <row r="900" spans="1:3" ht="12.75">
      <c r="A900" s="105"/>
      <c r="B900" s="105"/>
      <c r="C900" s="105"/>
    </row>
    <row r="901" spans="1:3" ht="12.75">
      <c r="A901" s="105"/>
      <c r="B901" s="105"/>
      <c r="C901" s="105"/>
    </row>
    <row r="902" spans="1:3" ht="12.75">
      <c r="A902" s="105"/>
      <c r="B902" s="105"/>
      <c r="C902" s="105"/>
    </row>
    <row r="903" spans="1:3" ht="12.75">
      <c r="A903" s="105"/>
      <c r="B903" s="105"/>
      <c r="C903" s="105"/>
    </row>
    <row r="904" spans="1:3" ht="12.75">
      <c r="A904" s="105"/>
      <c r="B904" s="105"/>
      <c r="C904" s="105"/>
    </row>
    <row r="905" spans="1:3" ht="12.75">
      <c r="A905" s="105"/>
      <c r="B905" s="105"/>
      <c r="C905" s="105"/>
    </row>
    <row r="906" spans="1:3" ht="12.75">
      <c r="A906" s="105"/>
      <c r="B906" s="105"/>
      <c r="C906" s="105"/>
    </row>
    <row r="907" spans="1:3" ht="12.75">
      <c r="A907" s="105"/>
      <c r="B907" s="105"/>
      <c r="C907" s="105"/>
    </row>
    <row r="908" spans="1:3" ht="12.75">
      <c r="A908" s="105"/>
      <c r="B908" s="105"/>
      <c r="C908" s="105"/>
    </row>
    <row r="909" spans="1:3" ht="12.75">
      <c r="A909" s="105"/>
      <c r="B909" s="105"/>
      <c r="C909" s="105"/>
    </row>
    <row r="910" spans="1:3" ht="12.75">
      <c r="A910" s="105"/>
      <c r="B910" s="105"/>
      <c r="C910" s="105"/>
    </row>
    <row r="911" spans="1:3" ht="12.75">
      <c r="A911" s="105"/>
      <c r="B911" s="105"/>
      <c r="C911" s="105"/>
    </row>
    <row r="912" spans="1:3" ht="12.75">
      <c r="A912" s="105"/>
      <c r="B912" s="105"/>
      <c r="C912" s="105"/>
    </row>
    <row r="913" spans="1:3" ht="12.75">
      <c r="A913" s="105"/>
      <c r="B913" s="105"/>
      <c r="C913" s="105"/>
    </row>
    <row r="914" spans="1:3" ht="12.75">
      <c r="A914" s="105"/>
      <c r="B914" s="105"/>
      <c r="C914" s="105"/>
    </row>
    <row r="915" spans="1:3" ht="12.75">
      <c r="A915" s="105"/>
      <c r="B915" s="105"/>
      <c r="C915" s="105"/>
    </row>
    <row r="916" spans="1:3" ht="12.75">
      <c r="A916" s="105"/>
      <c r="B916" s="105"/>
      <c r="C916" s="105"/>
    </row>
    <row r="917" spans="1:3" ht="12.75">
      <c r="A917" s="105"/>
      <c r="B917" s="105"/>
      <c r="C917" s="105"/>
    </row>
    <row r="918" spans="1:3" ht="12.75">
      <c r="A918" s="105"/>
      <c r="B918" s="105"/>
      <c r="C918" s="105"/>
    </row>
    <row r="919" spans="1:3" ht="12.75">
      <c r="A919" s="105"/>
      <c r="B919" s="105"/>
      <c r="C919" s="105"/>
    </row>
    <row r="920" spans="1:3" ht="12.75">
      <c r="A920" s="105"/>
      <c r="B920" s="105"/>
      <c r="C920" s="105"/>
    </row>
    <row r="921" spans="1:3" ht="12.75">
      <c r="A921" s="105"/>
      <c r="B921" s="105"/>
      <c r="C921" s="105"/>
    </row>
    <row r="922" spans="1:3" ht="12.75">
      <c r="A922" s="105"/>
      <c r="B922" s="105"/>
      <c r="C922" s="105"/>
    </row>
    <row r="923" spans="1:3" ht="12.75">
      <c r="A923" s="105"/>
      <c r="B923" s="105"/>
      <c r="C923" s="105"/>
    </row>
    <row r="924" spans="1:3" ht="12.75">
      <c r="A924" s="105"/>
      <c r="B924" s="105"/>
      <c r="C924" s="105"/>
    </row>
    <row r="925" spans="1:3" ht="12.75">
      <c r="A925" s="105"/>
      <c r="B925" s="105"/>
      <c r="C925" s="105"/>
    </row>
    <row r="926" spans="1:3" ht="12.75">
      <c r="A926" s="105"/>
      <c r="B926" s="105"/>
      <c r="C926" s="105"/>
    </row>
    <row r="927" spans="1:3" ht="12.75">
      <c r="A927" s="105"/>
      <c r="B927" s="105"/>
      <c r="C927" s="105"/>
    </row>
    <row r="928" spans="1:3" ht="12.75">
      <c r="A928" s="105"/>
      <c r="B928" s="105"/>
      <c r="C928" s="105"/>
    </row>
    <row r="929" spans="1:3" ht="12.75">
      <c r="A929" s="105"/>
      <c r="B929" s="105"/>
      <c r="C929" s="105"/>
    </row>
    <row r="930" spans="1:3" ht="12.75">
      <c r="A930" s="105"/>
      <c r="B930" s="105"/>
      <c r="C930" s="105"/>
    </row>
    <row r="931" spans="1:3" ht="12.75">
      <c r="A931" s="105"/>
      <c r="B931" s="105"/>
      <c r="C931" s="105"/>
    </row>
    <row r="932" spans="1:3" ht="12.75">
      <c r="A932" s="105"/>
      <c r="B932" s="105"/>
      <c r="C932" s="105"/>
    </row>
    <row r="933" spans="1:3" ht="12.75">
      <c r="A933" s="105"/>
      <c r="B933" s="105"/>
      <c r="C933" s="105"/>
    </row>
    <row r="934" spans="1:3" ht="12.75">
      <c r="A934" s="105"/>
      <c r="B934" s="105"/>
      <c r="C934" s="105"/>
    </row>
    <row r="935" spans="1:3" ht="12.75">
      <c r="A935" s="105"/>
      <c r="B935" s="105"/>
      <c r="C935" s="105"/>
    </row>
    <row r="936" spans="1:3" ht="12.75">
      <c r="A936" s="105"/>
      <c r="B936" s="105"/>
      <c r="C936" s="105"/>
    </row>
    <row r="937" spans="1:3" ht="12.75">
      <c r="A937" s="105"/>
      <c r="B937" s="105"/>
      <c r="C937" s="105"/>
    </row>
    <row r="938" spans="1:3" ht="12.75">
      <c r="A938" s="105"/>
      <c r="B938" s="105"/>
      <c r="C938" s="105"/>
    </row>
    <row r="939" spans="1:3" ht="12.75">
      <c r="A939" s="105"/>
      <c r="B939" s="105"/>
      <c r="C939" s="105"/>
    </row>
    <row r="940" spans="1:3" ht="12.75">
      <c r="A940" s="105"/>
      <c r="B940" s="105"/>
      <c r="C940" s="105"/>
    </row>
    <row r="941" spans="1:3" ht="12.75">
      <c r="A941" s="105"/>
      <c r="B941" s="105"/>
      <c r="C941" s="105"/>
    </row>
    <row r="942" spans="1:3" ht="12.75">
      <c r="A942" s="105"/>
      <c r="B942" s="105"/>
      <c r="C942" s="105"/>
    </row>
    <row r="943" spans="1:3" ht="12.75">
      <c r="A943" s="105"/>
      <c r="B943" s="105"/>
      <c r="C943" s="105"/>
    </row>
    <row r="944" spans="1:3" ht="12.75">
      <c r="A944" s="105"/>
      <c r="B944" s="105"/>
      <c r="C944" s="105"/>
    </row>
    <row r="945" spans="1:3" ht="12.75">
      <c r="A945" s="105"/>
      <c r="B945" s="105"/>
      <c r="C945" s="105"/>
    </row>
    <row r="946" spans="1:3" ht="12.75">
      <c r="A946" s="105"/>
      <c r="B946" s="105"/>
      <c r="C946" s="105"/>
    </row>
    <row r="947" spans="1:3" ht="12.75">
      <c r="A947" s="105"/>
      <c r="B947" s="105"/>
      <c r="C947" s="105"/>
    </row>
    <row r="948" spans="1:3" ht="12.75">
      <c r="A948" s="105"/>
      <c r="B948" s="105"/>
      <c r="C948" s="105"/>
    </row>
    <row r="949" spans="1:3" ht="12.75">
      <c r="A949" s="105"/>
      <c r="B949" s="105"/>
      <c r="C949" s="105"/>
    </row>
    <row r="950" spans="1:3" ht="12.75">
      <c r="A950" s="105"/>
      <c r="B950" s="105"/>
      <c r="C950" s="105"/>
    </row>
    <row r="951" spans="1:3" ht="12.75">
      <c r="A951" s="105"/>
      <c r="B951" s="105"/>
      <c r="C951" s="105"/>
    </row>
    <row r="952" spans="1:3" ht="12.75">
      <c r="A952" s="105"/>
      <c r="B952" s="105"/>
      <c r="C952" s="105"/>
    </row>
    <row r="953" spans="1:3" ht="12.75">
      <c r="A953" s="105"/>
      <c r="B953" s="105"/>
      <c r="C953" s="105"/>
    </row>
    <row r="954" spans="1:3" ht="12.75">
      <c r="A954" s="105"/>
      <c r="B954" s="105"/>
      <c r="C954" s="105"/>
    </row>
    <row r="955" spans="1:3" ht="12.75">
      <c r="A955" s="105"/>
      <c r="B955" s="105"/>
      <c r="C955" s="105"/>
    </row>
    <row r="956" spans="1:3" ht="12.75">
      <c r="A956" s="105"/>
      <c r="B956" s="105"/>
      <c r="C956" s="105"/>
    </row>
    <row r="957" spans="1:3" ht="12.75">
      <c r="A957" s="105"/>
      <c r="B957" s="105"/>
      <c r="C957" s="105"/>
    </row>
    <row r="958" spans="1:3" ht="12.75">
      <c r="A958" s="105"/>
      <c r="B958" s="105"/>
      <c r="C958" s="105"/>
    </row>
    <row r="959" spans="1:3" ht="12.75">
      <c r="A959" s="105"/>
      <c r="B959" s="105"/>
      <c r="C959" s="105"/>
    </row>
    <row r="960" spans="1:3" ht="12.75">
      <c r="A960" s="105"/>
      <c r="B960" s="105"/>
      <c r="C960" s="105"/>
    </row>
    <row r="961" spans="1:3" ht="12.75">
      <c r="A961" s="105"/>
      <c r="B961" s="105"/>
      <c r="C961" s="105"/>
    </row>
    <row r="962" spans="1:3" ht="12.75">
      <c r="A962" s="105"/>
      <c r="B962" s="105"/>
      <c r="C962" s="105"/>
    </row>
    <row r="963" spans="1:3" ht="12.75">
      <c r="A963" s="105"/>
      <c r="B963" s="105"/>
      <c r="C963" s="105"/>
    </row>
    <row r="964" spans="1:3" ht="12.75">
      <c r="A964" s="105"/>
      <c r="B964" s="105"/>
      <c r="C964" s="105"/>
    </row>
    <row r="965" spans="1:3" ht="12.75">
      <c r="A965" s="105"/>
      <c r="B965" s="105"/>
      <c r="C965" s="105"/>
    </row>
    <row r="966" spans="1:3" ht="12.75">
      <c r="A966" s="105"/>
      <c r="B966" s="105"/>
      <c r="C966" s="105"/>
    </row>
    <row r="967" spans="1:3" ht="12.75">
      <c r="A967" s="105"/>
      <c r="B967" s="105"/>
      <c r="C967" s="105"/>
    </row>
    <row r="968" spans="1:3" ht="12.75">
      <c r="A968" s="105"/>
      <c r="B968" s="105"/>
      <c r="C968" s="105"/>
    </row>
    <row r="969" spans="1:3" ht="12.75">
      <c r="A969" s="105"/>
      <c r="B969" s="105"/>
      <c r="C969" s="105"/>
    </row>
    <row r="970" spans="1:3" ht="12.75">
      <c r="A970" s="105"/>
      <c r="B970" s="105"/>
      <c r="C970" s="105"/>
    </row>
    <row r="971" spans="1:3" ht="12.75">
      <c r="A971" s="105"/>
      <c r="B971" s="105"/>
      <c r="C971" s="105"/>
    </row>
    <row r="972" spans="1:3" ht="12.75">
      <c r="A972" s="105"/>
      <c r="B972" s="105"/>
      <c r="C972" s="105"/>
    </row>
    <row r="973" spans="1:3" ht="12.75">
      <c r="A973" s="105"/>
      <c r="B973" s="105"/>
      <c r="C973" s="105"/>
    </row>
    <row r="974" spans="1:3" ht="12.75">
      <c r="A974" s="105"/>
      <c r="B974" s="105"/>
      <c r="C974" s="105"/>
    </row>
    <row r="975" spans="1:3" ht="12.75">
      <c r="A975" s="105"/>
      <c r="B975" s="105"/>
      <c r="C975" s="105"/>
    </row>
    <row r="976" spans="1:3" ht="12.75">
      <c r="A976" s="105"/>
      <c r="B976" s="105"/>
      <c r="C976" s="105"/>
    </row>
    <row r="977" spans="1:3" ht="12.75">
      <c r="A977" s="105"/>
      <c r="B977" s="105"/>
      <c r="C977" s="105"/>
    </row>
    <row r="978" spans="1:3" ht="12.75">
      <c r="A978" s="105"/>
      <c r="B978" s="105"/>
      <c r="C978" s="105"/>
    </row>
    <row r="979" spans="1:3" ht="12.75">
      <c r="A979" s="105"/>
      <c r="B979" s="105"/>
      <c r="C979" s="105"/>
    </row>
    <row r="980" spans="1:3" ht="12.75">
      <c r="A980" s="105"/>
      <c r="B980" s="105"/>
      <c r="C980" s="105"/>
    </row>
    <row r="981" spans="1:3" ht="12.75">
      <c r="A981" s="105"/>
      <c r="B981" s="105"/>
      <c r="C981" s="105"/>
    </row>
    <row r="982" spans="1:3" ht="12.75">
      <c r="A982" s="105"/>
      <c r="B982" s="105"/>
      <c r="C982" s="105"/>
    </row>
    <row r="983" spans="1:3" ht="12.75">
      <c r="A983" s="105"/>
      <c r="B983" s="105"/>
      <c r="C983" s="105"/>
    </row>
    <row r="984" spans="1:3" ht="12.75">
      <c r="A984" s="105"/>
      <c r="B984" s="105"/>
      <c r="C984" s="105"/>
    </row>
    <row r="985" spans="1:3" ht="12.75">
      <c r="A985" s="105"/>
      <c r="B985" s="105"/>
      <c r="C985" s="105"/>
    </row>
    <row r="986" spans="1:3" ht="12.75">
      <c r="A986" s="105"/>
      <c r="B986" s="105"/>
      <c r="C986" s="105"/>
    </row>
    <row r="987" spans="1:3" ht="12.75">
      <c r="A987" s="105"/>
      <c r="B987" s="105"/>
      <c r="C987" s="105"/>
    </row>
    <row r="988" spans="1:3" ht="12.75">
      <c r="A988" s="105"/>
      <c r="B988" s="105"/>
      <c r="C988" s="105"/>
    </row>
    <row r="989" spans="1:3" ht="12.75">
      <c r="A989" s="105"/>
      <c r="B989" s="105"/>
      <c r="C989" s="105"/>
    </row>
    <row r="990" spans="1:3" ht="12.75">
      <c r="A990" s="105"/>
      <c r="B990" s="105"/>
      <c r="C990" s="105"/>
    </row>
    <row r="991" spans="1:3" ht="12.75">
      <c r="A991" s="105"/>
      <c r="B991" s="105"/>
      <c r="C991" s="105"/>
    </row>
    <row r="992" spans="1:3" ht="12.75">
      <c r="A992" s="105"/>
      <c r="B992" s="105"/>
      <c r="C992" s="105"/>
    </row>
    <row r="993" spans="1:3" ht="12.75">
      <c r="A993" s="105"/>
      <c r="B993" s="105"/>
      <c r="C993" s="105"/>
    </row>
    <row r="994" spans="1:3" ht="12.75">
      <c r="A994" s="105"/>
      <c r="B994" s="105"/>
      <c r="C994" s="105"/>
    </row>
    <row r="995" spans="1:3" ht="12.75">
      <c r="A995" s="105"/>
      <c r="B995" s="105"/>
      <c r="C995" s="105"/>
    </row>
    <row r="996" spans="1:3" ht="12.75">
      <c r="A996" s="105"/>
      <c r="B996" s="105"/>
      <c r="C996" s="105"/>
    </row>
    <row r="997" spans="1:3" ht="12.75">
      <c r="A997" s="105"/>
      <c r="B997" s="105"/>
      <c r="C997" s="105"/>
    </row>
    <row r="998" spans="1:3" ht="12.75">
      <c r="A998" s="105"/>
      <c r="B998" s="105"/>
      <c r="C998" s="105"/>
    </row>
    <row r="999" spans="1:3" ht="12.75">
      <c r="A999" s="105"/>
      <c r="B999" s="105"/>
      <c r="C999" s="105"/>
    </row>
    <row r="1000" spans="1:3" ht="12.75">
      <c r="A1000" s="105"/>
      <c r="B1000" s="105"/>
      <c r="C1000" s="105"/>
    </row>
    <row r="1001" spans="1:3" ht="12.75">
      <c r="A1001" s="105"/>
      <c r="B1001" s="105"/>
      <c r="C1001" s="105"/>
    </row>
  </sheetData>
  <mergeCells count="1">
    <mergeCell ref="A8:A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P50"/>
  <sheetViews>
    <sheetView workbookViewId="0">
      <pane xSplit="1" topLeftCell="B1" activePane="topRight" state="frozen"/>
      <selection pane="topRight" activeCell="C2" sqref="C2"/>
    </sheetView>
  </sheetViews>
  <sheetFormatPr defaultColWidth="12.5703125" defaultRowHeight="15.75" customHeight="1"/>
  <cols>
    <col min="1" max="1" width="16.140625" customWidth="1"/>
    <col min="2" max="3" width="45.42578125" customWidth="1"/>
    <col min="4" max="4" width="49.85546875" customWidth="1"/>
    <col min="5" max="5" width="33.28515625" customWidth="1"/>
    <col min="6" max="6" width="13.5703125" customWidth="1"/>
    <col min="7" max="7" width="30.28515625" customWidth="1"/>
    <col min="8" max="8" width="19.7109375" customWidth="1"/>
    <col min="9" max="9" width="14.28515625" customWidth="1"/>
    <col min="10" max="10" width="24.7109375" customWidth="1"/>
    <col min="11" max="11" width="17.85546875" customWidth="1"/>
    <col min="12" max="12" width="15.5703125" customWidth="1"/>
    <col min="13" max="13" width="17.5703125" customWidth="1"/>
    <col min="14" max="14" width="29.5703125" customWidth="1"/>
  </cols>
  <sheetData>
    <row r="1" spans="1:16" ht="25.5">
      <c r="A1" s="274" t="s">
        <v>6259</v>
      </c>
      <c r="B1" s="274" t="s">
        <v>5634</v>
      </c>
      <c r="C1" s="274" t="s">
        <v>9293</v>
      </c>
      <c r="D1" s="274" t="s">
        <v>6</v>
      </c>
      <c r="E1" s="274" t="s">
        <v>7</v>
      </c>
      <c r="F1" s="274" t="s">
        <v>7388</v>
      </c>
      <c r="G1" s="274" t="s">
        <v>8</v>
      </c>
      <c r="H1" s="274" t="s">
        <v>5627</v>
      </c>
      <c r="I1" s="274" t="s">
        <v>389</v>
      </c>
      <c r="J1" s="274" t="s">
        <v>4</v>
      </c>
      <c r="K1" s="274" t="s">
        <v>6060</v>
      </c>
      <c r="L1" s="274" t="s">
        <v>6413</v>
      </c>
      <c r="M1" s="274" t="s">
        <v>1821</v>
      </c>
      <c r="N1" s="271" t="s">
        <v>5630</v>
      </c>
      <c r="O1" s="517"/>
      <c r="P1" s="517"/>
    </row>
    <row r="2" spans="1:16" ht="38.25">
      <c r="A2" s="61">
        <v>39083</v>
      </c>
      <c r="B2" s="472" t="s">
        <v>9920</v>
      </c>
      <c r="C2" s="158" t="s">
        <v>9921</v>
      </c>
      <c r="D2" s="158" t="s">
        <v>9922</v>
      </c>
      <c r="E2" s="158" t="s">
        <v>9923</v>
      </c>
      <c r="F2" s="6" t="s">
        <v>6132</v>
      </c>
      <c r="G2" s="160" t="s">
        <v>4149</v>
      </c>
      <c r="H2" s="6" t="s">
        <v>9924</v>
      </c>
      <c r="I2" s="9" t="s">
        <v>6872</v>
      </c>
      <c r="J2" s="6" t="s">
        <v>3781</v>
      </c>
      <c r="K2" s="6" t="s">
        <v>9925</v>
      </c>
      <c r="L2" s="6"/>
      <c r="M2" s="6" t="s">
        <v>1828</v>
      </c>
      <c r="N2" s="468" t="s">
        <v>9926</v>
      </c>
      <c r="O2" s="52"/>
      <c r="P2" s="52"/>
    </row>
    <row r="3" spans="1:16" ht="51">
      <c r="A3" s="6" t="s">
        <v>9927</v>
      </c>
      <c r="B3" s="575" t="s">
        <v>9928</v>
      </c>
      <c r="C3" s="161" t="s">
        <v>9929</v>
      </c>
      <c r="D3" s="6" t="s">
        <v>9930</v>
      </c>
      <c r="E3" s="6" t="s">
        <v>722</v>
      </c>
      <c r="F3" s="475" t="s">
        <v>1808</v>
      </c>
      <c r="G3" s="166" t="s">
        <v>9931</v>
      </c>
      <c r="H3" s="6" t="s">
        <v>2453</v>
      </c>
      <c r="I3" s="9" t="s">
        <v>6872</v>
      </c>
      <c r="J3" s="6" t="s">
        <v>9932</v>
      </c>
      <c r="K3" s="6" t="s">
        <v>6064</v>
      </c>
      <c r="L3" s="6" t="s">
        <v>1824</v>
      </c>
      <c r="M3" s="6" t="s">
        <v>2467</v>
      </c>
      <c r="N3" s="468" t="s">
        <v>9933</v>
      </c>
      <c r="O3" s="52"/>
      <c r="P3" s="52"/>
    </row>
    <row r="4" spans="1:16" ht="38.25">
      <c r="A4" s="6" t="s">
        <v>9934</v>
      </c>
      <c r="B4" s="575" t="s">
        <v>9935</v>
      </c>
      <c r="C4" s="161" t="s">
        <v>9929</v>
      </c>
      <c r="D4" s="6" t="s">
        <v>9936</v>
      </c>
      <c r="E4" s="6" t="s">
        <v>1491</v>
      </c>
      <c r="F4" s="475" t="s">
        <v>1808</v>
      </c>
      <c r="G4" s="160"/>
      <c r="H4" s="6" t="s">
        <v>2453</v>
      </c>
      <c r="I4" s="9" t="s">
        <v>6872</v>
      </c>
      <c r="J4" s="6" t="s">
        <v>9937</v>
      </c>
      <c r="K4" s="6" t="s">
        <v>6064</v>
      </c>
      <c r="L4" s="6" t="s">
        <v>1824</v>
      </c>
      <c r="M4" s="6" t="s">
        <v>6783</v>
      </c>
      <c r="N4" s="468" t="s">
        <v>9938</v>
      </c>
      <c r="O4" s="52"/>
      <c r="P4" s="52"/>
    </row>
    <row r="5" spans="1:16" ht="38.25">
      <c r="A5" s="61">
        <v>39173</v>
      </c>
      <c r="B5" s="575" t="s">
        <v>9939</v>
      </c>
      <c r="C5" s="161" t="s">
        <v>9929</v>
      </c>
      <c r="D5" s="6" t="s">
        <v>9940</v>
      </c>
      <c r="E5" s="6" t="s">
        <v>9941</v>
      </c>
      <c r="F5" s="475" t="s">
        <v>1808</v>
      </c>
      <c r="G5" s="166" t="s">
        <v>9942</v>
      </c>
      <c r="H5" s="6" t="s">
        <v>2453</v>
      </c>
      <c r="I5" s="9" t="s">
        <v>6872</v>
      </c>
      <c r="J5" s="6"/>
      <c r="K5" s="6" t="s">
        <v>6137</v>
      </c>
      <c r="L5" s="6"/>
      <c r="M5" s="6"/>
      <c r="N5" s="468" t="s">
        <v>9943</v>
      </c>
      <c r="O5" s="52"/>
      <c r="P5" s="52"/>
    </row>
    <row r="6" spans="1:16" ht="63.75">
      <c r="A6" s="61">
        <v>39203</v>
      </c>
      <c r="B6" s="575" t="s">
        <v>9944</v>
      </c>
      <c r="C6" s="161" t="s">
        <v>9929</v>
      </c>
      <c r="D6" s="6" t="s">
        <v>9945</v>
      </c>
      <c r="E6" s="160" t="s">
        <v>9946</v>
      </c>
      <c r="F6" s="475" t="s">
        <v>1808</v>
      </c>
      <c r="G6" s="160"/>
      <c r="H6" s="6" t="s">
        <v>9947</v>
      </c>
      <c r="I6" s="9" t="s">
        <v>6872</v>
      </c>
      <c r="J6" s="6"/>
      <c r="K6" s="6" t="s">
        <v>6064</v>
      </c>
      <c r="L6" s="6" t="s">
        <v>1824</v>
      </c>
      <c r="M6" s="6"/>
      <c r="N6" s="468" t="s">
        <v>9948</v>
      </c>
      <c r="O6" s="52"/>
      <c r="P6" s="52"/>
    </row>
    <row r="7" spans="1:16" ht="76.5">
      <c r="A7" s="61">
        <v>39234</v>
      </c>
      <c r="B7" s="575" t="s">
        <v>9949</v>
      </c>
      <c r="C7" s="161" t="s">
        <v>9929</v>
      </c>
      <c r="D7" s="6" t="s">
        <v>9950</v>
      </c>
      <c r="E7" s="6" t="s">
        <v>9951</v>
      </c>
      <c r="F7" s="475" t="s">
        <v>1808</v>
      </c>
      <c r="G7" s="576" t="s">
        <v>8424</v>
      </c>
      <c r="H7" s="6" t="s">
        <v>9952</v>
      </c>
      <c r="I7" s="9" t="s">
        <v>6872</v>
      </c>
      <c r="J7" s="6"/>
      <c r="K7" s="6" t="s">
        <v>6064</v>
      </c>
      <c r="L7" s="6" t="s">
        <v>1824</v>
      </c>
      <c r="M7" s="6" t="s">
        <v>2613</v>
      </c>
      <c r="N7" s="468" t="s">
        <v>9953</v>
      </c>
      <c r="O7" s="52"/>
      <c r="P7" s="52"/>
    </row>
    <row r="8" spans="1:16" ht="51">
      <c r="A8" s="62">
        <v>39264</v>
      </c>
      <c r="B8" s="575" t="s">
        <v>9954</v>
      </c>
      <c r="C8" s="161" t="s">
        <v>9929</v>
      </c>
      <c r="D8" s="6" t="s">
        <v>9955</v>
      </c>
      <c r="E8" s="6" t="s">
        <v>9956</v>
      </c>
      <c r="F8" s="475" t="s">
        <v>1808</v>
      </c>
      <c r="G8" s="531" t="s">
        <v>9957</v>
      </c>
      <c r="H8" s="6" t="s">
        <v>9958</v>
      </c>
      <c r="I8" s="9" t="s">
        <v>6872</v>
      </c>
      <c r="J8" s="6" t="s">
        <v>1141</v>
      </c>
      <c r="K8" s="6" t="s">
        <v>6064</v>
      </c>
      <c r="L8" s="6"/>
      <c r="M8" s="6" t="s">
        <v>6314</v>
      </c>
      <c r="N8" s="468" t="s">
        <v>9959</v>
      </c>
      <c r="O8" s="52"/>
      <c r="P8" s="52"/>
    </row>
    <row r="9" spans="1:16" ht="38.25">
      <c r="A9" s="61">
        <v>39295</v>
      </c>
      <c r="B9" s="575" t="s">
        <v>9960</v>
      </c>
      <c r="C9" s="161" t="s">
        <v>9929</v>
      </c>
      <c r="D9" s="158" t="s">
        <v>9961</v>
      </c>
      <c r="E9" s="158" t="s">
        <v>9962</v>
      </c>
      <c r="F9" s="6" t="s">
        <v>6179</v>
      </c>
      <c r="G9" s="160" t="s">
        <v>9963</v>
      </c>
      <c r="H9" s="158" t="s">
        <v>9964</v>
      </c>
      <c r="I9" s="9" t="s">
        <v>6872</v>
      </c>
      <c r="J9" s="6" t="s">
        <v>9965</v>
      </c>
      <c r="K9" s="6" t="s">
        <v>6064</v>
      </c>
      <c r="L9" s="6"/>
      <c r="M9" s="6" t="s">
        <v>1828</v>
      </c>
      <c r="N9" s="468" t="s">
        <v>9966</v>
      </c>
      <c r="O9" s="52"/>
      <c r="P9" s="52"/>
    </row>
    <row r="10" spans="1:16" ht="38.25">
      <c r="A10" s="62">
        <v>39326</v>
      </c>
      <c r="B10" s="575" t="s">
        <v>9967</v>
      </c>
      <c r="C10" s="161" t="s">
        <v>9929</v>
      </c>
      <c r="D10" s="6" t="s">
        <v>9968</v>
      </c>
      <c r="E10" s="6" t="s">
        <v>9969</v>
      </c>
      <c r="F10" s="475" t="s">
        <v>1808</v>
      </c>
      <c r="G10" s="531" t="s">
        <v>9970</v>
      </c>
      <c r="H10" s="292" t="s">
        <v>9971</v>
      </c>
      <c r="I10" s="161" t="s">
        <v>6872</v>
      </c>
      <c r="J10" s="6" t="s">
        <v>62</v>
      </c>
      <c r="K10" s="6" t="s">
        <v>6064</v>
      </c>
      <c r="L10" s="6"/>
      <c r="M10" s="6" t="s">
        <v>5712</v>
      </c>
      <c r="N10" s="468" t="s">
        <v>9972</v>
      </c>
      <c r="O10" s="52"/>
      <c r="P10" s="52"/>
    </row>
    <row r="11" spans="1:16" ht="51">
      <c r="A11" s="62">
        <v>39417</v>
      </c>
      <c r="B11" s="575" t="s">
        <v>9973</v>
      </c>
      <c r="C11" s="161" t="s">
        <v>9929</v>
      </c>
      <c r="D11" s="6" t="s">
        <v>9974</v>
      </c>
      <c r="E11" s="6" t="s">
        <v>9975</v>
      </c>
      <c r="F11" s="475" t="s">
        <v>1808</v>
      </c>
      <c r="G11" s="531" t="s">
        <v>9976</v>
      </c>
      <c r="H11" s="8" t="s">
        <v>9977</v>
      </c>
      <c r="I11" s="161" t="s">
        <v>6872</v>
      </c>
      <c r="J11" s="6" t="s">
        <v>4987</v>
      </c>
      <c r="K11" s="6" t="s">
        <v>6064</v>
      </c>
      <c r="L11" s="6"/>
      <c r="M11" s="6" t="s">
        <v>1828</v>
      </c>
      <c r="N11" s="468" t="s">
        <v>9978</v>
      </c>
      <c r="O11" s="52"/>
      <c r="P11" s="52"/>
    </row>
    <row r="12" spans="1:16" ht="12.75">
      <c r="A12" s="62"/>
      <c r="B12" s="161"/>
      <c r="C12" s="161"/>
      <c r="D12" s="6"/>
      <c r="E12" s="6"/>
      <c r="F12" s="6"/>
      <c r="G12" s="160"/>
      <c r="H12" s="6"/>
      <c r="I12" s="9"/>
      <c r="J12" s="6"/>
      <c r="K12" s="6"/>
      <c r="L12" s="6"/>
      <c r="M12" s="6"/>
      <c r="N12" s="6"/>
      <c r="O12" s="52"/>
      <c r="P12" s="52"/>
    </row>
    <row r="13" spans="1:16" ht="12.75">
      <c r="A13" s="62"/>
      <c r="B13" s="161"/>
      <c r="C13" s="161"/>
      <c r="D13" s="6"/>
      <c r="E13" s="6"/>
      <c r="F13" s="6"/>
      <c r="G13" s="6"/>
      <c r="H13" s="6"/>
      <c r="I13" s="9"/>
      <c r="J13" s="6"/>
      <c r="K13" s="6"/>
      <c r="L13" s="6"/>
      <c r="M13" s="6"/>
      <c r="N13" s="6"/>
      <c r="O13" s="52"/>
      <c r="P13" s="52"/>
    </row>
    <row r="14" spans="1:16" ht="12.75">
      <c r="A14" s="6"/>
      <c r="B14" s="161"/>
      <c r="C14" s="161"/>
      <c r="D14" s="6"/>
      <c r="E14" s="158"/>
      <c r="F14" s="6"/>
      <c r="G14" s="6"/>
      <c r="H14" s="6"/>
      <c r="I14" s="9"/>
      <c r="J14" s="6"/>
      <c r="K14" s="6"/>
      <c r="L14" s="6"/>
      <c r="M14" s="6"/>
      <c r="N14" s="6"/>
      <c r="O14" s="52"/>
      <c r="P14" s="52"/>
    </row>
    <row r="15" spans="1:16" ht="12.75">
      <c r="A15" s="6"/>
      <c r="B15" s="161"/>
      <c r="C15" s="161"/>
      <c r="D15" s="6"/>
      <c r="E15" s="158"/>
      <c r="F15" s="6"/>
      <c r="G15" s="6"/>
      <c r="H15" s="6"/>
      <c r="I15" s="9"/>
      <c r="J15" s="6"/>
      <c r="K15" s="6"/>
      <c r="L15" s="6"/>
      <c r="M15" s="6"/>
      <c r="N15" s="6"/>
      <c r="O15" s="52"/>
      <c r="P15" s="52"/>
    </row>
    <row r="16" spans="1:16" ht="12.75">
      <c r="A16" s="6"/>
      <c r="B16" s="161"/>
      <c r="C16" s="161"/>
      <c r="D16" s="161"/>
      <c r="E16" s="6"/>
      <c r="F16" s="6"/>
      <c r="G16" s="6"/>
      <c r="H16" s="6"/>
      <c r="I16" s="9"/>
      <c r="J16" s="6"/>
      <c r="K16" s="6"/>
      <c r="L16" s="6"/>
      <c r="M16" s="6"/>
      <c r="N16" s="6"/>
      <c r="O16" s="52"/>
      <c r="P16" s="52"/>
    </row>
    <row r="17" spans="1:16" ht="12.75">
      <c r="A17" s="6"/>
      <c r="B17" s="161"/>
      <c r="C17" s="161"/>
      <c r="D17" s="6"/>
      <c r="E17" s="6"/>
      <c r="F17" s="6"/>
      <c r="G17" s="6"/>
      <c r="H17" s="6"/>
      <c r="I17" s="9"/>
      <c r="J17" s="6"/>
      <c r="K17" s="6"/>
      <c r="L17" s="6"/>
      <c r="M17" s="6"/>
      <c r="N17" s="6"/>
      <c r="O17" s="52"/>
      <c r="P17" s="52"/>
    </row>
    <row r="18" spans="1:16" ht="12.75">
      <c r="A18" s="6"/>
      <c r="B18" s="161"/>
      <c r="C18" s="161"/>
      <c r="D18" s="6"/>
      <c r="E18" s="6"/>
      <c r="F18" s="6"/>
      <c r="G18" s="6"/>
      <c r="H18" s="6"/>
      <c r="I18" s="9"/>
      <c r="J18" s="6"/>
      <c r="K18" s="6"/>
      <c r="L18" s="6"/>
      <c r="M18" s="6"/>
      <c r="N18" s="6"/>
      <c r="O18" s="52"/>
      <c r="P18" s="52"/>
    </row>
    <row r="19" spans="1:16" ht="12.75">
      <c r="A19" s="6"/>
      <c r="B19" s="161"/>
      <c r="C19" s="161"/>
      <c r="D19" s="6"/>
      <c r="E19" s="6"/>
      <c r="F19" s="6"/>
      <c r="G19" s="6"/>
      <c r="H19" s="6"/>
      <c r="I19" s="9"/>
      <c r="J19" s="6"/>
      <c r="K19" s="6"/>
      <c r="L19" s="6"/>
      <c r="M19" s="6"/>
      <c r="N19" s="6"/>
      <c r="O19" s="52"/>
      <c r="P19" s="52"/>
    </row>
    <row r="20" spans="1:16" ht="12.75">
      <c r="A20" s="6"/>
      <c r="B20" s="161"/>
      <c r="C20" s="161"/>
      <c r="D20" s="6"/>
      <c r="E20" s="6"/>
      <c r="F20" s="6"/>
      <c r="G20" s="160"/>
      <c r="H20" s="6"/>
      <c r="I20" s="161"/>
      <c r="J20" s="6"/>
      <c r="K20" s="6"/>
      <c r="L20" s="6"/>
      <c r="M20" s="6"/>
      <c r="N20" s="6"/>
      <c r="O20" s="52"/>
      <c r="P20" s="52"/>
    </row>
    <row r="21" spans="1:16" ht="12.75">
      <c r="A21" s="6"/>
      <c r="B21" s="161"/>
      <c r="C21" s="161"/>
      <c r="D21" s="6"/>
      <c r="E21" s="6"/>
      <c r="F21" s="6"/>
      <c r="G21" s="160"/>
      <c r="H21" s="6"/>
      <c r="I21" s="161"/>
      <c r="J21" s="6"/>
      <c r="K21" s="6"/>
      <c r="L21" s="6"/>
      <c r="M21" s="6"/>
      <c r="N21" s="6"/>
      <c r="O21" s="52"/>
      <c r="P21" s="52"/>
    </row>
    <row r="22" spans="1:16" ht="12.75">
      <c r="A22" s="6"/>
      <c r="B22" s="161"/>
      <c r="C22" s="161"/>
      <c r="D22" s="6"/>
      <c r="E22" s="6"/>
      <c r="F22" s="6"/>
      <c r="G22" s="160"/>
      <c r="H22" s="217"/>
      <c r="I22" s="9"/>
      <c r="J22" s="6"/>
      <c r="K22" s="6"/>
      <c r="L22" s="6"/>
      <c r="M22" s="6"/>
      <c r="N22" s="6"/>
      <c r="O22" s="52"/>
      <c r="P22" s="52"/>
    </row>
    <row r="23" spans="1:16" ht="12.75">
      <c r="A23" s="6"/>
      <c r="B23" s="161"/>
      <c r="C23" s="161"/>
      <c r="D23" s="6"/>
      <c r="E23" s="6"/>
      <c r="F23" s="6"/>
      <c r="G23" s="160"/>
      <c r="H23" s="6"/>
      <c r="I23" s="9"/>
      <c r="J23" s="6"/>
      <c r="K23" s="6"/>
      <c r="L23" s="6"/>
      <c r="M23" s="6"/>
      <c r="N23" s="6"/>
      <c r="O23" s="52"/>
      <c r="P23" s="52"/>
    </row>
    <row r="24" spans="1:16" ht="12.75">
      <c r="A24" s="6"/>
      <c r="B24" s="161"/>
      <c r="C24" s="161"/>
      <c r="D24" s="6"/>
      <c r="E24" s="6"/>
      <c r="F24" s="6"/>
      <c r="G24" s="160"/>
      <c r="H24" s="6"/>
      <c r="I24" s="9"/>
      <c r="J24" s="6"/>
      <c r="K24" s="6"/>
      <c r="L24" s="6"/>
      <c r="M24" s="6"/>
      <c r="N24" s="6"/>
      <c r="O24" s="52"/>
      <c r="P24" s="52"/>
    </row>
    <row r="25" spans="1:16" ht="12.75">
      <c r="A25" s="6"/>
      <c r="B25" s="161"/>
      <c r="C25" s="161"/>
      <c r="D25" s="6"/>
      <c r="E25" s="6"/>
      <c r="F25" s="6"/>
      <c r="G25" s="6"/>
      <c r="H25" s="6"/>
      <c r="I25" s="161"/>
      <c r="J25" s="6"/>
      <c r="K25" s="6"/>
      <c r="L25" s="6"/>
      <c r="M25" s="6"/>
      <c r="N25" s="6"/>
      <c r="O25" s="52"/>
      <c r="P25" s="52"/>
    </row>
    <row r="26" spans="1:16" ht="12.75">
      <c r="A26" s="6"/>
      <c r="B26" s="161"/>
      <c r="C26" s="161"/>
      <c r="D26" s="6"/>
      <c r="E26" s="6"/>
      <c r="F26" s="6"/>
      <c r="G26" s="6"/>
      <c r="H26" s="6"/>
      <c r="I26" s="9"/>
      <c r="J26" s="6"/>
      <c r="K26" s="6"/>
      <c r="L26" s="6"/>
      <c r="M26" s="6"/>
      <c r="N26" s="6"/>
      <c r="O26" s="52"/>
      <c r="P26" s="52"/>
    </row>
    <row r="27" spans="1:16" ht="12.75">
      <c r="A27" s="6"/>
      <c r="B27" s="161"/>
      <c r="C27" s="161"/>
      <c r="D27" s="6"/>
      <c r="E27" s="6"/>
      <c r="F27" s="6"/>
      <c r="G27" s="6"/>
      <c r="H27" s="6"/>
      <c r="I27" s="9"/>
      <c r="J27" s="6"/>
      <c r="K27" s="6"/>
      <c r="L27" s="6"/>
      <c r="M27" s="6"/>
      <c r="N27" s="6"/>
      <c r="O27" s="52"/>
      <c r="P27" s="52"/>
    </row>
    <row r="28" spans="1:16" ht="58.5" customHeight="1">
      <c r="A28" s="6"/>
      <c r="B28" s="161"/>
      <c r="C28" s="161"/>
      <c r="D28" s="6"/>
      <c r="E28" s="6"/>
      <c r="F28" s="6"/>
      <c r="G28" s="6"/>
      <c r="H28" s="6"/>
      <c r="I28" s="9"/>
      <c r="J28" s="6"/>
      <c r="K28" s="6"/>
      <c r="L28" s="6"/>
      <c r="M28" s="6"/>
      <c r="N28" s="6"/>
      <c r="O28" s="52"/>
      <c r="P28" s="52"/>
    </row>
    <row r="29" spans="1:16" ht="12.75">
      <c r="A29" s="6"/>
      <c r="B29" s="161"/>
      <c r="C29" s="161"/>
      <c r="D29" s="6"/>
      <c r="E29" s="6"/>
      <c r="F29" s="6"/>
      <c r="G29" s="6"/>
      <c r="H29" s="6"/>
      <c r="I29" s="9"/>
      <c r="J29" s="6"/>
      <c r="K29" s="6"/>
      <c r="L29" s="6"/>
      <c r="M29" s="6"/>
      <c r="N29" s="6"/>
      <c r="O29" s="52"/>
      <c r="P29" s="52"/>
    </row>
    <row r="30" spans="1:16" ht="12.75">
      <c r="A30" s="6"/>
      <c r="B30" s="161"/>
      <c r="C30" s="161"/>
      <c r="D30" s="6"/>
      <c r="E30" s="6"/>
      <c r="F30" s="6"/>
      <c r="G30" s="160"/>
      <c r="H30" s="9"/>
      <c r="I30" s="9"/>
      <c r="J30" s="6"/>
      <c r="K30" s="6"/>
      <c r="L30" s="6"/>
      <c r="M30" s="6"/>
      <c r="N30" s="6"/>
      <c r="O30" s="52"/>
      <c r="P30" s="52"/>
    </row>
    <row r="31" spans="1:16" ht="12.75">
      <c r="A31" s="6"/>
      <c r="B31" s="161"/>
      <c r="C31" s="161"/>
      <c r="D31" s="6"/>
      <c r="E31" s="6"/>
      <c r="F31" s="6"/>
      <c r="G31" s="6"/>
      <c r="H31" s="6"/>
      <c r="I31" s="161"/>
      <c r="J31" s="6"/>
      <c r="K31" s="6"/>
      <c r="L31" s="6"/>
      <c r="M31" s="6"/>
      <c r="N31" s="6"/>
      <c r="O31" s="52"/>
      <c r="P31" s="52"/>
    </row>
    <row r="32" spans="1:16" ht="12.75">
      <c r="A32" s="6"/>
      <c r="B32" s="161"/>
      <c r="C32" s="161"/>
      <c r="D32" s="6"/>
      <c r="E32" s="6"/>
      <c r="F32" s="6"/>
      <c r="G32" s="6"/>
      <c r="H32" s="6"/>
      <c r="I32" s="9"/>
      <c r="J32" s="6"/>
      <c r="K32" s="6"/>
      <c r="L32" s="6"/>
      <c r="M32" s="6"/>
      <c r="N32" s="6"/>
      <c r="O32" s="52"/>
      <c r="P32" s="52"/>
    </row>
    <row r="33" spans="1:16" ht="12.75">
      <c r="A33" s="6"/>
      <c r="B33" s="161"/>
      <c r="C33" s="161"/>
      <c r="D33" s="6"/>
      <c r="E33" s="6"/>
      <c r="F33" s="6"/>
      <c r="G33" s="6"/>
      <c r="H33" s="6"/>
      <c r="I33" s="9"/>
      <c r="J33" s="9"/>
      <c r="K33" s="9"/>
      <c r="L33" s="6"/>
      <c r="M33" s="6"/>
      <c r="N33" s="6"/>
      <c r="O33" s="52"/>
      <c r="P33" s="52"/>
    </row>
    <row r="34" spans="1:16" ht="12.75">
      <c r="A34" s="6"/>
      <c r="B34" s="161"/>
      <c r="C34" s="161"/>
      <c r="D34" s="6"/>
      <c r="E34" s="6"/>
      <c r="F34" s="6"/>
      <c r="G34" s="161"/>
      <c r="H34" s="6"/>
      <c r="I34" s="9"/>
      <c r="J34" s="6"/>
      <c r="K34" s="6"/>
      <c r="L34" s="6"/>
      <c r="M34" s="6"/>
      <c r="N34" s="6"/>
      <c r="O34" s="52"/>
      <c r="P34" s="52"/>
    </row>
    <row r="35" spans="1:16" ht="12.75">
      <c r="A35" s="6"/>
      <c r="B35" s="161"/>
      <c r="C35" s="161"/>
      <c r="D35" s="6"/>
      <c r="E35" s="160"/>
      <c r="F35" s="6"/>
      <c r="G35" s="6"/>
      <c r="H35" s="6"/>
      <c r="I35" s="9"/>
      <c r="J35" s="6"/>
      <c r="K35" s="6"/>
      <c r="L35" s="6"/>
      <c r="M35" s="6"/>
      <c r="N35" s="6"/>
      <c r="O35" s="52"/>
      <c r="P35" s="52"/>
    </row>
    <row r="36" spans="1:16" ht="12.75">
      <c r="A36" s="6"/>
      <c r="B36" s="161"/>
      <c r="C36" s="161"/>
      <c r="D36" s="6"/>
      <c r="E36" s="6"/>
      <c r="F36" s="6"/>
      <c r="G36" s="160"/>
      <c r="H36" s="6"/>
      <c r="I36" s="9"/>
      <c r="J36" s="6"/>
      <c r="K36" s="6"/>
      <c r="L36" s="6"/>
      <c r="M36" s="6"/>
      <c r="N36" s="6"/>
      <c r="O36" s="52"/>
      <c r="P36" s="52"/>
    </row>
    <row r="37" spans="1:16" ht="12.75">
      <c r="A37" s="6"/>
      <c r="B37" s="161"/>
      <c r="C37" s="161"/>
      <c r="D37" s="161"/>
      <c r="E37" s="160"/>
      <c r="F37" s="6"/>
      <c r="G37" s="160"/>
      <c r="H37" s="6"/>
      <c r="I37" s="9"/>
      <c r="J37" s="6"/>
      <c r="K37" s="6"/>
      <c r="L37" s="6"/>
      <c r="M37" s="6"/>
      <c r="N37" s="6"/>
      <c r="O37" s="52"/>
      <c r="P37" s="52"/>
    </row>
    <row r="38" spans="1:16" ht="12.75">
      <c r="A38" s="6"/>
      <c r="B38" s="161"/>
      <c r="C38" s="161"/>
      <c r="D38" s="6"/>
      <c r="E38" s="6"/>
      <c r="F38" s="6"/>
      <c r="G38" s="6"/>
      <c r="H38" s="6"/>
      <c r="I38" s="9"/>
      <c r="J38" s="6"/>
      <c r="K38" s="6"/>
      <c r="L38" s="6"/>
      <c r="M38" s="6"/>
      <c r="N38" s="6"/>
      <c r="O38" s="52"/>
      <c r="P38" s="52"/>
    </row>
    <row r="39" spans="1:16" ht="12.75">
      <c r="A39" s="6"/>
      <c r="B39" s="161"/>
      <c r="C39" s="161"/>
      <c r="D39" s="6"/>
      <c r="E39" s="6"/>
      <c r="F39" s="6"/>
      <c r="G39" s="6"/>
      <c r="H39" s="6"/>
      <c r="I39" s="9"/>
      <c r="J39" s="6"/>
      <c r="K39" s="6"/>
      <c r="L39" s="6"/>
      <c r="M39" s="6"/>
      <c r="N39" s="6"/>
      <c r="O39" s="52"/>
      <c r="P39" s="52"/>
    </row>
    <row r="40" spans="1:16" ht="12.75">
      <c r="A40" s="6"/>
      <c r="B40" s="161"/>
      <c r="C40" s="161"/>
      <c r="D40" s="6"/>
      <c r="E40" s="6"/>
      <c r="F40" s="6"/>
      <c r="G40" s="160"/>
      <c r="H40" s="6"/>
      <c r="I40" s="9"/>
      <c r="J40" s="6"/>
      <c r="K40" s="6"/>
      <c r="L40" s="6"/>
      <c r="M40" s="6"/>
      <c r="N40" s="6"/>
      <c r="O40" s="52"/>
      <c r="P40" s="52"/>
    </row>
    <row r="41" spans="1:16" ht="12.75">
      <c r="A41" s="6"/>
      <c r="B41" s="161"/>
      <c r="C41" s="161"/>
      <c r="D41" s="6"/>
      <c r="E41" s="6"/>
      <c r="F41" s="6"/>
      <c r="G41" s="160"/>
      <c r="H41" s="6"/>
      <c r="I41" s="161"/>
      <c r="J41" s="6"/>
      <c r="K41" s="6"/>
      <c r="L41" s="6"/>
      <c r="M41" s="6"/>
      <c r="N41" s="6"/>
      <c r="O41" s="52"/>
      <c r="P41" s="52"/>
    </row>
    <row r="42" spans="1:16" ht="12.75">
      <c r="A42" s="6"/>
      <c r="B42" s="161"/>
      <c r="C42" s="161"/>
      <c r="D42" s="6"/>
      <c r="E42" s="6"/>
      <c r="F42" s="6"/>
      <c r="G42" s="161"/>
      <c r="H42" s="6"/>
      <c r="I42" s="9"/>
      <c r="J42" s="6"/>
      <c r="K42" s="6"/>
      <c r="L42" s="6"/>
      <c r="M42" s="6"/>
      <c r="N42" s="6"/>
      <c r="O42" s="52"/>
      <c r="P42" s="52"/>
    </row>
    <row r="43" spans="1:16" ht="12.75">
      <c r="A43" s="6"/>
      <c r="B43" s="161"/>
      <c r="C43" s="161"/>
      <c r="D43" s="6"/>
      <c r="E43" s="6"/>
      <c r="F43" s="6"/>
      <c r="G43" s="160"/>
      <c r="H43" s="6"/>
      <c r="I43" s="9"/>
      <c r="J43" s="6"/>
      <c r="K43" s="6"/>
      <c r="L43" s="6"/>
      <c r="M43" s="6"/>
      <c r="N43" s="6"/>
      <c r="O43" s="52"/>
      <c r="P43" s="52"/>
    </row>
    <row r="44" spans="1:16" ht="12.75">
      <c r="A44" s="6"/>
      <c r="B44" s="161"/>
      <c r="C44" s="161"/>
      <c r="D44" s="6"/>
      <c r="E44" s="6"/>
      <c r="F44" s="6"/>
      <c r="G44" s="160"/>
      <c r="H44" s="6"/>
      <c r="I44" s="9"/>
      <c r="J44" s="6"/>
      <c r="K44" s="6"/>
      <c r="L44" s="6"/>
      <c r="M44" s="6"/>
      <c r="N44" s="6"/>
      <c r="O44" s="52"/>
      <c r="P44" s="52"/>
    </row>
    <row r="45" spans="1:16" ht="12.75">
      <c r="A45" s="6"/>
      <c r="B45" s="161"/>
      <c r="C45" s="161"/>
      <c r="D45" s="6"/>
      <c r="E45" s="6"/>
      <c r="F45" s="6"/>
      <c r="G45" s="160"/>
      <c r="H45" s="6"/>
      <c r="I45" s="9"/>
      <c r="J45" s="6"/>
      <c r="K45" s="6"/>
      <c r="L45" s="6"/>
      <c r="M45" s="6"/>
      <c r="N45" s="6"/>
      <c r="O45" s="52"/>
      <c r="P45" s="52"/>
    </row>
    <row r="46" spans="1:16" ht="12.75">
      <c r="A46" s="6"/>
      <c r="B46" s="161"/>
      <c r="C46" s="161"/>
      <c r="D46" s="6"/>
      <c r="E46" s="6"/>
      <c r="F46" s="6"/>
      <c r="G46" s="292"/>
      <c r="H46" s="64"/>
      <c r="I46" s="9"/>
      <c r="J46" s="6"/>
      <c r="K46" s="6"/>
      <c r="L46" s="6"/>
      <c r="M46" s="6"/>
      <c r="N46" s="6"/>
      <c r="O46" s="52"/>
      <c r="P46" s="52"/>
    </row>
    <row r="47" spans="1:16" ht="12.75">
      <c r="A47" s="6"/>
      <c r="B47" s="161"/>
      <c r="C47" s="161"/>
      <c r="D47" s="158"/>
      <c r="E47" s="6"/>
      <c r="F47" s="6"/>
      <c r="G47" s="160"/>
      <c r="H47" s="6"/>
      <c r="I47" s="9"/>
      <c r="J47" s="6"/>
      <c r="K47" s="6"/>
      <c r="L47" s="6"/>
      <c r="M47" s="6"/>
      <c r="N47" s="6"/>
      <c r="O47" s="52"/>
      <c r="P47" s="52"/>
    </row>
    <row r="48" spans="1:16" ht="12.75">
      <c r="A48" s="6"/>
      <c r="B48" s="161"/>
      <c r="C48" s="161"/>
      <c r="D48" s="6"/>
      <c r="E48" s="6"/>
      <c r="F48" s="6"/>
      <c r="G48" s="160"/>
      <c r="H48" s="6"/>
      <c r="I48" s="9"/>
      <c r="J48" s="6"/>
      <c r="K48" s="6"/>
      <c r="L48" s="6"/>
      <c r="M48" s="6"/>
      <c r="N48" s="6"/>
      <c r="O48" s="52"/>
      <c r="P48" s="52"/>
    </row>
    <row r="49" spans="1:16" ht="12.75">
      <c r="A49" s="6"/>
      <c r="B49" s="161"/>
      <c r="C49" s="161"/>
      <c r="D49" s="6"/>
      <c r="E49" s="6"/>
      <c r="F49" s="6"/>
      <c r="G49" s="160"/>
      <c r="H49" s="6"/>
      <c r="I49" s="9"/>
      <c r="J49" s="6"/>
      <c r="K49" s="6"/>
      <c r="L49" s="6"/>
      <c r="M49" s="6"/>
      <c r="N49" s="6"/>
      <c r="O49" s="52"/>
      <c r="P49" s="52"/>
    </row>
    <row r="50" spans="1:16" ht="12.75">
      <c r="A50" s="6"/>
      <c r="B50" s="161"/>
      <c r="C50" s="161"/>
      <c r="D50" s="6"/>
      <c r="E50" s="6"/>
      <c r="F50" s="6"/>
      <c r="G50" s="6"/>
      <c r="H50" s="6"/>
      <c r="I50" s="9"/>
      <c r="J50" s="6"/>
      <c r="K50" s="6"/>
      <c r="L50" s="6"/>
      <c r="M50" s="6"/>
      <c r="N50" s="6"/>
      <c r="O50" s="52"/>
      <c r="P50" s="52"/>
    </row>
  </sheetData>
  <hyperlinks>
    <hyperlink ref="B2" r:id="rId1" xr:uid="{00000000-0004-0000-2000-000000000000}"/>
    <hyperlink ref="N2" r:id="rId2" xr:uid="{00000000-0004-0000-2000-000001000000}"/>
    <hyperlink ref="B3" r:id="rId3" xr:uid="{00000000-0004-0000-2000-000002000000}"/>
    <hyperlink ref="N3" r:id="rId4" xr:uid="{00000000-0004-0000-2000-000003000000}"/>
    <hyperlink ref="B4" r:id="rId5" xr:uid="{00000000-0004-0000-2000-000004000000}"/>
    <hyperlink ref="N4" r:id="rId6" xr:uid="{00000000-0004-0000-2000-000005000000}"/>
    <hyperlink ref="B5" r:id="rId7" xr:uid="{00000000-0004-0000-2000-000006000000}"/>
    <hyperlink ref="N5" r:id="rId8" xr:uid="{00000000-0004-0000-2000-000007000000}"/>
    <hyperlink ref="B6" r:id="rId9" xr:uid="{00000000-0004-0000-2000-000008000000}"/>
    <hyperlink ref="N6" r:id="rId10" xr:uid="{00000000-0004-0000-2000-000009000000}"/>
    <hyperlink ref="B7" r:id="rId11" xr:uid="{00000000-0004-0000-2000-00000A000000}"/>
    <hyperlink ref="N7" r:id="rId12" xr:uid="{00000000-0004-0000-2000-00000B000000}"/>
    <hyperlink ref="B8" r:id="rId13" xr:uid="{00000000-0004-0000-2000-00000C000000}"/>
    <hyperlink ref="N8" r:id="rId14" xr:uid="{00000000-0004-0000-2000-00000D000000}"/>
    <hyperlink ref="B9" r:id="rId15" xr:uid="{00000000-0004-0000-2000-00000E000000}"/>
    <hyperlink ref="N9" r:id="rId16" xr:uid="{00000000-0004-0000-2000-00000F000000}"/>
    <hyperlink ref="B10" r:id="rId17" xr:uid="{00000000-0004-0000-2000-000010000000}"/>
    <hyperlink ref="N10" r:id="rId18" xr:uid="{00000000-0004-0000-2000-000011000000}"/>
    <hyperlink ref="B11" r:id="rId19" xr:uid="{00000000-0004-0000-2000-000012000000}"/>
    <hyperlink ref="N11" r:id="rId20" xr:uid="{00000000-0004-0000-2000-000013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P1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2" max="2" width="35.42578125" customWidth="1"/>
    <col min="3" max="3" width="44" customWidth="1"/>
    <col min="4" max="4" width="52.85546875" customWidth="1"/>
    <col min="5" max="5" width="34.7109375" customWidth="1"/>
    <col min="6" max="6" width="15.42578125" customWidth="1"/>
    <col min="7" max="7" width="33.140625" customWidth="1"/>
    <col min="8" max="8" width="19.28515625" customWidth="1"/>
    <col min="9" max="9" width="12.85546875" customWidth="1"/>
    <col min="10" max="10" width="28" customWidth="1"/>
    <col min="11" max="11" width="18.42578125" customWidth="1"/>
    <col min="12" max="12" width="15.5703125" customWidth="1"/>
    <col min="13" max="13" width="17.5703125" customWidth="1"/>
    <col min="14" max="14" width="29.140625" customWidth="1"/>
  </cols>
  <sheetData>
    <row r="1" spans="1:16" ht="25.5">
      <c r="A1" s="274" t="s">
        <v>6259</v>
      </c>
      <c r="B1" s="274" t="s">
        <v>5634</v>
      </c>
      <c r="C1" s="274" t="s">
        <v>9293</v>
      </c>
      <c r="D1" s="274" t="s">
        <v>6</v>
      </c>
      <c r="E1" s="274" t="s">
        <v>7</v>
      </c>
      <c r="F1" s="274" t="s">
        <v>7388</v>
      </c>
      <c r="G1" s="274" t="s">
        <v>8</v>
      </c>
      <c r="H1" s="274" t="s">
        <v>5627</v>
      </c>
      <c r="I1" s="274" t="s">
        <v>389</v>
      </c>
      <c r="J1" s="274" t="s">
        <v>4</v>
      </c>
      <c r="K1" s="274" t="s">
        <v>6060</v>
      </c>
      <c r="L1" s="274" t="s">
        <v>6413</v>
      </c>
      <c r="M1" s="274" t="s">
        <v>1821</v>
      </c>
      <c r="N1" s="271" t="s">
        <v>5630</v>
      </c>
      <c r="O1" s="517"/>
      <c r="P1" s="517"/>
    </row>
    <row r="2" spans="1:16" ht="36.75" customHeight="1">
      <c r="A2" s="61">
        <v>38718</v>
      </c>
      <c r="B2" s="297" t="s">
        <v>9979</v>
      </c>
      <c r="C2" s="158" t="s">
        <v>9980</v>
      </c>
      <c r="D2" s="158" t="s">
        <v>9981</v>
      </c>
      <c r="E2" s="158" t="s">
        <v>9982</v>
      </c>
      <c r="F2" s="475" t="s">
        <v>1808</v>
      </c>
      <c r="G2" s="160" t="s">
        <v>9983</v>
      </c>
      <c r="H2" s="6" t="s">
        <v>9984</v>
      </c>
      <c r="I2" s="9" t="s">
        <v>6872</v>
      </c>
      <c r="J2" s="6" t="s">
        <v>3538</v>
      </c>
      <c r="K2" s="6" t="s">
        <v>6137</v>
      </c>
      <c r="L2" s="6"/>
      <c r="M2" s="6" t="s">
        <v>6874</v>
      </c>
      <c r="N2" s="468" t="s">
        <v>9985</v>
      </c>
      <c r="O2" s="52"/>
      <c r="P2" s="52"/>
    </row>
    <row r="3" spans="1:16" ht="38.25">
      <c r="A3" s="61">
        <v>38838</v>
      </c>
      <c r="B3" s="297" t="s">
        <v>9986</v>
      </c>
      <c r="C3" s="158" t="s">
        <v>9987</v>
      </c>
      <c r="D3" s="6" t="s">
        <v>9988</v>
      </c>
      <c r="E3" s="6" t="s">
        <v>9989</v>
      </c>
      <c r="F3" s="6" t="s">
        <v>6132</v>
      </c>
      <c r="G3" s="160" t="s">
        <v>9990</v>
      </c>
      <c r="H3" s="6" t="s">
        <v>9991</v>
      </c>
      <c r="I3" s="9" t="s">
        <v>925</v>
      </c>
      <c r="J3" s="6"/>
      <c r="K3" s="6" t="s">
        <v>6137</v>
      </c>
      <c r="L3" s="6"/>
      <c r="M3" s="6" t="s">
        <v>1828</v>
      </c>
      <c r="N3" s="468" t="s">
        <v>9992</v>
      </c>
      <c r="O3" s="52"/>
      <c r="P3" s="52"/>
    </row>
    <row r="4" spans="1:16" ht="51">
      <c r="A4" s="61">
        <v>38899</v>
      </c>
      <c r="B4" s="297" t="s">
        <v>9993</v>
      </c>
      <c r="C4" s="161" t="s">
        <v>9980</v>
      </c>
      <c r="D4" s="6" t="s">
        <v>9994</v>
      </c>
      <c r="E4" s="6" t="s">
        <v>9995</v>
      </c>
      <c r="F4" s="475" t="s">
        <v>1808</v>
      </c>
      <c r="G4" s="160" t="s">
        <v>9996</v>
      </c>
      <c r="H4" s="6" t="s">
        <v>9997</v>
      </c>
      <c r="I4" s="9" t="s">
        <v>6872</v>
      </c>
      <c r="J4" s="6"/>
      <c r="K4" s="6" t="s">
        <v>6064</v>
      </c>
      <c r="L4" s="6"/>
      <c r="M4" s="6" t="s">
        <v>1828</v>
      </c>
      <c r="N4" s="468" t="s">
        <v>9998</v>
      </c>
      <c r="O4" s="52"/>
      <c r="P4" s="52"/>
    </row>
    <row r="5" spans="1:16" ht="38.25">
      <c r="A5" s="61">
        <v>38930</v>
      </c>
      <c r="B5" s="291" t="s">
        <v>9999</v>
      </c>
      <c r="C5" s="161" t="s">
        <v>10000</v>
      </c>
      <c r="D5" s="6" t="s">
        <v>10001</v>
      </c>
      <c r="E5" s="6" t="s">
        <v>10002</v>
      </c>
      <c r="F5" s="6" t="s">
        <v>6132</v>
      </c>
      <c r="G5" s="160" t="s">
        <v>10003</v>
      </c>
      <c r="H5" s="6" t="s">
        <v>10004</v>
      </c>
      <c r="I5" s="9" t="s">
        <v>6872</v>
      </c>
      <c r="J5" s="6" t="s">
        <v>3538</v>
      </c>
      <c r="K5" s="6" t="s">
        <v>6064</v>
      </c>
      <c r="L5" s="6"/>
      <c r="M5" s="6" t="s">
        <v>2467</v>
      </c>
      <c r="N5" s="468" t="s">
        <v>10005</v>
      </c>
      <c r="O5" s="52"/>
      <c r="P5" s="52"/>
    </row>
    <row r="6" spans="1:16" ht="51">
      <c r="A6" s="61">
        <v>38961</v>
      </c>
      <c r="B6" s="291" t="s">
        <v>10006</v>
      </c>
      <c r="C6" s="161" t="s">
        <v>9980</v>
      </c>
      <c r="D6" s="6" t="s">
        <v>10007</v>
      </c>
      <c r="E6" s="160" t="s">
        <v>10008</v>
      </c>
      <c r="F6" s="475" t="s">
        <v>1808</v>
      </c>
      <c r="G6" s="160" t="s">
        <v>1938</v>
      </c>
      <c r="H6" s="6" t="s">
        <v>10009</v>
      </c>
      <c r="I6" s="9" t="s">
        <v>6872</v>
      </c>
      <c r="J6" s="6" t="s">
        <v>8063</v>
      </c>
      <c r="K6" s="6" t="s">
        <v>6064</v>
      </c>
      <c r="L6" s="6" t="s">
        <v>1824</v>
      </c>
      <c r="M6" s="6" t="s">
        <v>1828</v>
      </c>
      <c r="N6" s="468" t="s">
        <v>10010</v>
      </c>
      <c r="O6" s="52"/>
      <c r="P6" s="52"/>
    </row>
    <row r="7" spans="1:16" ht="114.75">
      <c r="A7" s="61">
        <v>38991</v>
      </c>
      <c r="B7" s="297" t="s">
        <v>10011</v>
      </c>
      <c r="C7" s="158" t="s">
        <v>10012</v>
      </c>
      <c r="D7" s="158" t="s">
        <v>10013</v>
      </c>
      <c r="E7" s="6" t="s">
        <v>10014</v>
      </c>
      <c r="F7" s="475" t="s">
        <v>1808</v>
      </c>
      <c r="G7" s="160"/>
      <c r="H7" s="6" t="s">
        <v>10015</v>
      </c>
      <c r="I7" s="9" t="s">
        <v>925</v>
      </c>
      <c r="J7" s="6" t="s">
        <v>10016</v>
      </c>
      <c r="K7" s="6" t="s">
        <v>6064</v>
      </c>
      <c r="L7" s="6" t="s">
        <v>1824</v>
      </c>
      <c r="M7" s="6" t="s">
        <v>2449</v>
      </c>
      <c r="N7" s="468" t="s">
        <v>10017</v>
      </c>
      <c r="O7" s="52"/>
      <c r="P7" s="52"/>
    </row>
    <row r="8" spans="1:16" ht="63.75">
      <c r="A8" s="62">
        <v>39022</v>
      </c>
      <c r="B8" s="291" t="s">
        <v>10018</v>
      </c>
      <c r="C8" s="158" t="s">
        <v>10019</v>
      </c>
      <c r="D8" s="158" t="s">
        <v>10020</v>
      </c>
      <c r="E8" s="6" t="s">
        <v>10021</v>
      </c>
      <c r="F8" s="475" t="s">
        <v>1808</v>
      </c>
      <c r="G8" s="292"/>
      <c r="H8" s="6" t="s">
        <v>10022</v>
      </c>
      <c r="I8" s="9" t="s">
        <v>925</v>
      </c>
      <c r="J8" s="6" t="s">
        <v>10016</v>
      </c>
      <c r="K8" s="6" t="s">
        <v>6189</v>
      </c>
      <c r="L8" s="6" t="s">
        <v>1824</v>
      </c>
      <c r="M8" s="6" t="s">
        <v>6783</v>
      </c>
      <c r="N8" s="468" t="s">
        <v>10023</v>
      </c>
      <c r="O8" s="52"/>
      <c r="P8" s="52"/>
    </row>
    <row r="9" spans="1:16" ht="51">
      <c r="A9" s="6" t="s">
        <v>10024</v>
      </c>
      <c r="B9" s="297" t="s">
        <v>10025</v>
      </c>
      <c r="C9" s="161" t="s">
        <v>9980</v>
      </c>
      <c r="D9" s="158" t="s">
        <v>10026</v>
      </c>
      <c r="E9" s="158" t="s">
        <v>10027</v>
      </c>
      <c r="F9" s="6" t="s">
        <v>10028</v>
      </c>
      <c r="G9" s="160" t="s">
        <v>10029</v>
      </c>
      <c r="H9" s="158" t="s">
        <v>10030</v>
      </c>
      <c r="I9" s="9" t="s">
        <v>6872</v>
      </c>
      <c r="J9" s="6" t="s">
        <v>4982</v>
      </c>
      <c r="K9" s="6" t="s">
        <v>6137</v>
      </c>
      <c r="L9" s="6"/>
      <c r="M9" s="6" t="s">
        <v>2613</v>
      </c>
      <c r="N9" s="468" t="s">
        <v>10031</v>
      </c>
      <c r="O9" s="52"/>
      <c r="P9" s="52"/>
    </row>
    <row r="10" spans="1:16" ht="51">
      <c r="A10" s="6" t="s">
        <v>10032</v>
      </c>
      <c r="B10" s="297" t="s">
        <v>10033</v>
      </c>
      <c r="C10" s="158" t="s">
        <v>10034</v>
      </c>
      <c r="D10" s="6" t="s">
        <v>10035</v>
      </c>
      <c r="E10" s="6" t="s">
        <v>10036</v>
      </c>
      <c r="F10" s="475" t="s">
        <v>1808</v>
      </c>
      <c r="G10" s="292" t="s">
        <v>10037</v>
      </c>
      <c r="H10" s="160" t="s">
        <v>10038</v>
      </c>
      <c r="I10" s="161" t="s">
        <v>925</v>
      </c>
      <c r="J10" s="6"/>
      <c r="K10" s="6" t="s">
        <v>6137</v>
      </c>
      <c r="L10" s="6"/>
      <c r="M10" s="6" t="s">
        <v>1828</v>
      </c>
      <c r="N10" s="468" t="s">
        <v>10039</v>
      </c>
      <c r="O10" s="52"/>
      <c r="P10" s="52"/>
    </row>
    <row r="11" spans="1:16" ht="38.25">
      <c r="A11" s="6" t="s">
        <v>10040</v>
      </c>
      <c r="B11" s="291" t="s">
        <v>10041</v>
      </c>
      <c r="C11" s="161" t="s">
        <v>9980</v>
      </c>
      <c r="D11" s="6" t="s">
        <v>10042</v>
      </c>
      <c r="E11" s="6" t="s">
        <v>9995</v>
      </c>
      <c r="F11" s="475" t="s">
        <v>1808</v>
      </c>
      <c r="G11" s="160" t="s">
        <v>9996</v>
      </c>
      <c r="H11" s="8" t="s">
        <v>10043</v>
      </c>
      <c r="I11" s="161" t="s">
        <v>6872</v>
      </c>
      <c r="J11" s="6"/>
      <c r="K11" s="6" t="s">
        <v>6064</v>
      </c>
      <c r="L11" s="6"/>
      <c r="M11" s="6" t="s">
        <v>1828</v>
      </c>
      <c r="N11" s="468" t="s">
        <v>10044</v>
      </c>
      <c r="O11" s="52"/>
      <c r="P11" s="52"/>
    </row>
    <row r="12" spans="1:16" ht="38.25">
      <c r="A12" s="6" t="s">
        <v>10045</v>
      </c>
      <c r="B12" s="297" t="s">
        <v>10046</v>
      </c>
      <c r="C12" s="161" t="s">
        <v>9980</v>
      </c>
      <c r="D12" s="6" t="s">
        <v>10047</v>
      </c>
      <c r="E12" s="6" t="s">
        <v>10048</v>
      </c>
      <c r="F12" s="475" t="s">
        <v>1808</v>
      </c>
      <c r="G12" s="531" t="s">
        <v>10049</v>
      </c>
      <c r="H12" s="6" t="s">
        <v>10050</v>
      </c>
      <c r="I12" s="9" t="s">
        <v>6872</v>
      </c>
      <c r="J12" s="6" t="s">
        <v>1141</v>
      </c>
      <c r="K12" s="6" t="s">
        <v>6071</v>
      </c>
      <c r="L12" s="6"/>
      <c r="M12" s="6" t="s">
        <v>2611</v>
      </c>
      <c r="N12" s="468" t="s">
        <v>10051</v>
      </c>
      <c r="O12" s="52"/>
      <c r="P12" s="52"/>
    </row>
    <row r="13" spans="1:16" ht="51">
      <c r="A13" s="6" t="s">
        <v>10052</v>
      </c>
      <c r="B13" s="291" t="s">
        <v>10053</v>
      </c>
      <c r="C13" s="161" t="s">
        <v>9980</v>
      </c>
      <c r="D13" s="6" t="s">
        <v>10054</v>
      </c>
      <c r="E13" s="6" t="s">
        <v>10055</v>
      </c>
      <c r="F13" s="475" t="s">
        <v>1808</v>
      </c>
      <c r="G13" s="6" t="s">
        <v>10056</v>
      </c>
      <c r="H13" s="6" t="s">
        <v>10057</v>
      </c>
      <c r="I13" s="9" t="s">
        <v>6872</v>
      </c>
      <c r="J13" s="6" t="s">
        <v>10058</v>
      </c>
      <c r="K13" s="6" t="s">
        <v>6064</v>
      </c>
      <c r="L13" s="6"/>
      <c r="M13" s="6" t="s">
        <v>1828</v>
      </c>
      <c r="N13" s="468" t="s">
        <v>10059</v>
      </c>
      <c r="O13" s="52"/>
      <c r="P13" s="52"/>
    </row>
    <row r="14" spans="1:16" ht="38.25">
      <c r="A14" s="6" t="s">
        <v>10060</v>
      </c>
      <c r="B14" s="297" t="s">
        <v>10061</v>
      </c>
      <c r="C14" s="158" t="s">
        <v>10062</v>
      </c>
      <c r="D14" s="6" t="s">
        <v>10063</v>
      </c>
      <c r="E14" s="158" t="s">
        <v>10064</v>
      </c>
      <c r="F14" s="475" t="s">
        <v>1808</v>
      </c>
      <c r="G14" s="6"/>
      <c r="H14" s="6" t="s">
        <v>10065</v>
      </c>
      <c r="I14" s="9" t="s">
        <v>6872</v>
      </c>
      <c r="J14" s="6" t="s">
        <v>10066</v>
      </c>
      <c r="K14" s="6" t="s">
        <v>6064</v>
      </c>
      <c r="L14" s="6" t="s">
        <v>1824</v>
      </c>
      <c r="M14" s="6"/>
      <c r="N14" s="468" t="s">
        <v>10067</v>
      </c>
      <c r="O14" s="52"/>
      <c r="P14" s="52"/>
    </row>
    <row r="15" spans="1:16" ht="51">
      <c r="A15" s="6" t="s">
        <v>10068</v>
      </c>
      <c r="B15" s="297" t="s">
        <v>10069</v>
      </c>
      <c r="C15" s="158" t="s">
        <v>10070</v>
      </c>
      <c r="D15" s="161" t="s">
        <v>10071</v>
      </c>
      <c r="E15" s="158" t="s">
        <v>497</v>
      </c>
      <c r="F15" s="475" t="s">
        <v>1808</v>
      </c>
      <c r="G15" s="6"/>
      <c r="H15" s="6" t="s">
        <v>10072</v>
      </c>
      <c r="I15" s="9" t="s">
        <v>925</v>
      </c>
      <c r="J15" s="6" t="s">
        <v>10073</v>
      </c>
      <c r="K15" s="6" t="s">
        <v>6064</v>
      </c>
      <c r="L15" s="6"/>
      <c r="M15" s="6" t="s">
        <v>497</v>
      </c>
      <c r="N15" s="468" t="s">
        <v>10074</v>
      </c>
      <c r="O15" s="52"/>
      <c r="P15" s="52"/>
    </row>
    <row r="16" spans="1:16" ht="51">
      <c r="A16" s="6" t="s">
        <v>10075</v>
      </c>
      <c r="B16" s="297" t="s">
        <v>10076</v>
      </c>
      <c r="C16" s="158" t="s">
        <v>10077</v>
      </c>
      <c r="D16" s="161" t="s">
        <v>10078</v>
      </c>
      <c r="E16" s="6" t="s">
        <v>9352</v>
      </c>
      <c r="F16" s="475" t="s">
        <v>1808</v>
      </c>
      <c r="G16" s="6" t="s">
        <v>2508</v>
      </c>
      <c r="H16" s="6" t="s">
        <v>10079</v>
      </c>
      <c r="I16" s="9" t="s">
        <v>925</v>
      </c>
      <c r="J16" s="6"/>
      <c r="K16" s="6" t="s">
        <v>6064</v>
      </c>
      <c r="L16" s="6"/>
      <c r="M16" s="6" t="s">
        <v>1828</v>
      </c>
      <c r="N16" s="468" t="s">
        <v>10074</v>
      </c>
      <c r="O16" s="52"/>
      <c r="P16" s="52"/>
    </row>
    <row r="17" spans="1:16" ht="51">
      <c r="A17" s="6" t="s">
        <v>10080</v>
      </c>
      <c r="B17" s="297" t="s">
        <v>10081</v>
      </c>
      <c r="C17" s="158" t="s">
        <v>10082</v>
      </c>
      <c r="D17" s="6" t="s">
        <v>10083</v>
      </c>
      <c r="E17" s="6" t="s">
        <v>10084</v>
      </c>
      <c r="F17" s="475" t="s">
        <v>1808</v>
      </c>
      <c r="G17" s="577" t="s">
        <v>10085</v>
      </c>
      <c r="H17" s="6" t="s">
        <v>2453</v>
      </c>
      <c r="I17" s="9" t="s">
        <v>925</v>
      </c>
      <c r="J17" s="6"/>
      <c r="K17" s="6" t="s">
        <v>6137</v>
      </c>
      <c r="L17" s="6"/>
      <c r="M17" s="6" t="s">
        <v>6783</v>
      </c>
      <c r="N17" s="468" t="s">
        <v>10086</v>
      </c>
      <c r="O17" s="52"/>
      <c r="P17" s="52"/>
    </row>
    <row r="18" spans="1:16" ht="51">
      <c r="A18" s="6" t="s">
        <v>10087</v>
      </c>
      <c r="B18" s="291" t="s">
        <v>10088</v>
      </c>
      <c r="C18" s="158" t="s">
        <v>10089</v>
      </c>
      <c r="D18" s="161" t="s">
        <v>10090</v>
      </c>
      <c r="E18" s="6" t="s">
        <v>10091</v>
      </c>
      <c r="F18" s="6" t="s">
        <v>10092</v>
      </c>
      <c r="G18" s="210"/>
      <c r="H18" s="6" t="s">
        <v>2453</v>
      </c>
      <c r="I18" s="9" t="s">
        <v>925</v>
      </c>
      <c r="J18" s="6"/>
      <c r="K18" s="6" t="s">
        <v>6137</v>
      </c>
      <c r="L18" s="6"/>
      <c r="M18" s="6"/>
      <c r="N18" s="468" t="s">
        <v>10093</v>
      </c>
      <c r="O18" s="52"/>
      <c r="P18" s="52"/>
    </row>
    <row r="19" spans="1:16" ht="38.25">
      <c r="A19" s="6" t="s">
        <v>10094</v>
      </c>
      <c r="B19" s="291" t="s">
        <v>10095</v>
      </c>
      <c r="C19" s="158" t="s">
        <v>10096</v>
      </c>
      <c r="D19" s="6" t="s">
        <v>10020</v>
      </c>
      <c r="E19" s="6" t="s">
        <v>1442</v>
      </c>
      <c r="F19" s="475" t="s">
        <v>1808</v>
      </c>
      <c r="G19" s="6"/>
      <c r="H19" s="6" t="s">
        <v>2453</v>
      </c>
      <c r="I19" s="9" t="s">
        <v>925</v>
      </c>
      <c r="J19" s="6"/>
      <c r="K19" s="6" t="s">
        <v>6064</v>
      </c>
      <c r="L19" s="6" t="s">
        <v>1824</v>
      </c>
      <c r="M19" s="6" t="s">
        <v>6783</v>
      </c>
      <c r="N19" s="468" t="s">
        <v>10097</v>
      </c>
      <c r="O19" s="52"/>
      <c r="P19" s="52"/>
    </row>
    <row r="20" spans="1:16" ht="51">
      <c r="A20" s="6" t="s">
        <v>10098</v>
      </c>
      <c r="B20" s="291" t="s">
        <v>10099</v>
      </c>
      <c r="C20" s="158" t="s">
        <v>10100</v>
      </c>
      <c r="D20" s="6" t="s">
        <v>10101</v>
      </c>
      <c r="E20" s="6" t="s">
        <v>1491</v>
      </c>
      <c r="F20" s="475" t="s">
        <v>1808</v>
      </c>
      <c r="G20" s="160"/>
      <c r="H20" s="6" t="s">
        <v>2453</v>
      </c>
      <c r="I20" s="161" t="s">
        <v>925</v>
      </c>
      <c r="J20" s="6"/>
      <c r="K20" s="6" t="s">
        <v>6064</v>
      </c>
      <c r="L20" s="6" t="s">
        <v>1824</v>
      </c>
      <c r="M20" s="6" t="s">
        <v>6783</v>
      </c>
      <c r="N20" s="468" t="s">
        <v>10102</v>
      </c>
      <c r="O20" s="52"/>
      <c r="P20" s="52"/>
    </row>
    <row r="21" spans="1:16" ht="51">
      <c r="A21" s="6" t="s">
        <v>10103</v>
      </c>
      <c r="B21" s="297" t="s">
        <v>10104</v>
      </c>
      <c r="C21" s="158" t="s">
        <v>10105</v>
      </c>
      <c r="D21" s="6" t="s">
        <v>10106</v>
      </c>
      <c r="E21" s="578"/>
      <c r="F21" s="475" t="s">
        <v>1808</v>
      </c>
      <c r="G21" s="160"/>
      <c r="H21" s="6" t="s">
        <v>10107</v>
      </c>
      <c r="I21" s="161" t="s">
        <v>925</v>
      </c>
      <c r="J21" s="6"/>
      <c r="K21" s="6" t="s">
        <v>6064</v>
      </c>
      <c r="L21" s="6"/>
      <c r="M21" s="6"/>
      <c r="N21" s="468" t="s">
        <v>10102</v>
      </c>
      <c r="O21" s="52"/>
      <c r="P21" s="52"/>
    </row>
    <row r="22" spans="1:16" ht="51">
      <c r="A22" s="6" t="s">
        <v>10108</v>
      </c>
      <c r="B22" s="291" t="s">
        <v>10109</v>
      </c>
      <c r="C22" s="158" t="s">
        <v>10110</v>
      </c>
      <c r="D22" s="6" t="s">
        <v>10001</v>
      </c>
      <c r="E22" s="6" t="s">
        <v>10002</v>
      </c>
      <c r="F22" s="6" t="s">
        <v>6132</v>
      </c>
      <c r="G22" s="160" t="s">
        <v>10003</v>
      </c>
      <c r="H22" s="217" t="s">
        <v>10111</v>
      </c>
      <c r="I22" s="9" t="s">
        <v>925</v>
      </c>
      <c r="J22" s="6" t="s">
        <v>10112</v>
      </c>
      <c r="K22" s="6" t="s">
        <v>6064</v>
      </c>
      <c r="L22" s="6"/>
      <c r="M22" s="6" t="s">
        <v>2467</v>
      </c>
      <c r="N22" s="468" t="s">
        <v>10113</v>
      </c>
      <c r="O22" s="52"/>
      <c r="P22" s="52"/>
    </row>
    <row r="23" spans="1:16" ht="38.25">
      <c r="A23" s="6" t="s">
        <v>10114</v>
      </c>
      <c r="B23" s="291" t="s">
        <v>10115</v>
      </c>
      <c r="C23" s="161" t="s">
        <v>9980</v>
      </c>
      <c r="D23" s="6" t="s">
        <v>10116</v>
      </c>
      <c r="E23" s="6" t="s">
        <v>10117</v>
      </c>
      <c r="F23" s="6" t="s">
        <v>6132</v>
      </c>
      <c r="G23" s="160" t="s">
        <v>10118</v>
      </c>
      <c r="H23" s="6" t="s">
        <v>10119</v>
      </c>
      <c r="I23" s="9" t="s">
        <v>6872</v>
      </c>
      <c r="J23" s="6"/>
      <c r="K23" s="6" t="s">
        <v>6064</v>
      </c>
      <c r="L23" s="6"/>
      <c r="M23" s="6" t="s">
        <v>1828</v>
      </c>
      <c r="N23" s="468" t="s">
        <v>10120</v>
      </c>
      <c r="O23" s="52"/>
      <c r="P23" s="52"/>
    </row>
    <row r="24" spans="1:16" ht="38.25">
      <c r="A24" s="6" t="s">
        <v>10121</v>
      </c>
      <c r="B24" s="297" t="s">
        <v>10122</v>
      </c>
      <c r="C24" s="161" t="s">
        <v>9980</v>
      </c>
      <c r="D24" s="6" t="s">
        <v>10123</v>
      </c>
      <c r="E24" s="6" t="s">
        <v>10124</v>
      </c>
      <c r="F24" s="475" t="s">
        <v>1808</v>
      </c>
      <c r="G24" s="531" t="s">
        <v>10125</v>
      </c>
      <c r="H24" s="6" t="s">
        <v>10126</v>
      </c>
      <c r="I24" s="9" t="s">
        <v>6872</v>
      </c>
      <c r="J24" s="6" t="s">
        <v>1141</v>
      </c>
      <c r="K24" s="6" t="s">
        <v>6064</v>
      </c>
      <c r="L24" s="6"/>
      <c r="M24" s="6" t="s">
        <v>2611</v>
      </c>
      <c r="N24" s="468" t="s">
        <v>10127</v>
      </c>
      <c r="O24" s="52"/>
      <c r="P24" s="52"/>
    </row>
    <row r="25" spans="1:16" ht="51">
      <c r="A25" s="6" t="s">
        <v>10128</v>
      </c>
      <c r="B25" s="297" t="s">
        <v>10129</v>
      </c>
      <c r="C25" s="158" t="s">
        <v>10130</v>
      </c>
      <c r="D25" s="161" t="s">
        <v>10131</v>
      </c>
      <c r="E25" s="6" t="s">
        <v>10132</v>
      </c>
      <c r="F25" s="475" t="s">
        <v>1808</v>
      </c>
      <c r="G25" s="6"/>
      <c r="H25" s="6" t="s">
        <v>9658</v>
      </c>
      <c r="I25" s="161" t="s">
        <v>925</v>
      </c>
      <c r="J25" s="6" t="s">
        <v>9932</v>
      </c>
      <c r="K25" s="6" t="s">
        <v>6064</v>
      </c>
      <c r="L25" s="6"/>
      <c r="M25" s="6"/>
      <c r="N25" s="468" t="s">
        <v>10133</v>
      </c>
      <c r="O25" s="52"/>
      <c r="P25" s="52"/>
    </row>
    <row r="26" spans="1:16" ht="51">
      <c r="A26" s="6" t="s">
        <v>10134</v>
      </c>
      <c r="B26" s="291" t="s">
        <v>10135</v>
      </c>
      <c r="C26" s="158" t="s">
        <v>10136</v>
      </c>
      <c r="D26" s="6" t="s">
        <v>10137</v>
      </c>
      <c r="E26" s="6" t="s">
        <v>10138</v>
      </c>
      <c r="F26" s="6"/>
      <c r="G26" s="6" t="s">
        <v>10139</v>
      </c>
      <c r="H26" s="6" t="s">
        <v>10140</v>
      </c>
      <c r="I26" s="9" t="s">
        <v>925</v>
      </c>
      <c r="J26" s="6" t="s">
        <v>10141</v>
      </c>
      <c r="K26" s="6" t="s">
        <v>6064</v>
      </c>
      <c r="L26" s="6"/>
      <c r="M26" s="6" t="s">
        <v>1828</v>
      </c>
      <c r="N26" s="468" t="s">
        <v>10142</v>
      </c>
      <c r="O26" s="52"/>
      <c r="P26" s="52"/>
    </row>
    <row r="27" spans="1:16" ht="38.25">
      <c r="A27" s="6" t="s">
        <v>10143</v>
      </c>
      <c r="B27" s="297" t="s">
        <v>10144</v>
      </c>
      <c r="C27" s="161" t="s">
        <v>9980</v>
      </c>
      <c r="D27" s="6" t="s">
        <v>10145</v>
      </c>
      <c r="E27" s="6" t="s">
        <v>10146</v>
      </c>
      <c r="F27" s="6" t="s">
        <v>6179</v>
      </c>
      <c r="G27" s="6"/>
      <c r="H27" s="6" t="s">
        <v>10147</v>
      </c>
      <c r="I27" s="9" t="s">
        <v>6872</v>
      </c>
      <c r="J27" s="6" t="s">
        <v>4787</v>
      </c>
      <c r="K27" s="6" t="s">
        <v>6064</v>
      </c>
      <c r="L27" s="6"/>
      <c r="M27" s="6"/>
      <c r="N27" s="468" t="s">
        <v>10148</v>
      </c>
      <c r="O27" s="52"/>
      <c r="P27" s="52"/>
    </row>
    <row r="28" spans="1:16" ht="82.5" customHeight="1">
      <c r="A28" s="6" t="s">
        <v>10149</v>
      </c>
      <c r="B28" s="291" t="s">
        <v>10150</v>
      </c>
      <c r="C28" s="161" t="s">
        <v>9980</v>
      </c>
      <c r="D28" s="6" t="s">
        <v>10151</v>
      </c>
      <c r="E28" s="6"/>
      <c r="F28" s="475" t="s">
        <v>1808</v>
      </c>
      <c r="G28" s="6" t="s">
        <v>10152</v>
      </c>
      <c r="H28" s="6" t="s">
        <v>10153</v>
      </c>
      <c r="I28" s="9" t="s">
        <v>6872</v>
      </c>
      <c r="J28" s="6"/>
      <c r="K28" s="6" t="s">
        <v>6064</v>
      </c>
      <c r="L28" s="6"/>
      <c r="M28" s="6" t="s">
        <v>1828</v>
      </c>
      <c r="N28" s="468" t="s">
        <v>10154</v>
      </c>
      <c r="O28" s="52"/>
      <c r="P28" s="52"/>
    </row>
    <row r="29" spans="1:16" ht="38.25">
      <c r="A29" s="6" t="s">
        <v>10155</v>
      </c>
      <c r="B29" s="291" t="s">
        <v>10156</v>
      </c>
      <c r="C29" s="161" t="s">
        <v>9980</v>
      </c>
      <c r="D29" s="6" t="s">
        <v>10157</v>
      </c>
      <c r="E29" s="6" t="s">
        <v>9463</v>
      </c>
      <c r="F29" s="475" t="s">
        <v>1808</v>
      </c>
      <c r="G29" s="6"/>
      <c r="H29" s="6" t="s">
        <v>10158</v>
      </c>
      <c r="I29" s="9" t="s">
        <v>6872</v>
      </c>
      <c r="J29" s="6" t="s">
        <v>10159</v>
      </c>
      <c r="K29" s="6" t="s">
        <v>6064</v>
      </c>
      <c r="L29" s="6" t="s">
        <v>1824</v>
      </c>
      <c r="M29" s="6" t="s">
        <v>2611</v>
      </c>
      <c r="N29" s="468" t="s">
        <v>10160</v>
      </c>
      <c r="O29" s="52"/>
      <c r="P29" s="52"/>
    </row>
    <row r="30" spans="1:16" ht="38.25">
      <c r="A30" s="6" t="s">
        <v>10161</v>
      </c>
      <c r="B30" s="297" t="s">
        <v>10162</v>
      </c>
      <c r="C30" s="161" t="s">
        <v>10163</v>
      </c>
      <c r="D30" s="6" t="s">
        <v>10164</v>
      </c>
      <c r="E30" s="6" t="s">
        <v>10165</v>
      </c>
      <c r="F30" s="475" t="s">
        <v>1808</v>
      </c>
      <c r="G30" s="160" t="s">
        <v>2508</v>
      </c>
      <c r="H30" s="9" t="s">
        <v>10166</v>
      </c>
      <c r="I30" s="9" t="s">
        <v>925</v>
      </c>
      <c r="J30" s="6" t="s">
        <v>10167</v>
      </c>
      <c r="K30" s="6" t="s">
        <v>6064</v>
      </c>
      <c r="L30" s="6" t="s">
        <v>1824</v>
      </c>
      <c r="M30" s="6" t="s">
        <v>1828</v>
      </c>
      <c r="N30" s="468" t="s">
        <v>10168</v>
      </c>
      <c r="O30" s="52"/>
      <c r="P30" s="52"/>
    </row>
    <row r="31" spans="1:16" ht="38.25">
      <c r="A31" s="6" t="s">
        <v>10169</v>
      </c>
      <c r="B31" s="291" t="s">
        <v>10170</v>
      </c>
      <c r="C31" s="161" t="s">
        <v>9980</v>
      </c>
      <c r="D31" s="6" t="s">
        <v>10171</v>
      </c>
      <c r="E31" s="6" t="s">
        <v>10172</v>
      </c>
      <c r="F31" s="475" t="s">
        <v>1808</v>
      </c>
      <c r="G31" s="6"/>
      <c r="H31" s="6" t="s">
        <v>10173</v>
      </c>
      <c r="I31" s="161" t="s">
        <v>6872</v>
      </c>
      <c r="J31" s="6" t="s">
        <v>4987</v>
      </c>
      <c r="K31" s="6" t="s">
        <v>6064</v>
      </c>
      <c r="L31" s="6" t="s">
        <v>1824</v>
      </c>
      <c r="M31" s="6" t="s">
        <v>6874</v>
      </c>
      <c r="N31" s="468" t="s">
        <v>10174</v>
      </c>
      <c r="O31" s="52"/>
      <c r="P31" s="52"/>
    </row>
    <row r="32" spans="1:16" ht="51">
      <c r="A32" s="6" t="s">
        <v>10175</v>
      </c>
      <c r="B32" s="291" t="s">
        <v>10176</v>
      </c>
      <c r="C32" s="161" t="s">
        <v>9980</v>
      </c>
      <c r="D32" s="6" t="s">
        <v>10171</v>
      </c>
      <c r="E32" s="6" t="s">
        <v>10172</v>
      </c>
      <c r="F32" s="475" t="s">
        <v>1808</v>
      </c>
      <c r="G32" s="6"/>
      <c r="H32" s="6" t="s">
        <v>10173</v>
      </c>
      <c r="I32" s="9" t="s">
        <v>6872</v>
      </c>
      <c r="J32" s="6" t="s">
        <v>4982</v>
      </c>
      <c r="K32" s="6" t="s">
        <v>6064</v>
      </c>
      <c r="L32" s="6" t="s">
        <v>1824</v>
      </c>
      <c r="M32" s="6" t="s">
        <v>6874</v>
      </c>
      <c r="N32" s="468" t="s">
        <v>10177</v>
      </c>
      <c r="O32" s="52"/>
      <c r="P32" s="52"/>
    </row>
    <row r="33" spans="1:16" ht="38.25">
      <c r="A33" s="6" t="s">
        <v>10178</v>
      </c>
      <c r="B33" s="291" t="s">
        <v>10179</v>
      </c>
      <c r="C33" s="161" t="s">
        <v>9980</v>
      </c>
      <c r="D33" s="6" t="s">
        <v>10180</v>
      </c>
      <c r="E33" s="6" t="s">
        <v>10181</v>
      </c>
      <c r="F33" s="475" t="s">
        <v>1808</v>
      </c>
      <c r="G33" s="6" t="s">
        <v>10182</v>
      </c>
      <c r="H33" s="6" t="s">
        <v>10183</v>
      </c>
      <c r="I33" s="9" t="s">
        <v>6872</v>
      </c>
      <c r="J33" s="6" t="s">
        <v>3538</v>
      </c>
      <c r="K33" s="6" t="s">
        <v>6064</v>
      </c>
      <c r="L33" s="6"/>
      <c r="M33" s="6" t="s">
        <v>2609</v>
      </c>
      <c r="N33" s="468" t="s">
        <v>10184</v>
      </c>
      <c r="O33" s="52"/>
      <c r="P33" s="52"/>
    </row>
    <row r="34" spans="1:16" ht="38.25">
      <c r="A34" s="6" t="s">
        <v>10185</v>
      </c>
      <c r="B34" s="291" t="s">
        <v>10186</v>
      </c>
      <c r="C34" s="161" t="s">
        <v>9980</v>
      </c>
      <c r="D34" s="6" t="s">
        <v>10187</v>
      </c>
      <c r="E34" s="6" t="s">
        <v>10188</v>
      </c>
      <c r="F34" s="475" t="s">
        <v>1808</v>
      </c>
      <c r="G34" s="161"/>
      <c r="H34" s="6" t="s">
        <v>10189</v>
      </c>
      <c r="I34" s="9" t="s">
        <v>6872</v>
      </c>
      <c r="J34" s="6" t="s">
        <v>10190</v>
      </c>
      <c r="K34" s="6" t="s">
        <v>6064</v>
      </c>
      <c r="L34" s="6" t="s">
        <v>1824</v>
      </c>
      <c r="M34" s="6"/>
      <c r="N34" s="468" t="s">
        <v>10191</v>
      </c>
      <c r="O34" s="52"/>
      <c r="P34" s="52"/>
    </row>
    <row r="35" spans="1:16" ht="12.75">
      <c r="A35" s="6"/>
      <c r="B35" s="6"/>
      <c r="C35" s="161"/>
      <c r="D35" s="6"/>
      <c r="E35" s="160"/>
      <c r="F35" s="6"/>
      <c r="G35" s="6"/>
      <c r="H35" s="6"/>
      <c r="I35" s="9"/>
      <c r="J35" s="6"/>
      <c r="K35" s="6"/>
      <c r="L35" s="6"/>
      <c r="M35" s="6"/>
      <c r="N35" s="6"/>
      <c r="O35" s="52"/>
      <c r="P35" s="52"/>
    </row>
    <row r="36" spans="1:16" ht="12.75">
      <c r="A36" s="6"/>
      <c r="B36" s="6"/>
      <c r="C36" s="161"/>
      <c r="D36" s="6"/>
      <c r="E36" s="6"/>
      <c r="F36" s="6"/>
      <c r="G36" s="160"/>
      <c r="H36" s="6"/>
      <c r="I36" s="9"/>
      <c r="J36" s="6"/>
      <c r="K36" s="6"/>
      <c r="L36" s="6"/>
      <c r="M36" s="6"/>
      <c r="N36" s="6"/>
      <c r="O36" s="52"/>
      <c r="P36" s="52"/>
    </row>
    <row r="37" spans="1:16" ht="12.75">
      <c r="A37" s="6"/>
      <c r="B37" s="6"/>
      <c r="C37" s="161"/>
      <c r="D37" s="161"/>
      <c r="E37" s="160"/>
      <c r="F37" s="6"/>
      <c r="G37" s="160"/>
      <c r="H37" s="6"/>
      <c r="I37" s="9"/>
      <c r="J37" s="6"/>
      <c r="K37" s="6"/>
      <c r="L37" s="6"/>
      <c r="M37" s="6"/>
      <c r="N37" s="6"/>
      <c r="O37" s="52"/>
      <c r="P37" s="52"/>
    </row>
    <row r="38" spans="1:16" ht="12.75">
      <c r="A38" s="6"/>
      <c r="B38" s="6"/>
      <c r="C38" s="161"/>
      <c r="D38" s="6"/>
      <c r="E38" s="6"/>
      <c r="F38" s="6"/>
      <c r="G38" s="6"/>
      <c r="H38" s="6"/>
      <c r="I38" s="9"/>
      <c r="J38" s="6"/>
      <c r="K38" s="6"/>
      <c r="L38" s="6"/>
      <c r="M38" s="6"/>
      <c r="N38" s="6"/>
      <c r="O38" s="52"/>
      <c r="P38" s="52"/>
    </row>
    <row r="39" spans="1:16" ht="12.75">
      <c r="A39" s="6"/>
      <c r="B39" s="6"/>
      <c r="C39" s="161"/>
      <c r="D39" s="6"/>
      <c r="E39" s="6"/>
      <c r="F39" s="6"/>
      <c r="G39" s="6"/>
      <c r="H39" s="6"/>
      <c r="I39" s="9"/>
      <c r="J39" s="6"/>
      <c r="K39" s="6"/>
      <c r="L39" s="6"/>
      <c r="M39" s="6"/>
      <c r="N39" s="6"/>
      <c r="O39" s="52"/>
      <c r="P39" s="52"/>
    </row>
    <row r="40" spans="1:16" ht="12.75">
      <c r="A40" s="6"/>
      <c r="B40" s="6"/>
      <c r="C40" s="161"/>
      <c r="D40" s="6"/>
      <c r="E40" s="6"/>
      <c r="F40" s="6"/>
      <c r="G40" s="160"/>
      <c r="H40" s="6"/>
      <c r="I40" s="9"/>
      <c r="J40" s="6"/>
      <c r="K40" s="6"/>
      <c r="L40" s="6"/>
      <c r="M40" s="6"/>
      <c r="N40" s="6"/>
      <c r="O40" s="52"/>
      <c r="P40" s="52"/>
    </row>
    <row r="41" spans="1:16" ht="12.75">
      <c r="A41" s="6"/>
      <c r="B41" s="6"/>
      <c r="C41" s="161"/>
      <c r="D41" s="6"/>
      <c r="E41" s="6"/>
      <c r="F41" s="6"/>
      <c r="G41" s="160"/>
      <c r="H41" s="6"/>
      <c r="I41" s="161"/>
      <c r="J41" s="6"/>
      <c r="K41" s="6"/>
      <c r="L41" s="6"/>
      <c r="M41" s="6"/>
      <c r="N41" s="6"/>
      <c r="O41" s="52"/>
      <c r="P41" s="52"/>
    </row>
    <row r="42" spans="1:16" ht="12.75">
      <c r="A42" s="6"/>
      <c r="B42" s="6"/>
      <c r="C42" s="161"/>
      <c r="D42" s="6"/>
      <c r="E42" s="6"/>
      <c r="F42" s="6"/>
      <c r="G42" s="161"/>
      <c r="H42" s="6"/>
      <c r="I42" s="9"/>
      <c r="J42" s="6"/>
      <c r="K42" s="6"/>
      <c r="L42" s="6"/>
      <c r="M42" s="6"/>
      <c r="N42" s="6"/>
      <c r="O42" s="52"/>
      <c r="P42" s="52"/>
    </row>
    <row r="43" spans="1:16" ht="12.75">
      <c r="A43" s="6"/>
      <c r="B43" s="6"/>
      <c r="C43" s="161"/>
      <c r="D43" s="6"/>
      <c r="E43" s="6"/>
      <c r="F43" s="6"/>
      <c r="G43" s="160"/>
      <c r="H43" s="6"/>
      <c r="I43" s="9"/>
      <c r="J43" s="6"/>
      <c r="K43" s="6"/>
      <c r="L43" s="6"/>
      <c r="M43" s="6"/>
      <c r="N43" s="6"/>
      <c r="O43" s="52"/>
      <c r="P43" s="52"/>
    </row>
    <row r="44" spans="1:16" ht="12.75">
      <c r="A44" s="6"/>
      <c r="B44" s="6"/>
      <c r="C44" s="161"/>
      <c r="D44" s="6"/>
      <c r="E44" s="6"/>
      <c r="F44" s="6"/>
      <c r="G44" s="160"/>
      <c r="H44" s="6"/>
      <c r="I44" s="9"/>
      <c r="J44" s="6"/>
      <c r="K44" s="6"/>
      <c r="L44" s="6"/>
      <c r="M44" s="6"/>
      <c r="N44" s="6"/>
      <c r="O44" s="52"/>
      <c r="P44" s="52"/>
    </row>
    <row r="45" spans="1:16" ht="12.75">
      <c r="A45" s="6"/>
      <c r="B45" s="6"/>
      <c r="C45" s="161"/>
      <c r="D45" s="6"/>
      <c r="E45" s="6"/>
      <c r="F45" s="6"/>
      <c r="G45" s="160"/>
      <c r="H45" s="6"/>
      <c r="I45" s="9"/>
      <c r="J45" s="6"/>
      <c r="K45" s="6"/>
      <c r="L45" s="6"/>
      <c r="M45" s="6"/>
      <c r="N45" s="6"/>
      <c r="O45" s="52"/>
      <c r="P45" s="52"/>
    </row>
    <row r="46" spans="1:16" ht="12.75">
      <c r="A46" s="6"/>
      <c r="B46" s="6"/>
      <c r="C46" s="161"/>
      <c r="D46" s="6"/>
      <c r="E46" s="6"/>
      <c r="F46" s="6"/>
      <c r="G46" s="292"/>
      <c r="H46" s="64"/>
      <c r="I46" s="9"/>
      <c r="J46" s="6"/>
      <c r="K46" s="6"/>
      <c r="L46" s="6"/>
      <c r="M46" s="6"/>
      <c r="N46" s="6"/>
      <c r="O46" s="52"/>
      <c r="P46" s="52"/>
    </row>
    <row r="47" spans="1:16" ht="12.75">
      <c r="A47" s="6"/>
      <c r="B47" s="6"/>
      <c r="C47" s="161"/>
      <c r="D47" s="158"/>
      <c r="E47" s="6"/>
      <c r="F47" s="6"/>
      <c r="G47" s="160"/>
      <c r="H47" s="6"/>
      <c r="I47" s="9"/>
      <c r="J47" s="6"/>
      <c r="K47" s="6"/>
      <c r="L47" s="6"/>
      <c r="M47" s="6"/>
      <c r="N47" s="6"/>
      <c r="O47" s="52"/>
      <c r="P47" s="52"/>
    </row>
    <row r="48" spans="1:16" ht="12.75">
      <c r="A48" s="6"/>
      <c r="B48" s="6"/>
      <c r="C48" s="161"/>
      <c r="D48" s="6"/>
      <c r="E48" s="6"/>
      <c r="F48" s="6"/>
      <c r="G48" s="160"/>
      <c r="H48" s="6"/>
      <c r="I48" s="9"/>
      <c r="J48" s="6"/>
      <c r="K48" s="6"/>
      <c r="L48" s="6"/>
      <c r="M48" s="6"/>
      <c r="N48" s="6"/>
      <c r="O48" s="52"/>
      <c r="P48" s="52"/>
    </row>
    <row r="49" spans="1:16" ht="12.75">
      <c r="A49" s="6"/>
      <c r="B49" s="6"/>
      <c r="C49" s="161"/>
      <c r="D49" s="6"/>
      <c r="E49" s="6"/>
      <c r="F49" s="6"/>
      <c r="G49" s="160"/>
      <c r="H49" s="6"/>
      <c r="I49" s="9"/>
      <c r="J49" s="6"/>
      <c r="K49" s="6"/>
      <c r="L49" s="6"/>
      <c r="M49" s="6"/>
      <c r="N49" s="6"/>
      <c r="O49" s="52"/>
      <c r="P49" s="52"/>
    </row>
    <row r="50" spans="1:16" ht="12.75">
      <c r="A50" s="6"/>
      <c r="B50" s="6"/>
      <c r="C50" s="161"/>
      <c r="D50" s="6"/>
      <c r="E50" s="6"/>
      <c r="F50" s="6"/>
      <c r="G50" s="6"/>
      <c r="H50" s="6"/>
      <c r="I50" s="9"/>
      <c r="J50" s="6"/>
      <c r="K50" s="6"/>
      <c r="L50" s="6"/>
      <c r="M50" s="6"/>
      <c r="N50" s="6"/>
      <c r="O50" s="52"/>
      <c r="P50" s="52"/>
    </row>
    <row r="51" spans="1:16" ht="12.75">
      <c r="A51" s="6"/>
      <c r="B51" s="6"/>
      <c r="C51" s="161"/>
      <c r="D51" s="6"/>
      <c r="E51" s="6"/>
      <c r="F51" s="6"/>
      <c r="G51" s="292"/>
      <c r="H51" s="6"/>
      <c r="I51" s="9"/>
      <c r="J51" s="6"/>
      <c r="K51" s="6"/>
      <c r="L51" s="6"/>
      <c r="M51" s="6"/>
      <c r="N51" s="6"/>
      <c r="O51" s="52"/>
      <c r="P51" s="52"/>
    </row>
    <row r="52" spans="1:16" ht="12.75">
      <c r="A52" s="6"/>
      <c r="B52" s="6"/>
      <c r="C52" s="161"/>
      <c r="D52" s="6"/>
      <c r="E52" s="6"/>
      <c r="F52" s="6"/>
      <c r="G52" s="6"/>
      <c r="H52" s="6"/>
      <c r="I52" s="9"/>
      <c r="J52" s="6"/>
      <c r="K52" s="6"/>
      <c r="L52" s="6"/>
      <c r="M52" s="6"/>
      <c r="N52" s="6"/>
      <c r="O52" s="52"/>
      <c r="P52" s="52"/>
    </row>
    <row r="53" spans="1:16" ht="12.75">
      <c r="A53" s="6"/>
      <c r="B53" s="6"/>
      <c r="C53" s="161"/>
      <c r="D53" s="6"/>
      <c r="E53" s="6"/>
      <c r="F53" s="6"/>
      <c r="G53" s="6"/>
      <c r="H53" s="6"/>
      <c r="I53" s="9"/>
      <c r="J53" s="6"/>
      <c r="K53" s="6"/>
      <c r="L53" s="6"/>
      <c r="M53" s="6"/>
      <c r="N53" s="6"/>
      <c r="O53" s="52"/>
      <c r="P53" s="52"/>
    </row>
    <row r="54" spans="1:16" ht="12.75">
      <c r="A54" s="6"/>
      <c r="B54" s="6"/>
      <c r="C54" s="161"/>
      <c r="D54" s="6"/>
      <c r="E54" s="6"/>
      <c r="F54" s="6"/>
      <c r="G54" s="6"/>
      <c r="H54" s="6"/>
      <c r="I54" s="9"/>
      <c r="J54" s="6"/>
      <c r="K54" s="6"/>
      <c r="L54" s="6"/>
      <c r="M54" s="6"/>
      <c r="N54" s="6"/>
      <c r="O54" s="52"/>
      <c r="P54" s="52"/>
    </row>
    <row r="55" spans="1:16" ht="12.75">
      <c r="A55" s="6"/>
      <c r="B55" s="6"/>
      <c r="C55" s="161"/>
      <c r="D55" s="6"/>
      <c r="E55" s="6"/>
      <c r="F55" s="6"/>
      <c r="G55" s="6"/>
      <c r="H55" s="6"/>
      <c r="I55" s="9"/>
      <c r="J55" s="6"/>
      <c r="K55" s="6"/>
      <c r="L55" s="6"/>
      <c r="M55" s="6"/>
      <c r="N55" s="6"/>
      <c r="O55" s="52"/>
      <c r="P55" s="52"/>
    </row>
    <row r="56" spans="1:16" ht="12.75">
      <c r="A56" s="6"/>
      <c r="B56" s="6"/>
      <c r="C56" s="161"/>
      <c r="D56" s="6"/>
      <c r="E56" s="6"/>
      <c r="F56" s="6"/>
      <c r="G56" s="160"/>
      <c r="H56" s="6"/>
      <c r="I56" s="9"/>
      <c r="J56" s="6"/>
      <c r="K56" s="6"/>
      <c r="L56" s="6"/>
      <c r="M56" s="6"/>
      <c r="N56" s="6"/>
      <c r="O56" s="52"/>
      <c r="P56" s="52"/>
    </row>
    <row r="57" spans="1:16" ht="12.75">
      <c r="A57" s="6"/>
      <c r="B57" s="6"/>
      <c r="C57" s="161"/>
      <c r="D57" s="6"/>
      <c r="E57" s="6"/>
      <c r="F57" s="6"/>
      <c r="G57" s="160"/>
      <c r="H57" s="6"/>
      <c r="I57" s="9"/>
      <c r="J57" s="6"/>
      <c r="K57" s="6"/>
      <c r="L57" s="6"/>
      <c r="M57" s="6"/>
      <c r="N57" s="6"/>
      <c r="O57" s="52"/>
      <c r="P57" s="52"/>
    </row>
    <row r="58" spans="1:16" ht="12.75">
      <c r="A58" s="6"/>
      <c r="B58" s="6"/>
      <c r="C58" s="161"/>
      <c r="D58" s="6"/>
      <c r="E58" s="6"/>
      <c r="F58" s="6"/>
      <c r="G58" s="160"/>
      <c r="H58" s="6"/>
      <c r="I58" s="9"/>
      <c r="J58" s="6"/>
      <c r="K58" s="6"/>
      <c r="L58" s="6"/>
      <c r="M58" s="6"/>
      <c r="N58" s="6"/>
      <c r="O58" s="52"/>
      <c r="P58" s="52"/>
    </row>
    <row r="59" spans="1:16" ht="12.75">
      <c r="A59" s="6"/>
      <c r="B59" s="6"/>
      <c r="C59" s="161"/>
      <c r="D59" s="6"/>
      <c r="E59" s="6"/>
      <c r="F59" s="6"/>
      <c r="G59" s="160"/>
      <c r="H59" s="6"/>
      <c r="I59" s="9"/>
      <c r="J59" s="6"/>
      <c r="K59" s="6"/>
      <c r="L59" s="6"/>
      <c r="M59" s="6"/>
      <c r="N59" s="6"/>
      <c r="O59" s="52"/>
      <c r="P59" s="52"/>
    </row>
    <row r="60" spans="1:16" ht="12.75">
      <c r="A60" s="6"/>
      <c r="B60" s="6"/>
      <c r="C60" s="161"/>
      <c r="D60" s="6"/>
      <c r="E60" s="6"/>
      <c r="F60" s="6"/>
      <c r="G60" s="160"/>
      <c r="H60" s="6"/>
      <c r="I60" s="9"/>
      <c r="J60" s="6"/>
      <c r="K60" s="6"/>
      <c r="L60" s="6"/>
      <c r="M60" s="6"/>
      <c r="N60" s="6"/>
      <c r="O60" s="52"/>
      <c r="P60" s="52"/>
    </row>
    <row r="61" spans="1:16" ht="12.75">
      <c r="A61" s="6"/>
      <c r="B61" s="6"/>
      <c r="C61" s="161"/>
      <c r="D61" s="6"/>
      <c r="E61" s="6"/>
      <c r="F61" s="6"/>
      <c r="G61" s="160"/>
      <c r="H61" s="6"/>
      <c r="I61" s="9"/>
      <c r="J61" s="6"/>
      <c r="K61" s="6"/>
      <c r="L61" s="6"/>
      <c r="M61" s="6"/>
      <c r="N61" s="6"/>
      <c r="O61" s="52"/>
      <c r="P61" s="52"/>
    </row>
    <row r="62" spans="1:16" ht="12.75">
      <c r="A62" s="6"/>
      <c r="B62" s="6"/>
      <c r="C62" s="161"/>
      <c r="D62" s="6"/>
      <c r="E62" s="6"/>
      <c r="F62" s="6"/>
      <c r="G62" s="160"/>
      <c r="H62" s="6"/>
      <c r="I62" s="9"/>
      <c r="J62" s="6"/>
      <c r="K62" s="6"/>
      <c r="L62" s="6"/>
      <c r="M62" s="6"/>
      <c r="N62" s="6"/>
      <c r="O62" s="52"/>
      <c r="P62" s="52"/>
    </row>
    <row r="63" spans="1:16" ht="12.75">
      <c r="A63" s="6"/>
      <c r="B63" s="6"/>
      <c r="C63" s="161"/>
      <c r="D63" s="6"/>
      <c r="E63" s="6"/>
      <c r="F63" s="6"/>
      <c r="G63" s="6"/>
      <c r="H63" s="6"/>
      <c r="I63" s="9"/>
      <c r="J63" s="6"/>
      <c r="K63" s="6"/>
      <c r="L63" s="6"/>
      <c r="M63" s="6"/>
      <c r="N63" s="6"/>
      <c r="O63" s="52"/>
      <c r="P63" s="52"/>
    </row>
    <row r="64" spans="1:16" ht="12.75">
      <c r="A64" s="6"/>
      <c r="B64" s="6"/>
      <c r="C64" s="578"/>
      <c r="D64" s="6"/>
      <c r="E64" s="6"/>
      <c r="F64" s="6"/>
      <c r="G64" s="6"/>
      <c r="H64" s="6"/>
      <c r="I64" s="9"/>
      <c r="J64" s="6"/>
      <c r="K64" s="6"/>
      <c r="L64" s="6"/>
      <c r="M64" s="6"/>
      <c r="N64" s="6"/>
      <c r="O64" s="52"/>
      <c r="P64" s="52"/>
    </row>
    <row r="65" spans="1:16" ht="12.75">
      <c r="A65" s="6"/>
      <c r="B65" s="6"/>
      <c r="C65" s="578"/>
      <c r="D65" s="6"/>
      <c r="E65" s="6"/>
      <c r="F65" s="6"/>
      <c r="G65" s="6"/>
      <c r="H65" s="6"/>
      <c r="I65" s="9"/>
      <c r="J65" s="6"/>
      <c r="K65" s="6"/>
      <c r="L65" s="6"/>
      <c r="M65" s="6"/>
      <c r="N65" s="6"/>
      <c r="O65" s="52"/>
      <c r="P65" s="52"/>
    </row>
    <row r="66" spans="1:16" ht="12.75">
      <c r="A66" s="6"/>
      <c r="B66" s="6"/>
      <c r="C66" s="578"/>
      <c r="D66" s="6"/>
      <c r="E66" s="6"/>
      <c r="F66" s="6"/>
      <c r="G66" s="6"/>
      <c r="H66" s="6"/>
      <c r="I66" s="9"/>
      <c r="J66" s="6"/>
      <c r="K66" s="6"/>
      <c r="L66" s="6"/>
      <c r="M66" s="6"/>
      <c r="N66" s="6"/>
      <c r="O66" s="52"/>
      <c r="P66" s="52"/>
    </row>
    <row r="67" spans="1:16" ht="12.75">
      <c r="A67" s="6"/>
      <c r="B67" s="6"/>
      <c r="C67" s="578"/>
      <c r="D67" s="6"/>
      <c r="E67" s="6"/>
      <c r="F67" s="6"/>
      <c r="G67" s="6"/>
      <c r="H67" s="6"/>
      <c r="I67" s="9"/>
      <c r="J67" s="6"/>
      <c r="K67" s="6"/>
      <c r="L67" s="6"/>
      <c r="M67" s="6"/>
      <c r="N67" s="6"/>
      <c r="O67" s="52"/>
      <c r="P67" s="52"/>
    </row>
    <row r="68" spans="1:16" ht="12.75">
      <c r="A68" s="6"/>
      <c r="B68" s="6"/>
      <c r="C68" s="578"/>
      <c r="D68" s="6"/>
      <c r="E68" s="6"/>
      <c r="F68" s="6"/>
      <c r="G68" s="6"/>
      <c r="H68" s="6"/>
      <c r="I68" s="9"/>
      <c r="J68" s="6"/>
      <c r="K68" s="6"/>
      <c r="L68" s="6"/>
      <c r="M68" s="6"/>
      <c r="N68" s="6"/>
      <c r="O68" s="52"/>
      <c r="P68" s="52"/>
    </row>
    <row r="69" spans="1:16" ht="12.75">
      <c r="A69" s="6"/>
      <c r="B69" s="6"/>
      <c r="C69" s="578"/>
      <c r="D69" s="6"/>
      <c r="E69" s="6"/>
      <c r="F69" s="6"/>
      <c r="G69" s="6"/>
      <c r="H69" s="6"/>
      <c r="I69" s="9"/>
      <c r="J69" s="6"/>
      <c r="K69" s="6"/>
      <c r="L69" s="6"/>
      <c r="M69" s="6"/>
      <c r="N69" s="6"/>
      <c r="O69" s="52"/>
      <c r="P69" s="52"/>
    </row>
    <row r="70" spans="1:16" ht="12.75">
      <c r="A70" s="6"/>
      <c r="B70" s="6"/>
      <c r="C70" s="578"/>
      <c r="D70" s="6"/>
      <c r="E70" s="6"/>
      <c r="F70" s="6"/>
      <c r="G70" s="6"/>
      <c r="H70" s="6"/>
      <c r="I70" s="9"/>
      <c r="J70" s="6"/>
      <c r="K70" s="6"/>
      <c r="L70" s="6"/>
      <c r="M70" s="6"/>
      <c r="N70" s="6"/>
      <c r="O70" s="52"/>
      <c r="P70" s="52"/>
    </row>
    <row r="71" spans="1:16" ht="12.75">
      <c r="A71" s="6"/>
      <c r="B71" s="6"/>
      <c r="C71" s="578"/>
      <c r="D71" s="6"/>
      <c r="E71" s="6"/>
      <c r="F71" s="6"/>
      <c r="G71" s="6"/>
      <c r="H71" s="6"/>
      <c r="I71" s="9"/>
      <c r="J71" s="6"/>
      <c r="K71" s="6"/>
      <c r="L71" s="6"/>
      <c r="M71" s="6"/>
      <c r="N71" s="6"/>
      <c r="O71" s="52"/>
      <c r="P71" s="52"/>
    </row>
    <row r="72" spans="1:16" ht="12.75">
      <c r="A72" s="6"/>
      <c r="B72" s="6"/>
      <c r="C72" s="578"/>
      <c r="D72" s="6"/>
      <c r="E72" s="6"/>
      <c r="F72" s="6"/>
      <c r="G72" s="6"/>
      <c r="H72" s="6"/>
      <c r="I72" s="9"/>
      <c r="J72" s="6"/>
      <c r="K72" s="6"/>
      <c r="L72" s="6"/>
      <c r="M72" s="6"/>
      <c r="N72" s="6"/>
      <c r="O72" s="52"/>
      <c r="P72" s="52"/>
    </row>
    <row r="73" spans="1:16" ht="12.75">
      <c r="A73" s="6"/>
      <c r="B73" s="6"/>
      <c r="C73" s="6"/>
      <c r="D73" s="6"/>
      <c r="E73" s="6"/>
      <c r="F73" s="6"/>
      <c r="G73" s="6"/>
      <c r="H73" s="6"/>
      <c r="I73" s="9"/>
      <c r="J73" s="6"/>
      <c r="K73" s="6"/>
      <c r="L73" s="6"/>
      <c r="M73" s="6"/>
      <c r="N73" s="6"/>
      <c r="O73" s="52"/>
      <c r="P73" s="52"/>
    </row>
    <row r="74" spans="1:16" ht="12.75">
      <c r="A74" s="6"/>
      <c r="B74" s="6"/>
      <c r="C74" s="6"/>
      <c r="D74" s="6"/>
      <c r="E74" s="6"/>
      <c r="F74" s="6"/>
      <c r="G74" s="6"/>
      <c r="H74" s="6"/>
      <c r="I74" s="9"/>
      <c r="J74" s="6"/>
      <c r="K74" s="6"/>
      <c r="L74" s="6"/>
      <c r="M74" s="6"/>
      <c r="N74" s="6"/>
      <c r="O74" s="52"/>
      <c r="P74" s="52"/>
    </row>
    <row r="75" spans="1:16" ht="12.75">
      <c r="A75" s="6"/>
      <c r="B75" s="6"/>
      <c r="C75" s="578"/>
      <c r="D75" s="6"/>
      <c r="E75" s="6"/>
      <c r="F75" s="6"/>
      <c r="G75" s="6"/>
      <c r="H75" s="6"/>
      <c r="I75" s="9"/>
      <c r="J75" s="6"/>
      <c r="K75" s="6"/>
      <c r="L75" s="6"/>
      <c r="M75" s="6"/>
      <c r="N75" s="6"/>
      <c r="O75" s="52"/>
      <c r="P75" s="52"/>
    </row>
    <row r="76" spans="1:16" ht="12.75">
      <c r="A76" s="6"/>
      <c r="B76" s="6"/>
      <c r="C76" s="578"/>
      <c r="D76" s="6"/>
      <c r="E76" s="6"/>
      <c r="F76" s="6"/>
      <c r="G76" s="6"/>
      <c r="H76" s="6"/>
      <c r="I76" s="9"/>
      <c r="J76" s="6"/>
      <c r="K76" s="6"/>
      <c r="L76" s="6"/>
      <c r="M76" s="6"/>
      <c r="N76" s="6"/>
      <c r="O76" s="52"/>
      <c r="P76" s="52"/>
    </row>
    <row r="77" spans="1:16" ht="12.75">
      <c r="A77" s="6"/>
      <c r="B77" s="6"/>
      <c r="C77" s="6"/>
      <c r="D77" s="6"/>
      <c r="E77" s="6"/>
      <c r="F77" s="6"/>
      <c r="G77" s="6"/>
      <c r="H77" s="6"/>
      <c r="I77" s="9"/>
      <c r="J77" s="6"/>
      <c r="K77" s="6"/>
      <c r="L77" s="6"/>
      <c r="M77" s="6"/>
      <c r="N77" s="6"/>
      <c r="O77" s="52"/>
      <c r="P77" s="52"/>
    </row>
    <row r="78" spans="1:16" ht="12.75">
      <c r="A78" s="6"/>
      <c r="B78" s="6"/>
      <c r="C78" s="578"/>
      <c r="D78" s="6"/>
      <c r="E78" s="6"/>
      <c r="F78" s="6"/>
      <c r="G78" s="6"/>
      <c r="H78" s="6"/>
      <c r="I78" s="9"/>
      <c r="J78" s="6"/>
      <c r="K78" s="6"/>
      <c r="L78" s="6"/>
      <c r="M78" s="6"/>
      <c r="N78" s="6"/>
      <c r="O78" s="52"/>
      <c r="P78" s="52"/>
    </row>
    <row r="79" spans="1:16" ht="12.75">
      <c r="A79" s="6"/>
      <c r="B79" s="6"/>
      <c r="C79" s="578"/>
      <c r="D79" s="6"/>
      <c r="E79" s="6"/>
      <c r="F79" s="6"/>
      <c r="G79" s="6"/>
      <c r="H79" s="6"/>
      <c r="I79" s="9"/>
      <c r="J79" s="6"/>
      <c r="K79" s="6"/>
      <c r="L79" s="6"/>
      <c r="M79" s="6"/>
      <c r="N79" s="6"/>
      <c r="O79" s="52"/>
      <c r="P79" s="52"/>
    </row>
    <row r="80" spans="1:16" ht="12.75">
      <c r="A80" s="6"/>
      <c r="B80" s="6"/>
      <c r="C80" s="578"/>
      <c r="D80" s="6"/>
      <c r="E80" s="6"/>
      <c r="F80" s="6"/>
      <c r="G80" s="6"/>
      <c r="H80" s="6"/>
      <c r="I80" s="9"/>
      <c r="J80" s="6"/>
      <c r="K80" s="6"/>
      <c r="L80" s="6"/>
      <c r="M80" s="6"/>
      <c r="N80" s="6"/>
      <c r="O80" s="52"/>
      <c r="P80" s="52"/>
    </row>
    <row r="81" spans="1:16" ht="12.75">
      <c r="A81" s="6"/>
      <c r="B81" s="6"/>
      <c r="C81" s="578"/>
      <c r="D81" s="6"/>
      <c r="E81" s="6"/>
      <c r="F81" s="6"/>
      <c r="G81" s="6"/>
      <c r="H81" s="6"/>
      <c r="I81" s="9"/>
      <c r="J81" s="6"/>
      <c r="K81" s="6"/>
      <c r="L81" s="6"/>
      <c r="M81" s="6"/>
      <c r="N81" s="6"/>
      <c r="O81" s="52"/>
      <c r="P81" s="52"/>
    </row>
    <row r="82" spans="1:16" ht="12.75">
      <c r="A82" s="6"/>
      <c r="B82" s="6"/>
      <c r="C82" s="578"/>
      <c r="D82" s="6"/>
      <c r="E82" s="6"/>
      <c r="F82" s="6"/>
      <c r="G82" s="6"/>
      <c r="H82" s="6"/>
      <c r="I82" s="9"/>
      <c r="J82" s="6"/>
      <c r="K82" s="6"/>
      <c r="L82" s="6"/>
      <c r="M82" s="6"/>
      <c r="N82" s="6"/>
      <c r="O82" s="52"/>
      <c r="P82" s="52"/>
    </row>
    <row r="83" spans="1:16" ht="12.75">
      <c r="A83" s="6"/>
      <c r="B83" s="6"/>
      <c r="C83" s="578"/>
      <c r="D83" s="6"/>
      <c r="E83" s="6"/>
      <c r="F83" s="6"/>
      <c r="G83" s="6"/>
      <c r="H83" s="6"/>
      <c r="I83" s="9"/>
      <c r="J83" s="6"/>
      <c r="K83" s="6"/>
      <c r="L83" s="6"/>
      <c r="M83" s="6"/>
      <c r="N83" s="6"/>
      <c r="O83" s="52"/>
      <c r="P83" s="52"/>
    </row>
    <row r="84" spans="1:16" ht="12.75">
      <c r="A84" s="6"/>
      <c r="B84" s="6"/>
      <c r="C84" s="578"/>
      <c r="D84" s="6"/>
      <c r="E84" s="6"/>
      <c r="F84" s="6"/>
      <c r="G84" s="6"/>
      <c r="H84" s="6"/>
      <c r="I84" s="9"/>
      <c r="J84" s="6"/>
      <c r="K84" s="6"/>
      <c r="L84" s="6"/>
      <c r="M84" s="6"/>
      <c r="N84" s="6"/>
      <c r="O84" s="52"/>
      <c r="P84" s="52"/>
    </row>
    <row r="85" spans="1:16" ht="12.75">
      <c r="A85" s="6"/>
      <c r="B85" s="6"/>
      <c r="C85" s="578"/>
      <c r="D85" s="6"/>
      <c r="E85" s="6"/>
      <c r="F85" s="6"/>
      <c r="G85" s="6"/>
      <c r="H85" s="6"/>
      <c r="I85" s="9"/>
      <c r="J85" s="6"/>
      <c r="K85" s="6"/>
      <c r="L85" s="6"/>
      <c r="M85" s="6"/>
      <c r="N85" s="6"/>
      <c r="O85" s="52"/>
      <c r="P85" s="52"/>
    </row>
    <row r="86" spans="1:16" ht="12.75">
      <c r="A86" s="6"/>
      <c r="B86" s="6"/>
      <c r="C86" s="578"/>
      <c r="D86" s="6"/>
      <c r="E86" s="6"/>
      <c r="F86" s="6"/>
      <c r="G86" s="6"/>
      <c r="H86" s="6"/>
      <c r="I86" s="9"/>
      <c r="J86" s="6"/>
      <c r="K86" s="6"/>
      <c r="L86" s="6"/>
      <c r="M86" s="6"/>
      <c r="N86" s="6"/>
      <c r="O86" s="52"/>
      <c r="P86" s="52"/>
    </row>
    <row r="87" spans="1:16" ht="12.75">
      <c r="A87" s="6"/>
      <c r="B87" s="6"/>
      <c r="C87" s="578"/>
      <c r="D87" s="6"/>
      <c r="E87" s="6"/>
      <c r="F87" s="6"/>
      <c r="G87" s="6"/>
      <c r="H87" s="6"/>
      <c r="I87" s="9"/>
      <c r="J87" s="6"/>
      <c r="K87" s="6"/>
      <c r="L87" s="6"/>
      <c r="M87" s="6"/>
      <c r="N87" s="6"/>
      <c r="O87" s="52"/>
      <c r="P87" s="52"/>
    </row>
    <row r="88" spans="1:16" ht="12.75">
      <c r="A88" s="6"/>
      <c r="B88" s="6"/>
      <c r="C88" s="578"/>
      <c r="D88" s="6"/>
      <c r="E88" s="6"/>
      <c r="F88" s="6"/>
      <c r="G88" s="6"/>
      <c r="H88" s="6"/>
      <c r="I88" s="9"/>
      <c r="J88" s="6"/>
      <c r="K88" s="6"/>
      <c r="L88" s="6"/>
      <c r="M88" s="6"/>
      <c r="N88" s="6"/>
      <c r="O88" s="52"/>
      <c r="P88" s="52"/>
    </row>
    <row r="89" spans="1:16" ht="12.75">
      <c r="A89" s="6"/>
      <c r="B89" s="6"/>
      <c r="C89" s="161"/>
      <c r="D89" s="6"/>
      <c r="E89" s="6"/>
      <c r="F89" s="6"/>
      <c r="G89" s="6"/>
      <c r="H89" s="6"/>
      <c r="I89" s="9"/>
      <c r="J89" s="6"/>
      <c r="K89" s="6"/>
      <c r="L89" s="6"/>
      <c r="M89" s="6"/>
      <c r="N89" s="6"/>
      <c r="O89" s="52"/>
      <c r="P89" s="52"/>
    </row>
    <row r="90" spans="1:16" ht="12.75">
      <c r="A90" s="6"/>
      <c r="B90" s="6"/>
      <c r="C90" s="6"/>
      <c r="D90" s="6"/>
      <c r="E90" s="6"/>
      <c r="F90" s="6"/>
      <c r="G90" s="6"/>
      <c r="H90" s="6"/>
      <c r="I90" s="9"/>
      <c r="J90" s="6"/>
      <c r="K90" s="6"/>
      <c r="L90" s="6"/>
      <c r="M90" s="6"/>
      <c r="N90" s="6"/>
      <c r="O90" s="52"/>
      <c r="P90" s="52"/>
    </row>
    <row r="91" spans="1:16" ht="12.75">
      <c r="A91" s="6"/>
      <c r="B91" s="6"/>
      <c r="C91" s="6"/>
      <c r="D91" s="6"/>
      <c r="E91" s="6"/>
      <c r="F91" s="6"/>
      <c r="G91" s="6"/>
      <c r="H91" s="6"/>
      <c r="I91" s="9"/>
      <c r="J91" s="6"/>
      <c r="K91" s="6"/>
      <c r="L91" s="6"/>
      <c r="M91" s="6"/>
      <c r="N91" s="6"/>
      <c r="O91" s="52"/>
      <c r="P91" s="52"/>
    </row>
    <row r="92" spans="1:16" ht="12.75">
      <c r="A92" s="6"/>
      <c r="B92" s="6"/>
      <c r="C92" s="6"/>
      <c r="D92" s="6"/>
      <c r="E92" s="6"/>
      <c r="F92" s="6"/>
      <c r="G92" s="6"/>
      <c r="H92" s="6"/>
      <c r="I92" s="9"/>
      <c r="J92" s="6"/>
      <c r="K92" s="6"/>
      <c r="L92" s="6"/>
      <c r="M92" s="6"/>
      <c r="N92" s="6"/>
      <c r="O92" s="52"/>
      <c r="P92" s="52"/>
    </row>
    <row r="93" spans="1:16" ht="12.75">
      <c r="A93" s="6"/>
      <c r="B93" s="6"/>
      <c r="C93" s="6"/>
      <c r="D93" s="6"/>
      <c r="E93" s="6"/>
      <c r="F93" s="6"/>
      <c r="G93" s="6"/>
      <c r="H93" s="6"/>
      <c r="I93" s="9"/>
      <c r="J93" s="6"/>
      <c r="K93" s="6"/>
      <c r="L93" s="6"/>
      <c r="M93" s="6"/>
      <c r="N93" s="6"/>
      <c r="O93" s="52"/>
      <c r="P93" s="52"/>
    </row>
    <row r="94" spans="1:16" ht="12.75">
      <c r="A94" s="6"/>
      <c r="B94" s="6"/>
      <c r="C94" s="6"/>
      <c r="D94" s="6"/>
      <c r="E94" s="6"/>
      <c r="F94" s="6"/>
      <c r="G94" s="6"/>
      <c r="H94" s="6"/>
      <c r="I94" s="9"/>
      <c r="J94" s="6"/>
      <c r="K94" s="6"/>
      <c r="L94" s="6"/>
      <c r="M94" s="6"/>
      <c r="N94" s="6"/>
      <c r="O94" s="52"/>
      <c r="P94" s="52"/>
    </row>
    <row r="95" spans="1:16" ht="12.75">
      <c r="A95" s="6"/>
      <c r="B95" s="6"/>
      <c r="C95" s="6"/>
      <c r="D95" s="6"/>
      <c r="E95" s="6"/>
      <c r="F95" s="6"/>
      <c r="G95" s="6"/>
      <c r="H95" s="6"/>
      <c r="I95" s="9"/>
      <c r="J95" s="6"/>
      <c r="K95" s="6"/>
      <c r="L95" s="6"/>
      <c r="M95" s="6"/>
      <c r="N95" s="6"/>
      <c r="O95" s="52"/>
      <c r="P95" s="52"/>
    </row>
    <row r="96" spans="1:16" ht="12.75">
      <c r="A96" s="6"/>
      <c r="B96" s="6"/>
      <c r="C96" s="578"/>
      <c r="D96" s="6"/>
      <c r="E96" s="6"/>
      <c r="F96" s="6"/>
      <c r="G96" s="6"/>
      <c r="H96" s="6"/>
      <c r="I96" s="9"/>
      <c r="J96" s="6"/>
      <c r="K96" s="6"/>
      <c r="L96" s="6"/>
      <c r="M96" s="6"/>
      <c r="N96" s="6"/>
      <c r="O96" s="52"/>
      <c r="P96" s="52"/>
    </row>
    <row r="97" spans="1:16" ht="12.75">
      <c r="A97" s="6"/>
      <c r="B97" s="6"/>
      <c r="C97" s="578"/>
      <c r="D97" s="6"/>
      <c r="E97" s="6"/>
      <c r="F97" s="6"/>
      <c r="G97" s="6"/>
      <c r="H97" s="6"/>
      <c r="I97" s="9"/>
      <c r="J97" s="6"/>
      <c r="K97" s="6"/>
      <c r="L97" s="6"/>
      <c r="M97" s="6"/>
      <c r="N97" s="6"/>
      <c r="O97" s="52"/>
      <c r="P97" s="52"/>
    </row>
    <row r="98" spans="1:16" ht="12.75">
      <c r="A98" s="6"/>
      <c r="B98" s="6"/>
      <c r="C98" s="578"/>
      <c r="D98" s="6"/>
      <c r="E98" s="6"/>
      <c r="F98" s="6"/>
      <c r="G98" s="6"/>
      <c r="H98" s="6"/>
      <c r="I98" s="9"/>
      <c r="J98" s="6"/>
      <c r="K98" s="6"/>
      <c r="L98" s="6"/>
      <c r="M98" s="6"/>
      <c r="N98" s="6"/>
      <c r="O98" s="52"/>
      <c r="P98" s="52"/>
    </row>
    <row r="99" spans="1:16" ht="12.75">
      <c r="A99" s="6"/>
      <c r="B99" s="6"/>
      <c r="C99" s="578"/>
      <c r="D99" s="6"/>
      <c r="E99" s="6"/>
      <c r="F99" s="6"/>
      <c r="G99" s="6"/>
      <c r="H99" s="6"/>
      <c r="I99" s="9"/>
      <c r="J99" s="6"/>
      <c r="K99" s="6"/>
      <c r="L99" s="6"/>
      <c r="M99" s="6"/>
      <c r="N99" s="6"/>
      <c r="O99" s="52"/>
      <c r="P99" s="52"/>
    </row>
    <row r="100" spans="1:16" ht="12.75">
      <c r="A100" s="6"/>
      <c r="B100" s="6"/>
      <c r="C100" s="6"/>
      <c r="D100" s="6"/>
      <c r="E100" s="6"/>
      <c r="F100" s="6"/>
      <c r="G100" s="6"/>
      <c r="H100" s="6"/>
      <c r="I100" s="9"/>
      <c r="J100" s="6"/>
      <c r="K100" s="6"/>
      <c r="L100" s="6"/>
      <c r="M100" s="6"/>
      <c r="N100" s="6"/>
      <c r="O100" s="52"/>
      <c r="P100" s="52"/>
    </row>
  </sheetData>
  <autoFilter ref="A1:P34" xr:uid="{00000000-0009-0000-0000-000021000000}"/>
  <hyperlinks>
    <hyperlink ref="B2" r:id="rId1" xr:uid="{00000000-0004-0000-2100-000000000000}"/>
    <hyperlink ref="N2" r:id="rId2" xr:uid="{00000000-0004-0000-2100-000001000000}"/>
    <hyperlink ref="B3" r:id="rId3" xr:uid="{00000000-0004-0000-2100-000002000000}"/>
    <hyperlink ref="N3" r:id="rId4" xr:uid="{00000000-0004-0000-2100-000003000000}"/>
    <hyperlink ref="B4" r:id="rId5" xr:uid="{00000000-0004-0000-2100-000004000000}"/>
    <hyperlink ref="N4" r:id="rId6" xr:uid="{00000000-0004-0000-2100-000005000000}"/>
    <hyperlink ref="B5" r:id="rId7" xr:uid="{00000000-0004-0000-2100-000006000000}"/>
    <hyperlink ref="N5" r:id="rId8" xr:uid="{00000000-0004-0000-2100-000007000000}"/>
    <hyperlink ref="B6" r:id="rId9" xr:uid="{00000000-0004-0000-2100-000008000000}"/>
    <hyperlink ref="N6" r:id="rId10" xr:uid="{00000000-0004-0000-2100-000009000000}"/>
    <hyperlink ref="B7" r:id="rId11" xr:uid="{00000000-0004-0000-2100-00000A000000}"/>
    <hyperlink ref="N7" r:id="rId12" xr:uid="{00000000-0004-0000-2100-00000B000000}"/>
    <hyperlink ref="B8" r:id="rId13" xr:uid="{00000000-0004-0000-2100-00000C000000}"/>
    <hyperlink ref="N8" r:id="rId14" xr:uid="{00000000-0004-0000-2100-00000D000000}"/>
    <hyperlink ref="B9" r:id="rId15" xr:uid="{00000000-0004-0000-2100-00000E000000}"/>
    <hyperlink ref="N9" r:id="rId16" xr:uid="{00000000-0004-0000-2100-00000F000000}"/>
    <hyperlink ref="B10" r:id="rId17" xr:uid="{00000000-0004-0000-2100-000010000000}"/>
    <hyperlink ref="N10" r:id="rId18" xr:uid="{00000000-0004-0000-2100-000011000000}"/>
    <hyperlink ref="B11" r:id="rId19" xr:uid="{00000000-0004-0000-2100-000012000000}"/>
    <hyperlink ref="N11" r:id="rId20" xr:uid="{00000000-0004-0000-2100-000013000000}"/>
    <hyperlink ref="B12" r:id="rId21" xr:uid="{00000000-0004-0000-2100-000014000000}"/>
    <hyperlink ref="N12" r:id="rId22" xr:uid="{00000000-0004-0000-2100-000015000000}"/>
    <hyperlink ref="B13" r:id="rId23" xr:uid="{00000000-0004-0000-2100-000016000000}"/>
    <hyperlink ref="N13" r:id="rId24" xr:uid="{00000000-0004-0000-2100-000017000000}"/>
    <hyperlink ref="B14" r:id="rId25" xr:uid="{00000000-0004-0000-2100-000018000000}"/>
    <hyperlink ref="N14" r:id="rId26" xr:uid="{00000000-0004-0000-2100-000019000000}"/>
    <hyperlink ref="B15" r:id="rId27" xr:uid="{00000000-0004-0000-2100-00001A000000}"/>
    <hyperlink ref="N15" r:id="rId28" xr:uid="{00000000-0004-0000-2100-00001B000000}"/>
    <hyperlink ref="B16" r:id="rId29" xr:uid="{00000000-0004-0000-2100-00001C000000}"/>
    <hyperlink ref="N16" r:id="rId30" xr:uid="{00000000-0004-0000-2100-00001D000000}"/>
    <hyperlink ref="B17" r:id="rId31" xr:uid="{00000000-0004-0000-2100-00001E000000}"/>
    <hyperlink ref="N17" r:id="rId32" xr:uid="{00000000-0004-0000-2100-00001F000000}"/>
    <hyperlink ref="B18" r:id="rId33" xr:uid="{00000000-0004-0000-2100-000020000000}"/>
    <hyperlink ref="N18" r:id="rId34" xr:uid="{00000000-0004-0000-2100-000021000000}"/>
    <hyperlink ref="B19" r:id="rId35" xr:uid="{00000000-0004-0000-2100-000022000000}"/>
    <hyperlink ref="N19" r:id="rId36" xr:uid="{00000000-0004-0000-2100-000023000000}"/>
    <hyperlink ref="B20" r:id="rId37" xr:uid="{00000000-0004-0000-2100-000024000000}"/>
    <hyperlink ref="N20" r:id="rId38" xr:uid="{00000000-0004-0000-2100-000025000000}"/>
    <hyperlink ref="B21" r:id="rId39" xr:uid="{00000000-0004-0000-2100-000026000000}"/>
    <hyperlink ref="N21" r:id="rId40" xr:uid="{00000000-0004-0000-2100-000027000000}"/>
    <hyperlink ref="B22" r:id="rId41" xr:uid="{00000000-0004-0000-2100-000028000000}"/>
    <hyperlink ref="N22" r:id="rId42" xr:uid="{00000000-0004-0000-2100-000029000000}"/>
    <hyperlink ref="B23" r:id="rId43" xr:uid="{00000000-0004-0000-2100-00002A000000}"/>
    <hyperlink ref="N23" r:id="rId44" xr:uid="{00000000-0004-0000-2100-00002B000000}"/>
    <hyperlink ref="B24" r:id="rId45" xr:uid="{00000000-0004-0000-2100-00002C000000}"/>
    <hyperlink ref="N24" r:id="rId46" xr:uid="{00000000-0004-0000-2100-00002D000000}"/>
    <hyperlink ref="B25" r:id="rId47" xr:uid="{00000000-0004-0000-2100-00002E000000}"/>
    <hyperlink ref="N25" r:id="rId48" xr:uid="{00000000-0004-0000-2100-00002F000000}"/>
    <hyperlink ref="B26" r:id="rId49" xr:uid="{00000000-0004-0000-2100-000030000000}"/>
    <hyperlink ref="N26" r:id="rId50" xr:uid="{00000000-0004-0000-2100-000031000000}"/>
    <hyperlink ref="B27" r:id="rId51" xr:uid="{00000000-0004-0000-2100-000032000000}"/>
    <hyperlink ref="N27" r:id="rId52" xr:uid="{00000000-0004-0000-2100-000033000000}"/>
    <hyperlink ref="B28" r:id="rId53" xr:uid="{00000000-0004-0000-2100-000034000000}"/>
    <hyperlink ref="N28" r:id="rId54" xr:uid="{00000000-0004-0000-2100-000035000000}"/>
    <hyperlink ref="B29" r:id="rId55" xr:uid="{00000000-0004-0000-2100-000036000000}"/>
    <hyperlink ref="N29" r:id="rId56" xr:uid="{00000000-0004-0000-2100-000037000000}"/>
    <hyperlink ref="B30" r:id="rId57" xr:uid="{00000000-0004-0000-2100-000038000000}"/>
    <hyperlink ref="N30" r:id="rId58" xr:uid="{00000000-0004-0000-2100-000039000000}"/>
    <hyperlink ref="B31" r:id="rId59" xr:uid="{00000000-0004-0000-2100-00003A000000}"/>
    <hyperlink ref="N31" r:id="rId60" xr:uid="{00000000-0004-0000-2100-00003B000000}"/>
    <hyperlink ref="B32" r:id="rId61" xr:uid="{00000000-0004-0000-2100-00003C000000}"/>
    <hyperlink ref="N32" r:id="rId62" xr:uid="{00000000-0004-0000-2100-00003D000000}"/>
    <hyperlink ref="B33" r:id="rId63" xr:uid="{00000000-0004-0000-2100-00003E000000}"/>
    <hyperlink ref="N33" r:id="rId64" xr:uid="{00000000-0004-0000-2100-00003F000000}"/>
    <hyperlink ref="B34" r:id="rId65" xr:uid="{00000000-0004-0000-2100-000040000000}"/>
    <hyperlink ref="N34" r:id="rId66" xr:uid="{00000000-0004-0000-2100-000041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R1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23.28515625" customWidth="1"/>
    <col min="2" max="3" width="45.28515625" customWidth="1"/>
    <col min="4" max="4" width="55.85546875" customWidth="1"/>
    <col min="5" max="5" width="44.85546875" customWidth="1"/>
    <col min="6" max="6" width="40.85546875" customWidth="1"/>
    <col min="7" max="7" width="20.140625" customWidth="1"/>
    <col min="8" max="8" width="27.28515625" customWidth="1"/>
    <col min="9" max="9" width="20.5703125" customWidth="1"/>
    <col min="10" max="10" width="9.5703125" customWidth="1"/>
    <col min="11" max="11" width="24.42578125" customWidth="1"/>
    <col min="12" max="12" width="20.7109375" customWidth="1"/>
    <col min="13" max="13" width="15.5703125" customWidth="1"/>
    <col min="14" max="14" width="17.5703125" customWidth="1"/>
    <col min="15" max="15" width="34.85546875" customWidth="1"/>
  </cols>
  <sheetData>
    <row r="1" spans="1:18" ht="25.5">
      <c r="A1" s="275" t="s">
        <v>6259</v>
      </c>
      <c r="B1" s="275"/>
      <c r="C1" s="275" t="s">
        <v>9293</v>
      </c>
      <c r="D1" s="275" t="s">
        <v>6</v>
      </c>
      <c r="E1" s="275" t="s">
        <v>1822</v>
      </c>
      <c r="F1" s="275" t="s">
        <v>7</v>
      </c>
      <c r="G1" s="275" t="s">
        <v>7388</v>
      </c>
      <c r="H1" s="275" t="s">
        <v>8</v>
      </c>
      <c r="I1" s="275" t="s">
        <v>5627</v>
      </c>
      <c r="J1" s="275" t="s">
        <v>389</v>
      </c>
      <c r="K1" s="275" t="s">
        <v>4</v>
      </c>
      <c r="L1" s="275" t="s">
        <v>6060</v>
      </c>
      <c r="M1" s="275" t="s">
        <v>6413</v>
      </c>
      <c r="N1" s="275" t="s">
        <v>1821</v>
      </c>
      <c r="O1" s="579" t="s">
        <v>5630</v>
      </c>
      <c r="P1" s="580"/>
      <c r="Q1" s="580"/>
      <c r="R1" s="580"/>
    </row>
    <row r="2" spans="1:18" ht="38.25">
      <c r="A2" s="581">
        <v>38384</v>
      </c>
      <c r="B2" s="582" t="s">
        <v>10192</v>
      </c>
      <c r="C2" s="583" t="s">
        <v>10193</v>
      </c>
      <c r="D2" s="584" t="s">
        <v>10194</v>
      </c>
      <c r="E2" s="583"/>
      <c r="F2" s="583" t="s">
        <v>10195</v>
      </c>
      <c r="G2" s="509" t="s">
        <v>1808</v>
      </c>
      <c r="H2" s="398" t="s">
        <v>10196</v>
      </c>
      <c r="I2" s="34" t="s">
        <v>10197</v>
      </c>
      <c r="J2" s="44" t="s">
        <v>6872</v>
      </c>
      <c r="K2" s="34" t="s">
        <v>10198</v>
      </c>
      <c r="L2" s="34" t="s">
        <v>6104</v>
      </c>
      <c r="M2" s="34"/>
      <c r="N2" s="34" t="s">
        <v>2656</v>
      </c>
      <c r="O2" s="562" t="s">
        <v>10199</v>
      </c>
    </row>
    <row r="3" spans="1:18" ht="38.25">
      <c r="A3" s="581">
        <v>38412</v>
      </c>
      <c r="B3" s="585" t="s">
        <v>10200</v>
      </c>
      <c r="C3" s="586" t="s">
        <v>10193</v>
      </c>
      <c r="D3" s="188" t="s">
        <v>10201</v>
      </c>
      <c r="E3" s="34"/>
      <c r="F3" s="34" t="s">
        <v>10202</v>
      </c>
      <c r="G3" s="34" t="s">
        <v>6179</v>
      </c>
      <c r="H3" s="398" t="s">
        <v>10203</v>
      </c>
      <c r="I3" s="34" t="s">
        <v>10204</v>
      </c>
      <c r="J3" s="44" t="s">
        <v>6872</v>
      </c>
      <c r="K3" s="34"/>
      <c r="L3" s="34" t="s">
        <v>6217</v>
      </c>
      <c r="M3" s="34"/>
      <c r="N3" s="34" t="s">
        <v>2449</v>
      </c>
      <c r="O3" s="562" t="s">
        <v>10205</v>
      </c>
    </row>
    <row r="4" spans="1:18" ht="89.25">
      <c r="A4" s="581">
        <v>38443</v>
      </c>
      <c r="B4" s="582" t="s">
        <v>10206</v>
      </c>
      <c r="C4" s="583" t="s">
        <v>10207</v>
      </c>
      <c r="D4" s="188" t="s">
        <v>10208</v>
      </c>
      <c r="E4" s="34"/>
      <c r="F4" s="586" t="s">
        <v>10209</v>
      </c>
      <c r="G4" s="509" t="s">
        <v>1808</v>
      </c>
      <c r="H4" s="398" t="s">
        <v>10210</v>
      </c>
      <c r="I4" s="34" t="s">
        <v>10211</v>
      </c>
      <c r="J4" s="44" t="s">
        <v>2328</v>
      </c>
      <c r="K4" s="34"/>
      <c r="L4" s="34" t="s">
        <v>6137</v>
      </c>
      <c r="M4" s="34"/>
      <c r="N4" s="34" t="s">
        <v>6795</v>
      </c>
      <c r="O4" s="562" t="s">
        <v>10212</v>
      </c>
    </row>
    <row r="5" spans="1:18" ht="51">
      <c r="A5" s="581">
        <v>38473</v>
      </c>
      <c r="B5" s="585" t="s">
        <v>10213</v>
      </c>
      <c r="C5" s="586" t="s">
        <v>10193</v>
      </c>
      <c r="D5" s="188" t="s">
        <v>10214</v>
      </c>
      <c r="E5" s="34"/>
      <c r="F5" s="34" t="s">
        <v>10215</v>
      </c>
      <c r="G5" s="509" t="s">
        <v>6132</v>
      </c>
      <c r="H5" s="398" t="s">
        <v>10216</v>
      </c>
      <c r="I5" s="34" t="s">
        <v>10217</v>
      </c>
      <c r="J5" s="44" t="s">
        <v>6872</v>
      </c>
      <c r="K5" s="34"/>
      <c r="L5" s="34" t="s">
        <v>6955</v>
      </c>
      <c r="M5" s="34"/>
      <c r="N5" s="34" t="s">
        <v>1828</v>
      </c>
      <c r="O5" s="562" t="s">
        <v>10218</v>
      </c>
    </row>
    <row r="6" spans="1:18" ht="38.25">
      <c r="A6" s="581">
        <v>38565</v>
      </c>
      <c r="B6" s="585" t="s">
        <v>10219</v>
      </c>
      <c r="C6" s="586" t="s">
        <v>10193</v>
      </c>
      <c r="D6" s="188" t="s">
        <v>10220</v>
      </c>
      <c r="E6" s="34"/>
      <c r="F6" s="398" t="s">
        <v>10221</v>
      </c>
      <c r="G6" s="509" t="s">
        <v>1808</v>
      </c>
      <c r="H6" s="398" t="s">
        <v>10222</v>
      </c>
      <c r="I6" s="34" t="s">
        <v>10223</v>
      </c>
      <c r="J6" s="44" t="s">
        <v>6872</v>
      </c>
      <c r="K6" s="583" t="s">
        <v>10224</v>
      </c>
      <c r="L6" s="583" t="s">
        <v>6137</v>
      </c>
      <c r="M6" s="34" t="s">
        <v>1824</v>
      </c>
      <c r="N6" s="34" t="s">
        <v>1828</v>
      </c>
      <c r="O6" s="562" t="s">
        <v>10225</v>
      </c>
    </row>
    <row r="7" spans="1:18" ht="63.75">
      <c r="A7" s="581">
        <v>38596</v>
      </c>
      <c r="B7" s="582" t="s">
        <v>10226</v>
      </c>
      <c r="C7" s="583" t="s">
        <v>10227</v>
      </c>
      <c r="D7" s="584" t="s">
        <v>10194</v>
      </c>
      <c r="E7" s="583"/>
      <c r="F7" s="34" t="s">
        <v>10195</v>
      </c>
      <c r="G7" s="509" t="s">
        <v>1808</v>
      </c>
      <c r="H7" s="398" t="s">
        <v>10196</v>
      </c>
      <c r="I7" s="34" t="s">
        <v>10228</v>
      </c>
      <c r="J7" s="44" t="s">
        <v>6872</v>
      </c>
      <c r="K7" s="583" t="s">
        <v>10224</v>
      </c>
      <c r="L7" s="583" t="s">
        <v>6104</v>
      </c>
      <c r="M7" s="34" t="s">
        <v>1824</v>
      </c>
      <c r="N7" s="34" t="s">
        <v>2656</v>
      </c>
      <c r="O7" s="562" t="s">
        <v>10229</v>
      </c>
    </row>
    <row r="8" spans="1:18" ht="38.25">
      <c r="A8" s="587">
        <v>38657</v>
      </c>
      <c r="B8" s="582" t="s">
        <v>10230</v>
      </c>
      <c r="C8" s="583" t="s">
        <v>10231</v>
      </c>
      <c r="D8" s="588" t="s">
        <v>10232</v>
      </c>
      <c r="E8" s="586"/>
      <c r="F8" s="34" t="s">
        <v>1862</v>
      </c>
      <c r="G8" s="509" t="s">
        <v>1808</v>
      </c>
      <c r="H8" s="335" t="s">
        <v>2508</v>
      </c>
      <c r="I8" s="34" t="s">
        <v>10233</v>
      </c>
      <c r="J8" s="44" t="s">
        <v>925</v>
      </c>
      <c r="K8" s="34"/>
      <c r="L8" s="34" t="s">
        <v>6064</v>
      </c>
      <c r="M8" s="34" t="s">
        <v>1824</v>
      </c>
      <c r="N8" s="34" t="s">
        <v>1828</v>
      </c>
      <c r="O8" s="562" t="s">
        <v>10234</v>
      </c>
    </row>
    <row r="9" spans="1:18" ht="38.25">
      <c r="A9" s="34" t="s">
        <v>10235</v>
      </c>
      <c r="B9" s="585" t="s">
        <v>10236</v>
      </c>
      <c r="C9" s="586" t="s">
        <v>10193</v>
      </c>
      <c r="D9" s="584" t="s">
        <v>10237</v>
      </c>
      <c r="E9" s="583"/>
      <c r="F9" s="583" t="s">
        <v>10238</v>
      </c>
      <c r="G9" s="509" t="s">
        <v>6132</v>
      </c>
      <c r="H9" s="398" t="s">
        <v>10239</v>
      </c>
      <c r="I9" s="583" t="s">
        <v>10240</v>
      </c>
      <c r="J9" s="44" t="s">
        <v>6872</v>
      </c>
      <c r="K9" s="34" t="s">
        <v>4982</v>
      </c>
      <c r="L9" s="34" t="s">
        <v>6137</v>
      </c>
      <c r="M9" s="34"/>
      <c r="N9" s="34"/>
      <c r="O9" s="562" t="s">
        <v>10241</v>
      </c>
    </row>
    <row r="10" spans="1:18" ht="33.75" customHeight="1">
      <c r="A10" s="34" t="s">
        <v>10242</v>
      </c>
      <c r="B10" s="585" t="s">
        <v>10243</v>
      </c>
      <c r="C10" s="586" t="s">
        <v>10193</v>
      </c>
      <c r="D10" s="188" t="s">
        <v>10244</v>
      </c>
      <c r="E10" s="34"/>
      <c r="F10" s="34" t="s">
        <v>10245</v>
      </c>
      <c r="G10" s="34" t="s">
        <v>6132</v>
      </c>
      <c r="H10" s="335" t="s">
        <v>10239</v>
      </c>
      <c r="I10" s="398" t="s">
        <v>10246</v>
      </c>
      <c r="J10" s="586" t="s">
        <v>6872</v>
      </c>
      <c r="K10" s="34"/>
      <c r="L10" s="34" t="s">
        <v>6137</v>
      </c>
      <c r="M10" s="34"/>
      <c r="N10" s="34"/>
      <c r="O10" s="562" t="s">
        <v>10247</v>
      </c>
    </row>
    <row r="11" spans="1:18" ht="38.25">
      <c r="A11" s="34" t="s">
        <v>10248</v>
      </c>
      <c r="B11" s="582" t="s">
        <v>10249</v>
      </c>
      <c r="C11" s="583" t="s">
        <v>10250</v>
      </c>
      <c r="D11" s="188" t="s">
        <v>10251</v>
      </c>
      <c r="E11" s="34"/>
      <c r="F11" s="586" t="s">
        <v>10195</v>
      </c>
      <c r="G11" s="509" t="s">
        <v>1808</v>
      </c>
      <c r="H11" s="398" t="s">
        <v>10196</v>
      </c>
      <c r="I11" s="65" t="s">
        <v>10252</v>
      </c>
      <c r="J11" s="586" t="s">
        <v>925</v>
      </c>
      <c r="K11" s="583" t="s">
        <v>10224</v>
      </c>
      <c r="L11" s="583" t="s">
        <v>6064</v>
      </c>
      <c r="M11" s="34"/>
      <c r="N11" s="34" t="s">
        <v>2656</v>
      </c>
      <c r="O11" s="562" t="s">
        <v>10253</v>
      </c>
    </row>
    <row r="12" spans="1:18" ht="63.75">
      <c r="A12" s="34" t="s">
        <v>10254</v>
      </c>
      <c r="B12" s="585" t="s">
        <v>10255</v>
      </c>
      <c r="C12" s="586" t="s">
        <v>10193</v>
      </c>
      <c r="D12" s="188" t="s">
        <v>10256</v>
      </c>
      <c r="E12" s="34"/>
      <c r="F12" s="34" t="s">
        <v>10257</v>
      </c>
      <c r="G12" s="34" t="s">
        <v>6179</v>
      </c>
      <c r="H12" s="398"/>
      <c r="I12" s="34" t="s">
        <v>10258</v>
      </c>
      <c r="J12" s="44" t="s">
        <v>6872</v>
      </c>
      <c r="K12" s="34"/>
      <c r="L12" s="583" t="s">
        <v>6064</v>
      </c>
      <c r="M12" s="34" t="s">
        <v>1824</v>
      </c>
      <c r="N12" s="34"/>
      <c r="O12" s="562" t="s">
        <v>10259</v>
      </c>
    </row>
    <row r="13" spans="1:18" ht="30.75" customHeight="1">
      <c r="A13" s="34" t="s">
        <v>10260</v>
      </c>
      <c r="B13" s="585" t="s">
        <v>10261</v>
      </c>
      <c r="C13" s="586" t="s">
        <v>10193</v>
      </c>
      <c r="D13" s="188" t="s">
        <v>10262</v>
      </c>
      <c r="E13" s="34"/>
      <c r="F13" s="34" t="s">
        <v>10263</v>
      </c>
      <c r="G13" s="509" t="s">
        <v>1808</v>
      </c>
      <c r="H13" s="34"/>
      <c r="I13" s="34" t="s">
        <v>10264</v>
      </c>
      <c r="J13" s="44" t="s">
        <v>6872</v>
      </c>
      <c r="K13" s="34" t="s">
        <v>10066</v>
      </c>
      <c r="L13" s="583" t="s">
        <v>6064</v>
      </c>
      <c r="M13" s="34"/>
      <c r="N13" s="34"/>
      <c r="O13" s="562" t="s">
        <v>10265</v>
      </c>
    </row>
    <row r="14" spans="1:18" ht="38.25">
      <c r="A14" s="34" t="s">
        <v>10266</v>
      </c>
      <c r="B14" s="582" t="s">
        <v>10267</v>
      </c>
      <c r="C14" s="583" t="s">
        <v>10268</v>
      </c>
      <c r="D14" s="188" t="s">
        <v>10269</v>
      </c>
      <c r="E14" s="34"/>
      <c r="F14" s="583" t="s">
        <v>10270</v>
      </c>
      <c r="G14" s="34" t="s">
        <v>6132</v>
      </c>
      <c r="H14" s="34" t="s">
        <v>10216</v>
      </c>
      <c r="I14" s="34" t="s">
        <v>10217</v>
      </c>
      <c r="J14" s="44" t="s">
        <v>925</v>
      </c>
      <c r="K14" s="34"/>
      <c r="L14" s="583" t="s">
        <v>6064</v>
      </c>
      <c r="M14" s="34"/>
      <c r="N14" s="34" t="s">
        <v>1828</v>
      </c>
      <c r="O14" s="562" t="s">
        <v>10271</v>
      </c>
    </row>
    <row r="15" spans="1:18" ht="38.25">
      <c r="A15" s="34" t="s">
        <v>10272</v>
      </c>
      <c r="B15" s="585" t="s">
        <v>10273</v>
      </c>
      <c r="C15" s="586" t="s">
        <v>10193</v>
      </c>
      <c r="D15" s="584" t="s">
        <v>10274</v>
      </c>
      <c r="E15" s="583"/>
      <c r="F15" s="583" t="s">
        <v>10165</v>
      </c>
      <c r="G15" s="509" t="s">
        <v>1808</v>
      </c>
      <c r="H15" s="34" t="s">
        <v>10275</v>
      </c>
      <c r="I15" s="34" t="s">
        <v>10276</v>
      </c>
      <c r="J15" s="44" t="s">
        <v>6872</v>
      </c>
      <c r="K15" s="583" t="s">
        <v>10224</v>
      </c>
      <c r="L15" s="583" t="s">
        <v>6064</v>
      </c>
      <c r="M15" s="34" t="s">
        <v>1824</v>
      </c>
      <c r="N15" s="34" t="s">
        <v>1828</v>
      </c>
      <c r="O15" s="562" t="s">
        <v>10277</v>
      </c>
    </row>
    <row r="16" spans="1:18" ht="38.25">
      <c r="A16" s="34" t="s">
        <v>10278</v>
      </c>
      <c r="B16" s="585" t="s">
        <v>10279</v>
      </c>
      <c r="C16" s="586" t="s">
        <v>10193</v>
      </c>
      <c r="D16" s="588" t="s">
        <v>10280</v>
      </c>
      <c r="E16" s="586"/>
      <c r="F16" s="34" t="s">
        <v>10281</v>
      </c>
      <c r="G16" s="509" t="s">
        <v>1808</v>
      </c>
      <c r="H16" s="34" t="s">
        <v>10282</v>
      </c>
      <c r="I16" s="34" t="s">
        <v>10283</v>
      </c>
      <c r="J16" s="44" t="s">
        <v>6872</v>
      </c>
      <c r="K16" s="34" t="s">
        <v>4987</v>
      </c>
      <c r="L16" s="34" t="s">
        <v>6189</v>
      </c>
      <c r="M16" s="34"/>
      <c r="N16" s="34" t="s">
        <v>1828</v>
      </c>
      <c r="O16" s="562" t="s">
        <v>10284</v>
      </c>
    </row>
    <row r="17" spans="1:15" ht="51">
      <c r="A17" s="34" t="s">
        <v>10285</v>
      </c>
      <c r="B17" s="585" t="s">
        <v>10286</v>
      </c>
      <c r="C17" s="586" t="s">
        <v>10193</v>
      </c>
      <c r="D17" s="188" t="s">
        <v>10287</v>
      </c>
      <c r="E17" s="34"/>
      <c r="F17" s="34" t="s">
        <v>10288</v>
      </c>
      <c r="G17" s="34" t="s">
        <v>10289</v>
      </c>
      <c r="H17" s="589" t="s">
        <v>10290</v>
      </c>
      <c r="I17" s="34" t="s">
        <v>10291</v>
      </c>
      <c r="J17" s="44" t="s">
        <v>6872</v>
      </c>
      <c r="K17" s="34" t="s">
        <v>4982</v>
      </c>
      <c r="L17" s="34" t="s">
        <v>6137</v>
      </c>
      <c r="M17" s="34"/>
      <c r="N17" s="34" t="s">
        <v>2613</v>
      </c>
      <c r="O17" s="562" t="s">
        <v>10292</v>
      </c>
    </row>
    <row r="18" spans="1:15" ht="38.25">
      <c r="A18" s="34" t="s">
        <v>10293</v>
      </c>
      <c r="B18" s="585" t="s">
        <v>10294</v>
      </c>
      <c r="C18" s="586" t="s">
        <v>10193</v>
      </c>
      <c r="D18" s="588" t="s">
        <v>10295</v>
      </c>
      <c r="E18" s="586"/>
      <c r="F18" s="34" t="s">
        <v>10296</v>
      </c>
      <c r="G18" s="509" t="s">
        <v>1808</v>
      </c>
      <c r="H18" s="34"/>
      <c r="I18" s="34" t="s">
        <v>9115</v>
      </c>
      <c r="J18" s="44" t="s">
        <v>6872</v>
      </c>
      <c r="K18" s="34" t="s">
        <v>10297</v>
      </c>
      <c r="L18" s="34" t="s">
        <v>6064</v>
      </c>
      <c r="M18" s="34"/>
      <c r="N18" s="34"/>
      <c r="O18" s="562" t="s">
        <v>10298</v>
      </c>
    </row>
    <row r="19" spans="1:15" ht="38.25">
      <c r="A19" s="34" t="s">
        <v>10299</v>
      </c>
      <c r="B19" s="585" t="s">
        <v>10300</v>
      </c>
      <c r="C19" s="586" t="s">
        <v>10193</v>
      </c>
      <c r="D19" s="188" t="s">
        <v>10301</v>
      </c>
      <c r="E19" s="34"/>
      <c r="F19" s="34" t="s">
        <v>10302</v>
      </c>
      <c r="G19" s="509" t="s">
        <v>1808</v>
      </c>
      <c r="H19" s="34" t="s">
        <v>10303</v>
      </c>
      <c r="I19" s="34" t="s">
        <v>10304</v>
      </c>
      <c r="J19" s="44" t="s">
        <v>6872</v>
      </c>
      <c r="K19" s="34" t="s">
        <v>1141</v>
      </c>
      <c r="L19" s="34" t="s">
        <v>6104</v>
      </c>
      <c r="M19" s="34"/>
      <c r="N19" s="34" t="s">
        <v>1828</v>
      </c>
      <c r="O19" s="562" t="s">
        <v>10305</v>
      </c>
    </row>
    <row r="20" spans="1:15" ht="76.5">
      <c r="A20" s="34" t="s">
        <v>10306</v>
      </c>
      <c r="B20" s="582" t="s">
        <v>10307</v>
      </c>
      <c r="C20" s="583" t="s">
        <v>10308</v>
      </c>
      <c r="D20" s="188" t="s">
        <v>10309</v>
      </c>
      <c r="E20" s="34"/>
      <c r="F20" s="34" t="s">
        <v>10310</v>
      </c>
      <c r="G20" s="509" t="s">
        <v>1808</v>
      </c>
      <c r="H20" s="398"/>
      <c r="I20" s="34" t="s">
        <v>10311</v>
      </c>
      <c r="J20" s="586" t="s">
        <v>925</v>
      </c>
      <c r="K20" s="34" t="s">
        <v>10312</v>
      </c>
      <c r="L20" s="34" t="s">
        <v>6064</v>
      </c>
      <c r="M20" s="34" t="s">
        <v>1824</v>
      </c>
      <c r="N20" s="34" t="s">
        <v>6874</v>
      </c>
      <c r="O20" s="562" t="s">
        <v>10313</v>
      </c>
    </row>
    <row r="21" spans="1:15" ht="38.25">
      <c r="A21" s="34" t="s">
        <v>10314</v>
      </c>
      <c r="B21" s="585" t="s">
        <v>10315</v>
      </c>
      <c r="C21" s="586" t="s">
        <v>10193</v>
      </c>
      <c r="D21" s="188" t="s">
        <v>10316</v>
      </c>
      <c r="E21" s="34"/>
      <c r="F21" s="586" t="s">
        <v>10317</v>
      </c>
      <c r="G21" s="509" t="s">
        <v>1808</v>
      </c>
      <c r="H21" s="398" t="s">
        <v>10318</v>
      </c>
      <c r="I21" s="34" t="s">
        <v>10319</v>
      </c>
      <c r="J21" s="586" t="s">
        <v>6872</v>
      </c>
      <c r="K21" s="34" t="s">
        <v>9932</v>
      </c>
      <c r="L21" s="34" t="s">
        <v>6064</v>
      </c>
      <c r="M21" s="34"/>
      <c r="N21" s="34" t="s">
        <v>2609</v>
      </c>
      <c r="O21" s="562" t="s">
        <v>10320</v>
      </c>
    </row>
    <row r="22" spans="1:15" ht="51">
      <c r="A22" s="34" t="s">
        <v>10321</v>
      </c>
      <c r="B22" s="585" t="s">
        <v>10322</v>
      </c>
      <c r="C22" s="586" t="s">
        <v>10193</v>
      </c>
      <c r="D22" s="188" t="s">
        <v>10323</v>
      </c>
      <c r="E22" s="34"/>
      <c r="F22" s="34" t="s">
        <v>8476</v>
      </c>
      <c r="G22" s="509" t="s">
        <v>1808</v>
      </c>
      <c r="H22" s="398" t="s">
        <v>10324</v>
      </c>
      <c r="I22" s="590" t="s">
        <v>9206</v>
      </c>
      <c r="J22" s="44" t="s">
        <v>6872</v>
      </c>
      <c r="K22" s="34"/>
      <c r="L22" s="34" t="s">
        <v>6064</v>
      </c>
      <c r="M22" s="34"/>
      <c r="N22" s="34" t="s">
        <v>2449</v>
      </c>
      <c r="O22" s="562" t="s">
        <v>10325</v>
      </c>
    </row>
    <row r="23" spans="1:15" ht="51">
      <c r="A23" s="34" t="s">
        <v>10326</v>
      </c>
      <c r="B23" s="585" t="s">
        <v>10327</v>
      </c>
      <c r="C23" s="586" t="s">
        <v>10193</v>
      </c>
      <c r="D23" s="188" t="s">
        <v>10323</v>
      </c>
      <c r="E23" s="34"/>
      <c r="F23" s="34" t="s">
        <v>8476</v>
      </c>
      <c r="G23" s="509" t="s">
        <v>1808</v>
      </c>
      <c r="H23" s="398"/>
      <c r="I23" s="34" t="s">
        <v>9206</v>
      </c>
      <c r="J23" s="44" t="s">
        <v>6872</v>
      </c>
      <c r="K23" s="34"/>
      <c r="L23" s="34" t="s">
        <v>6064</v>
      </c>
      <c r="M23" s="34"/>
      <c r="N23" s="34" t="s">
        <v>2449</v>
      </c>
      <c r="O23" s="562" t="s">
        <v>10325</v>
      </c>
    </row>
    <row r="24" spans="1:15" ht="51">
      <c r="A24" s="34" t="s">
        <v>10328</v>
      </c>
      <c r="B24" s="582" t="s">
        <v>10329</v>
      </c>
      <c r="C24" s="583" t="s">
        <v>10330</v>
      </c>
      <c r="D24" s="188" t="s">
        <v>10331</v>
      </c>
      <c r="E24" s="34"/>
      <c r="F24" s="34" t="s">
        <v>10332</v>
      </c>
      <c r="G24" s="509" t="s">
        <v>1808</v>
      </c>
      <c r="H24" s="398" t="s">
        <v>10333</v>
      </c>
      <c r="I24" s="34" t="s">
        <v>10334</v>
      </c>
      <c r="J24" s="44"/>
      <c r="K24" s="34" t="s">
        <v>1141</v>
      </c>
      <c r="L24" s="34" t="s">
        <v>6137</v>
      </c>
      <c r="M24" s="34"/>
      <c r="N24" s="34"/>
      <c r="O24" s="562" t="s">
        <v>10335</v>
      </c>
    </row>
    <row r="25" spans="1:15" ht="25.5" customHeight="1">
      <c r="A25" s="34" t="s">
        <v>10336</v>
      </c>
      <c r="B25" s="585" t="s">
        <v>10337</v>
      </c>
      <c r="C25" s="586" t="s">
        <v>10193</v>
      </c>
      <c r="D25" s="588" t="s">
        <v>10338</v>
      </c>
      <c r="E25" s="586"/>
      <c r="F25" s="34" t="s">
        <v>650</v>
      </c>
      <c r="G25" s="509" t="s">
        <v>1808</v>
      </c>
      <c r="H25" s="34"/>
      <c r="I25" s="34" t="s">
        <v>10339</v>
      </c>
      <c r="J25" s="586" t="s">
        <v>6872</v>
      </c>
      <c r="K25" s="34" t="s">
        <v>10340</v>
      </c>
      <c r="L25" s="34" t="s">
        <v>6092</v>
      </c>
      <c r="M25" s="34" t="s">
        <v>1824</v>
      </c>
      <c r="N25" s="34" t="s">
        <v>6314</v>
      </c>
      <c r="O25" s="562" t="s">
        <v>10341</v>
      </c>
    </row>
    <row r="26" spans="1:15" ht="26.25" customHeight="1">
      <c r="A26" s="34" t="s">
        <v>10342</v>
      </c>
      <c r="B26" s="585" t="s">
        <v>10343</v>
      </c>
      <c r="C26" s="586" t="s">
        <v>10193</v>
      </c>
      <c r="D26" s="188" t="s">
        <v>10344</v>
      </c>
      <c r="E26" s="34"/>
      <c r="F26" s="34" t="s">
        <v>10345</v>
      </c>
      <c r="G26" s="509" t="s">
        <v>1808</v>
      </c>
      <c r="H26" s="34"/>
      <c r="I26" s="34" t="s">
        <v>10346</v>
      </c>
      <c r="J26" s="44" t="s">
        <v>6872</v>
      </c>
      <c r="K26" s="34" t="s">
        <v>10016</v>
      </c>
      <c r="L26" s="34" t="s">
        <v>6064</v>
      </c>
      <c r="M26" s="34" t="s">
        <v>1824</v>
      </c>
      <c r="N26" s="34" t="s">
        <v>2609</v>
      </c>
      <c r="O26" s="562" t="s">
        <v>10347</v>
      </c>
    </row>
    <row r="27" spans="1:15" ht="38.25">
      <c r="A27" s="34" t="s">
        <v>10348</v>
      </c>
      <c r="B27" s="585" t="s">
        <v>10349</v>
      </c>
      <c r="C27" s="586" t="s">
        <v>10193</v>
      </c>
      <c r="D27" s="188" t="s">
        <v>10350</v>
      </c>
      <c r="E27" s="34"/>
      <c r="F27" s="34" t="s">
        <v>10351</v>
      </c>
      <c r="G27" s="509" t="s">
        <v>1808</v>
      </c>
      <c r="H27" s="34"/>
      <c r="I27" s="34" t="s">
        <v>10352</v>
      </c>
      <c r="J27" s="44" t="s">
        <v>6872</v>
      </c>
      <c r="K27" s="34" t="s">
        <v>10016</v>
      </c>
      <c r="L27" s="34" t="s">
        <v>6064</v>
      </c>
      <c r="M27" s="34"/>
      <c r="N27" s="34"/>
      <c r="O27" s="562" t="s">
        <v>10353</v>
      </c>
    </row>
    <row r="28" spans="1:15" ht="58.5" customHeight="1">
      <c r="A28" s="34" t="s">
        <v>10354</v>
      </c>
      <c r="B28" s="585" t="s">
        <v>10355</v>
      </c>
      <c r="C28" s="586" t="s">
        <v>10356</v>
      </c>
      <c r="D28" s="188" t="s">
        <v>10357</v>
      </c>
      <c r="E28" s="34"/>
      <c r="F28" s="34" t="s">
        <v>10358</v>
      </c>
      <c r="G28" s="509" t="s">
        <v>1808</v>
      </c>
      <c r="H28" s="34" t="s">
        <v>10359</v>
      </c>
      <c r="I28" s="34" t="s">
        <v>10360</v>
      </c>
      <c r="J28" s="44" t="s">
        <v>6872</v>
      </c>
      <c r="K28" s="34"/>
      <c r="L28" s="34" t="s">
        <v>6064</v>
      </c>
      <c r="M28" s="34" t="s">
        <v>1824</v>
      </c>
      <c r="N28" s="34" t="s">
        <v>1828</v>
      </c>
      <c r="O28" s="562" t="s">
        <v>10361</v>
      </c>
    </row>
    <row r="29" spans="1:15" ht="38.25">
      <c r="A29" s="34" t="s">
        <v>10362</v>
      </c>
      <c r="B29" s="585" t="s">
        <v>10363</v>
      </c>
      <c r="C29" s="586" t="s">
        <v>10193</v>
      </c>
      <c r="D29" s="188" t="s">
        <v>10364</v>
      </c>
      <c r="E29" s="34"/>
      <c r="F29" s="34" t="s">
        <v>10358</v>
      </c>
      <c r="G29" s="509" t="s">
        <v>1808</v>
      </c>
      <c r="H29" s="34" t="s">
        <v>10359</v>
      </c>
      <c r="I29" s="34" t="s">
        <v>10365</v>
      </c>
      <c r="J29" s="44" t="s">
        <v>6872</v>
      </c>
      <c r="K29" s="34"/>
      <c r="L29" s="34" t="s">
        <v>6064</v>
      </c>
      <c r="M29" s="34" t="s">
        <v>1824</v>
      </c>
      <c r="N29" s="34" t="s">
        <v>1828</v>
      </c>
      <c r="O29" s="562" t="s">
        <v>10366</v>
      </c>
    </row>
    <row r="30" spans="1:15" ht="38.25">
      <c r="A30" s="34" t="s">
        <v>10367</v>
      </c>
      <c r="B30" s="585" t="s">
        <v>10368</v>
      </c>
      <c r="C30" s="586" t="s">
        <v>10369</v>
      </c>
      <c r="D30" s="188" t="s">
        <v>10370</v>
      </c>
      <c r="E30" s="34"/>
      <c r="F30" s="34" t="s">
        <v>10371</v>
      </c>
      <c r="G30" s="509" t="s">
        <v>1808</v>
      </c>
      <c r="H30" s="398"/>
      <c r="I30" s="44" t="s">
        <v>2453</v>
      </c>
      <c r="J30" s="44" t="s">
        <v>925</v>
      </c>
      <c r="K30" s="34"/>
      <c r="L30" s="34" t="s">
        <v>6064</v>
      </c>
      <c r="M30" s="34" t="s">
        <v>1824</v>
      </c>
      <c r="N30" s="34"/>
      <c r="O30" s="562" t="s">
        <v>10372</v>
      </c>
    </row>
    <row r="31" spans="1:15" ht="51">
      <c r="A31" s="34" t="s">
        <v>10373</v>
      </c>
      <c r="B31" s="585" t="s">
        <v>10374</v>
      </c>
      <c r="C31" s="586" t="s">
        <v>10375</v>
      </c>
      <c r="D31" s="188" t="s">
        <v>10323</v>
      </c>
      <c r="E31" s="34"/>
      <c r="F31" s="34" t="s">
        <v>8476</v>
      </c>
      <c r="G31" s="509" t="s">
        <v>1808</v>
      </c>
      <c r="H31" s="34" t="s">
        <v>10324</v>
      </c>
      <c r="I31" s="34" t="s">
        <v>10376</v>
      </c>
      <c r="J31" s="586" t="s">
        <v>925</v>
      </c>
      <c r="K31" s="34"/>
      <c r="L31" s="34" t="s">
        <v>6064</v>
      </c>
      <c r="M31" s="34"/>
      <c r="N31" s="34" t="s">
        <v>2449</v>
      </c>
      <c r="O31" s="562" t="s">
        <v>10377</v>
      </c>
    </row>
    <row r="32" spans="1:15" ht="38.25">
      <c r="A32" s="34" t="s">
        <v>10378</v>
      </c>
      <c r="B32" s="585" t="s">
        <v>10379</v>
      </c>
      <c r="C32" s="586" t="s">
        <v>10193</v>
      </c>
      <c r="D32" s="188" t="s">
        <v>10380</v>
      </c>
      <c r="E32" s="34"/>
      <c r="F32" s="34" t="s">
        <v>10381</v>
      </c>
      <c r="G32" s="34" t="s">
        <v>6179</v>
      </c>
      <c r="H32" s="34" t="s">
        <v>10382</v>
      </c>
      <c r="I32" s="34" t="s">
        <v>10383</v>
      </c>
      <c r="J32" s="44" t="s">
        <v>6872</v>
      </c>
      <c r="K32" s="34"/>
      <c r="L32" s="34" t="s">
        <v>6104</v>
      </c>
      <c r="M32" s="34"/>
      <c r="N32" s="34" t="s">
        <v>2467</v>
      </c>
      <c r="O32" s="562" t="s">
        <v>10384</v>
      </c>
    </row>
    <row r="33" spans="1:18" ht="38.25">
      <c r="A33" s="34" t="s">
        <v>10385</v>
      </c>
      <c r="B33" s="582" t="s">
        <v>10386</v>
      </c>
      <c r="C33" s="583" t="s">
        <v>10387</v>
      </c>
      <c r="D33" s="188" t="s">
        <v>10388</v>
      </c>
      <c r="E33" s="34"/>
      <c r="F33" s="34" t="s">
        <v>8591</v>
      </c>
      <c r="G33" s="509" t="s">
        <v>1808</v>
      </c>
      <c r="H33" s="34"/>
      <c r="I33" s="34" t="s">
        <v>10389</v>
      </c>
      <c r="J33" s="44" t="s">
        <v>925</v>
      </c>
      <c r="K33" s="44"/>
      <c r="L33" s="34" t="s">
        <v>6189</v>
      </c>
      <c r="M33" s="34" t="s">
        <v>1824</v>
      </c>
      <c r="N33" s="34" t="s">
        <v>2467</v>
      </c>
      <c r="O33" s="562" t="s">
        <v>10390</v>
      </c>
    </row>
    <row r="34" spans="1:18" ht="38.25">
      <c r="A34" s="34" t="s">
        <v>10391</v>
      </c>
      <c r="B34" s="585" t="s">
        <v>10392</v>
      </c>
      <c r="C34" s="586" t="s">
        <v>10193</v>
      </c>
      <c r="D34" s="188" t="s">
        <v>10393</v>
      </c>
      <c r="E34" s="34"/>
      <c r="F34" s="34" t="s">
        <v>10394</v>
      </c>
      <c r="G34" s="509" t="s">
        <v>1808</v>
      </c>
      <c r="H34" s="586" t="s">
        <v>10395</v>
      </c>
      <c r="I34" s="34" t="s">
        <v>10396</v>
      </c>
      <c r="J34" s="44" t="s">
        <v>6872</v>
      </c>
      <c r="K34" s="34"/>
      <c r="L34" s="34" t="s">
        <v>6064</v>
      </c>
      <c r="M34" s="34" t="s">
        <v>1824</v>
      </c>
      <c r="N34" s="34" t="s">
        <v>2460</v>
      </c>
      <c r="O34" s="562" t="s">
        <v>10397</v>
      </c>
    </row>
    <row r="35" spans="1:18" ht="51">
      <c r="A35" s="34" t="s">
        <v>10398</v>
      </c>
      <c r="B35" s="585" t="s">
        <v>10399</v>
      </c>
      <c r="C35" s="586" t="s">
        <v>10193</v>
      </c>
      <c r="D35" s="188" t="s">
        <v>10400</v>
      </c>
      <c r="E35" s="34"/>
      <c r="F35" s="398" t="s">
        <v>1451</v>
      </c>
      <c r="G35" s="509" t="s">
        <v>1808</v>
      </c>
      <c r="H35" s="34" t="s">
        <v>10401</v>
      </c>
      <c r="I35" s="34" t="s">
        <v>10402</v>
      </c>
      <c r="J35" s="44" t="s">
        <v>6872</v>
      </c>
      <c r="K35" s="34"/>
      <c r="L35" s="34" t="s">
        <v>6064</v>
      </c>
      <c r="M35" s="34" t="s">
        <v>1824</v>
      </c>
      <c r="N35" s="34" t="s">
        <v>2611</v>
      </c>
      <c r="O35" s="562" t="s">
        <v>10403</v>
      </c>
    </row>
    <row r="36" spans="1:18" ht="76.5">
      <c r="A36" s="34" t="s">
        <v>10404</v>
      </c>
      <c r="B36" s="582" t="s">
        <v>10405</v>
      </c>
      <c r="C36" s="583" t="s">
        <v>10406</v>
      </c>
      <c r="D36" s="584" t="s">
        <v>10407</v>
      </c>
      <c r="E36" s="591"/>
      <c r="F36" s="34" t="s">
        <v>10408</v>
      </c>
      <c r="G36" s="509" t="s">
        <v>1808</v>
      </c>
      <c r="H36" s="398"/>
      <c r="I36" s="34" t="s">
        <v>10409</v>
      </c>
      <c r="J36" s="44" t="s">
        <v>925</v>
      </c>
      <c r="K36" s="34"/>
      <c r="L36" s="34" t="s">
        <v>6064</v>
      </c>
      <c r="M36" s="34" t="s">
        <v>1824</v>
      </c>
      <c r="N36" s="34" t="s">
        <v>2449</v>
      </c>
      <c r="O36" s="562" t="s">
        <v>10410</v>
      </c>
    </row>
    <row r="37" spans="1:18" ht="38.25">
      <c r="A37" s="34" t="s">
        <v>10411</v>
      </c>
      <c r="B37" s="585" t="s">
        <v>10412</v>
      </c>
      <c r="C37" s="586" t="s">
        <v>10193</v>
      </c>
      <c r="D37" s="584" t="s">
        <v>10274</v>
      </c>
      <c r="E37" s="583"/>
      <c r="F37" s="398" t="s">
        <v>10165</v>
      </c>
      <c r="G37" s="509" t="s">
        <v>1808</v>
      </c>
      <c r="H37" s="398" t="s">
        <v>10413</v>
      </c>
      <c r="I37" s="34" t="s">
        <v>10166</v>
      </c>
      <c r="J37" s="44" t="s">
        <v>6872</v>
      </c>
      <c r="K37" s="34"/>
      <c r="L37" s="34" t="s">
        <v>6064</v>
      </c>
      <c r="M37" s="34"/>
      <c r="N37" s="34" t="s">
        <v>1828</v>
      </c>
      <c r="O37" s="562" t="s">
        <v>10414</v>
      </c>
    </row>
    <row r="38" spans="1:18" ht="63.75">
      <c r="A38" s="34" t="s">
        <v>10415</v>
      </c>
      <c r="B38" s="582" t="s">
        <v>10416</v>
      </c>
      <c r="C38" s="583" t="s">
        <v>10417</v>
      </c>
      <c r="D38" s="584" t="s">
        <v>10418</v>
      </c>
      <c r="E38" s="591"/>
      <c r="F38" s="34" t="s">
        <v>10419</v>
      </c>
      <c r="G38" s="509" t="s">
        <v>1808</v>
      </c>
      <c r="H38" s="34"/>
      <c r="I38" s="34" t="s">
        <v>10420</v>
      </c>
      <c r="J38" s="44" t="s">
        <v>925</v>
      </c>
      <c r="K38" s="34"/>
      <c r="L38" s="34" t="s">
        <v>6064</v>
      </c>
      <c r="M38" s="34"/>
      <c r="N38" s="34" t="s">
        <v>6874</v>
      </c>
      <c r="O38" s="562" t="s">
        <v>10421</v>
      </c>
    </row>
    <row r="39" spans="1:18" ht="38.25">
      <c r="A39" s="34" t="s">
        <v>10422</v>
      </c>
      <c r="B39" s="585" t="s">
        <v>10423</v>
      </c>
      <c r="C39" s="586" t="s">
        <v>2453</v>
      </c>
      <c r="D39" s="188" t="s">
        <v>10316</v>
      </c>
      <c r="E39" s="34"/>
      <c r="F39" s="34" t="s">
        <v>10317</v>
      </c>
      <c r="G39" s="509" t="s">
        <v>1808</v>
      </c>
      <c r="H39" s="34" t="s">
        <v>10424</v>
      </c>
      <c r="I39" s="34" t="s">
        <v>10319</v>
      </c>
      <c r="J39" s="44" t="s">
        <v>5024</v>
      </c>
      <c r="K39" s="34"/>
      <c r="L39" s="34" t="s">
        <v>6064</v>
      </c>
      <c r="M39" s="34"/>
      <c r="N39" s="34" t="s">
        <v>2609</v>
      </c>
      <c r="O39" s="562" t="s">
        <v>10425</v>
      </c>
    </row>
    <row r="40" spans="1:18" ht="38.25">
      <c r="A40" s="34" t="s">
        <v>10426</v>
      </c>
      <c r="B40" s="582" t="s">
        <v>10427</v>
      </c>
      <c r="C40" s="583" t="s">
        <v>10428</v>
      </c>
      <c r="D40" s="188" t="s">
        <v>10429</v>
      </c>
      <c r="E40" s="34"/>
      <c r="F40" s="34" t="s">
        <v>10430</v>
      </c>
      <c r="G40" s="509" t="s">
        <v>1808</v>
      </c>
      <c r="H40" s="398" t="s">
        <v>10431</v>
      </c>
      <c r="I40" s="34" t="s">
        <v>10432</v>
      </c>
      <c r="J40" s="44" t="s">
        <v>925</v>
      </c>
      <c r="K40" s="34"/>
      <c r="L40" s="34" t="s">
        <v>6137</v>
      </c>
      <c r="M40" s="34"/>
      <c r="N40" s="34" t="s">
        <v>6783</v>
      </c>
      <c r="O40" s="562" t="s">
        <v>10433</v>
      </c>
    </row>
    <row r="41" spans="1:18" ht="63.75">
      <c r="A41" s="34" t="s">
        <v>10434</v>
      </c>
      <c r="B41" s="582" t="s">
        <v>10435</v>
      </c>
      <c r="C41" s="583" t="s">
        <v>10417</v>
      </c>
      <c r="D41" s="584" t="s">
        <v>10436</v>
      </c>
      <c r="E41" s="591"/>
      <c r="F41" s="34" t="s">
        <v>10437</v>
      </c>
      <c r="G41" s="509" t="s">
        <v>1808</v>
      </c>
      <c r="H41" s="398"/>
      <c r="I41" s="34" t="s">
        <v>10438</v>
      </c>
      <c r="J41" s="586" t="s">
        <v>925</v>
      </c>
      <c r="K41" s="34"/>
      <c r="L41" s="34" t="s">
        <v>6064</v>
      </c>
      <c r="M41" s="34"/>
      <c r="N41" s="34"/>
      <c r="O41" s="562" t="s">
        <v>10439</v>
      </c>
    </row>
    <row r="42" spans="1:18" ht="38.25">
      <c r="A42" s="34" t="s">
        <v>10440</v>
      </c>
      <c r="B42" s="585" t="s">
        <v>10441</v>
      </c>
      <c r="C42" s="586" t="s">
        <v>10193</v>
      </c>
      <c r="D42" s="188" t="s">
        <v>10442</v>
      </c>
      <c r="E42" s="34"/>
      <c r="F42" s="34" t="s">
        <v>10443</v>
      </c>
      <c r="G42" s="509" t="s">
        <v>1808</v>
      </c>
      <c r="H42" s="586" t="s">
        <v>10444</v>
      </c>
      <c r="I42" s="34" t="s">
        <v>10445</v>
      </c>
      <c r="J42" s="44" t="s">
        <v>6872</v>
      </c>
      <c r="K42" s="34"/>
      <c r="L42" s="34" t="s">
        <v>6064</v>
      </c>
      <c r="M42" s="34"/>
      <c r="N42" s="34" t="s">
        <v>6795</v>
      </c>
      <c r="O42" s="562" t="s">
        <v>10446</v>
      </c>
    </row>
    <row r="43" spans="1:18" ht="21" customHeight="1">
      <c r="A43" s="592"/>
      <c r="B43" s="593"/>
      <c r="C43" s="593"/>
      <c r="D43" s="594"/>
      <c r="E43" s="595"/>
      <c r="F43" s="595"/>
      <c r="G43" s="596"/>
      <c r="H43" s="597"/>
      <c r="I43" s="595"/>
      <c r="J43" s="598"/>
      <c r="K43" s="595"/>
      <c r="L43" s="595"/>
      <c r="M43" s="595"/>
      <c r="N43" s="595"/>
      <c r="O43" s="595"/>
      <c r="P43" s="599"/>
      <c r="Q43" s="599"/>
      <c r="R43" s="599"/>
    </row>
    <row r="44" spans="1:18" ht="76.5">
      <c r="A44" s="335" t="s">
        <v>10447</v>
      </c>
      <c r="B44" s="586"/>
      <c r="C44" s="586" t="s">
        <v>8512</v>
      </c>
      <c r="D44" s="188" t="s">
        <v>10448</v>
      </c>
      <c r="E44" s="34" t="s">
        <v>10449</v>
      </c>
      <c r="F44" s="34" t="s">
        <v>10450</v>
      </c>
      <c r="G44" s="509" t="s">
        <v>1808</v>
      </c>
      <c r="H44" s="398" t="s">
        <v>10451</v>
      </c>
      <c r="I44" s="34" t="s">
        <v>10452</v>
      </c>
      <c r="J44" s="44" t="s">
        <v>6872</v>
      </c>
      <c r="K44" s="34"/>
      <c r="L44" s="34" t="s">
        <v>6064</v>
      </c>
      <c r="M44" s="34"/>
      <c r="N44" s="34" t="s">
        <v>1828</v>
      </c>
      <c r="O44" s="562" t="s">
        <v>10453</v>
      </c>
    </row>
    <row r="45" spans="1:18" ht="63.75">
      <c r="A45" s="335" t="s">
        <v>10454</v>
      </c>
      <c r="B45" s="586"/>
      <c r="C45" s="586" t="s">
        <v>8512</v>
      </c>
      <c r="D45" s="188" t="s">
        <v>10455</v>
      </c>
      <c r="E45" s="34" t="s">
        <v>10456</v>
      </c>
      <c r="F45" s="34" t="s">
        <v>10457</v>
      </c>
      <c r="G45" s="509" t="s">
        <v>1808</v>
      </c>
      <c r="H45" s="398"/>
      <c r="I45" s="34" t="s">
        <v>10458</v>
      </c>
      <c r="J45" s="44" t="s">
        <v>6872</v>
      </c>
      <c r="K45" s="34"/>
      <c r="L45" s="34" t="s">
        <v>6064</v>
      </c>
      <c r="M45" s="34"/>
      <c r="N45" s="34"/>
      <c r="O45" s="562" t="s">
        <v>10459</v>
      </c>
    </row>
    <row r="46" spans="1:18" ht="38.25">
      <c r="A46" s="335" t="s">
        <v>10460</v>
      </c>
      <c r="B46" s="586"/>
      <c r="C46" s="586" t="s">
        <v>8512</v>
      </c>
      <c r="D46" s="188" t="s">
        <v>10461</v>
      </c>
      <c r="E46" s="34" t="s">
        <v>10462</v>
      </c>
      <c r="F46" s="34" t="s">
        <v>10463</v>
      </c>
      <c r="G46" s="509" t="s">
        <v>1808</v>
      </c>
      <c r="H46" s="398"/>
      <c r="I46" s="34" t="s">
        <v>10432</v>
      </c>
      <c r="J46" s="44" t="s">
        <v>6872</v>
      </c>
      <c r="K46" s="34"/>
      <c r="L46" s="34" t="s">
        <v>6064</v>
      </c>
      <c r="M46" s="34"/>
      <c r="N46" s="34"/>
      <c r="O46" s="562" t="s">
        <v>10464</v>
      </c>
    </row>
    <row r="47" spans="1:18" ht="63.75">
      <c r="A47" s="335" t="s">
        <v>10465</v>
      </c>
      <c r="B47" s="586"/>
      <c r="C47" s="586" t="s">
        <v>8512</v>
      </c>
      <c r="D47" s="188" t="s">
        <v>10466</v>
      </c>
      <c r="E47" s="34" t="s">
        <v>10467</v>
      </c>
      <c r="F47" s="34" t="s">
        <v>10468</v>
      </c>
      <c r="G47" s="509" t="s">
        <v>1808</v>
      </c>
      <c r="H47" s="335" t="s">
        <v>10469</v>
      </c>
      <c r="I47" s="66" t="s">
        <v>10470</v>
      </c>
      <c r="J47" s="44" t="s">
        <v>6872</v>
      </c>
      <c r="K47" s="34"/>
      <c r="L47" s="34" t="s">
        <v>6189</v>
      </c>
      <c r="M47" s="34"/>
      <c r="N47" s="34" t="s">
        <v>1847</v>
      </c>
      <c r="O47" s="562" t="s">
        <v>10471</v>
      </c>
    </row>
    <row r="48" spans="1:18" ht="12.75">
      <c r="A48" s="335"/>
      <c r="B48" s="583"/>
      <c r="C48" s="583"/>
      <c r="D48" s="584"/>
      <c r="E48" s="583"/>
      <c r="F48" s="34"/>
      <c r="G48" s="34"/>
      <c r="H48" s="398"/>
      <c r="I48" s="34"/>
      <c r="J48" s="44"/>
      <c r="K48" s="34"/>
      <c r="L48" s="34"/>
      <c r="M48" s="34"/>
      <c r="N48" s="34"/>
      <c r="O48" s="34"/>
    </row>
    <row r="49" spans="1:15" ht="12.75">
      <c r="A49" s="34"/>
      <c r="B49" s="586"/>
      <c r="C49" s="586"/>
      <c r="D49" s="188"/>
      <c r="E49" s="34"/>
      <c r="F49" s="34"/>
      <c r="G49" s="34"/>
      <c r="H49" s="398"/>
      <c r="I49" s="34"/>
      <c r="J49" s="44"/>
      <c r="K49" s="34"/>
      <c r="L49" s="34"/>
      <c r="M49" s="34"/>
      <c r="N49" s="34"/>
      <c r="O49" s="34"/>
    </row>
    <row r="50" spans="1:15" ht="12.75">
      <c r="A50" s="34"/>
      <c r="B50" s="586"/>
      <c r="C50" s="586"/>
      <c r="D50" s="188"/>
      <c r="E50" s="34"/>
      <c r="F50" s="34"/>
      <c r="G50" s="34"/>
      <c r="H50" s="398"/>
      <c r="I50" s="34"/>
      <c r="J50" s="44"/>
      <c r="K50" s="34"/>
      <c r="L50" s="34"/>
      <c r="M50" s="34"/>
      <c r="N50" s="34"/>
      <c r="O50" s="34"/>
    </row>
    <row r="51" spans="1:15" ht="12.75">
      <c r="A51" s="34"/>
      <c r="B51" s="586"/>
      <c r="C51" s="586"/>
      <c r="D51" s="188"/>
      <c r="E51" s="34"/>
      <c r="F51" s="34"/>
      <c r="G51" s="34"/>
      <c r="H51" s="34"/>
      <c r="I51" s="34"/>
      <c r="J51" s="44"/>
      <c r="K51" s="34"/>
      <c r="L51" s="34"/>
      <c r="M51" s="34"/>
      <c r="N51" s="34"/>
      <c r="O51" s="34"/>
    </row>
    <row r="52" spans="1:15" ht="12.75">
      <c r="A52" s="34"/>
      <c r="B52" s="586"/>
      <c r="C52" s="586"/>
      <c r="D52" s="188"/>
      <c r="E52" s="34"/>
      <c r="F52" s="34"/>
      <c r="G52" s="34"/>
      <c r="H52" s="335"/>
      <c r="I52" s="34"/>
      <c r="J52" s="44"/>
      <c r="K52" s="34"/>
      <c r="L52" s="34"/>
      <c r="M52" s="34"/>
      <c r="N52" s="34"/>
      <c r="O52" s="34"/>
    </row>
    <row r="53" spans="1:15" ht="12.75">
      <c r="A53" s="34"/>
      <c r="B53" s="586"/>
      <c r="C53" s="586"/>
      <c r="D53" s="188"/>
      <c r="E53" s="34"/>
      <c r="F53" s="34"/>
      <c r="G53" s="34"/>
      <c r="H53" s="34"/>
      <c r="I53" s="34"/>
      <c r="J53" s="44"/>
      <c r="K53" s="34"/>
      <c r="L53" s="34"/>
      <c r="M53" s="34"/>
      <c r="N53" s="34"/>
      <c r="O53" s="34"/>
    </row>
    <row r="54" spans="1:15" ht="12.75">
      <c r="A54" s="34"/>
      <c r="B54" s="586"/>
      <c r="C54" s="586"/>
      <c r="D54" s="188"/>
      <c r="E54" s="34"/>
      <c r="F54" s="34"/>
      <c r="G54" s="34"/>
      <c r="H54" s="34"/>
      <c r="I54" s="34"/>
      <c r="J54" s="44"/>
      <c r="K54" s="34"/>
      <c r="L54" s="34"/>
      <c r="M54" s="34"/>
      <c r="N54" s="34"/>
      <c r="O54" s="34"/>
    </row>
    <row r="55" spans="1:15" ht="12.75">
      <c r="A55" s="34"/>
      <c r="B55" s="586"/>
      <c r="C55" s="586"/>
      <c r="D55" s="188"/>
      <c r="E55" s="34"/>
      <c r="F55" s="34"/>
      <c r="G55" s="34"/>
      <c r="H55" s="34"/>
      <c r="I55" s="34"/>
      <c r="J55" s="44"/>
      <c r="K55" s="34"/>
      <c r="L55" s="34"/>
      <c r="M55" s="34"/>
      <c r="N55" s="34"/>
      <c r="O55" s="34"/>
    </row>
    <row r="56" spans="1:15" ht="12.75">
      <c r="A56" s="34"/>
      <c r="B56" s="586"/>
      <c r="C56" s="586"/>
      <c r="D56" s="188"/>
      <c r="E56" s="34"/>
      <c r="F56" s="34"/>
      <c r="G56" s="34"/>
      <c r="H56" s="34"/>
      <c r="I56" s="34"/>
      <c r="J56" s="44"/>
      <c r="K56" s="34"/>
      <c r="L56" s="34"/>
      <c r="M56" s="34"/>
      <c r="N56" s="34"/>
      <c r="O56" s="34"/>
    </row>
    <row r="57" spans="1:15" ht="12.75">
      <c r="A57" s="34"/>
      <c r="B57" s="586"/>
      <c r="C57" s="586"/>
      <c r="D57" s="188"/>
      <c r="E57" s="34"/>
      <c r="F57" s="34"/>
      <c r="G57" s="34"/>
      <c r="H57" s="398"/>
      <c r="I57" s="34"/>
      <c r="J57" s="44"/>
      <c r="K57" s="34"/>
      <c r="L57" s="34"/>
      <c r="M57" s="34"/>
      <c r="N57" s="34"/>
      <c r="O57" s="34"/>
    </row>
    <row r="58" spans="1:15" ht="12.75">
      <c r="A58" s="34"/>
      <c r="B58" s="586"/>
      <c r="C58" s="586"/>
      <c r="D58" s="188"/>
      <c r="E58" s="34"/>
      <c r="F58" s="34"/>
      <c r="G58" s="34"/>
      <c r="H58" s="398"/>
      <c r="I58" s="34"/>
      <c r="J58" s="44"/>
      <c r="K58" s="34"/>
      <c r="L58" s="34"/>
      <c r="M58" s="34"/>
      <c r="N58" s="34"/>
      <c r="O58" s="34"/>
    </row>
    <row r="59" spans="1:15" ht="12.75">
      <c r="A59" s="34"/>
      <c r="B59" s="586"/>
      <c r="C59" s="586"/>
      <c r="D59" s="188"/>
      <c r="E59" s="34"/>
      <c r="F59" s="34"/>
      <c r="G59" s="34"/>
      <c r="H59" s="398"/>
      <c r="I59" s="34"/>
      <c r="J59" s="44"/>
      <c r="K59" s="34"/>
      <c r="L59" s="34"/>
      <c r="M59" s="34"/>
      <c r="N59" s="34"/>
      <c r="O59" s="34"/>
    </row>
    <row r="60" spans="1:15" ht="12.75">
      <c r="A60" s="34"/>
      <c r="B60" s="586"/>
      <c r="C60" s="586" t="s">
        <v>10472</v>
      </c>
      <c r="D60" s="188"/>
      <c r="E60" s="34"/>
      <c r="F60" s="34"/>
      <c r="G60" s="34"/>
      <c r="H60" s="398"/>
      <c r="I60" s="34"/>
      <c r="J60" s="44"/>
      <c r="K60" s="34"/>
      <c r="L60" s="34"/>
      <c r="M60" s="34"/>
      <c r="N60" s="34"/>
      <c r="O60" s="34"/>
    </row>
    <row r="61" spans="1:15" ht="12.75">
      <c r="A61" s="34"/>
      <c r="B61" s="586"/>
      <c r="C61" s="586"/>
      <c r="D61" s="188"/>
      <c r="E61" s="34"/>
      <c r="F61" s="34"/>
      <c r="G61" s="34"/>
      <c r="H61" s="398"/>
      <c r="I61" s="34"/>
      <c r="J61" s="44"/>
      <c r="K61" s="34"/>
      <c r="L61" s="34"/>
      <c r="M61" s="34"/>
      <c r="N61" s="34"/>
      <c r="O61" s="34"/>
    </row>
    <row r="62" spans="1:15" ht="12.75">
      <c r="A62" s="34"/>
      <c r="B62" s="586"/>
      <c r="C62" s="586"/>
      <c r="D62" s="188"/>
      <c r="E62" s="34"/>
      <c r="F62" s="34"/>
      <c r="G62" s="34"/>
      <c r="H62" s="398"/>
      <c r="I62" s="34"/>
      <c r="J62" s="44"/>
      <c r="K62" s="34"/>
      <c r="L62" s="34"/>
      <c r="M62" s="34"/>
      <c r="N62" s="34"/>
      <c r="O62" s="34"/>
    </row>
    <row r="63" spans="1:15" ht="12.75">
      <c r="A63" s="34"/>
      <c r="B63" s="586"/>
      <c r="C63" s="586"/>
      <c r="D63" s="188"/>
      <c r="E63" s="34"/>
      <c r="F63" s="34"/>
      <c r="G63" s="34"/>
      <c r="H63" s="398"/>
      <c r="I63" s="34"/>
      <c r="J63" s="44"/>
      <c r="K63" s="34"/>
      <c r="L63" s="34"/>
      <c r="M63" s="34"/>
      <c r="N63" s="34"/>
      <c r="O63" s="34"/>
    </row>
    <row r="64" spans="1:15" ht="12.75">
      <c r="A64" s="34"/>
      <c r="B64" s="586"/>
      <c r="C64" s="586"/>
      <c r="D64" s="188"/>
      <c r="E64" s="34"/>
      <c r="F64" s="34"/>
      <c r="G64" s="34"/>
      <c r="H64" s="34"/>
      <c r="I64" s="34"/>
      <c r="J64" s="44"/>
      <c r="K64" s="34"/>
      <c r="L64" s="34"/>
      <c r="M64" s="34"/>
      <c r="N64" s="34"/>
      <c r="O64" s="34"/>
    </row>
    <row r="65" spans="1:15" ht="12.75">
      <c r="A65" s="34"/>
      <c r="B65" s="600"/>
      <c r="C65" s="600"/>
      <c r="D65" s="188"/>
      <c r="E65" s="34"/>
      <c r="F65" s="34"/>
      <c r="G65" s="34"/>
      <c r="H65" s="34"/>
      <c r="I65" s="34"/>
      <c r="J65" s="44"/>
      <c r="K65" s="34"/>
      <c r="L65" s="34"/>
      <c r="M65" s="34"/>
      <c r="N65" s="34"/>
      <c r="O65" s="34"/>
    </row>
    <row r="66" spans="1:15" ht="12.75">
      <c r="A66" s="34"/>
      <c r="B66" s="600"/>
      <c r="C66" s="600"/>
      <c r="D66" s="188"/>
      <c r="E66" s="34"/>
      <c r="F66" s="34"/>
      <c r="G66" s="34"/>
      <c r="H66" s="34"/>
      <c r="I66" s="34"/>
      <c r="J66" s="44"/>
      <c r="K66" s="34"/>
      <c r="L66" s="34"/>
      <c r="M66" s="34"/>
      <c r="N66" s="34"/>
      <c r="O66" s="34"/>
    </row>
    <row r="67" spans="1:15" ht="12.75">
      <c r="A67" s="34"/>
      <c r="B67" s="600"/>
      <c r="C67" s="600"/>
      <c r="D67" s="188"/>
      <c r="E67" s="34"/>
      <c r="F67" s="34"/>
      <c r="G67" s="34"/>
      <c r="H67" s="34"/>
      <c r="I67" s="34"/>
      <c r="J67" s="44"/>
      <c r="K67" s="34"/>
      <c r="L67" s="34"/>
      <c r="M67" s="34"/>
      <c r="N67" s="34"/>
      <c r="O67" s="34"/>
    </row>
    <row r="68" spans="1:15" ht="12.75">
      <c r="A68" s="34"/>
      <c r="B68" s="600"/>
      <c r="C68" s="600"/>
      <c r="D68" s="188"/>
      <c r="E68" s="34"/>
      <c r="F68" s="34" t="s">
        <v>10473</v>
      </c>
      <c r="G68" s="34"/>
      <c r="H68" s="34"/>
      <c r="I68" s="34"/>
      <c r="J68" s="44"/>
      <c r="K68" s="34"/>
      <c r="L68" s="34"/>
      <c r="M68" s="34"/>
      <c r="N68" s="34"/>
      <c r="O68" s="34"/>
    </row>
    <row r="69" spans="1:15" ht="12.75">
      <c r="A69" s="34"/>
      <c r="B69" s="600"/>
      <c r="C69" s="600"/>
      <c r="D69" s="188"/>
      <c r="E69" s="34"/>
      <c r="F69" s="34"/>
      <c r="G69" s="34"/>
      <c r="H69" s="34"/>
      <c r="I69" s="34"/>
      <c r="J69" s="44"/>
      <c r="K69" s="34"/>
      <c r="L69" s="34"/>
      <c r="M69" s="34"/>
      <c r="N69" s="34"/>
      <c r="O69" s="34"/>
    </row>
    <row r="70" spans="1:15" ht="12.75">
      <c r="A70" s="34"/>
      <c r="B70" s="600"/>
      <c r="C70" s="600"/>
      <c r="D70" s="188"/>
      <c r="E70" s="34"/>
      <c r="F70" s="34"/>
      <c r="G70" s="34"/>
      <c r="H70" s="34"/>
      <c r="I70" s="34"/>
      <c r="J70" s="44"/>
      <c r="K70" s="34"/>
      <c r="L70" s="34"/>
      <c r="M70" s="34"/>
      <c r="N70" s="34"/>
      <c r="O70" s="34"/>
    </row>
    <row r="71" spans="1:15" ht="12.75">
      <c r="A71" s="34"/>
      <c r="B71" s="600"/>
      <c r="C71" s="600"/>
      <c r="D71" s="188"/>
      <c r="E71" s="34"/>
      <c r="F71" s="34"/>
      <c r="G71" s="34"/>
      <c r="H71" s="34"/>
      <c r="I71" s="34"/>
      <c r="J71" s="44"/>
      <c r="K71" s="34"/>
      <c r="L71" s="34"/>
      <c r="M71" s="34"/>
      <c r="N71" s="34"/>
      <c r="O71" s="34"/>
    </row>
    <row r="72" spans="1:15" ht="12.75">
      <c r="A72" s="34"/>
      <c r="B72" s="600"/>
      <c r="C72" s="600"/>
      <c r="D72" s="188"/>
      <c r="E72" s="34"/>
      <c r="F72" s="34"/>
      <c r="G72" s="34"/>
      <c r="H72" s="34"/>
      <c r="I72" s="34"/>
      <c r="J72" s="44"/>
      <c r="K72" s="34"/>
      <c r="L72" s="34"/>
      <c r="M72" s="34"/>
      <c r="N72" s="34"/>
      <c r="O72" s="34"/>
    </row>
    <row r="73" spans="1:15" ht="12.75">
      <c r="A73" s="34"/>
      <c r="B73" s="600"/>
      <c r="C73" s="600"/>
      <c r="D73" s="188"/>
      <c r="E73" s="34"/>
      <c r="F73" s="34"/>
      <c r="G73" s="34"/>
      <c r="H73" s="34"/>
      <c r="I73" s="34"/>
      <c r="J73" s="44"/>
      <c r="K73" s="34"/>
      <c r="L73" s="34"/>
      <c r="M73" s="34"/>
      <c r="N73" s="34"/>
      <c r="O73" s="34"/>
    </row>
    <row r="74" spans="1:15" ht="12.75">
      <c r="A74" s="34"/>
      <c r="B74" s="34"/>
      <c r="C74" s="34"/>
      <c r="D74" s="188"/>
      <c r="E74" s="34"/>
      <c r="F74" s="34"/>
      <c r="G74" s="34"/>
      <c r="H74" s="34"/>
      <c r="I74" s="34"/>
      <c r="J74" s="44"/>
      <c r="K74" s="34"/>
      <c r="L74" s="34"/>
      <c r="M74" s="34"/>
      <c r="N74" s="34"/>
      <c r="O74" s="34"/>
    </row>
    <row r="75" spans="1:15" ht="12.75">
      <c r="A75" s="34"/>
      <c r="B75" s="34"/>
      <c r="C75" s="34"/>
      <c r="D75" s="188"/>
      <c r="E75" s="34"/>
      <c r="F75" s="34"/>
      <c r="G75" s="34"/>
      <c r="H75" s="34"/>
      <c r="I75" s="34"/>
      <c r="J75" s="44"/>
      <c r="K75" s="34"/>
      <c r="L75" s="34"/>
      <c r="M75" s="34"/>
      <c r="N75" s="34"/>
      <c r="O75" s="34"/>
    </row>
    <row r="76" spans="1:15" ht="12.75">
      <c r="A76" s="34"/>
      <c r="B76" s="600"/>
      <c r="C76" s="600"/>
      <c r="D76" s="188"/>
      <c r="E76" s="34"/>
      <c r="F76" s="34"/>
      <c r="G76" s="34"/>
      <c r="H76" s="34"/>
      <c r="I76" s="34"/>
      <c r="J76" s="44"/>
      <c r="K76" s="34"/>
      <c r="L76" s="34"/>
      <c r="M76" s="34"/>
      <c r="N76" s="34"/>
      <c r="O76" s="34"/>
    </row>
    <row r="77" spans="1:15" ht="12.75">
      <c r="A77" s="34"/>
      <c r="B77" s="600"/>
      <c r="C77" s="600"/>
      <c r="D77" s="188"/>
      <c r="E77" s="34"/>
      <c r="F77" s="34"/>
      <c r="G77" s="34"/>
      <c r="H77" s="34"/>
      <c r="I77" s="34"/>
      <c r="J77" s="44"/>
      <c r="K77" s="34"/>
      <c r="L77" s="34"/>
      <c r="M77" s="34"/>
      <c r="N77" s="34"/>
      <c r="O77" s="34"/>
    </row>
    <row r="78" spans="1:15" ht="12.75">
      <c r="A78" s="34"/>
      <c r="B78" s="34"/>
      <c r="C78" s="34"/>
      <c r="D78" s="188"/>
      <c r="E78" s="34"/>
      <c r="F78" s="34"/>
      <c r="G78" s="34"/>
      <c r="H78" s="34"/>
      <c r="I78" s="34"/>
      <c r="J78" s="44"/>
      <c r="K78" s="34"/>
      <c r="L78" s="34"/>
      <c r="M78" s="34"/>
      <c r="N78" s="34"/>
      <c r="O78" s="34"/>
    </row>
    <row r="79" spans="1:15" ht="12.75">
      <c r="A79" s="34"/>
      <c r="B79" s="600"/>
      <c r="C79" s="600"/>
      <c r="D79" s="188"/>
      <c r="E79" s="34"/>
      <c r="F79" s="34"/>
      <c r="G79" s="34"/>
      <c r="H79" s="34"/>
      <c r="I79" s="34"/>
      <c r="J79" s="44"/>
      <c r="K79" s="34"/>
      <c r="L79" s="34"/>
      <c r="M79" s="34"/>
      <c r="N79" s="34"/>
      <c r="O79" s="34"/>
    </row>
    <row r="80" spans="1:15" ht="12.75">
      <c r="A80" s="34"/>
      <c r="B80" s="600"/>
      <c r="C80" s="600"/>
      <c r="D80" s="188"/>
      <c r="E80" s="34"/>
      <c r="F80" s="34"/>
      <c r="G80" s="34"/>
      <c r="H80" s="34"/>
      <c r="I80" s="34"/>
      <c r="J80" s="44"/>
      <c r="K80" s="34"/>
      <c r="L80" s="34"/>
      <c r="M80" s="34"/>
      <c r="N80" s="34"/>
      <c r="O80" s="34"/>
    </row>
    <row r="81" spans="1:15" ht="12.75">
      <c r="A81" s="34"/>
      <c r="B81" s="600"/>
      <c r="C81" s="600"/>
      <c r="D81" s="188"/>
      <c r="E81" s="34"/>
      <c r="F81" s="34"/>
      <c r="G81" s="34"/>
      <c r="H81" s="34"/>
      <c r="I81" s="34"/>
      <c r="J81" s="44"/>
      <c r="K81" s="34"/>
      <c r="L81" s="34"/>
      <c r="M81" s="34"/>
      <c r="N81" s="34"/>
      <c r="O81" s="34"/>
    </row>
    <row r="82" spans="1:15" ht="12.75">
      <c r="A82" s="34"/>
      <c r="B82" s="600"/>
      <c r="C82" s="600"/>
      <c r="D82" s="188"/>
      <c r="E82" s="34"/>
      <c r="F82" s="34"/>
      <c r="G82" s="34"/>
      <c r="H82" s="34"/>
      <c r="I82" s="34"/>
      <c r="J82" s="44"/>
      <c r="K82" s="34"/>
      <c r="L82" s="34"/>
      <c r="M82" s="34"/>
      <c r="N82" s="34"/>
      <c r="O82" s="34"/>
    </row>
    <row r="83" spans="1:15" ht="12.75">
      <c r="A83" s="34"/>
      <c r="B83" s="600"/>
      <c r="C83" s="600"/>
      <c r="D83" s="188"/>
      <c r="E83" s="34"/>
      <c r="F83" s="34"/>
      <c r="G83" s="34"/>
      <c r="H83" s="34"/>
      <c r="I83" s="34"/>
      <c r="J83" s="44"/>
      <c r="K83" s="34"/>
      <c r="L83" s="34"/>
      <c r="M83" s="34"/>
      <c r="N83" s="34"/>
      <c r="O83" s="34"/>
    </row>
    <row r="84" spans="1:15" ht="12.75">
      <c r="A84" s="34"/>
      <c r="B84" s="600"/>
      <c r="C84" s="600"/>
      <c r="D84" s="188"/>
      <c r="E84" s="34"/>
      <c r="F84" s="34"/>
      <c r="G84" s="34"/>
      <c r="H84" s="34"/>
      <c r="I84" s="34"/>
      <c r="J84" s="44"/>
      <c r="K84" s="34"/>
      <c r="L84" s="34"/>
      <c r="M84" s="34"/>
      <c r="N84" s="34"/>
      <c r="O84" s="34"/>
    </row>
    <row r="85" spans="1:15" ht="12.75">
      <c r="A85" s="34"/>
      <c r="B85" s="600"/>
      <c r="C85" s="600"/>
      <c r="D85" s="188"/>
      <c r="E85" s="34"/>
      <c r="F85" s="34"/>
      <c r="G85" s="34"/>
      <c r="H85" s="34"/>
      <c r="I85" s="34"/>
      <c r="J85" s="44"/>
      <c r="K85" s="34"/>
      <c r="L85" s="34"/>
      <c r="M85" s="34"/>
      <c r="N85" s="34"/>
      <c r="O85" s="34"/>
    </row>
    <row r="86" spans="1:15" ht="12.75">
      <c r="A86" s="34"/>
      <c r="B86" s="600"/>
      <c r="C86" s="600"/>
      <c r="D86" s="188"/>
      <c r="E86" s="34"/>
      <c r="F86" s="34"/>
      <c r="G86" s="34"/>
      <c r="H86" s="34"/>
      <c r="I86" s="34"/>
      <c r="J86" s="44"/>
      <c r="K86" s="34"/>
      <c r="L86" s="34"/>
      <c r="M86" s="34"/>
      <c r="N86" s="34"/>
      <c r="O86" s="34"/>
    </row>
    <row r="87" spans="1:15" ht="12.75">
      <c r="A87" s="34"/>
      <c r="B87" s="600"/>
      <c r="C87" s="600"/>
      <c r="D87" s="188"/>
      <c r="E87" s="34"/>
      <c r="F87" s="34"/>
      <c r="G87" s="34"/>
      <c r="H87" s="34"/>
      <c r="I87" s="34"/>
      <c r="J87" s="44"/>
      <c r="K87" s="34"/>
      <c r="L87" s="34"/>
      <c r="M87" s="34"/>
      <c r="N87" s="34"/>
      <c r="O87" s="34"/>
    </row>
    <row r="88" spans="1:15" ht="12.75">
      <c r="A88" s="34"/>
      <c r="B88" s="600"/>
      <c r="C88" s="600"/>
      <c r="D88" s="188"/>
      <c r="E88" s="34"/>
      <c r="F88" s="34"/>
      <c r="G88" s="34"/>
      <c r="H88" s="34"/>
      <c r="I88" s="34"/>
      <c r="J88" s="44"/>
      <c r="K88" s="34"/>
      <c r="L88" s="34"/>
      <c r="M88" s="34"/>
      <c r="N88" s="34"/>
      <c r="O88" s="34"/>
    </row>
    <row r="89" spans="1:15" ht="12.75">
      <c r="A89" s="34"/>
      <c r="B89" s="600"/>
      <c r="C89" s="600"/>
      <c r="D89" s="188"/>
      <c r="E89" s="34"/>
      <c r="F89" s="34"/>
      <c r="G89" s="34"/>
      <c r="H89" s="34"/>
      <c r="I89" s="34"/>
      <c r="J89" s="44"/>
      <c r="K89" s="34"/>
      <c r="L89" s="34"/>
      <c r="M89" s="34"/>
      <c r="N89" s="34"/>
      <c r="O89" s="34"/>
    </row>
    <row r="90" spans="1:15" ht="12.75">
      <c r="A90" s="34"/>
      <c r="B90" s="586"/>
      <c r="C90" s="586"/>
      <c r="D90" s="188"/>
      <c r="E90" s="34"/>
      <c r="F90" s="34"/>
      <c r="G90" s="34"/>
      <c r="H90" s="34"/>
      <c r="I90" s="34"/>
      <c r="J90" s="44"/>
      <c r="K90" s="34"/>
      <c r="L90" s="34"/>
      <c r="M90" s="34"/>
      <c r="N90" s="34"/>
      <c r="O90" s="34"/>
    </row>
    <row r="91" spans="1:15" ht="12.75">
      <c r="A91" s="34"/>
      <c r="B91" s="34"/>
      <c r="C91" s="34"/>
      <c r="D91" s="188"/>
      <c r="E91" s="34"/>
      <c r="F91" s="34"/>
      <c r="G91" s="34"/>
      <c r="H91" s="34"/>
      <c r="I91" s="34"/>
      <c r="J91" s="44"/>
      <c r="K91" s="34"/>
      <c r="L91" s="34"/>
      <c r="M91" s="34"/>
      <c r="N91" s="34"/>
      <c r="O91" s="34"/>
    </row>
    <row r="92" spans="1:15" ht="12.75">
      <c r="A92" s="34"/>
      <c r="B92" s="34"/>
      <c r="C92" s="34"/>
      <c r="D92" s="188"/>
      <c r="E92" s="34"/>
      <c r="F92" s="34"/>
      <c r="G92" s="34"/>
      <c r="H92" s="34"/>
      <c r="I92" s="34"/>
      <c r="J92" s="44"/>
      <c r="K92" s="34"/>
      <c r="L92" s="34"/>
      <c r="M92" s="34"/>
      <c r="N92" s="34"/>
      <c r="O92" s="34"/>
    </row>
    <row r="93" spans="1:15" ht="12.75">
      <c r="A93" s="34"/>
      <c r="B93" s="34"/>
      <c r="C93" s="34"/>
      <c r="D93" s="188"/>
      <c r="E93" s="34"/>
      <c r="F93" s="34"/>
      <c r="G93" s="34"/>
      <c r="H93" s="34"/>
      <c r="I93" s="34"/>
      <c r="J93" s="44"/>
      <c r="K93" s="34"/>
      <c r="L93" s="34"/>
      <c r="M93" s="34"/>
      <c r="N93" s="34"/>
      <c r="O93" s="34"/>
    </row>
    <row r="94" spans="1:15" ht="12.75">
      <c r="A94" s="34"/>
      <c r="B94" s="34"/>
      <c r="C94" s="34"/>
      <c r="D94" s="188"/>
      <c r="E94" s="34"/>
      <c r="F94" s="34"/>
      <c r="G94" s="34"/>
      <c r="H94" s="34"/>
      <c r="I94" s="34"/>
      <c r="J94" s="44"/>
      <c r="K94" s="34"/>
      <c r="L94" s="34"/>
      <c r="M94" s="34"/>
      <c r="N94" s="34"/>
      <c r="O94" s="34"/>
    </row>
    <row r="95" spans="1:15" ht="12.75">
      <c r="A95" s="34"/>
      <c r="B95" s="34"/>
      <c r="C95" s="34"/>
      <c r="D95" s="188"/>
      <c r="E95" s="34"/>
      <c r="F95" s="34"/>
      <c r="G95" s="34"/>
      <c r="H95" s="34"/>
      <c r="I95" s="34"/>
      <c r="J95" s="44"/>
      <c r="K95" s="34"/>
      <c r="L95" s="34"/>
      <c r="M95" s="34"/>
      <c r="N95" s="34"/>
      <c r="O95" s="34"/>
    </row>
    <row r="96" spans="1:15" ht="12.75">
      <c r="A96" s="34"/>
      <c r="B96" s="34"/>
      <c r="C96" s="34"/>
      <c r="D96" s="188"/>
      <c r="E96" s="34"/>
      <c r="F96" s="34"/>
      <c r="G96" s="34"/>
      <c r="H96" s="34"/>
      <c r="I96" s="34"/>
      <c r="J96" s="44"/>
      <c r="K96" s="34"/>
      <c r="L96" s="34"/>
      <c r="M96" s="34"/>
      <c r="N96" s="34"/>
      <c r="O96" s="34"/>
    </row>
    <row r="97" spans="1:15" ht="12.75">
      <c r="A97" s="34"/>
      <c r="B97" s="600"/>
      <c r="C97" s="600"/>
      <c r="D97" s="188"/>
      <c r="E97" s="34"/>
      <c r="F97" s="34"/>
      <c r="G97" s="34"/>
      <c r="H97" s="34"/>
      <c r="I97" s="34"/>
      <c r="J97" s="44"/>
      <c r="K97" s="34"/>
      <c r="L97" s="34"/>
      <c r="M97" s="34"/>
      <c r="N97" s="34"/>
      <c r="O97" s="34"/>
    </row>
    <row r="98" spans="1:15" ht="12.75">
      <c r="A98" s="34"/>
      <c r="B98" s="600"/>
      <c r="C98" s="600"/>
      <c r="D98" s="188"/>
      <c r="E98" s="34"/>
      <c r="F98" s="34"/>
      <c r="G98" s="34"/>
      <c r="H98" s="34"/>
      <c r="I98" s="34"/>
      <c r="J98" s="44"/>
      <c r="K98" s="34"/>
      <c r="L98" s="34"/>
      <c r="M98" s="34"/>
      <c r="N98" s="34"/>
      <c r="O98" s="34"/>
    </row>
    <row r="99" spans="1:15" ht="12.75">
      <c r="A99" s="34"/>
      <c r="B99" s="600"/>
      <c r="C99" s="600"/>
      <c r="D99" s="188"/>
      <c r="E99" s="34"/>
      <c r="F99" s="34"/>
      <c r="G99" s="34"/>
      <c r="H99" s="34"/>
      <c r="I99" s="34"/>
      <c r="J99" s="44"/>
      <c r="K99" s="34"/>
      <c r="L99" s="34"/>
      <c r="M99" s="34"/>
      <c r="N99" s="34"/>
      <c r="O99" s="34"/>
    </row>
    <row r="100" spans="1:15" ht="12.75">
      <c r="A100" s="34"/>
      <c r="B100" s="600"/>
      <c r="C100" s="600"/>
      <c r="D100" s="188"/>
      <c r="E100" s="34"/>
      <c r="F100" s="34"/>
      <c r="G100" s="34"/>
      <c r="H100" s="34"/>
      <c r="I100" s="34"/>
      <c r="J100" s="44"/>
      <c r="K100" s="34"/>
      <c r="L100" s="34"/>
      <c r="M100" s="34"/>
      <c r="N100" s="34"/>
      <c r="O100" s="34"/>
    </row>
    <row r="101" spans="1:15" ht="12.75">
      <c r="A101" s="34"/>
      <c r="B101" s="34"/>
      <c r="C101" s="34"/>
      <c r="D101" s="188"/>
      <c r="E101" s="34"/>
      <c r="F101" s="34"/>
      <c r="G101" s="34"/>
      <c r="H101" s="34"/>
      <c r="I101" s="34"/>
      <c r="J101" s="44"/>
      <c r="K101" s="34"/>
      <c r="L101" s="34"/>
      <c r="M101" s="34"/>
      <c r="N101" s="34"/>
      <c r="O101" s="34"/>
    </row>
    <row r="102" spans="1:15" ht="12.75">
      <c r="A102" s="34"/>
      <c r="B102" s="34"/>
      <c r="C102" s="34"/>
      <c r="D102" s="188"/>
      <c r="E102" s="34"/>
      <c r="F102" s="34"/>
      <c r="G102" s="34"/>
      <c r="H102" s="34"/>
      <c r="I102" s="34"/>
      <c r="J102" s="44"/>
      <c r="K102" s="34"/>
      <c r="L102" s="34"/>
      <c r="M102" s="34"/>
      <c r="N102" s="34"/>
      <c r="O102" s="34"/>
    </row>
    <row r="103" spans="1:15" ht="12.75">
      <c r="A103" s="34"/>
      <c r="B103" s="34"/>
      <c r="C103" s="34"/>
      <c r="D103" s="188"/>
      <c r="E103" s="34"/>
      <c r="F103" s="34"/>
      <c r="G103" s="34"/>
      <c r="H103" s="34"/>
      <c r="I103" s="34"/>
      <c r="J103" s="44"/>
      <c r="K103" s="34"/>
      <c r="L103" s="34"/>
      <c r="M103" s="34"/>
      <c r="N103" s="34"/>
      <c r="O103" s="34"/>
    </row>
    <row r="104" spans="1:15" ht="12.75">
      <c r="A104" s="34"/>
      <c r="B104" s="34"/>
      <c r="C104" s="34"/>
      <c r="D104" s="188"/>
      <c r="E104" s="34"/>
      <c r="F104" s="34"/>
      <c r="G104" s="34"/>
      <c r="H104" s="34"/>
      <c r="I104" s="34"/>
      <c r="J104" s="44"/>
      <c r="K104" s="34"/>
      <c r="L104" s="34"/>
      <c r="M104" s="34"/>
      <c r="N104" s="34"/>
      <c r="O104" s="34"/>
    </row>
    <row r="105" spans="1:15" ht="12.75">
      <c r="A105" s="34"/>
      <c r="B105" s="34"/>
      <c r="C105" s="34"/>
      <c r="D105" s="188"/>
      <c r="E105" s="34"/>
      <c r="F105" s="34"/>
      <c r="G105" s="34"/>
      <c r="H105" s="34"/>
      <c r="I105" s="34"/>
      <c r="J105" s="44"/>
      <c r="K105" s="34"/>
      <c r="L105" s="34"/>
      <c r="M105" s="34"/>
      <c r="N105" s="34"/>
      <c r="O105" s="34"/>
    </row>
    <row r="106" spans="1:15" ht="12.75">
      <c r="A106" s="34"/>
      <c r="B106" s="34"/>
      <c r="C106" s="34"/>
      <c r="D106" s="188"/>
      <c r="E106" s="34"/>
      <c r="F106" s="34"/>
      <c r="G106" s="34"/>
      <c r="H106" s="34"/>
      <c r="I106" s="34"/>
      <c r="J106" s="44"/>
      <c r="K106" s="34"/>
      <c r="L106" s="34"/>
      <c r="M106" s="34"/>
      <c r="N106" s="34"/>
      <c r="O106" s="34"/>
    </row>
    <row r="107" spans="1:15" ht="12.75">
      <c r="A107" s="34"/>
      <c r="B107" s="34"/>
      <c r="C107" s="34"/>
      <c r="D107" s="188"/>
      <c r="E107" s="34"/>
      <c r="F107" s="34"/>
      <c r="G107" s="34"/>
      <c r="H107" s="34"/>
      <c r="I107" s="34"/>
      <c r="J107" s="44"/>
      <c r="K107" s="34"/>
      <c r="L107" s="34"/>
      <c r="M107" s="34"/>
      <c r="N107" s="34"/>
      <c r="O107" s="34"/>
    </row>
    <row r="108" spans="1:15" ht="12.75">
      <c r="A108" s="34"/>
      <c r="B108" s="34"/>
      <c r="C108" s="34"/>
      <c r="D108" s="188"/>
      <c r="E108" s="34"/>
      <c r="F108" s="34"/>
      <c r="G108" s="34"/>
      <c r="H108" s="34"/>
      <c r="I108" s="34"/>
      <c r="J108" s="44"/>
      <c r="K108" s="34"/>
      <c r="L108" s="34"/>
      <c r="M108" s="34"/>
      <c r="N108" s="34"/>
      <c r="O108" s="34"/>
    </row>
    <row r="109" spans="1:15" ht="12.75">
      <c r="A109" s="34"/>
      <c r="B109" s="34"/>
      <c r="C109" s="34"/>
      <c r="D109" s="188"/>
      <c r="E109" s="34"/>
      <c r="F109" s="34"/>
      <c r="G109" s="34"/>
      <c r="H109" s="34"/>
      <c r="I109" s="34"/>
      <c r="J109" s="44"/>
      <c r="K109" s="34"/>
      <c r="L109" s="34"/>
      <c r="M109" s="34"/>
      <c r="N109" s="34"/>
      <c r="O109" s="34"/>
    </row>
    <row r="110" spans="1:15" ht="12.75">
      <c r="A110" s="34"/>
      <c r="B110" s="34"/>
      <c r="C110" s="34"/>
      <c r="D110" s="188"/>
      <c r="E110" s="34"/>
      <c r="F110" s="34"/>
      <c r="G110" s="34"/>
      <c r="H110" s="34"/>
      <c r="I110" s="34"/>
      <c r="J110" s="44"/>
      <c r="K110" s="34"/>
      <c r="L110" s="34"/>
      <c r="M110" s="34"/>
      <c r="N110" s="34"/>
      <c r="O110" s="34"/>
    </row>
    <row r="111" spans="1:15" ht="12.75">
      <c r="A111" s="34"/>
      <c r="B111" s="34"/>
      <c r="C111" s="34"/>
      <c r="D111" s="188"/>
      <c r="E111" s="34"/>
      <c r="F111" s="34"/>
      <c r="G111" s="34"/>
      <c r="H111" s="34"/>
      <c r="I111" s="34"/>
      <c r="J111" s="44"/>
      <c r="K111" s="34"/>
      <c r="L111" s="34"/>
      <c r="M111" s="34"/>
      <c r="N111" s="34"/>
      <c r="O111" s="34"/>
    </row>
    <row r="112" spans="1:15" ht="12.75">
      <c r="A112" s="34"/>
      <c r="B112" s="34"/>
      <c r="C112" s="34"/>
      <c r="D112" s="188"/>
      <c r="E112" s="34"/>
      <c r="F112" s="34"/>
      <c r="G112" s="34"/>
      <c r="H112" s="34"/>
      <c r="I112" s="34"/>
      <c r="J112" s="44"/>
      <c r="K112" s="34"/>
      <c r="L112" s="34"/>
      <c r="M112" s="34"/>
      <c r="N112" s="34"/>
      <c r="O112" s="34"/>
    </row>
    <row r="113" spans="1:15" ht="12.75">
      <c r="A113" s="34"/>
      <c r="B113" s="34"/>
      <c r="C113" s="34"/>
      <c r="D113" s="188"/>
      <c r="E113" s="34"/>
      <c r="F113" s="34"/>
      <c r="G113" s="34"/>
      <c r="H113" s="34"/>
      <c r="I113" s="34"/>
      <c r="J113" s="44"/>
      <c r="K113" s="34"/>
      <c r="L113" s="34"/>
      <c r="M113" s="34"/>
      <c r="N113" s="34"/>
      <c r="O113" s="34"/>
    </row>
    <row r="114" spans="1:15" ht="12.75">
      <c r="A114" s="34"/>
      <c r="B114" s="34"/>
      <c r="C114" s="34"/>
      <c r="D114" s="188"/>
      <c r="E114" s="34"/>
      <c r="F114" s="34"/>
      <c r="G114" s="34"/>
      <c r="H114" s="34"/>
      <c r="I114" s="34"/>
      <c r="J114" s="44"/>
      <c r="K114" s="34"/>
      <c r="L114" s="34"/>
      <c r="M114" s="34"/>
      <c r="N114" s="34"/>
      <c r="O114" s="34"/>
    </row>
    <row r="115" spans="1:15" ht="12.75">
      <c r="A115" s="34"/>
      <c r="B115" s="34"/>
      <c r="C115" s="34"/>
      <c r="D115" s="188"/>
      <c r="E115" s="34"/>
      <c r="F115" s="34"/>
      <c r="G115" s="34"/>
      <c r="H115" s="34"/>
      <c r="I115" s="34"/>
      <c r="J115" s="44"/>
      <c r="K115" s="34"/>
      <c r="L115" s="34"/>
      <c r="M115" s="34"/>
      <c r="N115" s="34"/>
      <c r="O115" s="34"/>
    </row>
    <row r="116" spans="1:15" ht="12.75">
      <c r="A116" s="34"/>
      <c r="B116" s="34"/>
      <c r="C116" s="34"/>
      <c r="D116" s="188"/>
      <c r="E116" s="34"/>
      <c r="F116" s="34"/>
      <c r="G116" s="34"/>
      <c r="H116" s="34"/>
      <c r="I116" s="34"/>
      <c r="J116" s="44"/>
      <c r="K116" s="34"/>
      <c r="L116" s="34"/>
      <c r="M116" s="34"/>
      <c r="N116" s="34"/>
      <c r="O116" s="34"/>
    </row>
    <row r="117" spans="1:15" ht="12.75">
      <c r="A117" s="34"/>
      <c r="B117" s="34"/>
      <c r="C117" s="34"/>
      <c r="D117" s="188"/>
      <c r="E117" s="34"/>
      <c r="F117" s="34"/>
      <c r="G117" s="34"/>
      <c r="H117" s="34"/>
      <c r="I117" s="34"/>
      <c r="J117" s="44"/>
      <c r="K117" s="34"/>
      <c r="L117" s="34"/>
      <c r="M117" s="34"/>
      <c r="N117" s="34"/>
      <c r="O117" s="34"/>
    </row>
    <row r="118" spans="1:15" ht="12.75">
      <c r="A118" s="34"/>
      <c r="B118" s="34"/>
      <c r="C118" s="34"/>
      <c r="D118" s="188"/>
      <c r="E118" s="34"/>
      <c r="F118" s="34"/>
      <c r="G118" s="34"/>
      <c r="H118" s="34"/>
      <c r="I118" s="34"/>
      <c r="J118" s="44"/>
      <c r="K118" s="34"/>
      <c r="L118" s="34"/>
      <c r="M118" s="34"/>
      <c r="N118" s="34"/>
      <c r="O118" s="34"/>
    </row>
    <row r="119" spans="1:15" ht="12.75">
      <c r="A119" s="34"/>
      <c r="B119" s="34"/>
      <c r="C119" s="34"/>
      <c r="D119" s="188"/>
      <c r="E119" s="34"/>
      <c r="F119" s="34"/>
      <c r="G119" s="34"/>
      <c r="H119" s="34"/>
      <c r="I119" s="34"/>
      <c r="J119" s="44"/>
      <c r="K119" s="34"/>
      <c r="L119" s="34"/>
      <c r="M119" s="34"/>
      <c r="N119" s="34"/>
      <c r="O119" s="34"/>
    </row>
    <row r="120" spans="1:15" ht="12.75">
      <c r="A120" s="34"/>
      <c r="B120" s="34"/>
      <c r="C120" s="34"/>
      <c r="D120" s="188"/>
      <c r="E120" s="34"/>
      <c r="F120" s="34"/>
      <c r="G120" s="34"/>
      <c r="H120" s="34"/>
      <c r="I120" s="34"/>
      <c r="J120" s="44"/>
      <c r="K120" s="34"/>
      <c r="L120" s="34"/>
      <c r="M120" s="34"/>
      <c r="N120" s="34"/>
      <c r="O120" s="34"/>
    </row>
    <row r="121" spans="1:15" ht="12.75">
      <c r="A121" s="34"/>
      <c r="B121" s="34"/>
      <c r="C121" s="34"/>
      <c r="D121" s="188"/>
      <c r="E121" s="34"/>
      <c r="F121" s="34"/>
      <c r="G121" s="34"/>
      <c r="H121" s="34"/>
      <c r="I121" s="34"/>
      <c r="J121" s="44"/>
      <c r="K121" s="34"/>
      <c r="L121" s="34"/>
      <c r="M121" s="34"/>
      <c r="N121" s="34"/>
      <c r="O121" s="34"/>
    </row>
    <row r="122" spans="1:15" ht="12.75">
      <c r="A122" s="34"/>
      <c r="B122" s="34"/>
      <c r="C122" s="34"/>
      <c r="D122" s="188"/>
      <c r="E122" s="34"/>
      <c r="F122" s="34"/>
      <c r="G122" s="34"/>
      <c r="H122" s="34"/>
      <c r="I122" s="34"/>
      <c r="J122" s="44"/>
      <c r="K122" s="34"/>
      <c r="L122" s="34"/>
      <c r="M122" s="34"/>
      <c r="N122" s="34"/>
      <c r="O122" s="34"/>
    </row>
    <row r="123" spans="1:15" ht="12.75">
      <c r="A123" s="34"/>
      <c r="B123" s="34"/>
      <c r="C123" s="34"/>
      <c r="D123" s="188"/>
      <c r="E123" s="34"/>
      <c r="F123" s="34"/>
      <c r="G123" s="34"/>
      <c r="H123" s="34"/>
      <c r="I123" s="34"/>
      <c r="J123" s="44"/>
      <c r="K123" s="34"/>
      <c r="L123" s="34"/>
      <c r="M123" s="34"/>
      <c r="N123" s="34"/>
      <c r="O123" s="34"/>
    </row>
    <row r="124" spans="1:15" ht="12.75">
      <c r="A124" s="34"/>
      <c r="B124" s="34"/>
      <c r="C124" s="34"/>
      <c r="D124" s="188"/>
      <c r="E124" s="34"/>
      <c r="F124" s="34"/>
      <c r="G124" s="34"/>
      <c r="H124" s="34"/>
      <c r="I124" s="34"/>
      <c r="J124" s="44"/>
      <c r="K124" s="34"/>
      <c r="L124" s="34"/>
      <c r="M124" s="34"/>
      <c r="N124" s="34"/>
      <c r="O124" s="34"/>
    </row>
    <row r="125" spans="1:15" ht="12.75">
      <c r="A125" s="34"/>
      <c r="B125" s="34"/>
      <c r="C125" s="34"/>
      <c r="D125" s="188"/>
      <c r="E125" s="34"/>
      <c r="F125" s="34"/>
      <c r="G125" s="34"/>
      <c r="H125" s="34"/>
      <c r="I125" s="34"/>
      <c r="J125" s="44"/>
      <c r="K125" s="34"/>
      <c r="L125" s="34"/>
      <c r="M125" s="34"/>
      <c r="N125" s="34"/>
      <c r="O125" s="34"/>
    </row>
    <row r="126" spans="1:15" ht="12.75">
      <c r="A126" s="34"/>
      <c r="B126" s="34"/>
      <c r="C126" s="34"/>
      <c r="D126" s="188"/>
      <c r="E126" s="34"/>
      <c r="F126" s="34"/>
      <c r="G126" s="34"/>
      <c r="H126" s="34"/>
      <c r="I126" s="34"/>
      <c r="J126" s="44"/>
      <c r="K126" s="34"/>
      <c r="L126" s="34"/>
      <c r="M126" s="34"/>
      <c r="N126" s="34"/>
      <c r="O126" s="34"/>
    </row>
    <row r="127" spans="1:15" ht="12.75">
      <c r="A127" s="34"/>
      <c r="B127" s="34"/>
      <c r="C127" s="34"/>
      <c r="D127" s="188"/>
      <c r="E127" s="34"/>
      <c r="F127" s="34"/>
      <c r="G127" s="34"/>
      <c r="H127" s="34"/>
      <c r="I127" s="34"/>
      <c r="J127" s="44"/>
      <c r="K127" s="34"/>
      <c r="L127" s="34"/>
      <c r="M127" s="34"/>
      <c r="N127" s="34"/>
      <c r="O127" s="34"/>
    </row>
    <row r="128" spans="1:15" ht="12.75">
      <c r="A128" s="34"/>
      <c r="B128" s="34"/>
      <c r="C128" s="34"/>
      <c r="D128" s="188"/>
      <c r="E128" s="34"/>
      <c r="F128" s="34"/>
      <c r="G128" s="34"/>
      <c r="H128" s="34"/>
      <c r="I128" s="34"/>
      <c r="J128" s="44"/>
      <c r="K128" s="34"/>
      <c r="L128" s="34"/>
      <c r="M128" s="34"/>
      <c r="N128" s="34"/>
      <c r="O128" s="34"/>
    </row>
    <row r="129" spans="1:15" ht="12.75">
      <c r="A129" s="34"/>
      <c r="B129" s="34"/>
      <c r="C129" s="34"/>
      <c r="D129" s="188"/>
      <c r="E129" s="34"/>
      <c r="F129" s="34"/>
      <c r="G129" s="34"/>
      <c r="H129" s="34"/>
      <c r="I129" s="34"/>
      <c r="J129" s="44"/>
      <c r="K129" s="34"/>
      <c r="L129" s="34"/>
      <c r="M129" s="34"/>
      <c r="N129" s="34"/>
      <c r="O129" s="34"/>
    </row>
    <row r="130" spans="1:15" ht="12.75">
      <c r="A130" s="34"/>
      <c r="B130" s="34"/>
      <c r="C130" s="34"/>
      <c r="D130" s="188"/>
      <c r="E130" s="34"/>
      <c r="F130" s="34"/>
      <c r="G130" s="34"/>
      <c r="H130" s="34"/>
      <c r="I130" s="34"/>
      <c r="J130" s="44"/>
      <c r="K130" s="34"/>
      <c r="L130" s="34"/>
      <c r="M130" s="34"/>
      <c r="N130" s="34"/>
      <c r="O130" s="34"/>
    </row>
    <row r="131" spans="1:15" ht="12.75">
      <c r="A131" s="34"/>
      <c r="B131" s="34"/>
      <c r="C131" s="34"/>
      <c r="D131" s="188"/>
      <c r="E131" s="34"/>
      <c r="F131" s="34"/>
      <c r="G131" s="34"/>
      <c r="H131" s="34"/>
      <c r="I131" s="34"/>
      <c r="J131" s="44"/>
      <c r="K131" s="34"/>
      <c r="L131" s="34"/>
      <c r="M131" s="34"/>
      <c r="N131" s="34"/>
      <c r="O131" s="34"/>
    </row>
    <row r="132" spans="1:15" ht="12.75">
      <c r="A132" s="34"/>
      <c r="B132" s="34"/>
      <c r="C132" s="34"/>
      <c r="D132" s="188"/>
      <c r="E132" s="34"/>
      <c r="F132" s="34"/>
      <c r="G132" s="34"/>
      <c r="H132" s="34"/>
      <c r="I132" s="34"/>
      <c r="J132" s="44"/>
      <c r="K132" s="34"/>
      <c r="L132" s="34"/>
      <c r="M132" s="34"/>
      <c r="N132" s="34"/>
      <c r="O132" s="34"/>
    </row>
    <row r="133" spans="1:15" ht="12.75">
      <c r="A133" s="34"/>
      <c r="B133" s="34"/>
      <c r="C133" s="34"/>
      <c r="D133" s="188"/>
      <c r="E133" s="34"/>
      <c r="F133" s="34"/>
      <c r="G133" s="34"/>
      <c r="H133" s="34"/>
      <c r="I133" s="34"/>
      <c r="J133" s="44"/>
      <c r="K133" s="34"/>
      <c r="L133" s="34"/>
      <c r="M133" s="34"/>
      <c r="N133" s="34"/>
      <c r="O133" s="34"/>
    </row>
    <row r="134" spans="1:15" ht="12.75">
      <c r="A134" s="34"/>
      <c r="B134" s="34"/>
      <c r="C134" s="34"/>
      <c r="D134" s="188"/>
      <c r="E134" s="34"/>
      <c r="F134" s="34"/>
      <c r="G134" s="34"/>
      <c r="H134" s="34"/>
      <c r="I134" s="34"/>
      <c r="J134" s="44"/>
      <c r="K134" s="34"/>
      <c r="L134" s="34"/>
      <c r="M134" s="34"/>
      <c r="N134" s="34"/>
      <c r="O134" s="34"/>
    </row>
    <row r="135" spans="1:15" ht="12.75">
      <c r="A135" s="34"/>
      <c r="B135" s="34"/>
      <c r="C135" s="34"/>
      <c r="D135" s="188"/>
      <c r="E135" s="34"/>
      <c r="F135" s="34"/>
      <c r="G135" s="34"/>
      <c r="H135" s="34"/>
      <c r="I135" s="34"/>
      <c r="J135" s="44"/>
      <c r="K135" s="34"/>
      <c r="L135" s="34"/>
      <c r="M135" s="34"/>
      <c r="N135" s="34"/>
      <c r="O135" s="34"/>
    </row>
    <row r="136" spans="1:15" ht="12.75">
      <c r="A136" s="34"/>
      <c r="B136" s="34"/>
      <c r="C136" s="34"/>
      <c r="D136" s="188"/>
      <c r="E136" s="34"/>
      <c r="F136" s="34"/>
      <c r="G136" s="34"/>
      <c r="H136" s="34"/>
      <c r="I136" s="34"/>
      <c r="J136" s="44"/>
      <c r="K136" s="34"/>
      <c r="L136" s="34"/>
      <c r="M136" s="34"/>
      <c r="N136" s="34"/>
      <c r="O136" s="34"/>
    </row>
    <row r="137" spans="1:15" ht="12.75">
      <c r="A137" s="34"/>
      <c r="B137" s="34"/>
      <c r="C137" s="34"/>
      <c r="D137" s="188"/>
      <c r="E137" s="34"/>
      <c r="F137" s="34"/>
      <c r="G137" s="34"/>
      <c r="H137" s="34"/>
      <c r="I137" s="34"/>
      <c r="J137" s="44"/>
      <c r="K137" s="34"/>
      <c r="L137" s="34"/>
      <c r="M137" s="34"/>
      <c r="N137" s="34"/>
      <c r="O137" s="34"/>
    </row>
    <row r="138" spans="1:15" ht="12.75">
      <c r="A138" s="34"/>
      <c r="B138" s="34"/>
      <c r="C138" s="34"/>
      <c r="D138" s="188"/>
      <c r="E138" s="34"/>
      <c r="F138" s="34"/>
      <c r="G138" s="34"/>
      <c r="H138" s="34"/>
      <c r="I138" s="34"/>
      <c r="J138" s="44"/>
      <c r="K138" s="34"/>
      <c r="L138" s="34"/>
      <c r="M138" s="34"/>
      <c r="N138" s="34"/>
      <c r="O138" s="34"/>
    </row>
    <row r="139" spans="1:15" ht="12.75">
      <c r="A139" s="34"/>
      <c r="B139" s="34"/>
      <c r="C139" s="34"/>
      <c r="D139" s="188"/>
      <c r="E139" s="34"/>
      <c r="F139" s="34"/>
      <c r="G139" s="34"/>
      <c r="H139" s="34"/>
      <c r="I139" s="34"/>
      <c r="J139" s="44"/>
      <c r="K139" s="34"/>
      <c r="L139" s="34"/>
      <c r="M139" s="34"/>
      <c r="N139" s="34"/>
      <c r="O139" s="34"/>
    </row>
    <row r="140" spans="1:15" ht="12.75">
      <c r="A140" s="34"/>
      <c r="B140" s="34"/>
      <c r="C140" s="34"/>
      <c r="D140" s="188"/>
      <c r="E140" s="34"/>
      <c r="F140" s="34"/>
      <c r="G140" s="34"/>
      <c r="H140" s="34"/>
      <c r="I140" s="34"/>
      <c r="J140" s="44"/>
      <c r="K140" s="34"/>
      <c r="L140" s="34"/>
      <c r="M140" s="34"/>
      <c r="N140" s="34"/>
      <c r="O140" s="34"/>
    </row>
    <row r="141" spans="1:15" ht="12.75">
      <c r="A141" s="34"/>
      <c r="B141" s="34"/>
      <c r="C141" s="34"/>
      <c r="D141" s="188"/>
      <c r="E141" s="34"/>
      <c r="F141" s="34"/>
      <c r="G141" s="34"/>
      <c r="H141" s="34"/>
      <c r="I141" s="34"/>
      <c r="J141" s="44"/>
      <c r="K141" s="34"/>
      <c r="L141" s="34"/>
      <c r="M141" s="34"/>
      <c r="N141" s="34"/>
      <c r="O141" s="34"/>
    </row>
    <row r="142" spans="1:15" ht="12.75">
      <c r="A142" s="34"/>
      <c r="B142" s="34"/>
      <c r="C142" s="34"/>
      <c r="D142" s="188"/>
      <c r="E142" s="34"/>
      <c r="F142" s="34"/>
      <c r="G142" s="34"/>
      <c r="H142" s="34"/>
      <c r="I142" s="34"/>
      <c r="J142" s="44"/>
      <c r="K142" s="34"/>
      <c r="L142" s="34"/>
      <c r="M142" s="34"/>
      <c r="N142" s="34"/>
      <c r="O142" s="34"/>
    </row>
    <row r="143" spans="1:15" ht="12.75">
      <c r="A143" s="34"/>
      <c r="B143" s="34"/>
      <c r="C143" s="34"/>
      <c r="D143" s="188"/>
      <c r="E143" s="34"/>
      <c r="F143" s="34"/>
      <c r="G143" s="34"/>
      <c r="H143" s="34"/>
      <c r="I143" s="34"/>
      <c r="J143" s="44"/>
      <c r="K143" s="34"/>
      <c r="L143" s="34"/>
      <c r="M143" s="34"/>
      <c r="N143" s="34"/>
      <c r="O143" s="34"/>
    </row>
    <row r="144" spans="1:15" ht="12.75">
      <c r="A144" s="34"/>
      <c r="B144" s="34"/>
      <c r="C144" s="34"/>
      <c r="D144" s="188"/>
      <c r="E144" s="34"/>
      <c r="F144" s="34"/>
      <c r="G144" s="34"/>
      <c r="H144" s="34"/>
      <c r="I144" s="34"/>
      <c r="J144" s="44"/>
      <c r="K144" s="34"/>
      <c r="L144" s="34"/>
      <c r="M144" s="34"/>
      <c r="N144" s="34"/>
      <c r="O144" s="34"/>
    </row>
    <row r="145" spans="1:15" ht="12.75">
      <c r="A145" s="34"/>
      <c r="B145" s="34"/>
      <c r="C145" s="34"/>
      <c r="D145" s="188"/>
      <c r="E145" s="34"/>
      <c r="F145" s="34"/>
      <c r="G145" s="34"/>
      <c r="H145" s="34"/>
      <c r="I145" s="34"/>
      <c r="J145" s="44"/>
      <c r="K145" s="34"/>
      <c r="L145" s="34"/>
      <c r="M145" s="34"/>
      <c r="N145" s="34"/>
      <c r="O145" s="34"/>
    </row>
    <row r="146" spans="1:15" ht="12.75">
      <c r="A146" s="34"/>
      <c r="B146" s="34"/>
      <c r="C146" s="34"/>
      <c r="D146" s="188"/>
      <c r="E146" s="34"/>
      <c r="F146" s="34"/>
      <c r="G146" s="34"/>
      <c r="H146" s="34"/>
      <c r="I146" s="34"/>
      <c r="J146" s="44"/>
      <c r="K146" s="34"/>
      <c r="L146" s="34"/>
      <c r="M146" s="34"/>
      <c r="N146" s="34"/>
      <c r="O146" s="34"/>
    </row>
    <row r="147" spans="1:15" ht="12.75">
      <c r="A147" s="34"/>
      <c r="B147" s="34"/>
      <c r="C147" s="34"/>
      <c r="D147" s="188"/>
      <c r="E147" s="34"/>
      <c r="F147" s="34"/>
      <c r="G147" s="34"/>
      <c r="H147" s="34"/>
      <c r="I147" s="34"/>
      <c r="J147" s="44"/>
      <c r="K147" s="34"/>
      <c r="L147" s="34"/>
      <c r="M147" s="34"/>
      <c r="N147" s="34"/>
      <c r="O147" s="34"/>
    </row>
    <row r="148" spans="1:15" ht="12.75">
      <c r="A148" s="34"/>
      <c r="B148" s="34"/>
      <c r="C148" s="34"/>
      <c r="D148" s="188"/>
      <c r="E148" s="34"/>
      <c r="F148" s="34"/>
      <c r="G148" s="34"/>
      <c r="H148" s="34"/>
      <c r="I148" s="34"/>
      <c r="J148" s="44"/>
      <c r="K148" s="34"/>
      <c r="L148" s="34"/>
      <c r="M148" s="34"/>
      <c r="N148" s="34"/>
      <c r="O148" s="34"/>
    </row>
    <row r="149" spans="1:15" ht="12.75">
      <c r="A149" s="34"/>
      <c r="B149" s="34"/>
      <c r="C149" s="34"/>
      <c r="D149" s="188"/>
      <c r="E149" s="34"/>
      <c r="F149" s="34"/>
      <c r="G149" s="34"/>
      <c r="H149" s="34"/>
      <c r="I149" s="34"/>
      <c r="J149" s="44"/>
      <c r="K149" s="34"/>
      <c r="L149" s="34"/>
      <c r="M149" s="34"/>
      <c r="N149" s="34"/>
      <c r="O149" s="34"/>
    </row>
    <row r="150" spans="1:15" ht="12.75">
      <c r="A150" s="34"/>
      <c r="B150" s="34"/>
      <c r="C150" s="34"/>
      <c r="D150" s="188"/>
      <c r="E150" s="34"/>
      <c r="F150" s="34"/>
      <c r="G150" s="34"/>
      <c r="H150" s="34"/>
      <c r="I150" s="34"/>
      <c r="J150" s="44"/>
      <c r="K150" s="34"/>
      <c r="L150" s="34"/>
      <c r="M150" s="34"/>
      <c r="N150" s="34"/>
      <c r="O150" s="34"/>
    </row>
    <row r="151" spans="1:15" ht="12.75">
      <c r="A151" s="34"/>
      <c r="B151" s="34"/>
      <c r="C151" s="34"/>
      <c r="D151" s="188"/>
      <c r="E151" s="34"/>
      <c r="F151" s="34"/>
      <c r="G151" s="34"/>
      <c r="H151" s="34"/>
      <c r="I151" s="34"/>
      <c r="J151" s="44"/>
      <c r="K151" s="34"/>
      <c r="L151" s="34"/>
      <c r="M151" s="34"/>
      <c r="N151" s="34"/>
      <c r="O151" s="34"/>
    </row>
  </sheetData>
  <hyperlinks>
    <hyperlink ref="B2" r:id="rId1" xr:uid="{00000000-0004-0000-2200-000000000000}"/>
    <hyperlink ref="O2" r:id="rId2" xr:uid="{00000000-0004-0000-2200-000001000000}"/>
    <hyperlink ref="B3" r:id="rId3" xr:uid="{00000000-0004-0000-2200-000002000000}"/>
    <hyperlink ref="O3" r:id="rId4" xr:uid="{00000000-0004-0000-2200-000003000000}"/>
    <hyperlink ref="B4" r:id="rId5" xr:uid="{00000000-0004-0000-2200-000004000000}"/>
    <hyperlink ref="O4" r:id="rId6" xr:uid="{00000000-0004-0000-2200-000005000000}"/>
    <hyperlink ref="B5" r:id="rId7" xr:uid="{00000000-0004-0000-2200-000006000000}"/>
    <hyperlink ref="O5" r:id="rId8" xr:uid="{00000000-0004-0000-2200-000007000000}"/>
    <hyperlink ref="B6" r:id="rId9" xr:uid="{00000000-0004-0000-2200-000008000000}"/>
    <hyperlink ref="O6" r:id="rId10" xr:uid="{00000000-0004-0000-2200-000009000000}"/>
    <hyperlink ref="B7" r:id="rId11" xr:uid="{00000000-0004-0000-2200-00000A000000}"/>
    <hyperlink ref="O7" r:id="rId12" xr:uid="{00000000-0004-0000-2200-00000B000000}"/>
    <hyperlink ref="B8" r:id="rId13" xr:uid="{00000000-0004-0000-2200-00000C000000}"/>
    <hyperlink ref="O8" r:id="rId14" xr:uid="{00000000-0004-0000-2200-00000D000000}"/>
    <hyperlink ref="B9" r:id="rId15" xr:uid="{00000000-0004-0000-2200-00000E000000}"/>
    <hyperlink ref="O9" r:id="rId16" xr:uid="{00000000-0004-0000-2200-00000F000000}"/>
    <hyperlink ref="B10" r:id="rId17" xr:uid="{00000000-0004-0000-2200-000010000000}"/>
    <hyperlink ref="O10" r:id="rId18" xr:uid="{00000000-0004-0000-2200-000011000000}"/>
    <hyperlink ref="B11" r:id="rId19" xr:uid="{00000000-0004-0000-2200-000012000000}"/>
    <hyperlink ref="O11" r:id="rId20" xr:uid="{00000000-0004-0000-2200-000013000000}"/>
    <hyperlink ref="B12" r:id="rId21" xr:uid="{00000000-0004-0000-2200-000014000000}"/>
    <hyperlink ref="O12" r:id="rId22" xr:uid="{00000000-0004-0000-2200-000015000000}"/>
    <hyperlink ref="B13" r:id="rId23" xr:uid="{00000000-0004-0000-2200-000016000000}"/>
    <hyperlink ref="O13" r:id="rId24" xr:uid="{00000000-0004-0000-2200-000017000000}"/>
    <hyperlink ref="B14" r:id="rId25" xr:uid="{00000000-0004-0000-2200-000018000000}"/>
    <hyperlink ref="O14" r:id="rId26" xr:uid="{00000000-0004-0000-2200-000019000000}"/>
    <hyperlink ref="B15" r:id="rId27" xr:uid="{00000000-0004-0000-2200-00001A000000}"/>
    <hyperlink ref="O15" r:id="rId28" xr:uid="{00000000-0004-0000-2200-00001B000000}"/>
    <hyperlink ref="B16" r:id="rId29" xr:uid="{00000000-0004-0000-2200-00001C000000}"/>
    <hyperlink ref="O16" r:id="rId30" xr:uid="{00000000-0004-0000-2200-00001D000000}"/>
    <hyperlink ref="B17" r:id="rId31" xr:uid="{00000000-0004-0000-2200-00001E000000}"/>
    <hyperlink ref="O17" r:id="rId32" xr:uid="{00000000-0004-0000-2200-00001F000000}"/>
    <hyperlink ref="B18" r:id="rId33" xr:uid="{00000000-0004-0000-2200-000020000000}"/>
    <hyperlink ref="O18" r:id="rId34" xr:uid="{00000000-0004-0000-2200-000021000000}"/>
    <hyperlink ref="B19" r:id="rId35" xr:uid="{00000000-0004-0000-2200-000022000000}"/>
    <hyperlink ref="O19" r:id="rId36" xr:uid="{00000000-0004-0000-2200-000023000000}"/>
    <hyperlink ref="B20" r:id="rId37" xr:uid="{00000000-0004-0000-2200-000024000000}"/>
    <hyperlink ref="O20" r:id="rId38" xr:uid="{00000000-0004-0000-2200-000025000000}"/>
    <hyperlink ref="B21" r:id="rId39" xr:uid="{00000000-0004-0000-2200-000026000000}"/>
    <hyperlink ref="O21" r:id="rId40" xr:uid="{00000000-0004-0000-2200-000027000000}"/>
    <hyperlink ref="B22" r:id="rId41" xr:uid="{00000000-0004-0000-2200-000028000000}"/>
    <hyperlink ref="O22" r:id="rId42" xr:uid="{00000000-0004-0000-2200-000029000000}"/>
    <hyperlink ref="B23" r:id="rId43" xr:uid="{00000000-0004-0000-2200-00002A000000}"/>
    <hyperlink ref="O23" r:id="rId44" xr:uid="{00000000-0004-0000-2200-00002B000000}"/>
    <hyperlink ref="B24" r:id="rId45" xr:uid="{00000000-0004-0000-2200-00002C000000}"/>
    <hyperlink ref="O24" r:id="rId46" xr:uid="{00000000-0004-0000-2200-00002D000000}"/>
    <hyperlink ref="B25" r:id="rId47" xr:uid="{00000000-0004-0000-2200-00002E000000}"/>
    <hyperlink ref="O25" r:id="rId48" xr:uid="{00000000-0004-0000-2200-00002F000000}"/>
    <hyperlink ref="B26" r:id="rId49" xr:uid="{00000000-0004-0000-2200-000030000000}"/>
    <hyperlink ref="O26" r:id="rId50" xr:uid="{00000000-0004-0000-2200-000031000000}"/>
    <hyperlink ref="B27" r:id="rId51" xr:uid="{00000000-0004-0000-2200-000032000000}"/>
    <hyperlink ref="O27" r:id="rId52" xr:uid="{00000000-0004-0000-2200-000033000000}"/>
    <hyperlink ref="B28" r:id="rId53" xr:uid="{00000000-0004-0000-2200-000034000000}"/>
    <hyperlink ref="O28" r:id="rId54" xr:uid="{00000000-0004-0000-2200-000035000000}"/>
    <hyperlink ref="B29" r:id="rId55" xr:uid="{00000000-0004-0000-2200-000036000000}"/>
    <hyperlink ref="O29" r:id="rId56" xr:uid="{00000000-0004-0000-2200-000037000000}"/>
    <hyperlink ref="B30" r:id="rId57" xr:uid="{00000000-0004-0000-2200-000038000000}"/>
    <hyperlink ref="O30" r:id="rId58" xr:uid="{00000000-0004-0000-2200-000039000000}"/>
    <hyperlink ref="B31" r:id="rId59" xr:uid="{00000000-0004-0000-2200-00003A000000}"/>
    <hyperlink ref="O31" r:id="rId60" xr:uid="{00000000-0004-0000-2200-00003B000000}"/>
    <hyperlink ref="B32" r:id="rId61" xr:uid="{00000000-0004-0000-2200-00003C000000}"/>
    <hyperlink ref="O32" r:id="rId62" xr:uid="{00000000-0004-0000-2200-00003D000000}"/>
    <hyperlink ref="B33" r:id="rId63" xr:uid="{00000000-0004-0000-2200-00003E000000}"/>
    <hyperlink ref="O33" r:id="rId64" xr:uid="{00000000-0004-0000-2200-00003F000000}"/>
    <hyperlink ref="B34" r:id="rId65" xr:uid="{00000000-0004-0000-2200-000040000000}"/>
    <hyperlink ref="O34" r:id="rId66" xr:uid="{00000000-0004-0000-2200-000041000000}"/>
    <hyperlink ref="B35" r:id="rId67" xr:uid="{00000000-0004-0000-2200-000042000000}"/>
    <hyperlink ref="O35" r:id="rId68" xr:uid="{00000000-0004-0000-2200-000043000000}"/>
    <hyperlink ref="B36" r:id="rId69" xr:uid="{00000000-0004-0000-2200-000044000000}"/>
    <hyperlink ref="O36" r:id="rId70" xr:uid="{00000000-0004-0000-2200-000045000000}"/>
    <hyperlink ref="B37" r:id="rId71" xr:uid="{00000000-0004-0000-2200-000046000000}"/>
    <hyperlink ref="O37" r:id="rId72" xr:uid="{00000000-0004-0000-2200-000047000000}"/>
    <hyperlink ref="B38" r:id="rId73" xr:uid="{00000000-0004-0000-2200-000048000000}"/>
    <hyperlink ref="O38" r:id="rId74" xr:uid="{00000000-0004-0000-2200-000049000000}"/>
    <hyperlink ref="B39" r:id="rId75" xr:uid="{00000000-0004-0000-2200-00004A000000}"/>
    <hyperlink ref="O39" r:id="rId76" xr:uid="{00000000-0004-0000-2200-00004B000000}"/>
    <hyperlink ref="B40" r:id="rId77" xr:uid="{00000000-0004-0000-2200-00004C000000}"/>
    <hyperlink ref="O40" r:id="rId78" xr:uid="{00000000-0004-0000-2200-00004D000000}"/>
    <hyperlink ref="B41" r:id="rId79" xr:uid="{00000000-0004-0000-2200-00004E000000}"/>
    <hyperlink ref="O41" r:id="rId80" xr:uid="{00000000-0004-0000-2200-00004F000000}"/>
    <hyperlink ref="B42" r:id="rId81" xr:uid="{00000000-0004-0000-2200-000050000000}"/>
    <hyperlink ref="O42" r:id="rId82" xr:uid="{00000000-0004-0000-2200-000051000000}"/>
    <hyperlink ref="O44" r:id="rId83" xr:uid="{00000000-0004-0000-2200-000052000000}"/>
    <hyperlink ref="O45" r:id="rId84" xr:uid="{00000000-0004-0000-2200-000053000000}"/>
    <hyperlink ref="O46" r:id="rId85" xr:uid="{00000000-0004-0000-2200-000054000000}"/>
    <hyperlink ref="O47" r:id="rId86" xr:uid="{00000000-0004-0000-2200-000055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D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2" max="3" width="35.140625" customWidth="1"/>
    <col min="4" max="4" width="48.140625" customWidth="1"/>
    <col min="5" max="6" width="55.42578125" customWidth="1"/>
    <col min="7" max="7" width="37" customWidth="1"/>
    <col min="8" max="8" width="19.7109375" customWidth="1"/>
    <col min="9" max="9" width="40.42578125" customWidth="1"/>
    <col min="10" max="10" width="25.85546875" customWidth="1"/>
    <col min="11" max="11" width="14.28515625" customWidth="1"/>
    <col min="12" max="12" width="15.5703125" customWidth="1"/>
    <col min="13" max="13" width="22.28515625" customWidth="1"/>
    <col min="14" max="14" width="15.5703125" customWidth="1"/>
    <col min="15" max="15" width="17.5703125" customWidth="1"/>
  </cols>
  <sheetData>
    <row r="1" spans="1:30" ht="25.5">
      <c r="A1" s="275" t="s">
        <v>10474</v>
      </c>
      <c r="B1" s="275" t="s">
        <v>5634</v>
      </c>
      <c r="C1" s="579" t="s">
        <v>5630</v>
      </c>
      <c r="D1" s="275" t="s">
        <v>9293</v>
      </c>
      <c r="E1" s="275" t="s">
        <v>6</v>
      </c>
      <c r="F1" s="275" t="s">
        <v>1822</v>
      </c>
      <c r="G1" s="275" t="s">
        <v>7</v>
      </c>
      <c r="H1" s="275" t="s">
        <v>7388</v>
      </c>
      <c r="I1" s="275" t="s">
        <v>8</v>
      </c>
      <c r="J1" s="275" t="s">
        <v>5627</v>
      </c>
      <c r="K1" s="275" t="s">
        <v>389</v>
      </c>
      <c r="L1" s="275" t="s">
        <v>4</v>
      </c>
      <c r="M1" s="275" t="s">
        <v>6060</v>
      </c>
      <c r="N1" s="275" t="s">
        <v>6413</v>
      </c>
      <c r="O1" s="275" t="s">
        <v>1821</v>
      </c>
      <c r="P1" s="601"/>
      <c r="Q1" s="601"/>
      <c r="R1" s="601"/>
      <c r="S1" s="601"/>
      <c r="T1" s="601"/>
      <c r="U1" s="601"/>
      <c r="V1" s="601"/>
      <c r="W1" s="601"/>
      <c r="X1" s="601"/>
      <c r="Y1" s="601"/>
      <c r="Z1" s="601"/>
      <c r="AA1" s="601"/>
      <c r="AB1" s="601"/>
      <c r="AC1" s="601"/>
      <c r="AD1" s="601"/>
    </row>
    <row r="2" spans="1:30" ht="38.25">
      <c r="A2" s="34" t="s">
        <v>10475</v>
      </c>
      <c r="B2" s="602" t="s">
        <v>10476</v>
      </c>
      <c r="C2" s="603" t="s">
        <v>10477</v>
      </c>
      <c r="D2" s="588" t="s">
        <v>10478</v>
      </c>
      <c r="E2" s="188" t="s">
        <v>10479</v>
      </c>
      <c r="F2" s="34"/>
      <c r="G2" s="188" t="s">
        <v>10480</v>
      </c>
      <c r="H2" s="34" t="s">
        <v>6179</v>
      </c>
      <c r="I2" s="34" t="s">
        <v>10481</v>
      </c>
      <c r="J2" s="34" t="s">
        <v>10482</v>
      </c>
      <c r="K2" s="44" t="s">
        <v>6872</v>
      </c>
      <c r="L2" s="105"/>
      <c r="M2" s="34" t="s">
        <v>6064</v>
      </c>
      <c r="N2" s="34"/>
      <c r="O2" s="34" t="s">
        <v>1828</v>
      </c>
    </row>
    <row r="3" spans="1:30" ht="38.25">
      <c r="A3" s="34" t="s">
        <v>10483</v>
      </c>
      <c r="B3" s="602" t="s">
        <v>10484</v>
      </c>
      <c r="C3" s="603" t="s">
        <v>10485</v>
      </c>
      <c r="D3" s="588" t="s">
        <v>10486</v>
      </c>
      <c r="E3" s="188" t="s">
        <v>10487</v>
      </c>
      <c r="F3" s="34"/>
      <c r="G3" s="188" t="s">
        <v>10488</v>
      </c>
      <c r="H3" s="34" t="s">
        <v>6179</v>
      </c>
      <c r="I3" s="34"/>
      <c r="J3" s="34" t="s">
        <v>10489</v>
      </c>
      <c r="K3" s="44" t="s">
        <v>6872</v>
      </c>
      <c r="L3" s="105"/>
      <c r="M3" s="34" t="s">
        <v>6064</v>
      </c>
      <c r="N3" s="34"/>
      <c r="O3" s="34" t="s">
        <v>2460</v>
      </c>
    </row>
    <row r="4" spans="1:30" ht="38.25">
      <c r="A4" s="34" t="s">
        <v>10490</v>
      </c>
      <c r="B4" s="602" t="s">
        <v>10491</v>
      </c>
      <c r="C4" s="603" t="s">
        <v>10492</v>
      </c>
      <c r="D4" s="588" t="s">
        <v>10493</v>
      </c>
      <c r="E4" s="584" t="s">
        <v>10494</v>
      </c>
      <c r="F4" s="583"/>
      <c r="G4" s="188" t="s">
        <v>10495</v>
      </c>
      <c r="H4" s="34" t="s">
        <v>6179</v>
      </c>
      <c r="I4" s="583" t="s">
        <v>10496</v>
      </c>
      <c r="J4" s="34" t="s">
        <v>10497</v>
      </c>
      <c r="K4" s="44" t="s">
        <v>6872</v>
      </c>
      <c r="L4" s="105"/>
      <c r="M4" s="34" t="s">
        <v>6064</v>
      </c>
      <c r="N4" s="34"/>
      <c r="O4" s="34" t="s">
        <v>2613</v>
      </c>
    </row>
    <row r="5" spans="1:30" ht="38.25">
      <c r="A5" s="34" t="s">
        <v>10498</v>
      </c>
      <c r="B5" s="602" t="s">
        <v>10499</v>
      </c>
      <c r="C5" s="603" t="s">
        <v>10500</v>
      </c>
      <c r="D5" s="588" t="s">
        <v>10478</v>
      </c>
      <c r="E5" s="188" t="s">
        <v>10501</v>
      </c>
      <c r="F5" s="34"/>
      <c r="G5" s="188" t="s">
        <v>10502</v>
      </c>
      <c r="H5" s="34" t="s">
        <v>6179</v>
      </c>
      <c r="I5" s="398" t="s">
        <v>10503</v>
      </c>
      <c r="J5" s="34" t="s">
        <v>10504</v>
      </c>
      <c r="K5" s="44" t="s">
        <v>6872</v>
      </c>
      <c r="L5" s="105"/>
      <c r="M5" s="34" t="s">
        <v>1824</v>
      </c>
      <c r="N5" s="34"/>
      <c r="O5" s="34" t="s">
        <v>1828</v>
      </c>
    </row>
    <row r="6" spans="1:30" ht="38.25">
      <c r="A6" s="34" t="s">
        <v>10505</v>
      </c>
      <c r="B6" s="604" t="s">
        <v>10506</v>
      </c>
      <c r="C6" s="562" t="s">
        <v>10507</v>
      </c>
      <c r="D6" s="588" t="s">
        <v>10478</v>
      </c>
      <c r="E6" s="188" t="s">
        <v>10501</v>
      </c>
      <c r="F6" s="34"/>
      <c r="G6" s="188" t="s">
        <v>10502</v>
      </c>
      <c r="H6" s="34" t="s">
        <v>6179</v>
      </c>
      <c r="I6" s="398" t="s">
        <v>10503</v>
      </c>
      <c r="J6" s="34" t="s">
        <v>10508</v>
      </c>
      <c r="K6" s="44" t="s">
        <v>6872</v>
      </c>
      <c r="L6" s="105"/>
      <c r="M6" s="34" t="s">
        <v>1824</v>
      </c>
      <c r="N6" s="34"/>
      <c r="O6" s="34" t="s">
        <v>1828</v>
      </c>
    </row>
    <row r="7" spans="1:30" ht="38.25">
      <c r="A7" s="34" t="s">
        <v>10509</v>
      </c>
      <c r="B7" s="34"/>
      <c r="C7" s="562" t="s">
        <v>10510</v>
      </c>
      <c r="D7" s="588" t="s">
        <v>10493</v>
      </c>
      <c r="E7" s="188" t="s">
        <v>10511</v>
      </c>
      <c r="F7" s="34"/>
      <c r="G7" s="188" t="s">
        <v>10512</v>
      </c>
      <c r="H7" s="34" t="s">
        <v>6179</v>
      </c>
      <c r="I7" s="589" t="s">
        <v>10513</v>
      </c>
      <c r="J7" s="34" t="s">
        <v>10514</v>
      </c>
      <c r="K7" s="44" t="s">
        <v>6872</v>
      </c>
      <c r="L7" s="105"/>
      <c r="M7" s="34" t="s">
        <v>6092</v>
      </c>
      <c r="N7" s="34"/>
      <c r="O7" s="34" t="s">
        <v>1828</v>
      </c>
    </row>
    <row r="8" spans="1:30" ht="38.25">
      <c r="A8" s="587">
        <v>38292</v>
      </c>
      <c r="B8" s="602" t="s">
        <v>10515</v>
      </c>
      <c r="C8" s="603" t="s">
        <v>10516</v>
      </c>
      <c r="D8" s="588" t="s">
        <v>10493</v>
      </c>
      <c r="E8" s="588" t="s">
        <v>10517</v>
      </c>
      <c r="F8" s="586"/>
      <c r="G8" s="188" t="s">
        <v>10518</v>
      </c>
      <c r="H8" s="34" t="s">
        <v>6132</v>
      </c>
      <c r="I8" s="335" t="s">
        <v>10519</v>
      </c>
      <c r="J8" s="34" t="s">
        <v>10520</v>
      </c>
      <c r="K8" s="44" t="s">
        <v>6872</v>
      </c>
      <c r="L8" s="105"/>
      <c r="M8" s="34" t="s">
        <v>6217</v>
      </c>
      <c r="N8" s="34"/>
      <c r="O8" s="34" t="s">
        <v>1828</v>
      </c>
    </row>
    <row r="9" spans="1:30" ht="38.25">
      <c r="A9" s="587">
        <v>38322</v>
      </c>
      <c r="B9" s="604" t="s">
        <v>10521</v>
      </c>
      <c r="C9" s="562" t="s">
        <v>10522</v>
      </c>
      <c r="D9" s="588" t="s">
        <v>10493</v>
      </c>
      <c r="E9" s="584" t="s">
        <v>10523</v>
      </c>
      <c r="F9" s="583"/>
      <c r="G9" s="584" t="s">
        <v>10117</v>
      </c>
      <c r="H9" s="34" t="s">
        <v>6132</v>
      </c>
      <c r="I9" s="398" t="s">
        <v>10524</v>
      </c>
      <c r="J9" s="583" t="s">
        <v>10520</v>
      </c>
      <c r="K9" s="44" t="s">
        <v>6872</v>
      </c>
      <c r="L9" s="105"/>
      <c r="M9" s="34" t="s">
        <v>6217</v>
      </c>
      <c r="N9" s="34"/>
      <c r="O9" s="34" t="s">
        <v>1828</v>
      </c>
    </row>
    <row r="10" spans="1:30" ht="38.25">
      <c r="A10" s="34" t="s">
        <v>10525</v>
      </c>
      <c r="B10" s="604" t="s">
        <v>10526</v>
      </c>
      <c r="C10" s="562" t="s">
        <v>10527</v>
      </c>
      <c r="D10" s="588" t="s">
        <v>10478</v>
      </c>
      <c r="E10" s="188" t="s">
        <v>10528</v>
      </c>
      <c r="F10" s="34"/>
      <c r="G10" s="188" t="s">
        <v>10529</v>
      </c>
      <c r="H10" s="34" t="s">
        <v>6132</v>
      </c>
      <c r="I10" s="398" t="s">
        <v>10530</v>
      </c>
      <c r="J10" s="34" t="s">
        <v>2453</v>
      </c>
      <c r="K10" s="44" t="s">
        <v>6872</v>
      </c>
      <c r="L10" s="105"/>
      <c r="M10" s="34" t="s">
        <v>6217</v>
      </c>
      <c r="N10" s="34"/>
      <c r="O10" s="34"/>
    </row>
    <row r="11" spans="1:30" ht="38.25">
      <c r="A11" s="34" t="s">
        <v>10531</v>
      </c>
      <c r="B11" s="602" t="s">
        <v>10532</v>
      </c>
      <c r="C11" s="603" t="s">
        <v>10533</v>
      </c>
      <c r="D11" s="588" t="s">
        <v>10493</v>
      </c>
      <c r="E11" s="188" t="s">
        <v>10534</v>
      </c>
      <c r="F11" s="34"/>
      <c r="G11" s="188" t="s">
        <v>10535</v>
      </c>
      <c r="H11" s="34" t="s">
        <v>6132</v>
      </c>
      <c r="I11" s="398" t="s">
        <v>10536</v>
      </c>
      <c r="J11" s="34" t="s">
        <v>10537</v>
      </c>
      <c r="K11" s="586" t="s">
        <v>6872</v>
      </c>
      <c r="L11" s="105"/>
      <c r="M11" s="34" t="s">
        <v>6137</v>
      </c>
      <c r="N11" s="34"/>
      <c r="O11" s="34" t="s">
        <v>2656</v>
      </c>
    </row>
    <row r="12" spans="1:30" ht="38.25">
      <c r="A12" s="34" t="s">
        <v>10538</v>
      </c>
      <c r="B12" s="602" t="s">
        <v>10539</v>
      </c>
      <c r="C12" s="603" t="s">
        <v>10540</v>
      </c>
      <c r="D12" s="588" t="s">
        <v>10478</v>
      </c>
      <c r="E12" s="188" t="s">
        <v>10541</v>
      </c>
      <c r="F12" s="34"/>
      <c r="G12" s="188" t="s">
        <v>10518</v>
      </c>
      <c r="H12" s="34" t="s">
        <v>6132</v>
      </c>
      <c r="I12" s="398" t="s">
        <v>10542</v>
      </c>
      <c r="J12" s="590" t="s">
        <v>10543</v>
      </c>
      <c r="K12" s="44" t="s">
        <v>6872</v>
      </c>
      <c r="L12" s="105"/>
      <c r="M12" s="34" t="s">
        <v>6137</v>
      </c>
      <c r="N12" s="34"/>
      <c r="O12" s="34" t="s">
        <v>1828</v>
      </c>
    </row>
    <row r="13" spans="1:30" ht="38.25">
      <c r="A13" s="34" t="s">
        <v>10544</v>
      </c>
      <c r="B13" s="602" t="s">
        <v>10545</v>
      </c>
      <c r="C13" s="603" t="s">
        <v>10546</v>
      </c>
      <c r="D13" s="588" t="s">
        <v>10486</v>
      </c>
      <c r="E13" s="188" t="s">
        <v>10547</v>
      </c>
      <c r="F13" s="34"/>
      <c r="G13" s="188" t="s">
        <v>10548</v>
      </c>
      <c r="H13" s="34" t="s">
        <v>6132</v>
      </c>
      <c r="I13" s="398"/>
      <c r="J13" s="34" t="s">
        <v>10482</v>
      </c>
      <c r="K13" s="44" t="s">
        <v>6872</v>
      </c>
      <c r="L13" s="105"/>
      <c r="M13" s="34" t="s">
        <v>6064</v>
      </c>
      <c r="N13" s="34"/>
      <c r="O13" s="34" t="s">
        <v>6783</v>
      </c>
    </row>
    <row r="14" spans="1:30" ht="51">
      <c r="A14" s="34" t="s">
        <v>10549</v>
      </c>
      <c r="B14" s="602" t="s">
        <v>10550</v>
      </c>
      <c r="C14" s="603" t="s">
        <v>10551</v>
      </c>
      <c r="D14" s="588" t="s">
        <v>10493</v>
      </c>
      <c r="E14" s="584" t="s">
        <v>10552</v>
      </c>
      <c r="F14" s="583"/>
      <c r="G14" s="188" t="s">
        <v>10553</v>
      </c>
      <c r="H14" s="34" t="s">
        <v>6132</v>
      </c>
      <c r="I14" s="34" t="s">
        <v>10554</v>
      </c>
      <c r="J14" s="34" t="s">
        <v>10555</v>
      </c>
      <c r="K14" s="586" t="s">
        <v>6872</v>
      </c>
      <c r="L14" s="105"/>
      <c r="M14" s="34" t="s">
        <v>6064</v>
      </c>
      <c r="N14" s="34"/>
      <c r="O14" s="34" t="s">
        <v>2609</v>
      </c>
    </row>
    <row r="15" spans="1:30" ht="38.25">
      <c r="A15" s="34" t="s">
        <v>10556</v>
      </c>
      <c r="B15" s="602" t="s">
        <v>10557</v>
      </c>
      <c r="C15" s="603" t="s">
        <v>10558</v>
      </c>
      <c r="D15" s="588" t="s">
        <v>10493</v>
      </c>
      <c r="E15" s="188" t="s">
        <v>10559</v>
      </c>
      <c r="F15" s="34"/>
      <c r="G15" s="188" t="s">
        <v>10560</v>
      </c>
      <c r="H15" s="34" t="s">
        <v>6132</v>
      </c>
      <c r="I15" s="34"/>
      <c r="J15" s="34" t="s">
        <v>10561</v>
      </c>
      <c r="K15" s="44" t="s">
        <v>6872</v>
      </c>
      <c r="L15" s="105"/>
      <c r="M15" s="34" t="s">
        <v>6064</v>
      </c>
      <c r="N15" s="34"/>
      <c r="O15" s="34" t="s">
        <v>2611</v>
      </c>
    </row>
    <row r="16" spans="1:30" ht="38.25">
      <c r="A16" s="34" t="s">
        <v>10562</v>
      </c>
      <c r="B16" s="602" t="s">
        <v>10563</v>
      </c>
      <c r="C16" s="603" t="s">
        <v>10564</v>
      </c>
      <c r="D16" s="588" t="s">
        <v>10486</v>
      </c>
      <c r="E16" s="188" t="s">
        <v>10565</v>
      </c>
      <c r="F16" s="34"/>
      <c r="G16" s="188" t="s">
        <v>10566</v>
      </c>
      <c r="H16" s="34" t="s">
        <v>6132</v>
      </c>
      <c r="I16" s="398" t="s">
        <v>10567</v>
      </c>
      <c r="J16" s="44" t="s">
        <v>10568</v>
      </c>
      <c r="K16" s="44" t="s">
        <v>6872</v>
      </c>
      <c r="L16" s="105"/>
      <c r="M16" s="34" t="s">
        <v>6064</v>
      </c>
      <c r="N16" s="34" t="s">
        <v>1824</v>
      </c>
      <c r="O16" s="34"/>
    </row>
    <row r="17" spans="1:15" ht="38.25">
      <c r="A17" s="34" t="s">
        <v>10569</v>
      </c>
      <c r="B17" s="604" t="s">
        <v>10570</v>
      </c>
      <c r="C17" s="562" t="s">
        <v>10571</v>
      </c>
      <c r="D17" s="584" t="s">
        <v>10572</v>
      </c>
      <c r="E17" s="188" t="s">
        <v>10573</v>
      </c>
      <c r="F17" s="34"/>
      <c r="G17" s="188" t="s">
        <v>10574</v>
      </c>
      <c r="H17" s="34" t="s">
        <v>6132</v>
      </c>
      <c r="I17" s="34" t="s">
        <v>10575</v>
      </c>
      <c r="J17" s="34" t="s">
        <v>10576</v>
      </c>
      <c r="K17" s="44" t="s">
        <v>6872</v>
      </c>
      <c r="L17" s="105"/>
      <c r="M17" s="34" t="s">
        <v>6064</v>
      </c>
      <c r="N17" s="34"/>
      <c r="O17" s="34" t="s">
        <v>1828</v>
      </c>
    </row>
    <row r="18" spans="1:15" ht="59.25" customHeight="1">
      <c r="A18" s="34" t="s">
        <v>10577</v>
      </c>
      <c r="B18" s="604" t="s">
        <v>10578</v>
      </c>
      <c r="C18" s="562" t="s">
        <v>10579</v>
      </c>
      <c r="D18" s="588" t="s">
        <v>10478</v>
      </c>
      <c r="E18" s="188" t="s">
        <v>10580</v>
      </c>
      <c r="F18" s="34"/>
      <c r="G18" s="605" t="s">
        <v>10581</v>
      </c>
      <c r="H18" s="34" t="s">
        <v>6132</v>
      </c>
      <c r="I18" s="34" t="s">
        <v>10582</v>
      </c>
      <c r="J18" s="34" t="s">
        <v>10583</v>
      </c>
      <c r="K18" s="44" t="s">
        <v>6872</v>
      </c>
      <c r="L18" s="105"/>
      <c r="M18" s="34" t="s">
        <v>6104</v>
      </c>
      <c r="N18" s="34"/>
      <c r="O18" s="34" t="s">
        <v>1828</v>
      </c>
    </row>
    <row r="19" spans="1:15" ht="38.25">
      <c r="A19" s="34" t="s">
        <v>10584</v>
      </c>
      <c r="B19" s="604" t="s">
        <v>10585</v>
      </c>
      <c r="C19" s="562" t="s">
        <v>10586</v>
      </c>
      <c r="D19" s="588" t="s">
        <v>10478</v>
      </c>
      <c r="E19" s="584" t="s">
        <v>10587</v>
      </c>
      <c r="F19" s="583"/>
      <c r="G19" s="188" t="s">
        <v>10588</v>
      </c>
      <c r="H19" s="34" t="s">
        <v>6132</v>
      </c>
      <c r="I19" s="398" t="s">
        <v>10589</v>
      </c>
      <c r="J19" s="34" t="s">
        <v>10590</v>
      </c>
      <c r="K19" s="44" t="s">
        <v>6872</v>
      </c>
      <c r="L19" s="105"/>
      <c r="M19" s="34" t="s">
        <v>6092</v>
      </c>
      <c r="N19" s="34"/>
      <c r="O19" s="34" t="s">
        <v>1828</v>
      </c>
    </row>
    <row r="20" spans="1:15" ht="38.25">
      <c r="A20" s="34" t="s">
        <v>10591</v>
      </c>
      <c r="B20" s="604" t="s">
        <v>10592</v>
      </c>
      <c r="C20" s="562" t="s">
        <v>10593</v>
      </c>
      <c r="D20" s="588" t="s">
        <v>10478</v>
      </c>
      <c r="E20" s="584" t="s">
        <v>10594</v>
      </c>
      <c r="F20" s="583"/>
      <c r="G20" s="605" t="s">
        <v>10595</v>
      </c>
      <c r="H20" s="34" t="s">
        <v>6132</v>
      </c>
      <c r="I20" s="398" t="s">
        <v>10596</v>
      </c>
      <c r="J20" s="34" t="s">
        <v>2453</v>
      </c>
      <c r="K20" s="44" t="s">
        <v>6872</v>
      </c>
      <c r="L20" s="105"/>
      <c r="M20" s="34" t="s">
        <v>6092</v>
      </c>
      <c r="N20" s="34"/>
      <c r="O20" s="34" t="s">
        <v>1828</v>
      </c>
    </row>
    <row r="21" spans="1:15" ht="29.25" customHeight="1">
      <c r="A21" s="34" t="s">
        <v>10597</v>
      </c>
      <c r="B21" s="604" t="s">
        <v>10598</v>
      </c>
      <c r="C21" s="562" t="s">
        <v>10599</v>
      </c>
      <c r="D21" s="588" t="s">
        <v>10493</v>
      </c>
      <c r="E21" s="584" t="s">
        <v>10600</v>
      </c>
      <c r="F21" s="583"/>
      <c r="G21" s="188" t="s">
        <v>10601</v>
      </c>
      <c r="H21" s="34" t="s">
        <v>6132</v>
      </c>
      <c r="I21" s="398" t="s">
        <v>10602</v>
      </c>
      <c r="J21" s="34" t="s">
        <v>10603</v>
      </c>
      <c r="K21" s="586" t="s">
        <v>6872</v>
      </c>
      <c r="L21" s="105"/>
      <c r="M21" s="34" t="s">
        <v>6064</v>
      </c>
      <c r="N21" s="34"/>
      <c r="O21" s="34" t="s">
        <v>2613</v>
      </c>
    </row>
    <row r="22" spans="1:15" ht="63.75">
      <c r="A22" s="34" t="s">
        <v>10604</v>
      </c>
      <c r="B22" s="604" t="s">
        <v>10605</v>
      </c>
      <c r="C22" s="562" t="s">
        <v>10606</v>
      </c>
      <c r="D22" s="588" t="s">
        <v>10493</v>
      </c>
      <c r="E22" s="188" t="s">
        <v>10607</v>
      </c>
      <c r="F22" s="34"/>
      <c r="G22" s="188" t="s">
        <v>10608</v>
      </c>
      <c r="H22" s="34" t="s">
        <v>6132</v>
      </c>
      <c r="I22" s="398" t="s">
        <v>3686</v>
      </c>
      <c r="J22" s="34" t="s">
        <v>10609</v>
      </c>
      <c r="K22" s="44" t="s">
        <v>6872</v>
      </c>
      <c r="L22" s="105"/>
      <c r="M22" s="34" t="s">
        <v>6064</v>
      </c>
      <c r="N22" s="34"/>
      <c r="O22" s="34" t="s">
        <v>2656</v>
      </c>
    </row>
    <row r="23" spans="1:15" ht="38.25">
      <c r="A23" s="34" t="s">
        <v>10610</v>
      </c>
      <c r="B23" s="604" t="s">
        <v>10611</v>
      </c>
      <c r="C23" s="562" t="s">
        <v>10612</v>
      </c>
      <c r="D23" s="584" t="s">
        <v>10613</v>
      </c>
      <c r="E23" s="188" t="s">
        <v>10614</v>
      </c>
      <c r="F23" s="34"/>
      <c r="G23" s="188" t="s">
        <v>10615</v>
      </c>
      <c r="H23" s="34" t="s">
        <v>6132</v>
      </c>
      <c r="I23" s="34" t="s">
        <v>10616</v>
      </c>
      <c r="J23" s="34" t="s">
        <v>10617</v>
      </c>
      <c r="K23" s="44" t="s">
        <v>6872</v>
      </c>
      <c r="L23" s="105"/>
      <c r="M23" s="34" t="s">
        <v>6064</v>
      </c>
      <c r="N23" s="34" t="s">
        <v>1824</v>
      </c>
      <c r="O23" s="34" t="s">
        <v>6783</v>
      </c>
    </row>
    <row r="24" spans="1:15" ht="38.25">
      <c r="A24" s="34" t="s">
        <v>10618</v>
      </c>
      <c r="B24" s="602" t="s">
        <v>10619</v>
      </c>
      <c r="C24" s="603" t="s">
        <v>10620</v>
      </c>
      <c r="D24" s="588" t="s">
        <v>10621</v>
      </c>
      <c r="E24" s="188" t="s">
        <v>10622</v>
      </c>
      <c r="F24" s="34"/>
      <c r="G24" s="188" t="s">
        <v>10623</v>
      </c>
      <c r="H24" s="34" t="s">
        <v>6132</v>
      </c>
      <c r="I24" s="398" t="s">
        <v>10624</v>
      </c>
      <c r="J24" s="34" t="s">
        <v>10625</v>
      </c>
      <c r="K24" s="44"/>
      <c r="L24" s="105"/>
      <c r="M24" s="34" t="s">
        <v>6092</v>
      </c>
      <c r="N24" s="34"/>
      <c r="O24" s="34" t="s">
        <v>2656</v>
      </c>
    </row>
    <row r="25" spans="1:15" ht="38.25">
      <c r="A25" s="34" t="s">
        <v>10626</v>
      </c>
      <c r="B25" s="34"/>
      <c r="C25" s="562" t="s">
        <v>10627</v>
      </c>
      <c r="D25" s="588" t="s">
        <v>10493</v>
      </c>
      <c r="E25" s="188" t="s">
        <v>10628</v>
      </c>
      <c r="F25" s="34"/>
      <c r="G25" s="188" t="s">
        <v>10629</v>
      </c>
      <c r="H25" s="34" t="s">
        <v>6132</v>
      </c>
      <c r="I25" s="589" t="s">
        <v>10630</v>
      </c>
      <c r="J25" s="34" t="s">
        <v>10631</v>
      </c>
      <c r="K25" s="44" t="s">
        <v>6872</v>
      </c>
      <c r="L25" s="105"/>
      <c r="M25" s="34" t="s">
        <v>6170</v>
      </c>
      <c r="N25" s="34"/>
      <c r="O25" s="34" t="s">
        <v>1828</v>
      </c>
    </row>
    <row r="26" spans="1:15" ht="51">
      <c r="A26" s="34" t="s">
        <v>10632</v>
      </c>
      <c r="B26" s="34"/>
      <c r="C26" s="562" t="s">
        <v>10633</v>
      </c>
      <c r="D26" s="588" t="s">
        <v>8512</v>
      </c>
      <c r="E26" s="188" t="s">
        <v>10634</v>
      </c>
      <c r="F26" s="34" t="s">
        <v>10635</v>
      </c>
      <c r="G26" s="188" t="s">
        <v>10636</v>
      </c>
      <c r="H26" s="34" t="s">
        <v>6132</v>
      </c>
      <c r="I26" s="34" t="s">
        <v>10637</v>
      </c>
      <c r="J26" s="34" t="s">
        <v>10638</v>
      </c>
      <c r="K26" s="44" t="s">
        <v>6872</v>
      </c>
      <c r="L26" s="105"/>
      <c r="M26" s="34" t="s">
        <v>6092</v>
      </c>
      <c r="N26" s="34"/>
      <c r="O26" s="34" t="s">
        <v>1847</v>
      </c>
    </row>
    <row r="27" spans="1:15" ht="38.25">
      <c r="A27" s="34" t="s">
        <v>10639</v>
      </c>
      <c r="B27" s="604" t="s">
        <v>10640</v>
      </c>
      <c r="C27" s="562" t="s">
        <v>10641</v>
      </c>
      <c r="D27" s="588" t="s">
        <v>10493</v>
      </c>
      <c r="E27" s="188" t="s">
        <v>10642</v>
      </c>
      <c r="F27" s="34"/>
      <c r="G27" s="188" t="s">
        <v>10643</v>
      </c>
      <c r="H27" s="34" t="s">
        <v>10644</v>
      </c>
      <c r="I27" s="34"/>
      <c r="J27" s="34" t="s">
        <v>10645</v>
      </c>
      <c r="K27" s="44" t="s">
        <v>6872</v>
      </c>
      <c r="L27" s="105"/>
      <c r="M27" s="34" t="s">
        <v>6137</v>
      </c>
      <c r="N27" s="34"/>
      <c r="O27" s="34"/>
    </row>
    <row r="28" spans="1:15" ht="58.5" customHeight="1">
      <c r="A28" s="581">
        <v>37987</v>
      </c>
      <c r="B28" s="602" t="s">
        <v>10646</v>
      </c>
      <c r="C28" s="603" t="s">
        <v>10647</v>
      </c>
      <c r="D28" s="584" t="s">
        <v>10493</v>
      </c>
      <c r="E28" s="584" t="s">
        <v>10648</v>
      </c>
      <c r="F28" s="583"/>
      <c r="G28" s="584" t="s">
        <v>10649</v>
      </c>
      <c r="H28" s="509" t="s">
        <v>1808</v>
      </c>
      <c r="I28" s="398"/>
      <c r="J28" s="34" t="s">
        <v>10650</v>
      </c>
      <c r="K28" s="44" t="s">
        <v>6872</v>
      </c>
      <c r="L28" s="105"/>
      <c r="M28" s="34" t="s">
        <v>6137</v>
      </c>
      <c r="N28" s="34"/>
      <c r="O28" s="34"/>
    </row>
    <row r="29" spans="1:15" ht="51">
      <c r="A29" s="581">
        <v>38047</v>
      </c>
      <c r="B29" s="604" t="s">
        <v>10651</v>
      </c>
      <c r="C29" s="562" t="s">
        <v>10652</v>
      </c>
      <c r="D29" s="588" t="s">
        <v>10493</v>
      </c>
      <c r="E29" s="188" t="s">
        <v>10653</v>
      </c>
      <c r="F29" s="34"/>
      <c r="G29" s="188" t="s">
        <v>10654</v>
      </c>
      <c r="H29" s="509" t="s">
        <v>1808</v>
      </c>
      <c r="I29" s="589" t="s">
        <v>8969</v>
      </c>
      <c r="J29" s="34" t="s">
        <v>10655</v>
      </c>
      <c r="K29" s="44" t="s">
        <v>6872</v>
      </c>
      <c r="L29" s="105"/>
      <c r="M29" s="34" t="s">
        <v>6933</v>
      </c>
      <c r="N29" s="34"/>
      <c r="O29" s="34" t="s">
        <v>1828</v>
      </c>
    </row>
    <row r="30" spans="1:15" ht="38.25">
      <c r="A30" s="581">
        <v>38169</v>
      </c>
      <c r="B30" s="602" t="s">
        <v>10656</v>
      </c>
      <c r="C30" s="603" t="s">
        <v>10657</v>
      </c>
      <c r="D30" s="584" t="s">
        <v>10658</v>
      </c>
      <c r="E30" s="188" t="s">
        <v>10659</v>
      </c>
      <c r="F30" s="34"/>
      <c r="G30" s="588" t="s">
        <v>8476</v>
      </c>
      <c r="H30" s="509" t="s">
        <v>1808</v>
      </c>
      <c r="I30" s="398" t="s">
        <v>10660</v>
      </c>
      <c r="J30" s="34" t="s">
        <v>10661</v>
      </c>
      <c r="K30" s="44" t="s">
        <v>6872</v>
      </c>
      <c r="L30" s="105"/>
      <c r="M30" s="34" t="s">
        <v>6064</v>
      </c>
      <c r="N30" s="34" t="s">
        <v>1824</v>
      </c>
      <c r="O30" s="34" t="s">
        <v>2449</v>
      </c>
    </row>
    <row r="31" spans="1:15" ht="38.25">
      <c r="A31" s="581">
        <v>38200</v>
      </c>
      <c r="B31" s="604" t="s">
        <v>10662</v>
      </c>
      <c r="C31" s="562" t="s">
        <v>10663</v>
      </c>
      <c r="D31" s="588" t="s">
        <v>10664</v>
      </c>
      <c r="E31" s="188" t="s">
        <v>10665</v>
      </c>
      <c r="F31" s="34"/>
      <c r="G31" s="188" t="s">
        <v>10666</v>
      </c>
      <c r="H31" s="509" t="s">
        <v>1808</v>
      </c>
      <c r="I31" s="398"/>
      <c r="J31" s="34" t="s">
        <v>10667</v>
      </c>
      <c r="K31" s="44" t="s">
        <v>6872</v>
      </c>
      <c r="L31" s="105"/>
      <c r="M31" s="34" t="s">
        <v>6071</v>
      </c>
      <c r="N31" s="34"/>
      <c r="O31" s="34"/>
    </row>
    <row r="32" spans="1:15" ht="38.25">
      <c r="A32" s="581">
        <v>38231</v>
      </c>
      <c r="B32" s="602" t="s">
        <v>10668</v>
      </c>
      <c r="C32" s="603" t="s">
        <v>10669</v>
      </c>
      <c r="D32" s="588" t="s">
        <v>10493</v>
      </c>
      <c r="E32" s="188" t="s">
        <v>10670</v>
      </c>
      <c r="F32" s="34"/>
      <c r="G32" s="605" t="s">
        <v>10671</v>
      </c>
      <c r="H32" s="509" t="s">
        <v>1808</v>
      </c>
      <c r="I32" s="398" t="s">
        <v>3417</v>
      </c>
      <c r="J32" s="34" t="s">
        <v>10672</v>
      </c>
      <c r="K32" s="44" t="s">
        <v>6872</v>
      </c>
      <c r="L32" s="105"/>
      <c r="M32" s="34" t="s">
        <v>6933</v>
      </c>
      <c r="N32" s="34" t="s">
        <v>1824</v>
      </c>
      <c r="O32" s="34" t="s">
        <v>1828</v>
      </c>
    </row>
    <row r="33" spans="1:15" ht="38.25">
      <c r="A33" s="581">
        <v>38261</v>
      </c>
      <c r="B33" s="602" t="s">
        <v>10673</v>
      </c>
      <c r="C33" s="603" t="s">
        <v>10674</v>
      </c>
      <c r="D33" s="584" t="s">
        <v>10675</v>
      </c>
      <c r="E33" s="584" t="s">
        <v>10676</v>
      </c>
      <c r="F33" s="583"/>
      <c r="G33" s="188" t="s">
        <v>10358</v>
      </c>
      <c r="H33" s="509" t="s">
        <v>1808</v>
      </c>
      <c r="I33" s="398" t="s">
        <v>10359</v>
      </c>
      <c r="J33" s="34" t="s">
        <v>10677</v>
      </c>
      <c r="K33" s="44"/>
      <c r="L33" s="105"/>
      <c r="M33" s="34" t="s">
        <v>6933</v>
      </c>
      <c r="N33" s="34"/>
      <c r="O33" s="34" t="s">
        <v>1828</v>
      </c>
    </row>
    <row r="34" spans="1:15" ht="38.25">
      <c r="A34" s="34" t="s">
        <v>10678</v>
      </c>
      <c r="B34" s="604" t="s">
        <v>10679</v>
      </c>
      <c r="C34" s="562" t="s">
        <v>10680</v>
      </c>
      <c r="D34" s="588" t="s">
        <v>10493</v>
      </c>
      <c r="E34" s="188" t="s">
        <v>10681</v>
      </c>
      <c r="F34" s="34"/>
      <c r="G34" s="188" t="s">
        <v>10682</v>
      </c>
      <c r="H34" s="509" t="s">
        <v>1808</v>
      </c>
      <c r="I34" s="335" t="s">
        <v>10683</v>
      </c>
      <c r="J34" s="398" t="s">
        <v>10684</v>
      </c>
      <c r="K34" s="586" t="s">
        <v>6872</v>
      </c>
      <c r="L34" s="105"/>
      <c r="M34" s="34" t="s">
        <v>6217</v>
      </c>
      <c r="N34" s="34"/>
      <c r="O34" s="34" t="s">
        <v>1828</v>
      </c>
    </row>
    <row r="35" spans="1:15" ht="51">
      <c r="A35" s="34" t="s">
        <v>10685</v>
      </c>
      <c r="B35" s="604" t="s">
        <v>10686</v>
      </c>
      <c r="C35" s="562" t="s">
        <v>10687</v>
      </c>
      <c r="D35" s="584" t="s">
        <v>10688</v>
      </c>
      <c r="E35" s="188" t="s">
        <v>10659</v>
      </c>
      <c r="F35" s="34"/>
      <c r="G35" s="588" t="s">
        <v>8476</v>
      </c>
      <c r="H35" s="509" t="s">
        <v>1808</v>
      </c>
      <c r="I35" s="398" t="s">
        <v>10660</v>
      </c>
      <c r="J35" s="65" t="s">
        <v>8707</v>
      </c>
      <c r="K35" s="586" t="s">
        <v>6872</v>
      </c>
      <c r="L35" s="105"/>
      <c r="M35" s="34" t="s">
        <v>6064</v>
      </c>
      <c r="N35" s="34" t="s">
        <v>6855</v>
      </c>
      <c r="O35" s="34" t="s">
        <v>2449</v>
      </c>
    </row>
    <row r="36" spans="1:15" ht="38.25">
      <c r="A36" s="34" t="s">
        <v>10689</v>
      </c>
      <c r="B36" s="604" t="s">
        <v>10690</v>
      </c>
      <c r="C36" s="562" t="s">
        <v>10691</v>
      </c>
      <c r="D36" s="588" t="s">
        <v>10493</v>
      </c>
      <c r="E36" s="188" t="s">
        <v>10692</v>
      </c>
      <c r="F36" s="34"/>
      <c r="G36" s="188" t="s">
        <v>572</v>
      </c>
      <c r="H36" s="509" t="s">
        <v>1808</v>
      </c>
      <c r="I36" s="34"/>
      <c r="J36" s="34" t="s">
        <v>10693</v>
      </c>
      <c r="K36" s="44" t="s">
        <v>6872</v>
      </c>
      <c r="L36" s="105"/>
      <c r="M36" s="34" t="s">
        <v>6064</v>
      </c>
      <c r="N36" s="34" t="s">
        <v>1824</v>
      </c>
      <c r="O36" s="34" t="s">
        <v>2460</v>
      </c>
    </row>
    <row r="37" spans="1:15" ht="38.25">
      <c r="A37" s="34" t="s">
        <v>10694</v>
      </c>
      <c r="B37" s="604" t="s">
        <v>10695</v>
      </c>
      <c r="C37" s="562" t="s">
        <v>10696</v>
      </c>
      <c r="D37" s="588" t="s">
        <v>10493</v>
      </c>
      <c r="E37" s="188" t="s">
        <v>10692</v>
      </c>
      <c r="F37" s="34"/>
      <c r="G37" s="188" t="s">
        <v>572</v>
      </c>
      <c r="H37" s="509" t="s">
        <v>1808</v>
      </c>
      <c r="I37" s="34"/>
      <c r="J37" s="34" t="s">
        <v>10697</v>
      </c>
      <c r="K37" s="44" t="s">
        <v>6872</v>
      </c>
      <c r="L37" s="105"/>
      <c r="M37" s="34" t="s">
        <v>6064</v>
      </c>
      <c r="N37" s="34" t="s">
        <v>1824</v>
      </c>
      <c r="O37" s="34" t="s">
        <v>2460</v>
      </c>
    </row>
    <row r="38" spans="1:15" ht="38.25">
      <c r="A38" s="34" t="s">
        <v>10698</v>
      </c>
      <c r="B38" s="604" t="s">
        <v>10699</v>
      </c>
      <c r="C38" s="562" t="s">
        <v>10700</v>
      </c>
      <c r="D38" s="588" t="s">
        <v>10493</v>
      </c>
      <c r="E38" s="584" t="s">
        <v>10701</v>
      </c>
      <c r="F38" s="583"/>
      <c r="G38" s="584" t="s">
        <v>10702</v>
      </c>
      <c r="H38" s="509" t="s">
        <v>1808</v>
      </c>
      <c r="I38" s="34"/>
      <c r="J38" s="34" t="s">
        <v>10703</v>
      </c>
      <c r="K38" s="44" t="s">
        <v>6872</v>
      </c>
      <c r="L38" s="105"/>
      <c r="M38" s="34" t="s">
        <v>6064</v>
      </c>
      <c r="N38" s="34"/>
      <c r="O38" s="34"/>
    </row>
    <row r="39" spans="1:15" ht="38.25">
      <c r="A39" s="34" t="s">
        <v>10704</v>
      </c>
      <c r="B39" s="604" t="s">
        <v>10705</v>
      </c>
      <c r="C39" s="562" t="s">
        <v>10706</v>
      </c>
      <c r="D39" s="584" t="s">
        <v>10688</v>
      </c>
      <c r="E39" s="588" t="s">
        <v>10707</v>
      </c>
      <c r="F39" s="586"/>
      <c r="G39" s="188" t="s">
        <v>10708</v>
      </c>
      <c r="H39" s="509" t="s">
        <v>1808</v>
      </c>
      <c r="I39" s="34"/>
      <c r="J39" s="335" t="s">
        <v>10709</v>
      </c>
      <c r="K39" s="44" t="s">
        <v>6872</v>
      </c>
      <c r="L39" s="105"/>
      <c r="M39" s="34" t="s">
        <v>6064</v>
      </c>
      <c r="N39" s="34"/>
      <c r="O39" s="34"/>
    </row>
    <row r="40" spans="1:15" ht="38.25">
      <c r="A40" s="34" t="s">
        <v>10710</v>
      </c>
      <c r="B40" s="602" t="s">
        <v>10711</v>
      </c>
      <c r="C40" s="603" t="s">
        <v>10712</v>
      </c>
      <c r="D40" s="584" t="s">
        <v>10688</v>
      </c>
      <c r="E40" s="188" t="s">
        <v>10713</v>
      </c>
      <c r="F40" s="34"/>
      <c r="G40" s="188" t="s">
        <v>10358</v>
      </c>
      <c r="H40" s="509" t="s">
        <v>1808</v>
      </c>
      <c r="I40" s="34" t="s">
        <v>10359</v>
      </c>
      <c r="J40" s="34" t="s">
        <v>10714</v>
      </c>
      <c r="K40" s="44" t="s">
        <v>6872</v>
      </c>
      <c r="L40" s="105"/>
      <c r="M40" s="34" t="s">
        <v>6933</v>
      </c>
      <c r="N40" s="34" t="s">
        <v>1824</v>
      </c>
      <c r="O40" s="34" t="s">
        <v>1828</v>
      </c>
    </row>
    <row r="41" spans="1:15" ht="38.25">
      <c r="A41" s="34" t="s">
        <v>10715</v>
      </c>
      <c r="B41" s="602" t="s">
        <v>10716</v>
      </c>
      <c r="C41" s="603" t="s">
        <v>10717</v>
      </c>
      <c r="D41" s="588" t="s">
        <v>10493</v>
      </c>
      <c r="E41" s="584" t="s">
        <v>10718</v>
      </c>
      <c r="F41" s="583"/>
      <c r="G41" s="188" t="s">
        <v>10719</v>
      </c>
      <c r="H41" s="509" t="s">
        <v>1808</v>
      </c>
      <c r="I41" s="34" t="s">
        <v>4418</v>
      </c>
      <c r="J41" s="34" t="s">
        <v>10720</v>
      </c>
      <c r="K41" s="44" t="s">
        <v>6872</v>
      </c>
      <c r="L41" s="105"/>
      <c r="M41" s="34" t="s">
        <v>6170</v>
      </c>
      <c r="N41" s="34" t="s">
        <v>1824</v>
      </c>
      <c r="O41" s="34" t="s">
        <v>2467</v>
      </c>
    </row>
    <row r="42" spans="1:15" ht="38.25">
      <c r="A42" s="34" t="s">
        <v>10721</v>
      </c>
      <c r="B42" s="604" t="s">
        <v>10722</v>
      </c>
      <c r="C42" s="562" t="s">
        <v>10723</v>
      </c>
      <c r="D42" s="588" t="s">
        <v>10493</v>
      </c>
      <c r="E42" s="188" t="s">
        <v>10724</v>
      </c>
      <c r="F42" s="34"/>
      <c r="G42" s="188" t="s">
        <v>10725</v>
      </c>
      <c r="H42" s="509" t="s">
        <v>1808</v>
      </c>
      <c r="I42" s="34" t="s">
        <v>10216</v>
      </c>
      <c r="J42" s="34" t="s">
        <v>9244</v>
      </c>
      <c r="K42" s="44" t="s">
        <v>6872</v>
      </c>
      <c r="L42" s="105"/>
      <c r="M42" s="34" t="s">
        <v>6104</v>
      </c>
      <c r="N42" s="34"/>
      <c r="O42" s="34" t="s">
        <v>1828</v>
      </c>
    </row>
    <row r="43" spans="1:15" ht="51">
      <c r="A43" s="34" t="s">
        <v>10726</v>
      </c>
      <c r="B43" s="602" t="s">
        <v>10727</v>
      </c>
      <c r="C43" s="603" t="s">
        <v>10728</v>
      </c>
      <c r="D43" s="588" t="s">
        <v>10493</v>
      </c>
      <c r="E43" s="188" t="s">
        <v>10729</v>
      </c>
      <c r="F43" s="34"/>
      <c r="G43" s="588" t="s">
        <v>10730</v>
      </c>
      <c r="H43" s="509" t="s">
        <v>1808</v>
      </c>
      <c r="I43" s="398" t="s">
        <v>10731</v>
      </c>
      <c r="J43" s="34" t="s">
        <v>10732</v>
      </c>
      <c r="K43" s="586" t="s">
        <v>6872</v>
      </c>
      <c r="L43" s="105"/>
      <c r="M43" s="34" t="s">
        <v>6064</v>
      </c>
      <c r="N43" s="34"/>
      <c r="O43" s="34" t="s">
        <v>1828</v>
      </c>
    </row>
    <row r="44" spans="1:15" ht="38.25">
      <c r="A44" s="34" t="s">
        <v>10733</v>
      </c>
      <c r="B44" s="602" t="s">
        <v>10734</v>
      </c>
      <c r="C44" s="603" t="s">
        <v>10735</v>
      </c>
      <c r="D44" s="588" t="s">
        <v>10486</v>
      </c>
      <c r="E44" s="188" t="s">
        <v>10736</v>
      </c>
      <c r="F44" s="34"/>
      <c r="G44" s="188" t="s">
        <v>10737</v>
      </c>
      <c r="H44" s="509" t="s">
        <v>1808</v>
      </c>
      <c r="I44" s="398" t="s">
        <v>10738</v>
      </c>
      <c r="J44" s="34" t="s">
        <v>10739</v>
      </c>
      <c r="K44" s="44" t="s">
        <v>6872</v>
      </c>
      <c r="L44" s="105"/>
      <c r="M44" s="34" t="s">
        <v>6170</v>
      </c>
      <c r="N44" s="34"/>
      <c r="O44" s="34" t="s">
        <v>2656</v>
      </c>
    </row>
    <row r="45" spans="1:15" ht="38.25">
      <c r="A45" s="34" t="s">
        <v>10740</v>
      </c>
      <c r="B45" s="604" t="s">
        <v>10741</v>
      </c>
      <c r="C45" s="562" t="s">
        <v>10742</v>
      </c>
      <c r="D45" s="588" t="s">
        <v>10493</v>
      </c>
      <c r="E45" s="188" t="s">
        <v>10743</v>
      </c>
      <c r="F45" s="34"/>
      <c r="G45" s="188" t="s">
        <v>1862</v>
      </c>
      <c r="H45" s="509" t="s">
        <v>1808</v>
      </c>
      <c r="I45" s="34" t="s">
        <v>10359</v>
      </c>
      <c r="J45" s="34" t="s">
        <v>10744</v>
      </c>
      <c r="K45" s="44" t="s">
        <v>6872</v>
      </c>
      <c r="L45" s="105"/>
      <c r="M45" s="34" t="s">
        <v>6933</v>
      </c>
      <c r="N45" s="34" t="s">
        <v>1824</v>
      </c>
      <c r="O45" s="34" t="s">
        <v>1828</v>
      </c>
    </row>
    <row r="46" spans="1:15" ht="38.25">
      <c r="A46" s="34" t="s">
        <v>10745</v>
      </c>
      <c r="B46" s="604" t="s">
        <v>10746</v>
      </c>
      <c r="C46" s="562" t="s">
        <v>10747</v>
      </c>
      <c r="D46" s="588" t="s">
        <v>10486</v>
      </c>
      <c r="E46" s="188" t="s">
        <v>10565</v>
      </c>
      <c r="F46" s="34"/>
      <c r="G46" s="188" t="s">
        <v>1442</v>
      </c>
      <c r="H46" s="509" t="s">
        <v>1808</v>
      </c>
      <c r="I46" s="34" t="s">
        <v>10748</v>
      </c>
      <c r="J46" s="34" t="s">
        <v>10749</v>
      </c>
      <c r="K46" s="586" t="s">
        <v>6872</v>
      </c>
      <c r="L46" s="105"/>
      <c r="M46" s="34" t="s">
        <v>6064</v>
      </c>
      <c r="N46" s="34" t="s">
        <v>1824</v>
      </c>
      <c r="O46" s="34" t="s">
        <v>6783</v>
      </c>
    </row>
    <row r="47" spans="1:15" ht="29.25" customHeight="1">
      <c r="A47" s="34" t="s">
        <v>10750</v>
      </c>
      <c r="B47" s="602" t="s">
        <v>10751</v>
      </c>
      <c r="C47" s="603" t="s">
        <v>10752</v>
      </c>
      <c r="D47" s="588" t="s">
        <v>10493</v>
      </c>
      <c r="E47" s="188" t="s">
        <v>10753</v>
      </c>
      <c r="F47" s="34"/>
      <c r="G47" s="188" t="s">
        <v>9995</v>
      </c>
      <c r="H47" s="509" t="s">
        <v>1808</v>
      </c>
      <c r="I47" s="34" t="s">
        <v>9996</v>
      </c>
      <c r="J47" s="34" t="s">
        <v>10754</v>
      </c>
      <c r="K47" s="44" t="s">
        <v>6872</v>
      </c>
      <c r="M47" s="34" t="s">
        <v>6064</v>
      </c>
      <c r="N47" s="34"/>
      <c r="O47" s="34" t="s">
        <v>1828</v>
      </c>
    </row>
    <row r="48" spans="1:15" ht="38.25">
      <c r="A48" s="34" t="s">
        <v>10755</v>
      </c>
      <c r="B48" s="604" t="s">
        <v>10756</v>
      </c>
      <c r="C48" s="562" t="s">
        <v>10757</v>
      </c>
      <c r="D48" s="588" t="s">
        <v>10478</v>
      </c>
      <c r="E48" s="188" t="s">
        <v>10758</v>
      </c>
      <c r="F48" s="34"/>
      <c r="G48" s="188" t="s">
        <v>1862</v>
      </c>
      <c r="H48" s="509" t="s">
        <v>1808</v>
      </c>
      <c r="I48" s="586" t="s">
        <v>10359</v>
      </c>
      <c r="J48" s="34" t="s">
        <v>10759</v>
      </c>
      <c r="K48" s="44" t="s">
        <v>6872</v>
      </c>
      <c r="L48" s="105"/>
      <c r="M48" s="34" t="s">
        <v>6933</v>
      </c>
      <c r="N48" s="34" t="s">
        <v>1824</v>
      </c>
      <c r="O48" s="34" t="s">
        <v>1828</v>
      </c>
    </row>
    <row r="49" spans="1:15" ht="38.25">
      <c r="A49" s="34" t="s">
        <v>10760</v>
      </c>
      <c r="B49" s="604" t="s">
        <v>10761</v>
      </c>
      <c r="C49" s="562" t="s">
        <v>10762</v>
      </c>
      <c r="D49" s="584" t="s">
        <v>10763</v>
      </c>
      <c r="E49" s="584" t="s">
        <v>10764</v>
      </c>
      <c r="F49" s="583"/>
      <c r="G49" s="188" t="s">
        <v>10172</v>
      </c>
      <c r="H49" s="509" t="s">
        <v>1808</v>
      </c>
      <c r="I49" s="34"/>
      <c r="J49" s="34" t="s">
        <v>10765</v>
      </c>
      <c r="K49" s="44" t="s">
        <v>6872</v>
      </c>
      <c r="L49" s="105"/>
      <c r="M49" s="34" t="s">
        <v>6064</v>
      </c>
      <c r="N49" s="34"/>
      <c r="O49" s="34" t="s">
        <v>6874</v>
      </c>
    </row>
    <row r="50" spans="1:15" ht="38.25">
      <c r="A50" s="34" t="s">
        <v>10766</v>
      </c>
      <c r="B50" s="602" t="s">
        <v>10767</v>
      </c>
      <c r="C50" s="603" t="s">
        <v>10768</v>
      </c>
      <c r="D50" s="588" t="s">
        <v>10493</v>
      </c>
      <c r="E50" s="188" t="s">
        <v>10769</v>
      </c>
      <c r="F50" s="34"/>
      <c r="G50" s="188" t="s">
        <v>5312</v>
      </c>
      <c r="H50" s="509" t="s">
        <v>1808</v>
      </c>
      <c r="I50" s="34" t="s">
        <v>2451</v>
      </c>
      <c r="J50" s="34" t="s">
        <v>10770</v>
      </c>
      <c r="K50" s="44" t="s">
        <v>6872</v>
      </c>
      <c r="L50" s="105"/>
      <c r="M50" s="34" t="s">
        <v>6064</v>
      </c>
      <c r="N50" s="34"/>
      <c r="O50" s="34" t="s">
        <v>2656</v>
      </c>
    </row>
    <row r="51" spans="1:15" ht="38.25">
      <c r="A51" s="34" t="s">
        <v>10771</v>
      </c>
      <c r="B51" s="604" t="s">
        <v>10772</v>
      </c>
      <c r="C51" s="562" t="s">
        <v>10773</v>
      </c>
      <c r="D51" s="584" t="s">
        <v>10763</v>
      </c>
      <c r="E51" s="188" t="s">
        <v>4623</v>
      </c>
      <c r="F51" s="34"/>
      <c r="G51" s="188" t="s">
        <v>9982</v>
      </c>
      <c r="H51" s="509" t="s">
        <v>1808</v>
      </c>
      <c r="I51" s="398" t="s">
        <v>2451</v>
      </c>
      <c r="J51" s="34" t="s">
        <v>10774</v>
      </c>
      <c r="K51" s="44" t="s">
        <v>6872</v>
      </c>
      <c r="L51" s="105"/>
      <c r="M51" s="34" t="s">
        <v>6064</v>
      </c>
      <c r="N51" s="34"/>
      <c r="O51" s="34" t="s">
        <v>2656</v>
      </c>
    </row>
    <row r="52" spans="1:15" ht="38.25">
      <c r="A52" s="34" t="s">
        <v>10775</v>
      </c>
      <c r="B52" s="602" t="s">
        <v>10776</v>
      </c>
      <c r="C52" s="603" t="s">
        <v>10777</v>
      </c>
      <c r="D52" s="588" t="s">
        <v>10478</v>
      </c>
      <c r="E52" s="584" t="s">
        <v>10778</v>
      </c>
      <c r="F52" s="583"/>
      <c r="G52" s="188" t="s">
        <v>9995</v>
      </c>
      <c r="H52" s="509" t="s">
        <v>1808</v>
      </c>
      <c r="I52" s="398" t="s">
        <v>9996</v>
      </c>
      <c r="J52" s="34" t="s">
        <v>10779</v>
      </c>
      <c r="K52" s="44" t="s">
        <v>6872</v>
      </c>
      <c r="L52" s="105"/>
      <c r="M52" s="34" t="s">
        <v>6064</v>
      </c>
      <c r="N52" s="34"/>
      <c r="O52" s="34" t="s">
        <v>1828</v>
      </c>
    </row>
    <row r="53" spans="1:15" ht="38.25">
      <c r="A53" s="34" t="s">
        <v>10780</v>
      </c>
      <c r="B53" s="604" t="s">
        <v>10781</v>
      </c>
      <c r="C53" s="562" t="s">
        <v>10782</v>
      </c>
      <c r="D53" s="588" t="s">
        <v>10493</v>
      </c>
      <c r="E53" s="188" t="s">
        <v>10783</v>
      </c>
      <c r="F53" s="34"/>
      <c r="G53" s="188" t="s">
        <v>10784</v>
      </c>
      <c r="H53" s="509" t="s">
        <v>1808</v>
      </c>
      <c r="I53" s="398"/>
      <c r="J53" s="34" t="s">
        <v>10785</v>
      </c>
      <c r="K53" s="44" t="s">
        <v>6872</v>
      </c>
      <c r="L53" s="105"/>
      <c r="M53" s="34" t="s">
        <v>6064</v>
      </c>
      <c r="N53" s="34"/>
      <c r="O53" s="34"/>
    </row>
    <row r="54" spans="1:15" ht="38.25">
      <c r="A54" s="34" t="s">
        <v>10786</v>
      </c>
      <c r="B54" s="604" t="s">
        <v>10787</v>
      </c>
      <c r="C54" s="562" t="s">
        <v>10788</v>
      </c>
      <c r="D54" s="588" t="s">
        <v>10493</v>
      </c>
      <c r="E54" s="188" t="s">
        <v>10789</v>
      </c>
      <c r="F54" s="34"/>
      <c r="G54" s="188" t="s">
        <v>10790</v>
      </c>
      <c r="H54" s="509" t="s">
        <v>1808</v>
      </c>
      <c r="I54" s="335" t="s">
        <v>10469</v>
      </c>
      <c r="J54" s="66" t="s">
        <v>10791</v>
      </c>
      <c r="K54" s="44" t="s">
        <v>6872</v>
      </c>
      <c r="L54" s="105"/>
      <c r="M54" s="34" t="s">
        <v>6064</v>
      </c>
      <c r="N54" s="34"/>
      <c r="O54" s="34" t="s">
        <v>1828</v>
      </c>
    </row>
    <row r="55" spans="1:15" ht="38.25">
      <c r="A55" s="34" t="s">
        <v>10792</v>
      </c>
      <c r="B55" s="604" t="s">
        <v>10793</v>
      </c>
      <c r="C55" s="562" t="s">
        <v>10794</v>
      </c>
      <c r="D55" s="588" t="s">
        <v>10478</v>
      </c>
      <c r="E55" s="584" t="s">
        <v>10795</v>
      </c>
      <c r="F55" s="583"/>
      <c r="G55" s="188" t="s">
        <v>10796</v>
      </c>
      <c r="H55" s="509" t="s">
        <v>1808</v>
      </c>
      <c r="I55" s="398" t="s">
        <v>10797</v>
      </c>
      <c r="J55" s="34" t="s">
        <v>10798</v>
      </c>
      <c r="K55" s="44" t="s">
        <v>6872</v>
      </c>
      <c r="L55" s="105"/>
      <c r="M55" s="34" t="s">
        <v>6170</v>
      </c>
      <c r="N55" s="34"/>
      <c r="O55" s="34" t="s">
        <v>1828</v>
      </c>
    </row>
    <row r="56" spans="1:15" ht="38.25">
      <c r="A56" s="34" t="s">
        <v>10799</v>
      </c>
      <c r="B56" s="604" t="s">
        <v>10800</v>
      </c>
      <c r="C56" s="562" t="s">
        <v>10801</v>
      </c>
      <c r="D56" s="588" t="s">
        <v>10478</v>
      </c>
      <c r="E56" s="188" t="s">
        <v>10802</v>
      </c>
      <c r="F56" s="34"/>
      <c r="G56" s="188" t="s">
        <v>9995</v>
      </c>
      <c r="H56" s="509" t="s">
        <v>1808</v>
      </c>
      <c r="I56" s="398" t="s">
        <v>9996</v>
      </c>
      <c r="J56" s="34" t="s">
        <v>10803</v>
      </c>
      <c r="K56" s="44" t="s">
        <v>6872</v>
      </c>
      <c r="L56" s="105"/>
      <c r="M56" s="34" t="s">
        <v>6064</v>
      </c>
      <c r="N56" s="34"/>
      <c r="O56" s="34" t="s">
        <v>1828</v>
      </c>
    </row>
    <row r="57" spans="1:15" ht="38.25">
      <c r="A57" s="34" t="s">
        <v>10804</v>
      </c>
      <c r="B57" s="604" t="s">
        <v>10805</v>
      </c>
      <c r="C57" s="562" t="s">
        <v>10806</v>
      </c>
      <c r="D57" s="588" t="s">
        <v>10493</v>
      </c>
      <c r="E57" s="188" t="s">
        <v>10807</v>
      </c>
      <c r="F57" s="34"/>
      <c r="G57" s="188" t="s">
        <v>10808</v>
      </c>
      <c r="H57" s="509" t="s">
        <v>1808</v>
      </c>
      <c r="I57" s="398" t="s">
        <v>10809</v>
      </c>
      <c r="J57" s="606" t="s">
        <v>10810</v>
      </c>
      <c r="K57" s="44" t="s">
        <v>6872</v>
      </c>
      <c r="L57" s="105"/>
      <c r="M57" s="34" t="s">
        <v>6064</v>
      </c>
      <c r="N57" s="34"/>
      <c r="O57" s="34"/>
    </row>
    <row r="58" spans="1:15" ht="38.25">
      <c r="A58" s="34" t="s">
        <v>10811</v>
      </c>
      <c r="B58" s="602" t="s">
        <v>10812</v>
      </c>
      <c r="C58" s="603" t="s">
        <v>10813</v>
      </c>
      <c r="D58" s="588" t="s">
        <v>10493</v>
      </c>
      <c r="E58" s="188" t="s">
        <v>10814</v>
      </c>
      <c r="F58" s="34"/>
      <c r="G58" s="188" t="s">
        <v>10815</v>
      </c>
      <c r="H58" s="509" t="s">
        <v>1808</v>
      </c>
      <c r="I58" s="34" t="s">
        <v>10816</v>
      </c>
      <c r="J58" s="34" t="s">
        <v>10817</v>
      </c>
      <c r="K58" s="44" t="s">
        <v>6872</v>
      </c>
      <c r="L58" s="105"/>
      <c r="M58" s="34" t="s">
        <v>6724</v>
      </c>
      <c r="N58" s="34" t="s">
        <v>1824</v>
      </c>
      <c r="O58" s="34" t="s">
        <v>1828</v>
      </c>
    </row>
    <row r="59" spans="1:15" ht="38.25">
      <c r="A59" s="34" t="s">
        <v>10818</v>
      </c>
      <c r="B59" s="602" t="s">
        <v>10819</v>
      </c>
      <c r="C59" s="603" t="s">
        <v>10820</v>
      </c>
      <c r="D59" s="588" t="s">
        <v>10493</v>
      </c>
      <c r="E59" s="188" t="s">
        <v>10821</v>
      </c>
      <c r="F59" s="34"/>
      <c r="G59" s="188" t="s">
        <v>10822</v>
      </c>
      <c r="H59" s="509" t="s">
        <v>1808</v>
      </c>
      <c r="I59" s="335" t="s">
        <v>10823</v>
      </c>
      <c r="J59" s="34" t="s">
        <v>10824</v>
      </c>
      <c r="K59" s="44" t="s">
        <v>6872</v>
      </c>
      <c r="L59" s="105"/>
      <c r="M59" s="34" t="s">
        <v>6137</v>
      </c>
      <c r="N59" s="34"/>
      <c r="O59" s="34" t="s">
        <v>5712</v>
      </c>
    </row>
    <row r="60" spans="1:15" ht="51">
      <c r="A60" s="34" t="s">
        <v>10825</v>
      </c>
      <c r="B60" s="604" t="s">
        <v>10826</v>
      </c>
      <c r="C60" s="562" t="s">
        <v>10827</v>
      </c>
      <c r="D60" s="588" t="s">
        <v>10493</v>
      </c>
      <c r="E60" s="188" t="s">
        <v>10828</v>
      </c>
      <c r="F60" s="34"/>
      <c r="G60" s="188" t="s">
        <v>10829</v>
      </c>
      <c r="H60" s="509" t="s">
        <v>1808</v>
      </c>
      <c r="I60" s="34" t="s">
        <v>10830</v>
      </c>
      <c r="J60" s="34" t="s">
        <v>10831</v>
      </c>
      <c r="K60" s="44" t="s">
        <v>6872</v>
      </c>
      <c r="L60" s="105"/>
      <c r="M60" s="34" t="s">
        <v>6137</v>
      </c>
      <c r="N60" s="34"/>
      <c r="O60" s="34" t="s">
        <v>2656</v>
      </c>
    </row>
    <row r="61" spans="1:15" ht="51">
      <c r="A61" s="34" t="s">
        <v>10832</v>
      </c>
      <c r="B61" s="604" t="s">
        <v>10833</v>
      </c>
      <c r="C61" s="562" t="s">
        <v>10834</v>
      </c>
      <c r="D61" s="588" t="s">
        <v>10478</v>
      </c>
      <c r="E61" s="188" t="s">
        <v>10835</v>
      </c>
      <c r="F61" s="34"/>
      <c r="G61" s="188" t="s">
        <v>9995</v>
      </c>
      <c r="H61" s="509" t="s">
        <v>1808</v>
      </c>
      <c r="I61" s="34" t="s">
        <v>9996</v>
      </c>
      <c r="J61" s="34" t="s">
        <v>10836</v>
      </c>
      <c r="K61" s="44" t="s">
        <v>6872</v>
      </c>
      <c r="L61" s="105"/>
      <c r="M61" s="34" t="s">
        <v>6064</v>
      </c>
      <c r="N61" s="34"/>
      <c r="O61" s="34" t="s">
        <v>1828</v>
      </c>
    </row>
    <row r="62" spans="1:15" ht="38.25">
      <c r="A62" s="34" t="s">
        <v>10837</v>
      </c>
      <c r="B62" s="604" t="s">
        <v>10838</v>
      </c>
      <c r="C62" s="562" t="s">
        <v>10839</v>
      </c>
      <c r="D62" s="588" t="s">
        <v>10493</v>
      </c>
      <c r="E62" s="188" t="s">
        <v>10840</v>
      </c>
      <c r="F62" s="34"/>
      <c r="G62" s="188" t="s">
        <v>10841</v>
      </c>
      <c r="H62" s="509" t="s">
        <v>1808</v>
      </c>
      <c r="I62" s="34"/>
      <c r="J62" s="34" t="s">
        <v>10842</v>
      </c>
      <c r="K62" s="44" t="s">
        <v>6872</v>
      </c>
      <c r="L62" s="105"/>
      <c r="M62" s="34" t="s">
        <v>6170</v>
      </c>
      <c r="N62" s="34"/>
      <c r="O62" s="34" t="s">
        <v>500</v>
      </c>
    </row>
    <row r="63" spans="1:15" ht="38.25">
      <c r="A63" s="34" t="s">
        <v>10843</v>
      </c>
      <c r="B63" s="604" t="s">
        <v>10844</v>
      </c>
      <c r="C63" s="562" t="s">
        <v>10845</v>
      </c>
      <c r="D63" s="588" t="s">
        <v>10493</v>
      </c>
      <c r="E63" s="188" t="s">
        <v>10846</v>
      </c>
      <c r="F63" s="34"/>
      <c r="G63" s="188" t="s">
        <v>10847</v>
      </c>
      <c r="H63" s="509" t="s">
        <v>1808</v>
      </c>
      <c r="I63" s="589" t="s">
        <v>10848</v>
      </c>
      <c r="J63" s="34" t="s">
        <v>10849</v>
      </c>
      <c r="K63" s="44" t="s">
        <v>6872</v>
      </c>
      <c r="L63" s="105"/>
      <c r="M63" s="34" t="s">
        <v>6064</v>
      </c>
      <c r="N63" s="34"/>
      <c r="O63" s="34" t="s">
        <v>6795</v>
      </c>
    </row>
    <row r="64" spans="1:15" ht="38.25">
      <c r="A64" s="34" t="s">
        <v>10850</v>
      </c>
      <c r="B64" s="604" t="s">
        <v>10851</v>
      </c>
      <c r="C64" s="562" t="s">
        <v>10852</v>
      </c>
      <c r="D64" s="584" t="s">
        <v>10853</v>
      </c>
      <c r="E64" s="188" t="s">
        <v>10854</v>
      </c>
      <c r="F64" s="34"/>
      <c r="G64" s="188" t="s">
        <v>9995</v>
      </c>
      <c r="H64" s="509" t="s">
        <v>1808</v>
      </c>
      <c r="I64" s="398" t="s">
        <v>9996</v>
      </c>
      <c r="J64" s="34" t="s">
        <v>10855</v>
      </c>
      <c r="K64" s="44" t="s">
        <v>6872</v>
      </c>
      <c r="L64" s="105"/>
      <c r="M64" s="34" t="s">
        <v>6064</v>
      </c>
      <c r="N64" s="34"/>
      <c r="O64" s="34" t="s">
        <v>1828</v>
      </c>
    </row>
    <row r="65" spans="1:15" ht="47.25" customHeight="1">
      <c r="A65" s="34" t="s">
        <v>10856</v>
      </c>
      <c r="B65" s="604" t="s">
        <v>10857</v>
      </c>
      <c r="C65" s="562" t="s">
        <v>10858</v>
      </c>
      <c r="D65" s="588" t="s">
        <v>10493</v>
      </c>
      <c r="E65" s="188" t="s">
        <v>10859</v>
      </c>
      <c r="F65" s="34"/>
      <c r="G65" s="188" t="s">
        <v>10860</v>
      </c>
      <c r="H65" s="509" t="s">
        <v>1808</v>
      </c>
      <c r="I65" s="398" t="s">
        <v>10861</v>
      </c>
      <c r="J65" s="34" t="s">
        <v>10862</v>
      </c>
      <c r="K65" s="44" t="s">
        <v>6872</v>
      </c>
      <c r="L65" s="105"/>
      <c r="M65" s="34" t="s">
        <v>6064</v>
      </c>
      <c r="N65" s="34" t="s">
        <v>1824</v>
      </c>
      <c r="O65" s="34" t="s">
        <v>6314</v>
      </c>
    </row>
    <row r="66" spans="1:15" ht="38.25">
      <c r="A66" s="34" t="s">
        <v>10863</v>
      </c>
      <c r="B66" s="604" t="s">
        <v>10864</v>
      </c>
      <c r="C66" s="562" t="s">
        <v>10865</v>
      </c>
      <c r="D66" s="588" t="s">
        <v>10493</v>
      </c>
      <c r="E66" s="607" t="s">
        <v>10866</v>
      </c>
      <c r="F66" s="44"/>
      <c r="G66" s="188" t="s">
        <v>8489</v>
      </c>
      <c r="H66" s="509" t="s">
        <v>1808</v>
      </c>
      <c r="I66" s="34" t="s">
        <v>2904</v>
      </c>
      <c r="J66" s="34" t="s">
        <v>10867</v>
      </c>
      <c r="K66" s="44" t="s">
        <v>6872</v>
      </c>
      <c r="L66" s="105"/>
      <c r="M66" s="34" t="s">
        <v>6064</v>
      </c>
      <c r="N66" s="34" t="s">
        <v>1824</v>
      </c>
      <c r="O66" s="34" t="s">
        <v>2613</v>
      </c>
    </row>
    <row r="67" spans="1:15" ht="38.25">
      <c r="A67" s="34" t="s">
        <v>10868</v>
      </c>
      <c r="B67" s="604" t="s">
        <v>10869</v>
      </c>
      <c r="C67" s="562" t="s">
        <v>10870</v>
      </c>
      <c r="D67" s="588" t="s">
        <v>10493</v>
      </c>
      <c r="E67" s="607" t="s">
        <v>10871</v>
      </c>
      <c r="F67" s="44"/>
      <c r="G67" s="188" t="s">
        <v>8476</v>
      </c>
      <c r="H67" s="509" t="s">
        <v>1808</v>
      </c>
      <c r="I67" s="34" t="s">
        <v>10660</v>
      </c>
      <c r="J67" s="34" t="s">
        <v>10867</v>
      </c>
      <c r="K67" s="44" t="s">
        <v>6872</v>
      </c>
      <c r="L67" s="105"/>
      <c r="M67" s="34" t="s">
        <v>6064</v>
      </c>
      <c r="N67" s="34" t="s">
        <v>1824</v>
      </c>
      <c r="O67" s="34" t="s">
        <v>2449</v>
      </c>
    </row>
    <row r="68" spans="1:15" ht="38.25">
      <c r="A68" s="34" t="s">
        <v>10872</v>
      </c>
      <c r="B68" s="604" t="s">
        <v>10873</v>
      </c>
      <c r="C68" s="562" t="s">
        <v>10874</v>
      </c>
      <c r="D68" s="588" t="s">
        <v>10493</v>
      </c>
      <c r="E68" s="188" t="s">
        <v>10875</v>
      </c>
      <c r="F68" s="34"/>
      <c r="G68" s="188" t="s">
        <v>1451</v>
      </c>
      <c r="H68" s="509" t="s">
        <v>1808</v>
      </c>
      <c r="I68" s="34" t="s">
        <v>10876</v>
      </c>
      <c r="J68" s="34" t="s">
        <v>2453</v>
      </c>
      <c r="K68" s="44" t="s">
        <v>6872</v>
      </c>
      <c r="L68" s="105"/>
      <c r="M68" s="34" t="s">
        <v>6137</v>
      </c>
      <c r="N68" s="34"/>
      <c r="O68" s="34" t="s">
        <v>2611</v>
      </c>
    </row>
    <row r="69" spans="1:15" ht="51">
      <c r="A69" s="34" t="s">
        <v>10877</v>
      </c>
      <c r="B69" s="604" t="s">
        <v>10878</v>
      </c>
      <c r="C69" s="562" t="s">
        <v>10879</v>
      </c>
      <c r="D69" s="588" t="s">
        <v>10493</v>
      </c>
      <c r="E69" s="188" t="s">
        <v>10880</v>
      </c>
      <c r="F69" s="34"/>
      <c r="G69" s="188" t="s">
        <v>10881</v>
      </c>
      <c r="H69" s="509" t="s">
        <v>1808</v>
      </c>
      <c r="I69" s="34" t="s">
        <v>10882</v>
      </c>
      <c r="J69" s="34" t="s">
        <v>10883</v>
      </c>
      <c r="K69" s="44" t="s">
        <v>6872</v>
      </c>
      <c r="L69" s="105"/>
      <c r="M69" s="34" t="s">
        <v>6092</v>
      </c>
      <c r="N69" s="34" t="s">
        <v>1824</v>
      </c>
      <c r="O69" s="34" t="s">
        <v>2467</v>
      </c>
    </row>
    <row r="70" spans="1:15" ht="38.25">
      <c r="A70" s="34" t="s">
        <v>10884</v>
      </c>
      <c r="B70" s="604" t="s">
        <v>10885</v>
      </c>
      <c r="C70" s="562" t="s">
        <v>10886</v>
      </c>
      <c r="D70" s="588" t="s">
        <v>10493</v>
      </c>
      <c r="E70" s="188" t="s">
        <v>10887</v>
      </c>
      <c r="F70" s="34"/>
      <c r="G70" s="188" t="s">
        <v>8476</v>
      </c>
      <c r="H70" s="509" t="s">
        <v>1808</v>
      </c>
      <c r="I70" s="34" t="s">
        <v>10660</v>
      </c>
      <c r="J70" s="34" t="s">
        <v>10888</v>
      </c>
      <c r="K70" s="44" t="s">
        <v>6872</v>
      </c>
      <c r="L70" s="105"/>
      <c r="M70" s="34" t="s">
        <v>6092</v>
      </c>
      <c r="N70" s="34" t="s">
        <v>1824</v>
      </c>
      <c r="O70" s="34" t="s">
        <v>2449</v>
      </c>
    </row>
    <row r="71" spans="1:15" ht="51">
      <c r="A71" s="34" t="s">
        <v>10889</v>
      </c>
      <c r="B71" s="604" t="s">
        <v>10890</v>
      </c>
      <c r="C71" s="562" t="s">
        <v>10891</v>
      </c>
      <c r="D71" s="588" t="s">
        <v>10493</v>
      </c>
      <c r="E71" s="188" t="s">
        <v>10892</v>
      </c>
      <c r="F71" s="34"/>
      <c r="G71" s="188" t="s">
        <v>10893</v>
      </c>
      <c r="H71" s="509" t="s">
        <v>1808</v>
      </c>
      <c r="I71" s="34" t="s">
        <v>10894</v>
      </c>
      <c r="J71" s="34" t="s">
        <v>10895</v>
      </c>
      <c r="K71" s="44" t="s">
        <v>6872</v>
      </c>
      <c r="L71" s="105"/>
      <c r="M71" s="34" t="s">
        <v>6064</v>
      </c>
      <c r="N71" s="34" t="s">
        <v>1824</v>
      </c>
      <c r="O71" s="34" t="s">
        <v>1828</v>
      </c>
    </row>
    <row r="72" spans="1:15" ht="38.25">
      <c r="A72" s="34" t="s">
        <v>10896</v>
      </c>
      <c r="B72" s="34"/>
      <c r="C72" s="562" t="s">
        <v>10897</v>
      </c>
      <c r="D72" s="588" t="s">
        <v>10493</v>
      </c>
      <c r="E72" s="188" t="s">
        <v>10898</v>
      </c>
      <c r="F72" s="34"/>
      <c r="G72" s="188" t="s">
        <v>10899</v>
      </c>
      <c r="H72" s="509" t="s">
        <v>1808</v>
      </c>
      <c r="I72" s="34" t="s">
        <v>10660</v>
      </c>
      <c r="J72" s="34" t="s">
        <v>10900</v>
      </c>
      <c r="K72" s="44" t="s">
        <v>6872</v>
      </c>
      <c r="L72" s="105"/>
      <c r="M72" s="34" t="s">
        <v>6064</v>
      </c>
      <c r="N72" s="34" t="s">
        <v>1824</v>
      </c>
      <c r="O72" s="34" t="s">
        <v>2449</v>
      </c>
    </row>
    <row r="73" spans="1:15" ht="38.25">
      <c r="A73" s="34" t="s">
        <v>10901</v>
      </c>
      <c r="B73" s="34"/>
      <c r="C73" s="562" t="s">
        <v>10902</v>
      </c>
      <c r="D73" s="588" t="s">
        <v>10493</v>
      </c>
      <c r="E73" s="188" t="s">
        <v>10903</v>
      </c>
      <c r="F73" s="34"/>
      <c r="G73" s="188" t="s">
        <v>10904</v>
      </c>
      <c r="H73" s="509" t="s">
        <v>1808</v>
      </c>
      <c r="I73" s="34" t="s">
        <v>3417</v>
      </c>
      <c r="J73" s="34" t="s">
        <v>10905</v>
      </c>
      <c r="K73" s="44" t="s">
        <v>6872</v>
      </c>
      <c r="L73" s="105"/>
      <c r="M73" s="34" t="s">
        <v>10906</v>
      </c>
      <c r="N73" s="34"/>
      <c r="O73" s="34" t="s">
        <v>1828</v>
      </c>
    </row>
    <row r="74" spans="1:15" ht="38.25">
      <c r="A74" s="34" t="s">
        <v>10907</v>
      </c>
      <c r="B74" s="34"/>
      <c r="C74" s="562" t="s">
        <v>10908</v>
      </c>
      <c r="D74" s="588" t="s">
        <v>10493</v>
      </c>
      <c r="E74" s="188" t="s">
        <v>10909</v>
      </c>
      <c r="F74" s="34"/>
      <c r="G74" s="188" t="s">
        <v>10910</v>
      </c>
      <c r="H74" s="509" t="s">
        <v>1808</v>
      </c>
      <c r="I74" s="34" t="s">
        <v>10911</v>
      </c>
      <c r="J74" s="34" t="s">
        <v>10912</v>
      </c>
      <c r="K74" s="44" t="s">
        <v>6872</v>
      </c>
      <c r="L74" s="105"/>
      <c r="M74" s="34" t="s">
        <v>6137</v>
      </c>
      <c r="N74" s="34"/>
      <c r="O74" s="34" t="s">
        <v>6314</v>
      </c>
    </row>
    <row r="75" spans="1:15" ht="51">
      <c r="A75" s="34" t="s">
        <v>10913</v>
      </c>
      <c r="B75" s="34"/>
      <c r="C75" s="562" t="s">
        <v>10914</v>
      </c>
      <c r="D75" s="588" t="s">
        <v>10493</v>
      </c>
      <c r="E75" s="188" t="s">
        <v>10915</v>
      </c>
      <c r="F75" s="34"/>
      <c r="G75" s="188" t="s">
        <v>10916</v>
      </c>
      <c r="H75" s="509" t="s">
        <v>1808</v>
      </c>
      <c r="I75" s="589"/>
      <c r="J75" s="34" t="s">
        <v>10917</v>
      </c>
      <c r="K75" s="44" t="s">
        <v>6872</v>
      </c>
      <c r="L75" s="105"/>
      <c r="M75" s="34" t="s">
        <v>6170</v>
      </c>
      <c r="N75" s="34"/>
      <c r="O75" s="34" t="s">
        <v>5712</v>
      </c>
    </row>
    <row r="76" spans="1:15" ht="63.75">
      <c r="A76" s="34" t="s">
        <v>10918</v>
      </c>
      <c r="B76" s="34"/>
      <c r="C76" s="562" t="s">
        <v>10919</v>
      </c>
      <c r="D76" s="588" t="s">
        <v>8512</v>
      </c>
      <c r="E76" s="188" t="s">
        <v>10920</v>
      </c>
      <c r="F76" s="34" t="s">
        <v>10921</v>
      </c>
      <c r="G76" s="188" t="s">
        <v>10922</v>
      </c>
      <c r="H76" s="509" t="s">
        <v>1808</v>
      </c>
      <c r="I76" s="34"/>
      <c r="J76" s="34" t="s">
        <v>10923</v>
      </c>
      <c r="K76" s="44" t="s">
        <v>6872</v>
      </c>
      <c r="L76" s="105"/>
      <c r="M76" s="34" t="s">
        <v>6137</v>
      </c>
      <c r="N76" s="34"/>
      <c r="O76" s="34"/>
    </row>
    <row r="77" spans="1:15" ht="38.25">
      <c r="A77" s="34" t="s">
        <v>10924</v>
      </c>
      <c r="B77" s="34"/>
      <c r="C77" s="562" t="s">
        <v>10925</v>
      </c>
      <c r="D77" s="588" t="s">
        <v>8512</v>
      </c>
      <c r="E77" s="188" t="s">
        <v>10926</v>
      </c>
      <c r="F77" s="34" t="s">
        <v>10927</v>
      </c>
      <c r="G77" s="188" t="s">
        <v>1862</v>
      </c>
      <c r="H77" s="509" t="s">
        <v>1808</v>
      </c>
      <c r="I77" s="34" t="s">
        <v>10928</v>
      </c>
      <c r="J77" s="34" t="s">
        <v>10714</v>
      </c>
      <c r="K77" s="44" t="s">
        <v>6872</v>
      </c>
      <c r="L77" s="105"/>
      <c r="M77" s="34" t="s">
        <v>6217</v>
      </c>
      <c r="N77" s="34"/>
      <c r="O77" s="34" t="s">
        <v>1828</v>
      </c>
    </row>
    <row r="78" spans="1:15" ht="38.25">
      <c r="A78" s="34" t="s">
        <v>10929</v>
      </c>
      <c r="B78" s="34"/>
      <c r="C78" s="562" t="s">
        <v>10930</v>
      </c>
      <c r="D78" s="588" t="s">
        <v>8512</v>
      </c>
      <c r="E78" s="188" t="s">
        <v>10931</v>
      </c>
      <c r="F78" s="34" t="s">
        <v>10932</v>
      </c>
      <c r="G78" s="188" t="s">
        <v>9995</v>
      </c>
      <c r="H78" s="509" t="s">
        <v>1808</v>
      </c>
      <c r="I78" s="34"/>
      <c r="J78" s="34" t="s">
        <v>10933</v>
      </c>
      <c r="K78" s="44" t="s">
        <v>6872</v>
      </c>
      <c r="L78" s="105"/>
      <c r="M78" s="34" t="s">
        <v>6170</v>
      </c>
      <c r="N78" s="34"/>
      <c r="O78" s="34"/>
    </row>
    <row r="79" spans="1:15" ht="63.75">
      <c r="A79" s="34" t="s">
        <v>10934</v>
      </c>
      <c r="B79" s="34"/>
      <c r="C79" s="562" t="s">
        <v>10935</v>
      </c>
      <c r="D79" s="588" t="s">
        <v>8512</v>
      </c>
      <c r="E79" s="188" t="s">
        <v>10936</v>
      </c>
      <c r="F79" s="34" t="s">
        <v>10937</v>
      </c>
      <c r="G79" s="188" t="s">
        <v>10938</v>
      </c>
      <c r="H79" s="509" t="s">
        <v>1808</v>
      </c>
      <c r="I79" s="34" t="s">
        <v>10939</v>
      </c>
      <c r="J79" s="34" t="s">
        <v>10940</v>
      </c>
      <c r="K79" s="44" t="s">
        <v>6872</v>
      </c>
      <c r="L79" s="105"/>
      <c r="M79" s="34" t="s">
        <v>6064</v>
      </c>
      <c r="N79" s="34"/>
      <c r="O79" s="34" t="s">
        <v>1847</v>
      </c>
    </row>
    <row r="80" spans="1:15" ht="51">
      <c r="A80" s="34" t="s">
        <v>10941</v>
      </c>
      <c r="B80" s="34"/>
      <c r="C80" s="562" t="s">
        <v>10942</v>
      </c>
      <c r="D80" s="588" t="s">
        <v>8512</v>
      </c>
      <c r="E80" s="188" t="s">
        <v>10943</v>
      </c>
      <c r="F80" s="34" t="s">
        <v>10944</v>
      </c>
      <c r="G80" s="188" t="s">
        <v>10945</v>
      </c>
      <c r="H80" s="509" t="s">
        <v>1808</v>
      </c>
      <c r="I80" s="34" t="s">
        <v>10946</v>
      </c>
      <c r="J80" s="34" t="s">
        <v>10947</v>
      </c>
      <c r="K80" s="44" t="s">
        <v>6872</v>
      </c>
      <c r="L80" s="105"/>
      <c r="M80" s="34" t="s">
        <v>6092</v>
      </c>
      <c r="N80" s="34"/>
      <c r="O80" s="34" t="s">
        <v>1847</v>
      </c>
    </row>
    <row r="81" spans="1:15" ht="38.25">
      <c r="A81" s="34" t="s">
        <v>10948</v>
      </c>
      <c r="B81" s="34"/>
      <c r="C81" s="562" t="s">
        <v>10949</v>
      </c>
      <c r="D81" s="588" t="s">
        <v>8512</v>
      </c>
      <c r="E81" s="188" t="s">
        <v>10950</v>
      </c>
      <c r="F81" s="34" t="s">
        <v>10951</v>
      </c>
      <c r="G81" s="188" t="s">
        <v>2171</v>
      </c>
      <c r="H81" s="509" t="s">
        <v>1808</v>
      </c>
      <c r="I81" s="34" t="s">
        <v>10952</v>
      </c>
      <c r="J81" s="34" t="s">
        <v>10953</v>
      </c>
      <c r="K81" s="44" t="s">
        <v>6872</v>
      </c>
      <c r="L81" s="105"/>
      <c r="M81" s="34" t="s">
        <v>6137</v>
      </c>
      <c r="N81" s="34"/>
      <c r="O81" s="34" t="s">
        <v>6370</v>
      </c>
    </row>
    <row r="82" spans="1:15" ht="38.25">
      <c r="A82" s="34" t="s">
        <v>10954</v>
      </c>
      <c r="B82" s="34"/>
      <c r="C82" s="562" t="s">
        <v>10955</v>
      </c>
      <c r="D82" s="588" t="s">
        <v>8512</v>
      </c>
      <c r="E82" s="188" t="s">
        <v>10956</v>
      </c>
      <c r="F82" s="34" t="s">
        <v>10957</v>
      </c>
      <c r="G82" s="188" t="s">
        <v>10958</v>
      </c>
      <c r="H82" s="509" t="s">
        <v>1808</v>
      </c>
      <c r="I82" s="34" t="s">
        <v>10959</v>
      </c>
      <c r="J82" s="34" t="s">
        <v>10947</v>
      </c>
      <c r="K82" s="44" t="s">
        <v>6872</v>
      </c>
      <c r="L82" s="105"/>
      <c r="M82" s="34" t="s">
        <v>6217</v>
      </c>
      <c r="N82" s="34"/>
      <c r="O82" s="34" t="s">
        <v>1847</v>
      </c>
    </row>
    <row r="83" spans="1:15" ht="51">
      <c r="A83" s="34" t="s">
        <v>10960</v>
      </c>
      <c r="B83" s="34"/>
      <c r="C83" s="562" t="s">
        <v>10961</v>
      </c>
      <c r="D83" s="588" t="s">
        <v>8512</v>
      </c>
      <c r="E83" s="188" t="s">
        <v>10962</v>
      </c>
      <c r="F83" s="34" t="s">
        <v>10963</v>
      </c>
      <c r="G83" s="188" t="s">
        <v>10964</v>
      </c>
      <c r="H83" s="509" t="s">
        <v>1808</v>
      </c>
      <c r="I83" s="34" t="s">
        <v>10965</v>
      </c>
      <c r="J83" s="34" t="s">
        <v>10966</v>
      </c>
      <c r="K83" s="44" t="s">
        <v>6872</v>
      </c>
      <c r="L83" s="105"/>
      <c r="M83" s="34" t="s">
        <v>6064</v>
      </c>
      <c r="N83" s="34"/>
      <c r="O83" s="34"/>
    </row>
    <row r="84" spans="1:15" ht="38.25">
      <c r="A84" s="34" t="s">
        <v>10967</v>
      </c>
      <c r="B84" s="602" t="s">
        <v>10968</v>
      </c>
      <c r="C84" s="603" t="s">
        <v>10969</v>
      </c>
      <c r="D84" s="584" t="s">
        <v>10970</v>
      </c>
      <c r="E84" s="188" t="s">
        <v>10971</v>
      </c>
      <c r="F84" s="34"/>
      <c r="G84" s="188" t="s">
        <v>9995</v>
      </c>
      <c r="H84" s="34"/>
      <c r="I84" s="398" t="s">
        <v>9996</v>
      </c>
      <c r="J84" s="34" t="s">
        <v>10972</v>
      </c>
      <c r="K84" s="44" t="s">
        <v>6872</v>
      </c>
      <c r="L84" s="105"/>
      <c r="M84" s="34" t="s">
        <v>6933</v>
      </c>
      <c r="N84" s="34"/>
      <c r="O84" s="34" t="s">
        <v>1828</v>
      </c>
    </row>
    <row r="85" spans="1:15" ht="18.75" customHeight="1">
      <c r="A85" s="34"/>
      <c r="B85" s="34"/>
      <c r="C85" s="34"/>
      <c r="D85" s="608"/>
      <c r="E85" s="188"/>
      <c r="F85" s="34"/>
      <c r="G85" s="188"/>
      <c r="H85" s="34"/>
      <c r="I85" s="34"/>
      <c r="J85" s="34"/>
      <c r="K85" s="44"/>
      <c r="L85" s="105"/>
      <c r="M85" s="34"/>
      <c r="N85" s="34"/>
      <c r="O85" s="34"/>
    </row>
    <row r="86" spans="1:15" ht="12.75">
      <c r="A86" s="34"/>
      <c r="B86" s="34"/>
      <c r="C86" s="34"/>
      <c r="D86" s="608"/>
      <c r="E86" s="188"/>
      <c r="F86" s="34"/>
      <c r="G86" s="188"/>
      <c r="H86" s="34"/>
      <c r="I86" s="34"/>
      <c r="J86" s="34"/>
      <c r="K86" s="44"/>
      <c r="L86" s="105"/>
      <c r="M86" s="34"/>
      <c r="N86" s="34"/>
      <c r="O86" s="34"/>
    </row>
    <row r="87" spans="1:15" ht="12.75">
      <c r="A87" s="34"/>
      <c r="B87" s="34"/>
      <c r="C87" s="34"/>
      <c r="D87" s="608"/>
      <c r="E87" s="188"/>
      <c r="F87" s="34"/>
      <c r="G87" s="188"/>
      <c r="H87" s="34"/>
      <c r="I87" s="34"/>
      <c r="J87" s="34"/>
      <c r="K87" s="44"/>
      <c r="L87" s="105"/>
      <c r="M87" s="34"/>
      <c r="N87" s="34"/>
      <c r="O87" s="34"/>
    </row>
    <row r="88" spans="1:15" ht="12.75">
      <c r="A88" s="34"/>
      <c r="B88" s="34"/>
      <c r="C88" s="34"/>
      <c r="D88" s="608"/>
      <c r="E88" s="188"/>
      <c r="F88" s="34"/>
      <c r="G88" s="188"/>
      <c r="H88" s="34"/>
      <c r="I88" s="34"/>
      <c r="J88" s="34"/>
      <c r="K88" s="44"/>
      <c r="L88" s="105"/>
      <c r="M88" s="34"/>
      <c r="N88" s="34"/>
      <c r="O88" s="34"/>
    </row>
    <row r="89" spans="1:15" ht="12.75">
      <c r="A89" s="34"/>
      <c r="B89" s="34"/>
      <c r="C89" s="34"/>
      <c r="D89" s="588"/>
      <c r="E89" s="188"/>
      <c r="F89" s="34"/>
      <c r="G89" s="188"/>
      <c r="H89" s="34"/>
      <c r="I89" s="34"/>
      <c r="J89" s="34"/>
      <c r="K89" s="44"/>
      <c r="L89" s="105"/>
      <c r="M89" s="34"/>
      <c r="N89" s="34"/>
      <c r="O89" s="34"/>
    </row>
    <row r="90" spans="1:15" ht="12.75">
      <c r="A90" s="34"/>
      <c r="B90" s="34"/>
      <c r="C90" s="34"/>
      <c r="D90" s="188"/>
      <c r="E90" s="188"/>
      <c r="F90" s="34"/>
      <c r="G90" s="188"/>
      <c r="H90" s="34"/>
      <c r="I90" s="34"/>
      <c r="J90" s="34"/>
      <c r="K90" s="44"/>
      <c r="L90" s="105"/>
      <c r="M90" s="34"/>
      <c r="N90" s="34"/>
      <c r="O90" s="34"/>
    </row>
    <row r="91" spans="1:15" ht="12.75">
      <c r="A91" s="34"/>
      <c r="B91" s="34"/>
      <c r="C91" s="34"/>
      <c r="D91" s="188"/>
      <c r="E91" s="188"/>
      <c r="F91" s="34"/>
      <c r="G91" s="188"/>
      <c r="H91" s="34"/>
      <c r="I91" s="34"/>
      <c r="J91" s="34"/>
      <c r="K91" s="44"/>
      <c r="L91" s="105"/>
      <c r="M91" s="34"/>
      <c r="N91" s="34"/>
      <c r="O91" s="34"/>
    </row>
    <row r="92" spans="1:15" ht="12.75">
      <c r="A92" s="34"/>
      <c r="B92" s="34"/>
      <c r="C92" s="34"/>
      <c r="D92" s="188"/>
      <c r="E92" s="188"/>
      <c r="F92" s="34"/>
      <c r="G92" s="188"/>
      <c r="H92" s="34"/>
      <c r="I92" s="34"/>
      <c r="J92" s="34"/>
      <c r="K92" s="44"/>
      <c r="L92" s="105"/>
      <c r="M92" s="34"/>
      <c r="N92" s="34"/>
      <c r="O92" s="34"/>
    </row>
    <row r="93" spans="1:15" ht="12.75">
      <c r="A93" s="34"/>
      <c r="B93" s="34"/>
      <c r="C93" s="34"/>
      <c r="D93" s="188"/>
      <c r="E93" s="188"/>
      <c r="F93" s="34"/>
      <c r="G93" s="188"/>
      <c r="H93" s="34"/>
      <c r="I93" s="34"/>
      <c r="J93" s="34"/>
      <c r="K93" s="44"/>
      <c r="L93" s="105"/>
      <c r="M93" s="34"/>
      <c r="N93" s="34"/>
      <c r="O93" s="34"/>
    </row>
    <row r="94" spans="1:15" ht="12.75">
      <c r="A94" s="34"/>
      <c r="B94" s="34"/>
      <c r="C94" s="34"/>
      <c r="D94" s="188"/>
      <c r="E94" s="188"/>
      <c r="F94" s="34"/>
      <c r="G94" s="188"/>
      <c r="H94" s="34"/>
      <c r="I94" s="34"/>
      <c r="J94" s="34"/>
      <c r="K94" s="44"/>
      <c r="L94" s="105"/>
      <c r="M94" s="34"/>
      <c r="N94" s="34"/>
      <c r="O94" s="34"/>
    </row>
    <row r="95" spans="1:15" ht="12.75">
      <c r="A95" s="34"/>
      <c r="B95" s="34"/>
      <c r="C95" s="34"/>
      <c r="D95" s="188"/>
      <c r="E95" s="188"/>
      <c r="F95" s="34"/>
      <c r="G95" s="188"/>
      <c r="H95" s="34"/>
      <c r="I95" s="34"/>
      <c r="J95" s="34"/>
      <c r="K95" s="44"/>
      <c r="L95" s="105"/>
      <c r="M95" s="34"/>
      <c r="N95" s="34"/>
      <c r="O95" s="34"/>
    </row>
    <row r="96" spans="1:15" ht="12.75">
      <c r="A96" s="34"/>
      <c r="B96" s="34"/>
      <c r="C96" s="34"/>
      <c r="D96" s="608"/>
      <c r="E96" s="188"/>
      <c r="F96" s="34"/>
      <c r="G96" s="188"/>
      <c r="H96" s="34"/>
      <c r="I96" s="34"/>
      <c r="J96" s="34"/>
      <c r="K96" s="44"/>
      <c r="L96" s="105"/>
      <c r="M96" s="34"/>
      <c r="N96" s="34"/>
      <c r="O96" s="34"/>
    </row>
    <row r="97" spans="1:15" ht="12.75">
      <c r="A97" s="34"/>
      <c r="B97" s="34"/>
      <c r="C97" s="34"/>
      <c r="D97" s="608"/>
      <c r="E97" s="188"/>
      <c r="F97" s="34"/>
      <c r="G97" s="188"/>
      <c r="H97" s="34"/>
      <c r="I97" s="34"/>
      <c r="J97" s="34"/>
      <c r="K97" s="44"/>
      <c r="L97" s="105"/>
      <c r="M97" s="34"/>
      <c r="N97" s="34"/>
      <c r="O97" s="34"/>
    </row>
    <row r="98" spans="1:15" ht="12.75">
      <c r="A98" s="34"/>
      <c r="B98" s="34"/>
      <c r="C98" s="34"/>
      <c r="D98" s="608"/>
      <c r="E98" s="188"/>
      <c r="F98" s="34"/>
      <c r="G98" s="188"/>
      <c r="H98" s="34"/>
      <c r="I98" s="34"/>
      <c r="J98" s="34"/>
      <c r="K98" s="44"/>
      <c r="L98" s="105"/>
      <c r="M98" s="34"/>
      <c r="N98" s="34"/>
      <c r="O98" s="34"/>
    </row>
    <row r="99" spans="1:15" ht="12.75">
      <c r="A99" s="34"/>
      <c r="B99" s="34"/>
      <c r="C99" s="34"/>
      <c r="D99" s="608"/>
      <c r="E99" s="188"/>
      <c r="F99" s="34"/>
      <c r="G99" s="188"/>
      <c r="H99" s="34"/>
      <c r="I99" s="34"/>
      <c r="J99" s="34"/>
      <c r="K99" s="44"/>
      <c r="L99" s="105"/>
      <c r="M99" s="34"/>
      <c r="N99" s="34"/>
      <c r="O99" s="34"/>
    </row>
    <row r="100" spans="1:15" ht="12.75">
      <c r="A100" s="34"/>
      <c r="B100" s="34"/>
      <c r="C100" s="34"/>
      <c r="D100" s="188"/>
      <c r="E100" s="188"/>
      <c r="F100" s="34"/>
      <c r="G100" s="188"/>
      <c r="H100" s="34"/>
      <c r="I100" s="34"/>
      <c r="J100" s="34"/>
      <c r="K100" s="44"/>
      <c r="L100" s="105"/>
      <c r="M100" s="34"/>
      <c r="N100" s="34"/>
      <c r="O100" s="34"/>
    </row>
    <row r="101" spans="1:15" ht="12.75">
      <c r="A101" s="34"/>
      <c r="B101" s="34"/>
      <c r="C101" s="34"/>
      <c r="D101" s="188"/>
      <c r="E101" s="188"/>
      <c r="F101" s="34"/>
      <c r="G101" s="188"/>
      <c r="H101" s="34"/>
      <c r="I101" s="34"/>
      <c r="J101" s="34"/>
      <c r="K101" s="44"/>
      <c r="L101" s="105"/>
      <c r="M101" s="34"/>
      <c r="N101" s="34"/>
      <c r="O101" s="34"/>
    </row>
    <row r="102" spans="1:15" ht="12.75">
      <c r="A102" s="34"/>
      <c r="B102" s="34"/>
      <c r="C102" s="34"/>
      <c r="D102" s="188"/>
      <c r="E102" s="188"/>
      <c r="F102" s="34"/>
      <c r="G102" s="188"/>
      <c r="H102" s="34"/>
      <c r="I102" s="34"/>
      <c r="J102" s="34"/>
      <c r="K102" s="44"/>
      <c r="L102" s="105"/>
      <c r="M102" s="34"/>
      <c r="N102" s="34"/>
      <c r="O102" s="34"/>
    </row>
    <row r="103" spans="1:15" ht="12.75">
      <c r="A103" s="34"/>
      <c r="B103" s="34"/>
      <c r="C103" s="34"/>
      <c r="D103" s="188"/>
      <c r="E103" s="188"/>
      <c r="F103" s="34"/>
      <c r="G103" s="188"/>
      <c r="H103" s="34"/>
      <c r="I103" s="34"/>
      <c r="J103" s="34"/>
      <c r="K103" s="44"/>
      <c r="L103" s="105"/>
      <c r="M103" s="34"/>
      <c r="N103" s="34"/>
      <c r="O103" s="34"/>
    </row>
    <row r="104" spans="1:15" ht="12.75">
      <c r="A104" s="34"/>
      <c r="B104" s="34"/>
      <c r="C104" s="34"/>
      <c r="D104" s="188"/>
      <c r="E104" s="188"/>
      <c r="F104" s="34"/>
      <c r="G104" s="188"/>
      <c r="H104" s="34"/>
      <c r="I104" s="34"/>
      <c r="J104" s="34"/>
      <c r="K104" s="44"/>
      <c r="L104" s="105"/>
      <c r="M104" s="34"/>
      <c r="N104" s="34"/>
      <c r="O104" s="34"/>
    </row>
    <row r="105" spans="1:15" ht="12.75">
      <c r="A105" s="34"/>
      <c r="B105" s="34"/>
      <c r="C105" s="34"/>
      <c r="D105" s="188"/>
      <c r="E105" s="188"/>
      <c r="F105" s="34"/>
      <c r="G105" s="188"/>
      <c r="H105" s="34"/>
      <c r="I105" s="34"/>
      <c r="J105" s="34"/>
      <c r="K105" s="44"/>
      <c r="L105" s="105"/>
      <c r="M105" s="34"/>
      <c r="N105" s="34"/>
      <c r="O105" s="34"/>
    </row>
    <row r="106" spans="1:15" ht="12.75">
      <c r="A106" s="34"/>
      <c r="B106" s="34"/>
      <c r="C106" s="34"/>
      <c r="D106" s="188"/>
      <c r="E106" s="188"/>
      <c r="F106" s="34"/>
      <c r="G106" s="188"/>
      <c r="H106" s="34"/>
      <c r="I106" s="34"/>
      <c r="J106" s="34"/>
      <c r="K106" s="44"/>
      <c r="L106" s="105"/>
      <c r="M106" s="34"/>
      <c r="N106" s="34"/>
      <c r="O106" s="34"/>
    </row>
    <row r="107" spans="1:15" ht="12.75">
      <c r="A107" s="34"/>
      <c r="B107" s="34"/>
      <c r="C107" s="34"/>
      <c r="D107" s="188"/>
      <c r="E107" s="188"/>
      <c r="F107" s="34"/>
      <c r="G107" s="188"/>
      <c r="H107" s="34"/>
      <c r="I107" s="34"/>
      <c r="J107" s="34"/>
      <c r="K107" s="44"/>
      <c r="L107" s="105"/>
      <c r="M107" s="34"/>
      <c r="N107" s="34"/>
      <c r="O107" s="34"/>
    </row>
    <row r="108" spans="1:15" ht="12.75">
      <c r="A108" s="34"/>
      <c r="B108" s="34"/>
      <c r="C108" s="34"/>
      <c r="D108" s="188"/>
      <c r="E108" s="188"/>
      <c r="F108" s="34"/>
      <c r="G108" s="188"/>
      <c r="H108" s="34"/>
      <c r="I108" s="34"/>
      <c r="J108" s="34"/>
      <c r="K108" s="44"/>
      <c r="L108" s="105"/>
      <c r="M108" s="34"/>
      <c r="N108" s="34"/>
      <c r="O108" s="34"/>
    </row>
    <row r="109" spans="1:15" ht="12.75">
      <c r="A109" s="34"/>
      <c r="B109" s="34"/>
      <c r="C109" s="34"/>
      <c r="D109" s="188"/>
      <c r="E109" s="188"/>
      <c r="F109" s="34"/>
      <c r="G109" s="188"/>
      <c r="H109" s="34"/>
      <c r="I109" s="34"/>
      <c r="J109" s="34"/>
      <c r="K109" s="44"/>
      <c r="L109" s="105"/>
      <c r="M109" s="34"/>
      <c r="N109" s="34"/>
      <c r="O109" s="34"/>
    </row>
    <row r="110" spans="1:15" ht="12.75">
      <c r="A110" s="34"/>
      <c r="B110" s="34"/>
      <c r="C110" s="34"/>
      <c r="D110" s="188"/>
      <c r="E110" s="188"/>
      <c r="F110" s="34"/>
      <c r="G110" s="188"/>
      <c r="H110" s="34"/>
      <c r="I110" s="34"/>
      <c r="J110" s="34"/>
      <c r="K110" s="44"/>
      <c r="L110" s="105"/>
      <c r="M110" s="34"/>
      <c r="N110" s="34"/>
      <c r="O110" s="34"/>
    </row>
    <row r="111" spans="1:15" ht="12.75">
      <c r="A111" s="34"/>
      <c r="B111" s="34"/>
      <c r="C111" s="34"/>
      <c r="D111" s="188"/>
      <c r="E111" s="188"/>
      <c r="F111" s="34"/>
      <c r="G111" s="188"/>
      <c r="H111" s="34"/>
      <c r="I111" s="34"/>
      <c r="J111" s="34"/>
      <c r="K111" s="44"/>
      <c r="L111" s="105"/>
      <c r="M111" s="34"/>
      <c r="N111" s="34"/>
      <c r="O111" s="34"/>
    </row>
    <row r="112" spans="1:15" ht="12.75">
      <c r="A112" s="34"/>
      <c r="B112" s="34"/>
      <c r="C112" s="34"/>
      <c r="D112" s="188"/>
      <c r="E112" s="188"/>
      <c r="F112" s="34"/>
      <c r="G112" s="188"/>
      <c r="H112" s="34"/>
      <c r="I112" s="34"/>
      <c r="J112" s="34"/>
      <c r="K112" s="44"/>
      <c r="L112" s="105"/>
      <c r="M112" s="34"/>
      <c r="N112" s="34"/>
      <c r="O112" s="34"/>
    </row>
    <row r="113" spans="1:15" ht="12.75">
      <c r="A113" s="34"/>
      <c r="B113" s="34"/>
      <c r="C113" s="34"/>
      <c r="D113" s="188"/>
      <c r="E113" s="188"/>
      <c r="F113" s="34"/>
      <c r="G113" s="188"/>
      <c r="H113" s="34"/>
      <c r="I113" s="34"/>
      <c r="J113" s="34"/>
      <c r="K113" s="44"/>
      <c r="L113" s="105"/>
      <c r="M113" s="34"/>
      <c r="N113" s="34"/>
      <c r="O113" s="34"/>
    </row>
    <row r="114" spans="1:15" ht="12.75">
      <c r="A114" s="34"/>
      <c r="B114" s="34"/>
      <c r="C114" s="34"/>
      <c r="D114" s="188"/>
      <c r="E114" s="188"/>
      <c r="F114" s="34"/>
      <c r="G114" s="188"/>
      <c r="H114" s="34"/>
      <c r="I114" s="34"/>
      <c r="J114" s="34"/>
      <c r="K114" s="44"/>
      <c r="L114" s="105"/>
      <c r="M114" s="34"/>
      <c r="N114" s="34"/>
      <c r="O114" s="34"/>
    </row>
    <row r="115" spans="1:15" ht="12.75">
      <c r="A115" s="34"/>
      <c r="B115" s="34"/>
      <c r="C115" s="34"/>
      <c r="D115" s="188"/>
      <c r="E115" s="188"/>
      <c r="F115" s="34"/>
      <c r="G115" s="188"/>
      <c r="H115" s="34"/>
      <c r="I115" s="34"/>
      <c r="J115" s="34"/>
      <c r="K115" s="44"/>
      <c r="L115" s="105"/>
      <c r="M115" s="34"/>
      <c r="N115" s="34"/>
      <c r="O115" s="34"/>
    </row>
    <row r="116" spans="1:15" ht="12.75">
      <c r="A116" s="34"/>
      <c r="B116" s="34"/>
      <c r="C116" s="34"/>
      <c r="D116" s="188"/>
      <c r="E116" s="188"/>
      <c r="F116" s="34"/>
      <c r="G116" s="188"/>
      <c r="H116" s="34"/>
      <c r="I116" s="34"/>
      <c r="J116" s="34"/>
      <c r="K116" s="44"/>
      <c r="L116" s="105"/>
      <c r="M116" s="34"/>
      <c r="N116" s="34"/>
      <c r="O116" s="34"/>
    </row>
    <row r="117" spans="1:15" ht="12.75">
      <c r="A117" s="34"/>
      <c r="B117" s="34"/>
      <c r="C117" s="34"/>
      <c r="D117" s="188"/>
      <c r="E117" s="188"/>
      <c r="F117" s="34"/>
      <c r="G117" s="188"/>
      <c r="H117" s="34"/>
      <c r="I117" s="34"/>
      <c r="J117" s="34"/>
      <c r="K117" s="44"/>
      <c r="L117" s="105"/>
      <c r="M117" s="34"/>
      <c r="N117" s="34"/>
      <c r="O117" s="34"/>
    </row>
    <row r="118" spans="1:15" ht="12.75">
      <c r="A118" s="34"/>
      <c r="B118" s="34"/>
      <c r="C118" s="34"/>
      <c r="D118" s="188"/>
      <c r="E118" s="188"/>
      <c r="F118" s="34"/>
      <c r="G118" s="188"/>
      <c r="H118" s="34"/>
      <c r="I118" s="34"/>
      <c r="J118" s="34"/>
      <c r="K118" s="44"/>
      <c r="L118" s="105"/>
      <c r="M118" s="34"/>
      <c r="N118" s="34"/>
      <c r="O118" s="34"/>
    </row>
    <row r="119" spans="1:15" ht="12.75">
      <c r="A119" s="34"/>
      <c r="B119" s="34"/>
      <c r="C119" s="34"/>
      <c r="D119" s="188"/>
      <c r="E119" s="188"/>
      <c r="F119" s="34"/>
      <c r="G119" s="188"/>
      <c r="H119" s="34"/>
      <c r="I119" s="34"/>
      <c r="J119" s="34"/>
      <c r="K119" s="44"/>
      <c r="L119" s="105"/>
      <c r="M119" s="34"/>
      <c r="N119" s="34"/>
      <c r="O119" s="34"/>
    </row>
    <row r="120" spans="1:15" ht="12.75">
      <c r="A120" s="34"/>
      <c r="B120" s="34"/>
      <c r="C120" s="34"/>
      <c r="D120" s="188"/>
      <c r="E120" s="188"/>
      <c r="F120" s="34"/>
      <c r="G120" s="188"/>
      <c r="H120" s="34"/>
      <c r="I120" s="34"/>
      <c r="J120" s="34"/>
      <c r="K120" s="44"/>
      <c r="L120" s="105"/>
      <c r="M120" s="34"/>
      <c r="N120" s="34"/>
      <c r="O120" s="34"/>
    </row>
    <row r="121" spans="1:15" ht="12.75">
      <c r="A121" s="34"/>
      <c r="B121" s="34"/>
      <c r="C121" s="34"/>
      <c r="D121" s="188"/>
      <c r="E121" s="188"/>
      <c r="F121" s="34"/>
      <c r="G121" s="188"/>
      <c r="H121" s="34"/>
      <c r="I121" s="34"/>
      <c r="J121" s="34"/>
      <c r="K121" s="44"/>
      <c r="L121" s="105"/>
      <c r="M121" s="34"/>
      <c r="N121" s="34"/>
      <c r="O121" s="34"/>
    </row>
    <row r="122" spans="1:15" ht="12.75">
      <c r="A122" s="34"/>
      <c r="B122" s="34"/>
      <c r="C122" s="34"/>
      <c r="D122" s="188"/>
      <c r="E122" s="188"/>
      <c r="F122" s="34"/>
      <c r="G122" s="188"/>
      <c r="H122" s="34"/>
      <c r="I122" s="34"/>
      <c r="J122" s="34"/>
      <c r="K122" s="44"/>
      <c r="L122" s="105"/>
      <c r="M122" s="34"/>
      <c r="N122" s="34"/>
      <c r="O122" s="34"/>
    </row>
    <row r="123" spans="1:15" ht="12.75">
      <c r="A123" s="34"/>
      <c r="B123" s="34"/>
      <c r="C123" s="34"/>
      <c r="D123" s="188"/>
      <c r="E123" s="188"/>
      <c r="F123" s="34"/>
      <c r="G123" s="188"/>
      <c r="H123" s="34"/>
      <c r="I123" s="34"/>
      <c r="J123" s="34"/>
      <c r="K123" s="44"/>
      <c r="L123" s="105"/>
      <c r="M123" s="34"/>
      <c r="N123" s="34"/>
      <c r="O123" s="34"/>
    </row>
    <row r="124" spans="1:15" ht="12.75">
      <c r="A124" s="34"/>
      <c r="B124" s="34"/>
      <c r="C124" s="34"/>
      <c r="D124" s="188"/>
      <c r="E124" s="188"/>
      <c r="F124" s="34"/>
      <c r="G124" s="188"/>
      <c r="H124" s="34"/>
      <c r="I124" s="34"/>
      <c r="J124" s="34"/>
      <c r="K124" s="44"/>
      <c r="L124" s="105"/>
      <c r="M124" s="34"/>
      <c r="N124" s="34"/>
      <c r="O124" s="34"/>
    </row>
    <row r="125" spans="1:15" ht="12.75">
      <c r="A125" s="34"/>
      <c r="B125" s="34"/>
      <c r="C125" s="34"/>
      <c r="D125" s="188"/>
      <c r="E125" s="188"/>
      <c r="F125" s="34"/>
      <c r="G125" s="188"/>
      <c r="H125" s="34"/>
      <c r="I125" s="34"/>
      <c r="J125" s="34"/>
      <c r="K125" s="44"/>
      <c r="L125" s="105"/>
      <c r="M125" s="34"/>
      <c r="N125" s="34"/>
      <c r="O125" s="34"/>
    </row>
    <row r="126" spans="1:15" ht="12.75">
      <c r="A126" s="34"/>
      <c r="B126" s="34"/>
      <c r="C126" s="34"/>
      <c r="D126" s="188"/>
      <c r="E126" s="188"/>
      <c r="F126" s="34"/>
      <c r="G126" s="188"/>
      <c r="H126" s="34"/>
      <c r="I126" s="34"/>
      <c r="J126" s="34"/>
      <c r="K126" s="44"/>
      <c r="L126" s="105"/>
      <c r="M126" s="34"/>
      <c r="N126" s="34"/>
      <c r="O126" s="34"/>
    </row>
    <row r="127" spans="1:15" ht="12.75">
      <c r="A127" s="34"/>
      <c r="B127" s="34"/>
      <c r="C127" s="34"/>
      <c r="D127" s="188"/>
      <c r="E127" s="188"/>
      <c r="F127" s="34"/>
      <c r="G127" s="188"/>
      <c r="H127" s="34"/>
      <c r="I127" s="34"/>
      <c r="J127" s="34"/>
      <c r="K127" s="44"/>
      <c r="L127" s="105"/>
      <c r="M127" s="34"/>
      <c r="N127" s="34"/>
      <c r="O127" s="34"/>
    </row>
    <row r="128" spans="1:15" ht="12.75">
      <c r="A128" s="34"/>
      <c r="B128" s="34"/>
      <c r="C128" s="34"/>
      <c r="D128" s="188"/>
      <c r="E128" s="188"/>
      <c r="F128" s="34"/>
      <c r="G128" s="188"/>
      <c r="H128" s="34"/>
      <c r="I128" s="34"/>
      <c r="J128" s="34"/>
      <c r="K128" s="44"/>
      <c r="L128" s="105"/>
      <c r="M128" s="34"/>
      <c r="N128" s="34"/>
      <c r="O128" s="34"/>
    </row>
    <row r="129" spans="1:15" ht="12.75">
      <c r="A129" s="34"/>
      <c r="B129" s="34"/>
      <c r="C129" s="34"/>
      <c r="D129" s="188"/>
      <c r="E129" s="188"/>
      <c r="F129" s="34"/>
      <c r="G129" s="188"/>
      <c r="H129" s="34"/>
      <c r="I129" s="34"/>
      <c r="J129" s="34"/>
      <c r="K129" s="44"/>
      <c r="L129" s="105"/>
      <c r="M129" s="34"/>
      <c r="N129" s="34"/>
      <c r="O129" s="34"/>
    </row>
    <row r="130" spans="1:15" ht="12.75">
      <c r="A130" s="34"/>
      <c r="B130" s="34"/>
      <c r="C130" s="34"/>
      <c r="D130" s="188"/>
      <c r="E130" s="188"/>
      <c r="F130" s="34"/>
      <c r="G130" s="188"/>
      <c r="H130" s="34"/>
      <c r="I130" s="34"/>
      <c r="J130" s="34"/>
      <c r="K130" s="44"/>
      <c r="L130" s="105"/>
      <c r="M130" s="34"/>
      <c r="N130" s="34"/>
      <c r="O130" s="34"/>
    </row>
    <row r="131" spans="1:15" ht="12.75">
      <c r="A131" s="34"/>
      <c r="B131" s="34"/>
      <c r="C131" s="34"/>
      <c r="D131" s="188"/>
      <c r="E131" s="188"/>
      <c r="F131" s="34"/>
      <c r="G131" s="188"/>
      <c r="H131" s="34"/>
      <c r="I131" s="34"/>
      <c r="J131" s="34"/>
      <c r="K131" s="44"/>
      <c r="L131" s="105"/>
      <c r="M131" s="34"/>
      <c r="N131" s="34"/>
      <c r="O131" s="34"/>
    </row>
    <row r="132" spans="1:15" ht="12.75">
      <c r="A132" s="34"/>
      <c r="B132" s="34"/>
      <c r="C132" s="34"/>
      <c r="D132" s="188"/>
      <c r="E132" s="188"/>
      <c r="F132" s="34"/>
      <c r="G132" s="188"/>
      <c r="H132" s="34"/>
      <c r="I132" s="34"/>
      <c r="J132" s="34"/>
      <c r="K132" s="44"/>
      <c r="L132" s="105"/>
      <c r="M132" s="34"/>
      <c r="N132" s="34"/>
      <c r="O132" s="34"/>
    </row>
    <row r="133" spans="1:15" ht="12.75">
      <c r="A133" s="34"/>
      <c r="B133" s="34"/>
      <c r="C133" s="34"/>
      <c r="D133" s="188"/>
      <c r="E133" s="188"/>
      <c r="F133" s="34"/>
      <c r="G133" s="188"/>
      <c r="H133" s="34"/>
      <c r="I133" s="34"/>
      <c r="J133" s="34"/>
      <c r="K133" s="44"/>
      <c r="L133" s="105"/>
      <c r="M133" s="34"/>
      <c r="N133" s="34"/>
      <c r="O133" s="34"/>
    </row>
    <row r="134" spans="1:15" ht="12.75">
      <c r="A134" s="34"/>
      <c r="B134" s="34"/>
      <c r="C134" s="34"/>
      <c r="D134" s="188"/>
      <c r="E134" s="188"/>
      <c r="F134" s="34"/>
      <c r="G134" s="188"/>
      <c r="H134" s="34"/>
      <c r="I134" s="34"/>
      <c r="J134" s="34"/>
      <c r="K134" s="44"/>
      <c r="L134" s="105"/>
      <c r="M134" s="34"/>
      <c r="N134" s="34"/>
      <c r="O134" s="34"/>
    </row>
    <row r="135" spans="1:15" ht="12.75">
      <c r="A135" s="34"/>
      <c r="B135" s="34"/>
      <c r="C135" s="34"/>
      <c r="D135" s="188"/>
      <c r="E135" s="188"/>
      <c r="F135" s="34"/>
      <c r="G135" s="188"/>
      <c r="H135" s="34"/>
      <c r="I135" s="34"/>
      <c r="J135" s="34"/>
      <c r="K135" s="44"/>
      <c r="L135" s="105"/>
      <c r="M135" s="34"/>
      <c r="N135" s="34"/>
      <c r="O135" s="34"/>
    </row>
    <row r="136" spans="1:15" ht="12.75">
      <c r="A136" s="34"/>
      <c r="B136" s="34"/>
      <c r="C136" s="34"/>
      <c r="D136" s="188"/>
      <c r="E136" s="188"/>
      <c r="F136" s="34"/>
      <c r="G136" s="188"/>
      <c r="H136" s="34"/>
      <c r="I136" s="34"/>
      <c r="J136" s="34"/>
      <c r="K136" s="44"/>
      <c r="L136" s="105"/>
      <c r="M136" s="34"/>
      <c r="N136" s="34"/>
      <c r="O136" s="34"/>
    </row>
    <row r="137" spans="1:15" ht="12.75">
      <c r="A137" s="34"/>
      <c r="B137" s="34"/>
      <c r="C137" s="34"/>
      <c r="D137" s="188"/>
      <c r="E137" s="188"/>
      <c r="F137" s="34"/>
      <c r="G137" s="188"/>
      <c r="H137" s="34"/>
      <c r="I137" s="34"/>
      <c r="J137" s="34"/>
      <c r="K137" s="44"/>
      <c r="L137" s="105"/>
      <c r="M137" s="34"/>
      <c r="N137" s="34"/>
      <c r="O137" s="34"/>
    </row>
    <row r="138" spans="1:15" ht="12.75">
      <c r="A138" s="34"/>
      <c r="B138" s="34"/>
      <c r="C138" s="34"/>
      <c r="D138" s="188"/>
      <c r="E138" s="188"/>
      <c r="F138" s="34"/>
      <c r="G138" s="188"/>
      <c r="H138" s="34"/>
      <c r="I138" s="34"/>
      <c r="J138" s="34"/>
      <c r="K138" s="44"/>
      <c r="L138" s="105"/>
      <c r="M138" s="34"/>
      <c r="N138" s="34"/>
      <c r="O138" s="34"/>
    </row>
    <row r="139" spans="1:15" ht="12.75">
      <c r="A139" s="34"/>
      <c r="B139" s="34"/>
      <c r="C139" s="34"/>
      <c r="D139" s="188"/>
      <c r="E139" s="188"/>
      <c r="F139" s="34"/>
      <c r="G139" s="188"/>
      <c r="H139" s="34"/>
      <c r="I139" s="34"/>
      <c r="J139" s="34"/>
      <c r="K139" s="44"/>
      <c r="L139" s="105"/>
      <c r="M139" s="34"/>
      <c r="N139" s="34"/>
      <c r="O139" s="34"/>
    </row>
    <row r="140" spans="1:15" ht="12.75">
      <c r="A140" s="34"/>
      <c r="B140" s="34"/>
      <c r="C140" s="34"/>
      <c r="D140" s="188"/>
      <c r="E140" s="188"/>
      <c r="F140" s="34"/>
      <c r="G140" s="188"/>
      <c r="H140" s="34"/>
      <c r="I140" s="34"/>
      <c r="J140" s="34"/>
      <c r="K140" s="44"/>
      <c r="L140" s="105"/>
      <c r="M140" s="34"/>
      <c r="N140" s="34"/>
      <c r="O140" s="34"/>
    </row>
    <row r="141" spans="1:15" ht="12.75">
      <c r="A141" s="34"/>
      <c r="B141" s="34"/>
      <c r="C141" s="34"/>
      <c r="D141" s="188"/>
      <c r="E141" s="188"/>
      <c r="F141" s="34"/>
      <c r="G141" s="188"/>
      <c r="H141" s="34"/>
      <c r="I141" s="34"/>
      <c r="J141" s="34"/>
      <c r="K141" s="44"/>
      <c r="L141" s="105"/>
      <c r="M141" s="34"/>
      <c r="N141" s="34"/>
      <c r="O141" s="34"/>
    </row>
    <row r="142" spans="1:15" ht="12.75">
      <c r="A142" s="34"/>
      <c r="B142" s="34"/>
      <c r="C142" s="34"/>
      <c r="D142" s="188"/>
      <c r="E142" s="188"/>
      <c r="F142" s="34"/>
      <c r="G142" s="188"/>
      <c r="H142" s="34"/>
      <c r="I142" s="34"/>
      <c r="J142" s="34"/>
      <c r="K142" s="44"/>
      <c r="L142" s="105"/>
      <c r="M142" s="34"/>
      <c r="N142" s="34"/>
      <c r="O142" s="34"/>
    </row>
    <row r="143" spans="1:15" ht="12.75">
      <c r="A143" s="34"/>
      <c r="B143" s="34"/>
      <c r="C143" s="34"/>
      <c r="D143" s="188"/>
      <c r="E143" s="188"/>
      <c r="F143" s="34"/>
      <c r="G143" s="188"/>
      <c r="H143" s="34"/>
      <c r="I143" s="34"/>
      <c r="J143" s="34"/>
      <c r="K143" s="44"/>
      <c r="L143" s="105"/>
      <c r="M143" s="34"/>
      <c r="N143" s="34"/>
      <c r="O143" s="34"/>
    </row>
    <row r="144" spans="1:15" ht="12.75">
      <c r="A144" s="34"/>
      <c r="B144" s="34"/>
      <c r="C144" s="34"/>
      <c r="D144" s="188"/>
      <c r="E144" s="188"/>
      <c r="F144" s="34"/>
      <c r="G144" s="188"/>
      <c r="H144" s="34"/>
      <c r="I144" s="34"/>
      <c r="J144" s="34"/>
      <c r="K144" s="44"/>
      <c r="L144" s="105"/>
      <c r="M144" s="34"/>
      <c r="N144" s="34"/>
      <c r="O144" s="34"/>
    </row>
    <row r="145" spans="1:15" ht="12.75">
      <c r="A145" s="34"/>
      <c r="B145" s="34"/>
      <c r="C145" s="34"/>
      <c r="D145" s="188"/>
      <c r="E145" s="188"/>
      <c r="F145" s="34"/>
      <c r="G145" s="188"/>
      <c r="H145" s="34"/>
      <c r="I145" s="34"/>
      <c r="J145" s="34"/>
      <c r="K145" s="44"/>
      <c r="L145" s="105"/>
      <c r="M145" s="34"/>
      <c r="N145" s="34"/>
      <c r="O145" s="34"/>
    </row>
    <row r="146" spans="1:15" ht="12.75">
      <c r="A146" s="34"/>
      <c r="B146" s="34"/>
      <c r="C146" s="34"/>
      <c r="D146" s="188"/>
      <c r="E146" s="188"/>
      <c r="F146" s="34"/>
      <c r="G146" s="188"/>
      <c r="H146" s="34"/>
      <c r="I146" s="34"/>
      <c r="J146" s="34"/>
      <c r="K146" s="44"/>
      <c r="L146" s="105"/>
      <c r="M146" s="34"/>
      <c r="N146" s="34"/>
      <c r="O146" s="34"/>
    </row>
    <row r="147" spans="1:15" ht="12.75">
      <c r="A147" s="34"/>
      <c r="B147" s="34"/>
      <c r="C147" s="34"/>
      <c r="D147" s="188"/>
      <c r="E147" s="188"/>
      <c r="F147" s="34"/>
      <c r="G147" s="188"/>
      <c r="H147" s="34"/>
      <c r="I147" s="34"/>
      <c r="J147" s="34"/>
      <c r="K147" s="44"/>
      <c r="L147" s="105"/>
      <c r="M147" s="34"/>
      <c r="N147" s="34"/>
      <c r="O147" s="34"/>
    </row>
    <row r="148" spans="1:15" ht="12.75">
      <c r="A148" s="34"/>
      <c r="B148" s="34"/>
      <c r="C148" s="34"/>
      <c r="D148" s="188"/>
      <c r="E148" s="188"/>
      <c r="F148" s="34"/>
      <c r="G148" s="188"/>
      <c r="H148" s="34"/>
      <c r="I148" s="34"/>
      <c r="J148" s="34"/>
      <c r="K148" s="44"/>
      <c r="L148" s="105"/>
      <c r="M148" s="34"/>
      <c r="N148" s="34"/>
      <c r="O148" s="34"/>
    </row>
    <row r="149" spans="1:15" ht="12.75">
      <c r="A149" s="34"/>
      <c r="B149" s="34"/>
      <c r="C149" s="34"/>
      <c r="D149" s="188"/>
      <c r="E149" s="188"/>
      <c r="F149" s="34"/>
      <c r="G149" s="188"/>
      <c r="H149" s="34"/>
      <c r="I149" s="34"/>
      <c r="J149" s="34"/>
      <c r="K149" s="44"/>
      <c r="L149" s="105"/>
      <c r="M149" s="34"/>
      <c r="N149" s="34"/>
      <c r="O149" s="34"/>
    </row>
    <row r="150" spans="1:15" ht="12.75">
      <c r="A150" s="34"/>
      <c r="B150" s="34"/>
      <c r="C150" s="34"/>
      <c r="D150" s="188"/>
      <c r="E150" s="188"/>
      <c r="F150" s="34"/>
      <c r="G150" s="188"/>
      <c r="H150" s="34"/>
      <c r="I150" s="34"/>
      <c r="J150" s="34"/>
      <c r="K150" s="44"/>
      <c r="L150" s="105"/>
      <c r="M150" s="34"/>
      <c r="N150" s="34"/>
      <c r="O150" s="34"/>
    </row>
    <row r="151" spans="1:15" ht="12.75">
      <c r="A151" s="34"/>
      <c r="B151" s="34"/>
      <c r="C151" s="34"/>
      <c r="D151" s="188"/>
      <c r="E151" s="188"/>
      <c r="F151" s="34"/>
      <c r="G151" s="188"/>
      <c r="H151" s="34"/>
      <c r="I151" s="34"/>
      <c r="J151" s="34"/>
      <c r="K151" s="44"/>
      <c r="L151" s="105"/>
      <c r="M151" s="34"/>
      <c r="N151" s="34"/>
      <c r="O151" s="34"/>
    </row>
    <row r="152" spans="1:15" ht="12.75">
      <c r="A152" s="34"/>
      <c r="B152" s="34"/>
      <c r="C152" s="34"/>
      <c r="D152" s="188"/>
      <c r="E152" s="188"/>
      <c r="F152" s="34"/>
      <c r="G152" s="188"/>
      <c r="H152" s="34"/>
      <c r="I152" s="34"/>
      <c r="J152" s="34"/>
      <c r="K152" s="44"/>
      <c r="L152" s="105"/>
      <c r="M152" s="34"/>
      <c r="N152" s="34"/>
      <c r="O152" s="34"/>
    </row>
    <row r="153" spans="1:15" ht="12.75">
      <c r="A153" s="34"/>
      <c r="B153" s="34"/>
      <c r="C153" s="34"/>
      <c r="D153" s="188"/>
      <c r="E153" s="188"/>
      <c r="F153" s="34"/>
      <c r="G153" s="188"/>
      <c r="H153" s="34"/>
      <c r="I153" s="34"/>
      <c r="J153" s="34"/>
      <c r="K153" s="44"/>
      <c r="L153" s="105"/>
      <c r="M153" s="34"/>
      <c r="N153" s="34"/>
      <c r="O153" s="34"/>
    </row>
    <row r="154" spans="1:15" ht="12.75">
      <c r="A154" s="34"/>
      <c r="B154" s="34"/>
      <c r="C154" s="34"/>
      <c r="D154" s="188"/>
      <c r="E154" s="188"/>
      <c r="F154" s="34"/>
      <c r="G154" s="188"/>
      <c r="H154" s="34"/>
      <c r="I154" s="34"/>
      <c r="J154" s="34"/>
      <c r="K154" s="44"/>
      <c r="L154" s="105"/>
      <c r="M154" s="34"/>
      <c r="N154" s="34"/>
      <c r="O154" s="34"/>
    </row>
    <row r="155" spans="1:15" ht="12.75">
      <c r="A155" s="34"/>
      <c r="B155" s="34"/>
      <c r="C155" s="34"/>
      <c r="D155" s="188"/>
      <c r="E155" s="188"/>
      <c r="F155" s="34"/>
      <c r="G155" s="188"/>
      <c r="H155" s="34"/>
      <c r="I155" s="34"/>
      <c r="J155" s="34"/>
      <c r="K155" s="44"/>
      <c r="L155" s="105"/>
      <c r="M155" s="34"/>
      <c r="N155" s="34"/>
      <c r="O155" s="34"/>
    </row>
    <row r="156" spans="1:15" ht="12.75">
      <c r="A156" s="34"/>
      <c r="B156" s="34"/>
      <c r="C156" s="34"/>
      <c r="D156" s="188"/>
      <c r="E156" s="188"/>
      <c r="F156" s="34"/>
      <c r="G156" s="188"/>
      <c r="H156" s="34"/>
      <c r="I156" s="34"/>
      <c r="J156" s="34"/>
      <c r="K156" s="44"/>
      <c r="L156" s="105"/>
      <c r="M156" s="34"/>
      <c r="N156" s="34"/>
      <c r="O156" s="34"/>
    </row>
    <row r="157" spans="1:15" ht="12.75">
      <c r="A157" s="34"/>
      <c r="B157" s="34"/>
      <c r="C157" s="34"/>
      <c r="D157" s="188"/>
      <c r="E157" s="188"/>
      <c r="F157" s="34"/>
      <c r="G157" s="188"/>
      <c r="H157" s="34"/>
      <c r="I157" s="34"/>
      <c r="J157" s="34"/>
      <c r="K157" s="44"/>
      <c r="L157" s="105"/>
      <c r="M157" s="34"/>
      <c r="N157" s="34"/>
      <c r="O157" s="34"/>
    </row>
    <row r="158" spans="1:15" ht="12.75">
      <c r="A158" s="34"/>
      <c r="B158" s="34"/>
      <c r="C158" s="34"/>
      <c r="D158" s="188"/>
      <c r="E158" s="188"/>
      <c r="F158" s="34"/>
      <c r="G158" s="188"/>
      <c r="H158" s="34"/>
      <c r="I158" s="34"/>
      <c r="J158" s="34"/>
      <c r="K158" s="44"/>
      <c r="L158" s="105"/>
      <c r="M158" s="34"/>
      <c r="N158" s="34"/>
      <c r="O158" s="34"/>
    </row>
    <row r="159" spans="1:15" ht="12.75">
      <c r="A159" s="34"/>
      <c r="B159" s="34"/>
      <c r="C159" s="34"/>
      <c r="D159" s="188"/>
      <c r="E159" s="188"/>
      <c r="F159" s="34"/>
      <c r="G159" s="188"/>
      <c r="H159" s="34"/>
      <c r="I159" s="34"/>
      <c r="J159" s="34"/>
      <c r="K159" s="44"/>
      <c r="L159" s="105"/>
      <c r="M159" s="34"/>
      <c r="N159" s="34"/>
      <c r="O159" s="34"/>
    </row>
    <row r="160" spans="1:15" ht="12.75">
      <c r="A160" s="34"/>
      <c r="B160" s="34"/>
      <c r="C160" s="34"/>
      <c r="D160" s="188"/>
      <c r="E160" s="188"/>
      <c r="F160" s="34"/>
      <c r="G160" s="188"/>
      <c r="H160" s="34"/>
      <c r="I160" s="34"/>
      <c r="J160" s="34"/>
      <c r="K160" s="44"/>
      <c r="L160" s="105"/>
      <c r="M160" s="34"/>
      <c r="N160" s="34"/>
      <c r="O160" s="34"/>
    </row>
    <row r="161" spans="1:15" ht="12.75">
      <c r="A161" s="34"/>
      <c r="B161" s="34"/>
      <c r="C161" s="34"/>
      <c r="D161" s="188"/>
      <c r="E161" s="188"/>
      <c r="F161" s="34"/>
      <c r="G161" s="188"/>
      <c r="H161" s="34"/>
      <c r="I161" s="34"/>
      <c r="J161" s="34"/>
      <c r="K161" s="44"/>
      <c r="L161" s="105"/>
      <c r="M161" s="34"/>
      <c r="N161" s="34"/>
      <c r="O161" s="34"/>
    </row>
    <row r="162" spans="1:15" ht="12.75">
      <c r="A162" s="34"/>
      <c r="B162" s="34"/>
      <c r="C162" s="34"/>
      <c r="D162" s="188"/>
      <c r="E162" s="188"/>
      <c r="F162" s="34"/>
      <c r="G162" s="188"/>
      <c r="H162" s="34"/>
      <c r="I162" s="34"/>
      <c r="J162" s="34"/>
      <c r="K162" s="44"/>
      <c r="L162" s="105"/>
      <c r="M162" s="34"/>
      <c r="N162" s="34"/>
      <c r="O162" s="34"/>
    </row>
    <row r="163" spans="1:15" ht="12.75">
      <c r="A163" s="34"/>
      <c r="B163" s="34"/>
      <c r="C163" s="34"/>
      <c r="D163" s="188"/>
      <c r="E163" s="188"/>
      <c r="F163" s="34"/>
      <c r="G163" s="188"/>
      <c r="H163" s="34"/>
      <c r="I163" s="34"/>
      <c r="J163" s="34"/>
      <c r="K163" s="44"/>
      <c r="L163" s="105"/>
      <c r="M163" s="34"/>
      <c r="N163" s="34"/>
      <c r="O163" s="34"/>
    </row>
    <row r="164" spans="1:15" ht="12.75">
      <c r="A164" s="34"/>
      <c r="B164" s="34"/>
      <c r="C164" s="34"/>
      <c r="D164" s="188"/>
      <c r="E164" s="188"/>
      <c r="F164" s="34"/>
      <c r="G164" s="188"/>
      <c r="H164" s="34"/>
      <c r="I164" s="34"/>
      <c r="J164" s="34"/>
      <c r="K164" s="44"/>
      <c r="L164" s="105"/>
      <c r="M164" s="34"/>
      <c r="N164" s="34"/>
      <c r="O164" s="34"/>
    </row>
    <row r="165" spans="1:15" ht="12.75">
      <c r="A165" s="34"/>
      <c r="B165" s="34"/>
      <c r="C165" s="34"/>
      <c r="D165" s="188"/>
      <c r="E165" s="188"/>
      <c r="F165" s="34"/>
      <c r="G165" s="188"/>
      <c r="H165" s="34"/>
      <c r="I165" s="34"/>
      <c r="J165" s="34"/>
      <c r="K165" s="44"/>
      <c r="L165" s="105"/>
      <c r="M165" s="34"/>
      <c r="N165" s="34"/>
      <c r="O165" s="34"/>
    </row>
    <row r="166" spans="1:15" ht="12.75">
      <c r="A166" s="34"/>
      <c r="B166" s="34"/>
      <c r="C166" s="34"/>
      <c r="D166" s="188"/>
      <c r="E166" s="188"/>
      <c r="F166" s="34"/>
      <c r="G166" s="188"/>
      <c r="H166" s="34"/>
      <c r="I166" s="34"/>
      <c r="J166" s="34"/>
      <c r="K166" s="44"/>
      <c r="L166" s="105"/>
      <c r="M166" s="34"/>
      <c r="N166" s="34"/>
      <c r="O166" s="34"/>
    </row>
    <row r="167" spans="1:15" ht="12.75">
      <c r="A167" s="34"/>
      <c r="B167" s="34"/>
      <c r="C167" s="34"/>
      <c r="D167" s="188"/>
      <c r="E167" s="188"/>
      <c r="F167" s="34"/>
      <c r="G167" s="188"/>
      <c r="H167" s="34"/>
      <c r="I167" s="34"/>
      <c r="J167" s="34"/>
      <c r="K167" s="44"/>
      <c r="L167" s="105"/>
      <c r="M167" s="34"/>
      <c r="N167" s="34"/>
      <c r="O167" s="34"/>
    </row>
    <row r="168" spans="1:15" ht="12.75">
      <c r="A168" s="34"/>
      <c r="B168" s="34"/>
      <c r="C168" s="34"/>
      <c r="D168" s="188"/>
      <c r="E168" s="188"/>
      <c r="F168" s="34"/>
      <c r="G168" s="188"/>
      <c r="H168" s="34"/>
      <c r="I168" s="34"/>
      <c r="J168" s="34"/>
      <c r="K168" s="44"/>
      <c r="L168" s="105"/>
      <c r="M168" s="34"/>
      <c r="N168" s="34"/>
      <c r="O168" s="34"/>
    </row>
    <row r="169" spans="1:15" ht="12.75">
      <c r="A169" s="34"/>
      <c r="B169" s="34"/>
      <c r="C169" s="34"/>
      <c r="D169" s="188"/>
      <c r="E169" s="188"/>
      <c r="F169" s="34"/>
      <c r="G169" s="188"/>
      <c r="H169" s="34"/>
      <c r="I169" s="34"/>
      <c r="J169" s="34"/>
      <c r="K169" s="44"/>
      <c r="L169" s="105"/>
      <c r="M169" s="34"/>
      <c r="N169" s="34"/>
      <c r="O169" s="34"/>
    </row>
    <row r="170" spans="1:15" ht="12.75">
      <c r="A170" s="34"/>
      <c r="B170" s="34"/>
      <c r="C170" s="34"/>
      <c r="D170" s="188"/>
      <c r="E170" s="188"/>
      <c r="F170" s="34"/>
      <c r="G170" s="188"/>
      <c r="H170" s="34"/>
      <c r="I170" s="34"/>
      <c r="J170" s="34"/>
      <c r="K170" s="44"/>
      <c r="L170" s="105"/>
      <c r="M170" s="34"/>
      <c r="N170" s="34"/>
      <c r="O170" s="34"/>
    </row>
    <row r="171" spans="1:15" ht="12.75">
      <c r="A171" s="34"/>
      <c r="B171" s="34"/>
      <c r="C171" s="34"/>
      <c r="D171" s="188"/>
      <c r="E171" s="188"/>
      <c r="F171" s="34"/>
      <c r="G171" s="188"/>
      <c r="H171" s="34"/>
      <c r="I171" s="34"/>
      <c r="J171" s="34"/>
      <c r="K171" s="44"/>
      <c r="L171" s="105"/>
      <c r="M171" s="34"/>
      <c r="N171" s="34"/>
      <c r="O171" s="34"/>
    </row>
    <row r="172" spans="1:15" ht="12.75">
      <c r="A172" s="34"/>
      <c r="B172" s="34"/>
      <c r="C172" s="34"/>
      <c r="D172" s="188"/>
      <c r="E172" s="188"/>
      <c r="F172" s="34"/>
      <c r="G172" s="188"/>
      <c r="H172" s="34"/>
      <c r="I172" s="34"/>
      <c r="J172" s="34"/>
      <c r="K172" s="44"/>
      <c r="L172" s="105"/>
      <c r="M172" s="34"/>
      <c r="N172" s="34"/>
      <c r="O172" s="34"/>
    </row>
    <row r="173" spans="1:15" ht="12.75">
      <c r="A173" s="34"/>
      <c r="B173" s="34"/>
      <c r="C173" s="34"/>
      <c r="D173" s="188"/>
      <c r="E173" s="188"/>
      <c r="F173" s="34"/>
      <c r="G173" s="188"/>
      <c r="H173" s="34"/>
      <c r="I173" s="34"/>
      <c r="J173" s="34"/>
      <c r="K173" s="44"/>
      <c r="L173" s="105"/>
      <c r="M173" s="34"/>
      <c r="N173" s="34"/>
      <c r="O173" s="34"/>
    </row>
    <row r="174" spans="1:15" ht="12.75">
      <c r="A174" s="34"/>
      <c r="B174" s="34"/>
      <c r="C174" s="34"/>
      <c r="D174" s="188"/>
      <c r="E174" s="188"/>
      <c r="F174" s="34"/>
      <c r="G174" s="188"/>
      <c r="H174" s="34"/>
      <c r="I174" s="34"/>
      <c r="J174" s="34"/>
      <c r="K174" s="44"/>
      <c r="L174" s="105"/>
      <c r="M174" s="34"/>
      <c r="N174" s="34"/>
      <c r="O174" s="34"/>
    </row>
    <row r="175" spans="1:15" ht="12.75">
      <c r="A175" s="34"/>
      <c r="B175" s="34"/>
      <c r="C175" s="34"/>
      <c r="D175" s="188"/>
      <c r="E175" s="188"/>
      <c r="F175" s="34"/>
      <c r="G175" s="188"/>
      <c r="H175" s="34"/>
      <c r="I175" s="34"/>
      <c r="J175" s="34"/>
      <c r="K175" s="44"/>
      <c r="L175" s="105"/>
      <c r="M175" s="34"/>
      <c r="N175" s="34"/>
      <c r="O175" s="34"/>
    </row>
    <row r="176" spans="1:15" ht="12.75">
      <c r="A176" s="34"/>
      <c r="B176" s="34"/>
      <c r="C176" s="34"/>
      <c r="D176" s="188"/>
      <c r="E176" s="188"/>
      <c r="F176" s="34"/>
      <c r="G176" s="188"/>
      <c r="H176" s="34"/>
      <c r="I176" s="34"/>
      <c r="J176" s="34"/>
      <c r="K176" s="44"/>
      <c r="L176" s="105"/>
      <c r="M176" s="34"/>
      <c r="N176" s="34"/>
      <c r="O176" s="34"/>
    </row>
    <row r="177" spans="1:15" ht="12.75">
      <c r="A177" s="34"/>
      <c r="B177" s="34"/>
      <c r="C177" s="34"/>
      <c r="D177" s="188"/>
      <c r="E177" s="188"/>
      <c r="F177" s="34"/>
      <c r="G177" s="188"/>
      <c r="H177" s="34"/>
      <c r="I177" s="34"/>
      <c r="J177" s="34"/>
      <c r="K177" s="44"/>
      <c r="L177" s="105"/>
      <c r="M177" s="34"/>
      <c r="N177" s="34"/>
      <c r="O177" s="34"/>
    </row>
    <row r="178" spans="1:15" ht="12.75">
      <c r="A178" s="34"/>
      <c r="B178" s="34"/>
      <c r="C178" s="34"/>
      <c r="D178" s="188"/>
      <c r="E178" s="188"/>
      <c r="F178" s="34"/>
      <c r="G178" s="188"/>
      <c r="H178" s="34"/>
      <c r="I178" s="34"/>
      <c r="J178" s="34"/>
      <c r="K178" s="44"/>
      <c r="L178" s="105"/>
      <c r="M178" s="34"/>
      <c r="N178" s="34"/>
      <c r="O178" s="34"/>
    </row>
    <row r="179" spans="1:15" ht="12.75">
      <c r="A179" s="34"/>
      <c r="B179" s="34"/>
      <c r="C179" s="34"/>
      <c r="D179" s="188"/>
      <c r="E179" s="188"/>
      <c r="F179" s="34"/>
      <c r="G179" s="188"/>
      <c r="H179" s="34"/>
      <c r="I179" s="34"/>
      <c r="J179" s="34"/>
      <c r="K179" s="44"/>
      <c r="L179" s="105"/>
      <c r="M179" s="34"/>
      <c r="N179" s="34"/>
      <c r="O179" s="34"/>
    </row>
    <row r="180" spans="1:15" ht="12.75">
      <c r="A180" s="34"/>
      <c r="B180" s="34"/>
      <c r="C180" s="34"/>
      <c r="D180" s="188"/>
      <c r="E180" s="188"/>
      <c r="F180" s="34"/>
      <c r="G180" s="188"/>
      <c r="H180" s="34"/>
      <c r="I180" s="34"/>
      <c r="J180" s="34"/>
      <c r="K180" s="44"/>
      <c r="L180" s="105"/>
      <c r="M180" s="34"/>
      <c r="N180" s="34"/>
      <c r="O180" s="34"/>
    </row>
    <row r="181" spans="1:15" ht="12.75">
      <c r="A181" s="34"/>
      <c r="B181" s="34"/>
      <c r="C181" s="34"/>
      <c r="D181" s="188"/>
      <c r="E181" s="188"/>
      <c r="F181" s="34"/>
      <c r="G181" s="188"/>
      <c r="H181" s="34"/>
      <c r="I181" s="34"/>
      <c r="J181" s="34"/>
      <c r="K181" s="44"/>
      <c r="L181" s="105"/>
      <c r="M181" s="34"/>
      <c r="N181" s="34"/>
      <c r="O181" s="34"/>
    </row>
    <row r="182" spans="1:15" ht="12.75">
      <c r="A182" s="34"/>
      <c r="B182" s="34"/>
      <c r="C182" s="34"/>
      <c r="D182" s="188"/>
      <c r="E182" s="188"/>
      <c r="F182" s="34"/>
      <c r="G182" s="188"/>
      <c r="H182" s="34"/>
      <c r="I182" s="34"/>
      <c r="J182" s="34"/>
      <c r="K182" s="44"/>
      <c r="L182" s="105"/>
      <c r="M182" s="34"/>
      <c r="N182" s="34"/>
      <c r="O182" s="34"/>
    </row>
    <row r="183" spans="1:15" ht="12.75">
      <c r="A183" s="34"/>
      <c r="B183" s="34"/>
      <c r="C183" s="34"/>
      <c r="D183" s="188"/>
      <c r="E183" s="188"/>
      <c r="F183" s="34"/>
      <c r="G183" s="188"/>
      <c r="H183" s="34"/>
      <c r="I183" s="34"/>
      <c r="J183" s="34"/>
      <c r="K183" s="44"/>
      <c r="L183" s="105"/>
      <c r="M183" s="34"/>
      <c r="N183" s="34"/>
      <c r="O183" s="34"/>
    </row>
    <row r="184" spans="1:15" ht="12.75">
      <c r="A184" s="34"/>
      <c r="B184" s="34"/>
      <c r="C184" s="34"/>
      <c r="D184" s="188"/>
      <c r="E184" s="188"/>
      <c r="F184" s="34"/>
      <c r="G184" s="188"/>
      <c r="H184" s="34"/>
      <c r="I184" s="34"/>
      <c r="J184" s="34"/>
      <c r="K184" s="44"/>
      <c r="L184" s="105"/>
      <c r="M184" s="34"/>
      <c r="N184" s="34"/>
      <c r="O184" s="34"/>
    </row>
    <row r="185" spans="1:15" ht="12.75">
      <c r="A185" s="34"/>
      <c r="B185" s="34"/>
      <c r="C185" s="34"/>
      <c r="D185" s="188"/>
      <c r="E185" s="188"/>
      <c r="F185" s="34"/>
      <c r="G185" s="188"/>
      <c r="H185" s="34"/>
      <c r="I185" s="34"/>
      <c r="J185" s="34"/>
      <c r="K185" s="44"/>
      <c r="L185" s="105"/>
      <c r="M185" s="34"/>
      <c r="N185" s="34"/>
      <c r="O185" s="34"/>
    </row>
    <row r="186" spans="1:15" ht="12.75">
      <c r="A186" s="34"/>
      <c r="B186" s="34"/>
      <c r="C186" s="34"/>
      <c r="D186" s="188"/>
      <c r="E186" s="188"/>
      <c r="F186" s="34"/>
      <c r="G186" s="188"/>
      <c r="H186" s="34"/>
      <c r="I186" s="34"/>
      <c r="J186" s="34"/>
      <c r="K186" s="44"/>
      <c r="L186" s="105"/>
      <c r="M186" s="34"/>
      <c r="N186" s="34"/>
      <c r="O186" s="34"/>
    </row>
    <row r="187" spans="1:15" ht="12.75">
      <c r="A187" s="34"/>
      <c r="B187" s="34"/>
      <c r="C187" s="34"/>
      <c r="D187" s="188"/>
      <c r="E187" s="188"/>
      <c r="F187" s="34"/>
      <c r="G187" s="188"/>
      <c r="H187" s="34"/>
      <c r="I187" s="34"/>
      <c r="J187" s="34"/>
      <c r="K187" s="44"/>
      <c r="L187" s="105"/>
      <c r="M187" s="34"/>
      <c r="N187" s="34"/>
      <c r="O187" s="34"/>
    </row>
    <row r="188" spans="1:15" ht="12.75">
      <c r="A188" s="34"/>
      <c r="B188" s="34"/>
      <c r="C188" s="34"/>
      <c r="D188" s="188"/>
      <c r="E188" s="188"/>
      <c r="F188" s="34"/>
      <c r="G188" s="188"/>
      <c r="H188" s="34"/>
      <c r="I188" s="34"/>
      <c r="J188" s="34"/>
      <c r="K188" s="44"/>
      <c r="L188" s="105"/>
      <c r="M188" s="34"/>
      <c r="N188" s="34"/>
      <c r="O188" s="34"/>
    </row>
    <row r="189" spans="1:15" ht="12.75">
      <c r="A189" s="34"/>
      <c r="B189" s="34"/>
      <c r="C189" s="34"/>
      <c r="D189" s="188"/>
      <c r="E189" s="188"/>
      <c r="F189" s="34"/>
      <c r="G189" s="188"/>
      <c r="H189" s="34"/>
      <c r="I189" s="34"/>
      <c r="J189" s="34"/>
      <c r="K189" s="44"/>
      <c r="L189" s="105"/>
      <c r="M189" s="34"/>
      <c r="N189" s="34"/>
      <c r="O189" s="34"/>
    </row>
    <row r="190" spans="1:15" ht="12.75">
      <c r="A190" s="34"/>
      <c r="B190" s="34"/>
      <c r="C190" s="34"/>
      <c r="D190" s="188"/>
      <c r="E190" s="188"/>
      <c r="F190" s="34"/>
      <c r="G190" s="188"/>
      <c r="H190" s="34"/>
      <c r="I190" s="34"/>
      <c r="J190" s="34"/>
      <c r="K190" s="44"/>
      <c r="L190" s="105"/>
      <c r="M190" s="34"/>
      <c r="N190" s="34"/>
      <c r="O190" s="34"/>
    </row>
    <row r="191" spans="1:15" ht="12.75">
      <c r="A191" s="34"/>
      <c r="B191" s="34"/>
      <c r="C191" s="34"/>
      <c r="D191" s="188"/>
      <c r="E191" s="188"/>
      <c r="F191" s="34"/>
      <c r="G191" s="188"/>
      <c r="H191" s="34"/>
      <c r="I191" s="34"/>
      <c r="J191" s="34"/>
      <c r="K191" s="44"/>
      <c r="L191" s="105"/>
      <c r="M191" s="34"/>
      <c r="N191" s="34"/>
      <c r="O191" s="34"/>
    </row>
    <row r="192" spans="1:15" ht="12.75">
      <c r="A192" s="34"/>
      <c r="B192" s="34"/>
      <c r="C192" s="34"/>
      <c r="D192" s="188"/>
      <c r="E192" s="188"/>
      <c r="F192" s="34"/>
      <c r="G192" s="188"/>
      <c r="H192" s="34"/>
      <c r="I192" s="34"/>
      <c r="J192" s="34"/>
      <c r="K192" s="44"/>
      <c r="L192" s="105"/>
      <c r="M192" s="34"/>
      <c r="N192" s="34"/>
      <c r="O192" s="34"/>
    </row>
    <row r="193" spans="1:15" ht="12.75">
      <c r="A193" s="34"/>
      <c r="B193" s="34"/>
      <c r="C193" s="34"/>
      <c r="D193" s="188"/>
      <c r="E193" s="188"/>
      <c r="F193" s="34"/>
      <c r="G193" s="188"/>
      <c r="H193" s="34"/>
      <c r="I193" s="34"/>
      <c r="J193" s="34"/>
      <c r="K193" s="44"/>
      <c r="L193" s="105"/>
      <c r="M193" s="34"/>
      <c r="N193" s="34"/>
      <c r="O193" s="34"/>
    </row>
    <row r="194" spans="1:15" ht="12.75">
      <c r="A194" s="34"/>
      <c r="B194" s="34"/>
      <c r="C194" s="34"/>
      <c r="D194" s="188"/>
      <c r="E194" s="188"/>
      <c r="F194" s="34"/>
      <c r="G194" s="188"/>
      <c r="H194" s="34"/>
      <c r="I194" s="34"/>
      <c r="J194" s="34"/>
      <c r="K194" s="44"/>
      <c r="L194" s="105"/>
      <c r="M194" s="34"/>
      <c r="N194" s="34"/>
      <c r="O194" s="34"/>
    </row>
    <row r="195" spans="1:15" ht="12.75">
      <c r="A195" s="34"/>
      <c r="B195" s="34"/>
      <c r="C195" s="34"/>
      <c r="D195" s="188"/>
      <c r="E195" s="188"/>
      <c r="F195" s="34"/>
      <c r="G195" s="188"/>
      <c r="H195" s="34"/>
      <c r="I195" s="34"/>
      <c r="J195" s="34"/>
      <c r="K195" s="44"/>
      <c r="L195" s="105"/>
      <c r="M195" s="34"/>
      <c r="N195" s="34"/>
      <c r="O195" s="34"/>
    </row>
    <row r="196" spans="1:15" ht="12.75">
      <c r="A196" s="34"/>
      <c r="B196" s="34"/>
      <c r="C196" s="34"/>
      <c r="D196" s="188"/>
      <c r="E196" s="188"/>
      <c r="F196" s="34"/>
      <c r="G196" s="188"/>
      <c r="H196" s="34"/>
      <c r="I196" s="34"/>
      <c r="J196" s="34"/>
      <c r="K196" s="44"/>
      <c r="L196" s="105"/>
      <c r="M196" s="34"/>
      <c r="N196" s="34"/>
      <c r="O196" s="34"/>
    </row>
    <row r="197" spans="1:15" ht="12.75">
      <c r="A197" s="34"/>
      <c r="B197" s="34"/>
      <c r="C197" s="34"/>
      <c r="D197" s="188"/>
      <c r="E197" s="188"/>
      <c r="F197" s="34"/>
      <c r="G197" s="188"/>
      <c r="H197" s="34"/>
      <c r="I197" s="34"/>
      <c r="J197" s="34"/>
      <c r="K197" s="44"/>
      <c r="L197" s="105"/>
      <c r="M197" s="34"/>
      <c r="N197" s="34"/>
      <c r="O197" s="34"/>
    </row>
    <row r="198" spans="1:15" ht="12.75">
      <c r="A198" s="34"/>
      <c r="B198" s="34"/>
      <c r="C198" s="34"/>
      <c r="D198" s="188"/>
      <c r="E198" s="188"/>
      <c r="F198" s="34"/>
      <c r="G198" s="188"/>
      <c r="H198" s="34"/>
      <c r="I198" s="34"/>
      <c r="J198" s="34"/>
      <c r="K198" s="44"/>
      <c r="L198" s="105"/>
      <c r="M198" s="34"/>
      <c r="N198" s="34"/>
      <c r="O198" s="34"/>
    </row>
    <row r="199" spans="1:15" ht="12.75">
      <c r="A199" s="34"/>
      <c r="B199" s="34"/>
      <c r="C199" s="34"/>
      <c r="D199" s="188"/>
      <c r="E199" s="188"/>
      <c r="F199" s="34"/>
      <c r="G199" s="188"/>
      <c r="H199" s="34"/>
      <c r="I199" s="34"/>
      <c r="J199" s="34"/>
      <c r="K199" s="44"/>
      <c r="L199" s="105"/>
      <c r="M199" s="34"/>
      <c r="N199" s="34"/>
      <c r="O199" s="34"/>
    </row>
    <row r="200" spans="1:15" ht="12.75">
      <c r="A200" s="34"/>
      <c r="B200" s="34"/>
      <c r="C200" s="34"/>
      <c r="D200" s="188"/>
      <c r="E200" s="188"/>
      <c r="F200" s="34"/>
      <c r="G200" s="188"/>
      <c r="H200" s="34"/>
      <c r="I200" s="34"/>
      <c r="J200" s="34"/>
      <c r="K200" s="44"/>
      <c r="L200" s="105"/>
      <c r="M200" s="34"/>
      <c r="N200" s="34"/>
      <c r="O200" s="34"/>
    </row>
    <row r="201" spans="1:15" ht="12.75">
      <c r="A201" s="34"/>
      <c r="B201" s="34"/>
      <c r="C201" s="34"/>
      <c r="D201" s="188"/>
      <c r="E201" s="188"/>
      <c r="F201" s="34"/>
      <c r="G201" s="188"/>
      <c r="H201" s="34"/>
      <c r="I201" s="34"/>
      <c r="J201" s="34"/>
      <c r="K201" s="44"/>
      <c r="L201" s="105"/>
      <c r="M201" s="34"/>
      <c r="N201" s="34"/>
      <c r="O201" s="34"/>
    </row>
    <row r="202" spans="1:15" ht="12.75">
      <c r="A202" s="34"/>
      <c r="B202" s="34"/>
      <c r="C202" s="34"/>
      <c r="D202" s="188"/>
      <c r="E202" s="188"/>
      <c r="F202" s="34"/>
      <c r="G202" s="188"/>
      <c r="H202" s="34"/>
      <c r="I202" s="34"/>
      <c r="J202" s="34"/>
      <c r="K202" s="44"/>
      <c r="L202" s="105"/>
      <c r="M202" s="34"/>
      <c r="N202" s="34"/>
      <c r="O202" s="34"/>
    </row>
    <row r="203" spans="1:15" ht="12.75">
      <c r="A203" s="34"/>
      <c r="B203" s="34"/>
      <c r="C203" s="34"/>
      <c r="D203" s="188"/>
      <c r="E203" s="188"/>
      <c r="F203" s="34"/>
      <c r="G203" s="188"/>
      <c r="H203" s="34"/>
      <c r="I203" s="34"/>
      <c r="J203" s="34"/>
      <c r="K203" s="44"/>
      <c r="L203" s="105"/>
      <c r="M203" s="34"/>
      <c r="N203" s="34"/>
      <c r="O203" s="34"/>
    </row>
    <row r="204" spans="1:15" ht="12.75">
      <c r="A204" s="34"/>
      <c r="B204" s="34"/>
      <c r="C204" s="34"/>
      <c r="D204" s="188"/>
      <c r="E204" s="188"/>
      <c r="F204" s="34"/>
      <c r="G204" s="188"/>
      <c r="H204" s="34"/>
      <c r="I204" s="34"/>
      <c r="J204" s="34"/>
      <c r="K204" s="44"/>
      <c r="L204" s="105"/>
      <c r="M204" s="34"/>
      <c r="N204" s="34"/>
      <c r="O204" s="34"/>
    </row>
    <row r="205" spans="1:15" ht="12.75">
      <c r="A205" s="34"/>
      <c r="B205" s="34"/>
      <c r="C205" s="34"/>
      <c r="D205" s="188"/>
      <c r="E205" s="188"/>
      <c r="F205" s="34"/>
      <c r="G205" s="188"/>
      <c r="H205" s="34"/>
      <c r="I205" s="34"/>
      <c r="J205" s="34"/>
      <c r="K205" s="44"/>
      <c r="L205" s="105"/>
      <c r="M205" s="34"/>
      <c r="N205" s="34"/>
      <c r="O205" s="34"/>
    </row>
    <row r="206" spans="1:15" ht="12.75">
      <c r="A206" s="34"/>
      <c r="B206" s="34"/>
      <c r="C206" s="34"/>
      <c r="D206" s="188"/>
      <c r="E206" s="188"/>
      <c r="F206" s="34"/>
      <c r="G206" s="188"/>
      <c r="H206" s="34"/>
      <c r="I206" s="34"/>
      <c r="J206" s="34"/>
      <c r="K206" s="44"/>
      <c r="L206" s="105"/>
      <c r="M206" s="34"/>
      <c r="N206" s="34"/>
      <c r="O206" s="34"/>
    </row>
    <row r="207" spans="1:15" ht="12.75">
      <c r="A207" s="34"/>
      <c r="B207" s="34"/>
      <c r="C207" s="34"/>
      <c r="D207" s="188"/>
      <c r="E207" s="188"/>
      <c r="F207" s="34"/>
      <c r="G207" s="188"/>
      <c r="H207" s="34"/>
      <c r="I207" s="34"/>
      <c r="J207" s="34"/>
      <c r="K207" s="44"/>
      <c r="L207" s="105"/>
      <c r="M207" s="34"/>
      <c r="N207" s="34"/>
      <c r="O207" s="34"/>
    </row>
    <row r="208" spans="1:15" ht="12.75">
      <c r="A208" s="34"/>
      <c r="B208" s="34"/>
      <c r="C208" s="34"/>
      <c r="D208" s="188"/>
      <c r="E208" s="188"/>
      <c r="F208" s="34"/>
      <c r="G208" s="188"/>
      <c r="H208" s="34"/>
      <c r="I208" s="34"/>
      <c r="J208" s="34"/>
      <c r="K208" s="44"/>
      <c r="L208" s="105"/>
      <c r="M208" s="34"/>
      <c r="N208" s="34"/>
      <c r="O208" s="34"/>
    </row>
    <row r="209" spans="1:15" ht="12.75">
      <c r="A209" s="34"/>
      <c r="B209" s="34"/>
      <c r="C209" s="34"/>
      <c r="D209" s="188"/>
      <c r="E209" s="188"/>
      <c r="F209" s="34"/>
      <c r="G209" s="188"/>
      <c r="H209" s="34"/>
      <c r="I209" s="34"/>
      <c r="J209" s="34"/>
      <c r="K209" s="44"/>
      <c r="L209" s="105"/>
      <c r="M209" s="34"/>
      <c r="N209" s="34"/>
      <c r="O209" s="34"/>
    </row>
    <row r="210" spans="1:15" ht="12.75">
      <c r="A210" s="34"/>
      <c r="B210" s="34"/>
      <c r="C210" s="34"/>
      <c r="D210" s="188"/>
      <c r="E210" s="188"/>
      <c r="F210" s="34"/>
      <c r="G210" s="188"/>
      <c r="H210" s="34"/>
      <c r="I210" s="34"/>
      <c r="J210" s="34"/>
      <c r="K210" s="44"/>
      <c r="L210" s="105"/>
      <c r="M210" s="34"/>
      <c r="N210" s="34"/>
      <c r="O210" s="34"/>
    </row>
    <row r="211" spans="1:15" ht="12.75">
      <c r="A211" s="34"/>
      <c r="B211" s="34"/>
      <c r="C211" s="34"/>
      <c r="D211" s="188"/>
      <c r="E211" s="188"/>
      <c r="F211" s="34"/>
      <c r="G211" s="188"/>
      <c r="H211" s="34"/>
      <c r="I211" s="34"/>
      <c r="J211" s="34"/>
      <c r="K211" s="44"/>
      <c r="L211" s="105"/>
      <c r="M211" s="34"/>
      <c r="N211" s="34"/>
      <c r="O211" s="34"/>
    </row>
    <row r="212" spans="1:15" ht="12.75">
      <c r="A212" s="34"/>
      <c r="B212" s="34"/>
      <c r="C212" s="34"/>
      <c r="D212" s="188"/>
      <c r="E212" s="188"/>
      <c r="F212" s="34"/>
      <c r="G212" s="188"/>
      <c r="H212" s="34"/>
      <c r="I212" s="34"/>
      <c r="J212" s="34"/>
      <c r="K212" s="44"/>
      <c r="L212" s="105"/>
      <c r="M212" s="34"/>
      <c r="N212" s="34"/>
      <c r="O212" s="34"/>
    </row>
    <row r="213" spans="1:15" ht="12.75">
      <c r="A213" s="34"/>
      <c r="B213" s="34"/>
      <c r="C213" s="34"/>
      <c r="D213" s="188"/>
      <c r="E213" s="188"/>
      <c r="F213" s="34"/>
      <c r="G213" s="188"/>
      <c r="H213" s="34"/>
      <c r="I213" s="34"/>
      <c r="J213" s="34"/>
      <c r="K213" s="44"/>
      <c r="L213" s="105"/>
      <c r="M213" s="34"/>
      <c r="N213" s="34"/>
      <c r="O213" s="34"/>
    </row>
    <row r="214" spans="1:15" ht="12.75">
      <c r="A214" s="34"/>
      <c r="B214" s="34"/>
      <c r="C214" s="34"/>
      <c r="D214" s="188"/>
      <c r="E214" s="188"/>
      <c r="F214" s="34"/>
      <c r="G214" s="188"/>
      <c r="H214" s="34"/>
      <c r="I214" s="34"/>
      <c r="J214" s="34"/>
      <c r="K214" s="44"/>
      <c r="L214" s="105"/>
      <c r="M214" s="34"/>
      <c r="N214" s="34"/>
      <c r="O214" s="34"/>
    </row>
    <row r="215" spans="1:15" ht="12.75">
      <c r="A215" s="34"/>
      <c r="B215" s="34"/>
      <c r="C215" s="34"/>
      <c r="D215" s="188"/>
      <c r="E215" s="188"/>
      <c r="F215" s="34"/>
      <c r="G215" s="188"/>
      <c r="H215" s="34"/>
      <c r="I215" s="34"/>
      <c r="J215" s="34"/>
      <c r="K215" s="44"/>
      <c r="L215" s="105"/>
      <c r="M215" s="34"/>
      <c r="N215" s="34"/>
      <c r="O215" s="34"/>
    </row>
    <row r="216" spans="1:15" ht="12.75">
      <c r="A216" s="34"/>
      <c r="B216" s="34"/>
      <c r="C216" s="34"/>
      <c r="D216" s="188"/>
      <c r="E216" s="188"/>
      <c r="F216" s="34"/>
      <c r="G216" s="188"/>
      <c r="H216" s="34"/>
      <c r="I216" s="34"/>
      <c r="J216" s="34"/>
      <c r="K216" s="44"/>
      <c r="L216" s="105"/>
      <c r="M216" s="34"/>
      <c r="N216" s="34"/>
      <c r="O216" s="34"/>
    </row>
    <row r="217" spans="1:15" ht="12.75">
      <c r="A217" s="34"/>
      <c r="B217" s="34"/>
      <c r="C217" s="34"/>
      <c r="D217" s="188"/>
      <c r="E217" s="188"/>
      <c r="F217" s="34"/>
      <c r="G217" s="188"/>
      <c r="H217" s="34"/>
      <c r="I217" s="34"/>
      <c r="J217" s="34"/>
      <c r="K217" s="44"/>
      <c r="L217" s="105"/>
      <c r="M217" s="34"/>
      <c r="N217" s="34"/>
      <c r="O217" s="34"/>
    </row>
    <row r="218" spans="1:15" ht="12.75">
      <c r="A218" s="34"/>
      <c r="B218" s="34"/>
      <c r="C218" s="34"/>
      <c r="D218" s="188"/>
      <c r="E218" s="188"/>
      <c r="F218" s="34"/>
      <c r="G218" s="188"/>
      <c r="H218" s="34"/>
      <c r="I218" s="34"/>
      <c r="J218" s="34"/>
      <c r="K218" s="44"/>
      <c r="L218" s="105"/>
      <c r="M218" s="34"/>
      <c r="N218" s="34"/>
      <c r="O218" s="34"/>
    </row>
    <row r="219" spans="1:15" ht="12.75">
      <c r="A219" s="34"/>
      <c r="B219" s="34"/>
      <c r="C219" s="34"/>
      <c r="D219" s="188"/>
      <c r="E219" s="188"/>
      <c r="F219" s="34"/>
      <c r="G219" s="188"/>
      <c r="H219" s="34"/>
      <c r="I219" s="34"/>
      <c r="J219" s="34"/>
      <c r="K219" s="44"/>
      <c r="L219" s="105"/>
      <c r="M219" s="34"/>
      <c r="N219" s="34"/>
      <c r="O219" s="34"/>
    </row>
    <row r="220" spans="1:15" ht="12.75">
      <c r="A220" s="34"/>
      <c r="B220" s="34"/>
      <c r="C220" s="34"/>
      <c r="D220" s="188"/>
      <c r="E220" s="188"/>
      <c r="F220" s="34"/>
      <c r="G220" s="188"/>
      <c r="H220" s="34"/>
      <c r="I220" s="34"/>
      <c r="J220" s="34"/>
      <c r="K220" s="44"/>
      <c r="L220" s="105"/>
      <c r="M220" s="34"/>
      <c r="N220" s="34"/>
      <c r="O220" s="34"/>
    </row>
    <row r="221" spans="1:15" ht="12.75">
      <c r="A221" s="34"/>
      <c r="B221" s="34"/>
      <c r="C221" s="34"/>
      <c r="D221" s="188"/>
      <c r="E221" s="188"/>
      <c r="F221" s="34"/>
      <c r="G221" s="188"/>
      <c r="H221" s="34"/>
      <c r="I221" s="34"/>
      <c r="J221" s="34"/>
      <c r="K221" s="44"/>
      <c r="L221" s="105"/>
      <c r="M221" s="34"/>
      <c r="N221" s="34"/>
      <c r="O221" s="34"/>
    </row>
    <row r="222" spans="1:15" ht="12.75">
      <c r="A222" s="34"/>
      <c r="B222" s="34"/>
      <c r="C222" s="34"/>
      <c r="D222" s="188"/>
      <c r="E222" s="188"/>
      <c r="F222" s="34"/>
      <c r="G222" s="188"/>
      <c r="H222" s="34"/>
      <c r="I222" s="34"/>
      <c r="J222" s="34"/>
      <c r="K222" s="44"/>
      <c r="L222" s="105"/>
      <c r="M222" s="34"/>
      <c r="N222" s="34"/>
      <c r="O222" s="34"/>
    </row>
    <row r="223" spans="1:15" ht="12.75">
      <c r="A223" s="34"/>
      <c r="B223" s="34"/>
      <c r="C223" s="34"/>
      <c r="D223" s="188"/>
      <c r="E223" s="188"/>
      <c r="F223" s="34"/>
      <c r="G223" s="188"/>
      <c r="H223" s="34"/>
      <c r="I223" s="34"/>
      <c r="J223" s="34"/>
      <c r="K223" s="44"/>
      <c r="L223" s="105"/>
      <c r="M223" s="34"/>
      <c r="N223" s="34"/>
      <c r="O223" s="34"/>
    </row>
    <row r="224" spans="1:15" ht="12.75">
      <c r="A224" s="34"/>
      <c r="B224" s="34"/>
      <c r="C224" s="34"/>
      <c r="D224" s="188"/>
      <c r="E224" s="188"/>
      <c r="F224" s="34"/>
      <c r="G224" s="188"/>
      <c r="H224" s="34"/>
      <c r="I224" s="34"/>
      <c r="J224" s="34"/>
      <c r="K224" s="44"/>
      <c r="L224" s="105"/>
      <c r="M224" s="34"/>
      <c r="N224" s="34"/>
      <c r="O224" s="34"/>
    </row>
    <row r="225" spans="1:15" ht="12.75">
      <c r="A225" s="34"/>
      <c r="B225" s="34"/>
      <c r="C225" s="34"/>
      <c r="D225" s="188"/>
      <c r="E225" s="188"/>
      <c r="F225" s="34"/>
      <c r="G225" s="188"/>
      <c r="H225" s="34"/>
      <c r="I225" s="34"/>
      <c r="J225" s="34"/>
      <c r="K225" s="44"/>
      <c r="L225" s="105"/>
      <c r="M225" s="34"/>
      <c r="N225" s="34"/>
      <c r="O225" s="34"/>
    </row>
    <row r="226" spans="1:15" ht="12.75">
      <c r="A226" s="34"/>
      <c r="B226" s="34"/>
      <c r="C226" s="34"/>
      <c r="D226" s="188"/>
      <c r="E226" s="188"/>
      <c r="F226" s="34"/>
      <c r="G226" s="188"/>
      <c r="H226" s="34"/>
      <c r="I226" s="34"/>
      <c r="J226" s="34"/>
      <c r="K226" s="44"/>
      <c r="L226" s="105"/>
      <c r="M226" s="34"/>
      <c r="N226" s="34"/>
      <c r="O226" s="34"/>
    </row>
    <row r="227" spans="1:15" ht="12.75">
      <c r="A227" s="34"/>
      <c r="B227" s="34"/>
      <c r="C227" s="34"/>
      <c r="D227" s="188"/>
      <c r="E227" s="188"/>
      <c r="F227" s="34"/>
      <c r="G227" s="188"/>
      <c r="H227" s="34"/>
      <c r="I227" s="34"/>
      <c r="J227" s="34"/>
      <c r="K227" s="44"/>
      <c r="L227" s="105"/>
      <c r="M227" s="34"/>
      <c r="N227" s="34"/>
      <c r="O227" s="34"/>
    </row>
    <row r="228" spans="1:15" ht="12.75">
      <c r="A228" s="34"/>
      <c r="B228" s="34"/>
      <c r="C228" s="34"/>
      <c r="D228" s="188"/>
      <c r="E228" s="188"/>
      <c r="F228" s="34"/>
      <c r="G228" s="188"/>
      <c r="H228" s="34"/>
      <c r="I228" s="34"/>
      <c r="J228" s="34"/>
      <c r="K228" s="44"/>
      <c r="L228" s="105"/>
      <c r="M228" s="34"/>
      <c r="N228" s="34"/>
      <c r="O228" s="34"/>
    </row>
    <row r="229" spans="1:15" ht="12.75">
      <c r="A229" s="34"/>
      <c r="B229" s="34"/>
      <c r="C229" s="34"/>
      <c r="D229" s="188"/>
      <c r="E229" s="188"/>
      <c r="F229" s="34"/>
      <c r="G229" s="188"/>
      <c r="H229" s="34"/>
      <c r="I229" s="34"/>
      <c r="J229" s="34"/>
      <c r="K229" s="44"/>
      <c r="L229" s="105"/>
      <c r="M229" s="34"/>
      <c r="N229" s="34"/>
      <c r="O229" s="34"/>
    </row>
    <row r="230" spans="1:15" ht="12.75">
      <c r="A230" s="34"/>
      <c r="B230" s="34"/>
      <c r="C230" s="34"/>
      <c r="D230" s="188"/>
      <c r="E230" s="188"/>
      <c r="F230" s="34"/>
      <c r="G230" s="188"/>
      <c r="H230" s="34"/>
      <c r="I230" s="34"/>
      <c r="J230" s="34"/>
      <c r="K230" s="44"/>
      <c r="L230" s="105"/>
      <c r="M230" s="34"/>
      <c r="N230" s="34"/>
      <c r="O230" s="34"/>
    </row>
    <row r="231" spans="1:15" ht="12.75">
      <c r="A231" s="34"/>
      <c r="B231" s="34"/>
      <c r="C231" s="34"/>
      <c r="D231" s="188"/>
      <c r="E231" s="188"/>
      <c r="F231" s="34"/>
      <c r="G231" s="188"/>
      <c r="H231" s="34"/>
      <c r="I231" s="34"/>
      <c r="J231" s="34"/>
      <c r="K231" s="44"/>
      <c r="L231" s="105"/>
      <c r="M231" s="34"/>
      <c r="N231" s="34"/>
      <c r="O231" s="34"/>
    </row>
    <row r="232" spans="1:15" ht="12.75">
      <c r="A232" s="34"/>
      <c r="B232" s="34"/>
      <c r="C232" s="34"/>
      <c r="D232" s="188"/>
      <c r="E232" s="188"/>
      <c r="F232" s="34"/>
      <c r="G232" s="188"/>
      <c r="H232" s="34"/>
      <c r="I232" s="34"/>
      <c r="J232" s="34"/>
      <c r="K232" s="44"/>
      <c r="L232" s="105"/>
      <c r="M232" s="34"/>
      <c r="N232" s="34"/>
      <c r="O232" s="34"/>
    </row>
    <row r="233" spans="1:15" ht="12.75">
      <c r="A233" s="34"/>
      <c r="B233" s="34"/>
      <c r="C233" s="34"/>
      <c r="D233" s="188"/>
      <c r="E233" s="188"/>
      <c r="F233" s="34"/>
      <c r="G233" s="188"/>
      <c r="H233" s="34"/>
      <c r="I233" s="34"/>
      <c r="J233" s="34"/>
      <c r="K233" s="44"/>
      <c r="L233" s="105"/>
      <c r="M233" s="34"/>
      <c r="N233" s="34"/>
      <c r="O233" s="34"/>
    </row>
    <row r="234" spans="1:15" ht="12.75">
      <c r="A234" s="34"/>
      <c r="B234" s="34"/>
      <c r="C234" s="34"/>
      <c r="D234" s="188"/>
      <c r="E234" s="188"/>
      <c r="F234" s="34"/>
      <c r="G234" s="188"/>
      <c r="H234" s="34"/>
      <c r="I234" s="34"/>
      <c r="J234" s="34"/>
      <c r="K234" s="44"/>
      <c r="L234" s="105"/>
      <c r="M234" s="34"/>
      <c r="N234" s="34"/>
      <c r="O234" s="34"/>
    </row>
    <row r="235" spans="1:15" ht="12.75">
      <c r="A235" s="34"/>
      <c r="B235" s="34"/>
      <c r="C235" s="34"/>
      <c r="D235" s="188"/>
      <c r="E235" s="188"/>
      <c r="F235" s="34"/>
      <c r="G235" s="188"/>
      <c r="H235" s="34"/>
      <c r="I235" s="34"/>
      <c r="J235" s="34"/>
      <c r="K235" s="44"/>
      <c r="L235" s="105"/>
      <c r="M235" s="34"/>
      <c r="N235" s="34"/>
      <c r="O235" s="34"/>
    </row>
    <row r="236" spans="1:15" ht="12.75">
      <c r="A236" s="34"/>
      <c r="B236" s="34"/>
      <c r="C236" s="34"/>
      <c r="D236" s="188"/>
      <c r="E236" s="188"/>
      <c r="F236" s="34"/>
      <c r="G236" s="188"/>
      <c r="H236" s="34"/>
      <c r="I236" s="34"/>
      <c r="J236" s="34"/>
      <c r="K236" s="44"/>
      <c r="L236" s="105"/>
      <c r="M236" s="34"/>
      <c r="N236" s="34"/>
      <c r="O236" s="34"/>
    </row>
    <row r="237" spans="1:15" ht="12.75">
      <c r="A237" s="34"/>
      <c r="B237" s="34"/>
      <c r="C237" s="34"/>
      <c r="D237" s="188"/>
      <c r="E237" s="188"/>
      <c r="F237" s="34"/>
      <c r="G237" s="188"/>
      <c r="H237" s="34"/>
      <c r="I237" s="34"/>
      <c r="J237" s="34"/>
      <c r="K237" s="44"/>
      <c r="L237" s="105"/>
      <c r="M237" s="34"/>
      <c r="N237" s="34"/>
      <c r="O237" s="34"/>
    </row>
    <row r="238" spans="1:15" ht="12.75">
      <c r="A238" s="34"/>
      <c r="B238" s="34"/>
      <c r="C238" s="34"/>
      <c r="D238" s="188"/>
      <c r="E238" s="188"/>
      <c r="F238" s="34"/>
      <c r="G238" s="188"/>
      <c r="H238" s="34"/>
      <c r="I238" s="34"/>
      <c r="J238" s="34"/>
      <c r="K238" s="44"/>
      <c r="L238" s="105"/>
      <c r="M238" s="34"/>
      <c r="N238" s="34"/>
      <c r="O238" s="34"/>
    </row>
    <row r="239" spans="1:15" ht="12.75">
      <c r="A239" s="34"/>
      <c r="B239" s="34"/>
      <c r="C239" s="34"/>
      <c r="D239" s="188"/>
      <c r="E239" s="188"/>
      <c r="F239" s="34"/>
      <c r="G239" s="188"/>
      <c r="H239" s="34"/>
      <c r="I239" s="34"/>
      <c r="J239" s="34"/>
      <c r="K239" s="44"/>
      <c r="L239" s="105"/>
      <c r="M239" s="34"/>
      <c r="N239" s="34"/>
      <c r="O239" s="34"/>
    </row>
    <row r="240" spans="1:15" ht="12.75">
      <c r="A240" s="34"/>
      <c r="B240" s="34"/>
      <c r="C240" s="34"/>
      <c r="D240" s="188"/>
      <c r="E240" s="188"/>
      <c r="F240" s="34"/>
      <c r="G240" s="188"/>
      <c r="H240" s="34"/>
      <c r="I240" s="34"/>
      <c r="J240" s="34"/>
      <c r="K240" s="44"/>
      <c r="L240" s="105"/>
      <c r="M240" s="34"/>
      <c r="N240" s="34"/>
      <c r="O240" s="34"/>
    </row>
    <row r="241" spans="1:15" ht="12.75">
      <c r="A241" s="34"/>
      <c r="B241" s="34"/>
      <c r="C241" s="34"/>
      <c r="D241" s="188"/>
      <c r="E241" s="188"/>
      <c r="F241" s="34"/>
      <c r="G241" s="188"/>
      <c r="H241" s="34"/>
      <c r="I241" s="34"/>
      <c r="J241" s="34"/>
      <c r="K241" s="44"/>
      <c r="L241" s="105"/>
      <c r="M241" s="34"/>
      <c r="N241" s="34"/>
      <c r="O241" s="34"/>
    </row>
    <row r="242" spans="1:15" ht="12.75">
      <c r="A242" s="34"/>
      <c r="B242" s="34"/>
      <c r="C242" s="34"/>
      <c r="D242" s="188"/>
      <c r="E242" s="188"/>
      <c r="F242" s="34"/>
      <c r="G242" s="188"/>
      <c r="H242" s="34"/>
      <c r="I242" s="34"/>
      <c r="J242" s="34"/>
      <c r="K242" s="44"/>
      <c r="L242" s="105"/>
      <c r="M242" s="34"/>
      <c r="N242" s="34"/>
      <c r="O242" s="34"/>
    </row>
    <row r="243" spans="1:15" ht="12.75">
      <c r="A243" s="34"/>
      <c r="B243" s="34"/>
      <c r="C243" s="34"/>
      <c r="D243" s="188"/>
      <c r="E243" s="188"/>
      <c r="F243" s="34"/>
      <c r="G243" s="188"/>
      <c r="H243" s="34"/>
      <c r="I243" s="34"/>
      <c r="J243" s="34"/>
      <c r="K243" s="44"/>
      <c r="L243" s="105"/>
      <c r="M243" s="34"/>
      <c r="N243" s="34"/>
      <c r="O243" s="34"/>
    </row>
    <row r="244" spans="1:15" ht="12.75">
      <c r="A244" s="34"/>
      <c r="B244" s="34"/>
      <c r="C244" s="34"/>
      <c r="D244" s="188"/>
      <c r="E244" s="188"/>
      <c r="F244" s="34"/>
      <c r="G244" s="188"/>
      <c r="H244" s="34"/>
      <c r="I244" s="34"/>
      <c r="J244" s="34"/>
      <c r="K244" s="44"/>
      <c r="L244" s="105"/>
      <c r="M244" s="34"/>
      <c r="N244" s="34"/>
      <c r="O244" s="34"/>
    </row>
    <row r="245" spans="1:15" ht="12.75">
      <c r="A245" s="34"/>
      <c r="B245" s="34"/>
      <c r="C245" s="34"/>
      <c r="D245" s="188"/>
      <c r="E245" s="188"/>
      <c r="F245" s="34"/>
      <c r="G245" s="188"/>
      <c r="H245" s="34"/>
      <c r="I245" s="34"/>
      <c r="J245" s="34"/>
      <c r="K245" s="44"/>
      <c r="L245" s="105"/>
      <c r="M245" s="34"/>
      <c r="N245" s="34"/>
      <c r="O245" s="34"/>
    </row>
    <row r="246" spans="1:15" ht="12.75">
      <c r="A246" s="34"/>
      <c r="B246" s="34"/>
      <c r="C246" s="34"/>
      <c r="D246" s="188"/>
      <c r="E246" s="188"/>
      <c r="F246" s="34"/>
      <c r="G246" s="188"/>
      <c r="H246" s="34"/>
      <c r="I246" s="34"/>
      <c r="J246" s="34"/>
      <c r="K246" s="44"/>
      <c r="L246" s="105"/>
      <c r="M246" s="34"/>
      <c r="N246" s="34"/>
      <c r="O246" s="34"/>
    </row>
    <row r="247" spans="1:15" ht="12.75">
      <c r="A247" s="34"/>
      <c r="B247" s="34"/>
      <c r="C247" s="34"/>
      <c r="D247" s="188"/>
      <c r="E247" s="188"/>
      <c r="F247" s="34"/>
      <c r="G247" s="188"/>
      <c r="H247" s="34"/>
      <c r="I247" s="34"/>
      <c r="J247" s="34"/>
      <c r="K247" s="44"/>
      <c r="L247" s="105"/>
      <c r="M247" s="34"/>
      <c r="N247" s="34"/>
      <c r="O247" s="34"/>
    </row>
    <row r="248" spans="1:15" ht="12.75">
      <c r="A248" s="34"/>
      <c r="B248" s="34"/>
      <c r="C248" s="34"/>
      <c r="D248" s="188"/>
      <c r="E248" s="188"/>
      <c r="F248" s="34"/>
      <c r="G248" s="188"/>
      <c r="H248" s="34"/>
      <c r="I248" s="34"/>
      <c r="J248" s="34"/>
      <c r="K248" s="44"/>
      <c r="L248" s="105"/>
      <c r="M248" s="34"/>
      <c r="N248" s="34"/>
      <c r="O248" s="34"/>
    </row>
    <row r="249" spans="1:15" ht="12.75">
      <c r="A249" s="34"/>
      <c r="B249" s="34"/>
      <c r="C249" s="34"/>
      <c r="D249" s="188"/>
      <c r="E249" s="188"/>
      <c r="F249" s="34"/>
      <c r="G249" s="188"/>
      <c r="H249" s="34"/>
      <c r="I249" s="34"/>
      <c r="J249" s="34"/>
      <c r="K249" s="44"/>
      <c r="L249" s="105"/>
      <c r="M249" s="34"/>
      <c r="N249" s="34"/>
      <c r="O249" s="34"/>
    </row>
    <row r="250" spans="1:15" ht="12.75">
      <c r="A250" s="34"/>
      <c r="B250" s="34"/>
      <c r="C250" s="34"/>
      <c r="D250" s="188"/>
      <c r="E250" s="188"/>
      <c r="F250" s="34"/>
      <c r="G250" s="188"/>
      <c r="H250" s="34"/>
      <c r="I250" s="34"/>
      <c r="J250" s="34"/>
      <c r="K250" s="44"/>
      <c r="L250" s="105"/>
      <c r="M250" s="34"/>
      <c r="N250" s="34"/>
      <c r="O250" s="34"/>
    </row>
    <row r="251" spans="1:15" ht="12.75">
      <c r="A251" s="34"/>
      <c r="B251" s="34"/>
      <c r="C251" s="34"/>
      <c r="D251" s="188"/>
      <c r="E251" s="188"/>
      <c r="F251" s="34"/>
      <c r="G251" s="188"/>
      <c r="H251" s="34"/>
      <c r="I251" s="34"/>
      <c r="J251" s="34"/>
      <c r="K251" s="44"/>
      <c r="L251" s="105"/>
      <c r="M251" s="34"/>
      <c r="N251" s="34"/>
      <c r="O251" s="34"/>
    </row>
    <row r="252" spans="1:15" ht="12.75">
      <c r="A252" s="34"/>
      <c r="B252" s="34"/>
      <c r="C252" s="34"/>
      <c r="D252" s="188"/>
      <c r="E252" s="188"/>
      <c r="F252" s="34"/>
      <c r="G252" s="188"/>
      <c r="H252" s="34"/>
      <c r="I252" s="34"/>
      <c r="J252" s="34"/>
      <c r="K252" s="44"/>
      <c r="L252" s="105"/>
      <c r="M252" s="34"/>
      <c r="N252" s="34"/>
      <c r="O252" s="34"/>
    </row>
    <row r="253" spans="1:15" ht="12.75">
      <c r="A253" s="34"/>
      <c r="B253" s="34"/>
      <c r="C253" s="34"/>
      <c r="D253" s="188"/>
      <c r="E253" s="188"/>
      <c r="F253" s="34"/>
      <c r="G253" s="188"/>
      <c r="H253" s="34"/>
      <c r="I253" s="34"/>
      <c r="J253" s="34"/>
      <c r="K253" s="44"/>
      <c r="L253" s="105"/>
      <c r="M253" s="34"/>
      <c r="N253" s="34"/>
      <c r="O253" s="34"/>
    </row>
    <row r="254" spans="1:15" ht="12.75">
      <c r="A254" s="34"/>
      <c r="B254" s="34"/>
      <c r="C254" s="34"/>
      <c r="D254" s="188"/>
      <c r="E254" s="188"/>
      <c r="F254" s="34"/>
      <c r="G254" s="188"/>
      <c r="H254" s="34"/>
      <c r="I254" s="34"/>
      <c r="J254" s="34"/>
      <c r="K254" s="44"/>
      <c r="L254" s="105"/>
      <c r="M254" s="34"/>
      <c r="N254" s="34"/>
      <c r="O254" s="34"/>
    </row>
    <row r="255" spans="1:15" ht="12.75">
      <c r="A255" s="34"/>
      <c r="B255" s="34"/>
      <c r="C255" s="34"/>
      <c r="D255" s="188"/>
      <c r="E255" s="188"/>
      <c r="F255" s="34"/>
      <c r="G255" s="188"/>
      <c r="H255" s="34"/>
      <c r="I255" s="34"/>
      <c r="J255" s="34"/>
      <c r="K255" s="44"/>
      <c r="L255" s="105"/>
      <c r="M255" s="34"/>
      <c r="N255" s="34"/>
      <c r="O255" s="34"/>
    </row>
    <row r="256" spans="1:15" ht="12.75">
      <c r="A256" s="34"/>
      <c r="B256" s="34"/>
      <c r="C256" s="34"/>
      <c r="D256" s="188"/>
      <c r="E256" s="188"/>
      <c r="F256" s="34"/>
      <c r="G256" s="188"/>
      <c r="H256" s="34"/>
      <c r="I256" s="34"/>
      <c r="J256" s="34"/>
      <c r="K256" s="44"/>
      <c r="L256" s="105"/>
      <c r="M256" s="34"/>
      <c r="N256" s="34"/>
      <c r="O256" s="34"/>
    </row>
    <row r="257" spans="1:15" ht="12.75">
      <c r="A257" s="34"/>
      <c r="B257" s="34"/>
      <c r="C257" s="34"/>
      <c r="D257" s="188"/>
      <c r="E257" s="188"/>
      <c r="F257" s="34"/>
      <c r="G257" s="188"/>
      <c r="H257" s="34"/>
      <c r="I257" s="34"/>
      <c r="J257" s="34"/>
      <c r="K257" s="44"/>
      <c r="L257" s="105"/>
      <c r="M257" s="34"/>
      <c r="N257" s="34"/>
      <c r="O257" s="34"/>
    </row>
    <row r="258" spans="1:15" ht="12.75">
      <c r="A258" s="34"/>
      <c r="B258" s="34"/>
      <c r="C258" s="34"/>
      <c r="D258" s="188"/>
      <c r="E258" s="188"/>
      <c r="F258" s="34"/>
      <c r="G258" s="188"/>
      <c r="H258" s="34"/>
      <c r="I258" s="34"/>
      <c r="J258" s="34"/>
      <c r="K258" s="44"/>
      <c r="L258" s="105"/>
      <c r="M258" s="34"/>
      <c r="N258" s="34"/>
      <c r="O258" s="34"/>
    </row>
    <row r="259" spans="1:15" ht="12.75">
      <c r="A259" s="34"/>
      <c r="B259" s="34"/>
      <c r="C259" s="34"/>
      <c r="D259" s="188"/>
      <c r="E259" s="188"/>
      <c r="F259" s="34"/>
      <c r="G259" s="188"/>
      <c r="H259" s="34"/>
      <c r="I259" s="34"/>
      <c r="J259" s="34"/>
      <c r="K259" s="44"/>
      <c r="L259" s="105"/>
      <c r="M259" s="34"/>
      <c r="N259" s="34"/>
      <c r="O259" s="34"/>
    </row>
    <row r="260" spans="1:15" ht="12.75">
      <c r="A260" s="34"/>
      <c r="B260" s="34"/>
      <c r="C260" s="34"/>
      <c r="D260" s="188"/>
      <c r="E260" s="188"/>
      <c r="F260" s="34"/>
      <c r="G260" s="188"/>
      <c r="H260" s="34"/>
      <c r="I260" s="34"/>
      <c r="J260" s="34"/>
      <c r="K260" s="44"/>
      <c r="L260" s="105"/>
      <c r="M260" s="34"/>
      <c r="N260" s="34"/>
      <c r="O260" s="34"/>
    </row>
    <row r="261" spans="1:15" ht="12.75">
      <c r="A261" s="34"/>
      <c r="B261" s="34"/>
      <c r="C261" s="34"/>
      <c r="D261" s="188"/>
      <c r="E261" s="188"/>
      <c r="F261" s="34"/>
      <c r="G261" s="188"/>
      <c r="H261" s="34"/>
      <c r="I261" s="34"/>
      <c r="J261" s="34"/>
      <c r="K261" s="44"/>
      <c r="L261" s="105"/>
      <c r="M261" s="34"/>
      <c r="N261" s="34"/>
      <c r="O261" s="34"/>
    </row>
    <row r="262" spans="1:15" ht="12.75">
      <c r="A262" s="34"/>
      <c r="B262" s="34"/>
      <c r="C262" s="34"/>
      <c r="D262" s="188"/>
      <c r="E262" s="188"/>
      <c r="F262" s="34"/>
      <c r="G262" s="188"/>
      <c r="H262" s="34"/>
      <c r="I262" s="34"/>
      <c r="J262" s="34"/>
      <c r="K262" s="44"/>
      <c r="L262" s="105"/>
      <c r="M262" s="34"/>
      <c r="N262" s="34"/>
      <c r="O262" s="34"/>
    </row>
    <row r="263" spans="1:15" ht="12.75">
      <c r="A263" s="34"/>
      <c r="B263" s="34"/>
      <c r="C263" s="34"/>
      <c r="D263" s="188"/>
      <c r="E263" s="188"/>
      <c r="F263" s="34"/>
      <c r="G263" s="188"/>
      <c r="H263" s="34"/>
      <c r="I263" s="34"/>
      <c r="J263" s="34"/>
      <c r="K263" s="44"/>
      <c r="L263" s="105"/>
      <c r="M263" s="34"/>
      <c r="N263" s="34"/>
      <c r="O263" s="34"/>
    </row>
    <row r="264" spans="1:15" ht="12.75">
      <c r="A264" s="34"/>
      <c r="B264" s="34"/>
      <c r="C264" s="34"/>
      <c r="D264" s="188"/>
      <c r="E264" s="188"/>
      <c r="F264" s="34"/>
      <c r="G264" s="188"/>
      <c r="H264" s="34"/>
      <c r="I264" s="34"/>
      <c r="J264" s="34"/>
      <c r="K264" s="44"/>
      <c r="L264" s="105"/>
      <c r="M264" s="34"/>
      <c r="N264" s="34"/>
      <c r="O264" s="34"/>
    </row>
    <row r="265" spans="1:15" ht="12.75">
      <c r="A265" s="34"/>
      <c r="B265" s="34"/>
      <c r="C265" s="34"/>
      <c r="D265" s="188"/>
      <c r="E265" s="188"/>
      <c r="F265" s="34"/>
      <c r="G265" s="188"/>
      <c r="H265" s="34"/>
      <c r="I265" s="34"/>
      <c r="J265" s="34"/>
      <c r="K265" s="44"/>
      <c r="L265" s="105"/>
      <c r="M265" s="34"/>
      <c r="N265" s="34"/>
      <c r="O265" s="34"/>
    </row>
    <row r="266" spans="1:15" ht="12.75">
      <c r="A266" s="34"/>
      <c r="B266" s="34"/>
      <c r="C266" s="34"/>
      <c r="D266" s="188"/>
      <c r="E266" s="188"/>
      <c r="F266" s="34"/>
      <c r="G266" s="188"/>
      <c r="H266" s="34"/>
      <c r="I266" s="34"/>
      <c r="J266" s="34"/>
      <c r="K266" s="44"/>
      <c r="L266" s="105"/>
      <c r="M266" s="34"/>
      <c r="N266" s="34"/>
      <c r="O266" s="34"/>
    </row>
    <row r="267" spans="1:15" ht="12.75">
      <c r="A267" s="34"/>
      <c r="B267" s="34"/>
      <c r="C267" s="34"/>
      <c r="D267" s="188"/>
      <c r="E267" s="188"/>
      <c r="F267" s="34"/>
      <c r="G267" s="188"/>
      <c r="H267" s="34"/>
      <c r="I267" s="34"/>
      <c r="J267" s="34"/>
      <c r="K267" s="44"/>
      <c r="L267" s="105"/>
      <c r="M267" s="34"/>
      <c r="N267" s="34"/>
      <c r="O267" s="34"/>
    </row>
    <row r="268" spans="1:15" ht="12.75">
      <c r="A268" s="34"/>
      <c r="B268" s="34"/>
      <c r="C268" s="34"/>
      <c r="D268" s="188"/>
      <c r="E268" s="188"/>
      <c r="F268" s="34"/>
      <c r="G268" s="188"/>
      <c r="H268" s="34"/>
      <c r="I268" s="34"/>
      <c r="J268" s="34"/>
      <c r="K268" s="44"/>
      <c r="L268" s="105"/>
      <c r="M268" s="34"/>
      <c r="N268" s="34"/>
      <c r="O268" s="34"/>
    </row>
    <row r="269" spans="1:15" ht="12.75">
      <c r="A269" s="34"/>
      <c r="B269" s="34"/>
      <c r="C269" s="34"/>
      <c r="D269" s="188"/>
      <c r="E269" s="188"/>
      <c r="F269" s="34"/>
      <c r="G269" s="188"/>
      <c r="H269" s="34"/>
      <c r="I269" s="34"/>
      <c r="J269" s="34"/>
      <c r="K269" s="44"/>
      <c r="L269" s="105"/>
      <c r="M269" s="34"/>
      <c r="N269" s="34"/>
      <c r="O269" s="34"/>
    </row>
    <row r="270" spans="1:15" ht="12.75">
      <c r="A270" s="34"/>
      <c r="B270" s="34"/>
      <c r="C270" s="34"/>
      <c r="D270" s="188"/>
      <c r="E270" s="188"/>
      <c r="F270" s="34"/>
      <c r="G270" s="188"/>
      <c r="H270" s="34"/>
      <c r="I270" s="34"/>
      <c r="J270" s="34"/>
      <c r="K270" s="44"/>
      <c r="L270" s="105"/>
      <c r="M270" s="34"/>
      <c r="N270" s="34"/>
      <c r="O270" s="34"/>
    </row>
    <row r="271" spans="1:15" ht="12.75">
      <c r="A271" s="34"/>
      <c r="B271" s="34"/>
      <c r="C271" s="34"/>
      <c r="D271" s="188"/>
      <c r="E271" s="188"/>
      <c r="F271" s="34"/>
      <c r="G271" s="188"/>
      <c r="H271" s="34"/>
      <c r="I271" s="34"/>
      <c r="J271" s="34"/>
      <c r="K271" s="44"/>
      <c r="L271" s="105"/>
      <c r="M271" s="34"/>
      <c r="N271" s="34"/>
      <c r="O271" s="34"/>
    </row>
    <row r="272" spans="1:15" ht="12.75">
      <c r="A272" s="34"/>
      <c r="B272" s="34"/>
      <c r="C272" s="34"/>
      <c r="D272" s="188"/>
      <c r="E272" s="188"/>
      <c r="F272" s="34"/>
      <c r="G272" s="188"/>
      <c r="H272" s="34"/>
      <c r="I272" s="34"/>
      <c r="J272" s="34"/>
      <c r="K272" s="44"/>
      <c r="L272" s="105"/>
      <c r="M272" s="34"/>
      <c r="N272" s="34"/>
      <c r="O272" s="34"/>
    </row>
    <row r="273" spans="1:15" ht="12.75">
      <c r="A273" s="34"/>
      <c r="B273" s="34"/>
      <c r="C273" s="34"/>
      <c r="D273" s="188"/>
      <c r="E273" s="188"/>
      <c r="F273" s="34"/>
      <c r="G273" s="188"/>
      <c r="H273" s="34"/>
      <c r="I273" s="34"/>
      <c r="J273" s="34"/>
      <c r="K273" s="44"/>
      <c r="L273" s="105"/>
      <c r="M273" s="34"/>
      <c r="N273" s="34"/>
      <c r="O273" s="34"/>
    </row>
    <row r="274" spans="1:15" ht="12.75">
      <c r="A274" s="34"/>
      <c r="B274" s="34"/>
      <c r="C274" s="34"/>
      <c r="D274" s="188"/>
      <c r="E274" s="188"/>
      <c r="F274" s="34"/>
      <c r="G274" s="188"/>
      <c r="H274" s="34"/>
      <c r="I274" s="34"/>
      <c r="J274" s="34"/>
      <c r="K274" s="44"/>
      <c r="L274" s="105"/>
      <c r="M274" s="34"/>
      <c r="N274" s="34"/>
      <c r="O274" s="34"/>
    </row>
    <row r="275" spans="1:15" ht="12.75">
      <c r="A275" s="34"/>
      <c r="B275" s="34"/>
      <c r="C275" s="34"/>
      <c r="D275" s="188"/>
      <c r="E275" s="188"/>
      <c r="F275" s="34"/>
      <c r="G275" s="188"/>
      <c r="H275" s="34"/>
      <c r="I275" s="34"/>
      <c r="J275" s="34"/>
      <c r="K275" s="44"/>
      <c r="L275" s="105"/>
      <c r="M275" s="34"/>
      <c r="N275" s="34"/>
      <c r="O275" s="34"/>
    </row>
    <row r="276" spans="1:15" ht="12.75">
      <c r="A276" s="34"/>
      <c r="B276" s="34"/>
      <c r="C276" s="34"/>
      <c r="D276" s="188"/>
      <c r="E276" s="188"/>
      <c r="F276" s="34"/>
      <c r="G276" s="188"/>
      <c r="H276" s="34"/>
      <c r="I276" s="34"/>
      <c r="J276" s="34"/>
      <c r="K276" s="44"/>
      <c r="L276" s="105"/>
      <c r="M276" s="34"/>
      <c r="N276" s="34"/>
      <c r="O276" s="34"/>
    </row>
    <row r="277" spans="1:15" ht="12.75">
      <c r="A277" s="34"/>
      <c r="B277" s="34"/>
      <c r="C277" s="34"/>
      <c r="D277" s="188"/>
      <c r="E277" s="188"/>
      <c r="F277" s="34"/>
      <c r="G277" s="188"/>
      <c r="H277" s="34"/>
      <c r="I277" s="34"/>
      <c r="J277" s="34"/>
      <c r="K277" s="44"/>
      <c r="L277" s="105"/>
      <c r="M277" s="34"/>
      <c r="N277" s="34"/>
      <c r="O277" s="34"/>
    </row>
    <row r="278" spans="1:15" ht="12.75">
      <c r="A278" s="34"/>
      <c r="B278" s="34"/>
      <c r="C278" s="34"/>
      <c r="D278" s="188"/>
      <c r="E278" s="188"/>
      <c r="F278" s="34"/>
      <c r="G278" s="188"/>
      <c r="H278" s="34"/>
      <c r="I278" s="34"/>
      <c r="J278" s="34"/>
      <c r="K278" s="44"/>
      <c r="L278" s="105"/>
      <c r="M278" s="34"/>
      <c r="N278" s="34"/>
      <c r="O278" s="34"/>
    </row>
    <row r="279" spans="1:15" ht="12.75">
      <c r="A279" s="34"/>
      <c r="B279" s="34"/>
      <c r="C279" s="34"/>
      <c r="D279" s="188"/>
      <c r="E279" s="188"/>
      <c r="F279" s="34"/>
      <c r="G279" s="188"/>
      <c r="H279" s="34"/>
      <c r="I279" s="34"/>
      <c r="J279" s="34"/>
      <c r="K279" s="44"/>
      <c r="L279" s="105"/>
      <c r="M279" s="34"/>
      <c r="N279" s="34"/>
      <c r="O279" s="34"/>
    </row>
    <row r="280" spans="1:15" ht="12.75">
      <c r="A280" s="34"/>
      <c r="B280" s="34"/>
      <c r="C280" s="34"/>
      <c r="D280" s="188"/>
      <c r="E280" s="188"/>
      <c r="F280" s="34"/>
      <c r="G280" s="188"/>
      <c r="H280" s="34"/>
      <c r="I280" s="34"/>
      <c r="J280" s="34"/>
      <c r="K280" s="44"/>
      <c r="L280" s="105"/>
      <c r="M280" s="34"/>
      <c r="N280" s="34"/>
      <c r="O280" s="34"/>
    </row>
    <row r="281" spans="1:15" ht="12.75">
      <c r="A281" s="34"/>
      <c r="B281" s="34"/>
      <c r="C281" s="34"/>
      <c r="D281" s="188"/>
      <c r="E281" s="188"/>
      <c r="F281" s="34"/>
      <c r="G281" s="188"/>
      <c r="H281" s="34"/>
      <c r="I281" s="34"/>
      <c r="J281" s="34"/>
      <c r="K281" s="44"/>
      <c r="L281" s="105"/>
      <c r="M281" s="34"/>
      <c r="N281" s="34"/>
      <c r="O281" s="34"/>
    </row>
    <row r="282" spans="1:15" ht="12.75">
      <c r="A282" s="34"/>
      <c r="B282" s="34"/>
      <c r="C282" s="34"/>
      <c r="D282" s="188"/>
      <c r="E282" s="188"/>
      <c r="F282" s="34"/>
      <c r="G282" s="188"/>
      <c r="H282" s="34"/>
      <c r="I282" s="34"/>
      <c r="J282" s="34"/>
      <c r="K282" s="44"/>
      <c r="L282" s="105"/>
      <c r="M282" s="34"/>
      <c r="N282" s="34"/>
      <c r="O282" s="34"/>
    </row>
    <row r="283" spans="1:15" ht="12.75">
      <c r="A283" s="34"/>
      <c r="B283" s="34"/>
      <c r="C283" s="34"/>
      <c r="D283" s="188"/>
      <c r="E283" s="188"/>
      <c r="F283" s="34"/>
      <c r="G283" s="188"/>
      <c r="H283" s="34"/>
      <c r="I283" s="34"/>
      <c r="J283" s="34"/>
      <c r="K283" s="44"/>
      <c r="L283" s="105"/>
      <c r="M283" s="34"/>
      <c r="N283" s="34"/>
      <c r="O283" s="34"/>
    </row>
    <row r="284" spans="1:15" ht="12.75">
      <c r="A284" s="34"/>
      <c r="B284" s="34"/>
      <c r="C284" s="34"/>
      <c r="D284" s="188"/>
      <c r="E284" s="188"/>
      <c r="F284" s="34"/>
      <c r="G284" s="188"/>
      <c r="H284" s="34"/>
      <c r="I284" s="34"/>
      <c r="J284" s="34"/>
      <c r="K284" s="44"/>
      <c r="L284" s="105"/>
      <c r="M284" s="34"/>
      <c r="N284" s="34"/>
      <c r="O284" s="34"/>
    </row>
    <row r="285" spans="1:15" ht="12.75">
      <c r="A285" s="34"/>
      <c r="B285" s="34"/>
      <c r="C285" s="34"/>
      <c r="D285" s="188"/>
      <c r="E285" s="188"/>
      <c r="F285" s="34"/>
      <c r="G285" s="188"/>
      <c r="H285" s="34"/>
      <c r="I285" s="34"/>
      <c r="J285" s="34"/>
      <c r="K285" s="44"/>
      <c r="L285" s="105"/>
      <c r="M285" s="34"/>
      <c r="N285" s="34"/>
      <c r="O285" s="34"/>
    </row>
    <row r="286" spans="1:15" ht="12.75">
      <c r="A286" s="34"/>
      <c r="B286" s="34"/>
      <c r="C286" s="34"/>
      <c r="D286" s="188"/>
      <c r="E286" s="188"/>
      <c r="F286" s="34"/>
      <c r="G286" s="188"/>
      <c r="H286" s="34"/>
      <c r="I286" s="34"/>
      <c r="J286" s="34"/>
      <c r="K286" s="44"/>
      <c r="L286" s="105"/>
      <c r="M286" s="34"/>
      <c r="N286" s="34"/>
      <c r="O286" s="34"/>
    </row>
    <row r="287" spans="1:15" ht="12.75">
      <c r="A287" s="34"/>
      <c r="B287" s="34"/>
      <c r="C287" s="34"/>
      <c r="D287" s="188"/>
      <c r="E287" s="188"/>
      <c r="F287" s="34"/>
      <c r="G287" s="188"/>
      <c r="H287" s="34"/>
      <c r="I287" s="34"/>
      <c r="J287" s="34"/>
      <c r="K287" s="44"/>
      <c r="L287" s="105"/>
      <c r="M287" s="34"/>
      <c r="N287" s="34"/>
      <c r="O287" s="34"/>
    </row>
    <row r="288" spans="1:15" ht="12.75">
      <c r="A288" s="34"/>
      <c r="B288" s="34"/>
      <c r="C288" s="34"/>
      <c r="D288" s="188"/>
      <c r="E288" s="188"/>
      <c r="F288" s="34"/>
      <c r="G288" s="188"/>
      <c r="H288" s="34"/>
      <c r="I288" s="34"/>
      <c r="J288" s="34"/>
      <c r="K288" s="44"/>
      <c r="L288" s="105"/>
      <c r="M288" s="34"/>
      <c r="N288" s="34"/>
      <c r="O288" s="34"/>
    </row>
    <row r="289" spans="1:15" ht="12.75">
      <c r="A289" s="34"/>
      <c r="B289" s="34"/>
      <c r="C289" s="34"/>
      <c r="D289" s="188"/>
      <c r="E289" s="188"/>
      <c r="F289" s="34"/>
      <c r="G289" s="188"/>
      <c r="H289" s="34"/>
      <c r="I289" s="34"/>
      <c r="J289" s="34"/>
      <c r="K289" s="44"/>
      <c r="L289" s="105"/>
      <c r="M289" s="34"/>
      <c r="N289" s="34"/>
      <c r="O289" s="34"/>
    </row>
    <row r="290" spans="1:15" ht="12.75">
      <c r="A290" s="34"/>
      <c r="B290" s="34"/>
      <c r="C290" s="34"/>
      <c r="D290" s="188"/>
      <c r="E290" s="188"/>
      <c r="F290" s="34"/>
      <c r="G290" s="188"/>
      <c r="H290" s="34"/>
      <c r="I290" s="34"/>
      <c r="J290" s="34"/>
      <c r="K290" s="44"/>
      <c r="L290" s="105"/>
      <c r="M290" s="34"/>
      <c r="N290" s="34"/>
      <c r="O290" s="34"/>
    </row>
    <row r="291" spans="1:15" ht="12.75">
      <c r="A291" s="34"/>
      <c r="B291" s="34"/>
      <c r="C291" s="34"/>
      <c r="D291" s="188"/>
      <c r="E291" s="188"/>
      <c r="F291" s="34"/>
      <c r="G291" s="188"/>
      <c r="H291" s="34"/>
      <c r="I291" s="34"/>
      <c r="J291" s="34"/>
      <c r="K291" s="44"/>
      <c r="L291" s="105"/>
      <c r="M291" s="34"/>
      <c r="N291" s="34"/>
      <c r="O291" s="34"/>
    </row>
    <row r="292" spans="1:15" ht="12.75">
      <c r="A292" s="34"/>
      <c r="B292" s="34"/>
      <c r="C292" s="34"/>
      <c r="D292" s="188"/>
      <c r="E292" s="188"/>
      <c r="F292" s="34"/>
      <c r="G292" s="188"/>
      <c r="H292" s="34"/>
      <c r="I292" s="34"/>
      <c r="J292" s="34"/>
      <c r="K292" s="44"/>
      <c r="L292" s="105"/>
      <c r="M292" s="34"/>
      <c r="N292" s="34"/>
      <c r="O292" s="34"/>
    </row>
    <row r="293" spans="1:15" ht="12.75">
      <c r="A293" s="34"/>
      <c r="B293" s="34"/>
      <c r="C293" s="34"/>
      <c r="D293" s="188"/>
      <c r="E293" s="188"/>
      <c r="F293" s="34"/>
      <c r="G293" s="188"/>
      <c r="H293" s="34"/>
      <c r="I293" s="34"/>
      <c r="J293" s="34"/>
      <c r="K293" s="44"/>
      <c r="L293" s="105"/>
      <c r="M293" s="34"/>
      <c r="N293" s="34"/>
      <c r="O293" s="34"/>
    </row>
    <row r="294" spans="1:15" ht="12.75">
      <c r="A294" s="34"/>
      <c r="B294" s="34"/>
      <c r="C294" s="34"/>
      <c r="D294" s="188"/>
      <c r="E294" s="188"/>
      <c r="F294" s="34"/>
      <c r="G294" s="188"/>
      <c r="H294" s="34"/>
      <c r="I294" s="34"/>
      <c r="J294" s="34"/>
      <c r="K294" s="44"/>
      <c r="L294" s="105"/>
      <c r="M294" s="34"/>
      <c r="N294" s="34"/>
      <c r="O294" s="34"/>
    </row>
    <row r="295" spans="1:15" ht="12.75">
      <c r="A295" s="34"/>
      <c r="B295" s="34"/>
      <c r="C295" s="34"/>
      <c r="D295" s="188"/>
      <c r="E295" s="188"/>
      <c r="F295" s="34"/>
      <c r="G295" s="188"/>
      <c r="H295" s="34"/>
      <c r="I295" s="34"/>
      <c r="J295" s="34"/>
      <c r="K295" s="44"/>
      <c r="L295" s="105"/>
      <c r="M295" s="34"/>
      <c r="N295" s="34"/>
      <c r="O295" s="34"/>
    </row>
    <row r="296" spans="1:15" ht="12.75">
      <c r="A296" s="34"/>
      <c r="B296" s="34"/>
      <c r="C296" s="34"/>
      <c r="D296" s="188"/>
      <c r="E296" s="188"/>
      <c r="F296" s="34"/>
      <c r="G296" s="188"/>
      <c r="H296" s="34"/>
      <c r="I296" s="34"/>
      <c r="J296" s="34"/>
      <c r="K296" s="44"/>
      <c r="L296" s="105"/>
      <c r="M296" s="34"/>
      <c r="N296" s="34"/>
      <c r="O296" s="34"/>
    </row>
    <row r="297" spans="1:15" ht="12.75">
      <c r="A297" s="34"/>
      <c r="B297" s="34"/>
      <c r="C297" s="34"/>
      <c r="D297" s="188"/>
      <c r="E297" s="188"/>
      <c r="F297" s="34"/>
      <c r="G297" s="188"/>
      <c r="H297" s="34"/>
      <c r="I297" s="34"/>
      <c r="J297" s="34"/>
      <c r="K297" s="44"/>
      <c r="L297" s="105"/>
      <c r="M297" s="34"/>
      <c r="N297" s="34"/>
      <c r="O297" s="34"/>
    </row>
    <row r="298" spans="1:15" ht="12.75">
      <c r="A298" s="34"/>
      <c r="B298" s="34"/>
      <c r="C298" s="34"/>
      <c r="D298" s="188"/>
      <c r="E298" s="188"/>
      <c r="F298" s="34"/>
      <c r="G298" s="188"/>
      <c r="H298" s="34"/>
      <c r="I298" s="34"/>
      <c r="J298" s="34"/>
      <c r="K298" s="44"/>
      <c r="L298" s="105"/>
      <c r="M298" s="34"/>
      <c r="N298" s="34"/>
      <c r="O298" s="34"/>
    </row>
    <row r="299" spans="1:15" ht="12.75">
      <c r="A299" s="34"/>
      <c r="B299" s="34"/>
      <c r="C299" s="34"/>
      <c r="D299" s="188"/>
      <c r="E299" s="188"/>
      <c r="F299" s="34"/>
      <c r="G299" s="188"/>
      <c r="H299" s="34"/>
      <c r="I299" s="34"/>
      <c r="J299" s="34"/>
      <c r="K299" s="44"/>
      <c r="L299" s="105"/>
      <c r="M299" s="34"/>
      <c r="N299" s="34"/>
      <c r="O299" s="34"/>
    </row>
    <row r="300" spans="1:15" ht="12.75">
      <c r="A300" s="34"/>
      <c r="B300" s="34"/>
      <c r="C300" s="34"/>
      <c r="D300" s="188"/>
      <c r="E300" s="188"/>
      <c r="F300" s="34"/>
      <c r="G300" s="188"/>
      <c r="H300" s="34"/>
      <c r="I300" s="34"/>
      <c r="J300" s="34"/>
      <c r="K300" s="44"/>
      <c r="L300" s="105"/>
      <c r="M300" s="34"/>
      <c r="N300" s="34"/>
      <c r="O300" s="34"/>
    </row>
    <row r="301" spans="1:15" ht="12.75">
      <c r="A301" s="34"/>
      <c r="B301" s="34"/>
      <c r="C301" s="34"/>
      <c r="D301" s="188"/>
      <c r="E301" s="188"/>
      <c r="F301" s="34"/>
      <c r="G301" s="188"/>
      <c r="H301" s="34"/>
      <c r="I301" s="34"/>
      <c r="J301" s="34"/>
      <c r="K301" s="44"/>
      <c r="L301" s="105"/>
      <c r="M301" s="34"/>
      <c r="N301" s="34"/>
      <c r="O301" s="34"/>
    </row>
    <row r="302" spans="1:15" ht="12.75">
      <c r="A302" s="34"/>
      <c r="B302" s="34"/>
      <c r="C302" s="34"/>
      <c r="D302" s="188"/>
      <c r="E302" s="188"/>
      <c r="F302" s="34"/>
      <c r="G302" s="188"/>
      <c r="H302" s="34"/>
      <c r="I302" s="34"/>
      <c r="J302" s="34"/>
      <c r="K302" s="44"/>
      <c r="L302" s="105"/>
      <c r="M302" s="34"/>
      <c r="N302" s="34"/>
      <c r="O302" s="34"/>
    </row>
    <row r="303" spans="1:15" ht="12.75">
      <c r="A303" s="34"/>
      <c r="B303" s="34"/>
      <c r="C303" s="34"/>
      <c r="D303" s="188"/>
      <c r="E303" s="188"/>
      <c r="F303" s="34"/>
      <c r="G303" s="188"/>
      <c r="H303" s="34"/>
      <c r="I303" s="34"/>
      <c r="J303" s="34"/>
      <c r="K303" s="44"/>
      <c r="L303" s="105"/>
      <c r="M303" s="34"/>
      <c r="N303" s="34"/>
      <c r="O303" s="34"/>
    </row>
    <row r="304" spans="1:15" ht="12.75">
      <c r="A304" s="34"/>
      <c r="B304" s="34"/>
      <c r="C304" s="34"/>
      <c r="D304" s="188"/>
      <c r="E304" s="188"/>
      <c r="F304" s="34"/>
      <c r="G304" s="188"/>
      <c r="H304" s="34"/>
      <c r="I304" s="34"/>
      <c r="J304" s="34"/>
      <c r="K304" s="44"/>
      <c r="L304" s="105"/>
      <c r="M304" s="34"/>
      <c r="N304" s="34"/>
      <c r="O304" s="34"/>
    </row>
    <row r="305" spans="1:15" ht="12.75">
      <c r="A305" s="34"/>
      <c r="B305" s="34"/>
      <c r="C305" s="34"/>
      <c r="D305" s="188"/>
      <c r="E305" s="188"/>
      <c r="F305" s="34"/>
      <c r="G305" s="188"/>
      <c r="H305" s="34"/>
      <c r="I305" s="34"/>
      <c r="J305" s="34"/>
      <c r="K305" s="44"/>
      <c r="L305" s="105"/>
      <c r="M305" s="34"/>
      <c r="N305" s="34"/>
      <c r="O305" s="34"/>
    </row>
    <row r="306" spans="1:15" ht="12.75">
      <c r="A306" s="34"/>
      <c r="B306" s="34"/>
      <c r="C306" s="34"/>
      <c r="D306" s="188"/>
      <c r="E306" s="188"/>
      <c r="F306" s="34"/>
      <c r="G306" s="188"/>
      <c r="H306" s="34"/>
      <c r="I306" s="34"/>
      <c r="J306" s="34"/>
      <c r="K306" s="44"/>
      <c r="L306" s="105"/>
      <c r="M306" s="34"/>
      <c r="N306" s="34"/>
      <c r="O306" s="34"/>
    </row>
    <row r="307" spans="1:15" ht="12.75">
      <c r="A307" s="34"/>
      <c r="B307" s="34"/>
      <c r="C307" s="34"/>
      <c r="D307" s="188"/>
      <c r="E307" s="188"/>
      <c r="F307" s="34"/>
      <c r="G307" s="188"/>
      <c r="H307" s="34"/>
      <c r="I307" s="34"/>
      <c r="J307" s="34"/>
      <c r="K307" s="44"/>
      <c r="L307" s="105"/>
      <c r="M307" s="34"/>
      <c r="N307" s="34"/>
      <c r="O307" s="34"/>
    </row>
    <row r="308" spans="1:15" ht="12.75">
      <c r="A308" s="34"/>
      <c r="B308" s="34"/>
      <c r="C308" s="34"/>
      <c r="D308" s="188"/>
      <c r="E308" s="188"/>
      <c r="F308" s="34"/>
      <c r="G308" s="188"/>
      <c r="H308" s="34"/>
      <c r="I308" s="34"/>
      <c r="J308" s="34"/>
      <c r="K308" s="44"/>
      <c r="L308" s="105"/>
      <c r="M308" s="34"/>
      <c r="N308" s="34"/>
      <c r="O308" s="34"/>
    </row>
    <row r="309" spans="1:15" ht="12.75">
      <c r="A309" s="34"/>
      <c r="B309" s="34"/>
      <c r="C309" s="34"/>
      <c r="D309" s="188"/>
      <c r="E309" s="188"/>
      <c r="F309" s="34"/>
      <c r="G309" s="188"/>
      <c r="H309" s="34"/>
      <c r="I309" s="34"/>
      <c r="J309" s="34"/>
      <c r="K309" s="44"/>
      <c r="L309" s="105"/>
      <c r="M309" s="34"/>
      <c r="N309" s="34"/>
      <c r="O309" s="34"/>
    </row>
    <row r="310" spans="1:15" ht="12.75">
      <c r="A310" s="34"/>
      <c r="B310" s="34"/>
      <c r="C310" s="34"/>
      <c r="D310" s="188"/>
      <c r="E310" s="188"/>
      <c r="F310" s="34"/>
      <c r="G310" s="188"/>
      <c r="H310" s="34"/>
      <c r="I310" s="34"/>
      <c r="J310" s="34"/>
      <c r="K310" s="44"/>
      <c r="L310" s="105"/>
      <c r="M310" s="34"/>
      <c r="N310" s="34"/>
      <c r="O310" s="34"/>
    </row>
    <row r="311" spans="1:15" ht="12.75">
      <c r="A311" s="34"/>
      <c r="B311" s="34"/>
      <c r="C311" s="34"/>
      <c r="D311" s="188"/>
      <c r="E311" s="188"/>
      <c r="F311" s="34"/>
      <c r="G311" s="188"/>
      <c r="H311" s="34"/>
      <c r="I311" s="34"/>
      <c r="J311" s="34"/>
      <c r="K311" s="44"/>
      <c r="L311" s="105"/>
      <c r="M311" s="34"/>
      <c r="N311" s="34"/>
      <c r="O311" s="34"/>
    </row>
    <row r="312" spans="1:15" ht="12.75">
      <c r="A312" s="34"/>
      <c r="B312" s="34"/>
      <c r="C312" s="34"/>
      <c r="D312" s="188"/>
      <c r="E312" s="188"/>
      <c r="F312" s="34"/>
      <c r="G312" s="188"/>
      <c r="H312" s="34"/>
      <c r="I312" s="34"/>
      <c r="J312" s="34"/>
      <c r="K312" s="44"/>
      <c r="L312" s="105"/>
      <c r="M312" s="34"/>
      <c r="N312" s="34"/>
      <c r="O312" s="34"/>
    </row>
    <row r="313" spans="1:15" ht="12.75">
      <c r="A313" s="34"/>
      <c r="B313" s="34"/>
      <c r="C313" s="34"/>
      <c r="D313" s="188"/>
      <c r="E313" s="188"/>
      <c r="F313" s="34"/>
      <c r="G313" s="188"/>
      <c r="H313" s="34"/>
      <c r="I313" s="34"/>
      <c r="J313" s="34"/>
      <c r="K313" s="44"/>
      <c r="L313" s="105"/>
      <c r="M313" s="34"/>
      <c r="N313" s="34"/>
      <c r="O313" s="34"/>
    </row>
    <row r="314" spans="1:15" ht="12.75">
      <c r="A314" s="34"/>
      <c r="B314" s="34"/>
      <c r="C314" s="34"/>
      <c r="D314" s="188"/>
      <c r="E314" s="188"/>
      <c r="F314" s="34"/>
      <c r="G314" s="188"/>
      <c r="H314" s="34"/>
      <c r="I314" s="34"/>
      <c r="J314" s="34"/>
      <c r="K314" s="44"/>
      <c r="L314" s="105"/>
      <c r="M314" s="34"/>
      <c r="N314" s="34"/>
      <c r="O314" s="34"/>
    </row>
    <row r="315" spans="1:15" ht="12.75">
      <c r="A315" s="34"/>
      <c r="B315" s="34"/>
      <c r="C315" s="34"/>
      <c r="D315" s="188"/>
      <c r="E315" s="188"/>
      <c r="F315" s="34"/>
      <c r="G315" s="188"/>
      <c r="H315" s="34"/>
      <c r="I315" s="34"/>
      <c r="J315" s="34"/>
      <c r="K315" s="44"/>
      <c r="L315" s="105"/>
      <c r="M315" s="34"/>
      <c r="N315" s="34"/>
      <c r="O315" s="34"/>
    </row>
    <row r="316" spans="1:15" ht="12.75">
      <c r="A316" s="34"/>
      <c r="B316" s="34"/>
      <c r="C316" s="34"/>
      <c r="D316" s="188"/>
      <c r="E316" s="188"/>
      <c r="F316" s="34"/>
      <c r="G316" s="188"/>
      <c r="H316" s="34"/>
      <c r="I316" s="34"/>
      <c r="J316" s="34"/>
      <c r="K316" s="44"/>
      <c r="L316" s="105"/>
      <c r="M316" s="34"/>
      <c r="N316" s="34"/>
      <c r="O316" s="34"/>
    </row>
    <row r="317" spans="1:15" ht="12.75">
      <c r="A317" s="34"/>
      <c r="B317" s="34"/>
      <c r="C317" s="34"/>
      <c r="D317" s="188"/>
      <c r="E317" s="188"/>
      <c r="F317" s="34"/>
      <c r="G317" s="188"/>
      <c r="H317" s="34"/>
      <c r="I317" s="34"/>
      <c r="J317" s="34"/>
      <c r="K317" s="44"/>
      <c r="L317" s="105"/>
      <c r="M317" s="34"/>
      <c r="N317" s="34"/>
      <c r="O317" s="34"/>
    </row>
    <row r="318" spans="1:15" ht="12.75">
      <c r="A318" s="34"/>
      <c r="B318" s="34"/>
      <c r="C318" s="34"/>
      <c r="D318" s="188"/>
      <c r="E318" s="188"/>
      <c r="F318" s="34"/>
      <c r="G318" s="188"/>
      <c r="H318" s="34"/>
      <c r="I318" s="34"/>
      <c r="J318" s="34"/>
      <c r="K318" s="44"/>
      <c r="L318" s="105"/>
      <c r="M318" s="34"/>
      <c r="N318" s="34"/>
      <c r="O318" s="34"/>
    </row>
    <row r="319" spans="1:15" ht="12.75">
      <c r="A319" s="34"/>
      <c r="B319" s="34"/>
      <c r="C319" s="34"/>
      <c r="D319" s="188"/>
      <c r="E319" s="188"/>
      <c r="F319" s="34"/>
      <c r="G319" s="188"/>
      <c r="H319" s="34"/>
      <c r="I319" s="34"/>
      <c r="J319" s="34"/>
      <c r="K319" s="44"/>
      <c r="L319" s="105"/>
      <c r="M319" s="34"/>
      <c r="N319" s="34"/>
      <c r="O319" s="34"/>
    </row>
    <row r="320" spans="1:15" ht="12.75">
      <c r="A320" s="34"/>
      <c r="B320" s="34"/>
      <c r="C320" s="34"/>
      <c r="D320" s="188"/>
      <c r="E320" s="188"/>
      <c r="F320" s="34"/>
      <c r="G320" s="188"/>
      <c r="H320" s="34"/>
      <c r="I320" s="34"/>
      <c r="J320" s="34"/>
      <c r="K320" s="44"/>
      <c r="L320" s="105"/>
      <c r="M320" s="34"/>
      <c r="N320" s="34"/>
      <c r="O320" s="34"/>
    </row>
    <row r="321" spans="1:15" ht="12.75">
      <c r="A321" s="34"/>
      <c r="B321" s="34"/>
      <c r="C321" s="34"/>
      <c r="D321" s="188"/>
      <c r="E321" s="188"/>
      <c r="F321" s="34"/>
      <c r="G321" s="188"/>
      <c r="H321" s="34"/>
      <c r="I321" s="34"/>
      <c r="J321" s="34"/>
      <c r="K321" s="44"/>
      <c r="L321" s="105"/>
      <c r="M321" s="34"/>
      <c r="N321" s="34"/>
      <c r="O321" s="34"/>
    </row>
    <row r="322" spans="1:15" ht="12.75">
      <c r="A322" s="34"/>
      <c r="B322" s="34"/>
      <c r="C322" s="34"/>
      <c r="D322" s="188"/>
      <c r="E322" s="188"/>
      <c r="F322" s="34"/>
      <c r="G322" s="188"/>
      <c r="H322" s="34"/>
      <c r="I322" s="34"/>
      <c r="J322" s="34"/>
      <c r="K322" s="44"/>
      <c r="L322" s="105"/>
      <c r="M322" s="34"/>
      <c r="N322" s="34"/>
      <c r="O322" s="34"/>
    </row>
    <row r="323" spans="1:15" ht="12.75">
      <c r="A323" s="34"/>
      <c r="B323" s="34"/>
      <c r="C323" s="34"/>
      <c r="D323" s="188"/>
      <c r="E323" s="188"/>
      <c r="F323" s="34"/>
      <c r="G323" s="188"/>
      <c r="H323" s="34"/>
      <c r="I323" s="34"/>
      <c r="J323" s="34"/>
      <c r="K323" s="44"/>
      <c r="L323" s="105"/>
      <c r="M323" s="34"/>
      <c r="N323" s="34"/>
      <c r="O323" s="34"/>
    </row>
    <row r="324" spans="1:15" ht="12.75">
      <c r="A324" s="34"/>
      <c r="B324" s="34"/>
      <c r="C324" s="34"/>
      <c r="D324" s="188"/>
      <c r="E324" s="188"/>
      <c r="F324" s="34"/>
      <c r="G324" s="188"/>
      <c r="H324" s="34"/>
      <c r="I324" s="34"/>
      <c r="J324" s="34"/>
      <c r="K324" s="44"/>
      <c r="L324" s="105"/>
      <c r="M324" s="34"/>
      <c r="N324" s="34"/>
      <c r="O324" s="34"/>
    </row>
    <row r="325" spans="1:15" ht="12.75">
      <c r="A325" s="34"/>
      <c r="B325" s="34"/>
      <c r="C325" s="34"/>
      <c r="D325" s="188"/>
      <c r="E325" s="188"/>
      <c r="F325" s="34"/>
      <c r="G325" s="188"/>
      <c r="H325" s="34"/>
      <c r="I325" s="34"/>
      <c r="J325" s="34"/>
      <c r="K325" s="44"/>
      <c r="L325" s="105"/>
      <c r="M325" s="34"/>
      <c r="N325" s="34"/>
      <c r="O325" s="34"/>
    </row>
    <row r="326" spans="1:15" ht="12.75">
      <c r="A326" s="34"/>
      <c r="B326" s="34"/>
      <c r="C326" s="34"/>
      <c r="D326" s="188"/>
      <c r="E326" s="188"/>
      <c r="F326" s="34"/>
      <c r="G326" s="188"/>
      <c r="H326" s="34"/>
      <c r="I326" s="34"/>
      <c r="J326" s="34"/>
      <c r="K326" s="44"/>
      <c r="L326" s="105"/>
      <c r="M326" s="34"/>
      <c r="N326" s="34"/>
      <c r="O326" s="34"/>
    </row>
    <row r="327" spans="1:15" ht="12.75">
      <c r="A327" s="34"/>
      <c r="B327" s="34"/>
      <c r="C327" s="34"/>
      <c r="D327" s="188"/>
      <c r="E327" s="188"/>
      <c r="F327" s="34"/>
      <c r="G327" s="188"/>
      <c r="H327" s="34"/>
      <c r="I327" s="34"/>
      <c r="J327" s="34"/>
      <c r="K327" s="44"/>
      <c r="L327" s="105"/>
      <c r="M327" s="34"/>
      <c r="N327" s="34"/>
      <c r="O327" s="34"/>
    </row>
    <row r="328" spans="1:15" ht="12.75">
      <c r="A328" s="34"/>
      <c r="B328" s="34"/>
      <c r="C328" s="34"/>
      <c r="D328" s="188"/>
      <c r="E328" s="188"/>
      <c r="F328" s="34"/>
      <c r="G328" s="188"/>
      <c r="H328" s="34"/>
      <c r="I328" s="34"/>
      <c r="J328" s="34"/>
      <c r="K328" s="44"/>
      <c r="L328" s="105"/>
      <c r="M328" s="34"/>
      <c r="N328" s="34"/>
      <c r="O328" s="34"/>
    </row>
    <row r="329" spans="1:15" ht="12.75">
      <c r="A329" s="34"/>
      <c r="B329" s="34"/>
      <c r="C329" s="34"/>
      <c r="D329" s="188"/>
      <c r="E329" s="188"/>
      <c r="F329" s="34"/>
      <c r="G329" s="188"/>
      <c r="H329" s="34"/>
      <c r="I329" s="34"/>
      <c r="J329" s="34"/>
      <c r="K329" s="44"/>
      <c r="L329" s="105"/>
      <c r="M329" s="34"/>
      <c r="N329" s="34"/>
      <c r="O329" s="34"/>
    </row>
    <row r="330" spans="1:15" ht="12.75">
      <c r="A330" s="34"/>
      <c r="B330" s="34"/>
      <c r="C330" s="34"/>
      <c r="D330" s="188"/>
      <c r="E330" s="188"/>
      <c r="F330" s="34"/>
      <c r="G330" s="188"/>
      <c r="H330" s="34"/>
      <c r="I330" s="34"/>
      <c r="J330" s="34"/>
      <c r="K330" s="44"/>
      <c r="L330" s="105"/>
      <c r="M330" s="34"/>
      <c r="N330" s="34"/>
      <c r="O330" s="34"/>
    </row>
    <row r="331" spans="1:15" ht="12.75">
      <c r="A331" s="34"/>
      <c r="B331" s="34"/>
      <c r="C331" s="34"/>
      <c r="D331" s="188"/>
      <c r="E331" s="188"/>
      <c r="F331" s="34"/>
      <c r="G331" s="188"/>
      <c r="H331" s="34"/>
      <c r="I331" s="34"/>
      <c r="J331" s="34"/>
      <c r="K331" s="44"/>
      <c r="L331" s="105"/>
      <c r="M331" s="34"/>
      <c r="N331" s="34"/>
      <c r="O331" s="34"/>
    </row>
    <row r="332" spans="1:15" ht="12.75">
      <c r="A332" s="34"/>
      <c r="B332" s="34"/>
      <c r="C332" s="34"/>
      <c r="D332" s="188"/>
      <c r="E332" s="188"/>
      <c r="F332" s="34"/>
      <c r="G332" s="188"/>
      <c r="H332" s="34"/>
      <c r="I332" s="34"/>
      <c r="J332" s="34"/>
      <c r="K332" s="44"/>
      <c r="L332" s="105"/>
      <c r="M332" s="34"/>
      <c r="N332" s="34"/>
      <c r="O332" s="34"/>
    </row>
    <row r="333" spans="1:15" ht="12.75">
      <c r="A333" s="34"/>
      <c r="B333" s="34"/>
      <c r="C333" s="34"/>
      <c r="D333" s="188"/>
      <c r="E333" s="188"/>
      <c r="F333" s="34"/>
      <c r="G333" s="188"/>
      <c r="H333" s="34"/>
      <c r="I333" s="34"/>
      <c r="J333" s="34"/>
      <c r="K333" s="44"/>
      <c r="L333" s="105"/>
      <c r="M333" s="34"/>
      <c r="N333" s="34"/>
      <c r="O333" s="34"/>
    </row>
    <row r="334" spans="1:15" ht="12.75">
      <c r="A334" s="34"/>
      <c r="B334" s="34"/>
      <c r="C334" s="34"/>
      <c r="D334" s="188"/>
      <c r="E334" s="188"/>
      <c r="F334" s="34"/>
      <c r="G334" s="188"/>
      <c r="H334" s="34"/>
      <c r="I334" s="34"/>
      <c r="J334" s="34"/>
      <c r="K334" s="44"/>
      <c r="L334" s="105"/>
      <c r="M334" s="34"/>
      <c r="N334" s="34"/>
      <c r="O334" s="34"/>
    </row>
    <row r="335" spans="1:15" ht="12.75">
      <c r="A335" s="34"/>
      <c r="B335" s="34"/>
      <c r="C335" s="34"/>
      <c r="D335" s="188"/>
      <c r="E335" s="188"/>
      <c r="F335" s="34"/>
      <c r="G335" s="188"/>
      <c r="H335" s="34"/>
      <c r="I335" s="34"/>
      <c r="J335" s="34"/>
      <c r="K335" s="44"/>
      <c r="L335" s="105"/>
      <c r="M335" s="34"/>
      <c r="N335" s="34"/>
      <c r="O335" s="34"/>
    </row>
    <row r="336" spans="1:15" ht="12.75">
      <c r="A336" s="34"/>
      <c r="B336" s="34"/>
      <c r="C336" s="34"/>
      <c r="D336" s="188"/>
      <c r="E336" s="188"/>
      <c r="F336" s="34"/>
      <c r="G336" s="188"/>
      <c r="H336" s="34"/>
      <c r="I336" s="34"/>
      <c r="J336" s="34"/>
      <c r="K336" s="44"/>
      <c r="L336" s="105"/>
      <c r="M336" s="34"/>
      <c r="N336" s="34"/>
      <c r="O336" s="34"/>
    </row>
    <row r="337" spans="1:15" ht="12.75">
      <c r="A337" s="34"/>
      <c r="B337" s="34"/>
      <c r="C337" s="34"/>
      <c r="D337" s="188"/>
      <c r="E337" s="188"/>
      <c r="F337" s="34"/>
      <c r="G337" s="188"/>
      <c r="H337" s="34"/>
      <c r="I337" s="34"/>
      <c r="J337" s="34"/>
      <c r="K337" s="44"/>
      <c r="L337" s="105"/>
      <c r="M337" s="34"/>
      <c r="N337" s="34"/>
      <c r="O337" s="34"/>
    </row>
    <row r="338" spans="1:15" ht="12.75">
      <c r="A338" s="34"/>
      <c r="B338" s="34"/>
      <c r="C338" s="34"/>
      <c r="D338" s="188"/>
      <c r="E338" s="188"/>
      <c r="F338" s="34"/>
      <c r="G338" s="188"/>
      <c r="H338" s="34"/>
      <c r="I338" s="34"/>
      <c r="J338" s="34"/>
      <c r="K338" s="44"/>
      <c r="L338" s="105"/>
      <c r="M338" s="34"/>
      <c r="N338" s="34"/>
      <c r="O338" s="34"/>
    </row>
    <row r="339" spans="1:15" ht="12.75">
      <c r="A339" s="34"/>
      <c r="B339" s="34"/>
      <c r="C339" s="34"/>
      <c r="D339" s="188"/>
      <c r="E339" s="188"/>
      <c r="F339" s="34"/>
      <c r="G339" s="188"/>
      <c r="H339" s="34"/>
      <c r="I339" s="34"/>
      <c r="J339" s="34"/>
      <c r="K339" s="44"/>
      <c r="L339" s="105"/>
      <c r="M339" s="34"/>
      <c r="N339" s="34"/>
      <c r="O339" s="34"/>
    </row>
    <row r="340" spans="1:15" ht="12.75">
      <c r="A340" s="34"/>
      <c r="B340" s="34"/>
      <c r="C340" s="34"/>
      <c r="D340" s="188"/>
      <c r="E340" s="188"/>
      <c r="F340" s="34"/>
      <c r="G340" s="188"/>
      <c r="H340" s="34"/>
      <c r="I340" s="34"/>
      <c r="J340" s="34"/>
      <c r="K340" s="44"/>
      <c r="L340" s="105"/>
      <c r="M340" s="34"/>
      <c r="N340" s="34"/>
      <c r="O340" s="34"/>
    </row>
    <row r="341" spans="1:15" ht="12.75">
      <c r="A341" s="34"/>
      <c r="B341" s="34"/>
      <c r="C341" s="34"/>
      <c r="D341" s="188"/>
      <c r="E341" s="188"/>
      <c r="F341" s="34"/>
      <c r="G341" s="188"/>
      <c r="H341" s="34"/>
      <c r="I341" s="34"/>
      <c r="J341" s="34"/>
      <c r="K341" s="44"/>
      <c r="L341" s="105"/>
      <c r="M341" s="34"/>
      <c r="N341" s="34"/>
      <c r="O341" s="34"/>
    </row>
    <row r="342" spans="1:15" ht="12.75">
      <c r="A342" s="34"/>
      <c r="B342" s="34"/>
      <c r="C342" s="34"/>
      <c r="D342" s="188"/>
      <c r="E342" s="188"/>
      <c r="F342" s="34"/>
      <c r="G342" s="188"/>
      <c r="H342" s="34"/>
      <c r="I342" s="34"/>
      <c r="J342" s="34"/>
      <c r="K342" s="44"/>
      <c r="L342" s="105"/>
      <c r="M342" s="34"/>
      <c r="N342" s="34"/>
      <c r="O342" s="34"/>
    </row>
    <row r="343" spans="1:15" ht="12.75">
      <c r="A343" s="34"/>
      <c r="B343" s="34"/>
      <c r="C343" s="34"/>
      <c r="D343" s="188"/>
      <c r="E343" s="188"/>
      <c r="F343" s="34"/>
      <c r="G343" s="188"/>
      <c r="H343" s="34"/>
      <c r="I343" s="34"/>
      <c r="J343" s="34"/>
      <c r="K343" s="44"/>
      <c r="L343" s="105"/>
      <c r="M343" s="34"/>
      <c r="N343" s="34"/>
      <c r="O343" s="34"/>
    </row>
    <row r="344" spans="1:15" ht="12.75">
      <c r="A344" s="34"/>
      <c r="B344" s="34"/>
      <c r="C344" s="34"/>
      <c r="D344" s="188"/>
      <c r="E344" s="188"/>
      <c r="F344" s="34"/>
      <c r="G344" s="188"/>
      <c r="H344" s="34"/>
      <c r="I344" s="34"/>
      <c r="J344" s="34"/>
      <c r="K344" s="44"/>
      <c r="L344" s="105"/>
      <c r="M344" s="34"/>
      <c r="N344" s="34"/>
      <c r="O344" s="34"/>
    </row>
    <row r="345" spans="1:15" ht="12.75">
      <c r="A345" s="34"/>
      <c r="B345" s="34"/>
      <c r="C345" s="34"/>
      <c r="D345" s="188"/>
      <c r="E345" s="188"/>
      <c r="F345" s="34"/>
      <c r="G345" s="188"/>
      <c r="H345" s="34"/>
      <c r="I345" s="34"/>
      <c r="J345" s="34"/>
      <c r="K345" s="44"/>
      <c r="L345" s="105"/>
      <c r="M345" s="34"/>
      <c r="N345" s="34"/>
      <c r="O345" s="34"/>
    </row>
    <row r="346" spans="1:15" ht="12.75">
      <c r="A346" s="34"/>
      <c r="B346" s="34"/>
      <c r="C346" s="34"/>
      <c r="D346" s="188"/>
      <c r="E346" s="188"/>
      <c r="F346" s="34"/>
      <c r="G346" s="188"/>
      <c r="H346" s="34"/>
      <c r="I346" s="34"/>
      <c r="J346" s="34"/>
      <c r="K346" s="44"/>
      <c r="L346" s="105"/>
      <c r="M346" s="34"/>
      <c r="N346" s="34"/>
      <c r="O346" s="34"/>
    </row>
    <row r="347" spans="1:15" ht="12.75">
      <c r="A347" s="34"/>
      <c r="B347" s="34"/>
      <c r="C347" s="34"/>
      <c r="D347" s="188"/>
      <c r="E347" s="188"/>
      <c r="F347" s="34"/>
      <c r="G347" s="188"/>
      <c r="H347" s="34"/>
      <c r="I347" s="34"/>
      <c r="J347" s="34"/>
      <c r="K347" s="44"/>
      <c r="L347" s="105"/>
      <c r="M347" s="34"/>
      <c r="N347" s="34"/>
      <c r="O347" s="34"/>
    </row>
    <row r="348" spans="1:15" ht="12.75">
      <c r="A348" s="34"/>
      <c r="B348" s="34"/>
      <c r="C348" s="34"/>
      <c r="D348" s="188"/>
      <c r="E348" s="188"/>
      <c r="F348" s="34"/>
      <c r="G348" s="188"/>
      <c r="H348" s="34"/>
      <c r="I348" s="34"/>
      <c r="J348" s="34"/>
      <c r="K348" s="44"/>
      <c r="L348" s="105"/>
      <c r="M348" s="34"/>
      <c r="N348" s="34"/>
      <c r="O348" s="34"/>
    </row>
    <row r="349" spans="1:15" ht="12.75">
      <c r="A349" s="34"/>
      <c r="B349" s="34"/>
      <c r="C349" s="34"/>
      <c r="D349" s="188"/>
      <c r="E349" s="188"/>
      <c r="F349" s="34"/>
      <c r="G349" s="188"/>
      <c r="H349" s="34"/>
      <c r="I349" s="34"/>
      <c r="J349" s="34"/>
      <c r="K349" s="44"/>
      <c r="L349" s="105"/>
      <c r="M349" s="34"/>
      <c r="N349" s="34"/>
      <c r="O349" s="34"/>
    </row>
    <row r="350" spans="1:15" ht="12.75">
      <c r="A350" s="34"/>
      <c r="B350" s="34"/>
      <c r="C350" s="34"/>
      <c r="D350" s="188"/>
      <c r="E350" s="188"/>
      <c r="F350" s="34"/>
      <c r="G350" s="188"/>
      <c r="H350" s="34"/>
      <c r="I350" s="34"/>
      <c r="J350" s="34"/>
      <c r="K350" s="44"/>
      <c r="L350" s="105"/>
      <c r="M350" s="34"/>
      <c r="N350" s="34"/>
      <c r="O350" s="34"/>
    </row>
    <row r="351" spans="1:15" ht="12.75">
      <c r="A351" s="34"/>
      <c r="B351" s="34"/>
      <c r="C351" s="34"/>
      <c r="D351" s="188"/>
      <c r="E351" s="188"/>
      <c r="F351" s="34"/>
      <c r="G351" s="188"/>
      <c r="H351" s="34"/>
      <c r="I351" s="34"/>
      <c r="J351" s="34"/>
      <c r="K351" s="44"/>
      <c r="L351" s="105"/>
      <c r="M351" s="34"/>
      <c r="N351" s="34"/>
      <c r="O351" s="34"/>
    </row>
    <row r="352" spans="1:15" ht="12.75">
      <c r="A352" s="34"/>
      <c r="B352" s="34"/>
      <c r="C352" s="34"/>
      <c r="D352" s="188"/>
      <c r="E352" s="188"/>
      <c r="F352" s="34"/>
      <c r="G352" s="188"/>
      <c r="H352" s="34"/>
      <c r="I352" s="34"/>
      <c r="J352" s="34"/>
      <c r="K352" s="44"/>
      <c r="L352" s="105"/>
      <c r="M352" s="34"/>
      <c r="N352" s="34"/>
      <c r="O352" s="34"/>
    </row>
    <row r="353" spans="1:15" ht="12.75">
      <c r="A353" s="34"/>
      <c r="B353" s="34"/>
      <c r="C353" s="34"/>
      <c r="D353" s="188"/>
      <c r="E353" s="188"/>
      <c r="F353" s="34"/>
      <c r="G353" s="188"/>
      <c r="H353" s="34"/>
      <c r="I353" s="34"/>
      <c r="J353" s="34"/>
      <c r="K353" s="44"/>
      <c r="L353" s="105"/>
      <c r="M353" s="34"/>
      <c r="N353" s="34"/>
      <c r="O353" s="34"/>
    </row>
    <row r="354" spans="1:15" ht="12.75">
      <c r="A354" s="34"/>
      <c r="B354" s="34"/>
      <c r="C354" s="34"/>
      <c r="D354" s="188"/>
      <c r="E354" s="188"/>
      <c r="F354" s="34"/>
      <c r="G354" s="188"/>
      <c r="H354" s="34"/>
      <c r="I354" s="34"/>
      <c r="J354" s="34"/>
      <c r="K354" s="44"/>
      <c r="L354" s="105"/>
      <c r="M354" s="34"/>
      <c r="N354" s="34"/>
      <c r="O354" s="34"/>
    </row>
    <row r="355" spans="1:15" ht="12.75">
      <c r="A355" s="34"/>
      <c r="B355" s="34"/>
      <c r="C355" s="34"/>
      <c r="D355" s="188"/>
      <c r="E355" s="188"/>
      <c r="F355" s="34"/>
      <c r="G355" s="188"/>
      <c r="H355" s="34"/>
      <c r="I355" s="34"/>
      <c r="J355" s="34"/>
      <c r="K355" s="44"/>
      <c r="L355" s="105"/>
      <c r="M355" s="34"/>
      <c r="N355" s="34"/>
      <c r="O355" s="34"/>
    </row>
    <row r="356" spans="1:15" ht="12.75">
      <c r="A356" s="34"/>
      <c r="B356" s="34"/>
      <c r="C356" s="34"/>
      <c r="D356" s="188"/>
      <c r="E356" s="188"/>
      <c r="F356" s="34"/>
      <c r="G356" s="188"/>
      <c r="H356" s="34"/>
      <c r="I356" s="34"/>
      <c r="J356" s="34"/>
      <c r="K356" s="44"/>
      <c r="L356" s="105"/>
      <c r="M356" s="34"/>
      <c r="N356" s="34"/>
      <c r="O356" s="34"/>
    </row>
    <row r="357" spans="1:15" ht="12.75">
      <c r="A357" s="34"/>
      <c r="B357" s="34"/>
      <c r="C357" s="34"/>
      <c r="D357" s="188"/>
      <c r="E357" s="188"/>
      <c r="F357" s="34"/>
      <c r="G357" s="188"/>
      <c r="H357" s="34"/>
      <c r="I357" s="34"/>
      <c r="J357" s="34"/>
      <c r="K357" s="44"/>
      <c r="L357" s="105"/>
      <c r="M357" s="34"/>
      <c r="N357" s="34"/>
      <c r="O357" s="34"/>
    </row>
    <row r="358" spans="1:15" ht="12.75">
      <c r="A358" s="34"/>
      <c r="B358" s="34"/>
      <c r="C358" s="34"/>
      <c r="D358" s="188"/>
      <c r="E358" s="188"/>
      <c r="F358" s="34"/>
      <c r="G358" s="188"/>
      <c r="H358" s="34"/>
      <c r="I358" s="34"/>
      <c r="J358" s="34"/>
      <c r="K358" s="44"/>
      <c r="L358" s="105"/>
      <c r="M358" s="34"/>
      <c r="N358" s="34"/>
      <c r="O358" s="34"/>
    </row>
    <row r="359" spans="1:15" ht="12.75">
      <c r="A359" s="34"/>
      <c r="B359" s="34"/>
      <c r="C359" s="34"/>
      <c r="D359" s="188"/>
      <c r="E359" s="188"/>
      <c r="F359" s="34"/>
      <c r="G359" s="188"/>
      <c r="H359" s="34"/>
      <c r="I359" s="34"/>
      <c r="J359" s="34"/>
      <c r="K359" s="44"/>
      <c r="L359" s="105"/>
      <c r="M359" s="34"/>
      <c r="N359" s="34"/>
      <c r="O359" s="34"/>
    </row>
    <row r="360" spans="1:15" ht="12.75">
      <c r="A360" s="34"/>
      <c r="B360" s="34"/>
      <c r="C360" s="34"/>
      <c r="D360" s="188"/>
      <c r="E360" s="188"/>
      <c r="F360" s="34"/>
      <c r="G360" s="188"/>
      <c r="H360" s="34"/>
      <c r="I360" s="34"/>
      <c r="J360" s="34"/>
      <c r="K360" s="44"/>
      <c r="L360" s="105"/>
      <c r="M360" s="34"/>
      <c r="N360" s="34"/>
      <c r="O360" s="34"/>
    </row>
    <row r="361" spans="1:15" ht="12.75">
      <c r="A361" s="34"/>
      <c r="B361" s="34"/>
      <c r="C361" s="34"/>
      <c r="D361" s="188"/>
      <c r="E361" s="188"/>
      <c r="F361" s="34"/>
      <c r="G361" s="188"/>
      <c r="H361" s="34"/>
      <c r="I361" s="34"/>
      <c r="J361" s="34"/>
      <c r="K361" s="44"/>
      <c r="L361" s="105"/>
      <c r="M361" s="34"/>
      <c r="N361" s="34"/>
      <c r="O361" s="34"/>
    </row>
    <row r="362" spans="1:15" ht="12.75">
      <c r="A362" s="34"/>
      <c r="B362" s="34"/>
      <c r="C362" s="34"/>
      <c r="D362" s="188"/>
      <c r="E362" s="188"/>
      <c r="F362" s="34"/>
      <c r="G362" s="188"/>
      <c r="H362" s="34"/>
      <c r="I362" s="34"/>
      <c r="J362" s="34"/>
      <c r="K362" s="44"/>
      <c r="L362" s="105"/>
      <c r="M362" s="34"/>
      <c r="N362" s="34"/>
      <c r="O362" s="34"/>
    </row>
    <row r="363" spans="1:15" ht="12.75">
      <c r="A363" s="34"/>
      <c r="B363" s="34"/>
      <c r="C363" s="34"/>
      <c r="D363" s="188"/>
      <c r="E363" s="188"/>
      <c r="F363" s="34"/>
      <c r="G363" s="188"/>
      <c r="H363" s="34"/>
      <c r="I363" s="34"/>
      <c r="J363" s="34"/>
      <c r="K363" s="44"/>
      <c r="L363" s="105"/>
      <c r="M363" s="34"/>
      <c r="N363" s="34"/>
      <c r="O363" s="34"/>
    </row>
    <row r="364" spans="1:15" ht="12.75">
      <c r="A364" s="34"/>
      <c r="B364" s="34"/>
      <c r="C364" s="34"/>
      <c r="D364" s="188"/>
      <c r="E364" s="188"/>
      <c r="F364" s="34"/>
      <c r="G364" s="188"/>
      <c r="H364" s="34"/>
      <c r="I364" s="34"/>
      <c r="J364" s="34"/>
      <c r="K364" s="44"/>
      <c r="L364" s="105"/>
      <c r="M364" s="34"/>
      <c r="N364" s="34"/>
      <c r="O364" s="34"/>
    </row>
    <row r="365" spans="1:15" ht="12.75">
      <c r="A365" s="34"/>
      <c r="B365" s="34"/>
      <c r="C365" s="34"/>
      <c r="D365" s="188"/>
      <c r="E365" s="188"/>
      <c r="F365" s="34"/>
      <c r="G365" s="188"/>
      <c r="H365" s="34"/>
      <c r="I365" s="34"/>
      <c r="J365" s="34"/>
      <c r="K365" s="44"/>
      <c r="L365" s="105"/>
      <c r="M365" s="34"/>
      <c r="N365" s="34"/>
      <c r="O365" s="34"/>
    </row>
    <row r="366" spans="1:15" ht="12.75">
      <c r="A366" s="34"/>
      <c r="B366" s="34"/>
      <c r="C366" s="34"/>
      <c r="D366" s="188"/>
      <c r="E366" s="188"/>
      <c r="F366" s="34"/>
      <c r="G366" s="188"/>
      <c r="H366" s="34"/>
      <c r="I366" s="34"/>
      <c r="J366" s="34"/>
      <c r="K366" s="44"/>
      <c r="L366" s="105"/>
      <c r="M366" s="34"/>
      <c r="N366" s="34"/>
      <c r="O366" s="34"/>
    </row>
    <row r="367" spans="1:15" ht="12.75">
      <c r="A367" s="34"/>
      <c r="B367" s="34"/>
      <c r="C367" s="34"/>
      <c r="D367" s="188"/>
      <c r="E367" s="188"/>
      <c r="F367" s="34"/>
      <c r="G367" s="188"/>
      <c r="H367" s="34"/>
      <c r="I367" s="34"/>
      <c r="J367" s="34"/>
      <c r="K367" s="44"/>
      <c r="L367" s="105"/>
      <c r="M367" s="34"/>
      <c r="N367" s="34"/>
      <c r="O367" s="34"/>
    </row>
    <row r="368" spans="1:15" ht="12.75">
      <c r="A368" s="34"/>
      <c r="B368" s="34"/>
      <c r="C368" s="34"/>
      <c r="D368" s="188"/>
      <c r="E368" s="188"/>
      <c r="F368" s="34"/>
      <c r="G368" s="188"/>
      <c r="H368" s="34"/>
      <c r="I368" s="34"/>
      <c r="J368" s="34"/>
      <c r="K368" s="44"/>
      <c r="L368" s="105"/>
      <c r="M368" s="34"/>
      <c r="N368" s="34"/>
      <c r="O368" s="34"/>
    </row>
    <row r="369" spans="1:15" ht="12.75">
      <c r="A369" s="34"/>
      <c r="B369" s="34"/>
      <c r="C369" s="34"/>
      <c r="D369" s="188"/>
      <c r="E369" s="188"/>
      <c r="F369" s="34"/>
      <c r="G369" s="188"/>
      <c r="H369" s="34"/>
      <c r="I369" s="34"/>
      <c r="J369" s="34"/>
      <c r="K369" s="44"/>
      <c r="L369" s="105"/>
      <c r="M369" s="34"/>
      <c r="N369" s="34"/>
      <c r="O369" s="34"/>
    </row>
    <row r="370" spans="1:15" ht="12.75">
      <c r="A370" s="34"/>
      <c r="B370" s="34"/>
      <c r="C370" s="34"/>
      <c r="D370" s="188"/>
      <c r="E370" s="188"/>
      <c r="F370" s="34"/>
      <c r="G370" s="188"/>
      <c r="H370" s="34"/>
      <c r="I370" s="34"/>
      <c r="J370" s="34"/>
      <c r="K370" s="44"/>
      <c r="L370" s="105"/>
      <c r="M370" s="34"/>
      <c r="N370" s="34"/>
      <c r="O370" s="34"/>
    </row>
    <row r="371" spans="1:15" ht="12.75">
      <c r="A371" s="34"/>
      <c r="B371" s="34"/>
      <c r="C371" s="34"/>
      <c r="D371" s="188"/>
      <c r="E371" s="188"/>
      <c r="F371" s="34"/>
      <c r="G371" s="188"/>
      <c r="H371" s="34"/>
      <c r="I371" s="34"/>
      <c r="J371" s="34"/>
      <c r="K371" s="44"/>
      <c r="L371" s="105"/>
      <c r="M371" s="34"/>
      <c r="N371" s="34"/>
      <c r="O371" s="34"/>
    </row>
    <row r="372" spans="1:15" ht="12.75">
      <c r="A372" s="34"/>
      <c r="B372" s="34"/>
      <c r="C372" s="34"/>
      <c r="D372" s="188"/>
      <c r="E372" s="188"/>
      <c r="F372" s="34"/>
      <c r="G372" s="188"/>
      <c r="H372" s="34"/>
      <c r="I372" s="34"/>
      <c r="J372" s="34"/>
      <c r="K372" s="44"/>
      <c r="L372" s="105"/>
      <c r="M372" s="34"/>
      <c r="N372" s="34"/>
      <c r="O372" s="34"/>
    </row>
    <row r="373" spans="1:15" ht="12.75">
      <c r="A373" s="34"/>
      <c r="B373" s="34"/>
      <c r="C373" s="34"/>
      <c r="D373" s="188"/>
      <c r="E373" s="188"/>
      <c r="F373" s="34"/>
      <c r="G373" s="188"/>
      <c r="H373" s="34"/>
      <c r="I373" s="34"/>
      <c r="J373" s="34"/>
      <c r="K373" s="44"/>
      <c r="L373" s="105"/>
      <c r="M373" s="34"/>
      <c r="N373" s="34"/>
      <c r="O373" s="34"/>
    </row>
    <row r="374" spans="1:15" ht="12.75">
      <c r="A374" s="34"/>
      <c r="B374" s="34"/>
      <c r="C374" s="34"/>
      <c r="D374" s="188"/>
      <c r="E374" s="188"/>
      <c r="F374" s="34"/>
      <c r="G374" s="188"/>
      <c r="H374" s="34"/>
      <c r="I374" s="34"/>
      <c r="J374" s="34"/>
      <c r="K374" s="44"/>
      <c r="L374" s="105"/>
      <c r="M374" s="34"/>
      <c r="N374" s="34"/>
      <c r="O374" s="34"/>
    </row>
    <row r="375" spans="1:15" ht="12.75">
      <c r="A375" s="34"/>
      <c r="B375" s="34"/>
      <c r="C375" s="34"/>
      <c r="D375" s="188"/>
      <c r="E375" s="188"/>
      <c r="F375" s="34"/>
      <c r="G375" s="188"/>
      <c r="H375" s="34"/>
      <c r="I375" s="34"/>
      <c r="J375" s="34"/>
      <c r="K375" s="44"/>
      <c r="L375" s="105"/>
      <c r="M375" s="34"/>
      <c r="N375" s="34"/>
      <c r="O375" s="34"/>
    </row>
    <row r="376" spans="1:15" ht="12.75">
      <c r="A376" s="34"/>
      <c r="B376" s="34"/>
      <c r="C376" s="34"/>
      <c r="D376" s="188"/>
      <c r="E376" s="188"/>
      <c r="F376" s="34"/>
      <c r="G376" s="188"/>
      <c r="H376" s="34"/>
      <c r="I376" s="34"/>
      <c r="J376" s="34"/>
      <c r="K376" s="44"/>
      <c r="L376" s="105"/>
      <c r="M376" s="34"/>
      <c r="N376" s="34"/>
      <c r="O376" s="34"/>
    </row>
    <row r="377" spans="1:15" ht="12.75">
      <c r="A377" s="34"/>
      <c r="B377" s="34"/>
      <c r="C377" s="34"/>
      <c r="D377" s="188"/>
      <c r="E377" s="188"/>
      <c r="F377" s="34"/>
      <c r="G377" s="188"/>
      <c r="H377" s="34"/>
      <c r="I377" s="34"/>
      <c r="J377" s="34"/>
      <c r="K377" s="44"/>
      <c r="L377" s="105"/>
      <c r="M377" s="34"/>
      <c r="N377" s="34"/>
      <c r="O377" s="34"/>
    </row>
    <row r="378" spans="1:15" ht="12.75">
      <c r="A378" s="34"/>
      <c r="B378" s="34"/>
      <c r="C378" s="34"/>
      <c r="D378" s="188"/>
      <c r="E378" s="188"/>
      <c r="F378" s="34"/>
      <c r="G378" s="188"/>
      <c r="H378" s="34"/>
      <c r="I378" s="34"/>
      <c r="J378" s="34"/>
      <c r="K378" s="44"/>
      <c r="L378" s="105"/>
      <c r="M378" s="34"/>
      <c r="N378" s="34"/>
      <c r="O378" s="34"/>
    </row>
    <row r="379" spans="1:15" ht="12.75">
      <c r="A379" s="34"/>
      <c r="B379" s="34"/>
      <c r="C379" s="34"/>
      <c r="D379" s="188"/>
      <c r="E379" s="188"/>
      <c r="F379" s="34"/>
      <c r="G379" s="188"/>
      <c r="H379" s="34"/>
      <c r="I379" s="34"/>
      <c r="J379" s="34"/>
      <c r="K379" s="44"/>
      <c r="L379" s="105"/>
      <c r="M379" s="34"/>
      <c r="N379" s="34"/>
      <c r="O379" s="34"/>
    </row>
    <row r="380" spans="1:15" ht="12.75">
      <c r="A380" s="34"/>
      <c r="B380" s="34"/>
      <c r="C380" s="34"/>
      <c r="D380" s="188"/>
      <c r="E380" s="188"/>
      <c r="F380" s="34"/>
      <c r="G380" s="188"/>
      <c r="H380" s="34"/>
      <c r="I380" s="34"/>
      <c r="J380" s="34"/>
      <c r="K380" s="44"/>
      <c r="L380" s="105"/>
      <c r="M380" s="34"/>
      <c r="N380" s="34"/>
      <c r="O380" s="34"/>
    </row>
    <row r="381" spans="1:15" ht="12.75">
      <c r="A381" s="34"/>
      <c r="B381" s="34"/>
      <c r="C381" s="34"/>
      <c r="D381" s="188"/>
      <c r="E381" s="188"/>
      <c r="F381" s="34"/>
      <c r="G381" s="188"/>
      <c r="H381" s="34"/>
      <c r="I381" s="34"/>
      <c r="J381" s="34"/>
      <c r="K381" s="44"/>
      <c r="L381" s="105"/>
      <c r="M381" s="34"/>
      <c r="N381" s="34"/>
      <c r="O381" s="34"/>
    </row>
    <row r="382" spans="1:15" ht="12.75">
      <c r="A382" s="34"/>
      <c r="B382" s="34"/>
      <c r="C382" s="34"/>
      <c r="D382" s="188"/>
      <c r="E382" s="188"/>
      <c r="F382" s="34"/>
      <c r="G382" s="188"/>
      <c r="H382" s="34"/>
      <c r="I382" s="34"/>
      <c r="J382" s="34"/>
      <c r="K382" s="44"/>
      <c r="L382" s="105"/>
      <c r="M382" s="34"/>
      <c r="N382" s="34"/>
      <c r="O382" s="34"/>
    </row>
    <row r="383" spans="1:15" ht="12.75">
      <c r="A383" s="34"/>
      <c r="B383" s="34"/>
      <c r="C383" s="34"/>
      <c r="D383" s="188"/>
      <c r="E383" s="188"/>
      <c r="F383" s="34"/>
      <c r="G383" s="188"/>
      <c r="H383" s="34"/>
      <c r="I383" s="34"/>
      <c r="J383" s="34"/>
      <c r="K383" s="44"/>
      <c r="L383" s="105"/>
      <c r="M383" s="34"/>
      <c r="N383" s="34"/>
      <c r="O383" s="34"/>
    </row>
    <row r="384" spans="1:15" ht="12.75">
      <c r="A384" s="34"/>
      <c r="B384" s="34"/>
      <c r="C384" s="34"/>
      <c r="D384" s="188"/>
      <c r="E384" s="188"/>
      <c r="F384" s="34"/>
      <c r="G384" s="188"/>
      <c r="H384" s="34"/>
      <c r="I384" s="34"/>
      <c r="J384" s="34"/>
      <c r="K384" s="44"/>
      <c r="L384" s="105"/>
      <c r="M384" s="34"/>
      <c r="N384" s="34"/>
      <c r="O384" s="34"/>
    </row>
    <row r="385" spans="1:15" ht="12.75">
      <c r="A385" s="34"/>
      <c r="B385" s="34"/>
      <c r="C385" s="34"/>
      <c r="D385" s="188"/>
      <c r="E385" s="188"/>
      <c r="F385" s="34"/>
      <c r="G385" s="188"/>
      <c r="H385" s="34"/>
      <c r="I385" s="34"/>
      <c r="J385" s="34"/>
      <c r="K385" s="44"/>
      <c r="L385" s="105"/>
      <c r="M385" s="34"/>
      <c r="N385" s="34"/>
      <c r="O385" s="34"/>
    </row>
    <row r="386" spans="1:15" ht="12.75">
      <c r="A386" s="34"/>
      <c r="B386" s="34"/>
      <c r="C386" s="34"/>
      <c r="D386" s="188"/>
      <c r="E386" s="188"/>
      <c r="F386" s="34"/>
      <c r="G386" s="188"/>
      <c r="H386" s="34"/>
      <c r="I386" s="34"/>
      <c r="J386" s="34"/>
      <c r="K386" s="44"/>
      <c r="L386" s="105"/>
      <c r="M386" s="34"/>
      <c r="N386" s="34"/>
      <c r="O386" s="34"/>
    </row>
    <row r="387" spans="1:15" ht="12.75">
      <c r="A387" s="34"/>
      <c r="B387" s="34"/>
      <c r="C387" s="34"/>
      <c r="D387" s="188"/>
      <c r="E387" s="188"/>
      <c r="F387" s="34"/>
      <c r="G387" s="188"/>
      <c r="H387" s="34"/>
      <c r="I387" s="34"/>
      <c r="J387" s="34"/>
      <c r="K387" s="44"/>
      <c r="L387" s="105"/>
      <c r="M387" s="34"/>
      <c r="N387" s="34"/>
      <c r="O387" s="34"/>
    </row>
    <row r="388" spans="1:15" ht="12.75">
      <c r="A388" s="34"/>
      <c r="B388" s="34"/>
      <c r="C388" s="34"/>
      <c r="D388" s="188"/>
      <c r="E388" s="188"/>
      <c r="F388" s="34"/>
      <c r="G388" s="188"/>
      <c r="H388" s="34"/>
      <c r="I388" s="34"/>
      <c r="J388" s="34"/>
      <c r="K388" s="44"/>
      <c r="L388" s="105"/>
      <c r="M388" s="34"/>
      <c r="N388" s="34"/>
      <c r="O388" s="34"/>
    </row>
    <row r="389" spans="1:15" ht="12.75">
      <c r="A389" s="34"/>
      <c r="B389" s="34"/>
      <c r="C389" s="34"/>
      <c r="D389" s="188"/>
      <c r="E389" s="188"/>
      <c r="F389" s="34"/>
      <c r="G389" s="188"/>
      <c r="H389" s="34"/>
      <c r="I389" s="34"/>
      <c r="J389" s="34"/>
      <c r="K389" s="44"/>
      <c r="L389" s="105"/>
      <c r="M389" s="34"/>
      <c r="N389" s="34"/>
      <c r="O389" s="34"/>
    </row>
    <row r="390" spans="1:15" ht="12.75">
      <c r="A390" s="34"/>
      <c r="B390" s="34"/>
      <c r="C390" s="34"/>
      <c r="D390" s="188"/>
      <c r="E390" s="188"/>
      <c r="F390" s="34"/>
      <c r="G390" s="188"/>
      <c r="H390" s="34"/>
      <c r="I390" s="34"/>
      <c r="J390" s="34"/>
      <c r="K390" s="44"/>
      <c r="L390" s="105"/>
      <c r="M390" s="34"/>
      <c r="N390" s="34"/>
      <c r="O390" s="34"/>
    </row>
    <row r="391" spans="1:15" ht="12.75">
      <c r="A391" s="34"/>
      <c r="B391" s="34"/>
      <c r="C391" s="34"/>
      <c r="D391" s="188"/>
      <c r="E391" s="188"/>
      <c r="F391" s="34"/>
      <c r="G391" s="188"/>
      <c r="H391" s="34"/>
      <c r="I391" s="34"/>
      <c r="J391" s="34"/>
      <c r="K391" s="44"/>
      <c r="L391" s="105"/>
      <c r="M391" s="34"/>
      <c r="N391" s="34"/>
      <c r="O391" s="34"/>
    </row>
    <row r="392" spans="1:15" ht="12.75">
      <c r="A392" s="34"/>
      <c r="B392" s="34"/>
      <c r="C392" s="34"/>
      <c r="D392" s="188"/>
      <c r="E392" s="188"/>
      <c r="F392" s="34"/>
      <c r="G392" s="188"/>
      <c r="H392" s="34"/>
      <c r="I392" s="34"/>
      <c r="J392" s="34"/>
      <c r="K392" s="44"/>
      <c r="L392" s="105"/>
      <c r="M392" s="34"/>
      <c r="N392" s="34"/>
      <c r="O392" s="34"/>
    </row>
    <row r="393" spans="1:15" ht="12.75">
      <c r="A393" s="34"/>
      <c r="B393" s="34"/>
      <c r="C393" s="34"/>
      <c r="D393" s="188"/>
      <c r="E393" s="188"/>
      <c r="F393" s="34"/>
      <c r="G393" s="188"/>
      <c r="H393" s="34"/>
      <c r="I393" s="34"/>
      <c r="J393" s="34"/>
      <c r="K393" s="44"/>
      <c r="L393" s="105"/>
      <c r="M393" s="34"/>
      <c r="N393" s="34"/>
      <c r="O393" s="34"/>
    </row>
    <row r="394" spans="1:15" ht="12.75">
      <c r="A394" s="34"/>
      <c r="B394" s="34"/>
      <c r="C394" s="34"/>
      <c r="D394" s="188"/>
      <c r="E394" s="188"/>
      <c r="F394" s="34"/>
      <c r="G394" s="188"/>
      <c r="H394" s="34"/>
      <c r="I394" s="34"/>
      <c r="J394" s="34"/>
      <c r="K394" s="44"/>
      <c r="L394" s="105"/>
      <c r="M394" s="34"/>
      <c r="N394" s="34"/>
      <c r="O394" s="34"/>
    </row>
    <row r="395" spans="1:15" ht="12.75">
      <c r="A395" s="34"/>
      <c r="B395" s="34"/>
      <c r="C395" s="34"/>
      <c r="D395" s="188"/>
      <c r="E395" s="188"/>
      <c r="F395" s="34"/>
      <c r="G395" s="188"/>
      <c r="H395" s="34"/>
      <c r="I395" s="34"/>
      <c r="J395" s="34"/>
      <c r="K395" s="44"/>
      <c r="L395" s="105"/>
      <c r="M395" s="34"/>
      <c r="N395" s="34"/>
      <c r="O395" s="34"/>
    </row>
    <row r="396" spans="1:15" ht="12.75">
      <c r="A396" s="34"/>
      <c r="B396" s="34"/>
      <c r="C396" s="34"/>
      <c r="D396" s="188"/>
      <c r="E396" s="188"/>
      <c r="F396" s="34"/>
      <c r="G396" s="188"/>
      <c r="H396" s="34"/>
      <c r="I396" s="34"/>
      <c r="J396" s="34"/>
      <c r="K396" s="44"/>
      <c r="L396" s="105"/>
      <c r="M396" s="34"/>
      <c r="N396" s="34"/>
      <c r="O396" s="34"/>
    </row>
    <row r="397" spans="1:15" ht="12.75">
      <c r="A397" s="34"/>
      <c r="B397" s="34"/>
      <c r="C397" s="34"/>
      <c r="D397" s="188"/>
      <c r="E397" s="188"/>
      <c r="F397" s="34"/>
      <c r="G397" s="188"/>
      <c r="H397" s="34"/>
      <c r="I397" s="34"/>
      <c r="J397" s="34"/>
      <c r="K397" s="44"/>
      <c r="L397" s="105"/>
      <c r="M397" s="34"/>
      <c r="N397" s="34"/>
      <c r="O397" s="34"/>
    </row>
    <row r="398" spans="1:15" ht="12.75">
      <c r="A398" s="34"/>
      <c r="B398" s="34"/>
      <c r="C398" s="34"/>
      <c r="D398" s="188"/>
      <c r="E398" s="188"/>
      <c r="F398" s="34"/>
      <c r="G398" s="188"/>
      <c r="H398" s="34"/>
      <c r="I398" s="34"/>
      <c r="J398" s="34"/>
      <c r="K398" s="44"/>
      <c r="L398" s="105"/>
      <c r="M398" s="34"/>
      <c r="N398" s="34"/>
      <c r="O398" s="34"/>
    </row>
    <row r="399" spans="1:15" ht="12.75">
      <c r="A399" s="34"/>
      <c r="B399" s="34"/>
      <c r="C399" s="34"/>
      <c r="D399" s="188"/>
      <c r="E399" s="188"/>
      <c r="F399" s="34"/>
      <c r="G399" s="188"/>
      <c r="H399" s="34"/>
      <c r="I399" s="34"/>
      <c r="J399" s="34"/>
      <c r="K399" s="44"/>
      <c r="L399" s="105"/>
      <c r="M399" s="34"/>
      <c r="N399" s="34"/>
      <c r="O399" s="34"/>
    </row>
    <row r="400" spans="1:15" ht="12.75">
      <c r="A400" s="34"/>
      <c r="B400" s="34"/>
      <c r="C400" s="34"/>
      <c r="D400" s="188"/>
      <c r="E400" s="188"/>
      <c r="F400" s="34"/>
      <c r="G400" s="188"/>
      <c r="H400" s="34"/>
      <c r="I400" s="34"/>
      <c r="J400" s="34"/>
      <c r="K400" s="44"/>
      <c r="L400" s="105"/>
      <c r="M400" s="34"/>
      <c r="N400" s="34"/>
      <c r="O400" s="34"/>
    </row>
    <row r="401" spans="1:15" ht="12.75">
      <c r="A401" s="34"/>
      <c r="B401" s="34"/>
      <c r="C401" s="34"/>
      <c r="D401" s="188"/>
      <c r="E401" s="188"/>
      <c r="F401" s="34"/>
      <c r="G401" s="188"/>
      <c r="H401" s="34"/>
      <c r="I401" s="34"/>
      <c r="J401" s="34"/>
      <c r="K401" s="44"/>
      <c r="L401" s="105"/>
      <c r="M401" s="34"/>
      <c r="N401" s="34"/>
      <c r="O401" s="34"/>
    </row>
    <row r="402" spans="1:15" ht="12.75">
      <c r="A402" s="34"/>
      <c r="B402" s="34"/>
      <c r="C402" s="34"/>
      <c r="D402" s="188"/>
      <c r="E402" s="188"/>
      <c r="F402" s="34"/>
      <c r="G402" s="188"/>
      <c r="H402" s="34"/>
      <c r="I402" s="34"/>
      <c r="J402" s="34"/>
      <c r="K402" s="44"/>
      <c r="L402" s="105"/>
      <c r="M402" s="34"/>
      <c r="N402" s="34"/>
      <c r="O402" s="34"/>
    </row>
    <row r="403" spans="1:15" ht="12.75">
      <c r="A403" s="34"/>
      <c r="B403" s="34"/>
      <c r="C403" s="34"/>
      <c r="D403" s="188"/>
      <c r="E403" s="188"/>
      <c r="F403" s="34"/>
      <c r="G403" s="188"/>
      <c r="H403" s="34"/>
      <c r="I403" s="34"/>
      <c r="J403" s="34"/>
      <c r="K403" s="44"/>
      <c r="L403" s="105"/>
      <c r="M403" s="34"/>
      <c r="N403" s="34"/>
      <c r="O403" s="34"/>
    </row>
    <row r="404" spans="1:15" ht="12.75">
      <c r="A404" s="34"/>
      <c r="B404" s="34"/>
      <c r="C404" s="34"/>
      <c r="D404" s="188"/>
      <c r="E404" s="188"/>
      <c r="F404" s="34"/>
      <c r="G404" s="188"/>
      <c r="H404" s="34"/>
      <c r="I404" s="34"/>
      <c r="J404" s="34"/>
      <c r="K404" s="44"/>
      <c r="L404" s="105"/>
      <c r="M404" s="34"/>
      <c r="N404" s="34"/>
      <c r="O404" s="34"/>
    </row>
    <row r="405" spans="1:15" ht="12.75">
      <c r="A405" s="34"/>
      <c r="B405" s="34"/>
      <c r="C405" s="34"/>
      <c r="D405" s="188"/>
      <c r="E405" s="188"/>
      <c r="F405" s="34"/>
      <c r="G405" s="188"/>
      <c r="H405" s="34"/>
      <c r="I405" s="34"/>
      <c r="J405" s="34"/>
      <c r="K405" s="44"/>
      <c r="L405" s="105"/>
      <c r="M405" s="34"/>
      <c r="N405" s="34"/>
      <c r="O405" s="34"/>
    </row>
    <row r="406" spans="1:15" ht="12.75">
      <c r="A406" s="34"/>
      <c r="B406" s="34"/>
      <c r="C406" s="34"/>
      <c r="D406" s="188"/>
      <c r="E406" s="188"/>
      <c r="F406" s="34"/>
      <c r="G406" s="188"/>
      <c r="H406" s="34"/>
      <c r="I406" s="34"/>
      <c r="J406" s="34"/>
      <c r="K406" s="44"/>
      <c r="L406" s="105"/>
      <c r="M406" s="34"/>
      <c r="N406" s="34"/>
      <c r="O406" s="34"/>
    </row>
    <row r="407" spans="1:15" ht="12.75">
      <c r="A407" s="34"/>
      <c r="B407" s="34"/>
      <c r="C407" s="34"/>
      <c r="D407" s="188"/>
      <c r="E407" s="188"/>
      <c r="F407" s="34"/>
      <c r="G407" s="188"/>
      <c r="H407" s="34"/>
      <c r="I407" s="34"/>
      <c r="J407" s="34"/>
      <c r="K407" s="44"/>
      <c r="L407" s="105"/>
      <c r="M407" s="34"/>
      <c r="N407" s="34"/>
      <c r="O407" s="34"/>
    </row>
    <row r="408" spans="1:15" ht="12.75">
      <c r="A408" s="34"/>
      <c r="B408" s="34"/>
      <c r="C408" s="34"/>
      <c r="D408" s="188"/>
      <c r="E408" s="188"/>
      <c r="F408" s="34"/>
      <c r="G408" s="188"/>
      <c r="H408" s="34"/>
      <c r="I408" s="34"/>
      <c r="J408" s="34"/>
      <c r="K408" s="44"/>
      <c r="L408" s="105"/>
      <c r="M408" s="34"/>
      <c r="N408" s="34"/>
      <c r="O408" s="34"/>
    </row>
    <row r="409" spans="1:15" ht="12.75">
      <c r="A409" s="34"/>
      <c r="B409" s="34"/>
      <c r="C409" s="34"/>
      <c r="D409" s="188"/>
      <c r="E409" s="188"/>
      <c r="F409" s="34"/>
      <c r="G409" s="188"/>
      <c r="H409" s="34"/>
      <c r="I409" s="34"/>
      <c r="J409" s="34"/>
      <c r="K409" s="44"/>
      <c r="L409" s="105"/>
      <c r="M409" s="34"/>
      <c r="N409" s="34"/>
      <c r="O409" s="34"/>
    </row>
    <row r="410" spans="1:15" ht="12.75">
      <c r="A410" s="34"/>
      <c r="B410" s="34"/>
      <c r="C410" s="34"/>
      <c r="D410" s="188"/>
      <c r="E410" s="188"/>
      <c r="F410" s="34"/>
      <c r="G410" s="188"/>
      <c r="H410" s="34"/>
      <c r="I410" s="34"/>
      <c r="J410" s="34"/>
      <c r="K410" s="44"/>
      <c r="L410" s="105"/>
      <c r="M410" s="34"/>
      <c r="N410" s="34"/>
      <c r="O410" s="34"/>
    </row>
    <row r="411" spans="1:15" ht="12.75">
      <c r="A411" s="34"/>
      <c r="B411" s="34"/>
      <c r="C411" s="34"/>
      <c r="D411" s="188"/>
      <c r="E411" s="188"/>
      <c r="F411" s="34"/>
      <c r="G411" s="188"/>
      <c r="H411" s="34"/>
      <c r="I411" s="34"/>
      <c r="J411" s="34"/>
      <c r="K411" s="44"/>
      <c r="L411" s="105"/>
      <c r="M411" s="34"/>
      <c r="N411" s="34"/>
      <c r="O411" s="34"/>
    </row>
    <row r="412" spans="1:15" ht="12.75">
      <c r="A412" s="34"/>
      <c r="B412" s="34"/>
      <c r="C412" s="34"/>
      <c r="D412" s="188"/>
      <c r="E412" s="188"/>
      <c r="F412" s="34"/>
      <c r="G412" s="188"/>
      <c r="H412" s="34"/>
      <c r="I412" s="34"/>
      <c r="J412" s="34"/>
      <c r="K412" s="44"/>
      <c r="L412" s="105"/>
      <c r="M412" s="34"/>
      <c r="N412" s="34"/>
      <c r="O412" s="34"/>
    </row>
    <row r="413" spans="1:15" ht="12.75">
      <c r="A413" s="34"/>
      <c r="B413" s="34"/>
      <c r="C413" s="34"/>
      <c r="D413" s="188"/>
      <c r="E413" s="188"/>
      <c r="F413" s="34"/>
      <c r="G413" s="188"/>
      <c r="H413" s="34"/>
      <c r="I413" s="34"/>
      <c r="J413" s="34"/>
      <c r="K413" s="44"/>
      <c r="L413" s="105"/>
      <c r="M413" s="34"/>
      <c r="N413" s="34"/>
      <c r="O413" s="34"/>
    </row>
    <row r="414" spans="1:15" ht="12.75">
      <c r="A414" s="34"/>
      <c r="B414" s="34"/>
      <c r="C414" s="34"/>
      <c r="D414" s="188"/>
      <c r="E414" s="188"/>
      <c r="F414" s="34"/>
      <c r="G414" s="188"/>
      <c r="H414" s="34"/>
      <c r="I414" s="34"/>
      <c r="J414" s="34"/>
      <c r="K414" s="44"/>
      <c r="L414" s="105"/>
      <c r="M414" s="34"/>
      <c r="N414" s="34"/>
      <c r="O414" s="34"/>
    </row>
    <row r="415" spans="1:15" ht="12.75">
      <c r="A415" s="34"/>
      <c r="B415" s="34"/>
      <c r="C415" s="34"/>
      <c r="D415" s="188"/>
      <c r="E415" s="188"/>
      <c r="F415" s="34"/>
      <c r="G415" s="188"/>
      <c r="H415" s="34"/>
      <c r="I415" s="34"/>
      <c r="J415" s="34"/>
      <c r="K415" s="44"/>
      <c r="L415" s="105"/>
      <c r="M415" s="34"/>
      <c r="N415" s="34"/>
      <c r="O415" s="34"/>
    </row>
    <row r="416" spans="1:15" ht="12.75">
      <c r="A416" s="34"/>
      <c r="B416" s="34"/>
      <c r="C416" s="34"/>
      <c r="D416" s="188"/>
      <c r="E416" s="188"/>
      <c r="F416" s="34"/>
      <c r="G416" s="188"/>
      <c r="H416" s="34"/>
      <c r="I416" s="34"/>
      <c r="J416" s="34"/>
      <c r="K416" s="44"/>
      <c r="L416" s="105"/>
      <c r="M416" s="34"/>
      <c r="N416" s="34"/>
      <c r="O416" s="34"/>
    </row>
    <row r="417" spans="1:15" ht="12.75">
      <c r="A417" s="34"/>
      <c r="B417" s="34"/>
      <c r="C417" s="34"/>
      <c r="D417" s="188"/>
      <c r="E417" s="188"/>
      <c r="F417" s="34"/>
      <c r="G417" s="188"/>
      <c r="H417" s="34"/>
      <c r="I417" s="34"/>
      <c r="J417" s="34"/>
      <c r="K417" s="44"/>
      <c r="L417" s="105"/>
      <c r="M417" s="34"/>
      <c r="N417" s="34"/>
      <c r="O417" s="34"/>
    </row>
    <row r="418" spans="1:15" ht="12.75">
      <c r="A418" s="34"/>
      <c r="B418" s="34"/>
      <c r="C418" s="34"/>
      <c r="D418" s="188"/>
      <c r="E418" s="188"/>
      <c r="F418" s="34"/>
      <c r="G418" s="188"/>
      <c r="H418" s="34"/>
      <c r="I418" s="34"/>
      <c r="J418" s="34"/>
      <c r="K418" s="44"/>
      <c r="L418" s="105"/>
      <c r="M418" s="34"/>
      <c r="N418" s="34"/>
      <c r="O418" s="34"/>
    </row>
    <row r="419" spans="1:15" ht="12.75">
      <c r="A419" s="34"/>
      <c r="B419" s="34"/>
      <c r="C419" s="34"/>
      <c r="D419" s="188"/>
      <c r="E419" s="188"/>
      <c r="F419" s="34"/>
      <c r="G419" s="188"/>
      <c r="H419" s="34"/>
      <c r="I419" s="34"/>
      <c r="J419" s="34"/>
      <c r="K419" s="44"/>
      <c r="L419" s="105"/>
      <c r="M419" s="34"/>
      <c r="N419" s="34"/>
      <c r="O419" s="34"/>
    </row>
    <row r="420" spans="1:15" ht="12.75">
      <c r="A420" s="34"/>
      <c r="B420" s="34"/>
      <c r="C420" s="34"/>
      <c r="D420" s="188"/>
      <c r="E420" s="188"/>
      <c r="F420" s="34"/>
      <c r="G420" s="188"/>
      <c r="H420" s="34"/>
      <c r="I420" s="34"/>
      <c r="J420" s="34"/>
      <c r="K420" s="44"/>
      <c r="L420" s="105"/>
      <c r="M420" s="34"/>
      <c r="N420" s="34"/>
      <c r="O420" s="34"/>
    </row>
    <row r="421" spans="1:15" ht="12.75">
      <c r="A421" s="34"/>
      <c r="B421" s="34"/>
      <c r="C421" s="34"/>
      <c r="D421" s="188"/>
      <c r="E421" s="188"/>
      <c r="F421" s="34"/>
      <c r="G421" s="188"/>
      <c r="H421" s="34"/>
      <c r="I421" s="34"/>
      <c r="J421" s="34"/>
      <c r="K421" s="44"/>
      <c r="L421" s="105"/>
      <c r="M421" s="34"/>
      <c r="N421" s="34"/>
      <c r="O421" s="34"/>
    </row>
    <row r="422" spans="1:15" ht="12.75">
      <c r="A422" s="34"/>
      <c r="B422" s="34"/>
      <c r="C422" s="34"/>
      <c r="D422" s="188"/>
      <c r="E422" s="188"/>
      <c r="F422" s="34"/>
      <c r="G422" s="188"/>
      <c r="H422" s="34"/>
      <c r="I422" s="34"/>
      <c r="J422" s="34"/>
      <c r="K422" s="44"/>
      <c r="L422" s="105"/>
      <c r="M422" s="34"/>
      <c r="N422" s="34"/>
      <c r="O422" s="34"/>
    </row>
    <row r="423" spans="1:15" ht="12.75">
      <c r="A423" s="34"/>
      <c r="B423" s="34"/>
      <c r="C423" s="34"/>
      <c r="D423" s="188"/>
      <c r="E423" s="188"/>
      <c r="F423" s="34"/>
      <c r="G423" s="188"/>
      <c r="H423" s="34"/>
      <c r="I423" s="34"/>
      <c r="J423" s="34"/>
      <c r="K423" s="44"/>
      <c r="L423" s="105"/>
      <c r="M423" s="34"/>
      <c r="N423" s="34"/>
      <c r="O423" s="34"/>
    </row>
    <row r="424" spans="1:15" ht="12.75">
      <c r="A424" s="34"/>
      <c r="B424" s="34"/>
      <c r="C424" s="34"/>
      <c r="D424" s="188"/>
      <c r="E424" s="188"/>
      <c r="F424" s="34"/>
      <c r="G424" s="188"/>
      <c r="H424" s="34"/>
      <c r="I424" s="34"/>
      <c r="J424" s="34"/>
      <c r="K424" s="44"/>
      <c r="L424" s="105"/>
      <c r="M424" s="34"/>
      <c r="N424" s="34"/>
      <c r="O424" s="34"/>
    </row>
    <row r="425" spans="1:15" ht="12.75">
      <c r="A425" s="34"/>
      <c r="B425" s="34"/>
      <c r="C425" s="34"/>
      <c r="D425" s="188"/>
      <c r="E425" s="188"/>
      <c r="F425" s="34"/>
      <c r="G425" s="188"/>
      <c r="H425" s="34"/>
      <c r="I425" s="34"/>
      <c r="J425" s="34"/>
      <c r="K425" s="44"/>
      <c r="L425" s="105"/>
      <c r="M425" s="34"/>
      <c r="N425" s="34"/>
      <c r="O425" s="34"/>
    </row>
    <row r="426" spans="1:15" ht="12.75">
      <c r="A426" s="34"/>
      <c r="B426" s="34"/>
      <c r="C426" s="34"/>
      <c r="D426" s="188"/>
      <c r="E426" s="188"/>
      <c r="F426" s="34"/>
      <c r="G426" s="188"/>
      <c r="H426" s="34"/>
      <c r="I426" s="34"/>
      <c r="J426" s="34"/>
      <c r="K426" s="44"/>
      <c r="L426" s="105"/>
      <c r="M426" s="34"/>
      <c r="N426" s="34"/>
      <c r="O426" s="34"/>
    </row>
    <row r="427" spans="1:15" ht="12.75">
      <c r="A427" s="34"/>
      <c r="B427" s="34"/>
      <c r="C427" s="34"/>
      <c r="D427" s="188"/>
      <c r="E427" s="188"/>
      <c r="F427" s="34"/>
      <c r="G427" s="188"/>
      <c r="H427" s="34"/>
      <c r="I427" s="34"/>
      <c r="J427" s="34"/>
      <c r="K427" s="44"/>
      <c r="L427" s="105"/>
      <c r="M427" s="34"/>
      <c r="N427" s="34"/>
      <c r="O427" s="34"/>
    </row>
    <row r="428" spans="1:15" ht="12.75">
      <c r="A428" s="34"/>
      <c r="B428" s="34"/>
      <c r="C428" s="34"/>
      <c r="D428" s="188"/>
      <c r="E428" s="188"/>
      <c r="F428" s="34"/>
      <c r="G428" s="188"/>
      <c r="H428" s="34"/>
      <c r="I428" s="34"/>
      <c r="J428" s="34"/>
      <c r="K428" s="44"/>
      <c r="L428" s="105"/>
      <c r="M428" s="34"/>
      <c r="N428" s="34"/>
      <c r="O428" s="34"/>
    </row>
    <row r="429" spans="1:15" ht="12.75">
      <c r="A429" s="34"/>
      <c r="B429" s="34"/>
      <c r="C429" s="34"/>
      <c r="D429" s="188"/>
      <c r="E429" s="188"/>
      <c r="F429" s="34"/>
      <c r="G429" s="188"/>
      <c r="H429" s="34"/>
      <c r="I429" s="34"/>
      <c r="J429" s="34"/>
      <c r="K429" s="44"/>
      <c r="L429" s="105"/>
      <c r="M429" s="34"/>
      <c r="N429" s="34"/>
      <c r="O429" s="34"/>
    </row>
    <row r="430" spans="1:15" ht="12.75">
      <c r="A430" s="34"/>
      <c r="B430" s="34"/>
      <c r="C430" s="34"/>
      <c r="D430" s="188"/>
      <c r="E430" s="188"/>
      <c r="F430" s="34"/>
      <c r="G430" s="188"/>
      <c r="H430" s="34"/>
      <c r="I430" s="34"/>
      <c r="J430" s="34"/>
      <c r="K430" s="44"/>
      <c r="L430" s="105"/>
      <c r="M430" s="34"/>
      <c r="N430" s="34"/>
      <c r="O430" s="34"/>
    </row>
    <row r="431" spans="1:15" ht="12.75">
      <c r="A431" s="34"/>
      <c r="B431" s="34"/>
      <c r="C431" s="34"/>
      <c r="D431" s="188"/>
      <c r="E431" s="188"/>
      <c r="F431" s="34"/>
      <c r="G431" s="188"/>
      <c r="H431" s="34"/>
      <c r="I431" s="34"/>
      <c r="J431" s="34"/>
      <c r="K431" s="44"/>
      <c r="L431" s="105"/>
      <c r="M431" s="34"/>
      <c r="N431" s="34"/>
      <c r="O431" s="34"/>
    </row>
    <row r="432" spans="1:15" ht="12.75">
      <c r="A432" s="34"/>
      <c r="B432" s="34"/>
      <c r="C432" s="34"/>
      <c r="D432" s="188"/>
      <c r="E432" s="188"/>
      <c r="F432" s="34"/>
      <c r="G432" s="188"/>
      <c r="H432" s="34"/>
      <c r="I432" s="34"/>
      <c r="J432" s="34"/>
      <c r="K432" s="44"/>
      <c r="L432" s="105"/>
      <c r="M432" s="34"/>
      <c r="N432" s="34"/>
      <c r="O432" s="34"/>
    </row>
    <row r="433" spans="1:15" ht="12.75">
      <c r="A433" s="34"/>
      <c r="B433" s="34"/>
      <c r="C433" s="34"/>
      <c r="D433" s="188"/>
      <c r="E433" s="188"/>
      <c r="F433" s="34"/>
      <c r="G433" s="188"/>
      <c r="H433" s="34"/>
      <c r="I433" s="34"/>
      <c r="J433" s="34"/>
      <c r="K433" s="44"/>
      <c r="L433" s="105"/>
      <c r="M433" s="34"/>
      <c r="N433" s="34"/>
      <c r="O433" s="34"/>
    </row>
    <row r="434" spans="1:15" ht="12.75">
      <c r="A434" s="34"/>
      <c r="B434" s="34"/>
      <c r="C434" s="34"/>
      <c r="D434" s="188"/>
      <c r="E434" s="188"/>
      <c r="F434" s="34"/>
      <c r="G434" s="188"/>
      <c r="H434" s="34"/>
      <c r="I434" s="34"/>
      <c r="J434" s="34"/>
      <c r="K434" s="44"/>
      <c r="L434" s="105"/>
      <c r="M434" s="34"/>
      <c r="N434" s="34"/>
      <c r="O434" s="34"/>
    </row>
    <row r="435" spans="1:15" ht="12.75">
      <c r="A435" s="34"/>
      <c r="B435" s="34"/>
      <c r="C435" s="34"/>
      <c r="D435" s="188"/>
      <c r="E435" s="188"/>
      <c r="F435" s="34"/>
      <c r="G435" s="188"/>
      <c r="H435" s="34"/>
      <c r="I435" s="34"/>
      <c r="J435" s="34"/>
      <c r="K435" s="44"/>
      <c r="L435" s="105"/>
      <c r="M435" s="34"/>
      <c r="N435" s="34"/>
      <c r="O435" s="34"/>
    </row>
    <row r="436" spans="1:15" ht="12.75">
      <c r="A436" s="34"/>
      <c r="B436" s="34"/>
      <c r="C436" s="34"/>
      <c r="D436" s="188"/>
      <c r="E436" s="188"/>
      <c r="F436" s="34"/>
      <c r="G436" s="188"/>
      <c r="H436" s="34"/>
      <c r="I436" s="34"/>
      <c r="J436" s="34"/>
      <c r="K436" s="44"/>
      <c r="L436" s="105"/>
      <c r="M436" s="34"/>
      <c r="N436" s="34"/>
      <c r="O436" s="34"/>
    </row>
    <row r="437" spans="1:15" ht="12.75">
      <c r="A437" s="34"/>
      <c r="B437" s="34"/>
      <c r="C437" s="34"/>
      <c r="D437" s="188"/>
      <c r="E437" s="188"/>
      <c r="F437" s="34"/>
      <c r="G437" s="188"/>
      <c r="H437" s="34"/>
      <c r="I437" s="34"/>
      <c r="J437" s="34"/>
      <c r="K437" s="44"/>
      <c r="L437" s="105"/>
      <c r="M437" s="34"/>
      <c r="N437" s="34"/>
      <c r="O437" s="34"/>
    </row>
    <row r="438" spans="1:15" ht="12.75">
      <c r="A438" s="34"/>
      <c r="B438" s="34"/>
      <c r="C438" s="34"/>
      <c r="D438" s="188"/>
      <c r="E438" s="188"/>
      <c r="F438" s="34"/>
      <c r="G438" s="188"/>
      <c r="H438" s="34"/>
      <c r="I438" s="34"/>
      <c r="J438" s="34"/>
      <c r="K438" s="44"/>
      <c r="L438" s="105"/>
      <c r="M438" s="34"/>
      <c r="N438" s="34"/>
      <c r="O438" s="34"/>
    </row>
    <row r="439" spans="1:15" ht="12.75">
      <c r="A439" s="34"/>
      <c r="B439" s="34"/>
      <c r="C439" s="34"/>
      <c r="D439" s="188"/>
      <c r="E439" s="188"/>
      <c r="F439" s="34"/>
      <c r="G439" s="188"/>
      <c r="H439" s="34"/>
      <c r="I439" s="34"/>
      <c r="J439" s="34"/>
      <c r="K439" s="44"/>
      <c r="L439" s="105"/>
      <c r="M439" s="34"/>
      <c r="N439" s="34"/>
      <c r="O439" s="34"/>
    </row>
    <row r="440" spans="1:15" ht="12.75">
      <c r="A440" s="34"/>
      <c r="B440" s="34"/>
      <c r="C440" s="34"/>
      <c r="D440" s="188"/>
      <c r="E440" s="188"/>
      <c r="F440" s="34"/>
      <c r="G440" s="188"/>
      <c r="H440" s="34"/>
      <c r="I440" s="34"/>
      <c r="J440" s="34"/>
      <c r="K440" s="44"/>
      <c r="L440" s="105"/>
      <c r="M440" s="34"/>
      <c r="N440" s="34"/>
      <c r="O440" s="34"/>
    </row>
    <row r="441" spans="1:15" ht="12.75">
      <c r="A441" s="34"/>
      <c r="B441" s="34"/>
      <c r="C441" s="34"/>
      <c r="D441" s="188"/>
      <c r="E441" s="188"/>
      <c r="F441" s="34"/>
      <c r="G441" s="188"/>
      <c r="H441" s="34"/>
      <c r="I441" s="34"/>
      <c r="J441" s="34"/>
      <c r="K441" s="44"/>
      <c r="L441" s="105"/>
      <c r="M441" s="34"/>
      <c r="N441" s="34"/>
      <c r="O441" s="34"/>
    </row>
    <row r="442" spans="1:15" ht="12.75">
      <c r="A442" s="34"/>
      <c r="B442" s="34"/>
      <c r="C442" s="34"/>
      <c r="D442" s="188"/>
      <c r="E442" s="188"/>
      <c r="F442" s="34"/>
      <c r="G442" s="188"/>
      <c r="H442" s="34"/>
      <c r="I442" s="34"/>
      <c r="J442" s="34"/>
      <c r="K442" s="44"/>
      <c r="L442" s="105"/>
      <c r="M442" s="34"/>
      <c r="N442" s="34"/>
      <c r="O442" s="34"/>
    </row>
    <row r="443" spans="1:15" ht="12.75">
      <c r="A443" s="34"/>
      <c r="B443" s="34"/>
      <c r="C443" s="34"/>
      <c r="D443" s="188"/>
      <c r="E443" s="188"/>
      <c r="F443" s="34"/>
      <c r="G443" s="188"/>
      <c r="H443" s="34"/>
      <c r="I443" s="34"/>
      <c r="J443" s="34"/>
      <c r="K443" s="44"/>
      <c r="L443" s="105"/>
      <c r="M443" s="34"/>
      <c r="N443" s="34"/>
      <c r="O443" s="34"/>
    </row>
    <row r="444" spans="1:15" ht="12.75">
      <c r="A444" s="34"/>
      <c r="B444" s="34"/>
      <c r="C444" s="34"/>
      <c r="D444" s="188"/>
      <c r="E444" s="188"/>
      <c r="F444" s="34"/>
      <c r="G444" s="188"/>
      <c r="H444" s="34"/>
      <c r="I444" s="34"/>
      <c r="J444" s="34"/>
      <c r="K444" s="44"/>
      <c r="L444" s="105"/>
      <c r="M444" s="34"/>
      <c r="N444" s="34"/>
      <c r="O444" s="34"/>
    </row>
    <row r="445" spans="1:15" ht="12.75">
      <c r="A445" s="34"/>
      <c r="B445" s="34"/>
      <c r="C445" s="34"/>
      <c r="D445" s="188"/>
      <c r="E445" s="188"/>
      <c r="F445" s="34"/>
      <c r="G445" s="188"/>
      <c r="H445" s="34"/>
      <c r="I445" s="34"/>
      <c r="J445" s="34"/>
      <c r="K445" s="44"/>
      <c r="L445" s="105"/>
      <c r="M445" s="34"/>
      <c r="N445" s="34"/>
      <c r="O445" s="34"/>
    </row>
    <row r="446" spans="1:15" ht="12.75">
      <c r="A446" s="34"/>
      <c r="B446" s="34"/>
      <c r="C446" s="34"/>
      <c r="D446" s="188"/>
      <c r="E446" s="188"/>
      <c r="F446" s="34"/>
      <c r="G446" s="188"/>
      <c r="H446" s="34"/>
      <c r="I446" s="34"/>
      <c r="J446" s="34"/>
      <c r="K446" s="44"/>
      <c r="L446" s="105"/>
      <c r="M446" s="34"/>
      <c r="N446" s="34"/>
      <c r="O446" s="34"/>
    </row>
    <row r="447" spans="1:15" ht="12.75">
      <c r="A447" s="34"/>
      <c r="B447" s="34"/>
      <c r="C447" s="34"/>
      <c r="D447" s="188"/>
      <c r="E447" s="188"/>
      <c r="F447" s="34"/>
      <c r="G447" s="188"/>
      <c r="H447" s="34"/>
      <c r="I447" s="34"/>
      <c r="J447" s="34"/>
      <c r="K447" s="44"/>
      <c r="L447" s="105"/>
      <c r="M447" s="34"/>
      <c r="N447" s="34"/>
      <c r="O447" s="34"/>
    </row>
    <row r="448" spans="1:15" ht="12.75">
      <c r="A448" s="34"/>
      <c r="B448" s="34"/>
      <c r="C448" s="34"/>
      <c r="D448" s="188"/>
      <c r="E448" s="188"/>
      <c r="F448" s="34"/>
      <c r="G448" s="188"/>
      <c r="H448" s="34"/>
      <c r="I448" s="34"/>
      <c r="J448" s="34"/>
      <c r="K448" s="44"/>
      <c r="L448" s="105"/>
      <c r="M448" s="34"/>
      <c r="N448" s="34"/>
      <c r="O448" s="34"/>
    </row>
    <row r="449" spans="1:15" ht="12.75">
      <c r="A449" s="34"/>
      <c r="B449" s="34"/>
      <c r="C449" s="34"/>
      <c r="D449" s="188"/>
      <c r="E449" s="188"/>
      <c r="F449" s="34"/>
      <c r="G449" s="188"/>
      <c r="H449" s="34"/>
      <c r="I449" s="34"/>
      <c r="J449" s="34"/>
      <c r="K449" s="44"/>
      <c r="L449" s="105"/>
      <c r="M449" s="34"/>
      <c r="N449" s="34"/>
      <c r="O449" s="34"/>
    </row>
    <row r="450" spans="1:15" ht="12.75">
      <c r="A450" s="34"/>
      <c r="B450" s="34"/>
      <c r="C450" s="34"/>
      <c r="D450" s="188"/>
      <c r="E450" s="188"/>
      <c r="F450" s="34"/>
      <c r="G450" s="188"/>
      <c r="H450" s="34"/>
      <c r="I450" s="34"/>
      <c r="J450" s="34"/>
      <c r="K450" s="44"/>
      <c r="L450" s="105"/>
      <c r="M450" s="34"/>
      <c r="N450" s="34"/>
      <c r="O450" s="34"/>
    </row>
    <row r="451" spans="1:15" ht="12.75">
      <c r="A451" s="34"/>
      <c r="B451" s="34"/>
      <c r="C451" s="34"/>
      <c r="D451" s="188"/>
      <c r="E451" s="188"/>
      <c r="F451" s="34"/>
      <c r="G451" s="188"/>
      <c r="H451" s="34"/>
      <c r="I451" s="34"/>
      <c r="J451" s="34"/>
      <c r="K451" s="44"/>
      <c r="L451" s="105"/>
      <c r="M451" s="34"/>
      <c r="N451" s="34"/>
      <c r="O451" s="34"/>
    </row>
    <row r="452" spans="1:15" ht="12.75">
      <c r="A452" s="34"/>
      <c r="B452" s="34"/>
      <c r="C452" s="34"/>
      <c r="D452" s="188"/>
      <c r="E452" s="188"/>
      <c r="F452" s="34"/>
      <c r="G452" s="188"/>
      <c r="H452" s="34"/>
      <c r="I452" s="34"/>
      <c r="J452" s="34"/>
      <c r="K452" s="44"/>
      <c r="L452" s="105"/>
      <c r="M452" s="34"/>
      <c r="N452" s="34"/>
      <c r="O452" s="34"/>
    </row>
    <row r="453" spans="1:15" ht="12.75">
      <c r="A453" s="34"/>
      <c r="B453" s="34"/>
      <c r="C453" s="34"/>
      <c r="D453" s="188"/>
      <c r="E453" s="188"/>
      <c r="F453" s="34"/>
      <c r="G453" s="188"/>
      <c r="H453" s="34"/>
      <c r="I453" s="34"/>
      <c r="J453" s="34"/>
      <c r="K453" s="44"/>
      <c r="L453" s="105"/>
      <c r="M453" s="34"/>
      <c r="N453" s="34"/>
      <c r="O453" s="34"/>
    </row>
    <row r="454" spans="1:15" ht="12.75">
      <c r="A454" s="34"/>
      <c r="B454" s="34"/>
      <c r="C454" s="34"/>
      <c r="D454" s="188"/>
      <c r="E454" s="188"/>
      <c r="F454" s="34"/>
      <c r="G454" s="188"/>
      <c r="H454" s="34"/>
      <c r="I454" s="34"/>
      <c r="J454" s="34"/>
      <c r="K454" s="44"/>
      <c r="L454" s="105"/>
      <c r="M454" s="34"/>
      <c r="N454" s="34"/>
      <c r="O454" s="34"/>
    </row>
    <row r="455" spans="1:15" ht="12.75">
      <c r="A455" s="34"/>
      <c r="B455" s="34"/>
      <c r="C455" s="34"/>
      <c r="D455" s="188"/>
      <c r="E455" s="188"/>
      <c r="F455" s="34"/>
      <c r="G455" s="188"/>
      <c r="H455" s="34"/>
      <c r="I455" s="34"/>
      <c r="J455" s="34"/>
      <c r="K455" s="44"/>
      <c r="L455" s="105"/>
      <c r="M455" s="34"/>
      <c r="N455" s="34"/>
      <c r="O455" s="34"/>
    </row>
    <row r="456" spans="1:15" ht="12.75">
      <c r="A456" s="34"/>
      <c r="B456" s="34"/>
      <c r="C456" s="34"/>
      <c r="D456" s="188"/>
      <c r="E456" s="188"/>
      <c r="F456" s="34"/>
      <c r="G456" s="188"/>
      <c r="H456" s="34"/>
      <c r="I456" s="34"/>
      <c r="J456" s="34"/>
      <c r="K456" s="44"/>
      <c r="L456" s="105"/>
      <c r="M456" s="34"/>
      <c r="N456" s="34"/>
      <c r="O456" s="34"/>
    </row>
    <row r="457" spans="1:15" ht="12.75">
      <c r="A457" s="34"/>
      <c r="B457" s="34"/>
      <c r="C457" s="34"/>
      <c r="D457" s="188"/>
      <c r="E457" s="188"/>
      <c r="F457" s="34"/>
      <c r="G457" s="188"/>
      <c r="H457" s="34"/>
      <c r="I457" s="34"/>
      <c r="J457" s="34"/>
      <c r="K457" s="44"/>
      <c r="L457" s="105"/>
      <c r="M457" s="34"/>
      <c r="N457" s="34"/>
      <c r="O457" s="34"/>
    </row>
    <row r="458" spans="1:15" ht="12.75">
      <c r="A458" s="34"/>
      <c r="B458" s="34"/>
      <c r="C458" s="34"/>
      <c r="D458" s="188"/>
      <c r="E458" s="188"/>
      <c r="F458" s="34"/>
      <c r="G458" s="188"/>
      <c r="H458" s="34"/>
      <c r="I458" s="34"/>
      <c r="J458" s="34"/>
      <c r="K458" s="44"/>
      <c r="L458" s="105"/>
      <c r="M458" s="34"/>
      <c r="N458" s="34"/>
      <c r="O458" s="34"/>
    </row>
    <row r="459" spans="1:15" ht="12.75">
      <c r="A459" s="34"/>
      <c r="B459" s="34"/>
      <c r="C459" s="34"/>
      <c r="D459" s="188"/>
      <c r="E459" s="188"/>
      <c r="F459" s="34"/>
      <c r="G459" s="188"/>
      <c r="H459" s="34"/>
      <c r="I459" s="34"/>
      <c r="J459" s="34"/>
      <c r="K459" s="44"/>
      <c r="L459" s="105"/>
      <c r="M459" s="34"/>
      <c r="N459" s="34"/>
      <c r="O459" s="34"/>
    </row>
    <row r="460" spans="1:15" ht="12.75">
      <c r="A460" s="34"/>
      <c r="B460" s="34"/>
      <c r="C460" s="34"/>
      <c r="D460" s="188"/>
      <c r="E460" s="188"/>
      <c r="F460" s="34"/>
      <c r="G460" s="188"/>
      <c r="H460" s="34"/>
      <c r="I460" s="34"/>
      <c r="J460" s="34"/>
      <c r="K460" s="44"/>
      <c r="L460" s="105"/>
      <c r="M460" s="34"/>
      <c r="N460" s="34"/>
      <c r="O460" s="34"/>
    </row>
    <row r="461" spans="1:15" ht="12.75">
      <c r="A461" s="34"/>
      <c r="B461" s="34"/>
      <c r="C461" s="34"/>
      <c r="D461" s="188"/>
      <c r="E461" s="188"/>
      <c r="F461" s="34"/>
      <c r="G461" s="188"/>
      <c r="H461" s="34"/>
      <c r="I461" s="34"/>
      <c r="J461" s="34"/>
      <c r="K461" s="44"/>
      <c r="L461" s="105"/>
      <c r="M461" s="34"/>
      <c r="N461" s="34"/>
      <c r="O461" s="34"/>
    </row>
    <row r="462" spans="1:15" ht="12.75">
      <c r="A462" s="34"/>
      <c r="B462" s="34"/>
      <c r="C462" s="34"/>
      <c r="D462" s="188"/>
      <c r="E462" s="188"/>
      <c r="F462" s="34"/>
      <c r="G462" s="188"/>
      <c r="H462" s="34"/>
      <c r="I462" s="34"/>
      <c r="J462" s="34"/>
      <c r="K462" s="44"/>
      <c r="L462" s="105"/>
      <c r="M462" s="34"/>
      <c r="N462" s="34"/>
      <c r="O462" s="34"/>
    </row>
    <row r="463" spans="1:15" ht="12.75">
      <c r="A463" s="34"/>
      <c r="B463" s="34"/>
      <c r="C463" s="34"/>
      <c r="D463" s="188"/>
      <c r="E463" s="188"/>
      <c r="F463" s="34"/>
      <c r="G463" s="188"/>
      <c r="H463" s="34"/>
      <c r="I463" s="34"/>
      <c r="J463" s="34"/>
      <c r="K463" s="44"/>
      <c r="L463" s="105"/>
      <c r="M463" s="34"/>
      <c r="N463" s="34"/>
      <c r="O463" s="34"/>
    </row>
    <row r="464" spans="1:15" ht="12.75">
      <c r="A464" s="34"/>
      <c r="B464" s="34"/>
      <c r="C464" s="34"/>
      <c r="D464" s="188"/>
      <c r="E464" s="188"/>
      <c r="F464" s="34"/>
      <c r="G464" s="188"/>
      <c r="H464" s="34"/>
      <c r="I464" s="34"/>
      <c r="J464" s="34"/>
      <c r="K464" s="44"/>
      <c r="L464" s="105"/>
      <c r="M464" s="34"/>
      <c r="N464" s="34"/>
      <c r="O464" s="34"/>
    </row>
    <row r="465" spans="1:15" ht="12.75">
      <c r="A465" s="34"/>
      <c r="B465" s="34"/>
      <c r="C465" s="34"/>
      <c r="D465" s="188"/>
      <c r="E465" s="188"/>
      <c r="F465" s="34"/>
      <c r="G465" s="188"/>
      <c r="H465" s="34"/>
      <c r="I465" s="34"/>
      <c r="J465" s="34"/>
      <c r="K465" s="44"/>
      <c r="L465" s="105"/>
      <c r="M465" s="34"/>
      <c r="N465" s="34"/>
      <c r="O465" s="34"/>
    </row>
    <row r="466" spans="1:15" ht="12.75">
      <c r="A466" s="34"/>
      <c r="B466" s="34"/>
      <c r="C466" s="34"/>
      <c r="D466" s="188"/>
      <c r="E466" s="188"/>
      <c r="F466" s="34"/>
      <c r="G466" s="188"/>
      <c r="H466" s="34"/>
      <c r="I466" s="34"/>
      <c r="J466" s="34"/>
      <c r="K466" s="44"/>
      <c r="L466" s="105"/>
      <c r="M466" s="34"/>
      <c r="N466" s="34"/>
      <c r="O466" s="34"/>
    </row>
    <row r="467" spans="1:15" ht="12.75">
      <c r="A467" s="34"/>
      <c r="B467" s="34"/>
      <c r="C467" s="34"/>
      <c r="D467" s="188"/>
      <c r="E467" s="188"/>
      <c r="F467" s="34"/>
      <c r="G467" s="188"/>
      <c r="H467" s="34"/>
      <c r="I467" s="34"/>
      <c r="J467" s="34"/>
      <c r="K467" s="44"/>
      <c r="L467" s="105"/>
      <c r="M467" s="34"/>
      <c r="N467" s="34"/>
      <c r="O467" s="34"/>
    </row>
    <row r="468" spans="1:15" ht="12.75">
      <c r="A468" s="34"/>
      <c r="B468" s="34"/>
      <c r="C468" s="34"/>
      <c r="D468" s="188"/>
      <c r="E468" s="188"/>
      <c r="F468" s="34"/>
      <c r="G468" s="188"/>
      <c r="H468" s="34"/>
      <c r="I468" s="34"/>
      <c r="J468" s="34"/>
      <c r="K468" s="44"/>
      <c r="L468" s="105"/>
      <c r="M468" s="34"/>
      <c r="N468" s="34"/>
      <c r="O468" s="34"/>
    </row>
    <row r="469" spans="1:15" ht="12.75">
      <c r="A469" s="34"/>
      <c r="B469" s="34"/>
      <c r="C469" s="34"/>
      <c r="D469" s="188"/>
      <c r="E469" s="188"/>
      <c r="F469" s="34"/>
      <c r="G469" s="188"/>
      <c r="H469" s="34"/>
      <c r="I469" s="34"/>
      <c r="J469" s="34"/>
      <c r="K469" s="44"/>
      <c r="L469" s="105"/>
      <c r="M469" s="34"/>
      <c r="N469" s="34"/>
      <c r="O469" s="34"/>
    </row>
    <row r="470" spans="1:15" ht="12.75">
      <c r="A470" s="34"/>
      <c r="B470" s="34"/>
      <c r="C470" s="34"/>
      <c r="D470" s="188"/>
      <c r="E470" s="188"/>
      <c r="F470" s="34"/>
      <c r="G470" s="188"/>
      <c r="H470" s="34"/>
      <c r="I470" s="34"/>
      <c r="J470" s="34"/>
      <c r="K470" s="44"/>
      <c r="L470" s="105"/>
      <c r="M470" s="34"/>
      <c r="N470" s="34"/>
      <c r="O470" s="34"/>
    </row>
    <row r="471" spans="1:15" ht="12.75">
      <c r="A471" s="34"/>
      <c r="B471" s="34"/>
      <c r="C471" s="34"/>
      <c r="D471" s="188"/>
      <c r="E471" s="188"/>
      <c r="F471" s="34"/>
      <c r="G471" s="188"/>
      <c r="H471" s="34"/>
      <c r="I471" s="34"/>
      <c r="J471" s="34"/>
      <c r="K471" s="44"/>
      <c r="L471" s="105"/>
      <c r="M471" s="34"/>
      <c r="N471" s="34"/>
      <c r="O471" s="34"/>
    </row>
    <row r="472" spans="1:15" ht="12.75">
      <c r="A472" s="34"/>
      <c r="B472" s="34"/>
      <c r="C472" s="34"/>
      <c r="D472" s="188"/>
      <c r="E472" s="188"/>
      <c r="F472" s="34"/>
      <c r="G472" s="188"/>
      <c r="H472" s="34"/>
      <c r="I472" s="34"/>
      <c r="J472" s="34"/>
      <c r="K472" s="44"/>
      <c r="L472" s="105"/>
      <c r="M472" s="34"/>
      <c r="N472" s="34"/>
      <c r="O472" s="34"/>
    </row>
    <row r="473" spans="1:15" ht="12.75">
      <c r="A473" s="34"/>
      <c r="B473" s="34"/>
      <c r="C473" s="34"/>
      <c r="D473" s="188"/>
      <c r="E473" s="188"/>
      <c r="F473" s="34"/>
      <c r="G473" s="188"/>
      <c r="H473" s="34"/>
      <c r="I473" s="34"/>
      <c r="J473" s="34"/>
      <c r="K473" s="44"/>
      <c r="L473" s="105"/>
      <c r="M473" s="34"/>
      <c r="N473" s="34"/>
      <c r="O473" s="34"/>
    </row>
    <row r="474" spans="1:15" ht="12.75">
      <c r="A474" s="34"/>
      <c r="B474" s="34"/>
      <c r="C474" s="34"/>
      <c r="D474" s="188"/>
      <c r="E474" s="188"/>
      <c r="F474" s="34"/>
      <c r="G474" s="188"/>
      <c r="H474" s="34"/>
      <c r="I474" s="34"/>
      <c r="J474" s="34"/>
      <c r="K474" s="44"/>
      <c r="L474" s="105"/>
      <c r="M474" s="34"/>
      <c r="N474" s="34"/>
      <c r="O474" s="34"/>
    </row>
    <row r="475" spans="1:15" ht="12.75">
      <c r="A475" s="34"/>
      <c r="B475" s="34"/>
      <c r="C475" s="34"/>
      <c r="D475" s="188"/>
      <c r="E475" s="188"/>
      <c r="F475" s="34"/>
      <c r="G475" s="188"/>
      <c r="H475" s="34"/>
      <c r="I475" s="34"/>
      <c r="J475" s="34"/>
      <c r="K475" s="44"/>
      <c r="L475" s="105"/>
      <c r="M475" s="34"/>
      <c r="N475" s="34"/>
      <c r="O475" s="34"/>
    </row>
    <row r="476" spans="1:15" ht="12.75">
      <c r="A476" s="34"/>
      <c r="B476" s="34"/>
      <c r="C476" s="34"/>
      <c r="D476" s="188"/>
      <c r="E476" s="188"/>
      <c r="F476" s="34"/>
      <c r="G476" s="188"/>
      <c r="H476" s="34"/>
      <c r="I476" s="34"/>
      <c r="J476" s="34"/>
      <c r="K476" s="44"/>
      <c r="L476" s="105"/>
      <c r="M476" s="34"/>
      <c r="N476" s="34"/>
      <c r="O476" s="34"/>
    </row>
    <row r="477" spans="1:15" ht="12.75">
      <c r="A477" s="34"/>
      <c r="B477" s="34"/>
      <c r="C477" s="34"/>
      <c r="D477" s="188"/>
      <c r="E477" s="188"/>
      <c r="F477" s="34"/>
      <c r="G477" s="188"/>
      <c r="H477" s="34"/>
      <c r="I477" s="34"/>
      <c r="J477" s="34"/>
      <c r="K477" s="44"/>
      <c r="L477" s="105"/>
      <c r="M477" s="34"/>
      <c r="N477" s="34"/>
      <c r="O477" s="34"/>
    </row>
    <row r="478" spans="1:15" ht="12.75">
      <c r="A478" s="34"/>
      <c r="B478" s="34"/>
      <c r="C478" s="34"/>
      <c r="D478" s="188"/>
      <c r="E478" s="188"/>
      <c r="F478" s="34"/>
      <c r="G478" s="188"/>
      <c r="H478" s="34"/>
      <c r="I478" s="34"/>
      <c r="J478" s="34"/>
      <c r="K478" s="44"/>
      <c r="L478" s="105"/>
      <c r="M478" s="34"/>
      <c r="N478" s="34"/>
      <c r="O478" s="34"/>
    </row>
    <row r="479" spans="1:15" ht="12.75">
      <c r="A479" s="34"/>
      <c r="B479" s="34"/>
      <c r="C479" s="34"/>
      <c r="D479" s="188"/>
      <c r="E479" s="188"/>
      <c r="F479" s="34"/>
      <c r="G479" s="188"/>
      <c r="H479" s="34"/>
      <c r="I479" s="34"/>
      <c r="J479" s="34"/>
      <c r="K479" s="44"/>
      <c r="L479" s="105"/>
      <c r="M479" s="34"/>
      <c r="N479" s="34"/>
      <c r="O479" s="34"/>
    </row>
    <row r="480" spans="1:15" ht="12.75">
      <c r="A480" s="34"/>
      <c r="B480" s="34"/>
      <c r="C480" s="34"/>
      <c r="D480" s="188"/>
      <c r="E480" s="188"/>
      <c r="F480" s="34"/>
      <c r="G480" s="188"/>
      <c r="H480" s="34"/>
      <c r="I480" s="34"/>
      <c r="J480" s="34"/>
      <c r="K480" s="44"/>
      <c r="L480" s="105"/>
      <c r="M480" s="34"/>
      <c r="N480" s="34"/>
      <c r="O480" s="34"/>
    </row>
    <row r="481" spans="1:15" ht="12.75">
      <c r="A481" s="34"/>
      <c r="B481" s="34"/>
      <c r="C481" s="34"/>
      <c r="D481" s="188"/>
      <c r="E481" s="188"/>
      <c r="F481" s="34"/>
      <c r="G481" s="188"/>
      <c r="H481" s="34"/>
      <c r="I481" s="34"/>
      <c r="J481" s="34"/>
      <c r="K481" s="44"/>
      <c r="L481" s="105"/>
      <c r="M481" s="34"/>
      <c r="N481" s="34"/>
      <c r="O481" s="34"/>
    </row>
    <row r="482" spans="1:15" ht="12.75">
      <c r="A482" s="34"/>
      <c r="B482" s="34"/>
      <c r="C482" s="34"/>
      <c r="D482" s="188"/>
      <c r="E482" s="188"/>
      <c r="F482" s="34"/>
      <c r="G482" s="188"/>
      <c r="H482" s="34"/>
      <c r="I482" s="34"/>
      <c r="J482" s="34"/>
      <c r="K482" s="44"/>
      <c r="L482" s="105"/>
      <c r="M482" s="34"/>
      <c r="N482" s="34"/>
      <c r="O482" s="34"/>
    </row>
    <row r="483" spans="1:15" ht="12.75">
      <c r="A483" s="34"/>
      <c r="B483" s="34"/>
      <c r="C483" s="34"/>
      <c r="D483" s="188"/>
      <c r="E483" s="188"/>
      <c r="F483" s="34"/>
      <c r="G483" s="188"/>
      <c r="H483" s="34"/>
      <c r="I483" s="34"/>
      <c r="J483" s="34"/>
      <c r="K483" s="44"/>
      <c r="L483" s="105"/>
      <c r="M483" s="34"/>
      <c r="N483" s="34"/>
      <c r="O483" s="34"/>
    </row>
    <row r="484" spans="1:15" ht="12.75">
      <c r="A484" s="34"/>
      <c r="B484" s="34"/>
      <c r="C484" s="34"/>
      <c r="D484" s="188"/>
      <c r="E484" s="188"/>
      <c r="F484" s="34"/>
      <c r="G484" s="188"/>
      <c r="H484" s="34"/>
      <c r="I484" s="34"/>
      <c r="J484" s="34"/>
      <c r="K484" s="44"/>
      <c r="L484" s="105"/>
      <c r="M484" s="34"/>
      <c r="N484" s="34"/>
      <c r="O484" s="34"/>
    </row>
    <row r="485" spans="1:15" ht="12.75">
      <c r="A485" s="34"/>
      <c r="B485" s="34"/>
      <c r="C485" s="34"/>
      <c r="D485" s="188"/>
      <c r="E485" s="188"/>
      <c r="F485" s="34"/>
      <c r="G485" s="188"/>
      <c r="H485" s="34"/>
      <c r="I485" s="34"/>
      <c r="J485" s="34"/>
      <c r="K485" s="44"/>
      <c r="L485" s="105"/>
      <c r="M485" s="34"/>
      <c r="N485" s="34"/>
      <c r="O485" s="34"/>
    </row>
    <row r="486" spans="1:15" ht="12.75">
      <c r="A486" s="34"/>
      <c r="B486" s="34"/>
      <c r="C486" s="34"/>
      <c r="D486" s="188"/>
      <c r="E486" s="188"/>
      <c r="F486" s="34"/>
      <c r="G486" s="188"/>
      <c r="H486" s="34"/>
      <c r="I486" s="34"/>
      <c r="J486" s="34"/>
      <c r="K486" s="44"/>
      <c r="L486" s="105"/>
      <c r="M486" s="34"/>
      <c r="N486" s="34"/>
      <c r="O486" s="34"/>
    </row>
    <row r="487" spans="1:15" ht="12.75">
      <c r="A487" s="34"/>
      <c r="B487" s="34"/>
      <c r="C487" s="34"/>
      <c r="D487" s="188"/>
      <c r="E487" s="188"/>
      <c r="F487" s="34"/>
      <c r="G487" s="188"/>
      <c r="H487" s="34"/>
      <c r="I487" s="34"/>
      <c r="J487" s="34"/>
      <c r="K487" s="44"/>
      <c r="L487" s="105"/>
      <c r="M487" s="34"/>
      <c r="N487" s="34"/>
      <c r="O487" s="34"/>
    </row>
    <row r="488" spans="1:15" ht="12.75">
      <c r="A488" s="34"/>
      <c r="B488" s="34"/>
      <c r="C488" s="34"/>
      <c r="D488" s="188"/>
      <c r="E488" s="188"/>
      <c r="F488" s="34"/>
      <c r="G488" s="188"/>
      <c r="H488" s="34"/>
      <c r="I488" s="34"/>
      <c r="J488" s="34"/>
      <c r="K488" s="44"/>
      <c r="L488" s="105"/>
      <c r="M488" s="34"/>
      <c r="N488" s="34"/>
      <c r="O488" s="34"/>
    </row>
    <row r="489" spans="1:15" ht="12.75">
      <c r="A489" s="34"/>
      <c r="B489" s="34"/>
      <c r="C489" s="34"/>
      <c r="D489" s="188"/>
      <c r="E489" s="188"/>
      <c r="F489" s="34"/>
      <c r="G489" s="188"/>
      <c r="H489" s="34"/>
      <c r="I489" s="34"/>
      <c r="J489" s="34"/>
      <c r="K489" s="44"/>
      <c r="L489" s="105"/>
      <c r="M489" s="34"/>
      <c r="N489" s="34"/>
      <c r="O489" s="34"/>
    </row>
    <row r="490" spans="1:15" ht="12.75">
      <c r="A490" s="34"/>
      <c r="B490" s="34"/>
      <c r="C490" s="34"/>
      <c r="D490" s="188"/>
      <c r="E490" s="188"/>
      <c r="F490" s="34"/>
      <c r="G490" s="188"/>
      <c r="H490" s="34"/>
      <c r="I490" s="34"/>
      <c r="J490" s="34"/>
      <c r="K490" s="44"/>
      <c r="L490" s="105"/>
      <c r="M490" s="34"/>
      <c r="N490" s="34"/>
      <c r="O490" s="34"/>
    </row>
    <row r="491" spans="1:15" ht="12.75">
      <c r="A491" s="34"/>
      <c r="B491" s="34"/>
      <c r="C491" s="34"/>
      <c r="D491" s="188"/>
      <c r="E491" s="188"/>
      <c r="F491" s="34"/>
      <c r="G491" s="188"/>
      <c r="H491" s="34"/>
      <c r="I491" s="34"/>
      <c r="J491" s="34"/>
      <c r="K491" s="44"/>
      <c r="L491" s="105"/>
      <c r="M491" s="34"/>
      <c r="N491" s="34"/>
      <c r="O491" s="34"/>
    </row>
    <row r="492" spans="1:15" ht="12.75">
      <c r="A492" s="34"/>
      <c r="B492" s="34"/>
      <c r="C492" s="34"/>
      <c r="D492" s="188"/>
      <c r="E492" s="188"/>
      <c r="F492" s="34"/>
      <c r="G492" s="188"/>
      <c r="H492" s="34"/>
      <c r="I492" s="34"/>
      <c r="J492" s="34"/>
      <c r="K492" s="44"/>
      <c r="L492" s="105"/>
      <c r="M492" s="34"/>
      <c r="N492" s="34"/>
      <c r="O492" s="34"/>
    </row>
    <row r="493" spans="1:15" ht="12.75">
      <c r="A493" s="34"/>
      <c r="B493" s="34"/>
      <c r="C493" s="34"/>
      <c r="D493" s="188"/>
      <c r="E493" s="188"/>
      <c r="F493" s="34"/>
      <c r="G493" s="188"/>
      <c r="H493" s="34"/>
      <c r="I493" s="34"/>
      <c r="J493" s="34"/>
      <c r="K493" s="44"/>
      <c r="L493" s="105"/>
      <c r="M493" s="34"/>
      <c r="N493" s="34"/>
      <c r="O493" s="34"/>
    </row>
    <row r="494" spans="1:15" ht="12.75">
      <c r="A494" s="34"/>
      <c r="B494" s="34"/>
      <c r="C494" s="34"/>
      <c r="D494" s="188"/>
      <c r="E494" s="188"/>
      <c r="F494" s="34"/>
      <c r="G494" s="188"/>
      <c r="H494" s="34"/>
      <c r="I494" s="34"/>
      <c r="J494" s="34"/>
      <c r="K494" s="44"/>
      <c r="L494" s="105"/>
      <c r="M494" s="34"/>
      <c r="N494" s="34"/>
      <c r="O494" s="34"/>
    </row>
    <row r="495" spans="1:15" ht="12.75">
      <c r="A495" s="34"/>
      <c r="B495" s="34"/>
      <c r="C495" s="34"/>
      <c r="D495" s="188"/>
      <c r="E495" s="188"/>
      <c r="F495" s="34"/>
      <c r="G495" s="188"/>
      <c r="H495" s="34"/>
      <c r="I495" s="34"/>
      <c r="J495" s="34"/>
      <c r="K495" s="44"/>
      <c r="L495" s="105"/>
      <c r="M495" s="34"/>
      <c r="N495" s="34"/>
      <c r="O495" s="34"/>
    </row>
    <row r="496" spans="1:15" ht="12.75">
      <c r="A496" s="34"/>
      <c r="B496" s="34"/>
      <c r="C496" s="34"/>
      <c r="D496" s="188"/>
      <c r="E496" s="188"/>
      <c r="F496" s="34"/>
      <c r="G496" s="188"/>
      <c r="H496" s="34"/>
      <c r="I496" s="34"/>
      <c r="J496" s="34"/>
      <c r="K496" s="44"/>
      <c r="L496" s="105"/>
      <c r="M496" s="34"/>
      <c r="N496" s="34"/>
      <c r="O496" s="34"/>
    </row>
    <row r="497" spans="1:15" ht="12.75">
      <c r="A497" s="34"/>
      <c r="B497" s="34"/>
      <c r="C497" s="34"/>
      <c r="D497" s="188"/>
      <c r="E497" s="188"/>
      <c r="F497" s="34"/>
      <c r="G497" s="188"/>
      <c r="H497" s="34"/>
      <c r="I497" s="34"/>
      <c r="J497" s="34"/>
      <c r="K497" s="44"/>
      <c r="L497" s="105"/>
      <c r="M497" s="34"/>
      <c r="N497" s="34"/>
      <c r="O497" s="34"/>
    </row>
    <row r="498" spans="1:15" ht="12.75">
      <c r="A498" s="34"/>
      <c r="B498" s="34"/>
      <c r="C498" s="34"/>
      <c r="D498" s="188"/>
      <c r="E498" s="188"/>
      <c r="F498" s="34"/>
      <c r="G498" s="188"/>
      <c r="H498" s="34"/>
      <c r="I498" s="34"/>
      <c r="J498" s="34"/>
      <c r="K498" s="44"/>
      <c r="L498" s="105"/>
      <c r="M498" s="34"/>
      <c r="N498" s="34"/>
      <c r="O498" s="34"/>
    </row>
    <row r="499" spans="1:15" ht="12.75">
      <c r="A499" s="34"/>
      <c r="B499" s="34"/>
      <c r="C499" s="34"/>
      <c r="D499" s="188"/>
      <c r="E499" s="188"/>
      <c r="F499" s="34"/>
      <c r="G499" s="188"/>
      <c r="H499" s="34"/>
      <c r="I499" s="34"/>
      <c r="J499" s="34"/>
      <c r="K499" s="44"/>
      <c r="L499" s="105"/>
      <c r="M499" s="34"/>
      <c r="N499" s="34"/>
      <c r="O499" s="34"/>
    </row>
    <row r="500" spans="1:15" ht="12.75">
      <c r="A500" s="34"/>
      <c r="B500" s="34"/>
      <c r="C500" s="34"/>
      <c r="D500" s="188"/>
      <c r="E500" s="188"/>
      <c r="F500" s="34"/>
      <c r="G500" s="188"/>
      <c r="H500" s="34"/>
      <c r="I500" s="34"/>
      <c r="J500" s="34"/>
      <c r="K500" s="44"/>
      <c r="L500" s="105"/>
      <c r="M500" s="34"/>
      <c r="N500" s="34"/>
      <c r="O500" s="34"/>
    </row>
    <row r="501" spans="1:15" ht="12.75">
      <c r="A501" s="34"/>
      <c r="B501" s="34"/>
      <c r="C501" s="34"/>
      <c r="D501" s="188"/>
      <c r="E501" s="188"/>
      <c r="F501" s="34"/>
      <c r="G501" s="188"/>
      <c r="H501" s="34"/>
      <c r="I501" s="34"/>
      <c r="J501" s="34"/>
      <c r="K501" s="44"/>
      <c r="L501" s="105"/>
      <c r="M501" s="34"/>
      <c r="N501" s="34"/>
      <c r="O501" s="34"/>
    </row>
    <row r="502" spans="1:15" ht="12.75">
      <c r="A502" s="34"/>
      <c r="B502" s="34"/>
      <c r="C502" s="34"/>
      <c r="D502" s="188"/>
      <c r="E502" s="188"/>
      <c r="F502" s="34"/>
      <c r="G502" s="188"/>
      <c r="H502" s="34"/>
      <c r="I502" s="34"/>
      <c r="J502" s="34"/>
      <c r="K502" s="44"/>
      <c r="L502" s="105"/>
      <c r="M502" s="34"/>
      <c r="N502" s="34"/>
      <c r="O502" s="34"/>
    </row>
    <row r="503" spans="1:15" ht="12.75">
      <c r="A503" s="34"/>
      <c r="B503" s="34"/>
      <c r="C503" s="34"/>
      <c r="D503" s="188"/>
      <c r="E503" s="188"/>
      <c r="F503" s="34"/>
      <c r="G503" s="188"/>
      <c r="H503" s="34"/>
      <c r="I503" s="34"/>
      <c r="J503" s="34"/>
      <c r="K503" s="44"/>
      <c r="L503" s="105"/>
      <c r="M503" s="34"/>
      <c r="N503" s="34"/>
      <c r="O503" s="34"/>
    </row>
    <row r="504" spans="1:15" ht="12.75">
      <c r="A504" s="34"/>
      <c r="B504" s="34"/>
      <c r="C504" s="34"/>
      <c r="D504" s="188"/>
      <c r="E504" s="188"/>
      <c r="F504" s="34"/>
      <c r="G504" s="188"/>
      <c r="H504" s="34"/>
      <c r="I504" s="34"/>
      <c r="J504" s="34"/>
      <c r="K504" s="44"/>
      <c r="L504" s="105"/>
      <c r="M504" s="34"/>
      <c r="N504" s="34"/>
      <c r="O504" s="34"/>
    </row>
    <row r="505" spans="1:15" ht="12.75">
      <c r="A505" s="34"/>
      <c r="B505" s="34"/>
      <c r="C505" s="34"/>
      <c r="D505" s="188"/>
      <c r="E505" s="188"/>
      <c r="F505" s="34"/>
      <c r="G505" s="188"/>
      <c r="H505" s="34"/>
      <c r="I505" s="34"/>
      <c r="J505" s="34"/>
      <c r="K505" s="44"/>
      <c r="L505" s="105"/>
      <c r="M505" s="34"/>
      <c r="N505" s="34"/>
      <c r="O505" s="34"/>
    </row>
    <row r="506" spans="1:15" ht="12.75">
      <c r="A506" s="34"/>
      <c r="B506" s="34"/>
      <c r="C506" s="34"/>
      <c r="D506" s="188"/>
      <c r="E506" s="188"/>
      <c r="F506" s="34"/>
      <c r="G506" s="188"/>
      <c r="H506" s="34"/>
      <c r="I506" s="34"/>
      <c r="J506" s="34"/>
      <c r="K506" s="44"/>
      <c r="L506" s="105"/>
      <c r="M506" s="34"/>
      <c r="N506" s="34"/>
      <c r="O506" s="34"/>
    </row>
    <row r="507" spans="1:15" ht="12.75">
      <c r="A507" s="34"/>
      <c r="B507" s="34"/>
      <c r="C507" s="34"/>
      <c r="D507" s="188"/>
      <c r="E507" s="188"/>
      <c r="F507" s="34"/>
      <c r="G507" s="188"/>
      <c r="H507" s="34"/>
      <c r="I507" s="34"/>
      <c r="J507" s="34"/>
      <c r="K507" s="44"/>
      <c r="L507" s="105"/>
      <c r="M507" s="34"/>
      <c r="N507" s="34"/>
      <c r="O507" s="34"/>
    </row>
    <row r="508" spans="1:15" ht="12.75">
      <c r="A508" s="34"/>
      <c r="B508" s="34"/>
      <c r="C508" s="34"/>
      <c r="D508" s="188"/>
      <c r="E508" s="188"/>
      <c r="F508" s="34"/>
      <c r="G508" s="188"/>
      <c r="H508" s="34"/>
      <c r="I508" s="34"/>
      <c r="J508" s="34"/>
      <c r="K508" s="44"/>
      <c r="L508" s="105"/>
      <c r="M508" s="34"/>
      <c r="N508" s="34"/>
      <c r="O508" s="34"/>
    </row>
    <row r="509" spans="1:15" ht="12.75">
      <c r="A509" s="34"/>
      <c r="B509" s="34"/>
      <c r="C509" s="34"/>
      <c r="D509" s="188"/>
      <c r="E509" s="188"/>
      <c r="F509" s="34"/>
      <c r="G509" s="188"/>
      <c r="H509" s="34"/>
      <c r="I509" s="34"/>
      <c r="J509" s="34"/>
      <c r="K509" s="44"/>
      <c r="L509" s="105"/>
      <c r="M509" s="34"/>
      <c r="N509" s="34"/>
      <c r="O509" s="34"/>
    </row>
    <row r="510" spans="1:15" ht="12.75">
      <c r="A510" s="34"/>
      <c r="B510" s="34"/>
      <c r="C510" s="34"/>
      <c r="D510" s="188"/>
      <c r="E510" s="188"/>
      <c r="F510" s="34"/>
      <c r="G510" s="188"/>
      <c r="H510" s="34"/>
      <c r="I510" s="34"/>
      <c r="J510" s="34"/>
      <c r="K510" s="44"/>
      <c r="L510" s="105"/>
      <c r="M510" s="34"/>
      <c r="N510" s="34"/>
      <c r="O510" s="34"/>
    </row>
    <row r="511" spans="1:15" ht="12.75">
      <c r="A511" s="34"/>
      <c r="B511" s="34"/>
      <c r="C511" s="34"/>
      <c r="D511" s="188"/>
      <c r="E511" s="188"/>
      <c r="F511" s="34"/>
      <c r="G511" s="188"/>
      <c r="H511" s="34"/>
      <c r="I511" s="34"/>
      <c r="J511" s="34"/>
      <c r="K511" s="44"/>
      <c r="L511" s="105"/>
      <c r="M511" s="34"/>
      <c r="N511" s="34"/>
      <c r="O511" s="34"/>
    </row>
    <row r="512" spans="1:15" ht="12.75">
      <c r="A512" s="34"/>
      <c r="B512" s="34"/>
      <c r="C512" s="34"/>
      <c r="D512" s="188"/>
      <c r="E512" s="188"/>
      <c r="F512" s="34"/>
      <c r="G512" s="188"/>
      <c r="H512" s="34"/>
      <c r="I512" s="34"/>
      <c r="J512" s="34"/>
      <c r="K512" s="44"/>
      <c r="L512" s="105"/>
      <c r="M512" s="34"/>
      <c r="N512" s="34"/>
      <c r="O512" s="34"/>
    </row>
    <row r="513" spans="1:15" ht="12.75">
      <c r="A513" s="34"/>
      <c r="B513" s="34"/>
      <c r="C513" s="34"/>
      <c r="D513" s="188"/>
      <c r="E513" s="188"/>
      <c r="F513" s="34"/>
      <c r="G513" s="188"/>
      <c r="H513" s="34"/>
      <c r="I513" s="34"/>
      <c r="J513" s="34"/>
      <c r="K513" s="44"/>
      <c r="L513" s="105"/>
      <c r="M513" s="34"/>
      <c r="N513" s="34"/>
      <c r="O513" s="34"/>
    </row>
    <row r="514" spans="1:15" ht="12.75">
      <c r="A514" s="34"/>
      <c r="B514" s="34"/>
      <c r="C514" s="34"/>
      <c r="D514" s="188"/>
      <c r="E514" s="188"/>
      <c r="F514" s="34"/>
      <c r="G514" s="188"/>
      <c r="H514" s="34"/>
      <c r="I514" s="34"/>
      <c r="J514" s="34"/>
      <c r="K514" s="44"/>
      <c r="L514" s="105"/>
      <c r="M514" s="34"/>
      <c r="N514" s="34"/>
      <c r="O514" s="34"/>
    </row>
    <row r="515" spans="1:15" ht="12.75">
      <c r="A515" s="34"/>
      <c r="B515" s="34"/>
      <c r="C515" s="34"/>
      <c r="D515" s="188"/>
      <c r="E515" s="188"/>
      <c r="F515" s="34"/>
      <c r="G515" s="188"/>
      <c r="H515" s="34"/>
      <c r="I515" s="34"/>
      <c r="J515" s="34"/>
      <c r="K515" s="44"/>
      <c r="L515" s="105"/>
      <c r="M515" s="34"/>
      <c r="N515" s="34"/>
      <c r="O515" s="34"/>
    </row>
    <row r="516" spans="1:15" ht="12.75">
      <c r="A516" s="34"/>
      <c r="B516" s="34"/>
      <c r="C516" s="34"/>
      <c r="D516" s="188"/>
      <c r="E516" s="188"/>
      <c r="F516" s="34"/>
      <c r="G516" s="188"/>
      <c r="H516" s="34"/>
      <c r="I516" s="34"/>
      <c r="J516" s="34"/>
      <c r="K516" s="44"/>
      <c r="L516" s="105"/>
      <c r="M516" s="34"/>
      <c r="N516" s="34"/>
      <c r="O516" s="34"/>
    </row>
    <row r="517" spans="1:15" ht="12.75">
      <c r="A517" s="34"/>
      <c r="B517" s="34"/>
      <c r="C517" s="34"/>
      <c r="D517" s="188"/>
      <c r="E517" s="188"/>
      <c r="F517" s="34"/>
      <c r="G517" s="188"/>
      <c r="H517" s="34"/>
      <c r="I517" s="34"/>
      <c r="J517" s="34"/>
      <c r="K517" s="44"/>
      <c r="L517" s="105"/>
      <c r="M517" s="34"/>
      <c r="N517" s="34"/>
      <c r="O517" s="34"/>
    </row>
    <row r="518" spans="1:15" ht="12.75">
      <c r="A518" s="34"/>
      <c r="B518" s="34"/>
      <c r="C518" s="34"/>
      <c r="D518" s="188"/>
      <c r="E518" s="188"/>
      <c r="F518" s="34"/>
      <c r="G518" s="188"/>
      <c r="H518" s="34"/>
      <c r="I518" s="34"/>
      <c r="J518" s="34"/>
      <c r="K518" s="44"/>
      <c r="L518" s="105"/>
      <c r="M518" s="34"/>
      <c r="N518" s="34"/>
      <c r="O518" s="34"/>
    </row>
    <row r="519" spans="1:15" ht="12.75">
      <c r="A519" s="34"/>
      <c r="B519" s="34"/>
      <c r="C519" s="34"/>
      <c r="D519" s="188"/>
      <c r="E519" s="188"/>
      <c r="F519" s="34"/>
      <c r="G519" s="188"/>
      <c r="H519" s="34"/>
      <c r="I519" s="34"/>
      <c r="J519" s="34"/>
      <c r="K519" s="44"/>
      <c r="L519" s="105"/>
      <c r="M519" s="34"/>
      <c r="N519" s="34"/>
      <c r="O519" s="34"/>
    </row>
    <row r="520" spans="1:15" ht="12.75">
      <c r="A520" s="34"/>
      <c r="B520" s="34"/>
      <c r="C520" s="34"/>
      <c r="D520" s="188"/>
      <c r="E520" s="188"/>
      <c r="F520" s="34"/>
      <c r="G520" s="188"/>
      <c r="H520" s="34"/>
      <c r="I520" s="34"/>
      <c r="J520" s="34"/>
      <c r="K520" s="44"/>
      <c r="L520" s="105"/>
      <c r="M520" s="34"/>
      <c r="N520" s="34"/>
      <c r="O520" s="34"/>
    </row>
    <row r="521" spans="1:15" ht="12.75">
      <c r="A521" s="34"/>
      <c r="B521" s="34"/>
      <c r="C521" s="34"/>
      <c r="D521" s="188"/>
      <c r="E521" s="188"/>
      <c r="F521" s="34"/>
      <c r="G521" s="188"/>
      <c r="H521" s="34"/>
      <c r="I521" s="34"/>
      <c r="J521" s="34"/>
      <c r="K521" s="44"/>
      <c r="L521" s="105"/>
      <c r="M521" s="34"/>
      <c r="N521" s="34"/>
      <c r="O521" s="34"/>
    </row>
    <row r="522" spans="1:15" ht="12.75">
      <c r="A522" s="34"/>
      <c r="B522" s="34"/>
      <c r="C522" s="34"/>
      <c r="D522" s="188"/>
      <c r="E522" s="188"/>
      <c r="F522" s="34"/>
      <c r="G522" s="188"/>
      <c r="H522" s="34"/>
      <c r="I522" s="34"/>
      <c r="J522" s="34"/>
      <c r="K522" s="44"/>
      <c r="L522" s="105"/>
      <c r="M522" s="34"/>
      <c r="N522" s="34"/>
      <c r="O522" s="34"/>
    </row>
    <row r="523" spans="1:15" ht="12.75">
      <c r="A523" s="34"/>
      <c r="B523" s="34"/>
      <c r="C523" s="34"/>
      <c r="D523" s="188"/>
      <c r="E523" s="188"/>
      <c r="F523" s="34"/>
      <c r="G523" s="188"/>
      <c r="H523" s="34"/>
      <c r="I523" s="34"/>
      <c r="J523" s="34"/>
      <c r="K523" s="44"/>
      <c r="L523" s="105"/>
      <c r="M523" s="34"/>
      <c r="N523" s="34"/>
      <c r="O523" s="34"/>
    </row>
    <row r="524" spans="1:15" ht="12.75">
      <c r="A524" s="34"/>
      <c r="B524" s="34"/>
      <c r="C524" s="34"/>
      <c r="D524" s="188"/>
      <c r="E524" s="188"/>
      <c r="F524" s="34"/>
      <c r="G524" s="188"/>
      <c r="H524" s="34"/>
      <c r="I524" s="34"/>
      <c r="J524" s="34"/>
      <c r="K524" s="44"/>
      <c r="L524" s="105"/>
      <c r="M524" s="34"/>
      <c r="N524" s="34"/>
      <c r="O524" s="34"/>
    </row>
    <row r="525" spans="1:15" ht="12.75">
      <c r="A525" s="34"/>
      <c r="B525" s="34"/>
      <c r="C525" s="34"/>
      <c r="D525" s="188"/>
      <c r="E525" s="188"/>
      <c r="F525" s="34"/>
      <c r="G525" s="188"/>
      <c r="H525" s="34"/>
      <c r="I525" s="34"/>
      <c r="J525" s="34"/>
      <c r="K525" s="44"/>
      <c r="L525" s="105"/>
      <c r="M525" s="34"/>
      <c r="N525" s="34"/>
      <c r="O525" s="34"/>
    </row>
    <row r="526" spans="1:15" ht="12.75">
      <c r="A526" s="34"/>
      <c r="B526" s="34"/>
      <c r="C526" s="34"/>
      <c r="D526" s="188"/>
      <c r="E526" s="188"/>
      <c r="F526" s="34"/>
      <c r="G526" s="188"/>
      <c r="H526" s="34"/>
      <c r="I526" s="34"/>
      <c r="J526" s="34"/>
      <c r="K526" s="44"/>
      <c r="L526" s="105"/>
      <c r="M526" s="34"/>
      <c r="N526" s="34"/>
      <c r="O526" s="34"/>
    </row>
    <row r="527" spans="1:15" ht="12.75">
      <c r="A527" s="34"/>
      <c r="B527" s="34"/>
      <c r="C527" s="34"/>
      <c r="D527" s="188"/>
      <c r="E527" s="188"/>
      <c r="F527" s="34"/>
      <c r="G527" s="188"/>
      <c r="H527" s="34"/>
      <c r="I527" s="34"/>
      <c r="J527" s="34"/>
      <c r="K527" s="44"/>
      <c r="L527" s="105"/>
      <c r="M527" s="34"/>
      <c r="N527" s="34"/>
      <c r="O527" s="34"/>
    </row>
    <row r="528" spans="1:15" ht="12.75">
      <c r="A528" s="34"/>
      <c r="B528" s="34"/>
      <c r="C528" s="34"/>
      <c r="D528" s="188"/>
      <c r="E528" s="188"/>
      <c r="F528" s="34"/>
      <c r="G528" s="188"/>
      <c r="H528" s="34"/>
      <c r="I528" s="34"/>
      <c r="J528" s="34"/>
      <c r="K528" s="44"/>
      <c r="L528" s="105"/>
      <c r="M528" s="34"/>
      <c r="N528" s="34"/>
      <c r="O528" s="34"/>
    </row>
    <row r="529" spans="1:15" ht="12.75">
      <c r="A529" s="34"/>
      <c r="B529" s="34"/>
      <c r="C529" s="34"/>
      <c r="D529" s="188"/>
      <c r="E529" s="188"/>
      <c r="F529" s="34"/>
      <c r="G529" s="188"/>
      <c r="H529" s="34"/>
      <c r="I529" s="34"/>
      <c r="J529" s="34"/>
      <c r="K529" s="44"/>
      <c r="L529" s="105"/>
      <c r="M529" s="34"/>
      <c r="N529" s="34"/>
      <c r="O529" s="34"/>
    </row>
    <row r="530" spans="1:15" ht="12.75">
      <c r="A530" s="34"/>
      <c r="B530" s="34"/>
      <c r="C530" s="34"/>
      <c r="D530" s="188"/>
      <c r="E530" s="188"/>
      <c r="F530" s="34"/>
      <c r="G530" s="188"/>
      <c r="H530" s="34"/>
      <c r="I530" s="34"/>
      <c r="J530" s="34"/>
      <c r="K530" s="44"/>
      <c r="L530" s="105"/>
      <c r="M530" s="34"/>
      <c r="N530" s="34"/>
      <c r="O530" s="34"/>
    </row>
    <row r="531" spans="1:15" ht="12.75">
      <c r="A531" s="34"/>
      <c r="B531" s="34"/>
      <c r="C531" s="34"/>
      <c r="D531" s="188"/>
      <c r="E531" s="188"/>
      <c r="F531" s="34"/>
      <c r="G531" s="188"/>
      <c r="H531" s="34"/>
      <c r="I531" s="34"/>
      <c r="J531" s="34"/>
      <c r="K531" s="44"/>
      <c r="L531" s="105"/>
      <c r="M531" s="34"/>
      <c r="N531" s="34"/>
      <c r="O531" s="34"/>
    </row>
    <row r="532" spans="1:15" ht="12.75">
      <c r="A532" s="34"/>
      <c r="B532" s="34"/>
      <c r="C532" s="34"/>
      <c r="D532" s="188"/>
      <c r="E532" s="188"/>
      <c r="F532" s="34"/>
      <c r="G532" s="188"/>
      <c r="H532" s="34"/>
      <c r="I532" s="34"/>
      <c r="J532" s="34"/>
      <c r="K532" s="44"/>
      <c r="L532" s="105"/>
      <c r="M532" s="34"/>
      <c r="N532" s="34"/>
      <c r="O532" s="34"/>
    </row>
    <row r="533" spans="1:15" ht="12.75">
      <c r="A533" s="34"/>
      <c r="B533" s="34"/>
      <c r="C533" s="34"/>
      <c r="D533" s="188"/>
      <c r="E533" s="188"/>
      <c r="F533" s="34"/>
      <c r="G533" s="188"/>
      <c r="H533" s="34"/>
      <c r="I533" s="34"/>
      <c r="J533" s="34"/>
      <c r="K533" s="44"/>
      <c r="L533" s="105"/>
      <c r="M533" s="34"/>
      <c r="N533" s="34"/>
      <c r="O533" s="34"/>
    </row>
    <row r="534" spans="1:15" ht="12.75">
      <c r="A534" s="34"/>
      <c r="B534" s="34"/>
      <c r="C534" s="34"/>
      <c r="D534" s="188"/>
      <c r="E534" s="188"/>
      <c r="F534" s="34"/>
      <c r="G534" s="188"/>
      <c r="H534" s="34"/>
      <c r="I534" s="34"/>
      <c r="J534" s="34"/>
      <c r="K534" s="44"/>
      <c r="L534" s="105"/>
      <c r="M534" s="34"/>
      <c r="N534" s="34"/>
      <c r="O534" s="34"/>
    </row>
    <row r="535" spans="1:15" ht="12.75">
      <c r="A535" s="34"/>
      <c r="B535" s="34"/>
      <c r="C535" s="34"/>
      <c r="D535" s="188"/>
      <c r="E535" s="188"/>
      <c r="F535" s="34"/>
      <c r="G535" s="188"/>
      <c r="H535" s="34"/>
      <c r="I535" s="34"/>
      <c r="J535" s="34"/>
      <c r="K535" s="44"/>
      <c r="L535" s="105"/>
      <c r="M535" s="34"/>
      <c r="N535" s="34"/>
      <c r="O535" s="34"/>
    </row>
    <row r="536" spans="1:15" ht="12.75">
      <c r="A536" s="34"/>
      <c r="B536" s="34"/>
      <c r="C536" s="34"/>
      <c r="D536" s="188"/>
      <c r="E536" s="188"/>
      <c r="F536" s="34"/>
      <c r="G536" s="188"/>
      <c r="H536" s="34"/>
      <c r="I536" s="34"/>
      <c r="J536" s="34"/>
      <c r="K536" s="44"/>
      <c r="L536" s="105"/>
      <c r="M536" s="34"/>
      <c r="N536" s="34"/>
      <c r="O536" s="34"/>
    </row>
    <row r="537" spans="1:15" ht="12.75">
      <c r="A537" s="34"/>
      <c r="B537" s="34"/>
      <c r="C537" s="34"/>
      <c r="D537" s="188"/>
      <c r="E537" s="188"/>
      <c r="F537" s="34"/>
      <c r="G537" s="188"/>
      <c r="H537" s="34"/>
      <c r="I537" s="34"/>
      <c r="J537" s="34"/>
      <c r="K537" s="44"/>
      <c r="L537" s="105"/>
      <c r="M537" s="34"/>
      <c r="N537" s="34"/>
      <c r="O537" s="34"/>
    </row>
    <row r="538" spans="1:15" ht="12.75">
      <c r="A538" s="34"/>
      <c r="B538" s="34"/>
      <c r="C538" s="34"/>
      <c r="D538" s="188"/>
      <c r="E538" s="188"/>
      <c r="F538" s="34"/>
      <c r="G538" s="188"/>
      <c r="H538" s="34"/>
      <c r="I538" s="34"/>
      <c r="J538" s="34"/>
      <c r="K538" s="44"/>
      <c r="L538" s="105"/>
      <c r="M538" s="34"/>
      <c r="N538" s="34"/>
      <c r="O538" s="34"/>
    </row>
    <row r="539" spans="1:15" ht="12.75">
      <c r="A539" s="34"/>
      <c r="B539" s="34"/>
      <c r="C539" s="34"/>
      <c r="D539" s="188"/>
      <c r="E539" s="188"/>
      <c r="F539" s="34"/>
      <c r="G539" s="188"/>
      <c r="H539" s="34"/>
      <c r="I539" s="34"/>
      <c r="J539" s="34"/>
      <c r="K539" s="44"/>
      <c r="L539" s="105"/>
      <c r="M539" s="34"/>
      <c r="N539" s="34"/>
      <c r="O539" s="34"/>
    </row>
    <row r="540" spans="1:15" ht="12.75">
      <c r="A540" s="34"/>
      <c r="B540" s="34"/>
      <c r="C540" s="34"/>
      <c r="D540" s="188"/>
      <c r="E540" s="188"/>
      <c r="F540" s="34"/>
      <c r="G540" s="188"/>
      <c r="H540" s="34"/>
      <c r="I540" s="34"/>
      <c r="J540" s="34"/>
      <c r="K540" s="44"/>
      <c r="L540" s="105"/>
      <c r="M540" s="34"/>
      <c r="N540" s="34"/>
      <c r="O540" s="34"/>
    </row>
    <row r="541" spans="1:15" ht="12.75">
      <c r="A541" s="34"/>
      <c r="B541" s="34"/>
      <c r="C541" s="34"/>
      <c r="D541" s="188"/>
      <c r="E541" s="188"/>
      <c r="F541" s="34"/>
      <c r="G541" s="188"/>
      <c r="H541" s="34"/>
      <c r="I541" s="34"/>
      <c r="J541" s="34"/>
      <c r="K541" s="44"/>
      <c r="L541" s="105"/>
      <c r="M541" s="34"/>
      <c r="N541" s="34"/>
      <c r="O541" s="34"/>
    </row>
    <row r="542" spans="1:15" ht="12.75">
      <c r="A542" s="34"/>
      <c r="B542" s="34"/>
      <c r="C542" s="34"/>
      <c r="D542" s="188"/>
      <c r="E542" s="188"/>
      <c r="F542" s="34"/>
      <c r="G542" s="188"/>
      <c r="H542" s="34"/>
      <c r="I542" s="34"/>
      <c r="J542" s="34"/>
      <c r="K542" s="44"/>
      <c r="L542" s="105"/>
      <c r="M542" s="34"/>
      <c r="N542" s="34"/>
      <c r="O542" s="34"/>
    </row>
    <row r="543" spans="1:15" ht="12.75">
      <c r="A543" s="34"/>
      <c r="B543" s="34"/>
      <c r="C543" s="34"/>
      <c r="D543" s="188"/>
      <c r="E543" s="188"/>
      <c r="F543" s="34"/>
      <c r="G543" s="188"/>
      <c r="H543" s="34"/>
      <c r="I543" s="34"/>
      <c r="J543" s="34"/>
      <c r="K543" s="44"/>
      <c r="L543" s="105"/>
      <c r="M543" s="34"/>
      <c r="N543" s="34"/>
      <c r="O543" s="34"/>
    </row>
    <row r="544" spans="1:15" ht="12.75">
      <c r="A544" s="34"/>
      <c r="B544" s="34"/>
      <c r="C544" s="34"/>
      <c r="D544" s="188"/>
      <c r="E544" s="188"/>
      <c r="F544" s="34"/>
      <c r="G544" s="188"/>
      <c r="H544" s="34"/>
      <c r="I544" s="34"/>
      <c r="J544" s="34"/>
      <c r="K544" s="44"/>
      <c r="L544" s="105"/>
      <c r="M544" s="34"/>
      <c r="N544" s="34"/>
      <c r="O544" s="34"/>
    </row>
    <row r="545" spans="1:15" ht="12.75">
      <c r="A545" s="34"/>
      <c r="B545" s="34"/>
      <c r="C545" s="34"/>
      <c r="D545" s="188"/>
      <c r="E545" s="188"/>
      <c r="F545" s="34"/>
      <c r="G545" s="188"/>
      <c r="H545" s="34"/>
      <c r="I545" s="34"/>
      <c r="J545" s="34"/>
      <c r="K545" s="44"/>
      <c r="L545" s="105"/>
      <c r="M545" s="34"/>
      <c r="N545" s="34"/>
      <c r="O545" s="34"/>
    </row>
    <row r="546" spans="1:15" ht="12.75">
      <c r="A546" s="34"/>
      <c r="B546" s="34"/>
      <c r="C546" s="34"/>
      <c r="D546" s="188"/>
      <c r="E546" s="188"/>
      <c r="F546" s="34"/>
      <c r="G546" s="188"/>
      <c r="H546" s="34"/>
      <c r="I546" s="34"/>
      <c r="J546" s="34"/>
      <c r="K546" s="44"/>
      <c r="L546" s="105"/>
      <c r="M546" s="34"/>
      <c r="N546" s="34"/>
      <c r="O546" s="34"/>
    </row>
    <row r="547" spans="1:15" ht="12.75">
      <c r="A547" s="34"/>
      <c r="B547" s="34"/>
      <c r="C547" s="34"/>
      <c r="D547" s="188"/>
      <c r="E547" s="188"/>
      <c r="F547" s="34"/>
      <c r="G547" s="188"/>
      <c r="H547" s="34"/>
      <c r="I547" s="34"/>
      <c r="J547" s="34"/>
      <c r="K547" s="44"/>
      <c r="L547" s="105"/>
      <c r="M547" s="34"/>
      <c r="N547" s="34"/>
      <c r="O547" s="34"/>
    </row>
    <row r="548" spans="1:15" ht="12.75">
      <c r="A548" s="34"/>
      <c r="B548" s="34"/>
      <c r="C548" s="34"/>
      <c r="D548" s="188"/>
      <c r="E548" s="188"/>
      <c r="F548" s="34"/>
      <c r="G548" s="188"/>
      <c r="H548" s="34"/>
      <c r="I548" s="34"/>
      <c r="J548" s="34"/>
      <c r="K548" s="44"/>
      <c r="L548" s="105"/>
      <c r="M548" s="34"/>
      <c r="N548" s="34"/>
      <c r="O548" s="34"/>
    </row>
    <row r="549" spans="1:15" ht="12.75">
      <c r="A549" s="34"/>
      <c r="B549" s="34"/>
      <c r="C549" s="34"/>
      <c r="D549" s="188"/>
      <c r="E549" s="188"/>
      <c r="F549" s="34"/>
      <c r="G549" s="188"/>
      <c r="H549" s="34"/>
      <c r="I549" s="34"/>
      <c r="J549" s="34"/>
      <c r="K549" s="44"/>
      <c r="L549" s="105"/>
      <c r="M549" s="34"/>
      <c r="N549" s="34"/>
      <c r="O549" s="34"/>
    </row>
    <row r="550" spans="1:15" ht="12.75">
      <c r="A550" s="34"/>
      <c r="B550" s="34"/>
      <c r="C550" s="34"/>
      <c r="D550" s="188"/>
      <c r="E550" s="188"/>
      <c r="F550" s="34"/>
      <c r="G550" s="188"/>
      <c r="H550" s="34"/>
      <c r="I550" s="34"/>
      <c r="J550" s="34"/>
      <c r="K550" s="44"/>
      <c r="L550" s="105"/>
      <c r="M550" s="34"/>
      <c r="N550" s="34"/>
      <c r="O550" s="34"/>
    </row>
    <row r="551" spans="1:15" ht="12.75">
      <c r="A551" s="34"/>
      <c r="B551" s="34"/>
      <c r="C551" s="34"/>
      <c r="D551" s="188"/>
      <c r="E551" s="188"/>
      <c r="F551" s="34"/>
      <c r="G551" s="188"/>
      <c r="H551" s="34"/>
      <c r="I551" s="34"/>
      <c r="J551" s="34"/>
      <c r="K551" s="44"/>
      <c r="L551" s="105"/>
      <c r="M551" s="34"/>
      <c r="N551" s="34"/>
      <c r="O551" s="34"/>
    </row>
    <row r="552" spans="1:15" ht="12.75">
      <c r="A552" s="34"/>
      <c r="B552" s="34"/>
      <c r="C552" s="34"/>
      <c r="D552" s="188"/>
      <c r="E552" s="188"/>
      <c r="F552" s="34"/>
      <c r="G552" s="188"/>
      <c r="H552" s="34"/>
      <c r="I552" s="34"/>
      <c r="J552" s="34"/>
      <c r="K552" s="44"/>
      <c r="L552" s="105"/>
      <c r="M552" s="34"/>
      <c r="N552" s="34"/>
      <c r="O552" s="34"/>
    </row>
    <row r="553" spans="1:15" ht="12.75">
      <c r="A553" s="34"/>
      <c r="B553" s="34"/>
      <c r="C553" s="34"/>
      <c r="D553" s="188"/>
      <c r="E553" s="188"/>
      <c r="F553" s="34"/>
      <c r="G553" s="188"/>
      <c r="H553" s="34"/>
      <c r="I553" s="34"/>
      <c r="J553" s="34"/>
      <c r="K553" s="44"/>
      <c r="L553" s="105"/>
      <c r="M553" s="34"/>
      <c r="N553" s="34"/>
      <c r="O553" s="34"/>
    </row>
    <row r="554" spans="1:15" ht="12.75">
      <c r="A554" s="34"/>
      <c r="B554" s="34"/>
      <c r="C554" s="34"/>
      <c r="D554" s="188"/>
      <c r="E554" s="188"/>
      <c r="F554" s="34"/>
      <c r="G554" s="188"/>
      <c r="H554" s="34"/>
      <c r="I554" s="34"/>
      <c r="J554" s="34"/>
      <c r="K554" s="44"/>
      <c r="L554" s="105"/>
      <c r="M554" s="34"/>
      <c r="N554" s="34"/>
      <c r="O554" s="34"/>
    </row>
    <row r="555" spans="1:15" ht="12.75">
      <c r="A555" s="34"/>
      <c r="B555" s="34"/>
      <c r="C555" s="34"/>
      <c r="D555" s="188"/>
      <c r="E555" s="188"/>
      <c r="F555" s="34"/>
      <c r="G555" s="188"/>
      <c r="H555" s="34"/>
      <c r="I555" s="34"/>
      <c r="J555" s="34"/>
      <c r="K555" s="44"/>
      <c r="L555" s="105"/>
      <c r="M555" s="34"/>
      <c r="N555" s="34"/>
      <c r="O555" s="34"/>
    </row>
    <row r="556" spans="1:15" ht="12.75">
      <c r="A556" s="34"/>
      <c r="B556" s="34"/>
      <c r="C556" s="34"/>
      <c r="D556" s="188"/>
      <c r="E556" s="188"/>
      <c r="F556" s="34"/>
      <c r="G556" s="188"/>
      <c r="H556" s="34"/>
      <c r="I556" s="34"/>
      <c r="J556" s="34"/>
      <c r="K556" s="44"/>
      <c r="L556" s="105"/>
      <c r="M556" s="34"/>
      <c r="N556" s="34"/>
      <c r="O556" s="34"/>
    </row>
    <row r="557" spans="1:15" ht="12.75">
      <c r="A557" s="34"/>
      <c r="B557" s="34"/>
      <c r="C557" s="34"/>
      <c r="D557" s="188"/>
      <c r="E557" s="188"/>
      <c r="F557" s="34"/>
      <c r="G557" s="188"/>
      <c r="H557" s="34"/>
      <c r="I557" s="34"/>
      <c r="J557" s="34"/>
      <c r="K557" s="44"/>
      <c r="L557" s="105"/>
      <c r="M557" s="34"/>
      <c r="N557" s="34"/>
      <c r="O557" s="34"/>
    </row>
    <row r="558" spans="1:15" ht="12.75">
      <c r="A558" s="34"/>
      <c r="B558" s="34"/>
      <c r="C558" s="34"/>
      <c r="D558" s="188"/>
      <c r="E558" s="188"/>
      <c r="F558" s="34"/>
      <c r="G558" s="188"/>
      <c r="H558" s="34"/>
      <c r="I558" s="34"/>
      <c r="J558" s="34"/>
      <c r="K558" s="44"/>
      <c r="L558" s="105"/>
      <c r="M558" s="34"/>
      <c r="N558" s="34"/>
      <c r="O558" s="34"/>
    </row>
    <row r="559" spans="1:15" ht="12.75">
      <c r="A559" s="34"/>
      <c r="B559" s="34"/>
      <c r="C559" s="34"/>
      <c r="D559" s="188"/>
      <c r="E559" s="188"/>
      <c r="F559" s="34"/>
      <c r="G559" s="188"/>
      <c r="H559" s="34"/>
      <c r="I559" s="34"/>
      <c r="J559" s="34"/>
      <c r="K559" s="44"/>
      <c r="L559" s="105"/>
      <c r="M559" s="34"/>
      <c r="N559" s="34"/>
      <c r="O559" s="34"/>
    </row>
    <row r="560" spans="1:15" ht="12.75">
      <c r="A560" s="34"/>
      <c r="B560" s="34"/>
      <c r="C560" s="34"/>
      <c r="D560" s="188"/>
      <c r="E560" s="188"/>
      <c r="F560" s="34"/>
      <c r="G560" s="188"/>
      <c r="H560" s="34"/>
      <c r="I560" s="34"/>
      <c r="J560" s="34"/>
      <c r="K560" s="44"/>
      <c r="L560" s="105"/>
      <c r="M560" s="34"/>
      <c r="N560" s="34"/>
      <c r="O560" s="34"/>
    </row>
    <row r="561" spans="1:15" ht="12.75">
      <c r="A561" s="34"/>
      <c r="B561" s="34"/>
      <c r="C561" s="34"/>
      <c r="D561" s="188"/>
      <c r="E561" s="188"/>
      <c r="F561" s="34"/>
      <c r="G561" s="188"/>
      <c r="H561" s="34"/>
      <c r="I561" s="34"/>
      <c r="J561" s="34"/>
      <c r="K561" s="44"/>
      <c r="L561" s="105"/>
      <c r="M561" s="34"/>
      <c r="N561" s="34"/>
      <c r="O561" s="34"/>
    </row>
    <row r="562" spans="1:15" ht="12.75">
      <c r="A562" s="34"/>
      <c r="B562" s="34"/>
      <c r="C562" s="34"/>
      <c r="D562" s="188"/>
      <c r="E562" s="188"/>
      <c r="F562" s="34"/>
      <c r="G562" s="188"/>
      <c r="H562" s="34"/>
      <c r="I562" s="34"/>
      <c r="J562" s="34"/>
      <c r="K562" s="44"/>
      <c r="L562" s="105"/>
      <c r="M562" s="34"/>
      <c r="N562" s="34"/>
      <c r="O562" s="34"/>
    </row>
    <row r="563" spans="1:15" ht="12.75">
      <c r="A563" s="34"/>
      <c r="B563" s="34"/>
      <c r="C563" s="34"/>
      <c r="D563" s="188"/>
      <c r="E563" s="188"/>
      <c r="F563" s="34"/>
      <c r="G563" s="188"/>
      <c r="H563" s="34"/>
      <c r="I563" s="34"/>
      <c r="J563" s="34"/>
      <c r="K563" s="44"/>
      <c r="L563" s="105"/>
      <c r="M563" s="34"/>
      <c r="N563" s="34"/>
      <c r="O563" s="34"/>
    </row>
    <row r="564" spans="1:15" ht="12.75">
      <c r="A564" s="34"/>
      <c r="B564" s="34"/>
      <c r="C564" s="34"/>
      <c r="D564" s="188"/>
      <c r="E564" s="188"/>
      <c r="F564" s="34"/>
      <c r="G564" s="188"/>
      <c r="H564" s="34"/>
      <c r="I564" s="34"/>
      <c r="J564" s="34"/>
      <c r="K564" s="44"/>
      <c r="L564" s="105"/>
      <c r="M564" s="34"/>
      <c r="N564" s="34"/>
      <c r="O564" s="34"/>
    </row>
    <row r="565" spans="1:15" ht="12.75">
      <c r="A565" s="34"/>
      <c r="B565" s="34"/>
      <c r="C565" s="34"/>
      <c r="D565" s="188"/>
      <c r="E565" s="188"/>
      <c r="F565" s="34"/>
      <c r="G565" s="188"/>
      <c r="H565" s="34"/>
      <c r="I565" s="34"/>
      <c r="J565" s="34"/>
      <c r="K565" s="44"/>
      <c r="L565" s="105"/>
      <c r="M565" s="34"/>
      <c r="N565" s="34"/>
      <c r="O565" s="34"/>
    </row>
    <row r="566" spans="1:15" ht="12.75">
      <c r="A566" s="34"/>
      <c r="B566" s="34"/>
      <c r="C566" s="34"/>
      <c r="D566" s="188"/>
      <c r="E566" s="188"/>
      <c r="F566" s="34"/>
      <c r="G566" s="188"/>
      <c r="H566" s="34"/>
      <c r="I566" s="34"/>
      <c r="J566" s="34"/>
      <c r="K566" s="44"/>
      <c r="L566" s="105"/>
      <c r="M566" s="34"/>
      <c r="N566" s="34"/>
      <c r="O566" s="34"/>
    </row>
    <row r="567" spans="1:15" ht="12.75">
      <c r="A567" s="34"/>
      <c r="B567" s="34"/>
      <c r="C567" s="34"/>
      <c r="D567" s="188"/>
      <c r="E567" s="188"/>
      <c r="F567" s="34"/>
      <c r="G567" s="188"/>
      <c r="H567" s="34"/>
      <c r="I567" s="34"/>
      <c r="J567" s="34"/>
      <c r="K567" s="44"/>
      <c r="L567" s="105"/>
      <c r="M567" s="34"/>
      <c r="N567" s="34"/>
      <c r="O567" s="34"/>
    </row>
    <row r="568" spans="1:15" ht="12.75">
      <c r="A568" s="34"/>
      <c r="B568" s="34"/>
      <c r="C568" s="34"/>
      <c r="D568" s="188"/>
      <c r="E568" s="188"/>
      <c r="F568" s="34"/>
      <c r="G568" s="188"/>
      <c r="H568" s="34"/>
      <c r="I568" s="34"/>
      <c r="J568" s="34"/>
      <c r="K568" s="44"/>
      <c r="L568" s="105"/>
      <c r="M568" s="34"/>
      <c r="N568" s="34"/>
      <c r="O568" s="34"/>
    </row>
    <row r="569" spans="1:15" ht="12.75">
      <c r="A569" s="34"/>
      <c r="B569" s="34"/>
      <c r="C569" s="34"/>
      <c r="D569" s="188"/>
      <c r="E569" s="188"/>
      <c r="F569" s="34"/>
      <c r="G569" s="188"/>
      <c r="H569" s="34"/>
      <c r="I569" s="34"/>
      <c r="J569" s="34"/>
      <c r="K569" s="44"/>
      <c r="L569" s="105"/>
      <c r="M569" s="34"/>
      <c r="N569" s="34"/>
      <c r="O569" s="34"/>
    </row>
    <row r="570" spans="1:15" ht="12.75">
      <c r="A570" s="34"/>
      <c r="B570" s="34"/>
      <c r="C570" s="34"/>
      <c r="D570" s="188"/>
      <c r="E570" s="188"/>
      <c r="F570" s="34"/>
      <c r="G570" s="188"/>
      <c r="H570" s="34"/>
      <c r="I570" s="34"/>
      <c r="J570" s="34"/>
      <c r="K570" s="44"/>
      <c r="L570" s="105"/>
      <c r="M570" s="34"/>
      <c r="N570" s="34"/>
      <c r="O570" s="34"/>
    </row>
    <row r="571" spans="1:15" ht="12.75">
      <c r="A571" s="34"/>
      <c r="B571" s="34"/>
      <c r="C571" s="34"/>
      <c r="D571" s="188"/>
      <c r="E571" s="188"/>
      <c r="F571" s="34"/>
      <c r="G571" s="188"/>
      <c r="H571" s="34"/>
      <c r="I571" s="34"/>
      <c r="J571" s="34"/>
      <c r="K571" s="44"/>
      <c r="L571" s="105"/>
      <c r="M571" s="34"/>
      <c r="N571" s="34"/>
      <c r="O571" s="34"/>
    </row>
    <row r="572" spans="1:15" ht="12.75">
      <c r="A572" s="34"/>
      <c r="B572" s="34"/>
      <c r="C572" s="34"/>
      <c r="D572" s="188"/>
      <c r="E572" s="188"/>
      <c r="F572" s="34"/>
      <c r="G572" s="188"/>
      <c r="H572" s="34"/>
      <c r="I572" s="34"/>
      <c r="J572" s="34"/>
      <c r="K572" s="44"/>
      <c r="L572" s="105"/>
      <c r="M572" s="34"/>
      <c r="N572" s="34"/>
      <c r="O572" s="34"/>
    </row>
    <row r="573" spans="1:15" ht="12.75">
      <c r="A573" s="34"/>
      <c r="B573" s="34"/>
      <c r="C573" s="34"/>
      <c r="D573" s="188"/>
      <c r="E573" s="188"/>
      <c r="F573" s="34"/>
      <c r="G573" s="188"/>
      <c r="H573" s="34"/>
      <c r="I573" s="34"/>
      <c r="J573" s="34"/>
      <c r="K573" s="44"/>
      <c r="L573" s="105"/>
      <c r="M573" s="34"/>
      <c r="N573" s="34"/>
      <c r="O573" s="34"/>
    </row>
    <row r="574" spans="1:15" ht="12.75">
      <c r="A574" s="34"/>
      <c r="B574" s="34"/>
      <c r="C574" s="34"/>
      <c r="D574" s="188"/>
      <c r="E574" s="188"/>
      <c r="F574" s="34"/>
      <c r="G574" s="188"/>
      <c r="H574" s="34"/>
      <c r="I574" s="34"/>
      <c r="J574" s="34"/>
      <c r="K574" s="44"/>
      <c r="L574" s="105"/>
      <c r="M574" s="34"/>
      <c r="N574" s="34"/>
      <c r="O574" s="34"/>
    </row>
    <row r="575" spans="1:15" ht="12.75">
      <c r="A575" s="34"/>
      <c r="B575" s="34"/>
      <c r="C575" s="34"/>
      <c r="D575" s="188"/>
      <c r="E575" s="188"/>
      <c r="F575" s="34"/>
      <c r="G575" s="188"/>
      <c r="H575" s="34"/>
      <c r="I575" s="34"/>
      <c r="J575" s="34"/>
      <c r="K575" s="44"/>
      <c r="L575" s="105"/>
      <c r="M575" s="34"/>
      <c r="N575" s="34"/>
      <c r="O575" s="34"/>
    </row>
    <row r="576" spans="1:15" ht="12.75">
      <c r="A576" s="34"/>
      <c r="B576" s="34"/>
      <c r="C576" s="34"/>
      <c r="D576" s="188"/>
      <c r="E576" s="188"/>
      <c r="F576" s="34"/>
      <c r="G576" s="188"/>
      <c r="H576" s="34"/>
      <c r="I576" s="34"/>
      <c r="J576" s="34"/>
      <c r="K576" s="44"/>
      <c r="L576" s="105"/>
      <c r="M576" s="34"/>
      <c r="N576" s="34"/>
      <c r="O576" s="34"/>
    </row>
    <row r="577" spans="1:15" ht="12.75">
      <c r="A577" s="34"/>
      <c r="B577" s="34"/>
      <c r="C577" s="34"/>
      <c r="D577" s="188"/>
      <c r="E577" s="188"/>
      <c r="F577" s="34"/>
      <c r="G577" s="188"/>
      <c r="H577" s="34"/>
      <c r="I577" s="34"/>
      <c r="J577" s="34"/>
      <c r="K577" s="44"/>
      <c r="L577" s="105"/>
      <c r="M577" s="34"/>
      <c r="N577" s="34"/>
      <c r="O577" s="34"/>
    </row>
    <row r="578" spans="1:15" ht="12.75">
      <c r="A578" s="34"/>
      <c r="B578" s="34"/>
      <c r="C578" s="34"/>
      <c r="D578" s="188"/>
      <c r="E578" s="188"/>
      <c r="F578" s="34"/>
      <c r="G578" s="188"/>
      <c r="H578" s="34"/>
      <c r="I578" s="34"/>
      <c r="J578" s="34"/>
      <c r="K578" s="44"/>
      <c r="L578" s="105"/>
      <c r="M578" s="34"/>
      <c r="N578" s="34"/>
      <c r="O578" s="34"/>
    </row>
    <row r="579" spans="1:15" ht="12.75">
      <c r="A579" s="34"/>
      <c r="B579" s="34"/>
      <c r="C579" s="34"/>
      <c r="D579" s="188"/>
      <c r="E579" s="188"/>
      <c r="F579" s="34"/>
      <c r="G579" s="188"/>
      <c r="H579" s="34"/>
      <c r="I579" s="34"/>
      <c r="J579" s="34"/>
      <c r="K579" s="44"/>
      <c r="L579" s="105"/>
      <c r="M579" s="34"/>
      <c r="N579" s="34"/>
      <c r="O579" s="34"/>
    </row>
    <row r="580" spans="1:15" ht="12.75">
      <c r="A580" s="34"/>
      <c r="B580" s="34"/>
      <c r="C580" s="34"/>
      <c r="D580" s="188"/>
      <c r="E580" s="188"/>
      <c r="F580" s="34"/>
      <c r="G580" s="188"/>
      <c r="H580" s="34"/>
      <c r="I580" s="34"/>
      <c r="J580" s="34"/>
      <c r="K580" s="44"/>
      <c r="L580" s="105"/>
      <c r="M580" s="34"/>
      <c r="N580" s="34"/>
      <c r="O580" s="34"/>
    </row>
    <row r="581" spans="1:15" ht="12.75">
      <c r="A581" s="34"/>
      <c r="B581" s="34"/>
      <c r="C581" s="34"/>
      <c r="D581" s="188"/>
      <c r="E581" s="188"/>
      <c r="F581" s="34"/>
      <c r="G581" s="188"/>
      <c r="H581" s="34"/>
      <c r="I581" s="34"/>
      <c r="J581" s="34"/>
      <c r="K581" s="44"/>
      <c r="L581" s="105"/>
      <c r="M581" s="34"/>
      <c r="N581" s="34"/>
      <c r="O581" s="34"/>
    </row>
    <row r="582" spans="1:15" ht="12.75">
      <c r="A582" s="34"/>
      <c r="B582" s="34"/>
      <c r="C582" s="34"/>
      <c r="D582" s="188"/>
      <c r="E582" s="188"/>
      <c r="F582" s="34"/>
      <c r="G582" s="188"/>
      <c r="H582" s="34"/>
      <c r="I582" s="34"/>
      <c r="J582" s="34"/>
      <c r="K582" s="44"/>
      <c r="L582" s="105"/>
      <c r="M582" s="34"/>
      <c r="N582" s="34"/>
      <c r="O582" s="34"/>
    </row>
    <row r="583" spans="1:15" ht="12.75">
      <c r="A583" s="34"/>
      <c r="B583" s="34"/>
      <c r="C583" s="34"/>
      <c r="D583" s="188"/>
      <c r="E583" s="188"/>
      <c r="F583" s="34"/>
      <c r="G583" s="188"/>
      <c r="H583" s="34"/>
      <c r="I583" s="34"/>
      <c r="J583" s="34"/>
      <c r="K583" s="44"/>
      <c r="L583" s="105"/>
      <c r="M583" s="34"/>
      <c r="N583" s="34"/>
      <c r="O583" s="34"/>
    </row>
    <row r="584" spans="1:15" ht="12.75">
      <c r="A584" s="34"/>
      <c r="B584" s="34"/>
      <c r="C584" s="34"/>
      <c r="D584" s="188"/>
      <c r="E584" s="188"/>
      <c r="F584" s="34"/>
      <c r="G584" s="188"/>
      <c r="H584" s="34"/>
      <c r="I584" s="34"/>
      <c r="J584" s="34"/>
      <c r="K584" s="44"/>
      <c r="L584" s="105"/>
      <c r="M584" s="34"/>
      <c r="N584" s="34"/>
      <c r="O584" s="34"/>
    </row>
    <row r="585" spans="1:15" ht="12.75">
      <c r="A585" s="34"/>
      <c r="B585" s="34"/>
      <c r="C585" s="34"/>
      <c r="D585" s="188"/>
      <c r="E585" s="188"/>
      <c r="F585" s="34"/>
      <c r="G585" s="188"/>
      <c r="H585" s="34"/>
      <c r="I585" s="34"/>
      <c r="J585" s="34"/>
      <c r="K585" s="44"/>
      <c r="L585" s="105"/>
      <c r="M585" s="34"/>
      <c r="N585" s="34"/>
      <c r="O585" s="34"/>
    </row>
    <row r="586" spans="1:15" ht="12.75">
      <c r="A586" s="34"/>
      <c r="B586" s="34"/>
      <c r="C586" s="34"/>
      <c r="D586" s="188"/>
      <c r="E586" s="188"/>
      <c r="F586" s="34"/>
      <c r="G586" s="188"/>
      <c r="H586" s="34"/>
      <c r="I586" s="34"/>
      <c r="J586" s="34"/>
      <c r="K586" s="44"/>
      <c r="L586" s="105"/>
      <c r="M586" s="34"/>
      <c r="N586" s="34"/>
      <c r="O586" s="34"/>
    </row>
    <row r="587" spans="1:15" ht="12.75">
      <c r="A587" s="34"/>
      <c r="B587" s="34"/>
      <c r="C587" s="34"/>
      <c r="D587" s="188"/>
      <c r="E587" s="188"/>
      <c r="F587" s="34"/>
      <c r="G587" s="188"/>
      <c r="H587" s="34"/>
      <c r="I587" s="34"/>
      <c r="J587" s="34"/>
      <c r="K587" s="44"/>
      <c r="L587" s="105"/>
      <c r="M587" s="34"/>
      <c r="N587" s="34"/>
      <c r="O587" s="34"/>
    </row>
    <row r="588" spans="1:15" ht="12.75">
      <c r="A588" s="34"/>
      <c r="B588" s="34"/>
      <c r="C588" s="34"/>
      <c r="D588" s="188"/>
      <c r="E588" s="188"/>
      <c r="F588" s="34"/>
      <c r="G588" s="188"/>
      <c r="H588" s="34"/>
      <c r="I588" s="34"/>
      <c r="J588" s="34"/>
      <c r="K588" s="44"/>
      <c r="L588" s="105"/>
      <c r="M588" s="34"/>
      <c r="N588" s="34"/>
      <c r="O588" s="34"/>
    </row>
    <row r="589" spans="1:15" ht="12.75">
      <c r="A589" s="34"/>
      <c r="B589" s="34"/>
      <c r="C589" s="34"/>
      <c r="D589" s="188"/>
      <c r="E589" s="188"/>
      <c r="F589" s="34"/>
      <c r="G589" s="188"/>
      <c r="H589" s="34"/>
      <c r="I589" s="34"/>
      <c r="J589" s="34"/>
      <c r="K589" s="44"/>
      <c r="L589" s="105"/>
      <c r="M589" s="34"/>
      <c r="N589" s="34"/>
      <c r="O589" s="34"/>
    </row>
    <row r="590" spans="1:15" ht="12.75">
      <c r="A590" s="34"/>
      <c r="B590" s="34"/>
      <c r="C590" s="34"/>
      <c r="D590" s="188"/>
      <c r="E590" s="188"/>
      <c r="F590" s="34"/>
      <c r="G590" s="188"/>
      <c r="H590" s="34"/>
      <c r="I590" s="34"/>
      <c r="J590" s="34"/>
      <c r="K590" s="44"/>
      <c r="L590" s="105"/>
      <c r="M590" s="34"/>
      <c r="N590" s="34"/>
      <c r="O590" s="34"/>
    </row>
    <row r="591" spans="1:15" ht="12.75">
      <c r="A591" s="34"/>
      <c r="B591" s="34"/>
      <c r="C591" s="34"/>
      <c r="D591" s="188"/>
      <c r="E591" s="188"/>
      <c r="F591" s="34"/>
      <c r="G591" s="188"/>
      <c r="H591" s="34"/>
      <c r="I591" s="34"/>
      <c r="J591" s="34"/>
      <c r="K591" s="44"/>
      <c r="L591" s="105"/>
      <c r="M591" s="34"/>
      <c r="N591" s="34"/>
      <c r="O591" s="34"/>
    </row>
    <row r="592" spans="1:15" ht="12.75">
      <c r="A592" s="34"/>
      <c r="B592" s="34"/>
      <c r="C592" s="34"/>
      <c r="D592" s="188"/>
      <c r="E592" s="188"/>
      <c r="F592" s="34"/>
      <c r="G592" s="188"/>
      <c r="H592" s="34"/>
      <c r="I592" s="34"/>
      <c r="J592" s="34"/>
      <c r="K592" s="44"/>
      <c r="L592" s="105"/>
      <c r="M592" s="34"/>
      <c r="N592" s="34"/>
      <c r="O592" s="34"/>
    </row>
    <row r="593" spans="1:15" ht="12.75">
      <c r="A593" s="34"/>
      <c r="B593" s="34"/>
      <c r="C593" s="34"/>
      <c r="D593" s="188"/>
      <c r="E593" s="188"/>
      <c r="F593" s="34"/>
      <c r="G593" s="188"/>
      <c r="H593" s="34"/>
      <c r="I593" s="34"/>
      <c r="J593" s="34"/>
      <c r="K593" s="44"/>
      <c r="L593" s="105"/>
      <c r="M593" s="34"/>
      <c r="N593" s="34"/>
      <c r="O593" s="34"/>
    </row>
    <row r="594" spans="1:15" ht="12.75">
      <c r="A594" s="34"/>
      <c r="B594" s="34"/>
      <c r="C594" s="34"/>
      <c r="D594" s="188"/>
      <c r="E594" s="188"/>
      <c r="F594" s="34"/>
      <c r="G594" s="188"/>
      <c r="H594" s="34"/>
      <c r="I594" s="34"/>
      <c r="J594" s="34"/>
      <c r="K594" s="44"/>
      <c r="L594" s="105"/>
      <c r="M594" s="34"/>
      <c r="N594" s="34"/>
      <c r="O594" s="34"/>
    </row>
    <row r="595" spans="1:15" ht="12.75">
      <c r="A595" s="34"/>
      <c r="B595" s="34"/>
      <c r="C595" s="34"/>
      <c r="D595" s="188"/>
      <c r="E595" s="188"/>
      <c r="F595" s="34"/>
      <c r="G595" s="188"/>
      <c r="H595" s="34"/>
      <c r="I595" s="34"/>
      <c r="J595" s="34"/>
      <c r="K595" s="44"/>
      <c r="L595" s="105"/>
      <c r="M595" s="34"/>
      <c r="N595" s="34"/>
      <c r="O595" s="34"/>
    </row>
    <row r="596" spans="1:15" ht="12.75">
      <c r="A596" s="34"/>
      <c r="B596" s="34"/>
      <c r="C596" s="34"/>
      <c r="D596" s="188"/>
      <c r="E596" s="188"/>
      <c r="F596" s="34"/>
      <c r="G596" s="188"/>
      <c r="H596" s="34"/>
      <c r="I596" s="34"/>
      <c r="J596" s="34"/>
      <c r="K596" s="44"/>
      <c r="L596" s="105"/>
      <c r="M596" s="34"/>
      <c r="N596" s="34"/>
      <c r="O596" s="34"/>
    </row>
    <row r="597" spans="1:15" ht="12.75">
      <c r="A597" s="34"/>
      <c r="B597" s="34"/>
      <c r="C597" s="34"/>
      <c r="D597" s="188"/>
      <c r="E597" s="188"/>
      <c r="F597" s="34"/>
      <c r="G597" s="188"/>
      <c r="H597" s="34"/>
      <c r="I597" s="34"/>
      <c r="J597" s="34"/>
      <c r="K597" s="44"/>
      <c r="L597" s="105"/>
      <c r="M597" s="34"/>
      <c r="N597" s="34"/>
      <c r="O597" s="34"/>
    </row>
    <row r="598" spans="1:15" ht="12.75">
      <c r="A598" s="34"/>
      <c r="B598" s="34"/>
      <c r="C598" s="34"/>
      <c r="D598" s="188"/>
      <c r="E598" s="188"/>
      <c r="F598" s="34"/>
      <c r="G598" s="188"/>
      <c r="H598" s="34"/>
      <c r="I598" s="34"/>
      <c r="J598" s="34"/>
      <c r="K598" s="44"/>
      <c r="L598" s="105"/>
      <c r="M598" s="34"/>
      <c r="N598" s="34"/>
      <c r="O598" s="34"/>
    </row>
    <row r="599" spans="1:15" ht="12.75">
      <c r="A599" s="34"/>
      <c r="B599" s="34"/>
      <c r="C599" s="34"/>
      <c r="D599" s="188"/>
      <c r="E599" s="188"/>
      <c r="F599" s="34"/>
      <c r="G599" s="188"/>
      <c r="H599" s="34"/>
      <c r="I599" s="34"/>
      <c r="J599" s="34"/>
      <c r="K599" s="44"/>
      <c r="L599" s="105"/>
      <c r="M599" s="34"/>
      <c r="N599" s="34"/>
      <c r="O599" s="34"/>
    </row>
    <row r="600" spans="1:15" ht="12.75">
      <c r="A600" s="34"/>
      <c r="B600" s="34"/>
      <c r="C600" s="34"/>
      <c r="D600" s="188"/>
      <c r="E600" s="188"/>
      <c r="F600" s="34"/>
      <c r="G600" s="188"/>
      <c r="H600" s="34"/>
      <c r="I600" s="34"/>
      <c r="J600" s="34"/>
      <c r="K600" s="44"/>
      <c r="L600" s="105"/>
      <c r="M600" s="34"/>
      <c r="N600" s="34"/>
      <c r="O600" s="34"/>
    </row>
    <row r="601" spans="1:15" ht="12.75">
      <c r="A601" s="34"/>
      <c r="B601" s="34"/>
      <c r="C601" s="34"/>
      <c r="D601" s="188"/>
      <c r="E601" s="188"/>
      <c r="F601" s="34"/>
      <c r="G601" s="188"/>
      <c r="H601" s="34"/>
      <c r="I601" s="34"/>
      <c r="J601" s="34"/>
      <c r="K601" s="44"/>
      <c r="L601" s="105"/>
      <c r="M601" s="34"/>
      <c r="N601" s="34"/>
      <c r="O601" s="34"/>
    </row>
    <row r="602" spans="1:15" ht="12.75">
      <c r="A602" s="34"/>
      <c r="B602" s="34"/>
      <c r="C602" s="34"/>
      <c r="D602" s="188"/>
      <c r="E602" s="188"/>
      <c r="F602" s="34"/>
      <c r="G602" s="188"/>
      <c r="H602" s="34"/>
      <c r="I602" s="34"/>
      <c r="J602" s="34"/>
      <c r="K602" s="44"/>
      <c r="L602" s="105"/>
      <c r="M602" s="34"/>
      <c r="N602" s="34"/>
      <c r="O602" s="34"/>
    </row>
    <row r="603" spans="1:15" ht="12.75">
      <c r="A603" s="34"/>
      <c r="B603" s="34"/>
      <c r="C603" s="34"/>
      <c r="D603" s="188"/>
      <c r="E603" s="188"/>
      <c r="F603" s="34"/>
      <c r="G603" s="188"/>
      <c r="H603" s="34"/>
      <c r="I603" s="34"/>
      <c r="J603" s="34"/>
      <c r="K603" s="44"/>
      <c r="L603" s="105"/>
      <c r="M603" s="34"/>
      <c r="N603" s="34"/>
      <c r="O603" s="34"/>
    </row>
    <row r="604" spans="1:15" ht="12.75">
      <c r="A604" s="34"/>
      <c r="B604" s="34"/>
      <c r="C604" s="34"/>
      <c r="D604" s="188"/>
      <c r="E604" s="188"/>
      <c r="F604" s="34"/>
      <c r="G604" s="188"/>
      <c r="H604" s="34"/>
      <c r="I604" s="34"/>
      <c r="J604" s="34"/>
      <c r="K604" s="44"/>
      <c r="L604" s="105"/>
      <c r="M604" s="34"/>
      <c r="N604" s="34"/>
      <c r="O604" s="34"/>
    </row>
    <row r="605" spans="1:15" ht="12.75">
      <c r="A605" s="34"/>
      <c r="B605" s="34"/>
      <c r="C605" s="34"/>
      <c r="D605" s="188"/>
      <c r="E605" s="188"/>
      <c r="F605" s="34"/>
      <c r="G605" s="188"/>
      <c r="H605" s="34"/>
      <c r="I605" s="34"/>
      <c r="J605" s="34"/>
      <c r="K605" s="44"/>
      <c r="L605" s="105"/>
      <c r="M605" s="34"/>
      <c r="N605" s="34"/>
      <c r="O605" s="34"/>
    </row>
    <row r="606" spans="1:15" ht="12.75">
      <c r="A606" s="34"/>
      <c r="B606" s="34"/>
      <c r="C606" s="34"/>
      <c r="D606" s="188"/>
      <c r="E606" s="188"/>
      <c r="F606" s="34"/>
      <c r="G606" s="188"/>
      <c r="H606" s="34"/>
      <c r="I606" s="34"/>
      <c r="J606" s="34"/>
      <c r="K606" s="44"/>
      <c r="L606" s="105"/>
      <c r="M606" s="34"/>
      <c r="N606" s="34"/>
      <c r="O606" s="34"/>
    </row>
    <row r="607" spans="1:15" ht="12.75">
      <c r="A607" s="34"/>
      <c r="B607" s="34"/>
      <c r="C607" s="34"/>
      <c r="D607" s="188"/>
      <c r="E607" s="188"/>
      <c r="F607" s="34"/>
      <c r="G607" s="188"/>
      <c r="H607" s="34"/>
      <c r="I607" s="34"/>
      <c r="J607" s="34"/>
      <c r="K607" s="44"/>
      <c r="L607" s="105"/>
      <c r="M607" s="34"/>
      <c r="N607" s="34"/>
      <c r="O607" s="34"/>
    </row>
    <row r="608" spans="1:15" ht="12.75">
      <c r="A608" s="34"/>
      <c r="B608" s="34"/>
      <c r="C608" s="34"/>
      <c r="D608" s="188"/>
      <c r="E608" s="188"/>
      <c r="F608" s="34"/>
      <c r="G608" s="188"/>
      <c r="H608" s="34"/>
      <c r="I608" s="34"/>
      <c r="J608" s="34"/>
      <c r="K608" s="44"/>
      <c r="L608" s="105"/>
      <c r="M608" s="34"/>
      <c r="N608" s="34"/>
      <c r="O608" s="34"/>
    </row>
    <row r="609" spans="1:15" ht="12.75">
      <c r="A609" s="34"/>
      <c r="B609" s="34"/>
      <c r="C609" s="34"/>
      <c r="D609" s="188"/>
      <c r="E609" s="188"/>
      <c r="F609" s="34"/>
      <c r="G609" s="188"/>
      <c r="H609" s="34"/>
      <c r="I609" s="34"/>
      <c r="J609" s="34"/>
      <c r="K609" s="44"/>
      <c r="L609" s="105"/>
      <c r="M609" s="34"/>
      <c r="N609" s="34"/>
      <c r="O609" s="34"/>
    </row>
    <row r="610" spans="1:15" ht="12.75">
      <c r="A610" s="34"/>
      <c r="B610" s="34"/>
      <c r="C610" s="34"/>
      <c r="D610" s="188"/>
      <c r="E610" s="188"/>
      <c r="F610" s="34"/>
      <c r="G610" s="188"/>
      <c r="H610" s="34"/>
      <c r="I610" s="34"/>
      <c r="J610" s="34"/>
      <c r="K610" s="44"/>
      <c r="L610" s="105"/>
      <c r="M610" s="34"/>
      <c r="N610" s="34"/>
      <c r="O610" s="34"/>
    </row>
    <row r="611" spans="1:15" ht="12.75">
      <c r="A611" s="34"/>
      <c r="B611" s="34"/>
      <c r="C611" s="34"/>
      <c r="D611" s="188"/>
      <c r="E611" s="188"/>
      <c r="F611" s="34"/>
      <c r="G611" s="188"/>
      <c r="H611" s="34"/>
      <c r="I611" s="34"/>
      <c r="J611" s="34"/>
      <c r="K611" s="44"/>
      <c r="L611" s="105"/>
      <c r="M611" s="34"/>
      <c r="N611" s="34"/>
      <c r="O611" s="34"/>
    </row>
    <row r="612" spans="1:15" ht="12.75">
      <c r="A612" s="34"/>
      <c r="B612" s="34"/>
      <c r="C612" s="34"/>
      <c r="D612" s="188"/>
      <c r="E612" s="188"/>
      <c r="F612" s="34"/>
      <c r="G612" s="188"/>
      <c r="H612" s="34"/>
      <c r="I612" s="34"/>
      <c r="J612" s="34"/>
      <c r="K612" s="44"/>
      <c r="L612" s="105"/>
      <c r="M612" s="34"/>
      <c r="N612" s="34"/>
      <c r="O612" s="34"/>
    </row>
    <row r="613" spans="1:15" ht="12.75">
      <c r="A613" s="34"/>
      <c r="B613" s="34"/>
      <c r="C613" s="34"/>
      <c r="D613" s="188"/>
      <c r="E613" s="188"/>
      <c r="F613" s="34"/>
      <c r="G613" s="188"/>
      <c r="H613" s="34"/>
      <c r="I613" s="34"/>
      <c r="J613" s="34"/>
      <c r="K613" s="44"/>
      <c r="L613" s="105"/>
      <c r="M613" s="34"/>
      <c r="N613" s="34"/>
      <c r="O613" s="34"/>
    </row>
    <row r="614" spans="1:15" ht="12.75">
      <c r="A614" s="34"/>
      <c r="B614" s="34"/>
      <c r="C614" s="34"/>
      <c r="D614" s="188"/>
      <c r="E614" s="188"/>
      <c r="F614" s="34"/>
      <c r="G614" s="188"/>
      <c r="H614" s="34"/>
      <c r="I614" s="34"/>
      <c r="J614" s="34"/>
      <c r="K614" s="44"/>
      <c r="L614" s="105"/>
      <c r="M614" s="34"/>
      <c r="N614" s="34"/>
      <c r="O614" s="34"/>
    </row>
    <row r="615" spans="1:15" ht="12.75">
      <c r="A615" s="34"/>
      <c r="B615" s="34"/>
      <c r="C615" s="34"/>
      <c r="D615" s="188"/>
      <c r="E615" s="188"/>
      <c r="F615" s="34"/>
      <c r="G615" s="188"/>
      <c r="H615" s="34"/>
      <c r="I615" s="34"/>
      <c r="J615" s="34"/>
      <c r="K615" s="44"/>
      <c r="L615" s="105"/>
      <c r="M615" s="34"/>
      <c r="N615" s="34"/>
      <c r="O615" s="34"/>
    </row>
    <row r="616" spans="1:15" ht="12.75">
      <c r="A616" s="34"/>
      <c r="B616" s="34"/>
      <c r="C616" s="34"/>
      <c r="D616" s="188"/>
      <c r="E616" s="188"/>
      <c r="F616" s="34"/>
      <c r="G616" s="188"/>
      <c r="H616" s="34"/>
      <c r="I616" s="34"/>
      <c r="J616" s="34"/>
      <c r="K616" s="44"/>
      <c r="L616" s="105"/>
      <c r="M616" s="34"/>
      <c r="N616" s="34"/>
      <c r="O616" s="34"/>
    </row>
    <row r="617" spans="1:15" ht="12.75">
      <c r="A617" s="34"/>
      <c r="B617" s="34"/>
      <c r="C617" s="34"/>
      <c r="D617" s="188"/>
      <c r="E617" s="188"/>
      <c r="F617" s="34"/>
      <c r="G617" s="188"/>
      <c r="H617" s="34"/>
      <c r="I617" s="34"/>
      <c r="J617" s="34"/>
      <c r="K617" s="44"/>
      <c r="L617" s="105"/>
      <c r="M617" s="34"/>
      <c r="N617" s="34"/>
      <c r="O617" s="34"/>
    </row>
    <row r="618" spans="1:15" ht="12.75">
      <c r="A618" s="34"/>
      <c r="B618" s="34"/>
      <c r="C618" s="34"/>
      <c r="D618" s="188"/>
      <c r="E618" s="188"/>
      <c r="F618" s="34"/>
      <c r="G618" s="188"/>
      <c r="H618" s="34"/>
      <c r="I618" s="34"/>
      <c r="J618" s="34"/>
      <c r="K618" s="44"/>
      <c r="L618" s="105"/>
      <c r="M618" s="34"/>
      <c r="N618" s="34"/>
      <c r="O618" s="34"/>
    </row>
    <row r="619" spans="1:15" ht="12.75">
      <c r="A619" s="34"/>
      <c r="B619" s="34"/>
      <c r="C619" s="34"/>
      <c r="D619" s="188"/>
      <c r="E619" s="188"/>
      <c r="F619" s="34"/>
      <c r="G619" s="188"/>
      <c r="H619" s="34"/>
      <c r="I619" s="34"/>
      <c r="J619" s="34"/>
      <c r="K619" s="44"/>
      <c r="L619" s="105"/>
      <c r="M619" s="34"/>
      <c r="N619" s="34"/>
      <c r="O619" s="34"/>
    </row>
    <row r="620" spans="1:15" ht="12.75">
      <c r="A620" s="34"/>
      <c r="B620" s="34"/>
      <c r="C620" s="34"/>
      <c r="D620" s="188"/>
      <c r="E620" s="188"/>
      <c r="F620" s="34"/>
      <c r="G620" s="188"/>
      <c r="H620" s="34"/>
      <c r="I620" s="34"/>
      <c r="J620" s="34"/>
      <c r="K620" s="44"/>
      <c r="L620" s="105"/>
      <c r="M620" s="34"/>
      <c r="N620" s="34"/>
      <c r="O620" s="34"/>
    </row>
    <row r="621" spans="1:15" ht="12.75">
      <c r="A621" s="34"/>
      <c r="B621" s="34"/>
      <c r="C621" s="34"/>
      <c r="D621" s="188"/>
      <c r="E621" s="188"/>
      <c r="F621" s="34"/>
      <c r="G621" s="188"/>
      <c r="H621" s="34"/>
      <c r="I621" s="34"/>
      <c r="J621" s="34"/>
      <c r="K621" s="44"/>
      <c r="L621" s="105"/>
      <c r="M621" s="34"/>
      <c r="N621" s="34"/>
      <c r="O621" s="34"/>
    </row>
    <row r="622" spans="1:15" ht="12.75">
      <c r="A622" s="34"/>
      <c r="B622" s="34"/>
      <c r="C622" s="34"/>
      <c r="D622" s="188"/>
      <c r="E622" s="188"/>
      <c r="F622" s="34"/>
      <c r="G622" s="188"/>
      <c r="H622" s="34"/>
      <c r="I622" s="34"/>
      <c r="J622" s="34"/>
      <c r="K622" s="44"/>
      <c r="L622" s="105"/>
      <c r="M622" s="34"/>
      <c r="N622" s="34"/>
      <c r="O622" s="34"/>
    </row>
    <row r="623" spans="1:15" ht="12.75">
      <c r="A623" s="34"/>
      <c r="B623" s="34"/>
      <c r="C623" s="34"/>
      <c r="D623" s="188"/>
      <c r="E623" s="188"/>
      <c r="F623" s="34"/>
      <c r="G623" s="188"/>
      <c r="H623" s="34"/>
      <c r="I623" s="34"/>
      <c r="J623" s="34"/>
      <c r="K623" s="44"/>
      <c r="L623" s="105"/>
      <c r="M623" s="34"/>
      <c r="N623" s="34"/>
      <c r="O623" s="34"/>
    </row>
    <row r="624" spans="1:15" ht="12.75">
      <c r="A624" s="34"/>
      <c r="B624" s="34"/>
      <c r="C624" s="34"/>
      <c r="D624" s="188"/>
      <c r="E624" s="188"/>
      <c r="F624" s="34"/>
      <c r="G624" s="188"/>
      <c r="H624" s="34"/>
      <c r="I624" s="34"/>
      <c r="J624" s="34"/>
      <c r="K624" s="44"/>
      <c r="L624" s="105"/>
      <c r="M624" s="34"/>
      <c r="N624" s="34"/>
      <c r="O624" s="34"/>
    </row>
    <row r="625" spans="1:15" ht="12.75">
      <c r="A625" s="34"/>
      <c r="B625" s="34"/>
      <c r="C625" s="34"/>
      <c r="D625" s="188"/>
      <c r="E625" s="188"/>
      <c r="F625" s="34"/>
      <c r="G625" s="188"/>
      <c r="H625" s="34"/>
      <c r="I625" s="34"/>
      <c r="J625" s="34"/>
      <c r="K625" s="44"/>
      <c r="L625" s="105"/>
      <c r="M625" s="34"/>
      <c r="N625" s="34"/>
      <c r="O625" s="34"/>
    </row>
    <row r="626" spans="1:15" ht="12.75">
      <c r="A626" s="34"/>
      <c r="B626" s="34"/>
      <c r="C626" s="34"/>
      <c r="D626" s="188"/>
      <c r="E626" s="188"/>
      <c r="F626" s="34"/>
      <c r="G626" s="188"/>
      <c r="H626" s="34"/>
      <c r="I626" s="34"/>
      <c r="J626" s="34"/>
      <c r="K626" s="44"/>
      <c r="L626" s="105"/>
      <c r="M626" s="34"/>
      <c r="N626" s="34"/>
      <c r="O626" s="34"/>
    </row>
    <row r="627" spans="1:15" ht="12.75">
      <c r="A627" s="34"/>
      <c r="B627" s="34"/>
      <c r="C627" s="34"/>
      <c r="D627" s="188"/>
      <c r="E627" s="188"/>
      <c r="F627" s="34"/>
      <c r="G627" s="188"/>
      <c r="H627" s="34"/>
      <c r="I627" s="34"/>
      <c r="J627" s="34"/>
      <c r="K627" s="44"/>
      <c r="L627" s="105"/>
      <c r="M627" s="34"/>
      <c r="N627" s="34"/>
      <c r="O627" s="34"/>
    </row>
    <row r="628" spans="1:15" ht="12.75">
      <c r="A628" s="34"/>
      <c r="B628" s="34"/>
      <c r="C628" s="34"/>
      <c r="D628" s="188"/>
      <c r="E628" s="188"/>
      <c r="F628" s="34"/>
      <c r="G628" s="188"/>
      <c r="H628" s="34"/>
      <c r="I628" s="34"/>
      <c r="J628" s="34"/>
      <c r="K628" s="44"/>
      <c r="L628" s="105"/>
      <c r="M628" s="34"/>
      <c r="N628" s="34"/>
      <c r="O628" s="34"/>
    </row>
    <row r="629" spans="1:15" ht="12.75">
      <c r="A629" s="34"/>
      <c r="B629" s="34"/>
      <c r="C629" s="34"/>
      <c r="D629" s="188"/>
      <c r="E629" s="188"/>
      <c r="F629" s="34"/>
      <c r="G629" s="188"/>
      <c r="H629" s="34"/>
      <c r="I629" s="34"/>
      <c r="J629" s="34"/>
      <c r="K629" s="44"/>
      <c r="L629" s="105"/>
      <c r="M629" s="34"/>
      <c r="N629" s="34"/>
      <c r="O629" s="34"/>
    </row>
    <row r="630" spans="1:15" ht="12.75">
      <c r="A630" s="34"/>
      <c r="B630" s="34"/>
      <c r="C630" s="34"/>
      <c r="D630" s="188"/>
      <c r="E630" s="188"/>
      <c r="F630" s="34"/>
      <c r="G630" s="188"/>
      <c r="H630" s="34"/>
      <c r="I630" s="34"/>
      <c r="J630" s="34"/>
      <c r="K630" s="44"/>
      <c r="L630" s="105"/>
      <c r="M630" s="34"/>
      <c r="N630" s="34"/>
      <c r="O630" s="34"/>
    </row>
    <row r="631" spans="1:15" ht="12.75">
      <c r="A631" s="34"/>
      <c r="B631" s="34"/>
      <c r="C631" s="34"/>
      <c r="D631" s="188"/>
      <c r="E631" s="188"/>
      <c r="F631" s="34"/>
      <c r="G631" s="188"/>
      <c r="H631" s="34"/>
      <c r="I631" s="34"/>
      <c r="J631" s="34"/>
      <c r="K631" s="44"/>
      <c r="L631" s="105"/>
      <c r="M631" s="34"/>
      <c r="N631" s="34"/>
      <c r="O631" s="34"/>
    </row>
    <row r="632" spans="1:15" ht="12.75">
      <c r="A632" s="34"/>
      <c r="B632" s="34"/>
      <c r="C632" s="34"/>
      <c r="D632" s="188"/>
      <c r="E632" s="188"/>
      <c r="F632" s="34"/>
      <c r="G632" s="188"/>
      <c r="H632" s="34"/>
      <c r="I632" s="34"/>
      <c r="J632" s="34"/>
      <c r="K632" s="44"/>
      <c r="L632" s="105"/>
      <c r="M632" s="34"/>
      <c r="N632" s="34"/>
      <c r="O632" s="34"/>
    </row>
    <row r="633" spans="1:15" ht="12.75">
      <c r="A633" s="34"/>
      <c r="B633" s="34"/>
      <c r="C633" s="34"/>
      <c r="D633" s="188"/>
      <c r="E633" s="188"/>
      <c r="F633" s="34"/>
      <c r="G633" s="188"/>
      <c r="H633" s="34"/>
      <c r="I633" s="34"/>
      <c r="J633" s="34"/>
      <c r="K633" s="44"/>
      <c r="L633" s="105"/>
      <c r="M633" s="34"/>
      <c r="N633" s="34"/>
      <c r="O633" s="34"/>
    </row>
    <row r="634" spans="1:15" ht="12.75">
      <c r="A634" s="34"/>
      <c r="B634" s="34"/>
      <c r="C634" s="34"/>
      <c r="D634" s="188"/>
      <c r="E634" s="188"/>
      <c r="F634" s="34"/>
      <c r="G634" s="188"/>
      <c r="H634" s="34"/>
      <c r="I634" s="34"/>
      <c r="J634" s="34"/>
      <c r="K634" s="44"/>
      <c r="L634" s="105"/>
      <c r="M634" s="34"/>
      <c r="N634" s="34"/>
      <c r="O634" s="34"/>
    </row>
    <row r="635" spans="1:15" ht="12.75">
      <c r="A635" s="34"/>
      <c r="B635" s="34"/>
      <c r="C635" s="34"/>
      <c r="D635" s="188"/>
      <c r="E635" s="188"/>
      <c r="F635" s="34"/>
      <c r="G635" s="188"/>
      <c r="H635" s="34"/>
      <c r="I635" s="34"/>
      <c r="J635" s="34"/>
      <c r="K635" s="44"/>
      <c r="L635" s="105"/>
      <c r="M635" s="34"/>
      <c r="N635" s="34"/>
      <c r="O635" s="34"/>
    </row>
    <row r="636" spans="1:15" ht="12.75">
      <c r="A636" s="34"/>
      <c r="B636" s="34"/>
      <c r="C636" s="34"/>
      <c r="D636" s="188"/>
      <c r="E636" s="188"/>
      <c r="F636" s="34"/>
      <c r="G636" s="188"/>
      <c r="H636" s="34"/>
      <c r="I636" s="34"/>
      <c r="J636" s="34"/>
      <c r="K636" s="44"/>
      <c r="L636" s="105"/>
      <c r="M636" s="34"/>
      <c r="N636" s="34"/>
      <c r="O636" s="34"/>
    </row>
    <row r="637" spans="1:15" ht="12.75">
      <c r="A637" s="34"/>
      <c r="B637" s="34"/>
      <c r="C637" s="34"/>
      <c r="D637" s="188"/>
      <c r="E637" s="188"/>
      <c r="F637" s="34"/>
      <c r="G637" s="188"/>
      <c r="H637" s="34"/>
      <c r="I637" s="34"/>
      <c r="J637" s="34"/>
      <c r="K637" s="44"/>
      <c r="L637" s="105"/>
      <c r="M637" s="34"/>
      <c r="N637" s="34"/>
      <c r="O637" s="34"/>
    </row>
    <row r="638" spans="1:15" ht="12.75">
      <c r="A638" s="34"/>
      <c r="B638" s="34"/>
      <c r="C638" s="34"/>
      <c r="D638" s="188"/>
      <c r="E638" s="188"/>
      <c r="F638" s="34"/>
      <c r="G638" s="188"/>
      <c r="H638" s="34"/>
      <c r="I638" s="34"/>
      <c r="J638" s="34"/>
      <c r="K638" s="44"/>
      <c r="L638" s="105"/>
      <c r="M638" s="34"/>
      <c r="N638" s="34"/>
      <c r="O638" s="34"/>
    </row>
    <row r="639" spans="1:15" ht="12.75">
      <c r="A639" s="34"/>
      <c r="B639" s="34"/>
      <c r="C639" s="34"/>
      <c r="D639" s="188"/>
      <c r="E639" s="188"/>
      <c r="F639" s="34"/>
      <c r="G639" s="188"/>
      <c r="H639" s="34"/>
      <c r="I639" s="34"/>
      <c r="J639" s="34"/>
      <c r="K639" s="44"/>
      <c r="L639" s="105"/>
      <c r="M639" s="34"/>
      <c r="N639" s="34"/>
      <c r="O639" s="34"/>
    </row>
    <row r="640" spans="1:15" ht="12.75">
      <c r="A640" s="34"/>
      <c r="B640" s="34"/>
      <c r="C640" s="34"/>
      <c r="D640" s="188"/>
      <c r="E640" s="188"/>
      <c r="F640" s="34"/>
      <c r="G640" s="188"/>
      <c r="H640" s="34"/>
      <c r="I640" s="34"/>
      <c r="J640" s="34"/>
      <c r="K640" s="44"/>
      <c r="L640" s="105"/>
      <c r="M640" s="34"/>
      <c r="N640" s="34"/>
      <c r="O640" s="34"/>
    </row>
    <row r="641" spans="1:15" ht="12.75">
      <c r="A641" s="34"/>
      <c r="B641" s="34"/>
      <c r="C641" s="34"/>
      <c r="D641" s="188"/>
      <c r="E641" s="188"/>
      <c r="F641" s="34"/>
      <c r="G641" s="188"/>
      <c r="H641" s="34"/>
      <c r="I641" s="34"/>
      <c r="J641" s="34"/>
      <c r="K641" s="44"/>
      <c r="L641" s="105"/>
      <c r="M641" s="34"/>
      <c r="N641" s="34"/>
      <c r="O641" s="34"/>
    </row>
    <row r="642" spans="1:15" ht="12.75">
      <c r="A642" s="34"/>
      <c r="B642" s="34"/>
      <c r="C642" s="34"/>
      <c r="D642" s="188"/>
      <c r="E642" s="188"/>
      <c r="F642" s="34"/>
      <c r="G642" s="188"/>
      <c r="H642" s="34"/>
      <c r="I642" s="34"/>
      <c r="J642" s="34"/>
      <c r="K642" s="44"/>
      <c r="L642" s="105"/>
      <c r="M642" s="34"/>
      <c r="N642" s="34"/>
      <c r="O642" s="34"/>
    </row>
    <row r="643" spans="1:15" ht="12.75">
      <c r="A643" s="34"/>
      <c r="B643" s="34"/>
      <c r="C643" s="34"/>
      <c r="D643" s="188"/>
      <c r="E643" s="188"/>
      <c r="F643" s="34"/>
      <c r="G643" s="188"/>
      <c r="H643" s="34"/>
      <c r="I643" s="34"/>
      <c r="J643" s="34"/>
      <c r="K643" s="44"/>
      <c r="L643" s="105"/>
      <c r="M643" s="34"/>
      <c r="N643" s="34"/>
      <c r="O643" s="34"/>
    </row>
    <row r="644" spans="1:15" ht="12.75">
      <c r="A644" s="34"/>
      <c r="B644" s="34"/>
      <c r="C644" s="34"/>
      <c r="D644" s="188"/>
      <c r="E644" s="188"/>
      <c r="F644" s="34"/>
      <c r="G644" s="188"/>
      <c r="H644" s="34"/>
      <c r="I644" s="34"/>
      <c r="J644" s="34"/>
      <c r="K644" s="44"/>
      <c r="L644" s="105"/>
      <c r="M644" s="34"/>
      <c r="N644" s="34"/>
      <c r="O644" s="34"/>
    </row>
    <row r="645" spans="1:15" ht="12.75">
      <c r="A645" s="34"/>
      <c r="B645" s="34"/>
      <c r="C645" s="34"/>
      <c r="D645" s="188"/>
      <c r="E645" s="188"/>
      <c r="F645" s="34"/>
      <c r="G645" s="188"/>
      <c r="H645" s="34"/>
      <c r="I645" s="34"/>
      <c r="J645" s="34"/>
      <c r="K645" s="44"/>
      <c r="L645" s="105"/>
      <c r="M645" s="34"/>
      <c r="N645" s="34"/>
      <c r="O645" s="34"/>
    </row>
    <row r="646" spans="1:15" ht="12.75">
      <c r="A646" s="34"/>
      <c r="B646" s="34"/>
      <c r="C646" s="34"/>
      <c r="D646" s="188"/>
      <c r="E646" s="188"/>
      <c r="F646" s="34"/>
      <c r="G646" s="188"/>
      <c r="H646" s="34"/>
      <c r="I646" s="34"/>
      <c r="J646" s="34"/>
      <c r="K646" s="44"/>
      <c r="L646" s="105"/>
      <c r="M646" s="34"/>
      <c r="N646" s="34"/>
      <c r="O646" s="34"/>
    </row>
    <row r="647" spans="1:15" ht="12.75">
      <c r="A647" s="34"/>
      <c r="B647" s="34"/>
      <c r="C647" s="34"/>
      <c r="D647" s="188"/>
      <c r="E647" s="188"/>
      <c r="F647" s="34"/>
      <c r="G647" s="188"/>
      <c r="H647" s="34"/>
      <c r="I647" s="34"/>
      <c r="J647" s="34"/>
      <c r="K647" s="44"/>
      <c r="L647" s="105"/>
      <c r="M647" s="34"/>
      <c r="N647" s="34"/>
      <c r="O647" s="34"/>
    </row>
    <row r="648" spans="1:15" ht="12.75">
      <c r="A648" s="34"/>
      <c r="B648" s="34"/>
      <c r="C648" s="34"/>
      <c r="D648" s="188"/>
      <c r="E648" s="188"/>
      <c r="F648" s="34"/>
      <c r="G648" s="188"/>
      <c r="H648" s="34"/>
      <c r="I648" s="34"/>
      <c r="J648" s="34"/>
      <c r="K648" s="44"/>
      <c r="L648" s="105"/>
      <c r="M648" s="34"/>
      <c r="N648" s="34"/>
      <c r="O648" s="34"/>
    </row>
    <row r="649" spans="1:15" ht="12.75">
      <c r="A649" s="34"/>
      <c r="B649" s="34"/>
      <c r="C649" s="34"/>
      <c r="D649" s="188"/>
      <c r="E649" s="188"/>
      <c r="F649" s="34"/>
      <c r="G649" s="188"/>
      <c r="H649" s="34"/>
      <c r="I649" s="34"/>
      <c r="J649" s="34"/>
      <c r="K649" s="44"/>
      <c r="L649" s="105"/>
      <c r="M649" s="34"/>
      <c r="N649" s="34"/>
      <c r="O649" s="34"/>
    </row>
    <row r="650" spans="1:15" ht="12.75">
      <c r="A650" s="34"/>
      <c r="B650" s="34"/>
      <c r="C650" s="34"/>
      <c r="D650" s="188"/>
      <c r="E650" s="188"/>
      <c r="F650" s="34"/>
      <c r="G650" s="188"/>
      <c r="H650" s="34"/>
      <c r="I650" s="34"/>
      <c r="J650" s="34"/>
      <c r="K650" s="44"/>
      <c r="L650" s="105"/>
      <c r="M650" s="34"/>
      <c r="N650" s="34"/>
      <c r="O650" s="34"/>
    </row>
    <row r="651" spans="1:15" ht="12.75">
      <c r="A651" s="34"/>
      <c r="B651" s="34"/>
      <c r="C651" s="34"/>
      <c r="D651" s="188"/>
      <c r="E651" s="188"/>
      <c r="F651" s="34"/>
      <c r="G651" s="188"/>
      <c r="H651" s="34"/>
      <c r="I651" s="34"/>
      <c r="J651" s="34"/>
      <c r="K651" s="44"/>
      <c r="L651" s="105"/>
      <c r="M651" s="34"/>
      <c r="N651" s="34"/>
      <c r="O651" s="34"/>
    </row>
    <row r="652" spans="1:15" ht="12.75">
      <c r="A652" s="34"/>
      <c r="B652" s="34"/>
      <c r="C652" s="34"/>
      <c r="D652" s="188"/>
      <c r="E652" s="188"/>
      <c r="F652" s="34"/>
      <c r="G652" s="188"/>
      <c r="H652" s="34"/>
      <c r="I652" s="34"/>
      <c r="J652" s="34"/>
      <c r="K652" s="44"/>
      <c r="L652" s="105"/>
      <c r="M652" s="34"/>
      <c r="N652" s="34"/>
      <c r="O652" s="34"/>
    </row>
    <row r="653" spans="1:15" ht="12.75">
      <c r="A653" s="34"/>
      <c r="B653" s="34"/>
      <c r="C653" s="34"/>
      <c r="D653" s="188"/>
      <c r="E653" s="188"/>
      <c r="F653" s="34"/>
      <c r="G653" s="188"/>
      <c r="H653" s="34"/>
      <c r="I653" s="34"/>
      <c r="J653" s="34"/>
      <c r="K653" s="44"/>
      <c r="L653" s="105"/>
      <c r="M653" s="34"/>
      <c r="N653" s="34"/>
      <c r="O653" s="34"/>
    </row>
    <row r="654" spans="1:15" ht="12.75">
      <c r="A654" s="34"/>
      <c r="B654" s="34"/>
      <c r="C654" s="34"/>
      <c r="D654" s="188"/>
      <c r="E654" s="188"/>
      <c r="F654" s="34"/>
      <c r="G654" s="188"/>
      <c r="H654" s="34"/>
      <c r="I654" s="34"/>
      <c r="J654" s="34"/>
      <c r="K654" s="44"/>
      <c r="L654" s="105"/>
      <c r="M654" s="34"/>
      <c r="N654" s="34"/>
      <c r="O654" s="34"/>
    </row>
    <row r="655" spans="1:15" ht="12.75">
      <c r="A655" s="34"/>
      <c r="B655" s="34"/>
      <c r="C655" s="34"/>
      <c r="D655" s="188"/>
      <c r="E655" s="188"/>
      <c r="F655" s="34"/>
      <c r="G655" s="188"/>
      <c r="H655" s="34"/>
      <c r="I655" s="34"/>
      <c r="J655" s="34"/>
      <c r="K655" s="44"/>
      <c r="L655" s="105"/>
      <c r="M655" s="34"/>
      <c r="N655" s="34"/>
      <c r="O655" s="34"/>
    </row>
    <row r="656" spans="1:15" ht="12.75">
      <c r="A656" s="34"/>
      <c r="B656" s="34"/>
      <c r="C656" s="34"/>
      <c r="D656" s="188"/>
      <c r="E656" s="188"/>
      <c r="F656" s="34"/>
      <c r="G656" s="188"/>
      <c r="H656" s="34"/>
      <c r="I656" s="34"/>
      <c r="J656" s="34"/>
      <c r="K656" s="44"/>
      <c r="L656" s="105"/>
      <c r="M656" s="34"/>
      <c r="N656" s="34"/>
      <c r="O656" s="34"/>
    </row>
    <row r="657" spans="1:15" ht="12.75">
      <c r="A657" s="34"/>
      <c r="B657" s="34"/>
      <c r="C657" s="34"/>
      <c r="D657" s="188"/>
      <c r="E657" s="188"/>
      <c r="F657" s="34"/>
      <c r="G657" s="188"/>
      <c r="H657" s="34"/>
      <c r="I657" s="34"/>
      <c r="J657" s="34"/>
      <c r="K657" s="44"/>
      <c r="L657" s="105"/>
      <c r="M657" s="34"/>
      <c r="N657" s="34"/>
      <c r="O657" s="34"/>
    </row>
    <row r="658" spans="1:15" ht="12.75">
      <c r="A658" s="34"/>
      <c r="B658" s="34"/>
      <c r="C658" s="34"/>
      <c r="D658" s="188"/>
      <c r="E658" s="188"/>
      <c r="F658" s="34"/>
      <c r="G658" s="188"/>
      <c r="H658" s="34"/>
      <c r="I658" s="34"/>
      <c r="J658" s="34"/>
      <c r="K658" s="44"/>
      <c r="L658" s="105"/>
      <c r="M658" s="34"/>
      <c r="N658" s="34"/>
      <c r="O658" s="34"/>
    </row>
    <row r="659" spans="1:15" ht="12.75">
      <c r="A659" s="34"/>
      <c r="B659" s="34"/>
      <c r="C659" s="34"/>
      <c r="D659" s="188"/>
      <c r="E659" s="188"/>
      <c r="F659" s="34"/>
      <c r="G659" s="188"/>
      <c r="H659" s="34"/>
      <c r="I659" s="34"/>
      <c r="J659" s="34"/>
      <c r="K659" s="44"/>
      <c r="L659" s="105"/>
      <c r="M659" s="34"/>
      <c r="N659" s="34"/>
      <c r="O659" s="34"/>
    </row>
    <row r="660" spans="1:15" ht="12.75">
      <c r="A660" s="34"/>
      <c r="B660" s="34"/>
      <c r="C660" s="34"/>
      <c r="D660" s="188"/>
      <c r="E660" s="188"/>
      <c r="F660" s="34"/>
      <c r="G660" s="188"/>
      <c r="H660" s="34"/>
      <c r="I660" s="34"/>
      <c r="J660" s="34"/>
      <c r="K660" s="44"/>
      <c r="L660" s="105"/>
      <c r="M660" s="34"/>
      <c r="N660" s="34"/>
      <c r="O660" s="34"/>
    </row>
    <row r="661" spans="1:15" ht="12.75">
      <c r="A661" s="34"/>
      <c r="B661" s="34"/>
      <c r="C661" s="34"/>
      <c r="D661" s="188"/>
      <c r="E661" s="188"/>
      <c r="F661" s="34"/>
      <c r="G661" s="188"/>
      <c r="H661" s="34"/>
      <c r="I661" s="34"/>
      <c r="J661" s="34"/>
      <c r="K661" s="44"/>
      <c r="L661" s="105"/>
      <c r="M661" s="34"/>
      <c r="N661" s="34"/>
      <c r="O661" s="34"/>
    </row>
    <row r="662" spans="1:15" ht="12.75">
      <c r="A662" s="34"/>
      <c r="B662" s="34"/>
      <c r="C662" s="34"/>
      <c r="D662" s="188"/>
      <c r="E662" s="188"/>
      <c r="F662" s="34"/>
      <c r="G662" s="188"/>
      <c r="H662" s="34"/>
      <c r="I662" s="34"/>
      <c r="J662" s="34"/>
      <c r="K662" s="44"/>
      <c r="L662" s="105"/>
      <c r="M662" s="34"/>
      <c r="N662" s="34"/>
      <c r="O662" s="34"/>
    </row>
    <row r="663" spans="1:15" ht="12.75">
      <c r="A663" s="34"/>
      <c r="B663" s="34"/>
      <c r="C663" s="34"/>
      <c r="D663" s="188"/>
      <c r="E663" s="188"/>
      <c r="F663" s="34"/>
      <c r="G663" s="188"/>
      <c r="H663" s="34"/>
      <c r="I663" s="34"/>
      <c r="J663" s="34"/>
      <c r="K663" s="44"/>
      <c r="L663" s="105"/>
      <c r="M663" s="34"/>
      <c r="N663" s="34"/>
      <c r="O663" s="34"/>
    </row>
    <row r="664" spans="1:15" ht="12.75">
      <c r="A664" s="34"/>
      <c r="B664" s="34"/>
      <c r="C664" s="34"/>
      <c r="D664" s="188"/>
      <c r="E664" s="188"/>
      <c r="F664" s="34"/>
      <c r="G664" s="188"/>
      <c r="H664" s="34"/>
      <c r="I664" s="34"/>
      <c r="J664" s="34"/>
      <c r="K664" s="44"/>
      <c r="L664" s="105"/>
      <c r="M664" s="34"/>
      <c r="N664" s="34"/>
      <c r="O664" s="34"/>
    </row>
    <row r="665" spans="1:15" ht="12.75">
      <c r="A665" s="34"/>
      <c r="B665" s="34"/>
      <c r="C665" s="34"/>
      <c r="D665" s="188"/>
      <c r="E665" s="188"/>
      <c r="F665" s="34"/>
      <c r="G665" s="188"/>
      <c r="H665" s="34"/>
      <c r="I665" s="34"/>
      <c r="J665" s="34"/>
      <c r="K665" s="44"/>
      <c r="L665" s="105"/>
      <c r="M665" s="34"/>
      <c r="N665" s="34"/>
      <c r="O665" s="34"/>
    </row>
    <row r="666" spans="1:15" ht="12.75">
      <c r="A666" s="34"/>
      <c r="B666" s="34"/>
      <c r="C666" s="34"/>
      <c r="D666" s="188"/>
      <c r="E666" s="188"/>
      <c r="F666" s="34"/>
      <c r="G666" s="188"/>
      <c r="H666" s="34"/>
      <c r="I666" s="34"/>
      <c r="J666" s="34"/>
      <c r="K666" s="44"/>
      <c r="L666" s="105"/>
      <c r="M666" s="34"/>
      <c r="N666" s="34"/>
      <c r="O666" s="34"/>
    </row>
    <row r="667" spans="1:15" ht="12.75">
      <c r="A667" s="34"/>
      <c r="B667" s="34"/>
      <c r="C667" s="34"/>
      <c r="D667" s="188"/>
      <c r="E667" s="188"/>
      <c r="F667" s="34"/>
      <c r="G667" s="188"/>
      <c r="H667" s="34"/>
      <c r="I667" s="34"/>
      <c r="J667" s="34"/>
      <c r="K667" s="44"/>
      <c r="L667" s="105"/>
      <c r="M667" s="34"/>
      <c r="N667" s="34"/>
      <c r="O667" s="34"/>
    </row>
    <row r="668" spans="1:15" ht="12.75">
      <c r="A668" s="34"/>
      <c r="B668" s="34"/>
      <c r="C668" s="34"/>
      <c r="D668" s="188"/>
      <c r="E668" s="188"/>
      <c r="F668" s="34"/>
      <c r="G668" s="188"/>
      <c r="H668" s="34"/>
      <c r="I668" s="34"/>
      <c r="J668" s="34"/>
      <c r="K668" s="44"/>
      <c r="L668" s="105"/>
      <c r="M668" s="34"/>
      <c r="N668" s="34"/>
      <c r="O668" s="34"/>
    </row>
    <row r="669" spans="1:15" ht="12.75">
      <c r="A669" s="34"/>
      <c r="B669" s="34"/>
      <c r="C669" s="34"/>
      <c r="D669" s="188"/>
      <c r="E669" s="188"/>
      <c r="F669" s="34"/>
      <c r="G669" s="188"/>
      <c r="H669" s="34"/>
      <c r="I669" s="34"/>
      <c r="J669" s="34"/>
      <c r="K669" s="44"/>
      <c r="L669" s="105"/>
      <c r="M669" s="34"/>
      <c r="N669" s="34"/>
      <c r="O669" s="34"/>
    </row>
    <row r="670" spans="1:15" ht="12.75">
      <c r="A670" s="34"/>
      <c r="B670" s="34"/>
      <c r="C670" s="34"/>
      <c r="D670" s="188"/>
      <c r="E670" s="188"/>
      <c r="F670" s="34"/>
      <c r="G670" s="188"/>
      <c r="H670" s="34"/>
      <c r="I670" s="34"/>
      <c r="J670" s="34"/>
      <c r="K670" s="44"/>
      <c r="L670" s="105"/>
      <c r="M670" s="34"/>
      <c r="N670" s="34"/>
      <c r="O670" s="34"/>
    </row>
    <row r="671" spans="1:15" ht="12.75">
      <c r="A671" s="34"/>
      <c r="B671" s="34"/>
      <c r="C671" s="34"/>
      <c r="D671" s="188"/>
      <c r="E671" s="188"/>
      <c r="F671" s="34"/>
      <c r="G671" s="188"/>
      <c r="H671" s="34"/>
      <c r="I671" s="34"/>
      <c r="J671" s="34"/>
      <c r="K671" s="44"/>
      <c r="L671" s="105"/>
      <c r="M671" s="34"/>
      <c r="N671" s="34"/>
      <c r="O671" s="34"/>
    </row>
    <row r="672" spans="1:15" ht="12.75">
      <c r="A672" s="34"/>
      <c r="B672" s="34"/>
      <c r="C672" s="34"/>
      <c r="D672" s="188"/>
      <c r="E672" s="188"/>
      <c r="F672" s="34"/>
      <c r="G672" s="188"/>
      <c r="H672" s="34"/>
      <c r="I672" s="34"/>
      <c r="J672" s="34"/>
      <c r="K672" s="44"/>
      <c r="L672" s="105"/>
      <c r="M672" s="34"/>
      <c r="N672" s="34"/>
      <c r="O672" s="34"/>
    </row>
    <row r="673" spans="1:15" ht="12.75">
      <c r="A673" s="34"/>
      <c r="B673" s="34"/>
      <c r="C673" s="34"/>
      <c r="D673" s="188"/>
      <c r="E673" s="188"/>
      <c r="F673" s="34"/>
      <c r="G673" s="188"/>
      <c r="H673" s="34"/>
      <c r="I673" s="34"/>
      <c r="J673" s="34"/>
      <c r="K673" s="44"/>
      <c r="L673" s="105"/>
      <c r="M673" s="34"/>
      <c r="N673" s="34"/>
      <c r="O673" s="34"/>
    </row>
    <row r="674" spans="1:15" ht="12.75">
      <c r="A674" s="34"/>
      <c r="B674" s="34"/>
      <c r="C674" s="34"/>
      <c r="D674" s="188"/>
      <c r="E674" s="188"/>
      <c r="F674" s="34"/>
      <c r="G674" s="188"/>
      <c r="H674" s="34"/>
      <c r="I674" s="34"/>
      <c r="J674" s="34"/>
      <c r="K674" s="44"/>
      <c r="L674" s="105"/>
      <c r="M674" s="34"/>
      <c r="N674" s="34"/>
      <c r="O674" s="34"/>
    </row>
    <row r="675" spans="1:15" ht="12.75">
      <c r="A675" s="34"/>
      <c r="B675" s="34"/>
      <c r="C675" s="34"/>
      <c r="D675" s="188"/>
      <c r="E675" s="188"/>
      <c r="F675" s="34"/>
      <c r="G675" s="188"/>
      <c r="H675" s="34"/>
      <c r="I675" s="34"/>
      <c r="J675" s="34"/>
      <c r="K675" s="44"/>
      <c r="L675" s="105"/>
      <c r="M675" s="34"/>
      <c r="N675" s="34"/>
      <c r="O675" s="34"/>
    </row>
    <row r="676" spans="1:15" ht="12.75">
      <c r="A676" s="34"/>
      <c r="B676" s="34"/>
      <c r="C676" s="34"/>
      <c r="D676" s="188"/>
      <c r="E676" s="188"/>
      <c r="F676" s="34"/>
      <c r="G676" s="188"/>
      <c r="H676" s="34"/>
      <c r="I676" s="34"/>
      <c r="J676" s="34"/>
      <c r="K676" s="44"/>
      <c r="L676" s="105"/>
      <c r="M676" s="34"/>
      <c r="N676" s="34"/>
      <c r="O676" s="34"/>
    </row>
    <row r="677" spans="1:15" ht="12.75">
      <c r="A677" s="34"/>
      <c r="B677" s="34"/>
      <c r="C677" s="34"/>
      <c r="D677" s="188"/>
      <c r="E677" s="188"/>
      <c r="F677" s="34"/>
      <c r="G677" s="188"/>
      <c r="H677" s="34"/>
      <c r="I677" s="34"/>
      <c r="J677" s="34"/>
      <c r="K677" s="44"/>
      <c r="L677" s="105"/>
      <c r="M677" s="34"/>
      <c r="N677" s="34"/>
      <c r="O677" s="34"/>
    </row>
    <row r="678" spans="1:15" ht="12.75">
      <c r="A678" s="34"/>
      <c r="B678" s="34"/>
      <c r="C678" s="34"/>
      <c r="D678" s="188"/>
      <c r="E678" s="188"/>
      <c r="F678" s="34"/>
      <c r="G678" s="188"/>
      <c r="H678" s="34"/>
      <c r="I678" s="34"/>
      <c r="J678" s="34"/>
      <c r="K678" s="44"/>
      <c r="L678" s="105"/>
      <c r="M678" s="34"/>
      <c r="N678" s="34"/>
      <c r="O678" s="34"/>
    </row>
    <row r="679" spans="1:15" ht="12.75">
      <c r="A679" s="34"/>
      <c r="B679" s="34"/>
      <c r="C679" s="34"/>
      <c r="D679" s="188"/>
      <c r="E679" s="188"/>
      <c r="F679" s="34"/>
      <c r="G679" s="188"/>
      <c r="H679" s="34"/>
      <c r="I679" s="34"/>
      <c r="J679" s="34"/>
      <c r="K679" s="44"/>
      <c r="L679" s="105"/>
      <c r="M679" s="34"/>
      <c r="N679" s="34"/>
      <c r="O679" s="34"/>
    </row>
    <row r="680" spans="1:15" ht="12.75">
      <c r="A680" s="34"/>
      <c r="B680" s="34"/>
      <c r="C680" s="34"/>
      <c r="D680" s="188"/>
      <c r="E680" s="188"/>
      <c r="F680" s="34"/>
      <c r="G680" s="188"/>
      <c r="H680" s="34"/>
      <c r="I680" s="34"/>
      <c r="J680" s="34"/>
      <c r="K680" s="44"/>
      <c r="L680" s="105"/>
      <c r="M680" s="34"/>
      <c r="N680" s="34"/>
      <c r="O680" s="34"/>
    </row>
    <row r="681" spans="1:15" ht="12.75">
      <c r="A681" s="34"/>
      <c r="B681" s="34"/>
      <c r="C681" s="34"/>
      <c r="D681" s="188"/>
      <c r="E681" s="188"/>
      <c r="F681" s="34"/>
      <c r="G681" s="188"/>
      <c r="H681" s="34"/>
      <c r="I681" s="34"/>
      <c r="J681" s="34"/>
      <c r="K681" s="44"/>
      <c r="L681" s="105"/>
      <c r="M681" s="34"/>
      <c r="N681" s="34"/>
      <c r="O681" s="34"/>
    </row>
    <row r="682" spans="1:15" ht="12.75">
      <c r="A682" s="34"/>
      <c r="B682" s="34"/>
      <c r="C682" s="34"/>
      <c r="D682" s="188"/>
      <c r="E682" s="188"/>
      <c r="F682" s="34"/>
      <c r="G682" s="188"/>
      <c r="H682" s="34"/>
      <c r="I682" s="34"/>
      <c r="J682" s="34"/>
      <c r="K682" s="44"/>
      <c r="L682" s="105"/>
      <c r="M682" s="34"/>
      <c r="N682" s="34"/>
      <c r="O682" s="34"/>
    </row>
    <row r="683" spans="1:15" ht="12.75">
      <c r="A683" s="34"/>
      <c r="B683" s="34"/>
      <c r="C683" s="34"/>
      <c r="D683" s="188"/>
      <c r="E683" s="188"/>
      <c r="F683" s="34"/>
      <c r="G683" s="188"/>
      <c r="H683" s="34"/>
      <c r="I683" s="34"/>
      <c r="J683" s="34"/>
      <c r="K683" s="44"/>
      <c r="L683" s="105"/>
      <c r="M683" s="34"/>
      <c r="N683" s="34"/>
      <c r="O683" s="34"/>
    </row>
    <row r="684" spans="1:15" ht="12.75">
      <c r="A684" s="34"/>
      <c r="B684" s="34"/>
      <c r="C684" s="34"/>
      <c r="D684" s="188"/>
      <c r="E684" s="188"/>
      <c r="F684" s="34"/>
      <c r="G684" s="188"/>
      <c r="H684" s="34"/>
      <c r="I684" s="34"/>
      <c r="J684" s="34"/>
      <c r="K684" s="44"/>
      <c r="L684" s="105"/>
      <c r="M684" s="34"/>
      <c r="N684" s="34"/>
      <c r="O684" s="34"/>
    </row>
    <row r="685" spans="1:15" ht="12.75">
      <c r="A685" s="34"/>
      <c r="B685" s="34"/>
      <c r="C685" s="34"/>
      <c r="D685" s="188"/>
      <c r="E685" s="188"/>
      <c r="F685" s="34"/>
      <c r="G685" s="188"/>
      <c r="H685" s="34"/>
      <c r="I685" s="34"/>
      <c r="J685" s="34"/>
      <c r="K685" s="44"/>
      <c r="L685" s="105"/>
      <c r="M685" s="34"/>
      <c r="N685" s="34"/>
      <c r="O685" s="34"/>
    </row>
    <row r="686" spans="1:15" ht="12.75">
      <c r="A686" s="34"/>
      <c r="B686" s="34"/>
      <c r="C686" s="34"/>
      <c r="D686" s="188"/>
      <c r="E686" s="188"/>
      <c r="F686" s="34"/>
      <c r="G686" s="188"/>
      <c r="H686" s="34"/>
      <c r="I686" s="34"/>
      <c r="J686" s="34"/>
      <c r="K686" s="44"/>
      <c r="L686" s="105"/>
      <c r="M686" s="34"/>
      <c r="N686" s="34"/>
      <c r="O686" s="34"/>
    </row>
    <row r="687" spans="1:15" ht="12.75">
      <c r="A687" s="34"/>
      <c r="B687" s="34"/>
      <c r="C687" s="34"/>
      <c r="D687" s="188"/>
      <c r="E687" s="188"/>
      <c r="F687" s="34"/>
      <c r="G687" s="188"/>
      <c r="H687" s="34"/>
      <c r="I687" s="34"/>
      <c r="J687" s="34"/>
      <c r="K687" s="44"/>
      <c r="L687" s="105"/>
      <c r="M687" s="34"/>
      <c r="N687" s="34"/>
      <c r="O687" s="34"/>
    </row>
    <row r="688" spans="1:15" ht="12.75">
      <c r="A688" s="34"/>
      <c r="B688" s="34"/>
      <c r="C688" s="34"/>
      <c r="D688" s="188"/>
      <c r="E688" s="188"/>
      <c r="F688" s="34"/>
      <c r="G688" s="188"/>
      <c r="H688" s="34"/>
      <c r="I688" s="34"/>
      <c r="J688" s="34"/>
      <c r="K688" s="44"/>
      <c r="L688" s="105"/>
      <c r="M688" s="34"/>
      <c r="N688" s="34"/>
      <c r="O688" s="34"/>
    </row>
    <row r="689" spans="1:15" ht="12.75">
      <c r="A689" s="34"/>
      <c r="B689" s="34"/>
      <c r="C689" s="34"/>
      <c r="D689" s="188"/>
      <c r="E689" s="188"/>
      <c r="F689" s="34"/>
      <c r="G689" s="188"/>
      <c r="H689" s="34"/>
      <c r="I689" s="34"/>
      <c r="J689" s="34"/>
      <c r="K689" s="44"/>
      <c r="L689" s="105"/>
      <c r="M689" s="34"/>
      <c r="N689" s="34"/>
      <c r="O689" s="34"/>
    </row>
    <row r="690" spans="1:15" ht="12.75">
      <c r="A690" s="34"/>
      <c r="B690" s="34"/>
      <c r="C690" s="34"/>
      <c r="D690" s="188"/>
      <c r="E690" s="188"/>
      <c r="F690" s="34"/>
      <c r="G690" s="188"/>
      <c r="H690" s="34"/>
      <c r="I690" s="34"/>
      <c r="J690" s="34"/>
      <c r="K690" s="44"/>
      <c r="L690" s="105"/>
      <c r="M690" s="34"/>
      <c r="N690" s="34"/>
      <c r="O690" s="34"/>
    </row>
    <row r="691" spans="1:15" ht="12.75">
      <c r="A691" s="34"/>
      <c r="B691" s="34"/>
      <c r="C691" s="34"/>
      <c r="D691" s="188"/>
      <c r="E691" s="188"/>
      <c r="F691" s="34"/>
      <c r="G691" s="188"/>
      <c r="H691" s="34"/>
      <c r="I691" s="34"/>
      <c r="J691" s="34"/>
      <c r="K691" s="44"/>
      <c r="L691" s="105"/>
      <c r="M691" s="34"/>
      <c r="N691" s="34"/>
      <c r="O691" s="34"/>
    </row>
    <row r="692" spans="1:15" ht="12.75">
      <c r="A692" s="34"/>
      <c r="B692" s="34"/>
      <c r="C692" s="34"/>
      <c r="D692" s="188"/>
      <c r="E692" s="188"/>
      <c r="F692" s="34"/>
      <c r="G692" s="188"/>
      <c r="H692" s="34"/>
      <c r="I692" s="34"/>
      <c r="J692" s="34"/>
      <c r="K692" s="44"/>
      <c r="L692" s="105"/>
      <c r="M692" s="34"/>
      <c r="N692" s="34"/>
      <c r="O692" s="34"/>
    </row>
    <row r="693" spans="1:15" ht="12.75">
      <c r="A693" s="34"/>
      <c r="B693" s="34"/>
      <c r="C693" s="34"/>
      <c r="D693" s="188"/>
      <c r="E693" s="188"/>
      <c r="F693" s="34"/>
      <c r="G693" s="188"/>
      <c r="H693" s="34"/>
      <c r="I693" s="34"/>
      <c r="J693" s="34"/>
      <c r="K693" s="44"/>
      <c r="L693" s="105"/>
      <c r="M693" s="34"/>
      <c r="N693" s="34"/>
      <c r="O693" s="34"/>
    </row>
    <row r="694" spans="1:15" ht="12.75">
      <c r="A694" s="34"/>
      <c r="B694" s="34"/>
      <c r="C694" s="34"/>
      <c r="D694" s="188"/>
      <c r="E694" s="188"/>
      <c r="F694" s="34"/>
      <c r="G694" s="188"/>
      <c r="H694" s="34"/>
      <c r="I694" s="34"/>
      <c r="J694" s="34"/>
      <c r="K694" s="44"/>
      <c r="L694" s="105"/>
      <c r="M694" s="34"/>
      <c r="N694" s="34"/>
      <c r="O694" s="34"/>
    </row>
    <row r="695" spans="1:15" ht="12.75">
      <c r="A695" s="34"/>
      <c r="B695" s="34"/>
      <c r="C695" s="34"/>
      <c r="D695" s="188"/>
      <c r="E695" s="188"/>
      <c r="F695" s="34"/>
      <c r="G695" s="188"/>
      <c r="H695" s="34"/>
      <c r="I695" s="34"/>
      <c r="J695" s="34"/>
      <c r="K695" s="44"/>
      <c r="L695" s="105"/>
      <c r="M695" s="34"/>
      <c r="N695" s="34"/>
      <c r="O695" s="34"/>
    </row>
    <row r="696" spans="1:15" ht="12.75">
      <c r="A696" s="34"/>
      <c r="B696" s="34"/>
      <c r="C696" s="34"/>
      <c r="D696" s="188"/>
      <c r="E696" s="188"/>
      <c r="F696" s="34"/>
      <c r="G696" s="188"/>
      <c r="H696" s="34"/>
      <c r="I696" s="34"/>
      <c r="J696" s="34"/>
      <c r="K696" s="44"/>
      <c r="L696" s="105"/>
      <c r="M696" s="34"/>
      <c r="N696" s="34"/>
      <c r="O696" s="34"/>
    </row>
    <row r="697" spans="1:15" ht="12.75">
      <c r="A697" s="34"/>
      <c r="B697" s="34"/>
      <c r="C697" s="34"/>
      <c r="D697" s="188"/>
      <c r="E697" s="188"/>
      <c r="F697" s="34"/>
      <c r="G697" s="188"/>
      <c r="H697" s="34"/>
      <c r="I697" s="34"/>
      <c r="J697" s="34"/>
      <c r="K697" s="44"/>
      <c r="L697" s="105"/>
      <c r="M697" s="34"/>
      <c r="N697" s="34"/>
      <c r="O697" s="34"/>
    </row>
    <row r="698" spans="1:15" ht="12.75">
      <c r="A698" s="34"/>
      <c r="B698" s="34"/>
      <c r="C698" s="34"/>
      <c r="D698" s="188"/>
      <c r="E698" s="188"/>
      <c r="F698" s="34"/>
      <c r="G698" s="188"/>
      <c r="H698" s="34"/>
      <c r="I698" s="34"/>
      <c r="J698" s="34"/>
      <c r="K698" s="44"/>
      <c r="L698" s="105"/>
      <c r="M698" s="34"/>
      <c r="N698" s="34"/>
      <c r="O698" s="34"/>
    </row>
    <row r="699" spans="1:15" ht="12.75">
      <c r="A699" s="34"/>
      <c r="B699" s="34"/>
      <c r="C699" s="34"/>
      <c r="D699" s="188"/>
      <c r="E699" s="188"/>
      <c r="F699" s="34"/>
      <c r="G699" s="188"/>
      <c r="H699" s="34"/>
      <c r="I699" s="34"/>
      <c r="J699" s="34"/>
      <c r="K699" s="44"/>
      <c r="L699" s="105"/>
      <c r="M699" s="34"/>
      <c r="N699" s="34"/>
      <c r="O699" s="34"/>
    </row>
    <row r="700" spans="1:15" ht="12.75">
      <c r="A700" s="34"/>
      <c r="B700" s="34"/>
      <c r="C700" s="34"/>
      <c r="D700" s="188"/>
      <c r="E700" s="188"/>
      <c r="F700" s="34"/>
      <c r="G700" s="188"/>
      <c r="H700" s="34"/>
      <c r="I700" s="34"/>
      <c r="J700" s="34"/>
      <c r="K700" s="44"/>
      <c r="L700" s="105"/>
      <c r="M700" s="34"/>
      <c r="N700" s="34"/>
      <c r="O700" s="34"/>
    </row>
    <row r="701" spans="1:15" ht="12.75">
      <c r="A701" s="34"/>
      <c r="B701" s="34"/>
      <c r="C701" s="34"/>
      <c r="D701" s="188"/>
      <c r="E701" s="188"/>
      <c r="F701" s="34"/>
      <c r="G701" s="188"/>
      <c r="H701" s="34"/>
      <c r="I701" s="34"/>
      <c r="J701" s="34"/>
      <c r="K701" s="44"/>
      <c r="L701" s="105"/>
      <c r="M701" s="34"/>
      <c r="N701" s="34"/>
      <c r="O701" s="34"/>
    </row>
    <row r="702" spans="1:15" ht="12.75">
      <c r="A702" s="34"/>
      <c r="B702" s="34"/>
      <c r="C702" s="34"/>
      <c r="D702" s="188"/>
      <c r="E702" s="188"/>
      <c r="F702" s="34"/>
      <c r="G702" s="188"/>
      <c r="H702" s="34"/>
      <c r="I702" s="34"/>
      <c r="J702" s="34"/>
      <c r="K702" s="44"/>
      <c r="L702" s="105"/>
      <c r="M702" s="34"/>
      <c r="N702" s="34"/>
      <c r="O702" s="34"/>
    </row>
    <row r="703" spans="1:15" ht="12.75">
      <c r="A703" s="34"/>
      <c r="B703" s="34"/>
      <c r="C703" s="34"/>
      <c r="D703" s="188"/>
      <c r="E703" s="188"/>
      <c r="F703" s="34"/>
      <c r="G703" s="188"/>
      <c r="H703" s="34"/>
      <c r="I703" s="34"/>
      <c r="J703" s="34"/>
      <c r="K703" s="44"/>
      <c r="L703" s="105"/>
      <c r="M703" s="34"/>
      <c r="N703" s="34"/>
      <c r="O703" s="34"/>
    </row>
    <row r="704" spans="1:15" ht="12.75">
      <c r="A704" s="34"/>
      <c r="B704" s="34"/>
      <c r="C704" s="34"/>
      <c r="D704" s="188"/>
      <c r="E704" s="188"/>
      <c r="F704" s="34"/>
      <c r="G704" s="188"/>
      <c r="H704" s="34"/>
      <c r="I704" s="34"/>
      <c r="J704" s="34"/>
      <c r="K704" s="44"/>
      <c r="L704" s="105"/>
      <c r="M704" s="34"/>
      <c r="N704" s="34"/>
      <c r="O704" s="34"/>
    </row>
    <row r="705" spans="1:15" ht="12.75">
      <c r="A705" s="34"/>
      <c r="B705" s="34"/>
      <c r="C705" s="34"/>
      <c r="D705" s="188"/>
      <c r="E705" s="188"/>
      <c r="F705" s="34"/>
      <c r="G705" s="188"/>
      <c r="H705" s="34"/>
      <c r="I705" s="34"/>
      <c r="J705" s="34"/>
      <c r="K705" s="44"/>
      <c r="L705" s="105"/>
      <c r="M705" s="34"/>
      <c r="N705" s="34"/>
      <c r="O705" s="34"/>
    </row>
    <row r="706" spans="1:15" ht="12.75">
      <c r="A706" s="34"/>
      <c r="B706" s="34"/>
      <c r="C706" s="34"/>
      <c r="D706" s="188"/>
      <c r="E706" s="188"/>
      <c r="F706" s="34"/>
      <c r="G706" s="188"/>
      <c r="H706" s="34"/>
      <c r="I706" s="34"/>
      <c r="J706" s="34"/>
      <c r="K706" s="44"/>
      <c r="L706" s="105"/>
      <c r="M706" s="34"/>
      <c r="N706" s="34"/>
      <c r="O706" s="34"/>
    </row>
    <row r="707" spans="1:15" ht="12.75">
      <c r="A707" s="34"/>
      <c r="B707" s="34"/>
      <c r="C707" s="34"/>
      <c r="D707" s="188"/>
      <c r="E707" s="188"/>
      <c r="F707" s="34"/>
      <c r="G707" s="188"/>
      <c r="H707" s="34"/>
      <c r="I707" s="34"/>
      <c r="J707" s="34"/>
      <c r="K707" s="44"/>
      <c r="L707" s="105"/>
      <c r="M707" s="34"/>
      <c r="N707" s="34"/>
      <c r="O707" s="34"/>
    </row>
    <row r="708" spans="1:15" ht="12.75">
      <c r="A708" s="34"/>
      <c r="B708" s="34"/>
      <c r="C708" s="34"/>
      <c r="D708" s="188"/>
      <c r="E708" s="188"/>
      <c r="F708" s="34"/>
      <c r="G708" s="188"/>
      <c r="H708" s="34"/>
      <c r="I708" s="34"/>
      <c r="J708" s="34"/>
      <c r="K708" s="44"/>
      <c r="L708" s="105"/>
      <c r="M708" s="34"/>
      <c r="N708" s="34"/>
      <c r="O708" s="34"/>
    </row>
    <row r="709" spans="1:15" ht="12.75">
      <c r="A709" s="34"/>
      <c r="B709" s="34"/>
      <c r="C709" s="34"/>
      <c r="D709" s="188"/>
      <c r="E709" s="188"/>
      <c r="F709" s="34"/>
      <c r="G709" s="188"/>
      <c r="H709" s="34"/>
      <c r="I709" s="34"/>
      <c r="J709" s="34"/>
      <c r="K709" s="44"/>
      <c r="L709" s="105"/>
      <c r="M709" s="34"/>
      <c r="N709" s="34"/>
      <c r="O709" s="34"/>
    </row>
    <row r="710" spans="1:15" ht="12.75">
      <c r="A710" s="34"/>
      <c r="B710" s="34"/>
      <c r="C710" s="34"/>
      <c r="D710" s="188"/>
      <c r="E710" s="188"/>
      <c r="F710" s="34"/>
      <c r="G710" s="188"/>
      <c r="H710" s="34"/>
      <c r="I710" s="34"/>
      <c r="J710" s="34"/>
      <c r="K710" s="44"/>
      <c r="L710" s="105"/>
      <c r="M710" s="34"/>
      <c r="N710" s="34"/>
      <c r="O710" s="34"/>
    </row>
    <row r="711" spans="1:15" ht="12.75">
      <c r="A711" s="34"/>
      <c r="B711" s="34"/>
      <c r="C711" s="34"/>
      <c r="D711" s="188"/>
      <c r="E711" s="188"/>
      <c r="F711" s="34"/>
      <c r="G711" s="188"/>
      <c r="H711" s="34"/>
      <c r="I711" s="34"/>
      <c r="J711" s="34"/>
      <c r="K711" s="44"/>
      <c r="L711" s="105"/>
      <c r="M711" s="34"/>
      <c r="N711" s="34"/>
      <c r="O711" s="34"/>
    </row>
    <row r="712" spans="1:15" ht="12.75">
      <c r="A712" s="34"/>
      <c r="B712" s="34"/>
      <c r="C712" s="34"/>
      <c r="D712" s="188"/>
      <c r="E712" s="188"/>
      <c r="F712" s="34"/>
      <c r="G712" s="188"/>
      <c r="H712" s="34"/>
      <c r="I712" s="34"/>
      <c r="J712" s="34"/>
      <c r="K712" s="44"/>
      <c r="L712" s="105"/>
      <c r="M712" s="34"/>
      <c r="N712" s="34"/>
      <c r="O712" s="34"/>
    </row>
    <row r="713" spans="1:15" ht="12.75">
      <c r="A713" s="34"/>
      <c r="B713" s="34"/>
      <c r="C713" s="34"/>
      <c r="D713" s="188"/>
      <c r="E713" s="188"/>
      <c r="F713" s="34"/>
      <c r="G713" s="188"/>
      <c r="H713" s="34"/>
      <c r="I713" s="34"/>
      <c r="J713" s="34"/>
      <c r="K713" s="44"/>
      <c r="L713" s="105"/>
      <c r="M713" s="34"/>
      <c r="N713" s="34"/>
      <c r="O713" s="34"/>
    </row>
    <row r="714" spans="1:15" ht="12.75">
      <c r="A714" s="34"/>
      <c r="B714" s="34"/>
      <c r="C714" s="34"/>
      <c r="D714" s="188"/>
      <c r="E714" s="188"/>
      <c r="F714" s="34"/>
      <c r="G714" s="188"/>
      <c r="H714" s="34"/>
      <c r="I714" s="34"/>
      <c r="J714" s="34"/>
      <c r="K714" s="44"/>
      <c r="L714" s="105"/>
      <c r="M714" s="34"/>
      <c r="N714" s="34"/>
      <c r="O714" s="34"/>
    </row>
    <row r="715" spans="1:15" ht="12.75">
      <c r="A715" s="34"/>
      <c r="B715" s="34"/>
      <c r="C715" s="34"/>
      <c r="D715" s="188"/>
      <c r="E715" s="188"/>
      <c r="F715" s="34"/>
      <c r="G715" s="188"/>
      <c r="H715" s="34"/>
      <c r="I715" s="34"/>
      <c r="J715" s="34"/>
      <c r="K715" s="44"/>
      <c r="L715" s="105"/>
      <c r="M715" s="34"/>
      <c r="N715" s="34"/>
      <c r="O715" s="34"/>
    </row>
    <row r="716" spans="1:15" ht="12.75">
      <c r="A716" s="34"/>
      <c r="B716" s="34"/>
      <c r="C716" s="34"/>
      <c r="D716" s="188"/>
      <c r="E716" s="188"/>
      <c r="F716" s="34"/>
      <c r="G716" s="188"/>
      <c r="H716" s="34"/>
      <c r="I716" s="34"/>
      <c r="J716" s="34"/>
      <c r="K716" s="44"/>
      <c r="L716" s="105"/>
      <c r="M716" s="34"/>
      <c r="N716" s="34"/>
      <c r="O716" s="34"/>
    </row>
    <row r="717" spans="1:15" ht="12.75">
      <c r="A717" s="34"/>
      <c r="B717" s="34"/>
      <c r="C717" s="34"/>
      <c r="D717" s="188"/>
      <c r="E717" s="188"/>
      <c r="F717" s="34"/>
      <c r="G717" s="188"/>
      <c r="H717" s="34"/>
      <c r="I717" s="34"/>
      <c r="J717" s="34"/>
      <c r="K717" s="44"/>
      <c r="L717" s="105"/>
      <c r="M717" s="34"/>
      <c r="N717" s="34"/>
      <c r="O717" s="34"/>
    </row>
    <row r="718" spans="1:15" ht="12.75">
      <c r="A718" s="34"/>
      <c r="B718" s="34"/>
      <c r="C718" s="34"/>
      <c r="D718" s="188"/>
      <c r="E718" s="188"/>
      <c r="F718" s="34"/>
      <c r="G718" s="188"/>
      <c r="H718" s="34"/>
      <c r="I718" s="34"/>
      <c r="J718" s="34"/>
      <c r="K718" s="44"/>
      <c r="L718" s="105"/>
      <c r="M718" s="34"/>
      <c r="N718" s="34"/>
      <c r="O718" s="34"/>
    </row>
    <row r="719" spans="1:15" ht="12.75">
      <c r="A719" s="34"/>
      <c r="B719" s="34"/>
      <c r="C719" s="34"/>
      <c r="D719" s="188"/>
      <c r="E719" s="188"/>
      <c r="F719" s="34"/>
      <c r="G719" s="188"/>
      <c r="H719" s="34"/>
      <c r="I719" s="34"/>
      <c r="J719" s="34"/>
      <c r="K719" s="44"/>
      <c r="L719" s="105"/>
      <c r="M719" s="34"/>
      <c r="N719" s="34"/>
      <c r="O719" s="34"/>
    </row>
    <row r="720" spans="1:15" ht="12.75">
      <c r="A720" s="34"/>
      <c r="B720" s="34"/>
      <c r="C720" s="34"/>
      <c r="D720" s="188"/>
      <c r="E720" s="188"/>
      <c r="F720" s="34"/>
      <c r="G720" s="188"/>
      <c r="H720" s="34"/>
      <c r="I720" s="34"/>
      <c r="J720" s="34"/>
      <c r="K720" s="44"/>
      <c r="L720" s="105"/>
      <c r="M720" s="34"/>
      <c r="N720" s="34"/>
      <c r="O720" s="34"/>
    </row>
    <row r="721" spans="1:15" ht="12.75">
      <c r="A721" s="34"/>
      <c r="B721" s="34"/>
      <c r="C721" s="34"/>
      <c r="D721" s="188"/>
      <c r="E721" s="188"/>
      <c r="F721" s="34"/>
      <c r="G721" s="188"/>
      <c r="H721" s="34"/>
      <c r="I721" s="34"/>
      <c r="J721" s="34"/>
      <c r="K721" s="44"/>
      <c r="L721" s="105"/>
      <c r="M721" s="34"/>
      <c r="N721" s="34"/>
      <c r="O721" s="34"/>
    </row>
    <row r="722" spans="1:15" ht="12.75">
      <c r="A722" s="34"/>
      <c r="B722" s="34"/>
      <c r="C722" s="34"/>
      <c r="D722" s="188"/>
      <c r="E722" s="188"/>
      <c r="F722" s="34"/>
      <c r="G722" s="188"/>
      <c r="H722" s="34"/>
      <c r="I722" s="34"/>
      <c r="J722" s="34"/>
      <c r="K722" s="44"/>
      <c r="L722" s="105"/>
      <c r="M722" s="34"/>
      <c r="N722" s="34"/>
      <c r="O722" s="34"/>
    </row>
    <row r="723" spans="1:15" ht="12.75">
      <c r="A723" s="34"/>
      <c r="B723" s="34"/>
      <c r="C723" s="34"/>
      <c r="D723" s="188"/>
      <c r="E723" s="188"/>
      <c r="F723" s="34"/>
      <c r="G723" s="188"/>
      <c r="H723" s="34"/>
      <c r="I723" s="34"/>
      <c r="J723" s="34"/>
      <c r="K723" s="44"/>
      <c r="L723" s="105"/>
      <c r="M723" s="34"/>
      <c r="N723" s="34"/>
      <c r="O723" s="34"/>
    </row>
    <row r="724" spans="1:15" ht="12.75">
      <c r="A724" s="34"/>
      <c r="B724" s="34"/>
      <c r="C724" s="34"/>
      <c r="D724" s="188"/>
      <c r="E724" s="188"/>
      <c r="F724" s="34"/>
      <c r="G724" s="188"/>
      <c r="H724" s="34"/>
      <c r="I724" s="34"/>
      <c r="J724" s="34"/>
      <c r="K724" s="44"/>
      <c r="L724" s="105"/>
      <c r="M724" s="34"/>
      <c r="N724" s="34"/>
      <c r="O724" s="34"/>
    </row>
    <row r="725" spans="1:15" ht="12.75">
      <c r="A725" s="34"/>
      <c r="B725" s="34"/>
      <c r="C725" s="34"/>
      <c r="D725" s="188"/>
      <c r="E725" s="188"/>
      <c r="F725" s="34"/>
      <c r="G725" s="188"/>
      <c r="H725" s="34"/>
      <c r="I725" s="34"/>
      <c r="J725" s="34"/>
      <c r="K725" s="44"/>
      <c r="L725" s="105"/>
      <c r="M725" s="34"/>
      <c r="N725" s="34"/>
      <c r="O725" s="34"/>
    </row>
    <row r="726" spans="1:15" ht="12.75">
      <c r="A726" s="34"/>
      <c r="B726" s="34"/>
      <c r="C726" s="34"/>
      <c r="D726" s="188"/>
      <c r="E726" s="188"/>
      <c r="F726" s="34"/>
      <c r="G726" s="188"/>
      <c r="H726" s="34"/>
      <c r="I726" s="34"/>
      <c r="J726" s="34"/>
      <c r="K726" s="44"/>
      <c r="L726" s="105"/>
      <c r="M726" s="34"/>
      <c r="N726" s="34"/>
      <c r="O726" s="34"/>
    </row>
    <row r="727" spans="1:15" ht="12.75">
      <c r="A727" s="34"/>
      <c r="B727" s="34"/>
      <c r="C727" s="34"/>
      <c r="D727" s="188"/>
      <c r="E727" s="188"/>
      <c r="F727" s="34"/>
      <c r="G727" s="188"/>
      <c r="H727" s="34"/>
      <c r="I727" s="34"/>
      <c r="J727" s="34"/>
      <c r="K727" s="44"/>
      <c r="L727" s="105"/>
      <c r="M727" s="34"/>
      <c r="N727" s="34"/>
      <c r="O727" s="34"/>
    </row>
    <row r="728" spans="1:15" ht="12.75">
      <c r="A728" s="34"/>
      <c r="B728" s="34"/>
      <c r="C728" s="34"/>
      <c r="D728" s="188"/>
      <c r="E728" s="188"/>
      <c r="F728" s="34"/>
      <c r="G728" s="188"/>
      <c r="H728" s="34"/>
      <c r="I728" s="34"/>
      <c r="J728" s="34"/>
      <c r="K728" s="44"/>
      <c r="L728" s="105"/>
      <c r="M728" s="34"/>
      <c r="N728" s="34"/>
      <c r="O728" s="34"/>
    </row>
    <row r="729" spans="1:15" ht="12.75">
      <c r="A729" s="34"/>
      <c r="B729" s="34"/>
      <c r="C729" s="34"/>
      <c r="D729" s="188"/>
      <c r="E729" s="188"/>
      <c r="F729" s="34"/>
      <c r="G729" s="188"/>
      <c r="H729" s="34"/>
      <c r="I729" s="34"/>
      <c r="J729" s="34"/>
      <c r="K729" s="44"/>
      <c r="L729" s="105"/>
      <c r="M729" s="34"/>
      <c r="N729" s="34"/>
      <c r="O729" s="34"/>
    </row>
    <row r="730" spans="1:15" ht="12.75">
      <c r="A730" s="34"/>
      <c r="B730" s="34"/>
      <c r="C730" s="34"/>
      <c r="D730" s="188"/>
      <c r="E730" s="188"/>
      <c r="F730" s="34"/>
      <c r="G730" s="188"/>
      <c r="H730" s="34"/>
      <c r="I730" s="34"/>
      <c r="J730" s="34"/>
      <c r="K730" s="44"/>
      <c r="L730" s="105"/>
      <c r="M730" s="34"/>
      <c r="N730" s="34"/>
      <c r="O730" s="34"/>
    </row>
    <row r="731" spans="1:15" ht="12.75">
      <c r="A731" s="34"/>
      <c r="B731" s="34"/>
      <c r="C731" s="34"/>
      <c r="D731" s="188"/>
      <c r="E731" s="188"/>
      <c r="F731" s="34"/>
      <c r="G731" s="188"/>
      <c r="H731" s="34"/>
      <c r="I731" s="34"/>
      <c r="J731" s="34"/>
      <c r="K731" s="44"/>
      <c r="L731" s="105"/>
      <c r="M731" s="34"/>
      <c r="N731" s="34"/>
      <c r="O731" s="34"/>
    </row>
    <row r="732" spans="1:15" ht="12.75">
      <c r="A732" s="34"/>
      <c r="B732" s="34"/>
      <c r="C732" s="34"/>
      <c r="D732" s="188"/>
      <c r="E732" s="188"/>
      <c r="F732" s="34"/>
      <c r="G732" s="188"/>
      <c r="H732" s="34"/>
      <c r="I732" s="34"/>
      <c r="J732" s="34"/>
      <c r="K732" s="44"/>
      <c r="L732" s="105"/>
      <c r="M732" s="34"/>
      <c r="N732" s="34"/>
      <c r="O732" s="34"/>
    </row>
    <row r="733" spans="1:15" ht="12.75">
      <c r="A733" s="34"/>
      <c r="B733" s="34"/>
      <c r="C733" s="34"/>
      <c r="D733" s="188"/>
      <c r="E733" s="188"/>
      <c r="F733" s="34"/>
      <c r="G733" s="188"/>
      <c r="H733" s="34"/>
      <c r="I733" s="34"/>
      <c r="J733" s="34"/>
      <c r="K733" s="44"/>
      <c r="L733" s="105"/>
      <c r="M733" s="34"/>
      <c r="N733" s="34"/>
      <c r="O733" s="34"/>
    </row>
    <row r="734" spans="1:15" ht="12.75">
      <c r="A734" s="34"/>
      <c r="B734" s="34"/>
      <c r="C734" s="34"/>
      <c r="D734" s="188"/>
      <c r="E734" s="188"/>
      <c r="F734" s="34"/>
      <c r="G734" s="188"/>
      <c r="H734" s="34"/>
      <c r="I734" s="34"/>
      <c r="J734" s="34"/>
      <c r="K734" s="44"/>
      <c r="L734" s="105"/>
      <c r="M734" s="34"/>
      <c r="N734" s="34"/>
      <c r="O734" s="34"/>
    </row>
    <row r="735" spans="1:15" ht="12.75">
      <c r="A735" s="34"/>
      <c r="B735" s="34"/>
      <c r="C735" s="34"/>
      <c r="D735" s="188"/>
      <c r="E735" s="188"/>
      <c r="F735" s="34"/>
      <c r="G735" s="188"/>
      <c r="H735" s="34"/>
      <c r="I735" s="34"/>
      <c r="J735" s="34"/>
      <c r="K735" s="44"/>
      <c r="L735" s="105"/>
      <c r="M735" s="34"/>
      <c r="N735" s="34"/>
      <c r="O735" s="34"/>
    </row>
    <row r="736" spans="1:15" ht="12.75">
      <c r="A736" s="34"/>
      <c r="B736" s="34"/>
      <c r="C736" s="34"/>
      <c r="D736" s="188"/>
      <c r="E736" s="188"/>
      <c r="F736" s="34"/>
      <c r="G736" s="188"/>
      <c r="H736" s="34"/>
      <c r="I736" s="34"/>
      <c r="J736" s="34"/>
      <c r="K736" s="44"/>
      <c r="L736" s="105"/>
      <c r="M736" s="34"/>
      <c r="N736" s="34"/>
      <c r="O736" s="34"/>
    </row>
    <row r="737" spans="1:15" ht="12.75">
      <c r="A737" s="34"/>
      <c r="B737" s="34"/>
      <c r="C737" s="34"/>
      <c r="D737" s="188"/>
      <c r="E737" s="188"/>
      <c r="F737" s="34"/>
      <c r="G737" s="188"/>
      <c r="H737" s="34"/>
      <c r="I737" s="34"/>
      <c r="J737" s="34"/>
      <c r="K737" s="44"/>
      <c r="L737" s="105"/>
      <c r="M737" s="34"/>
      <c r="N737" s="34"/>
      <c r="O737" s="34"/>
    </row>
    <row r="738" spans="1:15" ht="12.75">
      <c r="A738" s="34"/>
      <c r="B738" s="34"/>
      <c r="C738" s="34"/>
      <c r="D738" s="188"/>
      <c r="E738" s="188"/>
      <c r="F738" s="34"/>
      <c r="G738" s="188"/>
      <c r="H738" s="34"/>
      <c r="I738" s="34"/>
      <c r="J738" s="34"/>
      <c r="K738" s="44"/>
      <c r="L738" s="105"/>
      <c r="M738" s="34"/>
      <c r="N738" s="34"/>
      <c r="O738" s="34"/>
    </row>
    <row r="739" spans="1:15" ht="12.75">
      <c r="A739" s="34"/>
      <c r="B739" s="34"/>
      <c r="C739" s="34"/>
      <c r="D739" s="188"/>
      <c r="E739" s="188"/>
      <c r="F739" s="34"/>
      <c r="G739" s="188"/>
      <c r="H739" s="34"/>
      <c r="I739" s="34"/>
      <c r="J739" s="34"/>
      <c r="K739" s="44"/>
      <c r="L739" s="105"/>
      <c r="M739" s="34"/>
      <c r="N739" s="34"/>
      <c r="O739" s="34"/>
    </row>
    <row r="740" spans="1:15" ht="12.75">
      <c r="A740" s="34"/>
      <c r="B740" s="34"/>
      <c r="C740" s="34"/>
      <c r="D740" s="188"/>
      <c r="E740" s="188"/>
      <c r="F740" s="34"/>
      <c r="G740" s="188"/>
      <c r="H740" s="34"/>
      <c r="I740" s="34"/>
      <c r="J740" s="34"/>
      <c r="K740" s="44"/>
      <c r="L740" s="105"/>
      <c r="M740" s="34"/>
      <c r="N740" s="34"/>
      <c r="O740" s="34"/>
    </row>
    <row r="741" spans="1:15" ht="12.75">
      <c r="A741" s="34"/>
      <c r="B741" s="34"/>
      <c r="C741" s="34"/>
      <c r="D741" s="188"/>
      <c r="E741" s="188"/>
      <c r="F741" s="34"/>
      <c r="G741" s="188"/>
      <c r="H741" s="34"/>
      <c r="I741" s="34"/>
      <c r="J741" s="34"/>
      <c r="K741" s="44"/>
      <c r="L741" s="105"/>
      <c r="M741" s="34"/>
      <c r="N741" s="34"/>
      <c r="O741" s="34"/>
    </row>
    <row r="742" spans="1:15" ht="12.75">
      <c r="A742" s="34"/>
      <c r="B742" s="34"/>
      <c r="C742" s="34"/>
      <c r="D742" s="188"/>
      <c r="E742" s="188"/>
      <c r="F742" s="34"/>
      <c r="G742" s="188"/>
      <c r="H742" s="34"/>
      <c r="I742" s="34"/>
      <c r="J742" s="34"/>
      <c r="K742" s="44"/>
      <c r="L742" s="105"/>
      <c r="M742" s="34"/>
      <c r="N742" s="34"/>
      <c r="O742" s="34"/>
    </row>
    <row r="743" spans="1:15" ht="12.75">
      <c r="A743" s="34"/>
      <c r="B743" s="34"/>
      <c r="C743" s="34"/>
      <c r="D743" s="188"/>
      <c r="E743" s="188"/>
      <c r="F743" s="34"/>
      <c r="G743" s="188"/>
      <c r="H743" s="34"/>
      <c r="I743" s="34"/>
      <c r="J743" s="34"/>
      <c r="K743" s="44"/>
      <c r="L743" s="105"/>
      <c r="M743" s="34"/>
      <c r="N743" s="34"/>
      <c r="O743" s="34"/>
    </row>
    <row r="744" spans="1:15" ht="12.75">
      <c r="A744" s="34"/>
      <c r="B744" s="34"/>
      <c r="C744" s="34"/>
      <c r="D744" s="188"/>
      <c r="E744" s="188"/>
      <c r="F744" s="34"/>
      <c r="G744" s="188"/>
      <c r="H744" s="34"/>
      <c r="I744" s="34"/>
      <c r="J744" s="34"/>
      <c r="K744" s="44"/>
      <c r="L744" s="105"/>
      <c r="M744" s="34"/>
      <c r="N744" s="34"/>
      <c r="O744" s="34"/>
    </row>
    <row r="745" spans="1:15" ht="12.75">
      <c r="A745" s="34"/>
      <c r="B745" s="34"/>
      <c r="C745" s="34"/>
      <c r="D745" s="188"/>
      <c r="E745" s="188"/>
      <c r="F745" s="34"/>
      <c r="G745" s="188"/>
      <c r="H745" s="34"/>
      <c r="I745" s="34"/>
      <c r="J745" s="34"/>
      <c r="K745" s="44"/>
      <c r="L745" s="105"/>
      <c r="M745" s="34"/>
      <c r="N745" s="34"/>
      <c r="O745" s="34"/>
    </row>
    <row r="746" spans="1:15" ht="12.75">
      <c r="A746" s="34"/>
      <c r="B746" s="34"/>
      <c r="C746" s="34"/>
      <c r="D746" s="188"/>
      <c r="E746" s="188"/>
      <c r="F746" s="34"/>
      <c r="G746" s="188"/>
      <c r="H746" s="34"/>
      <c r="I746" s="34"/>
      <c r="J746" s="34"/>
      <c r="K746" s="44"/>
      <c r="L746" s="105"/>
      <c r="M746" s="34"/>
      <c r="N746" s="34"/>
      <c r="O746" s="34"/>
    </row>
    <row r="747" spans="1:15" ht="12.75">
      <c r="A747" s="34"/>
      <c r="B747" s="34"/>
      <c r="C747" s="34"/>
      <c r="D747" s="188"/>
      <c r="E747" s="188"/>
      <c r="F747" s="34"/>
      <c r="G747" s="188"/>
      <c r="H747" s="34"/>
      <c r="I747" s="34"/>
      <c r="J747" s="34"/>
      <c r="K747" s="44"/>
      <c r="L747" s="105"/>
      <c r="M747" s="34"/>
      <c r="N747" s="34"/>
      <c r="O747" s="34"/>
    </row>
    <row r="748" spans="1:15" ht="12.75">
      <c r="A748" s="34"/>
      <c r="B748" s="34"/>
      <c r="C748" s="34"/>
      <c r="D748" s="188"/>
      <c r="E748" s="188"/>
      <c r="F748" s="34"/>
      <c r="G748" s="188"/>
      <c r="H748" s="34"/>
      <c r="I748" s="34"/>
      <c r="J748" s="34"/>
      <c r="K748" s="44"/>
      <c r="L748" s="105"/>
      <c r="M748" s="34"/>
      <c r="N748" s="34"/>
      <c r="O748" s="34"/>
    </row>
    <row r="749" spans="1:15" ht="12.75">
      <c r="A749" s="34"/>
      <c r="B749" s="34"/>
      <c r="C749" s="34"/>
      <c r="D749" s="188"/>
      <c r="E749" s="188"/>
      <c r="F749" s="34"/>
      <c r="G749" s="188"/>
      <c r="H749" s="34"/>
      <c r="I749" s="34"/>
      <c r="J749" s="34"/>
      <c r="K749" s="44"/>
      <c r="L749" s="105"/>
      <c r="M749" s="34"/>
      <c r="N749" s="34"/>
      <c r="O749" s="34"/>
    </row>
    <row r="750" spans="1:15" ht="12.75">
      <c r="A750" s="34"/>
      <c r="B750" s="34"/>
      <c r="C750" s="34"/>
      <c r="D750" s="188"/>
      <c r="E750" s="188"/>
      <c r="F750" s="34"/>
      <c r="G750" s="188"/>
      <c r="H750" s="34"/>
      <c r="I750" s="34"/>
      <c r="J750" s="34"/>
      <c r="K750" s="44"/>
      <c r="L750" s="105"/>
      <c r="M750" s="34"/>
      <c r="N750" s="34"/>
      <c r="O750" s="34"/>
    </row>
    <row r="751" spans="1:15" ht="12.75">
      <c r="A751" s="34"/>
      <c r="B751" s="34"/>
      <c r="C751" s="34"/>
      <c r="D751" s="188"/>
      <c r="E751" s="188"/>
      <c r="F751" s="34"/>
      <c r="G751" s="188"/>
      <c r="H751" s="34"/>
      <c r="I751" s="34"/>
      <c r="J751" s="34"/>
      <c r="K751" s="44"/>
      <c r="L751" s="105"/>
      <c r="M751" s="34"/>
      <c r="N751" s="34"/>
      <c r="O751" s="34"/>
    </row>
    <row r="752" spans="1:15" ht="12.75">
      <c r="A752" s="34"/>
      <c r="B752" s="34"/>
      <c r="C752" s="34"/>
      <c r="D752" s="188"/>
      <c r="E752" s="188"/>
      <c r="F752" s="34"/>
      <c r="G752" s="188"/>
      <c r="H752" s="34"/>
      <c r="I752" s="34"/>
      <c r="J752" s="34"/>
      <c r="K752" s="44"/>
      <c r="L752" s="105"/>
      <c r="M752" s="34"/>
      <c r="N752" s="34"/>
      <c r="O752" s="34"/>
    </row>
    <row r="753" spans="1:15" ht="12.75">
      <c r="A753" s="34"/>
      <c r="B753" s="34"/>
      <c r="C753" s="34"/>
      <c r="D753" s="188"/>
      <c r="E753" s="188"/>
      <c r="F753" s="34"/>
      <c r="G753" s="188"/>
      <c r="H753" s="34"/>
      <c r="I753" s="34"/>
      <c r="J753" s="34"/>
      <c r="K753" s="44"/>
      <c r="L753" s="105"/>
      <c r="M753" s="34"/>
      <c r="N753" s="34"/>
      <c r="O753" s="34"/>
    </row>
    <row r="754" spans="1:15" ht="12.75">
      <c r="A754" s="34"/>
      <c r="B754" s="34"/>
      <c r="C754" s="34"/>
      <c r="D754" s="188"/>
      <c r="E754" s="188"/>
      <c r="F754" s="34"/>
      <c r="G754" s="188"/>
      <c r="H754" s="34"/>
      <c r="I754" s="34"/>
      <c r="J754" s="34"/>
      <c r="K754" s="44"/>
      <c r="L754" s="105"/>
      <c r="M754" s="34"/>
      <c r="N754" s="34"/>
      <c r="O754" s="34"/>
    </row>
    <row r="755" spans="1:15" ht="12.75">
      <c r="A755" s="34"/>
      <c r="B755" s="34"/>
      <c r="C755" s="34"/>
      <c r="D755" s="188"/>
      <c r="E755" s="188"/>
      <c r="F755" s="34"/>
      <c r="G755" s="188"/>
      <c r="H755" s="34"/>
      <c r="I755" s="34"/>
      <c r="J755" s="34"/>
      <c r="K755" s="44"/>
      <c r="L755" s="105"/>
      <c r="M755" s="34"/>
      <c r="N755" s="34"/>
      <c r="O755" s="34"/>
    </row>
    <row r="756" spans="1:15" ht="12.75">
      <c r="A756" s="34"/>
      <c r="B756" s="34"/>
      <c r="C756" s="34"/>
      <c r="D756" s="188"/>
      <c r="E756" s="188"/>
      <c r="F756" s="34"/>
      <c r="G756" s="188"/>
      <c r="H756" s="34"/>
      <c r="I756" s="34"/>
      <c r="J756" s="34"/>
      <c r="K756" s="44"/>
      <c r="L756" s="105"/>
      <c r="M756" s="34"/>
      <c r="N756" s="34"/>
      <c r="O756" s="34"/>
    </row>
    <row r="757" spans="1:15" ht="12.75">
      <c r="A757" s="34"/>
      <c r="B757" s="34"/>
      <c r="C757" s="34"/>
      <c r="D757" s="188"/>
      <c r="E757" s="188"/>
      <c r="F757" s="34"/>
      <c r="G757" s="188"/>
      <c r="H757" s="34"/>
      <c r="I757" s="34"/>
      <c r="J757" s="34"/>
      <c r="K757" s="44"/>
      <c r="L757" s="105"/>
      <c r="M757" s="34"/>
      <c r="N757" s="34"/>
      <c r="O757" s="34"/>
    </row>
    <row r="758" spans="1:15" ht="12.75">
      <c r="A758" s="34"/>
      <c r="B758" s="34"/>
      <c r="C758" s="34"/>
      <c r="D758" s="188"/>
      <c r="E758" s="188"/>
      <c r="F758" s="34"/>
      <c r="G758" s="188"/>
      <c r="H758" s="34"/>
      <c r="I758" s="34"/>
      <c r="J758" s="34"/>
      <c r="K758" s="44"/>
      <c r="L758" s="105"/>
      <c r="M758" s="34"/>
      <c r="N758" s="34"/>
      <c r="O758" s="34"/>
    </row>
    <row r="759" spans="1:15" ht="12.75">
      <c r="A759" s="34"/>
      <c r="B759" s="34"/>
      <c r="C759" s="34"/>
      <c r="D759" s="188"/>
      <c r="E759" s="188"/>
      <c r="F759" s="34"/>
      <c r="G759" s="188"/>
      <c r="H759" s="34"/>
      <c r="I759" s="34"/>
      <c r="J759" s="34"/>
      <c r="K759" s="44"/>
      <c r="L759" s="105"/>
      <c r="M759" s="34"/>
      <c r="N759" s="34"/>
      <c r="O759" s="34"/>
    </row>
    <row r="760" spans="1:15" ht="12.75">
      <c r="A760" s="34"/>
      <c r="B760" s="34"/>
      <c r="C760" s="34"/>
      <c r="D760" s="188"/>
      <c r="E760" s="188"/>
      <c r="F760" s="34"/>
      <c r="G760" s="188"/>
      <c r="H760" s="34"/>
      <c r="I760" s="34"/>
      <c r="J760" s="34"/>
      <c r="K760" s="44"/>
      <c r="L760" s="105"/>
      <c r="M760" s="34"/>
      <c r="N760" s="34"/>
      <c r="O760" s="34"/>
    </row>
    <row r="761" spans="1:15" ht="12.75">
      <c r="A761" s="34"/>
      <c r="B761" s="34"/>
      <c r="C761" s="34"/>
      <c r="D761" s="188"/>
      <c r="E761" s="188"/>
      <c r="F761" s="34"/>
      <c r="G761" s="188"/>
      <c r="H761" s="34"/>
      <c r="I761" s="34"/>
      <c r="J761" s="34"/>
      <c r="K761" s="44"/>
      <c r="L761" s="105"/>
      <c r="M761" s="34"/>
      <c r="N761" s="34"/>
      <c r="O761" s="34"/>
    </row>
    <row r="762" spans="1:15" ht="12.75">
      <c r="A762" s="34"/>
      <c r="B762" s="34"/>
      <c r="C762" s="34"/>
      <c r="D762" s="188"/>
      <c r="E762" s="188"/>
      <c r="F762" s="34"/>
      <c r="G762" s="188"/>
      <c r="H762" s="34"/>
      <c r="I762" s="34"/>
      <c r="J762" s="34"/>
      <c r="K762" s="44"/>
      <c r="L762" s="105"/>
      <c r="M762" s="34"/>
      <c r="N762" s="34"/>
      <c r="O762" s="34"/>
    </row>
    <row r="763" spans="1:15" ht="12.75">
      <c r="A763" s="34"/>
      <c r="B763" s="34"/>
      <c r="C763" s="34"/>
      <c r="D763" s="188"/>
      <c r="E763" s="188"/>
      <c r="F763" s="34"/>
      <c r="G763" s="188"/>
      <c r="H763" s="34"/>
      <c r="I763" s="34"/>
      <c r="J763" s="34"/>
      <c r="K763" s="44"/>
      <c r="L763" s="105"/>
      <c r="M763" s="34"/>
      <c r="N763" s="34"/>
      <c r="O763" s="34"/>
    </row>
    <row r="764" spans="1:15" ht="12.75">
      <c r="A764" s="34"/>
      <c r="B764" s="34"/>
      <c r="C764" s="34"/>
      <c r="D764" s="188"/>
      <c r="E764" s="188"/>
      <c r="F764" s="34"/>
      <c r="G764" s="188"/>
      <c r="H764" s="34"/>
      <c r="I764" s="34"/>
      <c r="J764" s="34"/>
      <c r="K764" s="44"/>
      <c r="L764" s="105"/>
      <c r="M764" s="34"/>
      <c r="N764" s="34"/>
      <c r="O764" s="34"/>
    </row>
    <row r="765" spans="1:15" ht="12.75">
      <c r="A765" s="34"/>
      <c r="B765" s="34"/>
      <c r="C765" s="34"/>
      <c r="D765" s="188"/>
      <c r="E765" s="188"/>
      <c r="F765" s="34"/>
      <c r="G765" s="188"/>
      <c r="H765" s="34"/>
      <c r="I765" s="34"/>
      <c r="J765" s="34"/>
      <c r="K765" s="44"/>
      <c r="L765" s="105"/>
      <c r="M765" s="34"/>
      <c r="N765" s="34"/>
      <c r="O765" s="34"/>
    </row>
    <row r="766" spans="1:15" ht="12.75">
      <c r="A766" s="34"/>
      <c r="B766" s="34"/>
      <c r="C766" s="34"/>
      <c r="D766" s="188"/>
      <c r="E766" s="188"/>
      <c r="F766" s="34"/>
      <c r="G766" s="188"/>
      <c r="H766" s="34"/>
      <c r="I766" s="34"/>
      <c r="J766" s="34"/>
      <c r="K766" s="44"/>
      <c r="L766" s="105"/>
      <c r="M766" s="34"/>
      <c r="N766" s="34"/>
      <c r="O766" s="34"/>
    </row>
    <row r="767" spans="1:15" ht="12.75">
      <c r="A767" s="34"/>
      <c r="B767" s="34"/>
      <c r="C767" s="34"/>
      <c r="D767" s="188"/>
      <c r="E767" s="188"/>
      <c r="F767" s="34"/>
      <c r="G767" s="188"/>
      <c r="H767" s="34"/>
      <c r="I767" s="34"/>
      <c r="J767" s="34"/>
      <c r="K767" s="44"/>
      <c r="L767" s="105"/>
      <c r="M767" s="34"/>
      <c r="N767" s="34"/>
      <c r="O767" s="34"/>
    </row>
    <row r="768" spans="1:15" ht="12.75">
      <c r="A768" s="34"/>
      <c r="B768" s="34"/>
      <c r="C768" s="34"/>
      <c r="D768" s="188"/>
      <c r="E768" s="188"/>
      <c r="F768" s="34"/>
      <c r="G768" s="188"/>
      <c r="H768" s="34"/>
      <c r="I768" s="34"/>
      <c r="J768" s="34"/>
      <c r="K768" s="44"/>
      <c r="L768" s="105"/>
      <c r="M768" s="34"/>
      <c r="N768" s="34"/>
      <c r="O768" s="34"/>
    </row>
    <row r="769" spans="1:15" ht="12.75">
      <c r="A769" s="34"/>
      <c r="B769" s="34"/>
      <c r="C769" s="34"/>
      <c r="D769" s="188"/>
      <c r="E769" s="188"/>
      <c r="F769" s="34"/>
      <c r="G769" s="188"/>
      <c r="H769" s="34"/>
      <c r="I769" s="34"/>
      <c r="J769" s="34"/>
      <c r="K769" s="44"/>
      <c r="L769" s="105"/>
      <c r="M769" s="34"/>
      <c r="N769" s="34"/>
      <c r="O769" s="34"/>
    </row>
    <row r="770" spans="1:15" ht="12.75">
      <c r="A770" s="34"/>
      <c r="B770" s="34"/>
      <c r="C770" s="34"/>
      <c r="D770" s="188"/>
      <c r="E770" s="188"/>
      <c r="F770" s="34"/>
      <c r="G770" s="188"/>
      <c r="H770" s="34"/>
      <c r="I770" s="34"/>
      <c r="J770" s="34"/>
      <c r="K770" s="44"/>
      <c r="L770" s="105"/>
      <c r="M770" s="34"/>
      <c r="N770" s="34"/>
      <c r="O770" s="34"/>
    </row>
    <row r="771" spans="1:15" ht="12.75">
      <c r="A771" s="34"/>
      <c r="B771" s="34"/>
      <c r="C771" s="34"/>
      <c r="D771" s="188"/>
      <c r="E771" s="188"/>
      <c r="F771" s="34"/>
      <c r="G771" s="188"/>
      <c r="H771" s="34"/>
      <c r="I771" s="34"/>
      <c r="J771" s="34"/>
      <c r="K771" s="44"/>
      <c r="L771" s="105"/>
      <c r="M771" s="34"/>
      <c r="N771" s="34"/>
      <c r="O771" s="34"/>
    </row>
    <row r="772" spans="1:15" ht="12.75">
      <c r="A772" s="34"/>
      <c r="B772" s="34"/>
      <c r="C772" s="34"/>
      <c r="D772" s="188"/>
      <c r="E772" s="188"/>
      <c r="F772" s="34"/>
      <c r="G772" s="188"/>
      <c r="H772" s="34"/>
      <c r="I772" s="34"/>
      <c r="J772" s="34"/>
      <c r="K772" s="44"/>
      <c r="L772" s="105"/>
      <c r="M772" s="34"/>
      <c r="N772" s="34"/>
      <c r="O772" s="34"/>
    </row>
    <row r="773" spans="1:15" ht="12.75">
      <c r="A773" s="34"/>
      <c r="B773" s="34"/>
      <c r="C773" s="34"/>
      <c r="D773" s="188"/>
      <c r="E773" s="188"/>
      <c r="F773" s="34"/>
      <c r="G773" s="188"/>
      <c r="H773" s="34"/>
      <c r="I773" s="34"/>
      <c r="J773" s="34"/>
      <c r="K773" s="44"/>
      <c r="L773" s="105"/>
      <c r="M773" s="34"/>
      <c r="N773" s="34"/>
      <c r="O773" s="34"/>
    </row>
    <row r="774" spans="1:15" ht="12.75">
      <c r="A774" s="34"/>
      <c r="B774" s="34"/>
      <c r="C774" s="34"/>
      <c r="D774" s="188"/>
      <c r="E774" s="188"/>
      <c r="F774" s="34"/>
      <c r="G774" s="188"/>
      <c r="H774" s="34"/>
      <c r="I774" s="34"/>
      <c r="J774" s="34"/>
      <c r="K774" s="44"/>
      <c r="L774" s="105"/>
      <c r="M774" s="34"/>
      <c r="N774" s="34"/>
      <c r="O774" s="34"/>
    </row>
    <row r="775" spans="1:15" ht="12.75">
      <c r="A775" s="34"/>
      <c r="B775" s="34"/>
      <c r="C775" s="34"/>
      <c r="D775" s="188"/>
      <c r="E775" s="188"/>
      <c r="F775" s="34"/>
      <c r="G775" s="188"/>
      <c r="H775" s="34"/>
      <c r="I775" s="34"/>
      <c r="J775" s="34"/>
      <c r="K775" s="44"/>
      <c r="L775" s="105"/>
      <c r="M775" s="34"/>
      <c r="N775" s="34"/>
      <c r="O775" s="34"/>
    </row>
    <row r="776" spans="1:15" ht="12.75">
      <c r="A776" s="34"/>
      <c r="B776" s="34"/>
      <c r="C776" s="34"/>
      <c r="D776" s="188"/>
      <c r="E776" s="188"/>
      <c r="F776" s="34"/>
      <c r="G776" s="188"/>
      <c r="H776" s="34"/>
      <c r="I776" s="34"/>
      <c r="J776" s="34"/>
      <c r="K776" s="44"/>
      <c r="L776" s="105"/>
      <c r="M776" s="34"/>
      <c r="N776" s="34"/>
      <c r="O776" s="34"/>
    </row>
    <row r="777" spans="1:15" ht="12.75">
      <c r="A777" s="34"/>
      <c r="B777" s="34"/>
      <c r="C777" s="34"/>
      <c r="D777" s="188"/>
      <c r="E777" s="188"/>
      <c r="F777" s="34"/>
      <c r="G777" s="188"/>
      <c r="H777" s="34"/>
      <c r="I777" s="34"/>
      <c r="J777" s="34"/>
      <c r="K777" s="44"/>
      <c r="L777" s="105"/>
      <c r="M777" s="34"/>
      <c r="N777" s="34"/>
      <c r="O777" s="34"/>
    </row>
    <row r="778" spans="1:15" ht="12.75">
      <c r="A778" s="34"/>
      <c r="B778" s="34"/>
      <c r="C778" s="34"/>
      <c r="D778" s="188"/>
      <c r="E778" s="188"/>
      <c r="F778" s="34"/>
      <c r="G778" s="188"/>
      <c r="H778" s="34"/>
      <c r="I778" s="34"/>
      <c r="J778" s="34"/>
      <c r="K778" s="44"/>
      <c r="L778" s="105"/>
      <c r="M778" s="34"/>
      <c r="N778" s="34"/>
      <c r="O778" s="34"/>
    </row>
    <row r="779" spans="1:15" ht="12.75">
      <c r="A779" s="34"/>
      <c r="B779" s="34"/>
      <c r="C779" s="34"/>
      <c r="D779" s="188"/>
      <c r="E779" s="188"/>
      <c r="F779" s="34"/>
      <c r="G779" s="188"/>
      <c r="H779" s="34"/>
      <c r="I779" s="34"/>
      <c r="J779" s="34"/>
      <c r="K779" s="44"/>
      <c r="L779" s="105"/>
      <c r="M779" s="34"/>
      <c r="N779" s="34"/>
      <c r="O779" s="34"/>
    </row>
    <row r="780" spans="1:15" ht="12.75">
      <c r="A780" s="34"/>
      <c r="B780" s="34"/>
      <c r="C780" s="34"/>
      <c r="D780" s="188"/>
      <c r="E780" s="188"/>
      <c r="F780" s="34"/>
      <c r="G780" s="188"/>
      <c r="H780" s="34"/>
      <c r="I780" s="34"/>
      <c r="J780" s="34"/>
      <c r="K780" s="44"/>
      <c r="L780" s="105"/>
      <c r="M780" s="34"/>
      <c r="N780" s="34"/>
      <c r="O780" s="34"/>
    </row>
    <row r="781" spans="1:15" ht="12.75">
      <c r="A781" s="34"/>
      <c r="B781" s="34"/>
      <c r="C781" s="34"/>
      <c r="D781" s="188"/>
      <c r="E781" s="188"/>
      <c r="F781" s="34"/>
      <c r="G781" s="188"/>
      <c r="H781" s="34"/>
      <c r="I781" s="34"/>
      <c r="J781" s="34"/>
      <c r="K781" s="44"/>
      <c r="L781" s="105"/>
      <c r="M781" s="34"/>
      <c r="N781" s="34"/>
      <c r="O781" s="34"/>
    </row>
    <row r="782" spans="1:15" ht="12.75">
      <c r="A782" s="34"/>
      <c r="B782" s="34"/>
      <c r="C782" s="34"/>
      <c r="D782" s="188"/>
      <c r="E782" s="188"/>
      <c r="F782" s="34"/>
      <c r="G782" s="188"/>
      <c r="H782" s="34"/>
      <c r="I782" s="34"/>
      <c r="J782" s="34"/>
      <c r="K782" s="44"/>
      <c r="L782" s="105"/>
      <c r="M782" s="34"/>
      <c r="N782" s="34"/>
      <c r="O782" s="34"/>
    </row>
    <row r="783" spans="1:15" ht="12.75">
      <c r="A783" s="34"/>
      <c r="B783" s="34"/>
      <c r="C783" s="34"/>
      <c r="D783" s="188"/>
      <c r="E783" s="188"/>
      <c r="F783" s="34"/>
      <c r="G783" s="188"/>
      <c r="H783" s="34"/>
      <c r="I783" s="34"/>
      <c r="J783" s="34"/>
      <c r="K783" s="44"/>
      <c r="L783" s="105"/>
      <c r="M783" s="34"/>
      <c r="N783" s="34"/>
      <c r="O783" s="34"/>
    </row>
    <row r="784" spans="1:15" ht="12.75">
      <c r="A784" s="34"/>
      <c r="B784" s="34"/>
      <c r="C784" s="34"/>
      <c r="D784" s="188"/>
      <c r="E784" s="188"/>
      <c r="F784" s="34"/>
      <c r="G784" s="188"/>
      <c r="H784" s="34"/>
      <c r="I784" s="34"/>
      <c r="J784" s="34"/>
      <c r="K784" s="44"/>
      <c r="L784" s="105"/>
      <c r="M784" s="34"/>
      <c r="N784" s="34"/>
      <c r="O784" s="34"/>
    </row>
    <row r="785" spans="1:15" ht="12.75">
      <c r="A785" s="34"/>
      <c r="B785" s="34"/>
      <c r="C785" s="34"/>
      <c r="D785" s="188"/>
      <c r="E785" s="188"/>
      <c r="F785" s="34"/>
      <c r="G785" s="188"/>
      <c r="H785" s="34"/>
      <c r="I785" s="34"/>
      <c r="J785" s="34"/>
      <c r="K785" s="44"/>
      <c r="L785" s="105"/>
      <c r="M785" s="34"/>
      <c r="N785" s="34"/>
      <c r="O785" s="34"/>
    </row>
    <row r="786" spans="1:15" ht="12.75">
      <c r="A786" s="34"/>
      <c r="B786" s="34"/>
      <c r="C786" s="34"/>
      <c r="D786" s="188"/>
      <c r="E786" s="188"/>
      <c r="F786" s="34"/>
      <c r="G786" s="188"/>
      <c r="H786" s="34"/>
      <c r="I786" s="34"/>
      <c r="J786" s="34"/>
      <c r="K786" s="44"/>
      <c r="L786" s="105"/>
      <c r="M786" s="34"/>
      <c r="N786" s="34"/>
      <c r="O786" s="34"/>
    </row>
    <row r="787" spans="1:15" ht="12.75">
      <c r="A787" s="34"/>
      <c r="B787" s="34"/>
      <c r="C787" s="34"/>
      <c r="D787" s="188"/>
      <c r="E787" s="188"/>
      <c r="F787" s="34"/>
      <c r="G787" s="188"/>
      <c r="H787" s="34"/>
      <c r="I787" s="34"/>
      <c r="J787" s="34"/>
      <c r="K787" s="44"/>
      <c r="L787" s="105"/>
      <c r="M787" s="34"/>
      <c r="N787" s="34"/>
      <c r="O787" s="34"/>
    </row>
    <row r="788" spans="1:15" ht="12.75">
      <c r="A788" s="34"/>
      <c r="B788" s="34"/>
      <c r="C788" s="34"/>
      <c r="D788" s="188"/>
      <c r="E788" s="188"/>
      <c r="F788" s="34"/>
      <c r="G788" s="188"/>
      <c r="H788" s="34"/>
      <c r="I788" s="34"/>
      <c r="J788" s="34"/>
      <c r="K788" s="44"/>
      <c r="L788" s="105"/>
      <c r="M788" s="34"/>
      <c r="N788" s="34"/>
      <c r="O788" s="34"/>
    </row>
    <row r="789" spans="1:15" ht="12.75">
      <c r="A789" s="34"/>
      <c r="B789" s="34"/>
      <c r="C789" s="34"/>
      <c r="D789" s="188"/>
      <c r="E789" s="188"/>
      <c r="F789" s="34"/>
      <c r="G789" s="188"/>
      <c r="H789" s="34"/>
      <c r="I789" s="34"/>
      <c r="J789" s="34"/>
      <c r="K789" s="44"/>
      <c r="L789" s="105"/>
      <c r="M789" s="34"/>
      <c r="N789" s="34"/>
      <c r="O789" s="34"/>
    </row>
    <row r="790" spans="1:15" ht="12.75">
      <c r="A790" s="34"/>
      <c r="B790" s="34"/>
      <c r="C790" s="34"/>
      <c r="D790" s="188"/>
      <c r="E790" s="188"/>
      <c r="F790" s="34"/>
      <c r="G790" s="188"/>
      <c r="H790" s="34"/>
      <c r="I790" s="34"/>
      <c r="J790" s="34"/>
      <c r="K790" s="44"/>
      <c r="L790" s="105"/>
      <c r="M790" s="34"/>
      <c r="N790" s="34"/>
      <c r="O790" s="34"/>
    </row>
    <row r="791" spans="1:15" ht="12.75">
      <c r="A791" s="34"/>
      <c r="B791" s="34"/>
      <c r="C791" s="34"/>
      <c r="D791" s="188"/>
      <c r="E791" s="188"/>
      <c r="F791" s="34"/>
      <c r="G791" s="188"/>
      <c r="H791" s="34"/>
      <c r="I791" s="34"/>
      <c r="J791" s="34"/>
      <c r="K791" s="44"/>
      <c r="L791" s="105"/>
      <c r="M791" s="34"/>
      <c r="N791" s="34"/>
      <c r="O791" s="34"/>
    </row>
    <row r="792" spans="1:15" ht="12.75">
      <c r="A792" s="34"/>
      <c r="B792" s="34"/>
      <c r="C792" s="34"/>
      <c r="D792" s="188"/>
      <c r="E792" s="188"/>
      <c r="F792" s="34"/>
      <c r="G792" s="188"/>
      <c r="H792" s="34"/>
      <c r="I792" s="34"/>
      <c r="J792" s="34"/>
      <c r="K792" s="44"/>
      <c r="L792" s="105"/>
      <c r="M792" s="34"/>
      <c r="N792" s="34"/>
      <c r="O792" s="34"/>
    </row>
    <row r="793" spans="1:15" ht="12.75">
      <c r="A793" s="34"/>
      <c r="B793" s="34"/>
      <c r="C793" s="34"/>
      <c r="D793" s="188"/>
      <c r="E793" s="188"/>
      <c r="F793" s="34"/>
      <c r="G793" s="188"/>
      <c r="H793" s="34"/>
      <c r="I793" s="34"/>
      <c r="J793" s="34"/>
      <c r="K793" s="44"/>
      <c r="L793" s="105"/>
      <c r="M793" s="34"/>
      <c r="N793" s="34"/>
      <c r="O793" s="34"/>
    </row>
    <row r="794" spans="1:15" ht="12.75">
      <c r="A794" s="34"/>
      <c r="B794" s="34"/>
      <c r="C794" s="34"/>
      <c r="D794" s="188"/>
      <c r="E794" s="188"/>
      <c r="F794" s="34"/>
      <c r="G794" s="188"/>
      <c r="H794" s="34"/>
      <c r="I794" s="34"/>
      <c r="J794" s="34"/>
      <c r="K794" s="44"/>
      <c r="L794" s="105"/>
      <c r="M794" s="34"/>
      <c r="N794" s="34"/>
      <c r="O794" s="34"/>
    </row>
    <row r="795" spans="1:15" ht="12.75">
      <c r="A795" s="34"/>
      <c r="B795" s="34"/>
      <c r="C795" s="34"/>
      <c r="D795" s="188"/>
      <c r="E795" s="188"/>
      <c r="F795" s="34"/>
      <c r="G795" s="188"/>
      <c r="H795" s="34"/>
      <c r="I795" s="34"/>
      <c r="J795" s="34"/>
      <c r="K795" s="44"/>
      <c r="L795" s="105"/>
      <c r="M795" s="34"/>
      <c r="N795" s="34"/>
      <c r="O795" s="34"/>
    </row>
    <row r="796" spans="1:15" ht="12.75">
      <c r="A796" s="34"/>
      <c r="B796" s="34"/>
      <c r="C796" s="34"/>
      <c r="D796" s="188"/>
      <c r="E796" s="188"/>
      <c r="F796" s="34"/>
      <c r="G796" s="188"/>
      <c r="H796" s="34"/>
      <c r="I796" s="34"/>
      <c r="J796" s="34"/>
      <c r="K796" s="44"/>
      <c r="L796" s="105"/>
      <c r="M796" s="34"/>
      <c r="N796" s="34"/>
      <c r="O796" s="34"/>
    </row>
    <row r="797" spans="1:15" ht="12.75">
      <c r="A797" s="34"/>
      <c r="B797" s="34"/>
      <c r="C797" s="34"/>
      <c r="D797" s="188"/>
      <c r="E797" s="188"/>
      <c r="F797" s="34"/>
      <c r="G797" s="188"/>
      <c r="H797" s="34"/>
      <c r="I797" s="34"/>
      <c r="J797" s="34"/>
      <c r="K797" s="44"/>
      <c r="L797" s="105"/>
      <c r="M797" s="34"/>
      <c r="N797" s="34"/>
      <c r="O797" s="34"/>
    </row>
    <row r="798" spans="1:15" ht="12.75">
      <c r="A798" s="34"/>
      <c r="B798" s="34"/>
      <c r="C798" s="34"/>
      <c r="D798" s="188"/>
      <c r="E798" s="188"/>
      <c r="F798" s="34"/>
      <c r="G798" s="188"/>
      <c r="H798" s="34"/>
      <c r="I798" s="34"/>
      <c r="J798" s="34"/>
      <c r="K798" s="44"/>
      <c r="L798" s="105"/>
      <c r="M798" s="34"/>
      <c r="N798" s="34"/>
      <c r="O798" s="34"/>
    </row>
    <row r="799" spans="1:15" ht="12.75">
      <c r="A799" s="34"/>
      <c r="B799" s="34"/>
      <c r="C799" s="34"/>
      <c r="D799" s="188"/>
      <c r="E799" s="188"/>
      <c r="F799" s="34"/>
      <c r="G799" s="188"/>
      <c r="H799" s="34"/>
      <c r="I799" s="34"/>
      <c r="J799" s="34"/>
      <c r="K799" s="44"/>
      <c r="L799" s="105"/>
      <c r="M799" s="34"/>
      <c r="N799" s="34"/>
      <c r="O799" s="34"/>
    </row>
    <row r="800" spans="1:15" ht="12.75">
      <c r="A800" s="34"/>
      <c r="B800" s="34"/>
      <c r="C800" s="34"/>
      <c r="D800" s="188"/>
      <c r="E800" s="188"/>
      <c r="F800" s="34"/>
      <c r="G800" s="188"/>
      <c r="H800" s="34"/>
      <c r="I800" s="34"/>
      <c r="J800" s="34"/>
      <c r="K800" s="44"/>
      <c r="L800" s="105"/>
      <c r="M800" s="34"/>
      <c r="N800" s="34"/>
      <c r="O800" s="34"/>
    </row>
    <row r="801" spans="1:15" ht="12.75">
      <c r="A801" s="34"/>
      <c r="B801" s="34"/>
      <c r="C801" s="34"/>
      <c r="D801" s="188"/>
      <c r="E801" s="188"/>
      <c r="F801" s="34"/>
      <c r="G801" s="188"/>
      <c r="H801" s="34"/>
      <c r="I801" s="34"/>
      <c r="J801" s="34"/>
      <c r="K801" s="44"/>
      <c r="L801" s="105"/>
      <c r="M801" s="34"/>
      <c r="N801" s="34"/>
      <c r="O801" s="34"/>
    </row>
    <row r="802" spans="1:15" ht="12.75">
      <c r="A802" s="34"/>
      <c r="B802" s="34"/>
      <c r="C802" s="34"/>
      <c r="D802" s="188"/>
      <c r="E802" s="188"/>
      <c r="F802" s="34"/>
      <c r="G802" s="188"/>
      <c r="H802" s="34"/>
      <c r="I802" s="34"/>
      <c r="J802" s="34"/>
      <c r="K802" s="44"/>
      <c r="L802" s="105"/>
      <c r="M802" s="34"/>
      <c r="N802" s="34"/>
      <c r="O802" s="34"/>
    </row>
    <row r="803" spans="1:15" ht="12.75">
      <c r="A803" s="34"/>
      <c r="B803" s="34"/>
      <c r="C803" s="34"/>
      <c r="D803" s="188"/>
      <c r="E803" s="188"/>
      <c r="F803" s="34"/>
      <c r="G803" s="188"/>
      <c r="H803" s="34"/>
      <c r="I803" s="34"/>
      <c r="J803" s="34"/>
      <c r="K803" s="44"/>
      <c r="L803" s="105"/>
      <c r="M803" s="34"/>
      <c r="N803" s="34"/>
      <c r="O803" s="34"/>
    </row>
    <row r="804" spans="1:15" ht="12.75">
      <c r="A804" s="34"/>
      <c r="B804" s="34"/>
      <c r="C804" s="34"/>
      <c r="D804" s="188"/>
      <c r="E804" s="188"/>
      <c r="F804" s="34"/>
      <c r="G804" s="188"/>
      <c r="H804" s="34"/>
      <c r="I804" s="34"/>
      <c r="J804" s="34"/>
      <c r="K804" s="44"/>
      <c r="L804" s="105"/>
      <c r="M804" s="34"/>
      <c r="N804" s="34"/>
      <c r="O804" s="34"/>
    </row>
    <row r="805" spans="1:15" ht="12.75">
      <c r="A805" s="34"/>
      <c r="B805" s="34"/>
      <c r="C805" s="34"/>
      <c r="D805" s="188"/>
      <c r="E805" s="188"/>
      <c r="F805" s="34"/>
      <c r="G805" s="188"/>
      <c r="H805" s="34"/>
      <c r="I805" s="34"/>
      <c r="J805" s="34"/>
      <c r="K805" s="44"/>
      <c r="L805" s="105"/>
      <c r="M805" s="34"/>
      <c r="N805" s="34"/>
      <c r="O805" s="34"/>
    </row>
    <row r="806" spans="1:15" ht="12.75">
      <c r="A806" s="34"/>
      <c r="B806" s="34"/>
      <c r="C806" s="34"/>
      <c r="D806" s="188"/>
      <c r="E806" s="188"/>
      <c r="F806" s="34"/>
      <c r="G806" s="188"/>
      <c r="H806" s="34"/>
      <c r="I806" s="34"/>
      <c r="J806" s="34"/>
      <c r="K806" s="44"/>
      <c r="L806" s="105"/>
      <c r="M806" s="34"/>
      <c r="N806" s="34"/>
      <c r="O806" s="34"/>
    </row>
    <row r="807" spans="1:15" ht="12.75">
      <c r="A807" s="34"/>
      <c r="B807" s="34"/>
      <c r="C807" s="34"/>
      <c r="D807" s="188"/>
      <c r="E807" s="188"/>
      <c r="F807" s="34"/>
      <c r="G807" s="188"/>
      <c r="H807" s="34"/>
      <c r="I807" s="34"/>
      <c r="J807" s="34"/>
      <c r="K807" s="44"/>
      <c r="L807" s="105"/>
      <c r="M807" s="34"/>
      <c r="N807" s="34"/>
      <c r="O807" s="34"/>
    </row>
    <row r="808" spans="1:15" ht="12.75">
      <c r="A808" s="34"/>
      <c r="B808" s="34"/>
      <c r="C808" s="34"/>
      <c r="D808" s="188"/>
      <c r="E808" s="188"/>
      <c r="F808" s="34"/>
      <c r="G808" s="188"/>
      <c r="H808" s="34"/>
      <c r="I808" s="34"/>
      <c r="J808" s="34"/>
      <c r="K808" s="44"/>
      <c r="L808" s="105"/>
      <c r="M808" s="34"/>
      <c r="N808" s="34"/>
      <c r="O808" s="34"/>
    </row>
    <row r="809" spans="1:15" ht="12.75">
      <c r="A809" s="34"/>
      <c r="B809" s="34"/>
      <c r="C809" s="34"/>
      <c r="D809" s="188"/>
      <c r="E809" s="188"/>
      <c r="F809" s="34"/>
      <c r="G809" s="188"/>
      <c r="H809" s="34"/>
      <c r="I809" s="34"/>
      <c r="J809" s="34"/>
      <c r="K809" s="44"/>
      <c r="L809" s="105"/>
      <c r="M809" s="34"/>
      <c r="N809" s="34"/>
      <c r="O809" s="34"/>
    </row>
    <row r="810" spans="1:15" ht="12.75">
      <c r="A810" s="34"/>
      <c r="B810" s="34"/>
      <c r="C810" s="34"/>
      <c r="D810" s="188"/>
      <c r="E810" s="188"/>
      <c r="F810" s="34"/>
      <c r="G810" s="188"/>
      <c r="H810" s="34"/>
      <c r="I810" s="34"/>
      <c r="J810" s="34"/>
      <c r="K810" s="44"/>
      <c r="L810" s="105"/>
      <c r="M810" s="34"/>
      <c r="N810" s="34"/>
      <c r="O810" s="34"/>
    </row>
    <row r="811" spans="1:15" ht="12.75">
      <c r="A811" s="34"/>
      <c r="B811" s="34"/>
      <c r="C811" s="34"/>
      <c r="D811" s="188"/>
      <c r="E811" s="188"/>
      <c r="F811" s="34"/>
      <c r="G811" s="188"/>
      <c r="H811" s="34"/>
      <c r="I811" s="34"/>
      <c r="J811" s="34"/>
      <c r="K811" s="44"/>
      <c r="L811" s="105"/>
      <c r="M811" s="34"/>
      <c r="N811" s="34"/>
      <c r="O811" s="34"/>
    </row>
    <row r="812" spans="1:15" ht="12.75">
      <c r="A812" s="34"/>
      <c r="B812" s="34"/>
      <c r="C812" s="34"/>
      <c r="D812" s="188"/>
      <c r="E812" s="188"/>
      <c r="F812" s="34"/>
      <c r="G812" s="188"/>
      <c r="H812" s="34"/>
      <c r="I812" s="34"/>
      <c r="J812" s="34"/>
      <c r="K812" s="44"/>
      <c r="L812" s="105"/>
      <c r="M812" s="34"/>
      <c r="N812" s="34"/>
      <c r="O812" s="34"/>
    </row>
    <row r="813" spans="1:15" ht="12.75">
      <c r="A813" s="34"/>
      <c r="B813" s="34"/>
      <c r="C813" s="34"/>
      <c r="D813" s="188"/>
      <c r="E813" s="188"/>
      <c r="F813" s="34"/>
      <c r="G813" s="188"/>
      <c r="H813" s="34"/>
      <c r="I813" s="34"/>
      <c r="J813" s="34"/>
      <c r="K813" s="44"/>
      <c r="L813" s="105"/>
      <c r="M813" s="34"/>
      <c r="N813" s="34"/>
      <c r="O813" s="34"/>
    </row>
    <row r="814" spans="1:15" ht="12.75">
      <c r="A814" s="34"/>
      <c r="B814" s="34"/>
      <c r="C814" s="34"/>
      <c r="D814" s="188"/>
      <c r="E814" s="188"/>
      <c r="F814" s="34"/>
      <c r="G814" s="188"/>
      <c r="H814" s="34"/>
      <c r="I814" s="34"/>
      <c r="J814" s="34"/>
      <c r="K814" s="44"/>
      <c r="L814" s="105"/>
      <c r="M814" s="34"/>
      <c r="N814" s="34"/>
      <c r="O814" s="34"/>
    </row>
    <row r="815" spans="1:15" ht="12.75">
      <c r="A815" s="34"/>
      <c r="B815" s="34"/>
      <c r="C815" s="34"/>
      <c r="D815" s="188"/>
      <c r="E815" s="188"/>
      <c r="F815" s="34"/>
      <c r="G815" s="188"/>
      <c r="H815" s="34"/>
      <c r="I815" s="34"/>
      <c r="J815" s="34"/>
      <c r="K815" s="44"/>
      <c r="L815" s="105"/>
      <c r="M815" s="34"/>
      <c r="N815" s="34"/>
      <c r="O815" s="34"/>
    </row>
    <row r="816" spans="1:15" ht="12.75">
      <c r="A816" s="34"/>
      <c r="B816" s="34"/>
      <c r="C816" s="34"/>
      <c r="D816" s="188"/>
      <c r="E816" s="188"/>
      <c r="F816" s="34"/>
      <c r="G816" s="188"/>
      <c r="H816" s="34"/>
      <c r="I816" s="34"/>
      <c r="J816" s="34"/>
      <c r="K816" s="44"/>
      <c r="L816" s="105"/>
      <c r="M816" s="34"/>
      <c r="N816" s="34"/>
      <c r="O816" s="34"/>
    </row>
    <row r="817" spans="1:15" ht="12.75">
      <c r="A817" s="34"/>
      <c r="B817" s="34"/>
      <c r="C817" s="34"/>
      <c r="D817" s="188"/>
      <c r="E817" s="188"/>
      <c r="F817" s="34"/>
      <c r="G817" s="188"/>
      <c r="H817" s="34"/>
      <c r="I817" s="34"/>
      <c r="J817" s="34"/>
      <c r="K817" s="44"/>
      <c r="L817" s="105"/>
      <c r="M817" s="34"/>
      <c r="N817" s="34"/>
      <c r="O817" s="34"/>
    </row>
    <row r="818" spans="1:15" ht="12.75">
      <c r="A818" s="34"/>
      <c r="B818" s="34"/>
      <c r="C818" s="34"/>
      <c r="D818" s="188"/>
      <c r="E818" s="188"/>
      <c r="F818" s="34"/>
      <c r="G818" s="188"/>
      <c r="H818" s="34"/>
      <c r="I818" s="34"/>
      <c r="J818" s="34"/>
      <c r="K818" s="44"/>
      <c r="L818" s="105"/>
      <c r="M818" s="34"/>
      <c r="N818" s="34"/>
      <c r="O818" s="34"/>
    </row>
    <row r="819" spans="1:15" ht="12.75">
      <c r="A819" s="34"/>
      <c r="B819" s="34"/>
      <c r="C819" s="34"/>
      <c r="D819" s="188"/>
      <c r="E819" s="188"/>
      <c r="F819" s="34"/>
      <c r="G819" s="188"/>
      <c r="H819" s="34"/>
      <c r="I819" s="34"/>
      <c r="J819" s="34"/>
      <c r="K819" s="44"/>
      <c r="L819" s="105"/>
      <c r="M819" s="34"/>
      <c r="N819" s="34"/>
      <c r="O819" s="34"/>
    </row>
    <row r="820" spans="1:15" ht="12.75">
      <c r="A820" s="34"/>
      <c r="B820" s="34"/>
      <c r="C820" s="34"/>
      <c r="D820" s="188"/>
      <c r="E820" s="188"/>
      <c r="F820" s="34"/>
      <c r="G820" s="188"/>
      <c r="H820" s="34"/>
      <c r="I820" s="34"/>
      <c r="J820" s="34"/>
      <c r="K820" s="44"/>
      <c r="L820" s="105"/>
      <c r="M820" s="34"/>
      <c r="N820" s="34"/>
      <c r="O820" s="34"/>
    </row>
    <row r="821" spans="1:15" ht="12.75">
      <c r="A821" s="34"/>
      <c r="B821" s="34"/>
      <c r="C821" s="34"/>
      <c r="D821" s="188"/>
      <c r="E821" s="188"/>
      <c r="F821" s="34"/>
      <c r="G821" s="188"/>
      <c r="H821" s="34"/>
      <c r="I821" s="34"/>
      <c r="J821" s="34"/>
      <c r="K821" s="44"/>
      <c r="L821" s="105"/>
      <c r="M821" s="34"/>
      <c r="N821" s="34"/>
      <c r="O821" s="34"/>
    </row>
    <row r="822" spans="1:15" ht="12.75">
      <c r="A822" s="34"/>
      <c r="B822" s="34"/>
      <c r="C822" s="34"/>
      <c r="D822" s="188"/>
      <c r="E822" s="188"/>
      <c r="F822" s="34"/>
      <c r="G822" s="188"/>
      <c r="H822" s="34"/>
      <c r="I822" s="34"/>
      <c r="J822" s="34"/>
      <c r="K822" s="44"/>
      <c r="L822" s="105"/>
      <c r="M822" s="34"/>
      <c r="N822" s="34"/>
      <c r="O822" s="34"/>
    </row>
    <row r="823" spans="1:15" ht="12.75">
      <c r="A823" s="34"/>
      <c r="B823" s="34"/>
      <c r="C823" s="34"/>
      <c r="D823" s="188"/>
      <c r="E823" s="188"/>
      <c r="F823" s="34"/>
      <c r="G823" s="188"/>
      <c r="H823" s="34"/>
      <c r="I823" s="34"/>
      <c r="J823" s="34"/>
      <c r="K823" s="44"/>
      <c r="L823" s="105"/>
      <c r="M823" s="34"/>
      <c r="N823" s="34"/>
      <c r="O823" s="34"/>
    </row>
    <row r="824" spans="1:15" ht="12.75">
      <c r="A824" s="34"/>
      <c r="B824" s="34"/>
      <c r="C824" s="34"/>
      <c r="D824" s="188"/>
      <c r="E824" s="188"/>
      <c r="F824" s="34"/>
      <c r="G824" s="188"/>
      <c r="H824" s="34"/>
      <c r="I824" s="34"/>
      <c r="J824" s="34"/>
      <c r="K824" s="44"/>
      <c r="L824" s="105"/>
      <c r="M824" s="34"/>
      <c r="N824" s="34"/>
      <c r="O824" s="34"/>
    </row>
    <row r="825" spans="1:15" ht="12.75">
      <c r="A825" s="34"/>
      <c r="B825" s="34"/>
      <c r="C825" s="34"/>
      <c r="D825" s="188"/>
      <c r="E825" s="188"/>
      <c r="F825" s="34"/>
      <c r="G825" s="188"/>
      <c r="H825" s="34"/>
      <c r="I825" s="34"/>
      <c r="J825" s="34"/>
      <c r="K825" s="44"/>
      <c r="L825" s="105"/>
      <c r="M825" s="34"/>
      <c r="N825" s="34"/>
      <c r="O825" s="34"/>
    </row>
    <row r="826" spans="1:15" ht="12.75">
      <c r="A826" s="34"/>
      <c r="B826" s="34"/>
      <c r="C826" s="34"/>
      <c r="D826" s="188"/>
      <c r="E826" s="188"/>
      <c r="F826" s="34"/>
      <c r="G826" s="188"/>
      <c r="H826" s="34"/>
      <c r="I826" s="34"/>
      <c r="J826" s="34"/>
      <c r="K826" s="44"/>
      <c r="L826" s="105"/>
      <c r="M826" s="34"/>
      <c r="N826" s="34"/>
      <c r="O826" s="34"/>
    </row>
    <row r="827" spans="1:15" ht="12.75">
      <c r="A827" s="34"/>
      <c r="B827" s="34"/>
      <c r="C827" s="34"/>
      <c r="D827" s="188"/>
      <c r="E827" s="188"/>
      <c r="F827" s="34"/>
      <c r="G827" s="188"/>
      <c r="H827" s="34"/>
      <c r="I827" s="34"/>
      <c r="J827" s="34"/>
      <c r="K827" s="44"/>
      <c r="L827" s="105"/>
      <c r="M827" s="34"/>
      <c r="N827" s="34"/>
      <c r="O827" s="34"/>
    </row>
    <row r="828" spans="1:15" ht="12.75">
      <c r="A828" s="34"/>
      <c r="B828" s="34"/>
      <c r="C828" s="34"/>
      <c r="D828" s="188"/>
      <c r="E828" s="188"/>
      <c r="F828" s="34"/>
      <c r="G828" s="188"/>
      <c r="H828" s="34"/>
      <c r="I828" s="34"/>
      <c r="J828" s="34"/>
      <c r="K828" s="44"/>
      <c r="L828" s="105"/>
      <c r="M828" s="34"/>
      <c r="N828" s="34"/>
      <c r="O828" s="34"/>
    </row>
    <row r="829" spans="1:15" ht="12.75">
      <c r="A829" s="34"/>
      <c r="B829" s="34"/>
      <c r="C829" s="34"/>
      <c r="D829" s="188"/>
      <c r="E829" s="188"/>
      <c r="F829" s="34"/>
      <c r="G829" s="188"/>
      <c r="H829" s="34"/>
      <c r="I829" s="34"/>
      <c r="J829" s="34"/>
      <c r="K829" s="44"/>
      <c r="L829" s="105"/>
      <c r="M829" s="34"/>
      <c r="N829" s="34"/>
      <c r="O829" s="34"/>
    </row>
    <row r="830" spans="1:15" ht="12.75">
      <c r="A830" s="34"/>
      <c r="B830" s="34"/>
      <c r="C830" s="34"/>
      <c r="D830" s="188"/>
      <c r="E830" s="188"/>
      <c r="F830" s="34"/>
      <c r="G830" s="188"/>
      <c r="H830" s="34"/>
      <c r="I830" s="34"/>
      <c r="J830" s="34"/>
      <c r="K830" s="44"/>
      <c r="L830" s="105"/>
      <c r="M830" s="34"/>
      <c r="N830" s="34"/>
      <c r="O830" s="34"/>
    </row>
    <row r="831" spans="1:15" ht="12.75">
      <c r="A831" s="34"/>
      <c r="B831" s="34"/>
      <c r="C831" s="34"/>
      <c r="D831" s="188"/>
      <c r="E831" s="188"/>
      <c r="F831" s="34"/>
      <c r="G831" s="188"/>
      <c r="H831" s="34"/>
      <c r="I831" s="34"/>
      <c r="J831" s="34"/>
      <c r="K831" s="44"/>
      <c r="L831" s="105"/>
      <c r="M831" s="34"/>
      <c r="N831" s="34"/>
      <c r="O831" s="34"/>
    </row>
    <row r="832" spans="1:15" ht="12.75">
      <c r="A832" s="34"/>
      <c r="B832" s="34"/>
      <c r="C832" s="34"/>
      <c r="D832" s="188"/>
      <c r="E832" s="188"/>
      <c r="F832" s="34"/>
      <c r="G832" s="188"/>
      <c r="H832" s="34"/>
      <c r="I832" s="34"/>
      <c r="J832" s="34"/>
      <c r="K832" s="44"/>
      <c r="L832" s="105"/>
      <c r="M832" s="34"/>
      <c r="N832" s="34"/>
      <c r="O832" s="34"/>
    </row>
    <row r="833" spans="1:15" ht="12.75">
      <c r="A833" s="34"/>
      <c r="B833" s="34"/>
      <c r="C833" s="34"/>
      <c r="D833" s="188"/>
      <c r="E833" s="188"/>
      <c r="F833" s="34"/>
      <c r="G833" s="188"/>
      <c r="H833" s="34"/>
      <c r="I833" s="34"/>
      <c r="J833" s="34"/>
      <c r="K833" s="44"/>
      <c r="L833" s="105"/>
      <c r="M833" s="34"/>
      <c r="N833" s="34"/>
      <c r="O833" s="34"/>
    </row>
    <row r="834" spans="1:15" ht="12.75">
      <c r="A834" s="34"/>
      <c r="B834" s="34"/>
      <c r="C834" s="34"/>
      <c r="D834" s="188"/>
      <c r="E834" s="188"/>
      <c r="F834" s="34"/>
      <c r="G834" s="188"/>
      <c r="H834" s="34"/>
      <c r="I834" s="34"/>
      <c r="J834" s="34"/>
      <c r="K834" s="44"/>
      <c r="L834" s="105"/>
      <c r="M834" s="34"/>
      <c r="N834" s="34"/>
      <c r="O834" s="34"/>
    </row>
    <row r="835" spans="1:15" ht="12.75">
      <c r="A835" s="34"/>
      <c r="B835" s="34"/>
      <c r="C835" s="34"/>
      <c r="D835" s="188"/>
      <c r="E835" s="188"/>
      <c r="F835" s="34"/>
      <c r="G835" s="188"/>
      <c r="H835" s="34"/>
      <c r="I835" s="34"/>
      <c r="J835" s="34"/>
      <c r="K835" s="44"/>
      <c r="L835" s="105"/>
      <c r="M835" s="34"/>
      <c r="N835" s="34"/>
      <c r="O835" s="34"/>
    </row>
    <row r="836" spans="1:15" ht="12.75">
      <c r="A836" s="34"/>
      <c r="B836" s="34"/>
      <c r="C836" s="34"/>
      <c r="D836" s="188"/>
      <c r="E836" s="188"/>
      <c r="F836" s="34"/>
      <c r="G836" s="188"/>
      <c r="H836" s="34"/>
      <c r="I836" s="34"/>
      <c r="J836" s="34"/>
      <c r="K836" s="44"/>
      <c r="L836" s="105"/>
      <c r="M836" s="34"/>
      <c r="N836" s="34"/>
      <c r="O836" s="34"/>
    </row>
    <row r="837" spans="1:15" ht="12.75">
      <c r="A837" s="34"/>
      <c r="B837" s="34"/>
      <c r="C837" s="34"/>
      <c r="D837" s="188"/>
      <c r="E837" s="188"/>
      <c r="F837" s="34"/>
      <c r="G837" s="188"/>
      <c r="H837" s="34"/>
      <c r="I837" s="34"/>
      <c r="J837" s="34"/>
      <c r="K837" s="44"/>
      <c r="L837" s="105"/>
      <c r="M837" s="34"/>
      <c r="N837" s="34"/>
      <c r="O837" s="34"/>
    </row>
    <row r="838" spans="1:15" ht="12.75">
      <c r="A838" s="34"/>
      <c r="B838" s="34"/>
      <c r="C838" s="34"/>
      <c r="D838" s="188"/>
      <c r="E838" s="188"/>
      <c r="F838" s="34"/>
      <c r="G838" s="188"/>
      <c r="H838" s="34"/>
      <c r="I838" s="34"/>
      <c r="J838" s="34"/>
      <c r="K838" s="44"/>
      <c r="L838" s="105"/>
      <c r="M838" s="34"/>
      <c r="N838" s="34"/>
      <c r="O838" s="34"/>
    </row>
    <row r="839" spans="1:15" ht="12.75">
      <c r="A839" s="34"/>
      <c r="B839" s="34"/>
      <c r="C839" s="34"/>
      <c r="D839" s="188"/>
      <c r="E839" s="188"/>
      <c r="F839" s="34"/>
      <c r="G839" s="188"/>
      <c r="H839" s="34"/>
      <c r="I839" s="34"/>
      <c r="J839" s="34"/>
      <c r="K839" s="44"/>
      <c r="L839" s="105"/>
      <c r="M839" s="34"/>
      <c r="N839" s="34"/>
      <c r="O839" s="34"/>
    </row>
    <row r="840" spans="1:15" ht="12.75">
      <c r="A840" s="34"/>
      <c r="B840" s="34"/>
      <c r="C840" s="34"/>
      <c r="D840" s="188"/>
      <c r="E840" s="188"/>
      <c r="F840" s="34"/>
      <c r="G840" s="188"/>
      <c r="H840" s="34"/>
      <c r="I840" s="34"/>
      <c r="J840" s="34"/>
      <c r="K840" s="44"/>
      <c r="L840" s="105"/>
      <c r="M840" s="34"/>
      <c r="N840" s="34"/>
      <c r="O840" s="34"/>
    </row>
    <row r="841" spans="1:15" ht="12.75">
      <c r="A841" s="34"/>
      <c r="B841" s="34"/>
      <c r="C841" s="34"/>
      <c r="D841" s="188"/>
      <c r="E841" s="188"/>
      <c r="F841" s="34"/>
      <c r="G841" s="188"/>
      <c r="H841" s="34"/>
      <c r="I841" s="34"/>
      <c r="J841" s="34"/>
      <c r="K841" s="44"/>
      <c r="L841" s="105"/>
      <c r="M841" s="34"/>
      <c r="N841" s="34"/>
      <c r="O841" s="34"/>
    </row>
    <row r="842" spans="1:15" ht="12.75">
      <c r="A842" s="34"/>
      <c r="B842" s="34"/>
      <c r="C842" s="34"/>
      <c r="D842" s="188"/>
      <c r="E842" s="188"/>
      <c r="F842" s="34"/>
      <c r="G842" s="188"/>
      <c r="H842" s="34"/>
      <c r="I842" s="34"/>
      <c r="J842" s="34"/>
      <c r="K842" s="44"/>
      <c r="L842" s="105"/>
      <c r="M842" s="34"/>
      <c r="N842" s="34"/>
      <c r="O842" s="34"/>
    </row>
    <row r="843" spans="1:15" ht="12.75">
      <c r="A843" s="34"/>
      <c r="B843" s="34"/>
      <c r="C843" s="34"/>
      <c r="D843" s="188"/>
      <c r="E843" s="188"/>
      <c r="F843" s="34"/>
      <c r="G843" s="188"/>
      <c r="H843" s="34"/>
      <c r="I843" s="34"/>
      <c r="J843" s="34"/>
      <c r="K843" s="44"/>
      <c r="L843" s="105"/>
      <c r="M843" s="34"/>
      <c r="N843" s="34"/>
      <c r="O843" s="34"/>
    </row>
    <row r="844" spans="1:15" ht="12.75">
      <c r="A844" s="34"/>
      <c r="B844" s="34"/>
      <c r="C844" s="34"/>
      <c r="D844" s="188"/>
      <c r="E844" s="188"/>
      <c r="F844" s="34"/>
      <c r="G844" s="188"/>
      <c r="H844" s="34"/>
      <c r="I844" s="34"/>
      <c r="J844" s="34"/>
      <c r="K844" s="44"/>
      <c r="L844" s="105"/>
      <c r="M844" s="34"/>
      <c r="N844" s="34"/>
      <c r="O844" s="34"/>
    </row>
    <row r="845" spans="1:15" ht="12.75">
      <c r="A845" s="34"/>
      <c r="B845" s="34"/>
      <c r="C845" s="34"/>
      <c r="D845" s="188"/>
      <c r="E845" s="188"/>
      <c r="F845" s="34"/>
      <c r="G845" s="188"/>
      <c r="H845" s="34"/>
      <c r="I845" s="34"/>
      <c r="J845" s="34"/>
      <c r="K845" s="44"/>
      <c r="L845" s="105"/>
      <c r="M845" s="34"/>
      <c r="N845" s="34"/>
      <c r="O845" s="34"/>
    </row>
    <row r="846" spans="1:15" ht="12.75">
      <c r="A846" s="34"/>
      <c r="B846" s="34"/>
      <c r="C846" s="34"/>
      <c r="D846" s="188"/>
      <c r="E846" s="188"/>
      <c r="F846" s="34"/>
      <c r="G846" s="188"/>
      <c r="H846" s="34"/>
      <c r="I846" s="34"/>
      <c r="J846" s="34"/>
      <c r="K846" s="44"/>
      <c r="L846" s="105"/>
      <c r="M846" s="34"/>
      <c r="N846" s="34"/>
      <c r="O846" s="34"/>
    </row>
    <row r="847" spans="1:15" ht="12.75">
      <c r="A847" s="34"/>
      <c r="B847" s="34"/>
      <c r="C847" s="34"/>
      <c r="D847" s="188"/>
      <c r="E847" s="188"/>
      <c r="F847" s="34"/>
      <c r="G847" s="188"/>
      <c r="H847" s="34"/>
      <c r="I847" s="34"/>
      <c r="J847" s="34"/>
      <c r="K847" s="44"/>
      <c r="L847" s="105"/>
      <c r="M847" s="34"/>
      <c r="N847" s="34"/>
      <c r="O847" s="34"/>
    </row>
    <row r="848" spans="1:15" ht="12.75">
      <c r="A848" s="34"/>
      <c r="B848" s="34"/>
      <c r="C848" s="34"/>
      <c r="D848" s="188"/>
      <c r="E848" s="188"/>
      <c r="F848" s="34"/>
      <c r="G848" s="188"/>
      <c r="H848" s="34"/>
      <c r="I848" s="34"/>
      <c r="J848" s="34"/>
      <c r="K848" s="44"/>
      <c r="L848" s="105"/>
      <c r="M848" s="34"/>
      <c r="N848" s="34"/>
      <c r="O848" s="34"/>
    </row>
    <row r="849" spans="1:15" ht="12.75">
      <c r="A849" s="34"/>
      <c r="B849" s="34"/>
      <c r="C849" s="34"/>
      <c r="D849" s="188"/>
      <c r="E849" s="188"/>
      <c r="F849" s="34"/>
      <c r="G849" s="188"/>
      <c r="H849" s="34"/>
      <c r="I849" s="34"/>
      <c r="J849" s="34"/>
      <c r="K849" s="44"/>
      <c r="L849" s="105"/>
      <c r="M849" s="34"/>
      <c r="N849" s="34"/>
      <c r="O849" s="34"/>
    </row>
    <row r="850" spans="1:15" ht="12.75">
      <c r="A850" s="34"/>
      <c r="B850" s="34"/>
      <c r="C850" s="34"/>
      <c r="D850" s="188"/>
      <c r="E850" s="188"/>
      <c r="F850" s="34"/>
      <c r="G850" s="188"/>
      <c r="H850" s="34"/>
      <c r="I850" s="34"/>
      <c r="J850" s="34"/>
      <c r="K850" s="44"/>
      <c r="L850" s="105"/>
      <c r="M850" s="34"/>
      <c r="N850" s="34"/>
      <c r="O850" s="34"/>
    </row>
    <row r="851" spans="1:15" ht="12.75">
      <c r="A851" s="34"/>
      <c r="B851" s="34"/>
      <c r="C851" s="34"/>
      <c r="D851" s="188"/>
      <c r="E851" s="188"/>
      <c r="F851" s="34"/>
      <c r="G851" s="188"/>
      <c r="H851" s="34"/>
      <c r="I851" s="34"/>
      <c r="J851" s="34"/>
      <c r="K851" s="44"/>
      <c r="L851" s="105"/>
      <c r="M851" s="34"/>
      <c r="N851" s="34"/>
      <c r="O851" s="34"/>
    </row>
    <row r="852" spans="1:15" ht="12.75">
      <c r="A852" s="34"/>
      <c r="B852" s="34"/>
      <c r="C852" s="34"/>
      <c r="D852" s="188"/>
      <c r="E852" s="188"/>
      <c r="F852" s="34"/>
      <c r="G852" s="188"/>
      <c r="H852" s="34"/>
      <c r="I852" s="34"/>
      <c r="J852" s="34"/>
      <c r="K852" s="44"/>
      <c r="L852" s="105"/>
      <c r="M852" s="34"/>
      <c r="N852" s="34"/>
      <c r="O852" s="34"/>
    </row>
    <row r="853" spans="1:15" ht="12.75">
      <c r="A853" s="34"/>
      <c r="B853" s="34"/>
      <c r="C853" s="34"/>
      <c r="D853" s="188"/>
      <c r="E853" s="188"/>
      <c r="F853" s="34"/>
      <c r="G853" s="188"/>
      <c r="H853" s="34"/>
      <c r="I853" s="34"/>
      <c r="J853" s="34"/>
      <c r="K853" s="44"/>
      <c r="L853" s="105"/>
      <c r="M853" s="34"/>
      <c r="N853" s="34"/>
      <c r="O853" s="34"/>
    </row>
    <row r="854" spans="1:15" ht="12.75">
      <c r="A854" s="34"/>
      <c r="B854" s="34"/>
      <c r="C854" s="34"/>
      <c r="D854" s="188"/>
      <c r="E854" s="188"/>
      <c r="F854" s="34"/>
      <c r="G854" s="188"/>
      <c r="H854" s="34"/>
      <c r="I854" s="34"/>
      <c r="J854" s="34"/>
      <c r="K854" s="44"/>
      <c r="L854" s="105"/>
      <c r="M854" s="34"/>
      <c r="N854" s="34"/>
      <c r="O854" s="34"/>
    </row>
    <row r="855" spans="1:15" ht="12.75">
      <c r="A855" s="34"/>
      <c r="B855" s="34"/>
      <c r="C855" s="34"/>
      <c r="D855" s="188"/>
      <c r="E855" s="188"/>
      <c r="F855" s="34"/>
      <c r="G855" s="188"/>
      <c r="H855" s="34"/>
      <c r="I855" s="34"/>
      <c r="J855" s="34"/>
      <c r="K855" s="44"/>
      <c r="L855" s="105"/>
      <c r="M855" s="34"/>
      <c r="N855" s="34"/>
      <c r="O855" s="34"/>
    </row>
    <row r="856" spans="1:15" ht="12.75">
      <c r="A856" s="34"/>
      <c r="B856" s="34"/>
      <c r="C856" s="34"/>
      <c r="D856" s="188"/>
      <c r="E856" s="188"/>
      <c r="F856" s="34"/>
      <c r="G856" s="188"/>
      <c r="H856" s="34"/>
      <c r="I856" s="34"/>
      <c r="J856" s="34"/>
      <c r="K856" s="44"/>
      <c r="L856" s="105"/>
      <c r="M856" s="34"/>
      <c r="N856" s="34"/>
      <c r="O856" s="34"/>
    </row>
    <row r="857" spans="1:15" ht="12.75">
      <c r="A857" s="34"/>
      <c r="B857" s="34"/>
      <c r="C857" s="34"/>
      <c r="D857" s="188"/>
      <c r="E857" s="188"/>
      <c r="F857" s="34"/>
      <c r="G857" s="188"/>
      <c r="H857" s="34"/>
      <c r="I857" s="34"/>
      <c r="J857" s="34"/>
      <c r="K857" s="44"/>
      <c r="L857" s="105"/>
      <c r="M857" s="34"/>
      <c r="N857" s="34"/>
      <c r="O857" s="34"/>
    </row>
    <row r="858" spans="1:15" ht="12.75">
      <c r="A858" s="34"/>
      <c r="B858" s="34"/>
      <c r="C858" s="34"/>
      <c r="D858" s="188"/>
      <c r="E858" s="188"/>
      <c r="F858" s="34"/>
      <c r="G858" s="188"/>
      <c r="H858" s="34"/>
      <c r="I858" s="34"/>
      <c r="J858" s="34"/>
      <c r="K858" s="44"/>
      <c r="L858" s="105"/>
      <c r="M858" s="34"/>
      <c r="N858" s="34"/>
      <c r="O858" s="34"/>
    </row>
    <row r="859" spans="1:15" ht="12.75">
      <c r="A859" s="34"/>
      <c r="B859" s="34"/>
      <c r="C859" s="34"/>
      <c r="D859" s="188"/>
      <c r="E859" s="188"/>
      <c r="F859" s="34"/>
      <c r="G859" s="188"/>
      <c r="H859" s="34"/>
      <c r="I859" s="34"/>
      <c r="J859" s="34"/>
      <c r="K859" s="44"/>
      <c r="L859" s="105"/>
      <c r="M859" s="34"/>
      <c r="N859" s="34"/>
      <c r="O859" s="34"/>
    </row>
    <row r="860" spans="1:15" ht="12.75">
      <c r="A860" s="34"/>
      <c r="B860" s="34"/>
      <c r="C860" s="34"/>
      <c r="D860" s="188"/>
      <c r="E860" s="188"/>
      <c r="F860" s="34"/>
      <c r="G860" s="188"/>
      <c r="H860" s="34"/>
      <c r="I860" s="34"/>
      <c r="J860" s="34"/>
      <c r="K860" s="44"/>
      <c r="L860" s="105"/>
      <c r="M860" s="34"/>
      <c r="N860" s="34"/>
      <c r="O860" s="34"/>
    </row>
    <row r="861" spans="1:15" ht="12.75">
      <c r="A861" s="34"/>
      <c r="B861" s="34"/>
      <c r="C861" s="34"/>
      <c r="D861" s="188"/>
      <c r="E861" s="188"/>
      <c r="F861" s="34"/>
      <c r="G861" s="188"/>
      <c r="H861" s="34"/>
      <c r="I861" s="34"/>
      <c r="J861" s="34"/>
      <c r="K861" s="44"/>
      <c r="L861" s="105"/>
      <c r="M861" s="34"/>
      <c r="N861" s="34"/>
      <c r="O861" s="34"/>
    </row>
    <row r="862" spans="1:15" ht="12.75">
      <c r="A862" s="34"/>
      <c r="B862" s="34"/>
      <c r="C862" s="34"/>
      <c r="D862" s="188"/>
      <c r="E862" s="188"/>
      <c r="F862" s="34"/>
      <c r="G862" s="188"/>
      <c r="H862" s="34"/>
      <c r="I862" s="34"/>
      <c r="J862" s="34"/>
      <c r="K862" s="44"/>
      <c r="L862" s="105"/>
      <c r="M862" s="34"/>
      <c r="N862" s="34"/>
      <c r="O862" s="34"/>
    </row>
    <row r="863" spans="1:15" ht="12.75">
      <c r="A863" s="34"/>
      <c r="B863" s="34"/>
      <c r="C863" s="34"/>
      <c r="D863" s="188"/>
      <c r="E863" s="188"/>
      <c r="F863" s="34"/>
      <c r="G863" s="188"/>
      <c r="H863" s="34"/>
      <c r="I863" s="34"/>
      <c r="J863" s="34"/>
      <c r="K863" s="44"/>
      <c r="L863" s="105"/>
      <c r="M863" s="34"/>
      <c r="N863" s="34"/>
      <c r="O863" s="34"/>
    </row>
    <row r="864" spans="1:15" ht="12.75">
      <c r="A864" s="34"/>
      <c r="B864" s="34"/>
      <c r="C864" s="34"/>
      <c r="D864" s="188"/>
      <c r="E864" s="188"/>
      <c r="F864" s="34"/>
      <c r="G864" s="188"/>
      <c r="H864" s="34"/>
      <c r="I864" s="34"/>
      <c r="J864" s="34"/>
      <c r="K864" s="44"/>
      <c r="L864" s="105"/>
      <c r="M864" s="34"/>
      <c r="N864" s="34"/>
      <c r="O864" s="34"/>
    </row>
    <row r="865" spans="1:15" ht="12.75">
      <c r="A865" s="34"/>
      <c r="B865" s="34"/>
      <c r="C865" s="34"/>
      <c r="D865" s="188"/>
      <c r="E865" s="188"/>
      <c r="F865" s="34"/>
      <c r="G865" s="188"/>
      <c r="H865" s="34"/>
      <c r="I865" s="34"/>
      <c r="J865" s="34"/>
      <c r="K865" s="44"/>
      <c r="L865" s="105"/>
      <c r="M865" s="34"/>
      <c r="N865" s="34"/>
      <c r="O865" s="34"/>
    </row>
    <row r="866" spans="1:15" ht="12.75">
      <c r="A866" s="34"/>
      <c r="B866" s="34"/>
      <c r="C866" s="34"/>
      <c r="D866" s="188"/>
      <c r="E866" s="188"/>
      <c r="F866" s="34"/>
      <c r="G866" s="188"/>
      <c r="H866" s="34"/>
      <c r="I866" s="34"/>
      <c r="J866" s="34"/>
      <c r="K866" s="44"/>
      <c r="L866" s="105"/>
      <c r="M866" s="34"/>
      <c r="N866" s="34"/>
      <c r="O866" s="34"/>
    </row>
    <row r="867" spans="1:15" ht="12.75">
      <c r="A867" s="34"/>
      <c r="B867" s="34"/>
      <c r="C867" s="34"/>
      <c r="D867" s="188"/>
      <c r="E867" s="188"/>
      <c r="F867" s="34"/>
      <c r="G867" s="188"/>
      <c r="H867" s="34"/>
      <c r="I867" s="34"/>
      <c r="J867" s="34"/>
      <c r="K867" s="44"/>
      <c r="L867" s="105"/>
      <c r="M867" s="34"/>
      <c r="N867" s="34"/>
      <c r="O867" s="34"/>
    </row>
    <row r="868" spans="1:15" ht="12.75">
      <c r="A868" s="34"/>
      <c r="B868" s="34"/>
      <c r="C868" s="34"/>
      <c r="D868" s="188"/>
      <c r="E868" s="188"/>
      <c r="F868" s="34"/>
      <c r="G868" s="188"/>
      <c r="H868" s="34"/>
      <c r="I868" s="34"/>
      <c r="J868" s="34"/>
      <c r="K868" s="44"/>
      <c r="L868" s="105"/>
      <c r="M868" s="34"/>
      <c r="N868" s="34"/>
      <c r="O868" s="34"/>
    </row>
    <row r="869" spans="1:15" ht="12.75">
      <c r="A869" s="34"/>
      <c r="B869" s="34"/>
      <c r="C869" s="34"/>
      <c r="D869" s="188"/>
      <c r="E869" s="188"/>
      <c r="F869" s="34"/>
      <c r="G869" s="188"/>
      <c r="H869" s="34"/>
      <c r="I869" s="34"/>
      <c r="J869" s="34"/>
      <c r="K869" s="44"/>
      <c r="L869" s="105"/>
      <c r="M869" s="34"/>
      <c r="N869" s="34"/>
      <c r="O869" s="34"/>
    </row>
    <row r="870" spans="1:15" ht="12.75">
      <c r="A870" s="34"/>
      <c r="B870" s="34"/>
      <c r="C870" s="34"/>
      <c r="D870" s="188"/>
      <c r="E870" s="188"/>
      <c r="F870" s="34"/>
      <c r="G870" s="188"/>
      <c r="H870" s="34"/>
      <c r="I870" s="34"/>
      <c r="J870" s="34"/>
      <c r="K870" s="44"/>
      <c r="L870" s="105"/>
      <c r="M870" s="34"/>
      <c r="N870" s="34"/>
      <c r="O870" s="34"/>
    </row>
    <row r="871" spans="1:15" ht="12.75">
      <c r="A871" s="34"/>
      <c r="B871" s="34"/>
      <c r="C871" s="34"/>
      <c r="D871" s="188"/>
      <c r="E871" s="188"/>
      <c r="F871" s="34"/>
      <c r="G871" s="188"/>
      <c r="H871" s="34"/>
      <c r="I871" s="34"/>
      <c r="J871" s="34"/>
      <c r="K871" s="44"/>
      <c r="L871" s="105"/>
      <c r="M871" s="34"/>
      <c r="N871" s="34"/>
      <c r="O871" s="34"/>
    </row>
    <row r="872" spans="1:15" ht="12.75">
      <c r="A872" s="34"/>
      <c r="B872" s="34"/>
      <c r="C872" s="34"/>
      <c r="D872" s="188"/>
      <c r="E872" s="188"/>
      <c r="F872" s="34"/>
      <c r="G872" s="188"/>
      <c r="H872" s="34"/>
      <c r="I872" s="34"/>
      <c r="J872" s="34"/>
      <c r="K872" s="44"/>
      <c r="L872" s="105"/>
      <c r="M872" s="34"/>
      <c r="N872" s="34"/>
      <c r="O872" s="34"/>
    </row>
    <row r="873" spans="1:15" ht="12.75">
      <c r="A873" s="34"/>
      <c r="B873" s="34"/>
      <c r="C873" s="34"/>
      <c r="D873" s="188"/>
      <c r="E873" s="188"/>
      <c r="F873" s="34"/>
      <c r="G873" s="188"/>
      <c r="H873" s="34"/>
      <c r="I873" s="34"/>
      <c r="J873" s="34"/>
      <c r="K873" s="44"/>
      <c r="L873" s="105"/>
      <c r="M873" s="34"/>
      <c r="N873" s="34"/>
      <c r="O873" s="34"/>
    </row>
    <row r="874" spans="1:15" ht="12.75">
      <c r="A874" s="34"/>
      <c r="B874" s="34"/>
      <c r="C874" s="34"/>
      <c r="D874" s="188"/>
      <c r="E874" s="188"/>
      <c r="F874" s="34"/>
      <c r="G874" s="188"/>
      <c r="H874" s="34"/>
      <c r="I874" s="34"/>
      <c r="J874" s="34"/>
      <c r="K874" s="44"/>
      <c r="L874" s="105"/>
      <c r="M874" s="34"/>
      <c r="N874" s="34"/>
      <c r="O874" s="34"/>
    </row>
    <row r="875" spans="1:15" ht="12.75">
      <c r="A875" s="34"/>
      <c r="B875" s="34"/>
      <c r="C875" s="34"/>
      <c r="D875" s="188"/>
      <c r="E875" s="188"/>
      <c r="F875" s="34"/>
      <c r="G875" s="188"/>
      <c r="H875" s="34"/>
      <c r="I875" s="34"/>
      <c r="J875" s="34"/>
      <c r="K875" s="44"/>
      <c r="L875" s="105"/>
      <c r="M875" s="34"/>
      <c r="N875" s="34"/>
      <c r="O875" s="34"/>
    </row>
    <row r="876" spans="1:15" ht="12.75">
      <c r="A876" s="34"/>
      <c r="B876" s="34"/>
      <c r="C876" s="34"/>
      <c r="D876" s="188"/>
      <c r="E876" s="188"/>
      <c r="F876" s="34"/>
      <c r="G876" s="188"/>
      <c r="H876" s="34"/>
      <c r="I876" s="34"/>
      <c r="J876" s="34"/>
      <c r="K876" s="44"/>
      <c r="L876" s="105"/>
      <c r="M876" s="34"/>
      <c r="N876" s="34"/>
      <c r="O876" s="34"/>
    </row>
    <row r="877" spans="1:15" ht="12.75">
      <c r="A877" s="34"/>
      <c r="B877" s="34"/>
      <c r="C877" s="34"/>
      <c r="D877" s="188"/>
      <c r="E877" s="188"/>
      <c r="F877" s="34"/>
      <c r="G877" s="188"/>
      <c r="H877" s="34"/>
      <c r="I877" s="34"/>
      <c r="J877" s="34"/>
      <c r="K877" s="44"/>
      <c r="L877" s="105"/>
      <c r="M877" s="34"/>
      <c r="N877" s="34"/>
      <c r="O877" s="34"/>
    </row>
    <row r="878" spans="1:15" ht="12.75">
      <c r="A878" s="34"/>
      <c r="B878" s="34"/>
      <c r="C878" s="34"/>
      <c r="D878" s="188"/>
      <c r="E878" s="188"/>
      <c r="F878" s="34"/>
      <c r="G878" s="188"/>
      <c r="H878" s="34"/>
      <c r="I878" s="34"/>
      <c r="J878" s="34"/>
      <c r="K878" s="44"/>
      <c r="L878" s="105"/>
      <c r="M878" s="34"/>
      <c r="N878" s="34"/>
      <c r="O878" s="34"/>
    </row>
    <row r="879" spans="1:15" ht="12.75">
      <c r="A879" s="34"/>
      <c r="B879" s="34"/>
      <c r="C879" s="34"/>
      <c r="D879" s="188"/>
      <c r="E879" s="188"/>
      <c r="F879" s="34"/>
      <c r="G879" s="188"/>
      <c r="H879" s="34"/>
      <c r="I879" s="34"/>
      <c r="J879" s="34"/>
      <c r="K879" s="44"/>
      <c r="L879" s="105"/>
      <c r="M879" s="34"/>
      <c r="N879" s="34"/>
      <c r="O879" s="34"/>
    </row>
    <row r="880" spans="1:15" ht="12.75">
      <c r="A880" s="34"/>
      <c r="B880" s="34"/>
      <c r="C880" s="34"/>
      <c r="D880" s="188"/>
      <c r="E880" s="188"/>
      <c r="F880" s="34"/>
      <c r="G880" s="188"/>
      <c r="H880" s="34"/>
      <c r="I880" s="34"/>
      <c r="J880" s="34"/>
      <c r="K880" s="44"/>
      <c r="L880" s="105"/>
      <c r="M880" s="34"/>
      <c r="N880" s="34"/>
      <c r="O880" s="34"/>
    </row>
    <row r="881" spans="1:15" ht="12.75">
      <c r="A881" s="34"/>
      <c r="B881" s="34"/>
      <c r="C881" s="34"/>
      <c r="D881" s="188"/>
      <c r="E881" s="188"/>
      <c r="F881" s="34"/>
      <c r="G881" s="188"/>
      <c r="H881" s="34"/>
      <c r="I881" s="34"/>
      <c r="J881" s="34"/>
      <c r="K881" s="44"/>
      <c r="L881" s="105"/>
      <c r="M881" s="34"/>
      <c r="N881" s="34"/>
      <c r="O881" s="34"/>
    </row>
    <row r="882" spans="1:15" ht="12.75">
      <c r="A882" s="34"/>
      <c r="B882" s="34"/>
      <c r="C882" s="34"/>
      <c r="D882" s="188"/>
      <c r="E882" s="188"/>
      <c r="F882" s="34"/>
      <c r="G882" s="188"/>
      <c r="H882" s="34"/>
      <c r="I882" s="34"/>
      <c r="J882" s="34"/>
      <c r="K882" s="44"/>
      <c r="L882" s="105"/>
      <c r="M882" s="34"/>
      <c r="N882" s="34"/>
      <c r="O882" s="34"/>
    </row>
    <row r="883" spans="1:15" ht="12.75">
      <c r="A883" s="34"/>
      <c r="B883" s="34"/>
      <c r="C883" s="34"/>
      <c r="D883" s="188"/>
      <c r="E883" s="188"/>
      <c r="F883" s="34"/>
      <c r="G883" s="188"/>
      <c r="H883" s="34"/>
      <c r="I883" s="34"/>
      <c r="J883" s="34"/>
      <c r="K883" s="44"/>
      <c r="L883" s="105"/>
      <c r="M883" s="34"/>
      <c r="N883" s="34"/>
      <c r="O883" s="34"/>
    </row>
    <row r="884" spans="1:15" ht="12.75">
      <c r="A884" s="34"/>
      <c r="B884" s="34"/>
      <c r="C884" s="34"/>
      <c r="D884" s="188"/>
      <c r="E884" s="188"/>
      <c r="F884" s="34"/>
      <c r="G884" s="188"/>
      <c r="H884" s="34"/>
      <c r="I884" s="34"/>
      <c r="J884" s="34"/>
      <c r="K884" s="44"/>
      <c r="L884" s="105"/>
      <c r="M884" s="34"/>
      <c r="N884" s="34"/>
      <c r="O884" s="34"/>
    </row>
    <row r="885" spans="1:15" ht="12.75">
      <c r="A885" s="34"/>
      <c r="B885" s="34"/>
      <c r="C885" s="34"/>
      <c r="D885" s="188"/>
      <c r="E885" s="188"/>
      <c r="F885" s="34"/>
      <c r="G885" s="188"/>
      <c r="H885" s="34"/>
      <c r="I885" s="34"/>
      <c r="J885" s="34"/>
      <c r="K885" s="44"/>
      <c r="L885" s="105"/>
      <c r="M885" s="34"/>
      <c r="N885" s="34"/>
      <c r="O885" s="34"/>
    </row>
    <row r="886" spans="1:15" ht="12.75">
      <c r="A886" s="34"/>
      <c r="B886" s="34"/>
      <c r="C886" s="34"/>
      <c r="D886" s="188"/>
      <c r="E886" s="188"/>
      <c r="F886" s="34"/>
      <c r="G886" s="188"/>
      <c r="H886" s="34"/>
      <c r="I886" s="34"/>
      <c r="J886" s="34"/>
      <c r="K886" s="44"/>
      <c r="L886" s="105"/>
      <c r="M886" s="34"/>
      <c r="N886" s="34"/>
      <c r="O886" s="34"/>
    </row>
    <row r="887" spans="1:15" ht="12.75">
      <c r="A887" s="34"/>
      <c r="B887" s="34"/>
      <c r="C887" s="34"/>
      <c r="D887" s="188"/>
      <c r="E887" s="188"/>
      <c r="F887" s="34"/>
      <c r="G887" s="188"/>
      <c r="H887" s="34"/>
      <c r="I887" s="34"/>
      <c r="J887" s="34"/>
      <c r="K887" s="44"/>
      <c r="L887" s="105"/>
      <c r="M887" s="34"/>
      <c r="N887" s="34"/>
      <c r="O887" s="34"/>
    </row>
    <row r="888" spans="1:15" ht="12.75">
      <c r="A888" s="34"/>
      <c r="B888" s="34"/>
      <c r="C888" s="34"/>
      <c r="D888" s="188"/>
      <c r="E888" s="188"/>
      <c r="F888" s="34"/>
      <c r="G888" s="188"/>
      <c r="H888" s="34"/>
      <c r="I888" s="34"/>
      <c r="J888" s="34"/>
      <c r="K888" s="44"/>
      <c r="L888" s="105"/>
      <c r="M888" s="34"/>
      <c r="N888" s="34"/>
      <c r="O888" s="34"/>
    </row>
    <row r="889" spans="1:15" ht="12.75">
      <c r="A889" s="34"/>
      <c r="B889" s="34"/>
      <c r="C889" s="34"/>
      <c r="D889" s="188"/>
      <c r="E889" s="188"/>
      <c r="F889" s="34"/>
      <c r="G889" s="188"/>
      <c r="H889" s="34"/>
      <c r="I889" s="34"/>
      <c r="J889" s="34"/>
      <c r="K889" s="44"/>
      <c r="L889" s="105"/>
      <c r="M889" s="34"/>
      <c r="N889" s="34"/>
      <c r="O889" s="34"/>
    </row>
    <row r="890" spans="1:15" ht="12.75">
      <c r="A890" s="34"/>
      <c r="B890" s="34"/>
      <c r="C890" s="34"/>
      <c r="D890" s="188"/>
      <c r="E890" s="188"/>
      <c r="F890" s="34"/>
      <c r="G890" s="188"/>
      <c r="H890" s="34"/>
      <c r="I890" s="34"/>
      <c r="J890" s="34"/>
      <c r="K890" s="44"/>
      <c r="L890" s="105"/>
      <c r="M890" s="34"/>
      <c r="N890" s="34"/>
      <c r="O890" s="34"/>
    </row>
    <row r="891" spans="1:15" ht="12.75">
      <c r="A891" s="34"/>
      <c r="B891" s="34"/>
      <c r="C891" s="34"/>
      <c r="D891" s="188"/>
      <c r="E891" s="188"/>
      <c r="F891" s="34"/>
      <c r="G891" s="188"/>
      <c r="H891" s="34"/>
      <c r="I891" s="34"/>
      <c r="J891" s="34"/>
      <c r="K891" s="44"/>
      <c r="L891" s="105"/>
      <c r="M891" s="34"/>
      <c r="N891" s="34"/>
      <c r="O891" s="34"/>
    </row>
    <row r="892" spans="1:15" ht="12.75">
      <c r="A892" s="34"/>
      <c r="B892" s="34"/>
      <c r="C892" s="34"/>
      <c r="D892" s="188"/>
      <c r="E892" s="188"/>
      <c r="F892" s="34"/>
      <c r="G892" s="188"/>
      <c r="H892" s="34"/>
      <c r="I892" s="34"/>
      <c r="J892" s="34"/>
      <c r="K892" s="44"/>
      <c r="L892" s="105"/>
      <c r="M892" s="34"/>
      <c r="N892" s="34"/>
      <c r="O892" s="34"/>
    </row>
    <row r="893" spans="1:15" ht="12.75">
      <c r="A893" s="34"/>
      <c r="B893" s="34"/>
      <c r="C893" s="34"/>
      <c r="D893" s="188"/>
      <c r="E893" s="188"/>
      <c r="F893" s="34"/>
      <c r="G893" s="188"/>
      <c r="H893" s="34"/>
      <c r="I893" s="34"/>
      <c r="J893" s="34"/>
      <c r="K893" s="44"/>
      <c r="L893" s="105"/>
      <c r="M893" s="34"/>
      <c r="N893" s="34"/>
      <c r="O893" s="34"/>
    </row>
    <row r="894" spans="1:15" ht="12.75">
      <c r="A894" s="34"/>
      <c r="B894" s="34"/>
      <c r="C894" s="34"/>
      <c r="D894" s="188"/>
      <c r="E894" s="188"/>
      <c r="F894" s="34"/>
      <c r="G894" s="188"/>
      <c r="H894" s="34"/>
      <c r="I894" s="34"/>
      <c r="J894" s="34"/>
      <c r="K894" s="44"/>
      <c r="L894" s="105"/>
      <c r="M894" s="34"/>
      <c r="N894" s="34"/>
      <c r="O894" s="34"/>
    </row>
    <row r="895" spans="1:15" ht="12.75">
      <c r="A895" s="34"/>
      <c r="B895" s="34"/>
      <c r="C895" s="34"/>
      <c r="D895" s="188"/>
      <c r="E895" s="188"/>
      <c r="F895" s="34"/>
      <c r="G895" s="188"/>
      <c r="H895" s="34"/>
      <c r="I895" s="34"/>
      <c r="J895" s="34"/>
      <c r="K895" s="44"/>
      <c r="L895" s="105"/>
      <c r="M895" s="34"/>
      <c r="N895" s="34"/>
      <c r="O895" s="34"/>
    </row>
    <row r="896" spans="1:15" ht="12.75">
      <c r="A896" s="34"/>
      <c r="B896" s="34"/>
      <c r="C896" s="34"/>
      <c r="D896" s="188"/>
      <c r="E896" s="188"/>
      <c r="F896" s="34"/>
      <c r="G896" s="188"/>
      <c r="H896" s="34"/>
      <c r="I896" s="34"/>
      <c r="J896" s="34"/>
      <c r="K896" s="44"/>
      <c r="L896" s="105"/>
      <c r="M896" s="34"/>
      <c r="N896" s="34"/>
      <c r="O896" s="34"/>
    </row>
    <row r="897" spans="1:15" ht="12.75">
      <c r="A897" s="34"/>
      <c r="B897" s="34"/>
      <c r="C897" s="34"/>
      <c r="D897" s="188"/>
      <c r="E897" s="188"/>
      <c r="F897" s="34"/>
      <c r="G897" s="188"/>
      <c r="H897" s="34"/>
      <c r="I897" s="34"/>
      <c r="J897" s="34"/>
      <c r="K897" s="44"/>
      <c r="L897" s="105"/>
      <c r="M897" s="34"/>
      <c r="N897" s="34"/>
      <c r="O897" s="34"/>
    </row>
    <row r="898" spans="1:15" ht="12.75">
      <c r="A898" s="34"/>
      <c r="B898" s="34"/>
      <c r="C898" s="34"/>
      <c r="D898" s="188"/>
      <c r="E898" s="188"/>
      <c r="F898" s="34"/>
      <c r="G898" s="188"/>
      <c r="H898" s="34"/>
      <c r="I898" s="34"/>
      <c r="J898" s="34"/>
      <c r="K898" s="44"/>
      <c r="L898" s="105"/>
      <c r="M898" s="34"/>
      <c r="N898" s="34"/>
      <c r="O898" s="34"/>
    </row>
    <row r="899" spans="1:15" ht="12.75">
      <c r="A899" s="34"/>
      <c r="B899" s="34"/>
      <c r="C899" s="34"/>
      <c r="D899" s="188"/>
      <c r="E899" s="188"/>
      <c r="F899" s="34"/>
      <c r="G899" s="188"/>
      <c r="H899" s="34"/>
      <c r="I899" s="34"/>
      <c r="J899" s="34"/>
      <c r="K899" s="44"/>
      <c r="L899" s="105"/>
      <c r="M899" s="34"/>
      <c r="N899" s="34"/>
      <c r="O899" s="34"/>
    </row>
    <row r="900" spans="1:15" ht="12.75">
      <c r="A900" s="34"/>
      <c r="B900" s="34"/>
      <c r="C900" s="34"/>
      <c r="D900" s="188"/>
      <c r="E900" s="188"/>
      <c r="F900" s="34"/>
      <c r="G900" s="188"/>
      <c r="H900" s="34"/>
      <c r="I900" s="34"/>
      <c r="J900" s="34"/>
      <c r="K900" s="44"/>
      <c r="L900" s="105"/>
      <c r="M900" s="34"/>
      <c r="N900" s="34"/>
      <c r="O900" s="34"/>
    </row>
    <row r="901" spans="1:15" ht="12.75">
      <c r="A901" s="34"/>
      <c r="B901" s="34"/>
      <c r="C901" s="34"/>
      <c r="D901" s="188"/>
      <c r="E901" s="188"/>
      <c r="F901" s="34"/>
      <c r="G901" s="188"/>
      <c r="H901" s="34"/>
      <c r="I901" s="34"/>
      <c r="J901" s="34"/>
      <c r="K901" s="44"/>
      <c r="L901" s="105"/>
      <c r="M901" s="34"/>
      <c r="N901" s="34"/>
      <c r="O901" s="34"/>
    </row>
    <row r="902" spans="1:15" ht="12.75">
      <c r="A902" s="34"/>
      <c r="B902" s="34"/>
      <c r="C902" s="34"/>
      <c r="D902" s="188"/>
      <c r="E902" s="188"/>
      <c r="F902" s="34"/>
      <c r="G902" s="188"/>
      <c r="H902" s="34"/>
      <c r="I902" s="34"/>
      <c r="J902" s="34"/>
      <c r="K902" s="44"/>
      <c r="L902" s="105"/>
      <c r="M902" s="34"/>
      <c r="N902" s="34"/>
      <c r="O902" s="34"/>
    </row>
    <row r="903" spans="1:15" ht="12.75">
      <c r="A903" s="34"/>
      <c r="B903" s="34"/>
      <c r="C903" s="34"/>
      <c r="D903" s="188"/>
      <c r="E903" s="188"/>
      <c r="F903" s="34"/>
      <c r="G903" s="188"/>
      <c r="H903" s="34"/>
      <c r="I903" s="34"/>
      <c r="J903" s="34"/>
      <c r="K903" s="44"/>
      <c r="L903" s="105"/>
      <c r="M903" s="34"/>
      <c r="N903" s="34"/>
      <c r="O903" s="34"/>
    </row>
    <row r="904" spans="1:15" ht="12.75">
      <c r="A904" s="34"/>
      <c r="B904" s="34"/>
      <c r="C904" s="34"/>
      <c r="D904" s="188"/>
      <c r="E904" s="188"/>
      <c r="F904" s="34"/>
      <c r="G904" s="188"/>
      <c r="H904" s="34"/>
      <c r="I904" s="34"/>
      <c r="J904" s="34"/>
      <c r="K904" s="44"/>
      <c r="L904" s="105"/>
      <c r="M904" s="34"/>
      <c r="N904" s="34"/>
      <c r="O904" s="34"/>
    </row>
    <row r="905" spans="1:15" ht="12.75">
      <c r="A905" s="34"/>
      <c r="B905" s="34"/>
      <c r="C905" s="34"/>
      <c r="D905" s="188"/>
      <c r="E905" s="188"/>
      <c r="F905" s="34"/>
      <c r="G905" s="188"/>
      <c r="H905" s="34"/>
      <c r="I905" s="34"/>
      <c r="J905" s="34"/>
      <c r="K905" s="44"/>
      <c r="L905" s="105"/>
      <c r="M905" s="34"/>
      <c r="N905" s="34"/>
      <c r="O905" s="34"/>
    </row>
    <row r="906" spans="1:15" ht="12.75">
      <c r="A906" s="34"/>
      <c r="B906" s="34"/>
      <c r="C906" s="34"/>
      <c r="D906" s="188"/>
      <c r="E906" s="188"/>
      <c r="F906" s="34"/>
      <c r="G906" s="188"/>
      <c r="H906" s="34"/>
      <c r="I906" s="34"/>
      <c r="J906" s="34"/>
      <c r="K906" s="44"/>
      <c r="L906" s="105"/>
      <c r="M906" s="34"/>
      <c r="N906" s="34"/>
      <c r="O906" s="34"/>
    </row>
    <row r="907" spans="1:15" ht="12.75">
      <c r="A907" s="34"/>
      <c r="B907" s="34"/>
      <c r="C907" s="34"/>
      <c r="D907" s="188"/>
      <c r="E907" s="188"/>
      <c r="F907" s="34"/>
      <c r="G907" s="188"/>
      <c r="H907" s="34"/>
      <c r="I907" s="34"/>
      <c r="J907" s="34"/>
      <c r="K907" s="44"/>
      <c r="L907" s="105"/>
      <c r="M907" s="34"/>
      <c r="N907" s="34"/>
      <c r="O907" s="34"/>
    </row>
    <row r="908" spans="1:15" ht="12.75">
      <c r="A908" s="34"/>
      <c r="B908" s="34"/>
      <c r="C908" s="34"/>
      <c r="D908" s="188"/>
      <c r="E908" s="188"/>
      <c r="F908" s="34"/>
      <c r="G908" s="188"/>
      <c r="H908" s="34"/>
      <c r="I908" s="34"/>
      <c r="J908" s="34"/>
      <c r="K908" s="44"/>
      <c r="L908" s="105"/>
      <c r="M908" s="34"/>
      <c r="N908" s="34"/>
      <c r="O908" s="34"/>
    </row>
    <row r="909" spans="1:15" ht="12.75">
      <c r="A909" s="34"/>
      <c r="B909" s="34"/>
      <c r="C909" s="34"/>
      <c r="D909" s="188"/>
      <c r="E909" s="188"/>
      <c r="F909" s="34"/>
      <c r="G909" s="188"/>
      <c r="H909" s="34"/>
      <c r="I909" s="34"/>
      <c r="J909" s="34"/>
      <c r="K909" s="44"/>
      <c r="L909" s="105"/>
      <c r="M909" s="34"/>
      <c r="N909" s="34"/>
      <c r="O909" s="34"/>
    </row>
    <row r="910" spans="1:15" ht="12.75">
      <c r="A910" s="34"/>
      <c r="B910" s="34"/>
      <c r="C910" s="34"/>
      <c r="D910" s="188"/>
      <c r="E910" s="188"/>
      <c r="F910" s="34"/>
      <c r="G910" s="188"/>
      <c r="H910" s="34"/>
      <c r="I910" s="34"/>
      <c r="J910" s="34"/>
      <c r="K910" s="44"/>
      <c r="L910" s="105"/>
      <c r="M910" s="34"/>
      <c r="N910" s="34"/>
      <c r="O910" s="34"/>
    </row>
    <row r="911" spans="1:15" ht="12.75">
      <c r="A911" s="34"/>
      <c r="B911" s="34"/>
      <c r="C911" s="34"/>
      <c r="D911" s="188"/>
      <c r="E911" s="188"/>
      <c r="F911" s="34"/>
      <c r="G911" s="188"/>
      <c r="H911" s="34"/>
      <c r="I911" s="34"/>
      <c r="J911" s="34"/>
      <c r="K911" s="44"/>
      <c r="L911" s="105"/>
      <c r="M911" s="34"/>
      <c r="N911" s="34"/>
      <c r="O911" s="34"/>
    </row>
    <row r="912" spans="1:15" ht="12.75">
      <c r="A912" s="34"/>
      <c r="B912" s="34"/>
      <c r="C912" s="34"/>
      <c r="D912" s="188"/>
      <c r="E912" s="188"/>
      <c r="F912" s="34"/>
      <c r="G912" s="188"/>
      <c r="H912" s="34"/>
      <c r="I912" s="34"/>
      <c r="J912" s="34"/>
      <c r="K912" s="44"/>
      <c r="L912" s="105"/>
      <c r="M912" s="34"/>
      <c r="N912" s="34"/>
      <c r="O912" s="34"/>
    </row>
    <row r="913" spans="1:15" ht="12.75">
      <c r="A913" s="34"/>
      <c r="B913" s="34"/>
      <c r="C913" s="34"/>
      <c r="D913" s="188"/>
      <c r="E913" s="188"/>
      <c r="F913" s="34"/>
      <c r="G913" s="188"/>
      <c r="H913" s="34"/>
      <c r="I913" s="34"/>
      <c r="J913" s="34"/>
      <c r="K913" s="44"/>
      <c r="L913" s="105"/>
      <c r="M913" s="34"/>
      <c r="N913" s="34"/>
      <c r="O913" s="34"/>
    </row>
    <row r="914" spans="1:15" ht="12.75">
      <c r="A914" s="34"/>
      <c r="B914" s="34"/>
      <c r="C914" s="34"/>
      <c r="D914" s="188"/>
      <c r="E914" s="188"/>
      <c r="F914" s="34"/>
      <c r="G914" s="188"/>
      <c r="H914" s="34"/>
      <c r="I914" s="34"/>
      <c r="J914" s="34"/>
      <c r="K914" s="44"/>
      <c r="L914" s="105"/>
      <c r="M914" s="34"/>
      <c r="N914" s="34"/>
      <c r="O914" s="34"/>
    </row>
    <row r="915" spans="1:15" ht="12.75">
      <c r="A915" s="34"/>
      <c r="B915" s="34"/>
      <c r="C915" s="34"/>
      <c r="D915" s="188"/>
      <c r="E915" s="188"/>
      <c r="F915" s="34"/>
      <c r="G915" s="188"/>
      <c r="H915" s="34"/>
      <c r="I915" s="34"/>
      <c r="J915" s="34"/>
      <c r="K915" s="44"/>
      <c r="L915" s="105"/>
      <c r="M915" s="34"/>
      <c r="N915" s="34"/>
      <c r="O915" s="34"/>
    </row>
    <row r="916" spans="1:15" ht="12.75">
      <c r="A916" s="34"/>
      <c r="B916" s="34"/>
      <c r="C916" s="34"/>
      <c r="D916" s="188"/>
      <c r="E916" s="188"/>
      <c r="F916" s="34"/>
      <c r="G916" s="188"/>
      <c r="H916" s="34"/>
      <c r="I916" s="34"/>
      <c r="J916" s="34"/>
      <c r="K916" s="44"/>
      <c r="L916" s="105"/>
      <c r="M916" s="34"/>
      <c r="N916" s="34"/>
      <c r="O916" s="34"/>
    </row>
    <row r="917" spans="1:15" ht="12.75">
      <c r="A917" s="34"/>
      <c r="B917" s="34"/>
      <c r="C917" s="34"/>
      <c r="D917" s="188"/>
      <c r="E917" s="188"/>
      <c r="F917" s="34"/>
      <c r="G917" s="188"/>
      <c r="H917" s="34"/>
      <c r="I917" s="34"/>
      <c r="J917" s="34"/>
      <c r="K917" s="44"/>
      <c r="L917" s="105"/>
      <c r="M917" s="34"/>
      <c r="N917" s="34"/>
      <c r="O917" s="34"/>
    </row>
    <row r="918" spans="1:15" ht="12.75">
      <c r="A918" s="34"/>
      <c r="B918" s="34"/>
      <c r="C918" s="34"/>
      <c r="D918" s="188"/>
      <c r="E918" s="188"/>
      <c r="F918" s="34"/>
      <c r="G918" s="188"/>
      <c r="H918" s="34"/>
      <c r="I918" s="34"/>
      <c r="J918" s="34"/>
      <c r="K918" s="44"/>
      <c r="L918" s="105"/>
      <c r="M918" s="34"/>
      <c r="N918" s="34"/>
      <c r="O918" s="34"/>
    </row>
    <row r="919" spans="1:15" ht="12.75">
      <c r="A919" s="34"/>
      <c r="B919" s="34"/>
      <c r="C919" s="34"/>
      <c r="D919" s="188"/>
      <c r="E919" s="188"/>
      <c r="F919" s="34"/>
      <c r="G919" s="188"/>
      <c r="H919" s="34"/>
      <c r="I919" s="34"/>
      <c r="J919" s="34"/>
      <c r="K919" s="44"/>
      <c r="L919" s="105"/>
      <c r="M919" s="34"/>
      <c r="N919" s="34"/>
      <c r="O919" s="34"/>
    </row>
    <row r="920" spans="1:15" ht="12.75">
      <c r="A920" s="34"/>
      <c r="B920" s="34"/>
      <c r="C920" s="34"/>
      <c r="D920" s="188"/>
      <c r="E920" s="188"/>
      <c r="F920" s="34"/>
      <c r="G920" s="188"/>
      <c r="H920" s="34"/>
      <c r="I920" s="34"/>
      <c r="J920" s="34"/>
      <c r="K920" s="44"/>
      <c r="L920" s="105"/>
      <c r="M920" s="34"/>
      <c r="N920" s="34"/>
      <c r="O920" s="34"/>
    </row>
    <row r="921" spans="1:15" ht="12.75">
      <c r="A921" s="34"/>
      <c r="B921" s="34"/>
      <c r="C921" s="34"/>
      <c r="D921" s="188"/>
      <c r="E921" s="188"/>
      <c r="F921" s="34"/>
      <c r="G921" s="188"/>
      <c r="H921" s="34"/>
      <c r="I921" s="34"/>
      <c r="J921" s="34"/>
      <c r="K921" s="44"/>
      <c r="L921" s="105"/>
      <c r="M921" s="34"/>
      <c r="N921" s="34"/>
      <c r="O921" s="34"/>
    </row>
    <row r="922" spans="1:15" ht="12.75">
      <c r="A922" s="34"/>
      <c r="B922" s="34"/>
      <c r="C922" s="34"/>
      <c r="D922" s="188"/>
      <c r="E922" s="188"/>
      <c r="F922" s="34"/>
      <c r="G922" s="188"/>
      <c r="H922" s="34"/>
      <c r="I922" s="34"/>
      <c r="J922" s="34"/>
      <c r="K922" s="44"/>
      <c r="L922" s="105"/>
      <c r="M922" s="34"/>
      <c r="N922" s="34"/>
      <c r="O922" s="34"/>
    </row>
    <row r="923" spans="1:15" ht="12.75">
      <c r="A923" s="34"/>
      <c r="B923" s="34"/>
      <c r="C923" s="34"/>
      <c r="D923" s="188"/>
      <c r="E923" s="188"/>
      <c r="F923" s="34"/>
      <c r="G923" s="188"/>
      <c r="H923" s="34"/>
      <c r="I923" s="34"/>
      <c r="J923" s="34"/>
      <c r="K923" s="44"/>
      <c r="L923" s="105"/>
      <c r="M923" s="34"/>
      <c r="N923" s="34"/>
      <c r="O923" s="34"/>
    </row>
    <row r="924" spans="1:15" ht="12.75">
      <c r="A924" s="34"/>
      <c r="B924" s="34"/>
      <c r="C924" s="34"/>
      <c r="D924" s="188"/>
      <c r="E924" s="188"/>
      <c r="F924" s="34"/>
      <c r="G924" s="188"/>
      <c r="H924" s="34"/>
      <c r="I924" s="34"/>
      <c r="J924" s="34"/>
      <c r="K924" s="44"/>
      <c r="L924" s="105"/>
      <c r="M924" s="34"/>
      <c r="N924" s="34"/>
      <c r="O924" s="34"/>
    </row>
    <row r="925" spans="1:15" ht="12.75">
      <c r="A925" s="34"/>
      <c r="B925" s="34"/>
      <c r="C925" s="34"/>
      <c r="D925" s="188"/>
      <c r="E925" s="188"/>
      <c r="F925" s="34"/>
      <c r="G925" s="188"/>
      <c r="H925" s="34"/>
      <c r="I925" s="34"/>
      <c r="J925" s="34"/>
      <c r="K925" s="44"/>
      <c r="L925" s="105"/>
      <c r="M925" s="34"/>
      <c r="N925" s="34"/>
      <c r="O925" s="34"/>
    </row>
    <row r="926" spans="1:15" ht="12.75">
      <c r="A926" s="34"/>
      <c r="B926" s="34"/>
      <c r="C926" s="34"/>
      <c r="D926" s="188"/>
      <c r="E926" s="188"/>
      <c r="F926" s="34"/>
      <c r="G926" s="188"/>
      <c r="H926" s="34"/>
      <c r="I926" s="34"/>
      <c r="J926" s="34"/>
      <c r="K926" s="44"/>
      <c r="L926" s="105"/>
      <c r="M926" s="34"/>
      <c r="N926" s="34"/>
      <c r="O926" s="34"/>
    </row>
    <row r="927" spans="1:15" ht="12.75">
      <c r="A927" s="34"/>
      <c r="B927" s="34"/>
      <c r="C927" s="34"/>
      <c r="D927" s="188"/>
      <c r="E927" s="188"/>
      <c r="F927" s="34"/>
      <c r="G927" s="188"/>
      <c r="H927" s="34"/>
      <c r="I927" s="34"/>
      <c r="J927" s="34"/>
      <c r="K927" s="44"/>
      <c r="L927" s="105"/>
      <c r="M927" s="34"/>
      <c r="N927" s="34"/>
      <c r="O927" s="34"/>
    </row>
    <row r="928" spans="1:15" ht="12.75">
      <c r="A928" s="34"/>
      <c r="B928" s="34"/>
      <c r="C928" s="34"/>
      <c r="D928" s="188"/>
      <c r="E928" s="188"/>
      <c r="F928" s="34"/>
      <c r="G928" s="188"/>
      <c r="H928" s="34"/>
      <c r="I928" s="34"/>
      <c r="J928" s="34"/>
      <c r="K928" s="44"/>
      <c r="L928" s="105"/>
      <c r="M928" s="34"/>
      <c r="N928" s="34"/>
      <c r="O928" s="34"/>
    </row>
    <row r="929" spans="1:15" ht="12.75">
      <c r="A929" s="34"/>
      <c r="B929" s="34"/>
      <c r="C929" s="34"/>
      <c r="D929" s="188"/>
      <c r="E929" s="188"/>
      <c r="F929" s="34"/>
      <c r="G929" s="188"/>
      <c r="H929" s="34"/>
      <c r="I929" s="34"/>
      <c r="J929" s="34"/>
      <c r="K929" s="44"/>
      <c r="L929" s="105"/>
      <c r="M929" s="34"/>
      <c r="N929" s="34"/>
      <c r="O929" s="34"/>
    </row>
    <row r="930" spans="1:15" ht="12.75">
      <c r="A930" s="34"/>
      <c r="B930" s="34"/>
      <c r="C930" s="34"/>
      <c r="D930" s="188"/>
      <c r="E930" s="188"/>
      <c r="F930" s="34"/>
      <c r="G930" s="188"/>
      <c r="H930" s="34"/>
      <c r="I930" s="34"/>
      <c r="J930" s="34"/>
      <c r="K930" s="44"/>
      <c r="L930" s="105"/>
      <c r="M930" s="34"/>
      <c r="N930" s="34"/>
      <c r="O930" s="34"/>
    </row>
    <row r="931" spans="1:15" ht="12.75">
      <c r="A931" s="34"/>
      <c r="B931" s="34"/>
      <c r="C931" s="34"/>
      <c r="D931" s="188"/>
      <c r="E931" s="188"/>
      <c r="F931" s="34"/>
      <c r="G931" s="188"/>
      <c r="H931" s="34"/>
      <c r="I931" s="34"/>
      <c r="J931" s="34"/>
      <c r="K931" s="44"/>
      <c r="L931" s="105"/>
      <c r="M931" s="34"/>
      <c r="N931" s="34"/>
      <c r="O931" s="34"/>
    </row>
    <row r="932" spans="1:15" ht="12.75">
      <c r="A932" s="34"/>
      <c r="B932" s="34"/>
      <c r="C932" s="34"/>
      <c r="D932" s="188"/>
      <c r="E932" s="188"/>
      <c r="F932" s="34"/>
      <c r="G932" s="188"/>
      <c r="H932" s="34"/>
      <c r="I932" s="34"/>
      <c r="J932" s="34"/>
      <c r="K932" s="44"/>
      <c r="L932" s="105"/>
      <c r="M932" s="34"/>
      <c r="N932" s="34"/>
      <c r="O932" s="34"/>
    </row>
    <row r="933" spans="1:15" ht="12.75">
      <c r="A933" s="34"/>
      <c r="B933" s="34"/>
      <c r="C933" s="34"/>
      <c r="D933" s="188"/>
      <c r="E933" s="188"/>
      <c r="F933" s="34"/>
      <c r="G933" s="188"/>
      <c r="H933" s="34"/>
      <c r="I933" s="34"/>
      <c r="J933" s="34"/>
      <c r="K933" s="44"/>
      <c r="L933" s="105"/>
      <c r="M933" s="34"/>
      <c r="N933" s="34"/>
      <c r="O933" s="34"/>
    </row>
    <row r="934" spans="1:15" ht="12.75">
      <c r="A934" s="34"/>
      <c r="B934" s="34"/>
      <c r="C934" s="34"/>
      <c r="D934" s="188"/>
      <c r="E934" s="188"/>
      <c r="F934" s="34"/>
      <c r="G934" s="188"/>
      <c r="H934" s="34"/>
      <c r="I934" s="34"/>
      <c r="J934" s="34"/>
      <c r="K934" s="44"/>
      <c r="L934" s="105"/>
      <c r="M934" s="34"/>
      <c r="N934" s="34"/>
      <c r="O934" s="34"/>
    </row>
    <row r="935" spans="1:15" ht="12.75">
      <c r="A935" s="34"/>
      <c r="B935" s="34"/>
      <c r="C935" s="34"/>
      <c r="D935" s="188"/>
      <c r="E935" s="188"/>
      <c r="F935" s="34"/>
      <c r="G935" s="188"/>
      <c r="H935" s="34"/>
      <c r="I935" s="34"/>
      <c r="J935" s="34"/>
      <c r="K935" s="44"/>
      <c r="L935" s="105"/>
      <c r="M935" s="34"/>
      <c r="N935" s="34"/>
      <c r="O935" s="34"/>
    </row>
    <row r="936" spans="1:15" ht="12.75">
      <c r="A936" s="34"/>
      <c r="B936" s="34"/>
      <c r="C936" s="34"/>
      <c r="D936" s="188"/>
      <c r="E936" s="188"/>
      <c r="F936" s="34"/>
      <c r="G936" s="188"/>
      <c r="H936" s="34"/>
      <c r="I936" s="34"/>
      <c r="J936" s="34"/>
      <c r="K936" s="44"/>
      <c r="L936" s="105"/>
      <c r="M936" s="34"/>
      <c r="N936" s="34"/>
      <c r="O936" s="34"/>
    </row>
    <row r="937" spans="1:15" ht="12.75">
      <c r="A937" s="34"/>
      <c r="B937" s="34"/>
      <c r="C937" s="34"/>
      <c r="D937" s="188"/>
      <c r="E937" s="188"/>
      <c r="F937" s="34"/>
      <c r="G937" s="188"/>
      <c r="H937" s="34"/>
      <c r="I937" s="34"/>
      <c r="J937" s="34"/>
      <c r="K937" s="44"/>
      <c r="L937" s="105"/>
      <c r="M937" s="34"/>
      <c r="N937" s="34"/>
      <c r="O937" s="34"/>
    </row>
    <row r="938" spans="1:15" ht="12.75">
      <c r="A938" s="34"/>
      <c r="B938" s="34"/>
      <c r="C938" s="34"/>
      <c r="D938" s="188"/>
      <c r="E938" s="188"/>
      <c r="F938" s="34"/>
      <c r="G938" s="188"/>
      <c r="H938" s="34"/>
      <c r="I938" s="34"/>
      <c r="J938" s="34"/>
      <c r="K938" s="44"/>
      <c r="L938" s="105"/>
      <c r="M938" s="34"/>
      <c r="N938" s="34"/>
      <c r="O938" s="34"/>
    </row>
    <row r="939" spans="1:15" ht="12.75">
      <c r="A939" s="34"/>
      <c r="B939" s="34"/>
      <c r="C939" s="34"/>
      <c r="D939" s="188"/>
      <c r="E939" s="188"/>
      <c r="F939" s="34"/>
      <c r="G939" s="188"/>
      <c r="H939" s="34"/>
      <c r="I939" s="34"/>
      <c r="J939" s="34"/>
      <c r="K939" s="44"/>
      <c r="L939" s="105"/>
      <c r="M939" s="34"/>
      <c r="N939" s="34"/>
      <c r="O939" s="34"/>
    </row>
    <row r="940" spans="1:15" ht="12.75">
      <c r="A940" s="34"/>
      <c r="B940" s="34"/>
      <c r="C940" s="34"/>
      <c r="D940" s="188"/>
      <c r="E940" s="188"/>
      <c r="F940" s="34"/>
      <c r="G940" s="188"/>
      <c r="H940" s="34"/>
      <c r="I940" s="34"/>
      <c r="J940" s="34"/>
      <c r="K940" s="44"/>
      <c r="L940" s="105"/>
      <c r="M940" s="34"/>
      <c r="N940" s="34"/>
      <c r="O940" s="34"/>
    </row>
    <row r="941" spans="1:15" ht="12.75">
      <c r="A941" s="34"/>
      <c r="B941" s="34"/>
      <c r="C941" s="34"/>
      <c r="D941" s="188"/>
      <c r="E941" s="188"/>
      <c r="F941" s="34"/>
      <c r="G941" s="188"/>
      <c r="H941" s="34"/>
      <c r="I941" s="34"/>
      <c r="J941" s="34"/>
      <c r="K941" s="44"/>
      <c r="L941" s="105"/>
      <c r="M941" s="34"/>
      <c r="N941" s="34"/>
      <c r="O941" s="34"/>
    </row>
    <row r="942" spans="1:15" ht="12.75">
      <c r="A942" s="34"/>
      <c r="B942" s="34"/>
      <c r="C942" s="34"/>
      <c r="D942" s="188"/>
      <c r="E942" s="188"/>
      <c r="F942" s="34"/>
      <c r="G942" s="188"/>
      <c r="H942" s="34"/>
      <c r="I942" s="34"/>
      <c r="J942" s="34"/>
      <c r="K942" s="44"/>
      <c r="L942" s="105"/>
      <c r="M942" s="34"/>
      <c r="N942" s="34"/>
      <c r="O942" s="34"/>
    </row>
    <row r="943" spans="1:15" ht="12.75">
      <c r="A943" s="34"/>
      <c r="B943" s="34"/>
      <c r="C943" s="34"/>
      <c r="D943" s="188"/>
      <c r="E943" s="188"/>
      <c r="F943" s="34"/>
      <c r="G943" s="188"/>
      <c r="H943" s="34"/>
      <c r="I943" s="34"/>
      <c r="J943" s="34"/>
      <c r="K943" s="44"/>
      <c r="L943" s="105"/>
      <c r="M943" s="34"/>
      <c r="N943" s="34"/>
      <c r="O943" s="34"/>
    </row>
    <row r="944" spans="1:15" ht="12.75">
      <c r="A944" s="34"/>
      <c r="B944" s="34"/>
      <c r="C944" s="34"/>
      <c r="D944" s="188"/>
      <c r="E944" s="188"/>
      <c r="F944" s="34"/>
      <c r="G944" s="188"/>
      <c r="H944" s="34"/>
      <c r="I944" s="34"/>
      <c r="J944" s="34"/>
      <c r="K944" s="44"/>
      <c r="L944" s="105"/>
      <c r="M944" s="34"/>
      <c r="N944" s="34"/>
      <c r="O944" s="34"/>
    </row>
    <row r="945" spans="1:15" ht="12.75">
      <c r="A945" s="34"/>
      <c r="B945" s="34"/>
      <c r="C945" s="34"/>
      <c r="D945" s="188"/>
      <c r="E945" s="188"/>
      <c r="F945" s="34"/>
      <c r="G945" s="188"/>
      <c r="H945" s="34"/>
      <c r="I945" s="34"/>
      <c r="J945" s="34"/>
      <c r="K945" s="44"/>
      <c r="L945" s="105"/>
      <c r="M945" s="34"/>
      <c r="N945" s="34"/>
      <c r="O945" s="34"/>
    </row>
    <row r="946" spans="1:15" ht="12.75">
      <c r="A946" s="34"/>
      <c r="B946" s="34"/>
      <c r="C946" s="34"/>
      <c r="D946" s="188"/>
      <c r="E946" s="188"/>
      <c r="F946" s="34"/>
      <c r="G946" s="188"/>
      <c r="H946" s="34"/>
      <c r="I946" s="34"/>
      <c r="J946" s="34"/>
      <c r="K946" s="44"/>
      <c r="L946" s="105"/>
      <c r="M946" s="34"/>
      <c r="N946" s="34"/>
      <c r="O946" s="34"/>
    </row>
    <row r="947" spans="1:15" ht="12.75">
      <c r="A947" s="34"/>
      <c r="B947" s="34"/>
      <c r="C947" s="34"/>
      <c r="D947" s="188"/>
      <c r="E947" s="188"/>
      <c r="F947" s="34"/>
      <c r="G947" s="188"/>
      <c r="H947" s="34"/>
      <c r="I947" s="34"/>
      <c r="J947" s="34"/>
      <c r="K947" s="44"/>
      <c r="L947" s="105"/>
      <c r="M947" s="34"/>
      <c r="N947" s="34"/>
      <c r="O947" s="34"/>
    </row>
    <row r="948" spans="1:15" ht="12.75">
      <c r="A948" s="34"/>
      <c r="B948" s="34"/>
      <c r="C948" s="34"/>
      <c r="D948" s="188"/>
      <c r="E948" s="188"/>
      <c r="F948" s="34"/>
      <c r="G948" s="188"/>
      <c r="H948" s="34"/>
      <c r="I948" s="34"/>
      <c r="J948" s="34"/>
      <c r="K948" s="44"/>
      <c r="L948" s="105"/>
      <c r="M948" s="34"/>
      <c r="N948" s="34"/>
      <c r="O948" s="34"/>
    </row>
    <row r="949" spans="1:15" ht="12.75">
      <c r="A949" s="34"/>
      <c r="B949" s="34"/>
      <c r="C949" s="34"/>
      <c r="D949" s="188"/>
      <c r="E949" s="188"/>
      <c r="F949" s="34"/>
      <c r="G949" s="188"/>
      <c r="H949" s="34"/>
      <c r="I949" s="34"/>
      <c r="J949" s="34"/>
      <c r="K949" s="44"/>
      <c r="L949" s="105"/>
      <c r="M949" s="34"/>
      <c r="N949" s="34"/>
      <c r="O949" s="34"/>
    </row>
    <row r="950" spans="1:15" ht="12.75">
      <c r="A950" s="34"/>
      <c r="B950" s="34"/>
      <c r="C950" s="34"/>
      <c r="D950" s="188"/>
      <c r="E950" s="188"/>
      <c r="F950" s="34"/>
      <c r="G950" s="188"/>
      <c r="H950" s="34"/>
      <c r="I950" s="34"/>
      <c r="J950" s="34"/>
      <c r="K950" s="44"/>
      <c r="L950" s="105"/>
      <c r="M950" s="34"/>
      <c r="N950" s="34"/>
      <c r="O950" s="34"/>
    </row>
    <row r="951" spans="1:15" ht="12.75">
      <c r="A951" s="34"/>
      <c r="B951" s="34"/>
      <c r="C951" s="34"/>
      <c r="D951" s="188"/>
      <c r="E951" s="188"/>
      <c r="F951" s="34"/>
      <c r="G951" s="188"/>
      <c r="H951" s="34"/>
      <c r="I951" s="34"/>
      <c r="J951" s="34"/>
      <c r="K951" s="44"/>
      <c r="L951" s="105"/>
      <c r="M951" s="34"/>
      <c r="N951" s="34"/>
      <c r="O951" s="34"/>
    </row>
    <row r="952" spans="1:15" ht="12.75">
      <c r="A952" s="34"/>
      <c r="B952" s="34"/>
      <c r="C952" s="34"/>
      <c r="D952" s="188"/>
      <c r="E952" s="188"/>
      <c r="F952" s="34"/>
      <c r="G952" s="188"/>
      <c r="H952" s="34"/>
      <c r="I952" s="34"/>
      <c r="J952" s="34"/>
      <c r="K952" s="44"/>
      <c r="L952" s="105"/>
      <c r="M952" s="34"/>
      <c r="N952" s="34"/>
      <c r="O952" s="34"/>
    </row>
    <row r="953" spans="1:15" ht="12.75">
      <c r="A953" s="34"/>
      <c r="B953" s="34"/>
      <c r="C953" s="34"/>
      <c r="D953" s="188"/>
      <c r="E953" s="188"/>
      <c r="F953" s="34"/>
      <c r="G953" s="188"/>
      <c r="H953" s="34"/>
      <c r="I953" s="34"/>
      <c r="J953" s="34"/>
      <c r="K953" s="44"/>
      <c r="L953" s="105"/>
      <c r="M953" s="34"/>
      <c r="N953" s="34"/>
      <c r="O953" s="34"/>
    </row>
    <row r="954" spans="1:15" ht="12.75">
      <c r="A954" s="34"/>
      <c r="B954" s="34"/>
      <c r="C954" s="34"/>
      <c r="D954" s="188"/>
      <c r="E954" s="188"/>
      <c r="F954" s="34"/>
      <c r="G954" s="188"/>
      <c r="H954" s="34"/>
      <c r="I954" s="34"/>
      <c r="J954" s="34"/>
      <c r="K954" s="44"/>
      <c r="L954" s="105"/>
      <c r="M954" s="34"/>
      <c r="N954" s="34"/>
      <c r="O954" s="34"/>
    </row>
    <row r="955" spans="1:15" ht="12.75">
      <c r="A955" s="34"/>
      <c r="B955" s="34"/>
      <c r="C955" s="34"/>
      <c r="D955" s="188"/>
      <c r="E955" s="188"/>
      <c r="F955" s="34"/>
      <c r="G955" s="188"/>
      <c r="H955" s="34"/>
      <c r="I955" s="34"/>
      <c r="J955" s="34"/>
      <c r="K955" s="44"/>
      <c r="L955" s="105"/>
      <c r="M955" s="34"/>
      <c r="N955" s="34"/>
      <c r="O955" s="34"/>
    </row>
    <row r="956" spans="1:15" ht="12.75">
      <c r="A956" s="34"/>
      <c r="B956" s="34"/>
      <c r="C956" s="34"/>
      <c r="D956" s="188"/>
      <c r="E956" s="188"/>
      <c r="F956" s="34"/>
      <c r="G956" s="188"/>
      <c r="H956" s="34"/>
      <c r="I956" s="34"/>
      <c r="J956" s="34"/>
      <c r="K956" s="44"/>
      <c r="L956" s="105"/>
      <c r="M956" s="34"/>
      <c r="N956" s="34"/>
      <c r="O956" s="34"/>
    </row>
    <row r="957" spans="1:15" ht="12.75">
      <c r="A957" s="34"/>
      <c r="B957" s="34"/>
      <c r="C957" s="34"/>
      <c r="D957" s="188"/>
      <c r="E957" s="188"/>
      <c r="F957" s="34"/>
      <c r="G957" s="188"/>
      <c r="H957" s="34"/>
      <c r="I957" s="34"/>
      <c r="J957" s="34"/>
      <c r="K957" s="44"/>
      <c r="L957" s="105"/>
      <c r="M957" s="34"/>
      <c r="N957" s="34"/>
      <c r="O957" s="34"/>
    </row>
    <row r="958" spans="1:15" ht="12.75">
      <c r="A958" s="34"/>
      <c r="B958" s="34"/>
      <c r="C958" s="34"/>
      <c r="D958" s="188"/>
      <c r="E958" s="188"/>
      <c r="F958" s="34"/>
      <c r="G958" s="188"/>
      <c r="H958" s="34"/>
      <c r="I958" s="34"/>
      <c r="J958" s="34"/>
      <c r="K958" s="44"/>
      <c r="L958" s="105"/>
      <c r="M958" s="34"/>
      <c r="N958" s="34"/>
      <c r="O958" s="34"/>
    </row>
    <row r="959" spans="1:15" ht="12.75">
      <c r="A959" s="34"/>
      <c r="B959" s="34"/>
      <c r="C959" s="34"/>
      <c r="D959" s="188"/>
      <c r="E959" s="188"/>
      <c r="F959" s="34"/>
      <c r="G959" s="188"/>
      <c r="H959" s="34"/>
      <c r="I959" s="34"/>
      <c r="J959" s="34"/>
      <c r="K959" s="44"/>
      <c r="L959" s="105"/>
      <c r="M959" s="34"/>
      <c r="N959" s="34"/>
      <c r="O959" s="34"/>
    </row>
    <row r="960" spans="1:15" ht="12.75">
      <c r="A960" s="34"/>
      <c r="B960" s="34"/>
      <c r="C960" s="34"/>
      <c r="D960" s="188"/>
      <c r="E960" s="188"/>
      <c r="F960" s="34"/>
      <c r="G960" s="188"/>
      <c r="H960" s="34"/>
      <c r="I960" s="34"/>
      <c r="J960" s="34"/>
      <c r="K960" s="44"/>
      <c r="L960" s="105"/>
      <c r="M960" s="34"/>
      <c r="N960" s="34"/>
      <c r="O960" s="34"/>
    </row>
    <row r="961" spans="1:15" ht="12.75">
      <c r="A961" s="34"/>
      <c r="B961" s="34"/>
      <c r="C961" s="34"/>
      <c r="D961" s="188"/>
      <c r="E961" s="188"/>
      <c r="F961" s="34"/>
      <c r="G961" s="188"/>
      <c r="H961" s="34"/>
      <c r="I961" s="34"/>
      <c r="J961" s="34"/>
      <c r="K961" s="44"/>
      <c r="L961" s="105"/>
      <c r="M961" s="34"/>
      <c r="N961" s="34"/>
      <c r="O961" s="34"/>
    </row>
    <row r="962" spans="1:15" ht="12.75">
      <c r="A962" s="34"/>
      <c r="B962" s="34"/>
      <c r="C962" s="34"/>
      <c r="D962" s="188"/>
      <c r="E962" s="188"/>
      <c r="F962" s="34"/>
      <c r="G962" s="188"/>
      <c r="H962" s="34"/>
      <c r="I962" s="34"/>
      <c r="J962" s="34"/>
      <c r="K962" s="44"/>
      <c r="L962" s="105"/>
      <c r="M962" s="34"/>
      <c r="N962" s="34"/>
      <c r="O962" s="34"/>
    </row>
    <row r="963" spans="1:15" ht="12.75">
      <c r="A963" s="34"/>
      <c r="B963" s="34"/>
      <c r="C963" s="34"/>
      <c r="D963" s="188"/>
      <c r="E963" s="188"/>
      <c r="F963" s="34"/>
      <c r="G963" s="188"/>
      <c r="H963" s="34"/>
      <c r="I963" s="34"/>
      <c r="J963" s="34"/>
      <c r="K963" s="44"/>
      <c r="L963" s="105"/>
      <c r="M963" s="34"/>
      <c r="N963" s="34"/>
      <c r="O963" s="34"/>
    </row>
    <row r="964" spans="1:15" ht="12.75">
      <c r="A964" s="34"/>
      <c r="B964" s="34"/>
      <c r="C964" s="34"/>
      <c r="D964" s="188"/>
      <c r="E964" s="188"/>
      <c r="F964" s="34"/>
      <c r="G964" s="188"/>
      <c r="H964" s="34"/>
      <c r="I964" s="34"/>
      <c r="J964" s="34"/>
      <c r="K964" s="44"/>
      <c r="L964" s="105"/>
      <c r="M964" s="34"/>
      <c r="N964" s="34"/>
      <c r="O964" s="34"/>
    </row>
    <row r="965" spans="1:15" ht="12.75">
      <c r="A965" s="34"/>
      <c r="B965" s="34"/>
      <c r="C965" s="34"/>
      <c r="D965" s="188"/>
      <c r="E965" s="188"/>
      <c r="F965" s="34"/>
      <c r="G965" s="188"/>
      <c r="H965" s="34"/>
      <c r="I965" s="34"/>
      <c r="J965" s="34"/>
      <c r="K965" s="44"/>
      <c r="L965" s="105"/>
      <c r="M965" s="34"/>
      <c r="N965" s="34"/>
      <c r="O965" s="34"/>
    </row>
    <row r="966" spans="1:15" ht="12.75">
      <c r="A966" s="34"/>
      <c r="B966" s="34"/>
      <c r="C966" s="34"/>
      <c r="D966" s="188"/>
      <c r="E966" s="188"/>
      <c r="F966" s="34"/>
      <c r="G966" s="188"/>
      <c r="H966" s="34"/>
      <c r="I966" s="34"/>
      <c r="J966" s="34"/>
      <c r="K966" s="44"/>
      <c r="L966" s="105"/>
      <c r="M966" s="34"/>
      <c r="N966" s="34"/>
      <c r="O966" s="34"/>
    </row>
    <row r="967" spans="1:15" ht="12.75">
      <c r="A967" s="34"/>
      <c r="B967" s="34"/>
      <c r="C967" s="34"/>
      <c r="D967" s="188"/>
      <c r="E967" s="188"/>
      <c r="F967" s="34"/>
      <c r="G967" s="188"/>
      <c r="H967" s="34"/>
      <c r="I967" s="34"/>
      <c r="J967" s="34"/>
      <c r="K967" s="44"/>
      <c r="L967" s="105"/>
      <c r="M967" s="34"/>
      <c r="N967" s="34"/>
      <c r="O967" s="34"/>
    </row>
    <row r="968" spans="1:15" ht="12.75">
      <c r="A968" s="34"/>
      <c r="B968" s="34"/>
      <c r="C968" s="34"/>
      <c r="D968" s="188"/>
      <c r="E968" s="188"/>
      <c r="F968" s="34"/>
      <c r="G968" s="188"/>
      <c r="H968" s="34"/>
      <c r="I968" s="34"/>
      <c r="J968" s="34"/>
      <c r="K968" s="44"/>
      <c r="L968" s="105"/>
      <c r="M968" s="34"/>
      <c r="N968" s="34"/>
      <c r="O968" s="34"/>
    </row>
    <row r="969" spans="1:15" ht="12.75">
      <c r="A969" s="34"/>
      <c r="B969" s="34"/>
      <c r="C969" s="34"/>
      <c r="D969" s="188"/>
      <c r="E969" s="188"/>
      <c r="F969" s="34"/>
      <c r="G969" s="188"/>
      <c r="H969" s="34"/>
      <c r="I969" s="34"/>
      <c r="J969" s="34"/>
      <c r="K969" s="44"/>
      <c r="L969" s="105"/>
      <c r="M969" s="34"/>
      <c r="N969" s="34"/>
      <c r="O969" s="34"/>
    </row>
    <row r="970" spans="1:15" ht="12.75">
      <c r="A970" s="34"/>
      <c r="B970" s="34"/>
      <c r="C970" s="34"/>
      <c r="D970" s="188"/>
      <c r="E970" s="188"/>
      <c r="F970" s="34"/>
      <c r="G970" s="188"/>
      <c r="H970" s="34"/>
      <c r="I970" s="34"/>
      <c r="J970" s="34"/>
      <c r="K970" s="44"/>
      <c r="L970" s="105"/>
      <c r="M970" s="34"/>
      <c r="N970" s="34"/>
      <c r="O970" s="34"/>
    </row>
    <row r="971" spans="1:15" ht="12.75">
      <c r="A971" s="34"/>
      <c r="B971" s="34"/>
      <c r="C971" s="34"/>
      <c r="D971" s="188"/>
      <c r="E971" s="188"/>
      <c r="F971" s="34"/>
      <c r="G971" s="188"/>
      <c r="H971" s="34"/>
      <c r="I971" s="34"/>
      <c r="J971" s="34"/>
      <c r="K971" s="44"/>
      <c r="L971" s="105"/>
      <c r="M971" s="34"/>
      <c r="N971" s="34"/>
      <c r="O971" s="34"/>
    </row>
    <row r="972" spans="1:15" ht="12.75">
      <c r="A972" s="34"/>
      <c r="B972" s="34"/>
      <c r="C972" s="34"/>
      <c r="D972" s="188"/>
      <c r="E972" s="188"/>
      <c r="F972" s="34"/>
      <c r="G972" s="188"/>
      <c r="H972" s="34"/>
      <c r="I972" s="34"/>
      <c r="J972" s="34"/>
      <c r="K972" s="44"/>
      <c r="L972" s="105"/>
      <c r="M972" s="34"/>
      <c r="N972" s="34"/>
      <c r="O972" s="34"/>
    </row>
    <row r="973" spans="1:15" ht="12.75">
      <c r="A973" s="34"/>
      <c r="B973" s="34"/>
      <c r="C973" s="34"/>
      <c r="D973" s="188"/>
      <c r="E973" s="188"/>
      <c r="F973" s="34"/>
      <c r="G973" s="188"/>
      <c r="H973" s="34"/>
      <c r="I973" s="34"/>
      <c r="J973" s="34"/>
      <c r="K973" s="44"/>
      <c r="L973" s="105"/>
      <c r="M973" s="34"/>
      <c r="N973" s="34"/>
      <c r="O973" s="34"/>
    </row>
    <row r="974" spans="1:15" ht="12.75">
      <c r="A974" s="34"/>
      <c r="B974" s="34"/>
      <c r="C974" s="34"/>
      <c r="D974" s="188"/>
      <c r="E974" s="188"/>
      <c r="F974" s="34"/>
      <c r="G974" s="188"/>
      <c r="H974" s="34"/>
      <c r="I974" s="34"/>
      <c r="J974" s="34"/>
      <c r="K974" s="44"/>
      <c r="L974" s="105"/>
      <c r="M974" s="34"/>
      <c r="N974" s="34"/>
      <c r="O974" s="34"/>
    </row>
    <row r="975" spans="1:15" ht="12.75">
      <c r="A975" s="34"/>
      <c r="B975" s="34"/>
      <c r="C975" s="34"/>
      <c r="D975" s="188"/>
      <c r="E975" s="188"/>
      <c r="F975" s="34"/>
      <c r="G975" s="188"/>
      <c r="H975" s="34"/>
      <c r="I975" s="34"/>
      <c r="J975" s="34"/>
      <c r="K975" s="44"/>
      <c r="L975" s="105"/>
      <c r="M975" s="34"/>
      <c r="N975" s="34"/>
      <c r="O975" s="34"/>
    </row>
    <row r="976" spans="1:15" ht="12.75">
      <c r="A976" s="34"/>
      <c r="B976" s="34"/>
      <c r="C976" s="34"/>
      <c r="D976" s="188"/>
      <c r="E976" s="188"/>
      <c r="F976" s="34"/>
      <c r="G976" s="188"/>
      <c r="H976" s="34"/>
      <c r="I976" s="34"/>
      <c r="J976" s="34"/>
      <c r="K976" s="44"/>
      <c r="L976" s="105"/>
      <c r="M976" s="34"/>
      <c r="N976" s="34"/>
      <c r="O976" s="34"/>
    </row>
    <row r="977" spans="1:15" ht="12.75">
      <c r="A977" s="34"/>
      <c r="B977" s="34"/>
      <c r="C977" s="34"/>
      <c r="D977" s="188"/>
      <c r="E977" s="188"/>
      <c r="F977" s="34"/>
      <c r="G977" s="188"/>
      <c r="H977" s="34"/>
      <c r="I977" s="34"/>
      <c r="J977" s="34"/>
      <c r="K977" s="44"/>
      <c r="L977" s="105"/>
      <c r="M977" s="34"/>
      <c r="N977" s="34"/>
      <c r="O977" s="34"/>
    </row>
    <row r="978" spans="1:15" ht="12.75">
      <c r="A978" s="34"/>
      <c r="B978" s="34"/>
      <c r="C978" s="34"/>
      <c r="D978" s="188"/>
      <c r="E978" s="188"/>
      <c r="F978" s="34"/>
      <c r="G978" s="188"/>
      <c r="H978" s="34"/>
      <c r="I978" s="34"/>
      <c r="J978" s="34"/>
      <c r="K978" s="44"/>
      <c r="L978" s="105"/>
      <c r="M978" s="34"/>
      <c r="N978" s="34"/>
      <c r="O978" s="34"/>
    </row>
    <row r="979" spans="1:15" ht="12.75">
      <c r="A979" s="34"/>
      <c r="B979" s="34"/>
      <c r="C979" s="34"/>
      <c r="D979" s="188"/>
      <c r="E979" s="188"/>
      <c r="F979" s="34"/>
      <c r="G979" s="188"/>
      <c r="H979" s="34"/>
      <c r="I979" s="34"/>
      <c r="J979" s="34"/>
      <c r="K979" s="44"/>
      <c r="L979" s="105"/>
      <c r="M979" s="34"/>
      <c r="N979" s="34"/>
      <c r="O979" s="34"/>
    </row>
    <row r="980" spans="1:15" ht="12.75">
      <c r="A980" s="34"/>
      <c r="B980" s="34"/>
      <c r="C980" s="34"/>
      <c r="D980" s="188"/>
      <c r="E980" s="188"/>
      <c r="F980" s="34"/>
      <c r="G980" s="188"/>
      <c r="H980" s="34"/>
      <c r="I980" s="34"/>
      <c r="J980" s="34"/>
      <c r="K980" s="44"/>
      <c r="L980" s="105"/>
      <c r="M980" s="34"/>
      <c r="N980" s="34"/>
      <c r="O980" s="34"/>
    </row>
    <row r="981" spans="1:15" ht="12.75">
      <c r="A981" s="34"/>
      <c r="B981" s="34"/>
      <c r="C981" s="34"/>
      <c r="D981" s="188"/>
      <c r="E981" s="188"/>
      <c r="F981" s="34"/>
      <c r="G981" s="188"/>
      <c r="H981" s="34"/>
      <c r="I981" s="34"/>
      <c r="J981" s="34"/>
      <c r="K981" s="44"/>
      <c r="L981" s="105"/>
      <c r="M981" s="34"/>
      <c r="N981" s="34"/>
      <c r="O981" s="34"/>
    </row>
    <row r="982" spans="1:15" ht="12.75">
      <c r="A982" s="34"/>
      <c r="B982" s="34"/>
      <c r="C982" s="34"/>
      <c r="D982" s="188"/>
      <c r="E982" s="188"/>
      <c r="F982" s="34"/>
      <c r="G982" s="188"/>
      <c r="H982" s="34"/>
      <c r="I982" s="34"/>
      <c r="J982" s="34"/>
      <c r="K982" s="44"/>
      <c r="L982" s="105"/>
      <c r="M982" s="34"/>
      <c r="N982" s="34"/>
      <c r="O982" s="34"/>
    </row>
    <row r="983" spans="1:15" ht="12.75">
      <c r="A983" s="34"/>
      <c r="B983" s="34"/>
      <c r="C983" s="34"/>
      <c r="D983" s="188"/>
      <c r="E983" s="188"/>
      <c r="F983" s="34"/>
      <c r="G983" s="188"/>
      <c r="H983" s="34"/>
      <c r="I983" s="34"/>
      <c r="J983" s="34"/>
      <c r="K983" s="44"/>
      <c r="L983" s="105"/>
      <c r="M983" s="34"/>
      <c r="N983" s="34"/>
      <c r="O983" s="34"/>
    </row>
    <row r="984" spans="1:15" ht="12.75">
      <c r="A984" s="34"/>
      <c r="B984" s="34"/>
      <c r="C984" s="34"/>
      <c r="D984" s="188"/>
      <c r="E984" s="188"/>
      <c r="F984" s="34"/>
      <c r="G984" s="188"/>
      <c r="H984" s="34"/>
      <c r="I984" s="34"/>
      <c r="J984" s="34"/>
      <c r="K984" s="44"/>
      <c r="L984" s="105"/>
      <c r="M984" s="34"/>
      <c r="N984" s="34"/>
      <c r="O984" s="34"/>
    </row>
    <row r="985" spans="1:15" ht="12.75">
      <c r="A985" s="34"/>
      <c r="B985" s="34"/>
      <c r="C985" s="34"/>
      <c r="D985" s="188"/>
      <c r="E985" s="188"/>
      <c r="F985" s="34"/>
      <c r="G985" s="188"/>
      <c r="H985" s="34"/>
      <c r="I985" s="34"/>
      <c r="J985" s="34"/>
      <c r="K985" s="44"/>
      <c r="L985" s="105"/>
      <c r="M985" s="34"/>
      <c r="N985" s="34"/>
      <c r="O985" s="34"/>
    </row>
    <row r="986" spans="1:15" ht="12.75">
      <c r="A986" s="34"/>
      <c r="B986" s="34"/>
      <c r="C986" s="34"/>
      <c r="D986" s="188"/>
      <c r="E986" s="188"/>
      <c r="F986" s="34"/>
      <c r="G986" s="188"/>
      <c r="H986" s="34"/>
      <c r="I986" s="34"/>
      <c r="J986" s="34"/>
      <c r="K986" s="44"/>
      <c r="L986" s="105"/>
      <c r="M986" s="34"/>
      <c r="N986" s="34"/>
      <c r="O986" s="34"/>
    </row>
    <row r="987" spans="1:15" ht="12.75">
      <c r="A987" s="34"/>
      <c r="B987" s="34"/>
      <c r="C987" s="34"/>
      <c r="D987" s="188"/>
      <c r="E987" s="188"/>
      <c r="F987" s="34"/>
      <c r="G987" s="188"/>
      <c r="H987" s="34"/>
      <c r="I987" s="34"/>
      <c r="J987" s="34"/>
      <c r="K987" s="44"/>
      <c r="L987" s="105"/>
      <c r="M987" s="34"/>
      <c r="N987" s="34"/>
      <c r="O987" s="34"/>
    </row>
    <row r="988" spans="1:15" ht="12.75">
      <c r="A988" s="34"/>
      <c r="B988" s="34"/>
      <c r="C988" s="34"/>
      <c r="D988" s="188"/>
      <c r="E988" s="188"/>
      <c r="F988" s="34"/>
      <c r="G988" s="188"/>
      <c r="H988" s="34"/>
      <c r="I988" s="34"/>
      <c r="J988" s="34"/>
      <c r="K988" s="44"/>
      <c r="L988" s="105"/>
      <c r="M988" s="34"/>
      <c r="N988" s="34"/>
      <c r="O988" s="34"/>
    </row>
    <row r="989" spans="1:15" ht="12.75">
      <c r="A989" s="34"/>
      <c r="B989" s="34"/>
      <c r="C989" s="34"/>
      <c r="D989" s="188"/>
      <c r="E989" s="188"/>
      <c r="F989" s="34"/>
      <c r="G989" s="188"/>
      <c r="H989" s="34"/>
      <c r="I989" s="34"/>
      <c r="J989" s="34"/>
      <c r="K989" s="44"/>
      <c r="L989" s="105"/>
      <c r="M989" s="34"/>
      <c r="N989" s="34"/>
      <c r="O989" s="34"/>
    </row>
    <row r="990" spans="1:15" ht="12.75">
      <c r="A990" s="34"/>
      <c r="B990" s="34"/>
      <c r="C990" s="34"/>
      <c r="D990" s="188"/>
      <c r="E990" s="188"/>
      <c r="F990" s="34"/>
      <c r="G990" s="188"/>
      <c r="H990" s="34"/>
      <c r="I990" s="34"/>
      <c r="J990" s="34"/>
      <c r="K990" s="44"/>
      <c r="L990" s="105"/>
      <c r="M990" s="34"/>
      <c r="N990" s="34"/>
      <c r="O990" s="34"/>
    </row>
    <row r="991" spans="1:15" ht="12.75">
      <c r="A991" s="34"/>
      <c r="B991" s="34"/>
      <c r="C991" s="34"/>
      <c r="D991" s="188"/>
      <c r="E991" s="188"/>
      <c r="F991" s="34"/>
      <c r="G991" s="188"/>
      <c r="H991" s="34"/>
      <c r="I991" s="34"/>
      <c r="J991" s="34"/>
      <c r="K991" s="44"/>
      <c r="L991" s="105"/>
      <c r="M991" s="34"/>
      <c r="N991" s="34"/>
      <c r="O991" s="34"/>
    </row>
    <row r="992" spans="1:15" ht="12.75">
      <c r="A992" s="34"/>
      <c r="B992" s="34"/>
      <c r="C992" s="34"/>
      <c r="D992" s="188"/>
      <c r="E992" s="188"/>
      <c r="F992" s="34"/>
      <c r="G992" s="188"/>
      <c r="H992" s="34"/>
      <c r="I992" s="34"/>
      <c r="J992" s="34"/>
      <c r="K992" s="44"/>
      <c r="L992" s="105"/>
      <c r="M992" s="34"/>
      <c r="N992" s="34"/>
      <c r="O992" s="34"/>
    </row>
    <row r="993" spans="1:15" ht="12.75">
      <c r="A993" s="34"/>
      <c r="B993" s="34"/>
      <c r="C993" s="34"/>
      <c r="D993" s="188"/>
      <c r="E993" s="188"/>
      <c r="F993" s="34"/>
      <c r="G993" s="188"/>
      <c r="H993" s="34"/>
      <c r="I993" s="34"/>
      <c r="J993" s="34"/>
      <c r="K993" s="44"/>
      <c r="L993" s="105"/>
      <c r="M993" s="34"/>
      <c r="N993" s="34"/>
      <c r="O993" s="34"/>
    </row>
    <row r="994" spans="1:15" ht="12.75">
      <c r="A994" s="34"/>
      <c r="B994" s="34"/>
      <c r="C994" s="34"/>
      <c r="D994" s="188"/>
      <c r="E994" s="188"/>
      <c r="F994" s="34"/>
      <c r="G994" s="188"/>
      <c r="H994" s="34"/>
      <c r="I994" s="34"/>
      <c r="J994" s="34"/>
      <c r="K994" s="44"/>
      <c r="L994" s="105"/>
      <c r="M994" s="34"/>
      <c r="N994" s="34"/>
      <c r="O994" s="34"/>
    </row>
    <row r="995" spans="1:15" ht="12.75">
      <c r="A995" s="34"/>
      <c r="B995" s="34"/>
      <c r="C995" s="34"/>
      <c r="D995" s="188"/>
      <c r="E995" s="188"/>
      <c r="F995" s="34"/>
      <c r="G995" s="188"/>
      <c r="H995" s="34"/>
      <c r="I995" s="34"/>
      <c r="J995" s="34"/>
      <c r="K995" s="44"/>
      <c r="L995" s="105"/>
      <c r="M995" s="34"/>
      <c r="N995" s="34"/>
      <c r="O995" s="34"/>
    </row>
    <row r="996" spans="1:15" ht="12.75">
      <c r="A996" s="34"/>
      <c r="B996" s="34"/>
      <c r="C996" s="34"/>
      <c r="D996" s="188"/>
      <c r="E996" s="188"/>
      <c r="F996" s="34"/>
      <c r="G996" s="188"/>
      <c r="H996" s="34"/>
      <c r="I996" s="34"/>
      <c r="J996" s="34"/>
      <c r="K996" s="44"/>
      <c r="L996" s="105"/>
      <c r="M996" s="34"/>
      <c r="N996" s="34"/>
      <c r="O996" s="34"/>
    </row>
    <row r="997" spans="1:15" ht="12.75">
      <c r="A997" s="34"/>
      <c r="B997" s="34"/>
      <c r="C997" s="34"/>
      <c r="D997" s="188"/>
      <c r="E997" s="188"/>
      <c r="F997" s="34"/>
      <c r="G997" s="188"/>
      <c r="H997" s="34"/>
      <c r="I997" s="34"/>
      <c r="J997" s="34"/>
      <c r="K997" s="44"/>
      <c r="L997" s="105"/>
      <c r="M997" s="34"/>
      <c r="N997" s="34"/>
      <c r="O997" s="34"/>
    </row>
    <row r="998" spans="1:15" ht="12.75">
      <c r="A998" s="34"/>
      <c r="B998" s="34"/>
      <c r="C998" s="34"/>
      <c r="D998" s="188"/>
      <c r="E998" s="188"/>
      <c r="F998" s="34"/>
      <c r="G998" s="188"/>
      <c r="H998" s="34"/>
      <c r="I998" s="34"/>
      <c r="J998" s="34"/>
      <c r="K998" s="44"/>
      <c r="L998" s="105"/>
      <c r="M998" s="34"/>
      <c r="N998" s="34"/>
      <c r="O998" s="34"/>
    </row>
    <row r="999" spans="1:15" ht="12.75">
      <c r="A999" s="34"/>
      <c r="B999" s="34"/>
      <c r="C999" s="34"/>
      <c r="D999" s="188"/>
      <c r="E999" s="188"/>
      <c r="F999" s="34"/>
      <c r="G999" s="188"/>
      <c r="H999" s="34"/>
      <c r="I999" s="34"/>
      <c r="J999" s="34"/>
      <c r="K999" s="44"/>
      <c r="L999" s="105"/>
      <c r="M999" s="34"/>
      <c r="N999" s="34"/>
      <c r="O999" s="34"/>
    </row>
    <row r="1000" spans="1:15" ht="12.75">
      <c r="A1000" s="34"/>
      <c r="B1000" s="34"/>
      <c r="C1000" s="34"/>
      <c r="D1000" s="188"/>
      <c r="E1000" s="188"/>
      <c r="F1000" s="34"/>
      <c r="G1000" s="188"/>
      <c r="H1000" s="34"/>
      <c r="I1000" s="34"/>
      <c r="J1000" s="34"/>
      <c r="K1000" s="44"/>
      <c r="L1000" s="105"/>
      <c r="M1000" s="34"/>
      <c r="N1000" s="34"/>
      <c r="O1000" s="34"/>
    </row>
  </sheetData>
  <hyperlinks>
    <hyperlink ref="B2" r:id="rId1" xr:uid="{00000000-0004-0000-2300-000000000000}"/>
    <hyperlink ref="C2" r:id="rId2" xr:uid="{00000000-0004-0000-2300-000001000000}"/>
    <hyperlink ref="B3" r:id="rId3" xr:uid="{00000000-0004-0000-2300-000002000000}"/>
    <hyperlink ref="C3" r:id="rId4" xr:uid="{00000000-0004-0000-2300-000003000000}"/>
    <hyperlink ref="B4" r:id="rId5" xr:uid="{00000000-0004-0000-2300-000004000000}"/>
    <hyperlink ref="C4" r:id="rId6" xr:uid="{00000000-0004-0000-2300-000005000000}"/>
    <hyperlink ref="B5" r:id="rId7" xr:uid="{00000000-0004-0000-2300-000006000000}"/>
    <hyperlink ref="C5" r:id="rId8" xr:uid="{00000000-0004-0000-2300-000007000000}"/>
    <hyperlink ref="B6" r:id="rId9" xr:uid="{00000000-0004-0000-2300-000008000000}"/>
    <hyperlink ref="C6" r:id="rId10" xr:uid="{00000000-0004-0000-2300-000009000000}"/>
    <hyperlink ref="C7" r:id="rId11" xr:uid="{00000000-0004-0000-2300-00000A000000}"/>
    <hyperlink ref="B8" r:id="rId12" xr:uid="{00000000-0004-0000-2300-00000B000000}"/>
    <hyperlink ref="C8" r:id="rId13" xr:uid="{00000000-0004-0000-2300-00000C000000}"/>
    <hyperlink ref="B9" r:id="rId14" xr:uid="{00000000-0004-0000-2300-00000D000000}"/>
    <hyperlink ref="C9" r:id="rId15" xr:uid="{00000000-0004-0000-2300-00000E000000}"/>
    <hyperlink ref="B10" r:id="rId16" xr:uid="{00000000-0004-0000-2300-00000F000000}"/>
    <hyperlink ref="C10" r:id="rId17" xr:uid="{00000000-0004-0000-2300-000010000000}"/>
    <hyperlink ref="B11" r:id="rId18" xr:uid="{00000000-0004-0000-2300-000011000000}"/>
    <hyperlink ref="C11" r:id="rId19" xr:uid="{00000000-0004-0000-2300-000012000000}"/>
    <hyperlink ref="B12" r:id="rId20" xr:uid="{00000000-0004-0000-2300-000013000000}"/>
    <hyperlink ref="C12" r:id="rId21" xr:uid="{00000000-0004-0000-2300-000014000000}"/>
    <hyperlink ref="B13" r:id="rId22" xr:uid="{00000000-0004-0000-2300-000015000000}"/>
    <hyperlink ref="C13" r:id="rId23" xr:uid="{00000000-0004-0000-2300-000016000000}"/>
    <hyperlink ref="B14" r:id="rId24" xr:uid="{00000000-0004-0000-2300-000017000000}"/>
    <hyperlink ref="C14" r:id="rId25" xr:uid="{00000000-0004-0000-2300-000018000000}"/>
    <hyperlink ref="B15" r:id="rId26" xr:uid="{00000000-0004-0000-2300-000019000000}"/>
    <hyperlink ref="C15" r:id="rId27" xr:uid="{00000000-0004-0000-2300-00001A000000}"/>
    <hyperlink ref="B16" r:id="rId28" xr:uid="{00000000-0004-0000-2300-00001B000000}"/>
    <hyperlink ref="C16" r:id="rId29" xr:uid="{00000000-0004-0000-2300-00001C000000}"/>
    <hyperlink ref="B17" r:id="rId30" xr:uid="{00000000-0004-0000-2300-00001D000000}"/>
    <hyperlink ref="C17" r:id="rId31" xr:uid="{00000000-0004-0000-2300-00001E000000}"/>
    <hyperlink ref="B18" r:id="rId32" xr:uid="{00000000-0004-0000-2300-00001F000000}"/>
    <hyperlink ref="C18" r:id="rId33" xr:uid="{00000000-0004-0000-2300-000020000000}"/>
    <hyperlink ref="B19" r:id="rId34" xr:uid="{00000000-0004-0000-2300-000021000000}"/>
    <hyperlink ref="C19" r:id="rId35" xr:uid="{00000000-0004-0000-2300-000022000000}"/>
    <hyperlink ref="B20" r:id="rId36" xr:uid="{00000000-0004-0000-2300-000023000000}"/>
    <hyperlink ref="C20" r:id="rId37" xr:uid="{00000000-0004-0000-2300-000024000000}"/>
    <hyperlink ref="B21" r:id="rId38" xr:uid="{00000000-0004-0000-2300-000025000000}"/>
    <hyperlink ref="C21" r:id="rId39" xr:uid="{00000000-0004-0000-2300-000026000000}"/>
    <hyperlink ref="B22" r:id="rId40" xr:uid="{00000000-0004-0000-2300-000027000000}"/>
    <hyperlink ref="C22" r:id="rId41" xr:uid="{00000000-0004-0000-2300-000028000000}"/>
    <hyperlink ref="B23" r:id="rId42" xr:uid="{00000000-0004-0000-2300-000029000000}"/>
    <hyperlink ref="C23" r:id="rId43" xr:uid="{00000000-0004-0000-2300-00002A000000}"/>
    <hyperlink ref="B24" r:id="rId44" xr:uid="{00000000-0004-0000-2300-00002B000000}"/>
    <hyperlink ref="C24" r:id="rId45" xr:uid="{00000000-0004-0000-2300-00002C000000}"/>
    <hyperlink ref="C25" r:id="rId46" xr:uid="{00000000-0004-0000-2300-00002D000000}"/>
    <hyperlink ref="C26" r:id="rId47" xr:uid="{00000000-0004-0000-2300-00002E000000}"/>
    <hyperlink ref="B27" r:id="rId48" xr:uid="{00000000-0004-0000-2300-00002F000000}"/>
    <hyperlink ref="C27" r:id="rId49" xr:uid="{00000000-0004-0000-2300-000030000000}"/>
    <hyperlink ref="B28" r:id="rId50" xr:uid="{00000000-0004-0000-2300-000031000000}"/>
    <hyperlink ref="C28" r:id="rId51" xr:uid="{00000000-0004-0000-2300-000032000000}"/>
    <hyperlink ref="B29" r:id="rId52" xr:uid="{00000000-0004-0000-2300-000033000000}"/>
    <hyperlink ref="C29" r:id="rId53" xr:uid="{00000000-0004-0000-2300-000034000000}"/>
    <hyperlink ref="B30" r:id="rId54" xr:uid="{00000000-0004-0000-2300-000035000000}"/>
    <hyperlink ref="C30" r:id="rId55" xr:uid="{00000000-0004-0000-2300-000036000000}"/>
    <hyperlink ref="B31" r:id="rId56" xr:uid="{00000000-0004-0000-2300-000037000000}"/>
    <hyperlink ref="C31" r:id="rId57" xr:uid="{00000000-0004-0000-2300-000038000000}"/>
    <hyperlink ref="B32" r:id="rId58" xr:uid="{00000000-0004-0000-2300-000039000000}"/>
    <hyperlink ref="C32" r:id="rId59" xr:uid="{00000000-0004-0000-2300-00003A000000}"/>
    <hyperlink ref="B33" r:id="rId60" xr:uid="{00000000-0004-0000-2300-00003B000000}"/>
    <hyperlink ref="C33" r:id="rId61" xr:uid="{00000000-0004-0000-2300-00003C000000}"/>
    <hyperlink ref="B34" r:id="rId62" xr:uid="{00000000-0004-0000-2300-00003D000000}"/>
    <hyperlink ref="C34" r:id="rId63" xr:uid="{00000000-0004-0000-2300-00003E000000}"/>
    <hyperlink ref="B35" r:id="rId64" xr:uid="{00000000-0004-0000-2300-00003F000000}"/>
    <hyperlink ref="C35" r:id="rId65" xr:uid="{00000000-0004-0000-2300-000040000000}"/>
    <hyperlink ref="B36" r:id="rId66" xr:uid="{00000000-0004-0000-2300-000041000000}"/>
    <hyperlink ref="C36" r:id="rId67" xr:uid="{00000000-0004-0000-2300-000042000000}"/>
    <hyperlink ref="B37" r:id="rId68" xr:uid="{00000000-0004-0000-2300-000043000000}"/>
    <hyperlink ref="C37" r:id="rId69" xr:uid="{00000000-0004-0000-2300-000044000000}"/>
    <hyperlink ref="B38" r:id="rId70" xr:uid="{00000000-0004-0000-2300-000045000000}"/>
    <hyperlink ref="C38" r:id="rId71" xr:uid="{00000000-0004-0000-2300-000046000000}"/>
    <hyperlink ref="B39" r:id="rId72" xr:uid="{00000000-0004-0000-2300-000047000000}"/>
    <hyperlink ref="C39" r:id="rId73" xr:uid="{00000000-0004-0000-2300-000048000000}"/>
    <hyperlink ref="B40" r:id="rId74" xr:uid="{00000000-0004-0000-2300-000049000000}"/>
    <hyperlink ref="C40" r:id="rId75" xr:uid="{00000000-0004-0000-2300-00004A000000}"/>
    <hyperlink ref="B41" r:id="rId76" xr:uid="{00000000-0004-0000-2300-00004B000000}"/>
    <hyperlink ref="C41" r:id="rId77" xr:uid="{00000000-0004-0000-2300-00004C000000}"/>
    <hyperlink ref="B42" r:id="rId78" xr:uid="{00000000-0004-0000-2300-00004D000000}"/>
    <hyperlink ref="C42" r:id="rId79" xr:uid="{00000000-0004-0000-2300-00004E000000}"/>
    <hyperlink ref="B43" r:id="rId80" xr:uid="{00000000-0004-0000-2300-00004F000000}"/>
    <hyperlink ref="C43" r:id="rId81" xr:uid="{00000000-0004-0000-2300-000050000000}"/>
    <hyperlink ref="B44" r:id="rId82" xr:uid="{00000000-0004-0000-2300-000051000000}"/>
    <hyperlink ref="C44" r:id="rId83" xr:uid="{00000000-0004-0000-2300-000052000000}"/>
    <hyperlink ref="B45" r:id="rId84" xr:uid="{00000000-0004-0000-2300-000053000000}"/>
    <hyperlink ref="C45" r:id="rId85" xr:uid="{00000000-0004-0000-2300-000054000000}"/>
    <hyperlink ref="B46" r:id="rId86" xr:uid="{00000000-0004-0000-2300-000055000000}"/>
    <hyperlink ref="C46" r:id="rId87" xr:uid="{00000000-0004-0000-2300-000056000000}"/>
    <hyperlink ref="B47" r:id="rId88" xr:uid="{00000000-0004-0000-2300-000057000000}"/>
    <hyperlink ref="C47" r:id="rId89" xr:uid="{00000000-0004-0000-2300-000058000000}"/>
    <hyperlink ref="B48" r:id="rId90" xr:uid="{00000000-0004-0000-2300-000059000000}"/>
    <hyperlink ref="C48" r:id="rId91" xr:uid="{00000000-0004-0000-2300-00005A000000}"/>
    <hyperlink ref="B49" r:id="rId92" xr:uid="{00000000-0004-0000-2300-00005B000000}"/>
    <hyperlink ref="C49" r:id="rId93" xr:uid="{00000000-0004-0000-2300-00005C000000}"/>
    <hyperlink ref="B50" r:id="rId94" xr:uid="{00000000-0004-0000-2300-00005D000000}"/>
    <hyperlink ref="C50" r:id="rId95" xr:uid="{00000000-0004-0000-2300-00005E000000}"/>
    <hyperlink ref="B51" r:id="rId96" xr:uid="{00000000-0004-0000-2300-00005F000000}"/>
    <hyperlink ref="C51" r:id="rId97" xr:uid="{00000000-0004-0000-2300-000060000000}"/>
    <hyperlink ref="B52" r:id="rId98" xr:uid="{00000000-0004-0000-2300-000061000000}"/>
    <hyperlink ref="C52" r:id="rId99" xr:uid="{00000000-0004-0000-2300-000062000000}"/>
    <hyperlink ref="B53" r:id="rId100" xr:uid="{00000000-0004-0000-2300-000063000000}"/>
    <hyperlink ref="C53" r:id="rId101" xr:uid="{00000000-0004-0000-2300-000064000000}"/>
    <hyperlink ref="B54" r:id="rId102" xr:uid="{00000000-0004-0000-2300-000065000000}"/>
    <hyperlink ref="C54" r:id="rId103" xr:uid="{00000000-0004-0000-2300-000066000000}"/>
    <hyperlink ref="B55" r:id="rId104" xr:uid="{00000000-0004-0000-2300-000067000000}"/>
    <hyperlink ref="C55" r:id="rId105" xr:uid="{00000000-0004-0000-2300-000068000000}"/>
    <hyperlink ref="B56" r:id="rId106" xr:uid="{00000000-0004-0000-2300-000069000000}"/>
    <hyperlink ref="C56" r:id="rId107" xr:uid="{00000000-0004-0000-2300-00006A000000}"/>
    <hyperlink ref="B57" r:id="rId108" xr:uid="{00000000-0004-0000-2300-00006B000000}"/>
    <hyperlink ref="C57" r:id="rId109" xr:uid="{00000000-0004-0000-2300-00006C000000}"/>
    <hyperlink ref="B58" r:id="rId110" xr:uid="{00000000-0004-0000-2300-00006D000000}"/>
    <hyperlink ref="C58" r:id="rId111" xr:uid="{00000000-0004-0000-2300-00006E000000}"/>
    <hyperlink ref="B59" r:id="rId112" xr:uid="{00000000-0004-0000-2300-00006F000000}"/>
    <hyperlink ref="C59" r:id="rId113" xr:uid="{00000000-0004-0000-2300-000070000000}"/>
    <hyperlink ref="B60" r:id="rId114" xr:uid="{00000000-0004-0000-2300-000071000000}"/>
    <hyperlink ref="C60" r:id="rId115" xr:uid="{00000000-0004-0000-2300-000072000000}"/>
    <hyperlink ref="B61" r:id="rId116" xr:uid="{00000000-0004-0000-2300-000073000000}"/>
    <hyperlink ref="C61" r:id="rId117" xr:uid="{00000000-0004-0000-2300-000074000000}"/>
    <hyperlink ref="B62" r:id="rId118" xr:uid="{00000000-0004-0000-2300-000075000000}"/>
    <hyperlink ref="C62" r:id="rId119" xr:uid="{00000000-0004-0000-2300-000076000000}"/>
    <hyperlink ref="B63" r:id="rId120" xr:uid="{00000000-0004-0000-2300-000077000000}"/>
    <hyperlink ref="C63" r:id="rId121" xr:uid="{00000000-0004-0000-2300-000078000000}"/>
    <hyperlink ref="B64" r:id="rId122" xr:uid="{00000000-0004-0000-2300-000079000000}"/>
    <hyperlink ref="C64" r:id="rId123" xr:uid="{00000000-0004-0000-2300-00007A000000}"/>
    <hyperlink ref="B65" r:id="rId124" xr:uid="{00000000-0004-0000-2300-00007B000000}"/>
    <hyperlink ref="C65" r:id="rId125" xr:uid="{00000000-0004-0000-2300-00007C000000}"/>
    <hyperlink ref="B66" r:id="rId126" xr:uid="{00000000-0004-0000-2300-00007D000000}"/>
    <hyperlink ref="C66" r:id="rId127" xr:uid="{00000000-0004-0000-2300-00007E000000}"/>
    <hyperlink ref="B67" r:id="rId128" xr:uid="{00000000-0004-0000-2300-00007F000000}"/>
    <hyperlink ref="C67" r:id="rId129" xr:uid="{00000000-0004-0000-2300-000080000000}"/>
    <hyperlink ref="B68" r:id="rId130" xr:uid="{00000000-0004-0000-2300-000081000000}"/>
    <hyperlink ref="C68" r:id="rId131" xr:uid="{00000000-0004-0000-2300-000082000000}"/>
    <hyperlink ref="B69" r:id="rId132" xr:uid="{00000000-0004-0000-2300-000083000000}"/>
    <hyperlink ref="C69" r:id="rId133" xr:uid="{00000000-0004-0000-2300-000084000000}"/>
    <hyperlink ref="B70" r:id="rId134" xr:uid="{00000000-0004-0000-2300-000085000000}"/>
    <hyperlink ref="C70" r:id="rId135" xr:uid="{00000000-0004-0000-2300-000086000000}"/>
    <hyperlink ref="B71" r:id="rId136" xr:uid="{00000000-0004-0000-2300-000087000000}"/>
    <hyperlink ref="C71" r:id="rId137" xr:uid="{00000000-0004-0000-2300-000088000000}"/>
    <hyperlink ref="C72" r:id="rId138" xr:uid="{00000000-0004-0000-2300-000089000000}"/>
    <hyperlink ref="C73" r:id="rId139" xr:uid="{00000000-0004-0000-2300-00008A000000}"/>
    <hyperlink ref="C74" r:id="rId140" xr:uid="{00000000-0004-0000-2300-00008B000000}"/>
    <hyperlink ref="C75" r:id="rId141" xr:uid="{00000000-0004-0000-2300-00008C000000}"/>
    <hyperlink ref="C76" r:id="rId142" xr:uid="{00000000-0004-0000-2300-00008D000000}"/>
    <hyperlink ref="C77" r:id="rId143" xr:uid="{00000000-0004-0000-2300-00008E000000}"/>
    <hyperlink ref="C78" r:id="rId144" xr:uid="{00000000-0004-0000-2300-00008F000000}"/>
    <hyperlink ref="C79" r:id="rId145" xr:uid="{00000000-0004-0000-2300-000090000000}"/>
    <hyperlink ref="C80" r:id="rId146" xr:uid="{00000000-0004-0000-2300-000091000000}"/>
    <hyperlink ref="C81" r:id="rId147" xr:uid="{00000000-0004-0000-2300-000092000000}"/>
    <hyperlink ref="C82" r:id="rId148" xr:uid="{00000000-0004-0000-2300-000093000000}"/>
    <hyperlink ref="C83" r:id="rId149" xr:uid="{00000000-0004-0000-2300-000094000000}"/>
    <hyperlink ref="B84" r:id="rId150" xr:uid="{00000000-0004-0000-2300-000095000000}"/>
    <hyperlink ref="C84" r:id="rId151" xr:uid="{00000000-0004-0000-2300-000096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5703125" defaultRowHeight="15.75" customHeight="1"/>
  <cols>
    <col min="1" max="1" width="16.140625" customWidth="1"/>
    <col min="2" max="3" width="44.42578125" customWidth="1"/>
    <col min="4" max="4" width="71" customWidth="1"/>
    <col min="5" max="5" width="55.42578125" customWidth="1"/>
    <col min="6" max="6" width="58.42578125" customWidth="1"/>
    <col min="7" max="7" width="19.7109375" customWidth="1"/>
    <col min="8" max="8" width="47" customWidth="1"/>
    <col min="9" max="9" width="25.85546875" customWidth="1"/>
    <col min="10" max="10" width="14.28515625" customWidth="1"/>
    <col min="11" max="13" width="15.5703125" customWidth="1"/>
    <col min="14" max="14" width="17.5703125" customWidth="1"/>
  </cols>
  <sheetData>
    <row r="1" spans="1:29" ht="25.5">
      <c r="A1" s="275" t="s">
        <v>6259</v>
      </c>
      <c r="B1" s="275" t="s">
        <v>9293</v>
      </c>
      <c r="C1" s="579" t="s">
        <v>5630</v>
      </c>
      <c r="D1" s="275" t="s">
        <v>6</v>
      </c>
      <c r="E1" s="275" t="s">
        <v>1822</v>
      </c>
      <c r="F1" s="275" t="s">
        <v>7</v>
      </c>
      <c r="G1" s="275" t="s">
        <v>7388</v>
      </c>
      <c r="H1" s="275" t="s">
        <v>8</v>
      </c>
      <c r="I1" s="275" t="s">
        <v>5627</v>
      </c>
      <c r="J1" s="275" t="s">
        <v>389</v>
      </c>
      <c r="K1" s="275" t="s">
        <v>4</v>
      </c>
      <c r="L1" s="275" t="s">
        <v>6060</v>
      </c>
      <c r="M1" s="275" t="s">
        <v>6413</v>
      </c>
      <c r="N1" s="275" t="s">
        <v>1821</v>
      </c>
      <c r="O1" s="44"/>
      <c r="P1" s="44"/>
      <c r="Q1" s="44"/>
      <c r="R1" s="44"/>
      <c r="S1" s="44"/>
      <c r="T1" s="44"/>
      <c r="U1" s="44"/>
      <c r="V1" s="44"/>
      <c r="W1" s="44"/>
      <c r="X1" s="44"/>
      <c r="Y1" s="44"/>
      <c r="Z1" s="44"/>
      <c r="AA1" s="44"/>
      <c r="AB1" s="44"/>
      <c r="AC1" s="44"/>
    </row>
    <row r="2" spans="1:29" ht="25.5">
      <c r="A2" s="581">
        <v>37622</v>
      </c>
      <c r="B2" s="583" t="s">
        <v>10973</v>
      </c>
      <c r="C2" s="609" t="s">
        <v>10974</v>
      </c>
      <c r="D2" s="584" t="s">
        <v>10975</v>
      </c>
      <c r="E2" s="610"/>
      <c r="F2" s="583" t="s">
        <v>10976</v>
      </c>
      <c r="G2" s="509" t="s">
        <v>1808</v>
      </c>
      <c r="H2" s="398" t="s">
        <v>2508</v>
      </c>
      <c r="I2" s="34" t="s">
        <v>10977</v>
      </c>
      <c r="J2" s="44" t="s">
        <v>6872</v>
      </c>
      <c r="K2" s="105"/>
      <c r="L2" s="34" t="s">
        <v>6064</v>
      </c>
      <c r="M2" s="34" t="s">
        <v>1824</v>
      </c>
      <c r="N2" s="34" t="s">
        <v>1828</v>
      </c>
    </row>
    <row r="3" spans="1:29" ht="25.5">
      <c r="A3" s="581">
        <v>37653</v>
      </c>
      <c r="B3" s="583" t="s">
        <v>10973</v>
      </c>
      <c r="C3" s="609" t="s">
        <v>10978</v>
      </c>
      <c r="D3" s="188" t="s">
        <v>10979</v>
      </c>
      <c r="E3" s="304"/>
      <c r="F3" s="34" t="s">
        <v>10358</v>
      </c>
      <c r="G3" s="509" t="s">
        <v>1808</v>
      </c>
      <c r="H3" s="398" t="s">
        <v>2508</v>
      </c>
      <c r="I3" s="34" t="s">
        <v>10980</v>
      </c>
      <c r="J3" s="44" t="s">
        <v>6872</v>
      </c>
      <c r="K3" s="105"/>
      <c r="L3" s="34" t="s">
        <v>6064</v>
      </c>
      <c r="M3" s="34" t="s">
        <v>1824</v>
      </c>
      <c r="N3" s="34" t="s">
        <v>1828</v>
      </c>
    </row>
    <row r="4" spans="1:29" ht="25.5">
      <c r="A4" s="581">
        <v>37681</v>
      </c>
      <c r="B4" s="583" t="s">
        <v>10973</v>
      </c>
      <c r="C4" s="609" t="s">
        <v>10981</v>
      </c>
      <c r="D4" s="188" t="s">
        <v>10982</v>
      </c>
      <c r="E4" s="304"/>
      <c r="F4" s="586" t="s">
        <v>10983</v>
      </c>
      <c r="G4" s="509" t="s">
        <v>1808</v>
      </c>
      <c r="H4" s="398"/>
      <c r="I4" s="34" t="s">
        <v>10984</v>
      </c>
      <c r="J4" s="44" t="s">
        <v>6872</v>
      </c>
      <c r="K4" s="105"/>
      <c r="L4" s="34" t="s">
        <v>6217</v>
      </c>
      <c r="M4" s="34" t="s">
        <v>1824</v>
      </c>
      <c r="N4" s="34" t="s">
        <v>2449</v>
      </c>
    </row>
    <row r="5" spans="1:29" ht="38.25">
      <c r="A5" s="581">
        <v>37834</v>
      </c>
      <c r="B5" s="583" t="s">
        <v>10973</v>
      </c>
      <c r="C5" s="609" t="s">
        <v>10985</v>
      </c>
      <c r="D5" s="188" t="s">
        <v>10986</v>
      </c>
      <c r="E5" s="304"/>
      <c r="F5" s="34" t="s">
        <v>10987</v>
      </c>
      <c r="G5" s="34" t="s">
        <v>6132</v>
      </c>
      <c r="H5" s="589" t="s">
        <v>10988</v>
      </c>
      <c r="I5" s="34" t="s">
        <v>10989</v>
      </c>
      <c r="J5" s="44" t="s">
        <v>6872</v>
      </c>
      <c r="K5" s="105"/>
      <c r="L5" s="34" t="s">
        <v>6724</v>
      </c>
      <c r="M5" s="34"/>
      <c r="N5" s="34" t="s">
        <v>1828</v>
      </c>
    </row>
    <row r="6" spans="1:29" ht="51">
      <c r="A6" s="581">
        <v>37865</v>
      </c>
      <c r="B6" s="583" t="s">
        <v>10973</v>
      </c>
      <c r="C6" s="609" t="s">
        <v>10990</v>
      </c>
      <c r="D6" s="188" t="s">
        <v>10991</v>
      </c>
      <c r="E6" s="304"/>
      <c r="F6" s="398" t="s">
        <v>3563</v>
      </c>
      <c r="G6" s="509" t="s">
        <v>1808</v>
      </c>
      <c r="H6" s="398" t="s">
        <v>2508</v>
      </c>
      <c r="I6" s="34" t="s">
        <v>10992</v>
      </c>
      <c r="J6" s="44" t="s">
        <v>6872</v>
      </c>
      <c r="K6" s="105"/>
      <c r="L6" s="34" t="s">
        <v>6064</v>
      </c>
      <c r="M6" s="34" t="s">
        <v>1824</v>
      </c>
      <c r="N6" s="34" t="s">
        <v>1828</v>
      </c>
    </row>
    <row r="7" spans="1:29" ht="34.5" customHeight="1">
      <c r="A7" s="34" t="s">
        <v>10993</v>
      </c>
      <c r="B7" s="583" t="s">
        <v>10994</v>
      </c>
      <c r="C7" s="609" t="s">
        <v>10995</v>
      </c>
      <c r="D7" s="584" t="s">
        <v>10996</v>
      </c>
      <c r="E7" s="610"/>
      <c r="F7" s="34" t="s">
        <v>10997</v>
      </c>
      <c r="G7" s="34" t="s">
        <v>6132</v>
      </c>
      <c r="H7" s="398" t="s">
        <v>10222</v>
      </c>
      <c r="I7" s="34" t="s">
        <v>10998</v>
      </c>
      <c r="J7" s="44" t="s">
        <v>6872</v>
      </c>
      <c r="K7" s="105"/>
      <c r="L7" s="34" t="s">
        <v>6137</v>
      </c>
      <c r="M7" s="34"/>
      <c r="N7" s="34" t="s">
        <v>1828</v>
      </c>
    </row>
    <row r="8" spans="1:29" ht="36.75" customHeight="1">
      <c r="A8" s="34" t="s">
        <v>10999</v>
      </c>
      <c r="B8" s="586" t="s">
        <v>10973</v>
      </c>
      <c r="C8" s="609" t="s">
        <v>11000</v>
      </c>
      <c r="D8" s="588" t="s">
        <v>11001</v>
      </c>
      <c r="E8" s="198"/>
      <c r="F8" s="34" t="s">
        <v>10117</v>
      </c>
      <c r="G8" s="34" t="s">
        <v>6132</v>
      </c>
      <c r="H8" s="335" t="s">
        <v>11002</v>
      </c>
      <c r="I8" s="34" t="s">
        <v>11003</v>
      </c>
      <c r="J8" s="44" t="s">
        <v>6872</v>
      </c>
      <c r="K8" s="105"/>
      <c r="L8" s="34" t="s">
        <v>6064</v>
      </c>
      <c r="M8" s="34"/>
      <c r="N8" s="34" t="s">
        <v>1828</v>
      </c>
    </row>
    <row r="9" spans="1:29" ht="127.5">
      <c r="A9" s="34" t="s">
        <v>11004</v>
      </c>
      <c r="B9" s="586" t="s">
        <v>10973</v>
      </c>
      <c r="C9" s="609" t="s">
        <v>11005</v>
      </c>
      <c r="D9" s="584" t="s">
        <v>11006</v>
      </c>
      <c r="E9" s="610"/>
      <c r="F9" s="583" t="s">
        <v>11007</v>
      </c>
      <c r="G9" s="34" t="s">
        <v>11008</v>
      </c>
      <c r="H9" s="398"/>
      <c r="I9" s="583" t="s">
        <v>11009</v>
      </c>
      <c r="J9" s="44" t="s">
        <v>6872</v>
      </c>
      <c r="K9" s="105"/>
      <c r="L9" s="34" t="s">
        <v>6137</v>
      </c>
      <c r="M9" s="34"/>
      <c r="N9" s="34"/>
    </row>
    <row r="10" spans="1:29" ht="38.25">
      <c r="A10" s="34" t="s">
        <v>11010</v>
      </c>
      <c r="B10" s="586" t="s">
        <v>10973</v>
      </c>
      <c r="C10" s="609" t="s">
        <v>11011</v>
      </c>
      <c r="D10" s="188" t="s">
        <v>11012</v>
      </c>
      <c r="E10" s="304"/>
      <c r="F10" s="34" t="s">
        <v>11013</v>
      </c>
      <c r="G10" s="34" t="s">
        <v>6132</v>
      </c>
      <c r="H10" s="335" t="s">
        <v>11014</v>
      </c>
      <c r="I10" s="398" t="s">
        <v>11015</v>
      </c>
      <c r="J10" s="586" t="s">
        <v>6872</v>
      </c>
      <c r="K10" s="105"/>
      <c r="L10" s="34" t="s">
        <v>6140</v>
      </c>
      <c r="M10" s="34"/>
      <c r="N10" s="34" t="s">
        <v>1828</v>
      </c>
    </row>
    <row r="11" spans="1:29" ht="178.5">
      <c r="A11" s="34" t="s">
        <v>11016</v>
      </c>
      <c r="B11" s="586" t="s">
        <v>10973</v>
      </c>
      <c r="C11" s="609" t="s">
        <v>11017</v>
      </c>
      <c r="D11" s="188" t="s">
        <v>11018</v>
      </c>
      <c r="E11" s="304"/>
      <c r="F11" s="586"/>
      <c r="G11" s="509" t="s">
        <v>1808</v>
      </c>
      <c r="H11" s="398"/>
      <c r="I11" s="65" t="s">
        <v>11019</v>
      </c>
      <c r="J11" s="586" t="s">
        <v>6872</v>
      </c>
      <c r="K11" s="105"/>
      <c r="L11" s="34" t="s">
        <v>6092</v>
      </c>
      <c r="M11" s="34"/>
      <c r="N11" s="34"/>
    </row>
    <row r="12" spans="1:29" ht="38.25">
      <c r="A12" s="34" t="s">
        <v>11020</v>
      </c>
      <c r="B12" s="586" t="s">
        <v>10973</v>
      </c>
      <c r="C12" s="609" t="s">
        <v>11021</v>
      </c>
      <c r="D12" s="188" t="s">
        <v>11022</v>
      </c>
      <c r="E12" s="304"/>
      <c r="F12" s="34" t="s">
        <v>11023</v>
      </c>
      <c r="G12" s="509" t="s">
        <v>1808</v>
      </c>
      <c r="H12" s="398" t="s">
        <v>11024</v>
      </c>
      <c r="I12" s="34" t="s">
        <v>8916</v>
      </c>
      <c r="J12" s="44" t="s">
        <v>6872</v>
      </c>
      <c r="K12" s="105"/>
      <c r="L12" s="34" t="s">
        <v>6064</v>
      </c>
      <c r="M12" s="34"/>
      <c r="N12" s="34"/>
    </row>
    <row r="13" spans="1:29" ht="25.5">
      <c r="A13" s="34" t="s">
        <v>11025</v>
      </c>
      <c r="B13" s="586" t="s">
        <v>10973</v>
      </c>
      <c r="C13" s="609" t="s">
        <v>11026</v>
      </c>
      <c r="D13" s="188" t="s">
        <v>11027</v>
      </c>
      <c r="E13" s="304"/>
      <c r="F13" s="34" t="s">
        <v>11028</v>
      </c>
      <c r="G13" s="34"/>
      <c r="H13" s="34" t="s">
        <v>11029</v>
      </c>
      <c r="I13" s="34" t="s">
        <v>11030</v>
      </c>
      <c r="J13" s="44" t="s">
        <v>6872</v>
      </c>
      <c r="K13" s="105"/>
      <c r="L13" s="34" t="s">
        <v>6092</v>
      </c>
      <c r="M13" s="34"/>
      <c r="N13" s="34" t="s">
        <v>2449</v>
      </c>
    </row>
    <row r="14" spans="1:29" ht="25.5">
      <c r="A14" s="34" t="s">
        <v>11031</v>
      </c>
      <c r="B14" s="586" t="s">
        <v>10994</v>
      </c>
      <c r="C14" s="609" t="s">
        <v>11032</v>
      </c>
      <c r="D14" s="188" t="s">
        <v>11033</v>
      </c>
      <c r="E14" s="304"/>
      <c r="F14" s="34" t="s">
        <v>10997</v>
      </c>
      <c r="G14" s="34" t="s">
        <v>6132</v>
      </c>
      <c r="H14" s="34" t="s">
        <v>11034</v>
      </c>
      <c r="I14" s="34" t="s">
        <v>11035</v>
      </c>
      <c r="J14" s="44" t="s">
        <v>6872</v>
      </c>
      <c r="K14" s="105"/>
      <c r="L14" s="34" t="s">
        <v>6137</v>
      </c>
      <c r="M14" s="34"/>
      <c r="N14" s="34"/>
    </row>
    <row r="15" spans="1:29" ht="51">
      <c r="A15" s="34" t="s">
        <v>11036</v>
      </c>
      <c r="B15" s="586" t="s">
        <v>10973</v>
      </c>
      <c r="C15" s="609" t="s">
        <v>11037</v>
      </c>
      <c r="D15" s="584" t="s">
        <v>11038</v>
      </c>
      <c r="E15" s="610"/>
      <c r="F15" s="583" t="s">
        <v>11039</v>
      </c>
      <c r="G15" s="509" t="s">
        <v>1808</v>
      </c>
      <c r="H15" s="34" t="s">
        <v>3686</v>
      </c>
      <c r="I15" s="34" t="s">
        <v>11040</v>
      </c>
      <c r="J15" s="44" t="s">
        <v>6872</v>
      </c>
      <c r="K15" s="105"/>
      <c r="L15" s="34" t="s">
        <v>6064</v>
      </c>
      <c r="M15" s="34"/>
      <c r="N15" s="34" t="s">
        <v>2656</v>
      </c>
    </row>
    <row r="16" spans="1:29" ht="89.25">
      <c r="A16" s="34" t="s">
        <v>11041</v>
      </c>
      <c r="B16" s="586" t="s">
        <v>10973</v>
      </c>
      <c r="C16" s="609" t="s">
        <v>11042</v>
      </c>
      <c r="D16" s="584" t="s">
        <v>11043</v>
      </c>
      <c r="E16" s="610"/>
      <c r="F16" s="34" t="s">
        <v>11044</v>
      </c>
      <c r="G16" s="509" t="s">
        <v>1808</v>
      </c>
      <c r="H16" s="34"/>
      <c r="I16" s="335" t="s">
        <v>2453</v>
      </c>
      <c r="J16" s="44"/>
      <c r="K16" s="105"/>
      <c r="L16" s="34" t="s">
        <v>6140</v>
      </c>
      <c r="M16" s="34"/>
      <c r="N16" s="34"/>
    </row>
    <row r="17" spans="1:14" ht="25.5">
      <c r="A17" s="34" t="s">
        <v>11045</v>
      </c>
      <c r="B17" s="586" t="s">
        <v>10973</v>
      </c>
      <c r="C17" s="609" t="s">
        <v>11046</v>
      </c>
      <c r="D17" s="188" t="s">
        <v>11047</v>
      </c>
      <c r="E17" s="304"/>
      <c r="F17" s="34" t="s">
        <v>11048</v>
      </c>
      <c r="G17" s="509" t="s">
        <v>1808</v>
      </c>
      <c r="H17" s="34" t="s">
        <v>5754</v>
      </c>
      <c r="I17" s="34" t="s">
        <v>11049</v>
      </c>
      <c r="J17" s="44" t="s">
        <v>6872</v>
      </c>
      <c r="K17" s="105"/>
      <c r="L17" s="34" t="s">
        <v>6217</v>
      </c>
      <c r="M17" s="34"/>
      <c r="N17" s="34" t="s">
        <v>2611</v>
      </c>
    </row>
    <row r="18" spans="1:14" ht="25.5">
      <c r="A18" s="34" t="s">
        <v>11050</v>
      </c>
      <c r="B18" s="586" t="s">
        <v>10994</v>
      </c>
      <c r="C18" s="609" t="s">
        <v>11051</v>
      </c>
      <c r="D18" s="584" t="s">
        <v>11052</v>
      </c>
      <c r="E18" s="610"/>
      <c r="F18" s="34" t="s">
        <v>11053</v>
      </c>
      <c r="G18" s="34" t="s">
        <v>6132</v>
      </c>
      <c r="H18" s="611" t="s">
        <v>11002</v>
      </c>
      <c r="I18" s="34" t="s">
        <v>10568</v>
      </c>
      <c r="J18" s="44" t="s">
        <v>6872</v>
      </c>
      <c r="K18" s="105"/>
      <c r="L18" s="34" t="s">
        <v>6064</v>
      </c>
      <c r="M18" s="34"/>
      <c r="N18" s="34" t="s">
        <v>1828</v>
      </c>
    </row>
    <row r="19" spans="1:14" ht="25.5">
      <c r="A19" s="34" t="s">
        <v>11054</v>
      </c>
      <c r="B19" s="586" t="s">
        <v>11055</v>
      </c>
      <c r="C19" s="609" t="s">
        <v>11056</v>
      </c>
      <c r="D19" s="188" t="s">
        <v>11057</v>
      </c>
      <c r="E19" s="304"/>
      <c r="F19" s="34" t="s">
        <v>11058</v>
      </c>
      <c r="G19" s="509" t="s">
        <v>1808</v>
      </c>
      <c r="H19" s="34"/>
      <c r="I19" s="34" t="s">
        <v>11059</v>
      </c>
      <c r="J19" s="44" t="s">
        <v>6872</v>
      </c>
      <c r="K19" s="105"/>
      <c r="L19" s="34" t="s">
        <v>6064</v>
      </c>
      <c r="M19" s="34" t="s">
        <v>1824</v>
      </c>
      <c r="N19" s="34"/>
    </row>
    <row r="20" spans="1:14" ht="25.5">
      <c r="A20" s="34" t="s">
        <v>11060</v>
      </c>
      <c r="B20" s="586" t="s">
        <v>11055</v>
      </c>
      <c r="C20" s="609" t="s">
        <v>11061</v>
      </c>
      <c r="D20" s="188" t="s">
        <v>11062</v>
      </c>
      <c r="E20" s="304"/>
      <c r="F20" s="34" t="s">
        <v>11063</v>
      </c>
      <c r="G20" s="509" t="s">
        <v>1808</v>
      </c>
      <c r="H20" s="398"/>
      <c r="I20" s="34" t="s">
        <v>10543</v>
      </c>
      <c r="J20" s="586" t="s">
        <v>6872</v>
      </c>
      <c r="K20" s="105"/>
      <c r="L20" s="34" t="s">
        <v>6064</v>
      </c>
      <c r="M20" s="34"/>
      <c r="N20" s="34"/>
    </row>
    <row r="21" spans="1:14" ht="25.5">
      <c r="A21" s="34" t="s">
        <v>11064</v>
      </c>
      <c r="B21" s="586" t="s">
        <v>10973</v>
      </c>
      <c r="C21" s="609" t="s">
        <v>11065</v>
      </c>
      <c r="D21" s="188" t="s">
        <v>11066</v>
      </c>
      <c r="E21" s="304"/>
      <c r="F21" s="586" t="s">
        <v>11067</v>
      </c>
      <c r="G21" s="509" t="s">
        <v>1808</v>
      </c>
      <c r="H21" s="398" t="s">
        <v>3190</v>
      </c>
      <c r="I21" s="34" t="s">
        <v>11068</v>
      </c>
      <c r="J21" s="586" t="s">
        <v>6872</v>
      </c>
      <c r="K21" s="105"/>
      <c r="L21" s="34" t="s">
        <v>6064</v>
      </c>
      <c r="M21" s="34"/>
      <c r="N21" s="34" t="s">
        <v>6314</v>
      </c>
    </row>
    <row r="22" spans="1:14" ht="25.5">
      <c r="A22" s="34" t="s">
        <v>11069</v>
      </c>
      <c r="B22" s="586" t="s">
        <v>10973</v>
      </c>
      <c r="C22" s="609" t="s">
        <v>11070</v>
      </c>
      <c r="D22" s="188" t="s">
        <v>11071</v>
      </c>
      <c r="E22" s="304"/>
      <c r="F22" s="34" t="s">
        <v>1502</v>
      </c>
      <c r="G22" s="509" t="s">
        <v>1808</v>
      </c>
      <c r="H22" s="398"/>
      <c r="I22" s="590" t="s">
        <v>11072</v>
      </c>
      <c r="J22" s="44" t="s">
        <v>6872</v>
      </c>
      <c r="K22" s="105"/>
      <c r="L22" s="34" t="s">
        <v>6064</v>
      </c>
      <c r="M22" s="34" t="s">
        <v>1824</v>
      </c>
      <c r="N22" s="34" t="s">
        <v>2449</v>
      </c>
    </row>
    <row r="23" spans="1:14" ht="89.25">
      <c r="A23" s="34" t="s">
        <v>11073</v>
      </c>
      <c r="B23" s="586" t="s">
        <v>10973</v>
      </c>
      <c r="C23" s="609" t="s">
        <v>11074</v>
      </c>
      <c r="D23" s="188" t="s">
        <v>11075</v>
      </c>
      <c r="E23" s="304"/>
      <c r="F23" s="34" t="s">
        <v>11076</v>
      </c>
      <c r="G23" s="34" t="s">
        <v>11077</v>
      </c>
      <c r="H23" s="398" t="s">
        <v>11078</v>
      </c>
      <c r="I23" s="34" t="s">
        <v>11079</v>
      </c>
      <c r="J23" s="44" t="s">
        <v>6872</v>
      </c>
      <c r="K23" s="105"/>
      <c r="L23" s="34" t="s">
        <v>6064</v>
      </c>
      <c r="M23" s="34"/>
      <c r="N23" s="34"/>
    </row>
    <row r="24" spans="1:14" ht="25.5">
      <c r="A24" s="34" t="s">
        <v>11080</v>
      </c>
      <c r="B24" s="586" t="s">
        <v>10973</v>
      </c>
      <c r="C24" s="609" t="s">
        <v>11081</v>
      </c>
      <c r="D24" s="188" t="s">
        <v>11082</v>
      </c>
      <c r="E24" s="304"/>
      <c r="F24" s="34" t="s">
        <v>1442</v>
      </c>
      <c r="G24" s="509" t="s">
        <v>1808</v>
      </c>
      <c r="H24" s="398"/>
      <c r="I24" s="34" t="s">
        <v>11083</v>
      </c>
      <c r="J24" s="44" t="s">
        <v>6872</v>
      </c>
      <c r="K24" s="105"/>
      <c r="L24" s="34" t="s">
        <v>6064</v>
      </c>
      <c r="M24" s="34" t="s">
        <v>1824</v>
      </c>
      <c r="N24" s="34" t="s">
        <v>6783</v>
      </c>
    </row>
    <row r="25" spans="1:14" ht="140.25">
      <c r="A25" s="34" t="s">
        <v>11084</v>
      </c>
      <c r="B25" s="586" t="s">
        <v>10973</v>
      </c>
      <c r="C25" s="609" t="s">
        <v>11085</v>
      </c>
      <c r="D25" s="612" t="s">
        <v>11086</v>
      </c>
      <c r="E25" s="613"/>
      <c r="F25" s="34" t="s">
        <v>11087</v>
      </c>
      <c r="G25" s="509" t="s">
        <v>1808</v>
      </c>
      <c r="H25" s="34" t="s">
        <v>11088</v>
      </c>
      <c r="I25" s="34" t="s">
        <v>11089</v>
      </c>
      <c r="J25" s="586" t="s">
        <v>6872</v>
      </c>
      <c r="K25" s="105"/>
      <c r="L25" s="34" t="s">
        <v>6092</v>
      </c>
      <c r="M25" s="34"/>
      <c r="N25" s="34" t="s">
        <v>1828</v>
      </c>
    </row>
    <row r="26" spans="1:14" ht="38.25">
      <c r="A26" s="34" t="s">
        <v>11090</v>
      </c>
      <c r="B26" s="586" t="s">
        <v>11091</v>
      </c>
      <c r="C26" s="609" t="s">
        <v>11092</v>
      </c>
      <c r="D26" s="188" t="s">
        <v>11093</v>
      </c>
      <c r="E26" s="304"/>
      <c r="F26" s="34" t="s">
        <v>11094</v>
      </c>
      <c r="G26" s="509" t="s">
        <v>1808</v>
      </c>
      <c r="H26" s="34"/>
      <c r="I26" s="34" t="s">
        <v>11095</v>
      </c>
      <c r="J26" s="44" t="s">
        <v>6872</v>
      </c>
      <c r="K26" s="105"/>
      <c r="L26" s="34" t="s">
        <v>6137</v>
      </c>
      <c r="M26" s="34"/>
      <c r="N26" s="34"/>
    </row>
    <row r="27" spans="1:14" ht="63.75">
      <c r="A27" s="34" t="s">
        <v>11096</v>
      </c>
      <c r="B27" s="586" t="s">
        <v>10973</v>
      </c>
      <c r="C27" s="609" t="s">
        <v>11097</v>
      </c>
      <c r="D27" s="188" t="s">
        <v>11098</v>
      </c>
      <c r="E27" s="304"/>
      <c r="F27" s="34" t="s">
        <v>11099</v>
      </c>
      <c r="G27" s="34" t="s">
        <v>6132</v>
      </c>
      <c r="H27" s="34" t="s">
        <v>11100</v>
      </c>
      <c r="I27" s="34" t="s">
        <v>11101</v>
      </c>
      <c r="J27" s="44" t="s">
        <v>6872</v>
      </c>
      <c r="K27" s="105"/>
      <c r="L27" s="34" t="s">
        <v>6137</v>
      </c>
      <c r="M27" s="34"/>
      <c r="N27" s="34"/>
    </row>
    <row r="28" spans="1:14" ht="58.5" customHeight="1">
      <c r="A28" s="34" t="s">
        <v>11102</v>
      </c>
      <c r="B28" s="586" t="s">
        <v>10994</v>
      </c>
      <c r="C28" s="609" t="s">
        <v>11103</v>
      </c>
      <c r="D28" s="188" t="s">
        <v>11104</v>
      </c>
      <c r="E28" s="304"/>
      <c r="F28" s="34" t="s">
        <v>10997</v>
      </c>
      <c r="G28" s="34" t="s">
        <v>6132</v>
      </c>
      <c r="H28" s="34" t="s">
        <v>11105</v>
      </c>
      <c r="I28" s="34" t="s">
        <v>11106</v>
      </c>
      <c r="J28" s="44" t="s">
        <v>6872</v>
      </c>
      <c r="K28" s="105"/>
      <c r="L28" s="34" t="s">
        <v>6137</v>
      </c>
      <c r="M28" s="34"/>
      <c r="N28" s="34" t="s">
        <v>1828</v>
      </c>
    </row>
    <row r="29" spans="1:14" ht="38.25">
      <c r="A29" s="34" t="s">
        <v>11107</v>
      </c>
      <c r="B29" s="586" t="s">
        <v>10973</v>
      </c>
      <c r="C29" s="609" t="s">
        <v>11108</v>
      </c>
      <c r="D29" s="188" t="s">
        <v>11109</v>
      </c>
      <c r="E29" s="304"/>
      <c r="F29" s="34" t="s">
        <v>9995</v>
      </c>
      <c r="G29" s="34"/>
      <c r="H29" s="34" t="s">
        <v>9996</v>
      </c>
      <c r="I29" s="34" t="s">
        <v>11110</v>
      </c>
      <c r="J29" s="44" t="s">
        <v>6872</v>
      </c>
      <c r="K29" s="105"/>
      <c r="L29" s="34" t="s">
        <v>6064</v>
      </c>
      <c r="M29" s="34"/>
      <c r="N29" s="34" t="s">
        <v>1828</v>
      </c>
    </row>
    <row r="30" spans="1:14" ht="25.5">
      <c r="A30" s="34" t="s">
        <v>11111</v>
      </c>
      <c r="B30" s="586" t="s">
        <v>10973</v>
      </c>
      <c r="C30" s="609" t="s">
        <v>11112</v>
      </c>
      <c r="D30" s="614" t="s">
        <v>11113</v>
      </c>
      <c r="E30" s="200"/>
      <c r="F30" s="34" t="s">
        <v>11114</v>
      </c>
      <c r="G30" s="34" t="s">
        <v>6132</v>
      </c>
      <c r="H30" s="398" t="s">
        <v>11115</v>
      </c>
      <c r="I30" s="44" t="s">
        <v>11116</v>
      </c>
      <c r="J30" s="44" t="s">
        <v>6872</v>
      </c>
      <c r="K30" s="105"/>
      <c r="L30" s="34" t="s">
        <v>6137</v>
      </c>
      <c r="M30" s="34"/>
      <c r="N30" s="34" t="s">
        <v>2656</v>
      </c>
    </row>
    <row r="31" spans="1:14" ht="76.5">
      <c r="A31" s="34" t="s">
        <v>11117</v>
      </c>
      <c r="B31" s="586" t="s">
        <v>10973</v>
      </c>
      <c r="C31" s="609" t="s">
        <v>11118</v>
      </c>
      <c r="D31" s="588" t="s">
        <v>11119</v>
      </c>
      <c r="E31" s="615"/>
      <c r="F31" s="34" t="s">
        <v>3733</v>
      </c>
      <c r="G31" s="509" t="s">
        <v>1808</v>
      </c>
      <c r="H31" s="34"/>
      <c r="I31" s="34" t="s">
        <v>11120</v>
      </c>
      <c r="J31" s="586" t="s">
        <v>6872</v>
      </c>
      <c r="K31" s="105"/>
      <c r="L31" s="34" t="s">
        <v>6064</v>
      </c>
      <c r="M31" s="34" t="s">
        <v>1824</v>
      </c>
      <c r="N31" s="34"/>
    </row>
    <row r="32" spans="1:14" ht="38.25">
      <c r="A32" s="34" t="s">
        <v>11121</v>
      </c>
      <c r="B32" s="583" t="s">
        <v>11122</v>
      </c>
      <c r="C32" s="609" t="s">
        <v>11123</v>
      </c>
      <c r="D32" s="188" t="s">
        <v>11124</v>
      </c>
      <c r="E32" s="304"/>
      <c r="F32" s="34" t="s">
        <v>722</v>
      </c>
      <c r="G32" s="509" t="s">
        <v>1808</v>
      </c>
      <c r="H32" s="34" t="s">
        <v>5676</v>
      </c>
      <c r="I32" s="34" t="s">
        <v>11125</v>
      </c>
      <c r="J32" s="44" t="s">
        <v>925</v>
      </c>
      <c r="K32" s="105"/>
      <c r="L32" s="34" t="s">
        <v>6064</v>
      </c>
      <c r="M32" s="34"/>
      <c r="N32" s="34" t="s">
        <v>2467</v>
      </c>
    </row>
    <row r="33" spans="1:14" ht="25.5">
      <c r="A33" s="34" t="s">
        <v>11126</v>
      </c>
      <c r="B33" s="583" t="s">
        <v>11127</v>
      </c>
      <c r="C33" s="609" t="s">
        <v>11128</v>
      </c>
      <c r="D33" s="188" t="s">
        <v>11129</v>
      </c>
      <c r="E33" s="304"/>
      <c r="F33" s="34" t="s">
        <v>10702</v>
      </c>
      <c r="G33" s="509" t="s">
        <v>1808</v>
      </c>
      <c r="H33" s="34" t="s">
        <v>11130</v>
      </c>
      <c r="I33" s="34" t="s">
        <v>11131</v>
      </c>
      <c r="J33" s="44" t="s">
        <v>925</v>
      </c>
      <c r="L33" s="34" t="s">
        <v>6064</v>
      </c>
      <c r="M33" s="34"/>
      <c r="N33" s="34" t="s">
        <v>6783</v>
      </c>
    </row>
    <row r="34" spans="1:14" ht="51">
      <c r="A34" s="34" t="s">
        <v>11132</v>
      </c>
      <c r="B34" s="586" t="s">
        <v>10973</v>
      </c>
      <c r="C34" s="609" t="s">
        <v>11133</v>
      </c>
      <c r="D34" s="188" t="s">
        <v>11134</v>
      </c>
      <c r="E34" s="304"/>
      <c r="F34" s="34" t="s">
        <v>11135</v>
      </c>
      <c r="G34" s="509" t="s">
        <v>1808</v>
      </c>
      <c r="H34" s="583" t="s">
        <v>11136</v>
      </c>
      <c r="I34" s="34" t="s">
        <v>11137</v>
      </c>
      <c r="J34" s="44" t="s">
        <v>6872</v>
      </c>
      <c r="K34" s="105"/>
      <c r="L34" s="34" t="s">
        <v>6137</v>
      </c>
      <c r="M34" s="34" t="s">
        <v>1824</v>
      </c>
      <c r="N34" s="34"/>
    </row>
    <row r="35" spans="1:14" ht="25.5">
      <c r="A35" s="34" t="s">
        <v>11138</v>
      </c>
      <c r="B35" s="586" t="s">
        <v>10973</v>
      </c>
      <c r="C35" s="609" t="s">
        <v>11139</v>
      </c>
      <c r="D35" s="188" t="s">
        <v>11140</v>
      </c>
      <c r="E35" s="304"/>
      <c r="F35" s="398" t="s">
        <v>10138</v>
      </c>
      <c r="G35" s="509" t="s">
        <v>1808</v>
      </c>
      <c r="H35" s="34" t="s">
        <v>11141</v>
      </c>
      <c r="I35" s="34" t="s">
        <v>11142</v>
      </c>
      <c r="J35" s="44" t="s">
        <v>6872</v>
      </c>
      <c r="K35" s="105"/>
      <c r="L35" s="34" t="s">
        <v>6064</v>
      </c>
      <c r="M35" s="34" t="s">
        <v>1824</v>
      </c>
      <c r="N35" s="34" t="s">
        <v>1828</v>
      </c>
    </row>
    <row r="36" spans="1:14" ht="38.25">
      <c r="A36" s="34" t="s">
        <v>11143</v>
      </c>
      <c r="B36" s="586" t="s">
        <v>10973</v>
      </c>
      <c r="C36" s="609" t="s">
        <v>11144</v>
      </c>
      <c r="D36" s="584" t="s">
        <v>11145</v>
      </c>
      <c r="E36" s="610"/>
      <c r="F36" s="34" t="s">
        <v>10165</v>
      </c>
      <c r="G36" s="509" t="s">
        <v>1808</v>
      </c>
      <c r="H36" s="34" t="s">
        <v>11146</v>
      </c>
      <c r="I36" s="34" t="s">
        <v>11147</v>
      </c>
      <c r="J36" s="44" t="s">
        <v>6872</v>
      </c>
      <c r="K36" s="105"/>
      <c r="L36" s="34" t="s">
        <v>6064</v>
      </c>
      <c r="M36" s="34" t="s">
        <v>1824</v>
      </c>
      <c r="N36" s="34" t="s">
        <v>1828</v>
      </c>
    </row>
    <row r="37" spans="1:14" ht="25.5">
      <c r="A37" s="34" t="s">
        <v>11148</v>
      </c>
      <c r="B37" s="586" t="s">
        <v>10973</v>
      </c>
      <c r="C37" s="609" t="s">
        <v>11149</v>
      </c>
      <c r="D37" s="584" t="s">
        <v>11150</v>
      </c>
      <c r="E37" s="610"/>
      <c r="F37" s="398" t="s">
        <v>11151</v>
      </c>
      <c r="G37" s="509" t="s">
        <v>1808</v>
      </c>
      <c r="H37" s="398"/>
      <c r="I37" s="34" t="s">
        <v>11152</v>
      </c>
      <c r="J37" s="44" t="s">
        <v>6872</v>
      </c>
      <c r="K37" s="105"/>
      <c r="L37" s="34" t="s">
        <v>6064</v>
      </c>
      <c r="M37" s="34"/>
      <c r="N37" s="34"/>
    </row>
    <row r="38" spans="1:14" ht="51">
      <c r="A38" s="34" t="s">
        <v>11153</v>
      </c>
      <c r="B38" s="586" t="s">
        <v>10973</v>
      </c>
      <c r="C38" s="609" t="s">
        <v>11154</v>
      </c>
      <c r="D38" s="584" t="s">
        <v>11155</v>
      </c>
      <c r="E38" s="610"/>
      <c r="F38" s="34" t="s">
        <v>11156</v>
      </c>
      <c r="G38" s="34" t="s">
        <v>6132</v>
      </c>
      <c r="H38" s="34" t="s">
        <v>11157</v>
      </c>
      <c r="I38" s="34" t="s">
        <v>11158</v>
      </c>
      <c r="J38" s="44" t="s">
        <v>6872</v>
      </c>
      <c r="K38" s="105"/>
      <c r="L38" s="34" t="s">
        <v>6064</v>
      </c>
      <c r="M38" s="34"/>
      <c r="N38" s="34" t="s">
        <v>1828</v>
      </c>
    </row>
    <row r="39" spans="1:14" ht="51">
      <c r="A39" s="34" t="s">
        <v>11159</v>
      </c>
      <c r="B39" s="586" t="s">
        <v>10973</v>
      </c>
      <c r="C39" s="609" t="s">
        <v>11160</v>
      </c>
      <c r="D39" s="188" t="s">
        <v>11161</v>
      </c>
      <c r="E39" s="304"/>
      <c r="F39" s="34" t="s">
        <v>9249</v>
      </c>
      <c r="G39" s="509" t="s">
        <v>1808</v>
      </c>
      <c r="H39" s="34" t="s">
        <v>4087</v>
      </c>
      <c r="I39" s="34" t="s">
        <v>11162</v>
      </c>
      <c r="J39" s="44" t="s">
        <v>6872</v>
      </c>
      <c r="K39" s="105"/>
      <c r="L39" s="34" t="s">
        <v>6137</v>
      </c>
      <c r="M39" s="34"/>
      <c r="N39" s="34" t="s">
        <v>2613</v>
      </c>
    </row>
    <row r="40" spans="1:14" ht="25.5">
      <c r="A40" s="34" t="s">
        <v>11163</v>
      </c>
      <c r="B40" s="586" t="s">
        <v>10973</v>
      </c>
      <c r="C40" s="609" t="s">
        <v>11164</v>
      </c>
      <c r="D40" s="188" t="s">
        <v>11165</v>
      </c>
      <c r="E40" s="304"/>
      <c r="F40" s="34" t="s">
        <v>11166</v>
      </c>
      <c r="G40" s="34" t="s">
        <v>6132</v>
      </c>
      <c r="H40" s="398" t="s">
        <v>11167</v>
      </c>
      <c r="I40" s="34" t="s">
        <v>11168</v>
      </c>
      <c r="J40" s="44" t="s">
        <v>6872</v>
      </c>
      <c r="K40" s="105"/>
      <c r="L40" s="34" t="s">
        <v>6170</v>
      </c>
      <c r="M40" s="34"/>
      <c r="N40" s="34" t="s">
        <v>2609</v>
      </c>
    </row>
    <row r="41" spans="1:14" ht="51">
      <c r="A41" s="34" t="s">
        <v>11169</v>
      </c>
      <c r="B41" s="586" t="s">
        <v>10973</v>
      </c>
      <c r="C41" s="609" t="s">
        <v>11170</v>
      </c>
      <c r="D41" s="584" t="s">
        <v>11171</v>
      </c>
      <c r="E41" s="610"/>
      <c r="F41" s="34" t="s">
        <v>11172</v>
      </c>
      <c r="G41" s="34" t="s">
        <v>6132</v>
      </c>
      <c r="H41" s="398" t="s">
        <v>11173</v>
      </c>
      <c r="I41" s="34" t="s">
        <v>11174</v>
      </c>
      <c r="J41" s="586" t="s">
        <v>6872</v>
      </c>
      <c r="K41" s="105"/>
      <c r="L41" s="34" t="s">
        <v>6137</v>
      </c>
      <c r="M41" s="34"/>
      <c r="N41" s="34"/>
    </row>
    <row r="42" spans="1:14" ht="25.5">
      <c r="A42" s="34" t="s">
        <v>11175</v>
      </c>
      <c r="B42" s="586" t="s">
        <v>10973</v>
      </c>
      <c r="C42" s="609" t="s">
        <v>11176</v>
      </c>
      <c r="D42" s="584" t="s">
        <v>11177</v>
      </c>
      <c r="E42" s="610"/>
      <c r="F42" s="34" t="s">
        <v>956</v>
      </c>
      <c r="G42" s="509" t="s">
        <v>1808</v>
      </c>
      <c r="H42" s="583"/>
      <c r="I42" s="34" t="s">
        <v>11178</v>
      </c>
      <c r="J42" s="44" t="s">
        <v>6872</v>
      </c>
      <c r="K42" s="105"/>
      <c r="L42" s="34" t="s">
        <v>6064</v>
      </c>
      <c r="M42" s="34"/>
      <c r="N42" s="34" t="s">
        <v>6822</v>
      </c>
    </row>
    <row r="43" spans="1:14" ht="63.75">
      <c r="A43" s="34" t="s">
        <v>11179</v>
      </c>
      <c r="B43" s="586" t="s">
        <v>10973</v>
      </c>
      <c r="C43" s="609" t="s">
        <v>11180</v>
      </c>
      <c r="D43" s="584" t="s">
        <v>11181</v>
      </c>
      <c r="E43" s="610"/>
      <c r="F43" s="34" t="s">
        <v>11182</v>
      </c>
      <c r="G43" s="34" t="s">
        <v>6132</v>
      </c>
      <c r="H43" s="398" t="s">
        <v>10616</v>
      </c>
      <c r="I43" s="34" t="s">
        <v>11183</v>
      </c>
      <c r="J43" s="44" t="s">
        <v>6872</v>
      </c>
      <c r="K43" s="105"/>
      <c r="L43" s="34" t="s">
        <v>6064</v>
      </c>
      <c r="M43" s="34"/>
      <c r="N43" s="34" t="s">
        <v>6783</v>
      </c>
    </row>
    <row r="44" spans="1:14" ht="25.5">
      <c r="A44" s="34" t="s">
        <v>11184</v>
      </c>
      <c r="B44" s="586" t="s">
        <v>11185</v>
      </c>
      <c r="C44" s="609" t="s">
        <v>11186</v>
      </c>
      <c r="D44" s="188" t="s">
        <v>11187</v>
      </c>
      <c r="E44" s="304"/>
      <c r="F44" s="34" t="s">
        <v>11188</v>
      </c>
      <c r="G44" s="34" t="s">
        <v>6132</v>
      </c>
      <c r="H44" s="589" t="s">
        <v>11189</v>
      </c>
      <c r="I44" s="34" t="s">
        <v>11190</v>
      </c>
      <c r="J44" s="44" t="s">
        <v>6872</v>
      </c>
      <c r="K44" s="105"/>
      <c r="L44" s="34" t="s">
        <v>6064</v>
      </c>
      <c r="M44" s="34"/>
      <c r="N44" s="34" t="s">
        <v>1828</v>
      </c>
    </row>
    <row r="45" spans="1:14" ht="51">
      <c r="A45" s="34" t="s">
        <v>11191</v>
      </c>
      <c r="B45" s="583" t="s">
        <v>11192</v>
      </c>
      <c r="C45" s="609" t="s">
        <v>11193</v>
      </c>
      <c r="D45" s="188" t="s">
        <v>11194</v>
      </c>
      <c r="E45" s="304"/>
      <c r="F45" s="34" t="s">
        <v>11195</v>
      </c>
      <c r="G45" s="34" t="s">
        <v>6132</v>
      </c>
      <c r="H45" s="398"/>
      <c r="I45" s="34" t="s">
        <v>11196</v>
      </c>
      <c r="J45" s="44" t="s">
        <v>6872</v>
      </c>
      <c r="K45" s="105"/>
      <c r="L45" s="34" t="s">
        <v>6064</v>
      </c>
      <c r="M45" s="34"/>
      <c r="N45" s="34" t="s">
        <v>6783</v>
      </c>
    </row>
    <row r="46" spans="1:14" ht="25.5">
      <c r="A46" s="34" t="s">
        <v>11197</v>
      </c>
      <c r="B46" s="586" t="s">
        <v>10973</v>
      </c>
      <c r="C46" s="609" t="s">
        <v>11198</v>
      </c>
      <c r="D46" s="188" t="s">
        <v>11199</v>
      </c>
      <c r="E46" s="304"/>
      <c r="F46" s="34" t="s">
        <v>10021</v>
      </c>
      <c r="G46" s="509" t="s">
        <v>1808</v>
      </c>
      <c r="H46" s="335"/>
      <c r="I46" s="66" t="s">
        <v>11200</v>
      </c>
      <c r="J46" s="44" t="s">
        <v>6872</v>
      </c>
      <c r="K46" s="105"/>
      <c r="L46" s="34" t="s">
        <v>6092</v>
      </c>
      <c r="M46" s="34"/>
      <c r="N46" s="34" t="s">
        <v>6783</v>
      </c>
    </row>
    <row r="47" spans="1:14" ht="25.5">
      <c r="A47" s="34" t="s">
        <v>11201</v>
      </c>
      <c r="B47" s="586" t="s">
        <v>11185</v>
      </c>
      <c r="C47" s="609" t="s">
        <v>11202</v>
      </c>
      <c r="D47" s="584" t="s">
        <v>11187</v>
      </c>
      <c r="E47" s="610"/>
      <c r="F47" s="34" t="s">
        <v>11203</v>
      </c>
      <c r="G47" s="509" t="s">
        <v>1808</v>
      </c>
      <c r="H47" s="398"/>
      <c r="I47" s="34" t="s">
        <v>11204</v>
      </c>
      <c r="J47" s="44" t="s">
        <v>6872</v>
      </c>
      <c r="K47" s="105"/>
      <c r="L47" s="34" t="s">
        <v>6064</v>
      </c>
      <c r="M47" s="34"/>
      <c r="N47" s="34"/>
    </row>
    <row r="48" spans="1:14" ht="25.5">
      <c r="A48" s="34" t="s">
        <v>11205</v>
      </c>
      <c r="B48" s="583" t="s">
        <v>11206</v>
      </c>
      <c r="C48" s="609" t="s">
        <v>11207</v>
      </c>
      <c r="D48" s="188" t="s">
        <v>11208</v>
      </c>
      <c r="E48" s="304"/>
      <c r="F48" s="34"/>
      <c r="G48" s="509" t="s">
        <v>1808</v>
      </c>
      <c r="H48" s="398" t="s">
        <v>11209</v>
      </c>
      <c r="I48" s="34" t="s">
        <v>11210</v>
      </c>
      <c r="J48" s="44" t="s">
        <v>6872</v>
      </c>
      <c r="K48" s="105"/>
      <c r="L48" s="34" t="s">
        <v>6064</v>
      </c>
      <c r="M48" s="34"/>
      <c r="N48" s="34" t="s">
        <v>1828</v>
      </c>
    </row>
    <row r="49" spans="1:14" ht="25.5">
      <c r="A49" s="34" t="s">
        <v>11211</v>
      </c>
      <c r="B49" s="586" t="s">
        <v>10973</v>
      </c>
      <c r="C49" s="609" t="s">
        <v>11212</v>
      </c>
      <c r="D49" s="188" t="s">
        <v>11187</v>
      </c>
      <c r="E49" s="304"/>
      <c r="F49" s="586" t="s">
        <v>11203</v>
      </c>
      <c r="G49" s="509" t="s">
        <v>1808</v>
      </c>
      <c r="H49" s="398"/>
      <c r="I49" s="616" t="s">
        <v>11213</v>
      </c>
      <c r="J49" s="44" t="s">
        <v>6872</v>
      </c>
      <c r="K49" s="105"/>
      <c r="L49" s="34" t="s">
        <v>6064</v>
      </c>
      <c r="M49" s="34"/>
      <c r="N49" s="34"/>
    </row>
    <row r="50" spans="1:14" ht="25.5">
      <c r="A50" s="34" t="s">
        <v>11214</v>
      </c>
      <c r="B50" s="586" t="s">
        <v>11215</v>
      </c>
      <c r="C50" s="609" t="s">
        <v>11216</v>
      </c>
      <c r="D50" s="188" t="s">
        <v>11217</v>
      </c>
      <c r="E50" s="304"/>
      <c r="F50" s="34" t="s">
        <v>11218</v>
      </c>
      <c r="G50" s="509" t="s">
        <v>1808</v>
      </c>
      <c r="H50" s="34"/>
      <c r="I50" s="34" t="s">
        <v>11219</v>
      </c>
      <c r="J50" s="44" t="s">
        <v>6872</v>
      </c>
      <c r="K50" s="105"/>
      <c r="L50" s="34" t="s">
        <v>6064</v>
      </c>
      <c r="M50" s="34" t="s">
        <v>1824</v>
      </c>
      <c r="N50" s="34"/>
    </row>
    <row r="51" spans="1:14" ht="51">
      <c r="A51" s="34" t="s">
        <v>11220</v>
      </c>
      <c r="B51" s="583" t="s">
        <v>11192</v>
      </c>
      <c r="C51" s="609" t="s">
        <v>11221</v>
      </c>
      <c r="D51" s="188" t="s">
        <v>11222</v>
      </c>
      <c r="E51" s="304"/>
      <c r="F51" s="34" t="s">
        <v>8992</v>
      </c>
      <c r="G51" s="509" t="s">
        <v>1808</v>
      </c>
      <c r="H51" s="335" t="s">
        <v>11223</v>
      </c>
      <c r="I51" s="34" t="s">
        <v>11224</v>
      </c>
      <c r="J51" s="44" t="s">
        <v>6872</v>
      </c>
      <c r="K51" s="105"/>
      <c r="L51" s="34" t="s">
        <v>6064</v>
      </c>
      <c r="M51" s="34" t="s">
        <v>1824</v>
      </c>
      <c r="N51" s="34" t="s">
        <v>2611</v>
      </c>
    </row>
    <row r="52" spans="1:14" ht="25.5">
      <c r="A52" s="34" t="s">
        <v>11225</v>
      </c>
      <c r="B52" s="583" t="s">
        <v>11192</v>
      </c>
      <c r="C52" s="609" t="s">
        <v>11226</v>
      </c>
      <c r="D52" s="188" t="s">
        <v>11227</v>
      </c>
      <c r="E52" s="304"/>
      <c r="F52" s="34" t="s">
        <v>1722</v>
      </c>
      <c r="G52" s="509" t="s">
        <v>1808</v>
      </c>
      <c r="H52" s="34" t="s">
        <v>11228</v>
      </c>
      <c r="I52" s="34" t="s">
        <v>11229</v>
      </c>
      <c r="J52" s="44" t="s">
        <v>6872</v>
      </c>
      <c r="K52" s="105"/>
      <c r="L52" s="34" t="s">
        <v>6064</v>
      </c>
      <c r="M52" s="34" t="s">
        <v>1824</v>
      </c>
      <c r="N52" s="34" t="s">
        <v>2613</v>
      </c>
    </row>
    <row r="53" spans="1:14" ht="38.25">
      <c r="A53" s="34" t="s">
        <v>11230</v>
      </c>
      <c r="B53" s="586" t="s">
        <v>10973</v>
      </c>
      <c r="C53" s="609" t="s">
        <v>11231</v>
      </c>
      <c r="D53" s="188" t="s">
        <v>11232</v>
      </c>
      <c r="E53" s="304"/>
      <c r="F53" s="34" t="s">
        <v>11233</v>
      </c>
      <c r="G53" s="34" t="s">
        <v>6132</v>
      </c>
      <c r="H53" s="617" t="s">
        <v>11234</v>
      </c>
      <c r="I53" s="34" t="s">
        <v>11235</v>
      </c>
      <c r="J53" s="44" t="s">
        <v>6872</v>
      </c>
      <c r="K53" s="105"/>
      <c r="L53" s="34" t="s">
        <v>6092</v>
      </c>
      <c r="M53" s="34"/>
      <c r="N53" s="34" t="s">
        <v>2467</v>
      </c>
    </row>
    <row r="54" spans="1:14" ht="25.5">
      <c r="A54" s="34" t="s">
        <v>11236</v>
      </c>
      <c r="B54" s="586" t="s">
        <v>11215</v>
      </c>
      <c r="C54" s="609" t="s">
        <v>11237</v>
      </c>
      <c r="D54" s="188" t="s">
        <v>11238</v>
      </c>
      <c r="E54" s="304"/>
      <c r="F54" s="34" t="s">
        <v>11239</v>
      </c>
      <c r="G54" s="34" t="s">
        <v>6132</v>
      </c>
      <c r="H54" s="34" t="s">
        <v>11240</v>
      </c>
      <c r="I54" s="34" t="s">
        <v>11241</v>
      </c>
      <c r="J54" s="44" t="s">
        <v>6872</v>
      </c>
      <c r="K54" s="105"/>
      <c r="L54" s="34" t="s">
        <v>10906</v>
      </c>
      <c r="M54" s="34"/>
      <c r="N54" s="34" t="s">
        <v>1828</v>
      </c>
    </row>
    <row r="55" spans="1:14" ht="38.25">
      <c r="A55" s="34" t="s">
        <v>11242</v>
      </c>
      <c r="B55" s="586" t="s">
        <v>10973</v>
      </c>
      <c r="C55" s="609" t="s">
        <v>11243</v>
      </c>
      <c r="D55" s="188" t="s">
        <v>11244</v>
      </c>
      <c r="E55" s="304"/>
      <c r="F55" s="34" t="s">
        <v>722</v>
      </c>
      <c r="G55" s="509" t="s">
        <v>1808</v>
      </c>
      <c r="H55" s="34" t="s">
        <v>5676</v>
      </c>
      <c r="I55" s="34" t="s">
        <v>11245</v>
      </c>
      <c r="J55" s="44" t="s">
        <v>6872</v>
      </c>
      <c r="K55" s="105"/>
      <c r="L55" s="34" t="s">
        <v>6064</v>
      </c>
      <c r="M55" s="34" t="s">
        <v>1824</v>
      </c>
      <c r="N55" s="34" t="s">
        <v>2467</v>
      </c>
    </row>
    <row r="56" spans="1:14" ht="51">
      <c r="A56" s="34" t="s">
        <v>11246</v>
      </c>
      <c r="B56" s="583" t="s">
        <v>11192</v>
      </c>
      <c r="C56" s="609" t="s">
        <v>11247</v>
      </c>
      <c r="D56" s="188" t="s">
        <v>11227</v>
      </c>
      <c r="E56" s="304"/>
      <c r="F56" s="34" t="s">
        <v>1722</v>
      </c>
      <c r="G56" s="509" t="s">
        <v>1808</v>
      </c>
      <c r="H56" s="398" t="s">
        <v>11248</v>
      </c>
      <c r="I56" s="34" t="s">
        <v>11249</v>
      </c>
      <c r="J56" s="44" t="s">
        <v>6872</v>
      </c>
      <c r="K56" s="105"/>
      <c r="L56" s="34" t="s">
        <v>6064</v>
      </c>
      <c r="M56" s="34" t="s">
        <v>1824</v>
      </c>
      <c r="N56" s="34" t="s">
        <v>2613</v>
      </c>
    </row>
    <row r="57" spans="1:14" ht="25.5">
      <c r="A57" s="34" t="s">
        <v>11250</v>
      </c>
      <c r="B57" s="586" t="s">
        <v>10973</v>
      </c>
      <c r="C57" s="609" t="s">
        <v>11251</v>
      </c>
      <c r="D57" s="188" t="s">
        <v>11244</v>
      </c>
      <c r="E57" s="304"/>
      <c r="F57" s="34" t="s">
        <v>1502</v>
      </c>
      <c r="G57" s="509" t="s">
        <v>1808</v>
      </c>
      <c r="H57" s="398" t="s">
        <v>10660</v>
      </c>
      <c r="I57" s="34" t="s">
        <v>11252</v>
      </c>
      <c r="J57" s="44" t="s">
        <v>6872</v>
      </c>
      <c r="K57" s="105"/>
      <c r="L57" s="34" t="s">
        <v>6064</v>
      </c>
      <c r="M57" s="34" t="s">
        <v>1824</v>
      </c>
      <c r="N57" s="34" t="s">
        <v>2449</v>
      </c>
    </row>
    <row r="58" spans="1:14" ht="25.5">
      <c r="A58" s="34" t="s">
        <v>11253</v>
      </c>
      <c r="B58" s="586" t="s">
        <v>10973</v>
      </c>
      <c r="C58" s="609" t="s">
        <v>11254</v>
      </c>
      <c r="D58" s="188" t="s">
        <v>11255</v>
      </c>
      <c r="E58" s="304"/>
      <c r="F58" s="34" t="s">
        <v>10468</v>
      </c>
      <c r="G58" s="509" t="s">
        <v>1808</v>
      </c>
      <c r="H58" s="398" t="s">
        <v>3417</v>
      </c>
      <c r="I58" s="34" t="s">
        <v>11256</v>
      </c>
      <c r="J58" s="44" t="s">
        <v>6872</v>
      </c>
      <c r="K58" s="105"/>
      <c r="L58" s="34" t="s">
        <v>6941</v>
      </c>
      <c r="M58" s="34"/>
      <c r="N58" s="34" t="s">
        <v>1828</v>
      </c>
    </row>
    <row r="59" spans="1:14" ht="25.5">
      <c r="A59" s="34" t="s">
        <v>11257</v>
      </c>
      <c r="B59" s="586" t="s">
        <v>10973</v>
      </c>
      <c r="C59" s="609" t="s">
        <v>11258</v>
      </c>
      <c r="D59" s="188" t="s">
        <v>11259</v>
      </c>
      <c r="E59" s="304"/>
      <c r="F59" s="34" t="s">
        <v>11260</v>
      </c>
      <c r="G59" s="509" t="s">
        <v>1808</v>
      </c>
      <c r="H59" s="398"/>
      <c r="I59" s="34" t="s">
        <v>11261</v>
      </c>
      <c r="J59" s="44" t="s">
        <v>6872</v>
      </c>
      <c r="K59" s="105"/>
      <c r="L59" s="34" t="s">
        <v>6933</v>
      </c>
      <c r="M59" s="34" t="s">
        <v>1824</v>
      </c>
      <c r="N59" s="34"/>
    </row>
    <row r="60" spans="1:14" ht="25.5">
      <c r="A60" s="34" t="s">
        <v>11262</v>
      </c>
      <c r="B60" s="586" t="s">
        <v>10973</v>
      </c>
      <c r="C60" s="582" t="s">
        <v>11263</v>
      </c>
      <c r="D60" s="188" t="s">
        <v>3236</v>
      </c>
      <c r="E60" s="304"/>
      <c r="F60" s="34" t="s">
        <v>11264</v>
      </c>
      <c r="G60" s="34" t="s">
        <v>6132</v>
      </c>
      <c r="H60" s="398" t="s">
        <v>11265</v>
      </c>
      <c r="I60" s="34" t="s">
        <v>11266</v>
      </c>
      <c r="J60" s="44" t="s">
        <v>6872</v>
      </c>
      <c r="K60" s="105"/>
      <c r="L60" s="34" t="s">
        <v>6217</v>
      </c>
      <c r="M60" s="34"/>
      <c r="N60" s="34" t="s">
        <v>6370</v>
      </c>
    </row>
    <row r="61" spans="1:14" ht="25.5">
      <c r="A61" s="34" t="s">
        <v>11267</v>
      </c>
      <c r="B61" s="586" t="s">
        <v>10973</v>
      </c>
      <c r="C61" s="618" t="s">
        <v>11268</v>
      </c>
      <c r="D61" s="188" t="s">
        <v>11269</v>
      </c>
      <c r="E61" s="304"/>
      <c r="F61" s="34" t="s">
        <v>11270</v>
      </c>
      <c r="G61" s="509" t="s">
        <v>1808</v>
      </c>
      <c r="H61" s="398" t="s">
        <v>11271</v>
      </c>
      <c r="I61" s="34" t="s">
        <v>11272</v>
      </c>
      <c r="J61" s="44" t="s">
        <v>6872</v>
      </c>
      <c r="K61" s="105"/>
      <c r="L61" s="34" t="s">
        <v>6092</v>
      </c>
      <c r="M61" s="34"/>
      <c r="N61" s="34" t="s">
        <v>6370</v>
      </c>
    </row>
    <row r="62" spans="1:14" ht="38.25">
      <c r="A62" s="34" t="s">
        <v>11273</v>
      </c>
      <c r="B62" s="586" t="s">
        <v>10973</v>
      </c>
      <c r="C62" s="609" t="s">
        <v>11274</v>
      </c>
      <c r="D62" s="188" t="s">
        <v>11275</v>
      </c>
      <c r="E62" s="304"/>
      <c r="F62" s="34" t="s">
        <v>11276</v>
      </c>
      <c r="G62" s="509" t="s">
        <v>1808</v>
      </c>
      <c r="H62" s="398" t="s">
        <v>3686</v>
      </c>
      <c r="I62" s="34" t="s">
        <v>11277</v>
      </c>
      <c r="J62" s="44" t="s">
        <v>6872</v>
      </c>
      <c r="K62" s="105"/>
      <c r="L62" s="34" t="s">
        <v>6064</v>
      </c>
      <c r="M62" s="34"/>
      <c r="N62" s="34" t="s">
        <v>2656</v>
      </c>
    </row>
    <row r="63" spans="1:14" ht="51">
      <c r="A63" s="34" t="s">
        <v>11278</v>
      </c>
      <c r="B63" s="586" t="s">
        <v>10973</v>
      </c>
      <c r="C63" s="609" t="s">
        <v>11279</v>
      </c>
      <c r="D63" s="607" t="s">
        <v>11280</v>
      </c>
      <c r="E63" s="70"/>
      <c r="F63" s="34" t="s">
        <v>11281</v>
      </c>
      <c r="G63" s="34" t="s">
        <v>6132</v>
      </c>
      <c r="H63" s="34" t="s">
        <v>11282</v>
      </c>
      <c r="I63" s="34" t="s">
        <v>11283</v>
      </c>
      <c r="J63" s="44" t="s">
        <v>6872</v>
      </c>
      <c r="K63" s="105"/>
      <c r="L63" s="34" t="s">
        <v>6092</v>
      </c>
      <c r="M63" s="34"/>
      <c r="N63" s="34" t="s">
        <v>2609</v>
      </c>
    </row>
    <row r="64" spans="1:14" ht="25.5">
      <c r="A64" s="34" t="s">
        <v>11284</v>
      </c>
      <c r="B64" s="586" t="s">
        <v>11285</v>
      </c>
      <c r="C64" s="609" t="s">
        <v>11286</v>
      </c>
      <c r="D64" s="607" t="s">
        <v>11287</v>
      </c>
      <c r="E64" s="70"/>
      <c r="F64" s="34" t="s">
        <v>11288</v>
      </c>
      <c r="G64" s="34" t="s">
        <v>6132</v>
      </c>
      <c r="H64" s="34" t="s">
        <v>11289</v>
      </c>
      <c r="I64" s="34" t="s">
        <v>11290</v>
      </c>
      <c r="J64" s="44" t="s">
        <v>6872</v>
      </c>
      <c r="K64" s="105"/>
      <c r="L64" s="34" t="s">
        <v>6064</v>
      </c>
      <c r="M64" s="34" t="s">
        <v>1824</v>
      </c>
      <c r="N64" s="34" t="s">
        <v>1442</v>
      </c>
    </row>
    <row r="65" spans="1:14" ht="25.5">
      <c r="A65" s="34" t="s">
        <v>11291</v>
      </c>
      <c r="B65" s="586" t="s">
        <v>10973</v>
      </c>
      <c r="C65" s="609" t="s">
        <v>11292</v>
      </c>
      <c r="D65" s="188" t="s">
        <v>11293</v>
      </c>
      <c r="E65" s="304"/>
      <c r="F65" s="34" t="s">
        <v>11294</v>
      </c>
      <c r="G65" s="509" t="s">
        <v>1808</v>
      </c>
      <c r="H65" s="34" t="s">
        <v>3686</v>
      </c>
      <c r="I65" s="34" t="s">
        <v>11295</v>
      </c>
      <c r="J65" s="44" t="s">
        <v>6872</v>
      </c>
      <c r="K65" s="105"/>
      <c r="L65" s="34" t="s">
        <v>6137</v>
      </c>
      <c r="M65" s="34" t="s">
        <v>1824</v>
      </c>
      <c r="N65" s="34" t="s">
        <v>2656</v>
      </c>
    </row>
    <row r="66" spans="1:14" ht="51">
      <c r="A66" s="34" t="s">
        <v>11296</v>
      </c>
      <c r="B66" s="586" t="s">
        <v>11285</v>
      </c>
      <c r="C66" s="609" t="s">
        <v>11297</v>
      </c>
      <c r="D66" s="188" t="s">
        <v>11298</v>
      </c>
      <c r="E66" s="304"/>
      <c r="F66" s="34" t="s">
        <v>11299</v>
      </c>
      <c r="G66" s="509" t="s">
        <v>1808</v>
      </c>
      <c r="H66" s="34" t="s">
        <v>10222</v>
      </c>
      <c r="I66" s="34" t="s">
        <v>11300</v>
      </c>
      <c r="J66" s="44" t="s">
        <v>6872</v>
      </c>
      <c r="K66" s="105"/>
      <c r="L66" s="34" t="s">
        <v>6064</v>
      </c>
      <c r="M66" s="34"/>
      <c r="N66" s="34" t="s">
        <v>1828</v>
      </c>
    </row>
    <row r="67" spans="1:14" ht="25.5">
      <c r="A67" s="34" t="s">
        <v>11301</v>
      </c>
      <c r="B67" s="586" t="s">
        <v>10994</v>
      </c>
      <c r="C67" s="609" t="s">
        <v>11302</v>
      </c>
      <c r="D67" s="188" t="s">
        <v>11303</v>
      </c>
      <c r="E67" s="304"/>
      <c r="F67" s="34" t="s">
        <v>11304</v>
      </c>
      <c r="G67" s="34" t="s">
        <v>6132</v>
      </c>
      <c r="H67" s="586" t="s">
        <v>11002</v>
      </c>
      <c r="I67" s="34" t="s">
        <v>11305</v>
      </c>
      <c r="J67" s="44" t="s">
        <v>6872</v>
      </c>
      <c r="K67" s="105"/>
      <c r="L67" s="34" t="s">
        <v>6064</v>
      </c>
      <c r="M67" s="34"/>
      <c r="N67" s="34" t="s">
        <v>1828</v>
      </c>
    </row>
    <row r="68" spans="1:14" ht="38.25">
      <c r="A68" s="34" t="s">
        <v>11306</v>
      </c>
      <c r="B68" s="586" t="s">
        <v>10973</v>
      </c>
      <c r="C68" s="609" t="s">
        <v>11307</v>
      </c>
      <c r="D68" s="188" t="s">
        <v>11308</v>
      </c>
      <c r="E68" s="304"/>
      <c r="F68" s="34" t="s">
        <v>11309</v>
      </c>
      <c r="G68" s="509" t="s">
        <v>1808</v>
      </c>
      <c r="H68" s="34"/>
      <c r="I68" s="34" t="s">
        <v>11310</v>
      </c>
      <c r="J68" s="44" t="s">
        <v>6872</v>
      </c>
      <c r="K68" s="105"/>
      <c r="L68" s="34" t="s">
        <v>6092</v>
      </c>
      <c r="M68" s="34"/>
      <c r="N68" s="34" t="s">
        <v>2449</v>
      </c>
    </row>
    <row r="69" spans="1:14" ht="25.5">
      <c r="A69" s="34" t="s">
        <v>11311</v>
      </c>
      <c r="B69" s="586" t="s">
        <v>10973</v>
      </c>
      <c r="C69" s="609" t="s">
        <v>11312</v>
      </c>
      <c r="D69" s="188" t="s">
        <v>11199</v>
      </c>
      <c r="E69" s="304"/>
      <c r="F69" s="34" t="s">
        <v>11313</v>
      </c>
      <c r="G69" s="509" t="s">
        <v>1808</v>
      </c>
      <c r="H69" s="34"/>
      <c r="I69" s="34" t="s">
        <v>11314</v>
      </c>
      <c r="J69" s="44" t="s">
        <v>6872</v>
      </c>
      <c r="K69" s="105"/>
      <c r="L69" s="34" t="s">
        <v>6092</v>
      </c>
      <c r="M69" s="34"/>
      <c r="N69" s="34" t="s">
        <v>6783</v>
      </c>
    </row>
    <row r="70" spans="1:14" ht="38.25">
      <c r="A70" s="34" t="s">
        <v>11315</v>
      </c>
      <c r="B70" s="586" t="s">
        <v>10973</v>
      </c>
      <c r="C70" s="609" t="s">
        <v>11316</v>
      </c>
      <c r="D70" s="188" t="s">
        <v>11317</v>
      </c>
      <c r="E70" s="304"/>
      <c r="F70" s="34" t="s">
        <v>11318</v>
      </c>
      <c r="G70" s="34" t="s">
        <v>6132</v>
      </c>
      <c r="H70" s="34"/>
      <c r="I70" s="34" t="s">
        <v>11319</v>
      </c>
      <c r="J70" s="44" t="s">
        <v>6872</v>
      </c>
      <c r="K70" s="105"/>
      <c r="L70" s="34" t="s">
        <v>6104</v>
      </c>
      <c r="M70" s="34"/>
      <c r="N70" s="34"/>
    </row>
    <row r="71" spans="1:14" ht="25.5">
      <c r="A71" s="34" t="s">
        <v>11320</v>
      </c>
      <c r="B71" s="586" t="s">
        <v>11285</v>
      </c>
      <c r="C71" s="609" t="s">
        <v>11321</v>
      </c>
      <c r="D71" s="188" t="s">
        <v>11322</v>
      </c>
      <c r="E71" s="304"/>
      <c r="F71" s="34" t="s">
        <v>11323</v>
      </c>
      <c r="G71" s="509" t="s">
        <v>1808</v>
      </c>
      <c r="H71" s="34"/>
      <c r="I71" s="34" t="s">
        <v>11324</v>
      </c>
      <c r="J71" s="44" t="s">
        <v>6872</v>
      </c>
      <c r="K71" s="105"/>
      <c r="L71" s="34" t="s">
        <v>6064</v>
      </c>
      <c r="M71" s="34" t="s">
        <v>1824</v>
      </c>
      <c r="N71" s="34"/>
    </row>
    <row r="72" spans="1:14" ht="25.5">
      <c r="A72" s="34" t="s">
        <v>11325</v>
      </c>
      <c r="B72" s="586" t="s">
        <v>11285</v>
      </c>
      <c r="C72" s="609" t="s">
        <v>11326</v>
      </c>
      <c r="D72" s="188" t="s">
        <v>11327</v>
      </c>
      <c r="E72" s="304"/>
      <c r="F72" s="34" t="s">
        <v>11328</v>
      </c>
      <c r="G72" s="509" t="s">
        <v>1808</v>
      </c>
      <c r="H72" s="34" t="s">
        <v>11329</v>
      </c>
      <c r="I72" s="34" t="s">
        <v>11330</v>
      </c>
      <c r="J72" s="44" t="s">
        <v>6872</v>
      </c>
      <c r="K72" s="105"/>
      <c r="L72" s="34" t="s">
        <v>6064</v>
      </c>
      <c r="M72" s="34"/>
      <c r="N72" s="34" t="s">
        <v>2611</v>
      </c>
    </row>
    <row r="73" spans="1:14" ht="51">
      <c r="A73" s="34" t="s">
        <v>11331</v>
      </c>
      <c r="B73" s="586" t="s">
        <v>11285</v>
      </c>
      <c r="C73" s="609" t="s">
        <v>11332</v>
      </c>
      <c r="D73" s="188" t="s">
        <v>11333</v>
      </c>
      <c r="E73" s="304"/>
      <c r="F73" s="34" t="s">
        <v>1389</v>
      </c>
      <c r="G73" s="509" t="s">
        <v>1808</v>
      </c>
      <c r="H73" s="34"/>
      <c r="I73" s="34" t="s">
        <v>11334</v>
      </c>
      <c r="J73" s="44" t="s">
        <v>6872</v>
      </c>
      <c r="K73" s="105"/>
      <c r="L73" s="34" t="s">
        <v>6064</v>
      </c>
      <c r="M73" s="34" t="s">
        <v>1824</v>
      </c>
      <c r="N73" s="34" t="s">
        <v>2611</v>
      </c>
    </row>
    <row r="74" spans="1:14" ht="51">
      <c r="A74" s="34" t="s">
        <v>11335</v>
      </c>
      <c r="B74" s="586" t="s">
        <v>10973</v>
      </c>
      <c r="C74" s="609" t="s">
        <v>11336</v>
      </c>
      <c r="D74" s="188" t="s">
        <v>11337</v>
      </c>
      <c r="E74" s="304"/>
      <c r="F74" s="34" t="s">
        <v>11338</v>
      </c>
      <c r="G74" s="34" t="s">
        <v>6179</v>
      </c>
      <c r="H74" s="34" t="s">
        <v>11339</v>
      </c>
      <c r="I74" s="34" t="s">
        <v>11340</v>
      </c>
      <c r="J74" s="44" t="s">
        <v>6872</v>
      </c>
      <c r="K74" s="105"/>
      <c r="L74" s="34" t="s">
        <v>6064</v>
      </c>
      <c r="M74" s="34"/>
      <c r="N74" s="34" t="s">
        <v>2467</v>
      </c>
    </row>
    <row r="75" spans="1:14" ht="38.25">
      <c r="A75" s="34" t="s">
        <v>11341</v>
      </c>
      <c r="B75" s="586" t="s">
        <v>10973</v>
      </c>
      <c r="C75" s="609" t="s">
        <v>11342</v>
      </c>
      <c r="D75" s="188" t="s">
        <v>11343</v>
      </c>
      <c r="E75" s="304"/>
      <c r="F75" s="34" t="s">
        <v>11344</v>
      </c>
      <c r="G75" s="509" t="s">
        <v>1808</v>
      </c>
      <c r="H75" s="34" t="s">
        <v>10660</v>
      </c>
      <c r="I75" s="34" t="s">
        <v>11345</v>
      </c>
      <c r="J75" s="44" t="s">
        <v>6872</v>
      </c>
      <c r="K75" s="105"/>
      <c r="L75" s="34" t="s">
        <v>10906</v>
      </c>
      <c r="M75" s="34"/>
      <c r="N75" s="34" t="s">
        <v>2449</v>
      </c>
    </row>
    <row r="76" spans="1:14" ht="76.5">
      <c r="A76" s="34" t="s">
        <v>11346</v>
      </c>
      <c r="B76" s="586" t="s">
        <v>10973</v>
      </c>
      <c r="C76" s="609" t="s">
        <v>11347</v>
      </c>
      <c r="D76" s="188" t="s">
        <v>11348</v>
      </c>
      <c r="E76" s="304"/>
      <c r="F76" s="34" t="s">
        <v>11349</v>
      </c>
      <c r="G76" s="509" t="s">
        <v>1808</v>
      </c>
      <c r="H76" s="34"/>
      <c r="I76" s="34" t="s">
        <v>11350</v>
      </c>
      <c r="J76" s="44" t="s">
        <v>6872</v>
      </c>
      <c r="K76" s="105"/>
      <c r="L76" s="34" t="s">
        <v>6137</v>
      </c>
      <c r="M76" s="34"/>
      <c r="N76" s="34" t="s">
        <v>2611</v>
      </c>
    </row>
    <row r="77" spans="1:14" ht="25.5">
      <c r="A77" s="34" t="s">
        <v>11351</v>
      </c>
      <c r="B77" s="586" t="s">
        <v>10973</v>
      </c>
      <c r="C77" s="609" t="s">
        <v>11352</v>
      </c>
      <c r="D77" s="188" t="s">
        <v>11353</v>
      </c>
      <c r="E77" s="304"/>
      <c r="F77" s="34" t="s">
        <v>10021</v>
      </c>
      <c r="G77" s="509" t="s">
        <v>1808</v>
      </c>
      <c r="H77" s="34" t="s">
        <v>11354</v>
      </c>
      <c r="I77" s="34" t="s">
        <v>11355</v>
      </c>
      <c r="J77" s="44" t="s">
        <v>6872</v>
      </c>
      <c r="K77" s="105"/>
      <c r="L77" s="34" t="s">
        <v>6064</v>
      </c>
      <c r="M77" s="34"/>
      <c r="N77" s="34" t="s">
        <v>6783</v>
      </c>
    </row>
    <row r="78" spans="1:14" ht="25.5">
      <c r="A78" s="34" t="s">
        <v>11356</v>
      </c>
      <c r="B78" s="586" t="s">
        <v>10973</v>
      </c>
      <c r="C78" s="609" t="s">
        <v>11357</v>
      </c>
      <c r="D78" s="188" t="s">
        <v>11358</v>
      </c>
      <c r="E78" s="304"/>
      <c r="F78" s="34" t="s">
        <v>11359</v>
      </c>
      <c r="G78" s="509" t="s">
        <v>1808</v>
      </c>
      <c r="H78" s="34" t="s">
        <v>11360</v>
      </c>
      <c r="I78" s="34" t="s">
        <v>11361</v>
      </c>
      <c r="J78" s="44" t="s">
        <v>6872</v>
      </c>
      <c r="K78" s="105"/>
      <c r="L78" s="34" t="s">
        <v>6064</v>
      </c>
      <c r="M78" s="34"/>
      <c r="N78" s="34" t="s">
        <v>2656</v>
      </c>
    </row>
    <row r="79" spans="1:14" ht="102">
      <c r="A79" s="34" t="s">
        <v>11362</v>
      </c>
      <c r="B79" s="586" t="s">
        <v>10973</v>
      </c>
      <c r="C79" s="609" t="s">
        <v>11363</v>
      </c>
      <c r="D79" s="188" t="s">
        <v>11364</v>
      </c>
      <c r="E79" s="304"/>
      <c r="F79" s="34" t="s">
        <v>11365</v>
      </c>
      <c r="G79" s="34" t="s">
        <v>11366</v>
      </c>
      <c r="H79" s="34"/>
      <c r="I79" s="34" t="s">
        <v>11367</v>
      </c>
      <c r="J79" s="335" t="s">
        <v>6872</v>
      </c>
      <c r="K79" s="105"/>
      <c r="L79" s="34" t="s">
        <v>6092</v>
      </c>
      <c r="M79" s="34"/>
      <c r="N79" s="34"/>
    </row>
    <row r="80" spans="1:14" ht="48.75" customHeight="1">
      <c r="A80" s="34" t="s">
        <v>11368</v>
      </c>
      <c r="B80" s="586" t="s">
        <v>11285</v>
      </c>
      <c r="C80" s="609" t="s">
        <v>11369</v>
      </c>
      <c r="D80" s="188" t="s">
        <v>11370</v>
      </c>
      <c r="E80" s="304"/>
      <c r="F80" s="34" t="s">
        <v>11371</v>
      </c>
      <c r="G80" s="509" t="s">
        <v>1808</v>
      </c>
      <c r="H80" s="34"/>
      <c r="I80" s="34" t="s">
        <v>11372</v>
      </c>
      <c r="J80" s="44" t="s">
        <v>6872</v>
      </c>
      <c r="K80" s="105"/>
      <c r="L80" s="34" t="s">
        <v>6071</v>
      </c>
      <c r="M80" s="34"/>
      <c r="N80" s="34"/>
    </row>
    <row r="81" spans="1:14" ht="204">
      <c r="A81" s="34" t="s">
        <v>11373</v>
      </c>
      <c r="B81" s="586" t="s">
        <v>10973</v>
      </c>
      <c r="C81" s="609" t="s">
        <v>11374</v>
      </c>
      <c r="D81" s="188" t="s">
        <v>11375</v>
      </c>
      <c r="E81" s="304"/>
      <c r="F81" s="34" t="s">
        <v>11376</v>
      </c>
      <c r="G81" s="34" t="s">
        <v>6179</v>
      </c>
      <c r="H81" s="34"/>
      <c r="I81" s="34" t="s">
        <v>11377</v>
      </c>
      <c r="J81" s="44" t="s">
        <v>6872</v>
      </c>
      <c r="K81" s="105"/>
      <c r="L81" s="34" t="s">
        <v>6170</v>
      </c>
      <c r="M81" s="34"/>
      <c r="N81" s="34"/>
    </row>
    <row r="82" spans="1:14" ht="25.5">
      <c r="A82" s="34" t="s">
        <v>11378</v>
      </c>
      <c r="B82" s="586" t="s">
        <v>10973</v>
      </c>
      <c r="C82" s="609" t="s">
        <v>11379</v>
      </c>
      <c r="D82" s="188" t="s">
        <v>11380</v>
      </c>
      <c r="E82" s="304"/>
      <c r="F82" s="34" t="s">
        <v>11381</v>
      </c>
      <c r="G82" s="34" t="s">
        <v>6132</v>
      </c>
      <c r="H82" s="589" t="s">
        <v>11382</v>
      </c>
      <c r="I82" s="34" t="s">
        <v>11383</v>
      </c>
      <c r="J82" s="44" t="s">
        <v>6872</v>
      </c>
      <c r="K82" s="105"/>
      <c r="L82" s="34" t="s">
        <v>10906</v>
      </c>
      <c r="M82" s="34"/>
      <c r="N82" s="34" t="s">
        <v>1828</v>
      </c>
    </row>
    <row r="83" spans="1:14" ht="38.25">
      <c r="A83" s="34" t="s">
        <v>11384</v>
      </c>
      <c r="B83" s="586" t="s">
        <v>10973</v>
      </c>
      <c r="C83" s="609" t="s">
        <v>11385</v>
      </c>
      <c r="D83" s="188" t="s">
        <v>11386</v>
      </c>
      <c r="E83" s="304"/>
      <c r="F83" s="34" t="s">
        <v>11387</v>
      </c>
      <c r="G83" s="34" t="s">
        <v>6179</v>
      </c>
      <c r="H83" s="38" t="s">
        <v>11388</v>
      </c>
      <c r="I83" s="34" t="s">
        <v>11389</v>
      </c>
      <c r="J83" s="44" t="s">
        <v>6872</v>
      </c>
      <c r="K83" s="105"/>
      <c r="L83" s="34" t="s">
        <v>6092</v>
      </c>
      <c r="M83" s="34"/>
      <c r="N83" s="34" t="s">
        <v>2467</v>
      </c>
    </row>
    <row r="84" spans="1:14" ht="25.5">
      <c r="A84" s="34" t="s">
        <v>11390</v>
      </c>
      <c r="B84" s="586" t="s">
        <v>10973</v>
      </c>
      <c r="C84" s="609" t="s">
        <v>11391</v>
      </c>
      <c r="D84" s="188" t="s">
        <v>11392</v>
      </c>
      <c r="E84" s="304"/>
      <c r="F84" s="34" t="s">
        <v>11393</v>
      </c>
      <c r="G84" s="34" t="s">
        <v>6132</v>
      </c>
      <c r="H84" s="34"/>
      <c r="I84" s="34" t="s">
        <v>11394</v>
      </c>
      <c r="J84" s="44" t="s">
        <v>6872</v>
      </c>
      <c r="K84" s="105"/>
      <c r="L84" s="34" t="s">
        <v>6092</v>
      </c>
      <c r="M84" s="34"/>
      <c r="N84" s="34"/>
    </row>
    <row r="85" spans="1:14" ht="38.25">
      <c r="A85" s="34" t="s">
        <v>11395</v>
      </c>
      <c r="B85" s="586" t="s">
        <v>10973</v>
      </c>
      <c r="C85" s="609" t="s">
        <v>11396</v>
      </c>
      <c r="D85" s="188" t="s">
        <v>11397</v>
      </c>
      <c r="E85" s="304"/>
      <c r="F85" s="34" t="s">
        <v>1389</v>
      </c>
      <c r="G85" s="509" t="s">
        <v>1808</v>
      </c>
      <c r="H85" s="34" t="s">
        <v>11398</v>
      </c>
      <c r="I85" s="34" t="s">
        <v>11399</v>
      </c>
      <c r="J85" s="44" t="s">
        <v>6872</v>
      </c>
      <c r="K85" s="105"/>
      <c r="L85" s="34" t="s">
        <v>6064</v>
      </c>
      <c r="M85" s="34" t="s">
        <v>1824</v>
      </c>
      <c r="N85" s="34" t="s">
        <v>2611</v>
      </c>
    </row>
    <row r="86" spans="1:14" ht="25.5">
      <c r="A86" s="34" t="s">
        <v>11400</v>
      </c>
      <c r="B86" s="586" t="s">
        <v>10973</v>
      </c>
      <c r="C86" s="609" t="s">
        <v>11401</v>
      </c>
      <c r="D86" s="188" t="s">
        <v>11402</v>
      </c>
      <c r="E86" s="304"/>
      <c r="F86" s="34" t="s">
        <v>8625</v>
      </c>
      <c r="G86" s="509" t="s">
        <v>1808</v>
      </c>
      <c r="H86" s="34" t="s">
        <v>10616</v>
      </c>
      <c r="I86" s="34" t="s">
        <v>11403</v>
      </c>
      <c r="J86" s="44" t="s">
        <v>6872</v>
      </c>
      <c r="K86" s="105"/>
      <c r="L86" s="34" t="s">
        <v>6064</v>
      </c>
      <c r="M86" s="34"/>
      <c r="N86" s="34" t="s">
        <v>6783</v>
      </c>
    </row>
    <row r="87" spans="1:14" ht="25.5">
      <c r="A87" s="34" t="s">
        <v>11404</v>
      </c>
      <c r="B87" s="586" t="s">
        <v>10973</v>
      </c>
      <c r="C87" s="609" t="s">
        <v>11405</v>
      </c>
      <c r="D87" s="188" t="s">
        <v>11406</v>
      </c>
      <c r="E87" s="304"/>
      <c r="F87" s="34" t="s">
        <v>11407</v>
      </c>
      <c r="G87" s="509" t="s">
        <v>1808</v>
      </c>
      <c r="H87" s="34" t="s">
        <v>11408</v>
      </c>
      <c r="I87" s="34" t="s">
        <v>10383</v>
      </c>
      <c r="J87" s="44" t="s">
        <v>6872</v>
      </c>
      <c r="K87" s="105"/>
      <c r="L87" s="34" t="s">
        <v>6137</v>
      </c>
      <c r="M87" s="34"/>
      <c r="N87" s="34" t="s">
        <v>2467</v>
      </c>
    </row>
    <row r="88" spans="1:14" ht="25.5">
      <c r="A88" s="34" t="s">
        <v>11409</v>
      </c>
      <c r="B88" s="586" t="s">
        <v>10973</v>
      </c>
      <c r="C88" s="609" t="s">
        <v>11410</v>
      </c>
      <c r="D88" s="188" t="s">
        <v>11411</v>
      </c>
      <c r="E88" s="304"/>
      <c r="F88" s="34" t="s">
        <v>11412</v>
      </c>
      <c r="G88" s="509" t="s">
        <v>1808</v>
      </c>
      <c r="H88" s="34" t="s">
        <v>11413</v>
      </c>
      <c r="I88" s="34" t="s">
        <v>11414</v>
      </c>
      <c r="J88" s="44" t="s">
        <v>6872</v>
      </c>
      <c r="K88" s="105"/>
      <c r="L88" s="34" t="s">
        <v>6137</v>
      </c>
      <c r="M88" s="34"/>
      <c r="N88" s="34" t="s">
        <v>2656</v>
      </c>
    </row>
    <row r="89" spans="1:14" ht="51">
      <c r="A89" s="34" t="s">
        <v>11415</v>
      </c>
      <c r="B89" s="586" t="s">
        <v>10973</v>
      </c>
      <c r="C89" s="609" t="s">
        <v>11416</v>
      </c>
      <c r="D89" s="188" t="s">
        <v>11417</v>
      </c>
      <c r="E89" s="304"/>
      <c r="F89" s="34" t="s">
        <v>11418</v>
      </c>
      <c r="G89" s="509" t="s">
        <v>1808</v>
      </c>
      <c r="H89" s="34" t="s">
        <v>11419</v>
      </c>
      <c r="I89" s="34" t="s">
        <v>11420</v>
      </c>
      <c r="J89" s="44" t="s">
        <v>6872</v>
      </c>
      <c r="K89" s="105"/>
      <c r="L89" s="34" t="s">
        <v>6071</v>
      </c>
      <c r="M89" s="34"/>
      <c r="N89" s="34" t="s">
        <v>2609</v>
      </c>
    </row>
    <row r="90" spans="1:14" ht="25.5">
      <c r="A90" s="34" t="s">
        <v>11421</v>
      </c>
      <c r="B90" s="586" t="s">
        <v>10973</v>
      </c>
      <c r="C90" s="609" t="s">
        <v>11422</v>
      </c>
      <c r="D90" s="188" t="s">
        <v>11423</v>
      </c>
      <c r="E90" s="304"/>
      <c r="F90" s="34" t="s">
        <v>650</v>
      </c>
      <c r="G90" s="509" t="s">
        <v>1808</v>
      </c>
      <c r="H90" s="34" t="s">
        <v>11424</v>
      </c>
      <c r="I90" s="34" t="s">
        <v>11425</v>
      </c>
      <c r="J90" s="44" t="s">
        <v>6872</v>
      </c>
      <c r="K90" s="105"/>
      <c r="L90" s="34" t="s">
        <v>6064</v>
      </c>
      <c r="M90" s="34" t="s">
        <v>1824</v>
      </c>
      <c r="N90" s="34" t="s">
        <v>6314</v>
      </c>
    </row>
    <row r="91" spans="1:14" ht="25.5">
      <c r="A91" s="34" t="s">
        <v>11426</v>
      </c>
      <c r="B91" s="586" t="s">
        <v>10973</v>
      </c>
      <c r="C91" s="609" t="s">
        <v>11427</v>
      </c>
      <c r="D91" s="188" t="s">
        <v>11428</v>
      </c>
      <c r="E91" s="304"/>
      <c r="F91" s="34" t="s">
        <v>11429</v>
      </c>
      <c r="G91" s="34" t="s">
        <v>6132</v>
      </c>
      <c r="H91" s="34" t="s">
        <v>11430</v>
      </c>
      <c r="I91" s="34" t="s">
        <v>11431</v>
      </c>
      <c r="J91" s="44" t="s">
        <v>6872</v>
      </c>
      <c r="K91" s="105"/>
      <c r="L91" s="34" t="s">
        <v>11432</v>
      </c>
      <c r="M91" s="34"/>
      <c r="N91" s="34" t="s">
        <v>1828</v>
      </c>
    </row>
    <row r="92" spans="1:14" ht="38.25">
      <c r="A92" s="34" t="s">
        <v>11433</v>
      </c>
      <c r="B92" s="586" t="s">
        <v>10973</v>
      </c>
      <c r="C92" s="618" t="s">
        <v>11434</v>
      </c>
      <c r="D92" s="188" t="s">
        <v>11435</v>
      </c>
      <c r="E92" s="304"/>
      <c r="F92" s="34" t="s">
        <v>11436</v>
      </c>
      <c r="G92" s="34" t="s">
        <v>6179</v>
      </c>
      <c r="H92" s="589" t="s">
        <v>11437</v>
      </c>
      <c r="I92" s="34" t="s">
        <v>11438</v>
      </c>
      <c r="J92" s="44" t="s">
        <v>6872</v>
      </c>
      <c r="K92" s="105"/>
      <c r="L92" s="34" t="s">
        <v>6137</v>
      </c>
      <c r="M92" s="34"/>
      <c r="N92" s="34" t="s">
        <v>1828</v>
      </c>
    </row>
    <row r="93" spans="1:14" ht="76.5">
      <c r="A93" s="34" t="s">
        <v>11439</v>
      </c>
      <c r="B93" s="34" t="s">
        <v>10375</v>
      </c>
      <c r="C93" s="604" t="s">
        <v>11440</v>
      </c>
      <c r="D93" s="188" t="s">
        <v>11441</v>
      </c>
      <c r="E93" s="304"/>
      <c r="F93" s="34" t="s">
        <v>11442</v>
      </c>
      <c r="G93" s="34" t="s">
        <v>6132</v>
      </c>
      <c r="H93" s="34" t="s">
        <v>11443</v>
      </c>
      <c r="I93" s="34" t="s">
        <v>11444</v>
      </c>
      <c r="J93" s="44" t="s">
        <v>6872</v>
      </c>
      <c r="K93" s="105"/>
      <c r="L93" s="34" t="s">
        <v>6064</v>
      </c>
      <c r="M93" s="34"/>
      <c r="N93" s="34" t="s">
        <v>1828</v>
      </c>
    </row>
    <row r="94" spans="1:14" ht="25.5">
      <c r="A94" s="34" t="s">
        <v>11445</v>
      </c>
      <c r="B94" s="586" t="s">
        <v>10973</v>
      </c>
      <c r="C94" s="609" t="s">
        <v>11446</v>
      </c>
      <c r="D94" s="188" t="s">
        <v>10892</v>
      </c>
      <c r="E94" s="304"/>
      <c r="F94" s="34" t="s">
        <v>9995</v>
      </c>
      <c r="G94" s="509" t="s">
        <v>1808</v>
      </c>
      <c r="H94" s="34" t="s">
        <v>9996</v>
      </c>
      <c r="I94" s="34" t="s">
        <v>11447</v>
      </c>
      <c r="J94" s="44" t="s">
        <v>6872</v>
      </c>
      <c r="K94" s="105"/>
      <c r="L94" s="34" t="s">
        <v>6064</v>
      </c>
      <c r="M94" s="34"/>
      <c r="N94" s="34" t="s">
        <v>1828</v>
      </c>
    </row>
    <row r="95" spans="1:14" ht="38.25">
      <c r="A95" s="34" t="s">
        <v>11448</v>
      </c>
      <c r="B95" s="34" t="s">
        <v>8512</v>
      </c>
      <c r="C95" s="604" t="s">
        <v>11449</v>
      </c>
      <c r="D95" s="188" t="s">
        <v>11450</v>
      </c>
      <c r="E95" s="619" t="s">
        <v>11451</v>
      </c>
      <c r="F95" s="34" t="s">
        <v>11452</v>
      </c>
      <c r="G95" s="34" t="s">
        <v>6132</v>
      </c>
      <c r="H95" s="34" t="s">
        <v>11453</v>
      </c>
      <c r="I95" s="34" t="s">
        <v>11454</v>
      </c>
      <c r="J95" s="44" t="s">
        <v>6872</v>
      </c>
      <c r="K95" s="105"/>
      <c r="L95" s="34" t="s">
        <v>6064</v>
      </c>
      <c r="M95" s="34"/>
      <c r="N95" s="34" t="s">
        <v>2656</v>
      </c>
    </row>
    <row r="96" spans="1:14" ht="51">
      <c r="A96" s="34" t="s">
        <v>11455</v>
      </c>
      <c r="B96" s="34" t="s">
        <v>8512</v>
      </c>
      <c r="C96" s="604" t="s">
        <v>11456</v>
      </c>
      <c r="D96" s="188" t="s">
        <v>11457</v>
      </c>
      <c r="E96" s="619" t="s">
        <v>11458</v>
      </c>
      <c r="F96" s="34" t="s">
        <v>2331</v>
      </c>
      <c r="G96" s="509" t="s">
        <v>1808</v>
      </c>
      <c r="H96" s="34" t="s">
        <v>11459</v>
      </c>
      <c r="I96" s="34" t="s">
        <v>11460</v>
      </c>
      <c r="J96" s="44" t="s">
        <v>6872</v>
      </c>
      <c r="K96" s="105"/>
      <c r="L96" s="34" t="s">
        <v>6933</v>
      </c>
      <c r="M96" s="34"/>
      <c r="N96" s="34" t="s">
        <v>1828</v>
      </c>
    </row>
    <row r="97" spans="1:14" ht="89.25">
      <c r="A97" s="34" t="s">
        <v>11461</v>
      </c>
      <c r="B97" s="34" t="s">
        <v>8512</v>
      </c>
      <c r="C97" s="604" t="s">
        <v>11462</v>
      </c>
      <c r="D97" s="188" t="s">
        <v>11463</v>
      </c>
      <c r="E97" s="619" t="s">
        <v>11464</v>
      </c>
      <c r="F97" s="34" t="s">
        <v>2331</v>
      </c>
      <c r="G97" s="509" t="s">
        <v>1808</v>
      </c>
      <c r="H97" s="34" t="s">
        <v>11465</v>
      </c>
      <c r="I97" s="34" t="s">
        <v>10650</v>
      </c>
      <c r="J97" s="44" t="s">
        <v>6872</v>
      </c>
      <c r="K97" s="105"/>
      <c r="L97" s="34" t="s">
        <v>6933</v>
      </c>
      <c r="M97" s="34"/>
      <c r="N97" s="34" t="s">
        <v>1828</v>
      </c>
    </row>
    <row r="98" spans="1:14" ht="12.75">
      <c r="A98" s="34"/>
      <c r="B98" s="600"/>
      <c r="C98" s="591"/>
      <c r="D98" s="188"/>
      <c r="E98" s="304"/>
      <c r="F98" s="34"/>
      <c r="G98" s="34"/>
      <c r="H98" s="34"/>
      <c r="I98" s="34"/>
      <c r="J98" s="44"/>
      <c r="K98" s="105"/>
      <c r="L98" s="34"/>
      <c r="M98" s="34"/>
      <c r="N98" s="34"/>
    </row>
    <row r="99" spans="1:14" ht="12.75">
      <c r="A99" s="34"/>
      <c r="B99" s="600"/>
      <c r="C99" s="591"/>
      <c r="D99" s="188"/>
      <c r="E99" s="304"/>
      <c r="F99" s="34"/>
      <c r="G99" s="34"/>
      <c r="H99" s="34"/>
      <c r="I99" s="34"/>
      <c r="J99" s="44"/>
      <c r="K99" s="105"/>
      <c r="L99" s="34"/>
      <c r="M99" s="34"/>
      <c r="N99" s="34"/>
    </row>
    <row r="100" spans="1:14" ht="12.75">
      <c r="A100" s="34"/>
      <c r="B100" s="34"/>
      <c r="C100" s="34"/>
      <c r="D100" s="188"/>
      <c r="E100" s="304"/>
      <c r="F100" s="34"/>
      <c r="G100" s="34"/>
      <c r="H100" s="34"/>
      <c r="I100" s="34"/>
      <c r="J100" s="44"/>
      <c r="K100" s="105"/>
      <c r="L100" s="34"/>
      <c r="M100" s="34"/>
      <c r="N100" s="34"/>
    </row>
    <row r="101" spans="1:14" ht="12.75">
      <c r="A101" s="34"/>
      <c r="B101" s="34"/>
      <c r="C101" s="34"/>
      <c r="D101" s="188"/>
      <c r="E101" s="304"/>
      <c r="F101" s="34"/>
      <c r="G101" s="34"/>
      <c r="H101" s="34"/>
      <c r="I101" s="34"/>
      <c r="J101" s="44"/>
      <c r="K101" s="105"/>
      <c r="L101" s="34"/>
      <c r="M101" s="34"/>
      <c r="N101" s="34"/>
    </row>
    <row r="102" spans="1:14" ht="12.75">
      <c r="A102" s="34"/>
      <c r="B102" s="34"/>
      <c r="C102" s="34"/>
      <c r="D102" s="188"/>
      <c r="E102" s="304"/>
      <c r="F102" s="34"/>
      <c r="G102" s="34"/>
      <c r="H102" s="34"/>
      <c r="I102" s="34"/>
      <c r="J102" s="44"/>
      <c r="K102" s="105"/>
      <c r="L102" s="34"/>
      <c r="M102" s="34"/>
      <c r="N102" s="34"/>
    </row>
    <row r="103" spans="1:14" ht="12.75">
      <c r="A103" s="34"/>
      <c r="B103" s="34"/>
      <c r="C103" s="34"/>
      <c r="D103" s="188"/>
      <c r="E103" s="304"/>
      <c r="F103" s="34"/>
      <c r="G103" s="34"/>
      <c r="H103" s="34"/>
      <c r="I103" s="34"/>
      <c r="J103" s="44"/>
      <c r="K103" s="105"/>
      <c r="L103" s="34"/>
      <c r="M103" s="34"/>
      <c r="N103" s="34"/>
    </row>
    <row r="104" spans="1:14" ht="12.75">
      <c r="A104" s="34"/>
      <c r="B104" s="34"/>
      <c r="C104" s="34"/>
      <c r="D104" s="188"/>
      <c r="E104" s="304"/>
      <c r="F104" s="34"/>
      <c r="G104" s="34"/>
      <c r="H104" s="34"/>
      <c r="I104" s="34"/>
      <c r="J104" s="44"/>
      <c r="K104" s="105"/>
      <c r="L104" s="34"/>
      <c r="M104" s="34"/>
      <c r="N104" s="34"/>
    </row>
    <row r="105" spans="1:14" ht="12.75">
      <c r="A105" s="34"/>
      <c r="B105" s="34"/>
      <c r="C105" s="34"/>
      <c r="D105" s="188"/>
      <c r="E105" s="304"/>
      <c r="F105" s="34"/>
      <c r="G105" s="34"/>
      <c r="H105" s="34"/>
      <c r="I105" s="34"/>
      <c r="J105" s="44"/>
      <c r="K105" s="105"/>
      <c r="L105" s="34"/>
      <c r="M105" s="34"/>
      <c r="N105" s="34"/>
    </row>
    <row r="106" spans="1:14" ht="12.75">
      <c r="A106" s="34"/>
      <c r="B106" s="34"/>
      <c r="C106" s="34"/>
      <c r="D106" s="188"/>
      <c r="E106" s="304"/>
      <c r="F106" s="34"/>
      <c r="G106" s="34"/>
      <c r="H106" s="34"/>
      <c r="I106" s="34"/>
      <c r="J106" s="44"/>
      <c r="K106" s="105"/>
      <c r="L106" s="34"/>
      <c r="M106" s="34"/>
      <c r="N106" s="34"/>
    </row>
    <row r="107" spans="1:14" ht="12.75">
      <c r="A107" s="34"/>
      <c r="B107" s="34"/>
      <c r="C107" s="34"/>
      <c r="D107" s="188"/>
      <c r="E107" s="304"/>
      <c r="F107" s="34"/>
      <c r="G107" s="34"/>
      <c r="H107" s="34"/>
      <c r="I107" s="34"/>
      <c r="J107" s="44"/>
      <c r="K107" s="105"/>
      <c r="L107" s="34"/>
      <c r="M107" s="34"/>
      <c r="N107" s="34"/>
    </row>
    <row r="108" spans="1:14" ht="12.75">
      <c r="A108" s="34"/>
      <c r="B108" s="34"/>
      <c r="C108" s="34"/>
      <c r="D108" s="188"/>
      <c r="E108" s="304"/>
      <c r="F108" s="34"/>
      <c r="G108" s="34"/>
      <c r="H108" s="34"/>
      <c r="I108" s="34"/>
      <c r="J108" s="44"/>
      <c r="K108" s="105"/>
      <c r="L108" s="34"/>
      <c r="M108" s="34"/>
      <c r="N108" s="34"/>
    </row>
    <row r="109" spans="1:14" ht="12.75">
      <c r="A109" s="34"/>
      <c r="B109" s="34"/>
      <c r="C109" s="34"/>
      <c r="D109" s="188"/>
      <c r="E109" s="304"/>
      <c r="F109" s="34"/>
      <c r="G109" s="34"/>
      <c r="H109" s="34"/>
      <c r="I109" s="34"/>
      <c r="J109" s="44"/>
      <c r="K109" s="105"/>
      <c r="L109" s="34"/>
      <c r="M109" s="34"/>
      <c r="N109" s="34"/>
    </row>
    <row r="110" spans="1:14" ht="12.75">
      <c r="A110" s="34"/>
      <c r="B110" s="34"/>
      <c r="C110" s="34"/>
      <c r="D110" s="188"/>
      <c r="E110" s="304"/>
      <c r="F110" s="34"/>
      <c r="G110" s="34"/>
      <c r="H110" s="34"/>
      <c r="I110" s="34"/>
      <c r="J110" s="44"/>
      <c r="K110" s="105"/>
      <c r="L110" s="34"/>
      <c r="M110" s="34"/>
      <c r="N110" s="34"/>
    </row>
    <row r="111" spans="1:14" ht="12.75">
      <c r="A111" s="34"/>
      <c r="B111" s="34"/>
      <c r="C111" s="34"/>
      <c r="D111" s="188"/>
      <c r="E111" s="304"/>
      <c r="F111" s="34"/>
      <c r="G111" s="34"/>
      <c r="H111" s="34"/>
      <c r="I111" s="34"/>
      <c r="J111" s="44"/>
      <c r="K111" s="105"/>
      <c r="L111" s="34"/>
      <c r="M111" s="34"/>
      <c r="N111" s="34"/>
    </row>
    <row r="112" spans="1:14" ht="12.75">
      <c r="A112" s="34"/>
      <c r="B112" s="34"/>
      <c r="C112" s="34"/>
      <c r="D112" s="188"/>
      <c r="E112" s="304"/>
      <c r="F112" s="34"/>
      <c r="G112" s="34"/>
      <c r="H112" s="34"/>
      <c r="I112" s="34"/>
      <c r="J112" s="44"/>
      <c r="K112" s="105"/>
      <c r="L112" s="34"/>
      <c r="M112" s="34"/>
      <c r="N112" s="34"/>
    </row>
    <row r="113" spans="1:14" ht="12.75">
      <c r="A113" s="34"/>
      <c r="B113" s="34"/>
      <c r="C113" s="34"/>
      <c r="D113" s="188"/>
      <c r="E113" s="304"/>
      <c r="F113" s="34"/>
      <c r="G113" s="34"/>
      <c r="H113" s="34"/>
      <c r="I113" s="34"/>
      <c r="J113" s="44"/>
      <c r="K113" s="105"/>
      <c r="L113" s="34"/>
      <c r="M113" s="34"/>
      <c r="N113" s="34"/>
    </row>
    <row r="114" spans="1:14" ht="12.75">
      <c r="A114" s="34"/>
      <c r="B114" s="34"/>
      <c r="C114" s="34"/>
      <c r="D114" s="188"/>
      <c r="E114" s="304"/>
      <c r="F114" s="34"/>
      <c r="G114" s="34"/>
      <c r="H114" s="34"/>
      <c r="I114" s="34"/>
      <c r="J114" s="44"/>
      <c r="K114" s="105"/>
      <c r="L114" s="34"/>
      <c r="M114" s="34"/>
      <c r="N114" s="34"/>
    </row>
    <row r="115" spans="1:14" ht="12.75">
      <c r="A115" s="34"/>
      <c r="B115" s="34"/>
      <c r="C115" s="34"/>
      <c r="D115" s="188"/>
      <c r="E115" s="304"/>
      <c r="F115" s="34"/>
      <c r="G115" s="34"/>
      <c r="H115" s="34"/>
      <c r="I115" s="34"/>
      <c r="J115" s="44"/>
      <c r="K115" s="105"/>
      <c r="L115" s="34"/>
      <c r="M115" s="34"/>
      <c r="N115" s="34"/>
    </row>
    <row r="116" spans="1:14" ht="12.75">
      <c r="A116" s="34"/>
      <c r="B116" s="34"/>
      <c r="C116" s="34"/>
      <c r="D116" s="188"/>
      <c r="E116" s="304"/>
      <c r="F116" s="34"/>
      <c r="G116" s="34"/>
      <c r="H116" s="34"/>
      <c r="I116" s="34"/>
      <c r="J116" s="44"/>
      <c r="K116" s="105"/>
      <c r="L116" s="34"/>
      <c r="M116" s="34"/>
      <c r="N116" s="34"/>
    </row>
    <row r="117" spans="1:14" ht="12.75">
      <c r="A117" s="34"/>
      <c r="B117" s="34"/>
      <c r="C117" s="34"/>
      <c r="D117" s="188"/>
      <c r="E117" s="304"/>
      <c r="F117" s="34"/>
      <c r="G117" s="34"/>
      <c r="H117" s="34"/>
      <c r="I117" s="34"/>
      <c r="J117" s="44"/>
      <c r="K117" s="105"/>
      <c r="L117" s="34"/>
      <c r="M117" s="34"/>
      <c r="N117" s="34"/>
    </row>
    <row r="118" spans="1:14" ht="12.75">
      <c r="A118" s="34"/>
      <c r="B118" s="34"/>
      <c r="C118" s="34"/>
      <c r="D118" s="188"/>
      <c r="E118" s="304"/>
      <c r="F118" s="34"/>
      <c r="G118" s="34"/>
      <c r="H118" s="34"/>
      <c r="I118" s="34"/>
      <c r="J118" s="44"/>
      <c r="K118" s="105"/>
      <c r="L118" s="34"/>
      <c r="M118" s="34"/>
      <c r="N118" s="34"/>
    </row>
    <row r="119" spans="1:14" ht="12.75">
      <c r="A119" s="34"/>
      <c r="B119" s="34"/>
      <c r="C119" s="34"/>
      <c r="D119" s="188"/>
      <c r="E119" s="304"/>
      <c r="F119" s="34"/>
      <c r="G119" s="34"/>
      <c r="H119" s="34"/>
      <c r="I119" s="34"/>
      <c r="J119" s="44"/>
      <c r="K119" s="105"/>
      <c r="L119" s="34"/>
      <c r="M119" s="34"/>
      <c r="N119" s="34"/>
    </row>
    <row r="120" spans="1:14" ht="12.75">
      <c r="A120" s="34"/>
      <c r="B120" s="34"/>
      <c r="C120" s="34"/>
      <c r="D120" s="188"/>
      <c r="E120" s="304"/>
      <c r="F120" s="34"/>
      <c r="G120" s="34"/>
      <c r="H120" s="34"/>
      <c r="I120" s="34"/>
      <c r="J120" s="44"/>
      <c r="K120" s="105"/>
      <c r="L120" s="34"/>
      <c r="M120" s="34"/>
      <c r="N120" s="34"/>
    </row>
    <row r="121" spans="1:14" ht="12.75">
      <c r="A121" s="34"/>
      <c r="B121" s="34"/>
      <c r="C121" s="34"/>
      <c r="D121" s="188"/>
      <c r="E121" s="304"/>
      <c r="F121" s="34"/>
      <c r="G121" s="34"/>
      <c r="H121" s="34"/>
      <c r="I121" s="34"/>
      <c r="J121" s="44"/>
      <c r="K121" s="105"/>
      <c r="L121" s="34"/>
      <c r="M121" s="34"/>
      <c r="N121" s="34"/>
    </row>
    <row r="122" spans="1:14" ht="12.75">
      <c r="A122" s="34"/>
      <c r="B122" s="34"/>
      <c r="C122" s="34"/>
      <c r="D122" s="188"/>
      <c r="E122" s="304"/>
      <c r="F122" s="34"/>
      <c r="G122" s="34"/>
      <c r="H122" s="34"/>
      <c r="I122" s="34"/>
      <c r="J122" s="44"/>
      <c r="K122" s="105"/>
      <c r="L122" s="34"/>
      <c r="M122" s="34"/>
      <c r="N122" s="34"/>
    </row>
    <row r="123" spans="1:14" ht="12.75">
      <c r="A123" s="34"/>
      <c r="B123" s="34"/>
      <c r="C123" s="34"/>
      <c r="D123" s="188"/>
      <c r="E123" s="304"/>
      <c r="F123" s="34"/>
      <c r="G123" s="34"/>
      <c r="H123" s="34"/>
      <c r="I123" s="34"/>
      <c r="J123" s="44"/>
      <c r="K123" s="105"/>
      <c r="L123" s="34"/>
      <c r="M123" s="34"/>
      <c r="N123" s="34"/>
    </row>
    <row r="124" spans="1:14" ht="12.75">
      <c r="A124" s="34"/>
      <c r="B124" s="34"/>
      <c r="C124" s="34"/>
      <c r="D124" s="188"/>
      <c r="E124" s="304"/>
      <c r="F124" s="34"/>
      <c r="G124" s="34"/>
      <c r="H124" s="34"/>
      <c r="I124" s="34"/>
      <c r="J124" s="44"/>
      <c r="K124" s="105"/>
      <c r="L124" s="34"/>
      <c r="M124" s="34"/>
      <c r="N124" s="34"/>
    </row>
    <row r="125" spans="1:14" ht="12.75">
      <c r="A125" s="34"/>
      <c r="B125" s="34"/>
      <c r="C125" s="34"/>
      <c r="D125" s="188"/>
      <c r="E125" s="304"/>
      <c r="F125" s="34"/>
      <c r="G125" s="34"/>
      <c r="H125" s="34"/>
      <c r="I125" s="34"/>
      <c r="J125" s="44"/>
      <c r="K125" s="105"/>
      <c r="L125" s="34"/>
      <c r="M125" s="34"/>
      <c r="N125" s="34"/>
    </row>
    <row r="126" spans="1:14" ht="12.75">
      <c r="A126" s="34"/>
      <c r="B126" s="34"/>
      <c r="C126" s="34"/>
      <c r="D126" s="188"/>
      <c r="E126" s="304"/>
      <c r="F126" s="34"/>
      <c r="G126" s="34"/>
      <c r="H126" s="34"/>
      <c r="I126" s="34"/>
      <c r="J126" s="44"/>
      <c r="K126" s="105"/>
      <c r="L126" s="34"/>
      <c r="M126" s="34"/>
      <c r="N126" s="34"/>
    </row>
    <row r="127" spans="1:14" ht="12.75">
      <c r="A127" s="34"/>
      <c r="B127" s="34"/>
      <c r="C127" s="34"/>
      <c r="D127" s="188"/>
      <c r="E127" s="304"/>
      <c r="F127" s="34"/>
      <c r="G127" s="34"/>
      <c r="H127" s="34"/>
      <c r="I127" s="34"/>
      <c r="J127" s="44"/>
      <c r="K127" s="105"/>
      <c r="L127" s="34"/>
      <c r="M127" s="34"/>
      <c r="N127" s="34"/>
    </row>
    <row r="128" spans="1:14" ht="12.75">
      <c r="A128" s="34"/>
      <c r="B128" s="34"/>
      <c r="C128" s="34"/>
      <c r="D128" s="188"/>
      <c r="E128" s="304"/>
      <c r="F128" s="34"/>
      <c r="G128" s="34"/>
      <c r="H128" s="34"/>
      <c r="I128" s="34"/>
      <c r="J128" s="44"/>
      <c r="K128" s="105"/>
      <c r="L128" s="34"/>
      <c r="M128" s="34"/>
      <c r="N128" s="34"/>
    </row>
    <row r="129" spans="1:14" ht="12.75">
      <c r="A129" s="34"/>
      <c r="B129" s="34"/>
      <c r="C129" s="34"/>
      <c r="D129" s="188"/>
      <c r="E129" s="304"/>
      <c r="F129" s="34"/>
      <c r="G129" s="34"/>
      <c r="H129" s="34"/>
      <c r="I129" s="34"/>
      <c r="J129" s="44"/>
      <c r="K129" s="105"/>
      <c r="L129" s="34"/>
      <c r="M129" s="34"/>
      <c r="N129" s="34"/>
    </row>
    <row r="130" spans="1:14" ht="12.75">
      <c r="A130" s="34"/>
      <c r="B130" s="34"/>
      <c r="C130" s="34"/>
      <c r="D130" s="188"/>
      <c r="E130" s="304"/>
      <c r="F130" s="34"/>
      <c r="G130" s="34"/>
      <c r="H130" s="34"/>
      <c r="I130" s="34"/>
      <c r="J130" s="44"/>
      <c r="K130" s="105"/>
      <c r="L130" s="34"/>
      <c r="M130" s="34"/>
      <c r="N130" s="34"/>
    </row>
    <row r="131" spans="1:14" ht="12.75">
      <c r="A131" s="34"/>
      <c r="B131" s="34"/>
      <c r="C131" s="34"/>
      <c r="D131" s="188"/>
      <c r="E131" s="304"/>
      <c r="F131" s="34"/>
      <c r="G131" s="34"/>
      <c r="H131" s="34"/>
      <c r="I131" s="34"/>
      <c r="J131" s="44"/>
      <c r="K131" s="105"/>
      <c r="L131" s="34"/>
      <c r="M131" s="34"/>
      <c r="N131" s="34"/>
    </row>
    <row r="132" spans="1:14" ht="12.75">
      <c r="A132" s="34"/>
      <c r="B132" s="34"/>
      <c r="C132" s="34"/>
      <c r="D132" s="188"/>
      <c r="E132" s="304"/>
      <c r="F132" s="34"/>
      <c r="G132" s="34"/>
      <c r="H132" s="34"/>
      <c r="I132" s="34"/>
      <c r="J132" s="44"/>
      <c r="K132" s="105"/>
      <c r="L132" s="34"/>
      <c r="M132" s="34"/>
      <c r="N132" s="34"/>
    </row>
    <row r="133" spans="1:14" ht="12.75">
      <c r="A133" s="34"/>
      <c r="B133" s="34"/>
      <c r="C133" s="34"/>
      <c r="D133" s="188"/>
      <c r="E133" s="304"/>
      <c r="F133" s="34"/>
      <c r="G133" s="34"/>
      <c r="H133" s="34"/>
      <c r="I133" s="34"/>
      <c r="J133" s="44"/>
      <c r="K133" s="105"/>
      <c r="L133" s="34"/>
      <c r="M133" s="34"/>
      <c r="N133" s="34"/>
    </row>
    <row r="134" spans="1:14" ht="12.75">
      <c r="A134" s="34"/>
      <c r="B134" s="34"/>
      <c r="C134" s="34"/>
      <c r="D134" s="188"/>
      <c r="E134" s="304"/>
      <c r="F134" s="34"/>
      <c r="G134" s="34"/>
      <c r="H134" s="34"/>
      <c r="I134" s="34"/>
      <c r="J134" s="44"/>
      <c r="K134" s="105"/>
      <c r="L134" s="34"/>
      <c r="M134" s="34"/>
      <c r="N134" s="34"/>
    </row>
    <row r="135" spans="1:14" ht="12.75">
      <c r="A135" s="34"/>
      <c r="B135" s="34"/>
      <c r="C135" s="34"/>
      <c r="D135" s="188"/>
      <c r="E135" s="304"/>
      <c r="F135" s="34"/>
      <c r="G135" s="34"/>
      <c r="H135" s="34"/>
      <c r="I135" s="34"/>
      <c r="J135" s="44"/>
      <c r="K135" s="105"/>
      <c r="L135" s="34"/>
      <c r="M135" s="34"/>
      <c r="N135" s="34"/>
    </row>
    <row r="136" spans="1:14" ht="12.75">
      <c r="A136" s="34"/>
      <c r="B136" s="34"/>
      <c r="C136" s="34"/>
      <c r="D136" s="188"/>
      <c r="E136" s="304"/>
      <c r="F136" s="34"/>
      <c r="G136" s="34"/>
      <c r="H136" s="34"/>
      <c r="I136" s="34"/>
      <c r="J136" s="44"/>
      <c r="K136" s="105"/>
      <c r="L136" s="34"/>
      <c r="M136" s="34"/>
      <c r="N136" s="34"/>
    </row>
    <row r="137" spans="1:14" ht="12.75">
      <c r="A137" s="34"/>
      <c r="B137" s="34"/>
      <c r="C137" s="34"/>
      <c r="D137" s="188"/>
      <c r="E137" s="304"/>
      <c r="F137" s="34"/>
      <c r="G137" s="34"/>
      <c r="H137" s="34"/>
      <c r="I137" s="34"/>
      <c r="J137" s="44"/>
      <c r="K137" s="105"/>
      <c r="L137" s="34"/>
      <c r="M137" s="34"/>
      <c r="N137" s="34"/>
    </row>
    <row r="138" spans="1:14" ht="12.75">
      <c r="A138" s="34"/>
      <c r="B138" s="34"/>
      <c r="C138" s="34"/>
      <c r="D138" s="188"/>
      <c r="E138" s="304"/>
      <c r="F138" s="34"/>
      <c r="G138" s="34"/>
      <c r="H138" s="34"/>
      <c r="I138" s="34"/>
      <c r="J138" s="44"/>
      <c r="K138" s="105"/>
      <c r="L138" s="34"/>
      <c r="M138" s="34"/>
      <c r="N138" s="34"/>
    </row>
    <row r="139" spans="1:14" ht="12.75">
      <c r="A139" s="34"/>
      <c r="B139" s="34"/>
      <c r="C139" s="34"/>
      <c r="D139" s="188"/>
      <c r="E139" s="304"/>
      <c r="F139" s="34"/>
      <c r="G139" s="34"/>
      <c r="H139" s="34"/>
      <c r="I139" s="34"/>
      <c r="J139" s="44"/>
      <c r="K139" s="105"/>
      <c r="L139" s="34"/>
      <c r="M139" s="34"/>
      <c r="N139" s="34"/>
    </row>
    <row r="140" spans="1:14" ht="12.75">
      <c r="A140" s="34"/>
      <c r="B140" s="34"/>
      <c r="C140" s="34"/>
      <c r="D140" s="188"/>
      <c r="E140" s="304"/>
      <c r="F140" s="34"/>
      <c r="G140" s="34"/>
      <c r="H140" s="34"/>
      <c r="I140" s="34"/>
      <c r="J140" s="44"/>
      <c r="K140" s="105"/>
      <c r="L140" s="34"/>
      <c r="M140" s="34"/>
      <c r="N140" s="34"/>
    </row>
    <row r="141" spans="1:14" ht="12.75">
      <c r="A141" s="34"/>
      <c r="B141" s="34"/>
      <c r="C141" s="34"/>
      <c r="D141" s="188"/>
      <c r="E141" s="304"/>
      <c r="F141" s="34"/>
      <c r="G141" s="34"/>
      <c r="H141" s="34"/>
      <c r="I141" s="34"/>
      <c r="J141" s="44"/>
      <c r="K141" s="105"/>
      <c r="L141" s="34"/>
      <c r="M141" s="34"/>
      <c r="N141" s="34"/>
    </row>
    <row r="142" spans="1:14" ht="12.75">
      <c r="A142" s="34"/>
      <c r="B142" s="34"/>
      <c r="C142" s="34"/>
      <c r="D142" s="188"/>
      <c r="E142" s="304"/>
      <c r="F142" s="34"/>
      <c r="G142" s="34"/>
      <c r="H142" s="34"/>
      <c r="I142" s="34"/>
      <c r="J142" s="44"/>
      <c r="K142" s="105"/>
      <c r="L142" s="34"/>
      <c r="M142" s="34"/>
      <c r="N142" s="34"/>
    </row>
    <row r="143" spans="1:14" ht="12.75">
      <c r="A143" s="34"/>
      <c r="B143" s="34"/>
      <c r="C143" s="34"/>
      <c r="D143" s="188"/>
      <c r="E143" s="304"/>
      <c r="F143" s="34"/>
      <c r="G143" s="34"/>
      <c r="H143" s="34"/>
      <c r="I143" s="34"/>
      <c r="J143" s="44"/>
      <c r="K143" s="105"/>
      <c r="L143" s="34"/>
      <c r="M143" s="34"/>
      <c r="N143" s="34"/>
    </row>
    <row r="144" spans="1:14" ht="12.75">
      <c r="A144" s="34"/>
      <c r="B144" s="34"/>
      <c r="C144" s="34"/>
      <c r="D144" s="188"/>
      <c r="E144" s="304"/>
      <c r="F144" s="34"/>
      <c r="G144" s="34"/>
      <c r="H144" s="34"/>
      <c r="I144" s="34"/>
      <c r="J144" s="44"/>
      <c r="K144" s="105"/>
      <c r="L144" s="34"/>
      <c r="M144" s="34"/>
      <c r="N144" s="34"/>
    </row>
    <row r="145" spans="1:14" ht="12.75">
      <c r="A145" s="34"/>
      <c r="B145" s="34"/>
      <c r="C145" s="34"/>
      <c r="D145" s="188"/>
      <c r="E145" s="304"/>
      <c r="F145" s="34"/>
      <c r="G145" s="34"/>
      <c r="H145" s="34"/>
      <c r="I145" s="34"/>
      <c r="J145" s="44"/>
      <c r="K145" s="105"/>
      <c r="L145" s="34"/>
      <c r="M145" s="34"/>
      <c r="N145" s="34"/>
    </row>
    <row r="146" spans="1:14" ht="12.75">
      <c r="A146" s="34"/>
      <c r="B146" s="34"/>
      <c r="C146" s="34"/>
      <c r="D146" s="188"/>
      <c r="E146" s="304"/>
      <c r="F146" s="34"/>
      <c r="G146" s="34"/>
      <c r="H146" s="34"/>
      <c r="I146" s="34"/>
      <c r="J146" s="44"/>
      <c r="K146" s="105"/>
      <c r="L146" s="34"/>
      <c r="M146" s="34"/>
      <c r="N146" s="34"/>
    </row>
    <row r="147" spans="1:14" ht="12.75">
      <c r="A147" s="34"/>
      <c r="B147" s="34"/>
      <c r="C147" s="34"/>
      <c r="D147" s="188"/>
      <c r="E147" s="304"/>
      <c r="F147" s="34"/>
      <c r="G147" s="34"/>
      <c r="H147" s="34"/>
      <c r="I147" s="34"/>
      <c r="J147" s="44"/>
      <c r="K147" s="105"/>
      <c r="L147" s="34"/>
      <c r="M147" s="34"/>
      <c r="N147" s="34"/>
    </row>
    <row r="148" spans="1:14" ht="12.75">
      <c r="A148" s="34"/>
      <c r="B148" s="34"/>
      <c r="C148" s="34"/>
      <c r="D148" s="188"/>
      <c r="E148" s="304"/>
      <c r="F148" s="34"/>
      <c r="G148" s="34"/>
      <c r="H148" s="34"/>
      <c r="I148" s="34"/>
      <c r="J148" s="44"/>
      <c r="K148" s="105"/>
      <c r="L148" s="34"/>
      <c r="M148" s="34"/>
      <c r="N148" s="34"/>
    </row>
    <row r="149" spans="1:14" ht="12.75">
      <c r="A149" s="34"/>
      <c r="B149" s="34"/>
      <c r="C149" s="34"/>
      <c r="D149" s="188"/>
      <c r="E149" s="304"/>
      <c r="F149" s="34"/>
      <c r="G149" s="34"/>
      <c r="H149" s="34"/>
      <c r="I149" s="34"/>
      <c r="J149" s="44"/>
      <c r="K149" s="105"/>
      <c r="L149" s="34"/>
      <c r="M149" s="34"/>
      <c r="N149" s="34"/>
    </row>
    <row r="150" spans="1:14" ht="12.75">
      <c r="A150" s="34"/>
      <c r="B150" s="34"/>
      <c r="C150" s="34"/>
      <c r="D150" s="188"/>
      <c r="E150" s="304"/>
      <c r="F150" s="34"/>
      <c r="G150" s="34"/>
      <c r="H150" s="34"/>
      <c r="I150" s="34"/>
      <c r="J150" s="44"/>
      <c r="K150" s="105"/>
      <c r="L150" s="34"/>
      <c r="M150" s="34"/>
      <c r="N150" s="34"/>
    </row>
    <row r="151" spans="1:14" ht="12.75">
      <c r="A151" s="34"/>
      <c r="B151" s="34"/>
      <c r="C151" s="34"/>
      <c r="D151" s="188"/>
      <c r="E151" s="304"/>
      <c r="F151" s="34"/>
      <c r="G151" s="34"/>
      <c r="H151" s="34"/>
      <c r="I151" s="34"/>
      <c r="J151" s="44"/>
      <c r="K151" s="105"/>
      <c r="L151" s="34"/>
      <c r="M151" s="34"/>
      <c r="N151" s="34"/>
    </row>
    <row r="152" spans="1:14" ht="12.75">
      <c r="A152" s="34"/>
      <c r="B152" s="34"/>
      <c r="C152" s="34"/>
      <c r="D152" s="188"/>
      <c r="E152" s="304"/>
      <c r="F152" s="34"/>
      <c r="G152" s="34"/>
      <c r="H152" s="34"/>
      <c r="I152" s="34"/>
      <c r="J152" s="44"/>
      <c r="K152" s="105"/>
      <c r="L152" s="34"/>
      <c r="M152" s="34"/>
      <c r="N152" s="34"/>
    </row>
    <row r="153" spans="1:14" ht="12.75">
      <c r="A153" s="34"/>
      <c r="B153" s="34"/>
      <c r="C153" s="34"/>
      <c r="D153" s="188"/>
      <c r="E153" s="304"/>
      <c r="F153" s="34"/>
      <c r="G153" s="34"/>
      <c r="H153" s="34"/>
      <c r="I153" s="34"/>
      <c r="J153" s="44"/>
      <c r="K153" s="105"/>
      <c r="L153" s="34"/>
      <c r="M153" s="34"/>
      <c r="N153" s="34"/>
    </row>
    <row r="154" spans="1:14" ht="12.75">
      <c r="A154" s="34"/>
      <c r="B154" s="34"/>
      <c r="C154" s="34"/>
      <c r="D154" s="188"/>
      <c r="E154" s="304"/>
      <c r="F154" s="34"/>
      <c r="G154" s="34"/>
      <c r="H154" s="34"/>
      <c r="I154" s="34"/>
      <c r="J154" s="44"/>
      <c r="K154" s="105"/>
      <c r="L154" s="34"/>
      <c r="M154" s="34"/>
      <c r="N154" s="34"/>
    </row>
    <row r="155" spans="1:14" ht="12.75">
      <c r="A155" s="34"/>
      <c r="B155" s="34"/>
      <c r="C155" s="34"/>
      <c r="D155" s="188"/>
      <c r="E155" s="304"/>
      <c r="F155" s="34"/>
      <c r="G155" s="34"/>
      <c r="H155" s="34"/>
      <c r="I155" s="34"/>
      <c r="J155" s="44"/>
      <c r="K155" s="105"/>
      <c r="L155" s="34"/>
      <c r="M155" s="34"/>
      <c r="N155" s="34"/>
    </row>
    <row r="156" spans="1:14" ht="12.75">
      <c r="A156" s="34"/>
      <c r="B156" s="34"/>
      <c r="C156" s="34"/>
      <c r="D156" s="188"/>
      <c r="E156" s="304"/>
      <c r="F156" s="34"/>
      <c r="G156" s="34"/>
      <c r="H156" s="34"/>
      <c r="I156" s="34"/>
      <c r="J156" s="44"/>
      <c r="K156" s="105"/>
      <c r="L156" s="34"/>
      <c r="M156" s="34"/>
      <c r="N156" s="34"/>
    </row>
    <row r="157" spans="1:14" ht="12.75">
      <c r="A157" s="34"/>
      <c r="B157" s="34"/>
      <c r="C157" s="34"/>
      <c r="D157" s="188"/>
      <c r="E157" s="304"/>
      <c r="F157" s="34"/>
      <c r="G157" s="34"/>
      <c r="H157" s="34"/>
      <c r="I157" s="34"/>
      <c r="J157" s="44"/>
      <c r="K157" s="105"/>
      <c r="L157" s="34"/>
      <c r="M157" s="34"/>
      <c r="N157" s="34"/>
    </row>
    <row r="158" spans="1:14" ht="12.75">
      <c r="A158" s="34"/>
      <c r="B158" s="34"/>
      <c r="C158" s="34"/>
      <c r="D158" s="188"/>
      <c r="E158" s="304"/>
      <c r="F158" s="34"/>
      <c r="G158" s="34"/>
      <c r="H158" s="34"/>
      <c r="I158" s="34"/>
      <c r="J158" s="44"/>
      <c r="K158" s="105"/>
      <c r="L158" s="34"/>
      <c r="M158" s="34"/>
      <c r="N158" s="34"/>
    </row>
    <row r="159" spans="1:14" ht="12.75">
      <c r="A159" s="34"/>
      <c r="B159" s="34"/>
      <c r="C159" s="34"/>
      <c r="D159" s="188"/>
      <c r="E159" s="304"/>
      <c r="F159" s="34"/>
      <c r="G159" s="34"/>
      <c r="H159" s="34"/>
      <c r="I159" s="34"/>
      <c r="J159" s="44"/>
      <c r="K159" s="105"/>
      <c r="L159" s="34"/>
      <c r="M159" s="34"/>
      <c r="N159" s="34"/>
    </row>
    <row r="160" spans="1:14" ht="12.75">
      <c r="A160" s="34"/>
      <c r="B160" s="34"/>
      <c r="C160" s="34"/>
      <c r="D160" s="188"/>
      <c r="E160" s="304"/>
      <c r="F160" s="34"/>
      <c r="G160" s="34"/>
      <c r="H160" s="34"/>
      <c r="I160" s="34"/>
      <c r="J160" s="44"/>
      <c r="K160" s="105"/>
      <c r="L160" s="34"/>
      <c r="M160" s="34"/>
      <c r="N160" s="34"/>
    </row>
    <row r="161" spans="1:14" ht="12.75">
      <c r="A161" s="34"/>
      <c r="B161" s="34"/>
      <c r="C161" s="34"/>
      <c r="D161" s="188"/>
      <c r="E161" s="304"/>
      <c r="F161" s="34"/>
      <c r="G161" s="34"/>
      <c r="H161" s="34"/>
      <c r="I161" s="34"/>
      <c r="J161" s="44"/>
      <c r="K161" s="105"/>
      <c r="L161" s="34"/>
      <c r="M161" s="34"/>
      <c r="N161" s="34"/>
    </row>
    <row r="162" spans="1:14" ht="12.75">
      <c r="A162" s="34"/>
      <c r="B162" s="34"/>
      <c r="C162" s="34"/>
      <c r="D162" s="188"/>
      <c r="E162" s="304"/>
      <c r="F162" s="34"/>
      <c r="G162" s="34"/>
      <c r="H162" s="34"/>
      <c r="I162" s="34"/>
      <c r="J162" s="44"/>
      <c r="K162" s="105"/>
      <c r="L162" s="34"/>
      <c r="M162" s="34"/>
      <c r="N162" s="34"/>
    </row>
    <row r="163" spans="1:14" ht="12.75">
      <c r="A163" s="34"/>
      <c r="B163" s="34"/>
      <c r="C163" s="34"/>
      <c r="D163" s="188"/>
      <c r="E163" s="304"/>
      <c r="F163" s="34"/>
      <c r="G163" s="34"/>
      <c r="H163" s="34"/>
      <c r="I163" s="34"/>
      <c r="J163" s="44"/>
      <c r="K163" s="105"/>
      <c r="L163" s="34"/>
      <c r="M163" s="34"/>
      <c r="N163" s="34"/>
    </row>
    <row r="164" spans="1:14" ht="12.75">
      <c r="A164" s="34"/>
      <c r="B164" s="34"/>
      <c r="C164" s="34"/>
      <c r="D164" s="188"/>
      <c r="E164" s="304"/>
      <c r="F164" s="34"/>
      <c r="G164" s="34"/>
      <c r="H164" s="34"/>
      <c r="I164" s="34"/>
      <c r="J164" s="44"/>
      <c r="K164" s="105"/>
      <c r="L164" s="34"/>
      <c r="M164" s="34"/>
      <c r="N164" s="34"/>
    </row>
    <row r="165" spans="1:14" ht="12.75">
      <c r="A165" s="34"/>
      <c r="B165" s="34"/>
      <c r="C165" s="34"/>
      <c r="D165" s="188"/>
      <c r="E165" s="304"/>
      <c r="F165" s="34"/>
      <c r="G165" s="34"/>
      <c r="H165" s="34"/>
      <c r="I165" s="34"/>
      <c r="J165" s="44"/>
      <c r="K165" s="105"/>
      <c r="L165" s="34"/>
      <c r="M165" s="34"/>
      <c r="N165" s="34"/>
    </row>
    <row r="166" spans="1:14" ht="12.75">
      <c r="A166" s="34"/>
      <c r="B166" s="34"/>
      <c r="C166" s="34"/>
      <c r="D166" s="188"/>
      <c r="E166" s="304"/>
      <c r="F166" s="34"/>
      <c r="G166" s="34"/>
      <c r="H166" s="34"/>
      <c r="I166" s="34"/>
      <c r="J166" s="44"/>
      <c r="K166" s="105"/>
      <c r="L166" s="34"/>
      <c r="M166" s="34"/>
      <c r="N166" s="34"/>
    </row>
    <row r="167" spans="1:14" ht="12.75">
      <c r="A167" s="34"/>
      <c r="B167" s="34"/>
      <c r="C167" s="34"/>
      <c r="D167" s="188"/>
      <c r="E167" s="304"/>
      <c r="F167" s="34"/>
      <c r="G167" s="34"/>
      <c r="H167" s="34"/>
      <c r="I167" s="34"/>
      <c r="J167" s="44"/>
      <c r="K167" s="105"/>
      <c r="L167" s="34"/>
      <c r="M167" s="34"/>
      <c r="N167" s="34"/>
    </row>
    <row r="168" spans="1:14" ht="12.75">
      <c r="A168" s="34"/>
      <c r="B168" s="34"/>
      <c r="C168" s="34"/>
      <c r="D168" s="188"/>
      <c r="E168" s="304"/>
      <c r="F168" s="34"/>
      <c r="G168" s="34"/>
      <c r="H168" s="34"/>
      <c r="I168" s="34"/>
      <c r="J168" s="44"/>
      <c r="K168" s="105"/>
      <c r="L168" s="34"/>
      <c r="M168" s="34"/>
      <c r="N168" s="34"/>
    </row>
    <row r="169" spans="1:14" ht="12.75">
      <c r="A169" s="34"/>
      <c r="B169" s="34"/>
      <c r="C169" s="34"/>
      <c r="D169" s="188"/>
      <c r="E169" s="304"/>
      <c r="F169" s="34"/>
      <c r="G169" s="34"/>
      <c r="H169" s="34"/>
      <c r="I169" s="34"/>
      <c r="J169" s="44"/>
      <c r="K169" s="105"/>
      <c r="L169" s="34"/>
      <c r="M169" s="34"/>
      <c r="N169" s="34"/>
    </row>
    <row r="170" spans="1:14" ht="12.75">
      <c r="A170" s="34"/>
      <c r="B170" s="34"/>
      <c r="C170" s="34"/>
      <c r="D170" s="188"/>
      <c r="E170" s="304"/>
      <c r="F170" s="34"/>
      <c r="G170" s="34"/>
      <c r="H170" s="34"/>
      <c r="I170" s="34"/>
      <c r="J170" s="44"/>
      <c r="K170" s="105"/>
      <c r="L170" s="34"/>
      <c r="M170" s="34"/>
      <c r="N170" s="34"/>
    </row>
    <row r="171" spans="1:14" ht="12.75">
      <c r="A171" s="34"/>
      <c r="B171" s="34"/>
      <c r="C171" s="34"/>
      <c r="D171" s="188"/>
      <c r="E171" s="304"/>
      <c r="F171" s="34"/>
      <c r="G171" s="34"/>
      <c r="H171" s="34"/>
      <c r="I171" s="34"/>
      <c r="J171" s="44"/>
      <c r="K171" s="105"/>
      <c r="L171" s="34"/>
      <c r="M171" s="34"/>
      <c r="N171" s="34"/>
    </row>
    <row r="172" spans="1:14" ht="12.75">
      <c r="A172" s="34"/>
      <c r="B172" s="34"/>
      <c r="C172" s="34"/>
      <c r="D172" s="188"/>
      <c r="E172" s="304"/>
      <c r="F172" s="34"/>
      <c r="G172" s="34"/>
      <c r="H172" s="34"/>
      <c r="I172" s="34"/>
      <c r="J172" s="44"/>
      <c r="K172" s="105"/>
      <c r="L172" s="34"/>
      <c r="M172" s="34"/>
      <c r="N172" s="34"/>
    </row>
    <row r="173" spans="1:14" ht="12.75">
      <c r="A173" s="34"/>
      <c r="B173" s="34"/>
      <c r="C173" s="34"/>
      <c r="D173" s="188"/>
      <c r="E173" s="304"/>
      <c r="F173" s="34"/>
      <c r="G173" s="34"/>
      <c r="H173" s="34"/>
      <c r="I173" s="34"/>
      <c r="J173" s="44"/>
      <c r="K173" s="105"/>
      <c r="L173" s="34"/>
      <c r="M173" s="34"/>
      <c r="N173" s="34"/>
    </row>
    <row r="174" spans="1:14" ht="12.75">
      <c r="A174" s="34"/>
      <c r="B174" s="34"/>
      <c r="C174" s="34"/>
      <c r="D174" s="188"/>
      <c r="E174" s="304"/>
      <c r="F174" s="34"/>
      <c r="G174" s="34"/>
      <c r="H174" s="34"/>
      <c r="I174" s="34"/>
      <c r="J174" s="44"/>
      <c r="K174" s="105"/>
      <c r="L174" s="34"/>
      <c r="M174" s="34"/>
      <c r="N174" s="34"/>
    </row>
    <row r="175" spans="1:14" ht="12.75">
      <c r="A175" s="34"/>
      <c r="B175" s="34"/>
      <c r="C175" s="34"/>
      <c r="D175" s="188"/>
      <c r="E175" s="304"/>
      <c r="F175" s="34"/>
      <c r="G175" s="34"/>
      <c r="H175" s="34"/>
      <c r="I175" s="34"/>
      <c r="J175" s="44"/>
      <c r="K175" s="105"/>
      <c r="L175" s="34"/>
      <c r="M175" s="34"/>
      <c r="N175" s="34"/>
    </row>
    <row r="176" spans="1:14" ht="12.75">
      <c r="A176" s="34"/>
      <c r="B176" s="34"/>
      <c r="C176" s="34"/>
      <c r="D176" s="188"/>
      <c r="E176" s="304"/>
      <c r="F176" s="34"/>
      <c r="G176" s="34"/>
      <c r="H176" s="34"/>
      <c r="I176" s="34"/>
      <c r="J176" s="44"/>
      <c r="K176" s="105"/>
      <c r="L176" s="34"/>
      <c r="M176" s="34"/>
      <c r="N176" s="34"/>
    </row>
    <row r="177" spans="1:14" ht="12.75">
      <c r="A177" s="34"/>
      <c r="B177" s="34"/>
      <c r="C177" s="34"/>
      <c r="D177" s="188"/>
      <c r="E177" s="304"/>
      <c r="F177" s="34"/>
      <c r="G177" s="34"/>
      <c r="H177" s="34"/>
      <c r="I177" s="34"/>
      <c r="J177" s="44"/>
      <c r="K177" s="105"/>
      <c r="L177" s="34"/>
      <c r="M177" s="34"/>
      <c r="N177" s="34"/>
    </row>
    <row r="178" spans="1:14" ht="12.75">
      <c r="A178" s="34"/>
      <c r="B178" s="34"/>
      <c r="C178" s="34"/>
      <c r="D178" s="188"/>
      <c r="E178" s="304"/>
      <c r="F178" s="34"/>
      <c r="G178" s="34"/>
      <c r="H178" s="34"/>
      <c r="I178" s="34"/>
      <c r="J178" s="44"/>
      <c r="K178" s="105"/>
      <c r="L178" s="34"/>
      <c r="M178" s="34"/>
      <c r="N178" s="34"/>
    </row>
    <row r="179" spans="1:14" ht="12.75">
      <c r="A179" s="34"/>
      <c r="B179" s="34"/>
      <c r="C179" s="34"/>
      <c r="D179" s="188"/>
      <c r="E179" s="304"/>
      <c r="F179" s="34"/>
      <c r="G179" s="34"/>
      <c r="H179" s="34"/>
      <c r="I179" s="34"/>
      <c r="J179" s="44"/>
      <c r="K179" s="105"/>
      <c r="L179" s="34"/>
      <c r="M179" s="34"/>
      <c r="N179" s="34"/>
    </row>
    <row r="180" spans="1:14" ht="12.75">
      <c r="A180" s="34"/>
      <c r="B180" s="34"/>
      <c r="C180" s="34"/>
      <c r="D180" s="188"/>
      <c r="E180" s="304"/>
      <c r="F180" s="34"/>
      <c r="G180" s="34"/>
      <c r="H180" s="34"/>
      <c r="I180" s="34"/>
      <c r="J180" s="44"/>
      <c r="K180" s="105"/>
      <c r="L180" s="34"/>
      <c r="M180" s="34"/>
      <c r="N180" s="34"/>
    </row>
    <row r="181" spans="1:14" ht="12.75">
      <c r="A181" s="34"/>
      <c r="B181" s="34"/>
      <c r="C181" s="34"/>
      <c r="D181" s="188"/>
      <c r="E181" s="304"/>
      <c r="F181" s="34"/>
      <c r="G181" s="34"/>
      <c r="H181" s="34"/>
      <c r="I181" s="34"/>
      <c r="J181" s="44"/>
      <c r="K181" s="105"/>
      <c r="L181" s="34"/>
      <c r="M181" s="34"/>
      <c r="N181" s="34"/>
    </row>
    <row r="182" spans="1:14" ht="12.75">
      <c r="A182" s="34"/>
      <c r="B182" s="34"/>
      <c r="C182" s="34"/>
      <c r="D182" s="188"/>
      <c r="E182" s="304"/>
      <c r="F182" s="34"/>
      <c r="G182" s="34"/>
      <c r="H182" s="34"/>
      <c r="I182" s="34"/>
      <c r="J182" s="44"/>
      <c r="K182" s="105"/>
      <c r="L182" s="34"/>
      <c r="M182" s="34"/>
      <c r="N182" s="34"/>
    </row>
    <row r="183" spans="1:14" ht="12.75">
      <c r="A183" s="34"/>
      <c r="B183" s="34"/>
      <c r="C183" s="34"/>
      <c r="D183" s="188"/>
      <c r="E183" s="304"/>
      <c r="F183" s="34"/>
      <c r="G183" s="34"/>
      <c r="H183" s="34"/>
      <c r="I183" s="34"/>
      <c r="J183" s="44"/>
      <c r="K183" s="105"/>
      <c r="L183" s="34"/>
      <c r="M183" s="34"/>
      <c r="N183" s="34"/>
    </row>
    <row r="184" spans="1:14" ht="12.75">
      <c r="A184" s="34"/>
      <c r="B184" s="34"/>
      <c r="C184" s="34"/>
      <c r="D184" s="188"/>
      <c r="E184" s="304"/>
      <c r="F184" s="34"/>
      <c r="G184" s="34"/>
      <c r="H184" s="34"/>
      <c r="I184" s="34"/>
      <c r="J184" s="44"/>
      <c r="K184" s="105"/>
      <c r="L184" s="34"/>
      <c r="M184" s="34"/>
      <c r="N184" s="34"/>
    </row>
    <row r="185" spans="1:14" ht="12.75">
      <c r="A185" s="34"/>
      <c r="B185" s="34"/>
      <c r="C185" s="34"/>
      <c r="D185" s="188"/>
      <c r="E185" s="304"/>
      <c r="F185" s="34"/>
      <c r="G185" s="34"/>
      <c r="H185" s="34"/>
      <c r="I185" s="34"/>
      <c r="J185" s="44"/>
      <c r="K185" s="105"/>
      <c r="L185" s="34"/>
      <c r="M185" s="34"/>
      <c r="N185" s="34"/>
    </row>
    <row r="186" spans="1:14" ht="12.75">
      <c r="A186" s="34"/>
      <c r="B186" s="34"/>
      <c r="C186" s="34"/>
      <c r="D186" s="188"/>
      <c r="E186" s="304"/>
      <c r="F186" s="34"/>
      <c r="G186" s="34"/>
      <c r="H186" s="34"/>
      <c r="I186" s="34"/>
      <c r="J186" s="44"/>
      <c r="K186" s="105"/>
      <c r="L186" s="34"/>
      <c r="M186" s="34"/>
      <c r="N186" s="34"/>
    </row>
    <row r="187" spans="1:14" ht="12.75">
      <c r="A187" s="34"/>
      <c r="B187" s="34"/>
      <c r="C187" s="34"/>
      <c r="D187" s="188"/>
      <c r="E187" s="304"/>
      <c r="F187" s="34"/>
      <c r="G187" s="34"/>
      <c r="H187" s="34"/>
      <c r="I187" s="34"/>
      <c r="J187" s="44"/>
      <c r="K187" s="105"/>
      <c r="L187" s="34"/>
      <c r="M187" s="34"/>
      <c r="N187" s="34"/>
    </row>
    <row r="188" spans="1:14" ht="12.75">
      <c r="A188" s="34"/>
      <c r="B188" s="34"/>
      <c r="C188" s="34"/>
      <c r="D188" s="188"/>
      <c r="E188" s="304"/>
      <c r="F188" s="34"/>
      <c r="G188" s="34"/>
      <c r="H188" s="34"/>
      <c r="I188" s="34"/>
      <c r="J188" s="44"/>
      <c r="K188" s="105"/>
      <c r="L188" s="34"/>
      <c r="M188" s="34"/>
      <c r="N188" s="34"/>
    </row>
    <row r="189" spans="1:14" ht="12.75">
      <c r="A189" s="34"/>
      <c r="B189" s="34"/>
      <c r="C189" s="34"/>
      <c r="D189" s="188"/>
      <c r="E189" s="304"/>
      <c r="F189" s="34"/>
      <c r="G189" s="34"/>
      <c r="H189" s="34"/>
      <c r="I189" s="34"/>
      <c r="J189" s="44"/>
      <c r="K189" s="105"/>
      <c r="L189" s="34"/>
      <c r="M189" s="34"/>
      <c r="N189" s="34"/>
    </row>
    <row r="190" spans="1:14" ht="12.75">
      <c r="A190" s="34"/>
      <c r="B190" s="34"/>
      <c r="C190" s="34"/>
      <c r="D190" s="188"/>
      <c r="E190" s="304"/>
      <c r="F190" s="34"/>
      <c r="G190" s="34"/>
      <c r="H190" s="34"/>
      <c r="I190" s="34"/>
      <c r="J190" s="44"/>
      <c r="K190" s="105"/>
      <c r="L190" s="34"/>
      <c r="M190" s="34"/>
      <c r="N190" s="34"/>
    </row>
    <row r="191" spans="1:14" ht="12.75">
      <c r="A191" s="34"/>
      <c r="B191" s="34"/>
      <c r="C191" s="34"/>
      <c r="D191" s="188"/>
      <c r="E191" s="304"/>
      <c r="F191" s="34"/>
      <c r="G191" s="34"/>
      <c r="H191" s="34"/>
      <c r="I191" s="34"/>
      <c r="J191" s="44"/>
      <c r="K191" s="105"/>
      <c r="L191" s="34"/>
      <c r="M191" s="34"/>
      <c r="N191" s="34"/>
    </row>
    <row r="192" spans="1:14" ht="12.75">
      <c r="A192" s="34"/>
      <c r="B192" s="34"/>
      <c r="C192" s="34"/>
      <c r="D192" s="188"/>
      <c r="E192" s="304"/>
      <c r="F192" s="34"/>
      <c r="G192" s="34"/>
      <c r="H192" s="34"/>
      <c r="I192" s="34"/>
      <c r="J192" s="44"/>
      <c r="K192" s="105"/>
      <c r="L192" s="34"/>
      <c r="M192" s="34"/>
      <c r="N192" s="34"/>
    </row>
    <row r="193" spans="1:14" ht="12.75">
      <c r="A193" s="34"/>
      <c r="B193" s="34"/>
      <c r="C193" s="34"/>
      <c r="D193" s="188"/>
      <c r="E193" s="304"/>
      <c r="F193" s="34"/>
      <c r="G193" s="34"/>
      <c r="H193" s="34"/>
      <c r="I193" s="34"/>
      <c r="J193" s="44"/>
      <c r="K193" s="105"/>
      <c r="L193" s="34"/>
      <c r="M193" s="34"/>
      <c r="N193" s="34"/>
    </row>
    <row r="194" spans="1:14" ht="12.75">
      <c r="A194" s="34"/>
      <c r="B194" s="34"/>
      <c r="C194" s="34"/>
      <c r="D194" s="188"/>
      <c r="E194" s="304"/>
      <c r="F194" s="34"/>
      <c r="G194" s="34"/>
      <c r="H194" s="34"/>
      <c r="I194" s="34"/>
      <c r="J194" s="44"/>
      <c r="K194" s="105"/>
      <c r="L194" s="34"/>
      <c r="M194" s="34"/>
      <c r="N194" s="34"/>
    </row>
    <row r="195" spans="1:14" ht="12.75">
      <c r="A195" s="34"/>
      <c r="B195" s="34"/>
      <c r="C195" s="34"/>
      <c r="D195" s="188"/>
      <c r="E195" s="304"/>
      <c r="F195" s="34"/>
      <c r="G195" s="34"/>
      <c r="H195" s="34"/>
      <c r="I195" s="34"/>
      <c r="J195" s="44"/>
      <c r="K195" s="105"/>
      <c r="L195" s="34"/>
      <c r="M195" s="34"/>
      <c r="N195" s="34"/>
    </row>
    <row r="196" spans="1:14" ht="12.75">
      <c r="A196" s="34"/>
      <c r="B196" s="34"/>
      <c r="C196" s="34"/>
      <c r="D196" s="188"/>
      <c r="E196" s="304"/>
      <c r="F196" s="34"/>
      <c r="G196" s="34"/>
      <c r="H196" s="34"/>
      <c r="I196" s="34"/>
      <c r="J196" s="44"/>
      <c r="K196" s="105"/>
      <c r="L196" s="34"/>
      <c r="M196" s="34"/>
      <c r="N196" s="34"/>
    </row>
    <row r="197" spans="1:14" ht="12.75">
      <c r="A197" s="34"/>
      <c r="B197" s="34"/>
      <c r="C197" s="34"/>
      <c r="D197" s="188"/>
      <c r="E197" s="304"/>
      <c r="F197" s="34"/>
      <c r="G197" s="34"/>
      <c r="H197" s="34"/>
      <c r="I197" s="34"/>
      <c r="J197" s="44"/>
      <c r="K197" s="105"/>
      <c r="L197" s="34"/>
      <c r="M197" s="34"/>
      <c r="N197" s="34"/>
    </row>
    <row r="198" spans="1:14" ht="12.75">
      <c r="A198" s="34"/>
      <c r="B198" s="34"/>
      <c r="C198" s="34"/>
      <c r="D198" s="188"/>
      <c r="E198" s="304"/>
      <c r="F198" s="34"/>
      <c r="G198" s="34"/>
      <c r="H198" s="34"/>
      <c r="I198" s="34"/>
      <c r="J198" s="44"/>
      <c r="K198" s="105"/>
      <c r="L198" s="34"/>
      <c r="M198" s="34"/>
      <c r="N198" s="34"/>
    </row>
    <row r="199" spans="1:14" ht="12.75">
      <c r="A199" s="34"/>
      <c r="B199" s="34"/>
      <c r="C199" s="34"/>
      <c r="D199" s="188"/>
      <c r="E199" s="304"/>
      <c r="F199" s="34"/>
      <c r="G199" s="34"/>
      <c r="H199" s="34"/>
      <c r="I199" s="34"/>
      <c r="J199" s="44"/>
      <c r="K199" s="105"/>
      <c r="L199" s="34"/>
      <c r="M199" s="34"/>
      <c r="N199" s="34"/>
    </row>
    <row r="200" spans="1:14" ht="12.75">
      <c r="A200" s="34"/>
      <c r="B200" s="34"/>
      <c r="C200" s="34"/>
      <c r="D200" s="188"/>
      <c r="E200" s="304"/>
      <c r="F200" s="34"/>
      <c r="G200" s="34"/>
      <c r="H200" s="34"/>
      <c r="I200" s="34"/>
      <c r="J200" s="44"/>
      <c r="K200" s="105"/>
      <c r="L200" s="34"/>
      <c r="M200" s="34"/>
      <c r="N200" s="34"/>
    </row>
    <row r="201" spans="1:14" ht="12.75">
      <c r="A201" s="34"/>
      <c r="B201" s="34"/>
      <c r="C201" s="34"/>
      <c r="D201" s="188"/>
      <c r="E201" s="304"/>
      <c r="F201" s="34"/>
      <c r="G201" s="34"/>
      <c r="H201" s="34"/>
      <c r="I201" s="34"/>
      <c r="J201" s="44"/>
      <c r="K201" s="105"/>
      <c r="L201" s="34"/>
      <c r="M201" s="34"/>
      <c r="N201" s="34"/>
    </row>
    <row r="202" spans="1:14" ht="12.75">
      <c r="A202" s="34"/>
      <c r="B202" s="34"/>
      <c r="C202" s="34"/>
      <c r="D202" s="188"/>
      <c r="E202" s="304"/>
      <c r="F202" s="34"/>
      <c r="G202" s="34"/>
      <c r="H202" s="34"/>
      <c r="I202" s="34"/>
      <c r="J202" s="44"/>
      <c r="K202" s="105"/>
      <c r="L202" s="34"/>
      <c r="M202" s="34"/>
      <c r="N202" s="34"/>
    </row>
    <row r="203" spans="1:14" ht="12.75">
      <c r="A203" s="34"/>
      <c r="B203" s="34"/>
      <c r="C203" s="34"/>
      <c r="D203" s="188"/>
      <c r="E203" s="304"/>
      <c r="F203" s="34"/>
      <c r="G203" s="34"/>
      <c r="H203" s="34"/>
      <c r="I203" s="34"/>
      <c r="J203" s="44"/>
      <c r="K203" s="105"/>
      <c r="L203" s="34"/>
      <c r="M203" s="34"/>
      <c r="N203" s="34"/>
    </row>
    <row r="204" spans="1:14" ht="12.75">
      <c r="A204" s="34"/>
      <c r="B204" s="34"/>
      <c r="C204" s="34"/>
      <c r="D204" s="188"/>
      <c r="E204" s="304"/>
      <c r="F204" s="34"/>
      <c r="G204" s="34"/>
      <c r="H204" s="34"/>
      <c r="I204" s="34"/>
      <c r="J204" s="44"/>
      <c r="K204" s="105"/>
      <c r="L204" s="34"/>
      <c r="M204" s="34"/>
      <c r="N204" s="34"/>
    </row>
    <row r="205" spans="1:14" ht="12.75">
      <c r="A205" s="34"/>
      <c r="B205" s="34"/>
      <c r="C205" s="34"/>
      <c r="D205" s="188"/>
      <c r="E205" s="304"/>
      <c r="F205" s="34"/>
      <c r="G205" s="34"/>
      <c r="H205" s="34"/>
      <c r="I205" s="34"/>
      <c r="J205" s="44"/>
      <c r="K205" s="105"/>
      <c r="L205" s="34"/>
      <c r="M205" s="34"/>
      <c r="N205" s="34"/>
    </row>
    <row r="206" spans="1:14" ht="12.75">
      <c r="A206" s="34"/>
      <c r="B206" s="34"/>
      <c r="C206" s="34"/>
      <c r="D206" s="188"/>
      <c r="E206" s="304"/>
      <c r="F206" s="34"/>
      <c r="G206" s="34"/>
      <c r="H206" s="34"/>
      <c r="I206" s="34"/>
      <c r="J206" s="44"/>
      <c r="K206" s="105"/>
      <c r="L206" s="34"/>
      <c r="M206" s="34"/>
      <c r="N206" s="34"/>
    </row>
    <row r="207" spans="1:14" ht="12.75">
      <c r="A207" s="34"/>
      <c r="B207" s="34"/>
      <c r="C207" s="34"/>
      <c r="D207" s="188"/>
      <c r="E207" s="304"/>
      <c r="F207" s="34"/>
      <c r="G207" s="34"/>
      <c r="H207" s="34"/>
      <c r="I207" s="34"/>
      <c r="J207" s="44"/>
      <c r="K207" s="105"/>
      <c r="L207" s="34"/>
      <c r="M207" s="34"/>
      <c r="N207" s="34"/>
    </row>
    <row r="208" spans="1:14" ht="12.75">
      <c r="A208" s="34"/>
      <c r="B208" s="34"/>
      <c r="C208" s="34"/>
      <c r="D208" s="188"/>
      <c r="E208" s="304"/>
      <c r="F208" s="34"/>
      <c r="G208" s="34"/>
      <c r="H208" s="34"/>
      <c r="I208" s="34"/>
      <c r="J208" s="44"/>
      <c r="K208" s="105"/>
      <c r="L208" s="34"/>
      <c r="M208" s="34"/>
      <c r="N208" s="34"/>
    </row>
    <row r="209" spans="1:14" ht="12.75">
      <c r="A209" s="34"/>
      <c r="B209" s="34"/>
      <c r="C209" s="34"/>
      <c r="D209" s="188"/>
      <c r="E209" s="304"/>
      <c r="F209" s="34"/>
      <c r="G209" s="34"/>
      <c r="H209" s="34"/>
      <c r="I209" s="34"/>
      <c r="J209" s="44"/>
      <c r="K209" s="105"/>
      <c r="L209" s="34"/>
      <c r="M209" s="34"/>
      <c r="N209" s="34"/>
    </row>
    <row r="210" spans="1:14" ht="12.75">
      <c r="A210" s="34"/>
      <c r="B210" s="34"/>
      <c r="C210" s="34"/>
      <c r="D210" s="188"/>
      <c r="E210" s="304"/>
      <c r="F210" s="34"/>
      <c r="G210" s="34"/>
      <c r="H210" s="34"/>
      <c r="I210" s="34"/>
      <c r="J210" s="44"/>
      <c r="K210" s="105"/>
      <c r="L210" s="34"/>
      <c r="M210" s="34"/>
      <c r="N210" s="34"/>
    </row>
    <row r="211" spans="1:14" ht="12.75">
      <c r="A211" s="34"/>
      <c r="B211" s="34"/>
      <c r="C211" s="34"/>
      <c r="D211" s="188"/>
      <c r="E211" s="304"/>
      <c r="F211" s="34"/>
      <c r="G211" s="34"/>
      <c r="H211" s="34"/>
      <c r="I211" s="34"/>
      <c r="J211" s="44"/>
      <c r="K211" s="105"/>
      <c r="L211" s="34"/>
      <c r="M211" s="34"/>
      <c r="N211" s="34"/>
    </row>
    <row r="212" spans="1:14" ht="12.75">
      <c r="A212" s="34"/>
      <c r="B212" s="34"/>
      <c r="C212" s="34"/>
      <c r="D212" s="188"/>
      <c r="E212" s="304"/>
      <c r="F212" s="34"/>
      <c r="G212" s="34"/>
      <c r="H212" s="34"/>
      <c r="I212" s="34"/>
      <c r="J212" s="44"/>
      <c r="K212" s="105"/>
      <c r="L212" s="34"/>
      <c r="M212" s="34"/>
      <c r="N212" s="34"/>
    </row>
    <row r="213" spans="1:14" ht="12.75">
      <c r="A213" s="34"/>
      <c r="B213" s="34"/>
      <c r="C213" s="34"/>
      <c r="D213" s="188"/>
      <c r="E213" s="304"/>
      <c r="F213" s="34"/>
      <c r="G213" s="34"/>
      <c r="H213" s="34"/>
      <c r="I213" s="34"/>
      <c r="J213" s="44"/>
      <c r="K213" s="105"/>
      <c r="L213" s="34"/>
      <c r="M213" s="34"/>
      <c r="N213" s="34"/>
    </row>
    <row r="214" spans="1:14" ht="12.75">
      <c r="A214" s="34"/>
      <c r="B214" s="34"/>
      <c r="C214" s="34"/>
      <c r="D214" s="188"/>
      <c r="E214" s="304"/>
      <c r="F214" s="34"/>
      <c r="G214" s="34"/>
      <c r="H214" s="34"/>
      <c r="I214" s="34"/>
      <c r="J214" s="44"/>
      <c r="K214" s="105"/>
      <c r="L214" s="34"/>
      <c r="M214" s="34"/>
      <c r="N214" s="34"/>
    </row>
    <row r="215" spans="1:14" ht="12.75">
      <c r="A215" s="34"/>
      <c r="B215" s="34"/>
      <c r="C215" s="34"/>
      <c r="D215" s="188"/>
      <c r="E215" s="304"/>
      <c r="F215" s="34"/>
      <c r="G215" s="34"/>
      <c r="H215" s="34"/>
      <c r="I215" s="34"/>
      <c r="J215" s="44"/>
      <c r="K215" s="105"/>
      <c r="L215" s="34"/>
      <c r="M215" s="34"/>
      <c r="N215" s="34"/>
    </row>
    <row r="216" spans="1:14" ht="12.75">
      <c r="A216" s="34"/>
      <c r="B216" s="34"/>
      <c r="C216" s="34"/>
      <c r="D216" s="188"/>
      <c r="E216" s="304"/>
      <c r="F216" s="34"/>
      <c r="G216" s="34"/>
      <c r="H216" s="34"/>
      <c r="I216" s="34"/>
      <c r="J216" s="44"/>
      <c r="K216" s="105"/>
      <c r="L216" s="34"/>
      <c r="M216" s="34"/>
      <c r="N216" s="34"/>
    </row>
    <row r="217" spans="1:14" ht="12.75">
      <c r="A217" s="34"/>
      <c r="B217" s="34"/>
      <c r="C217" s="34"/>
      <c r="D217" s="188"/>
      <c r="E217" s="304"/>
      <c r="F217" s="34"/>
      <c r="G217" s="34"/>
      <c r="H217" s="34"/>
      <c r="I217" s="34"/>
      <c r="J217" s="44"/>
      <c r="K217" s="105"/>
      <c r="L217" s="34"/>
      <c r="M217" s="34"/>
      <c r="N217" s="34"/>
    </row>
    <row r="218" spans="1:14" ht="12.75">
      <c r="A218" s="34"/>
      <c r="B218" s="34"/>
      <c r="C218" s="34"/>
      <c r="D218" s="188"/>
      <c r="E218" s="304"/>
      <c r="F218" s="34"/>
      <c r="G218" s="34"/>
      <c r="H218" s="34"/>
      <c r="I218" s="34"/>
      <c r="J218" s="44"/>
      <c r="K218" s="105"/>
      <c r="L218" s="34"/>
      <c r="M218" s="34"/>
      <c r="N218" s="34"/>
    </row>
    <row r="219" spans="1:14" ht="12.75">
      <c r="A219" s="34"/>
      <c r="B219" s="34"/>
      <c r="C219" s="34"/>
      <c r="D219" s="188"/>
      <c r="E219" s="304"/>
      <c r="F219" s="34"/>
      <c r="G219" s="34"/>
      <c r="H219" s="34"/>
      <c r="I219" s="34"/>
      <c r="J219" s="44"/>
      <c r="K219" s="105"/>
      <c r="L219" s="34"/>
      <c r="M219" s="34"/>
      <c r="N219" s="34"/>
    </row>
    <row r="220" spans="1:14" ht="12.75">
      <c r="A220" s="34"/>
      <c r="B220" s="34"/>
      <c r="C220" s="34"/>
      <c r="D220" s="188"/>
      <c r="E220" s="304"/>
      <c r="F220" s="34"/>
      <c r="G220" s="34"/>
      <c r="H220" s="34"/>
      <c r="I220" s="34"/>
      <c r="J220" s="44"/>
      <c r="K220" s="105"/>
      <c r="L220" s="34"/>
      <c r="M220" s="34"/>
      <c r="N220" s="34"/>
    </row>
    <row r="221" spans="1:14" ht="12.75">
      <c r="A221" s="34"/>
      <c r="B221" s="34"/>
      <c r="C221" s="34"/>
      <c r="D221" s="188"/>
      <c r="E221" s="304"/>
      <c r="F221" s="34"/>
      <c r="G221" s="34"/>
      <c r="H221" s="34"/>
      <c r="I221" s="34"/>
      <c r="J221" s="44"/>
      <c r="K221" s="105"/>
      <c r="L221" s="34"/>
      <c r="M221" s="34"/>
      <c r="N221" s="34"/>
    </row>
    <row r="222" spans="1:14" ht="12.75">
      <c r="A222" s="34"/>
      <c r="B222" s="34"/>
      <c r="C222" s="34"/>
      <c r="D222" s="188"/>
      <c r="E222" s="304"/>
      <c r="F222" s="34"/>
      <c r="G222" s="34"/>
      <c r="H222" s="34"/>
      <c r="I222" s="34"/>
      <c r="J222" s="44"/>
      <c r="K222" s="105"/>
      <c r="L222" s="34"/>
      <c r="M222" s="34"/>
      <c r="N222" s="34"/>
    </row>
    <row r="223" spans="1:14" ht="12.75">
      <c r="A223" s="34"/>
      <c r="B223" s="34"/>
      <c r="C223" s="34"/>
      <c r="D223" s="188"/>
      <c r="E223" s="304"/>
      <c r="F223" s="34"/>
      <c r="G223" s="34"/>
      <c r="H223" s="34"/>
      <c r="I223" s="34"/>
      <c r="J223" s="44"/>
      <c r="K223" s="105"/>
      <c r="L223" s="34"/>
      <c r="M223" s="34"/>
      <c r="N223" s="34"/>
    </row>
    <row r="224" spans="1:14" ht="12.75">
      <c r="A224" s="34"/>
      <c r="B224" s="34"/>
      <c r="C224" s="34"/>
      <c r="D224" s="188"/>
      <c r="E224" s="304"/>
      <c r="F224" s="34"/>
      <c r="G224" s="34"/>
      <c r="H224" s="34"/>
      <c r="I224" s="34"/>
      <c r="J224" s="44"/>
      <c r="K224" s="105"/>
      <c r="L224" s="34"/>
      <c r="M224" s="34"/>
      <c r="N224" s="34"/>
    </row>
    <row r="225" spans="1:14" ht="12.75">
      <c r="A225" s="34"/>
      <c r="B225" s="34"/>
      <c r="C225" s="34"/>
      <c r="D225" s="188"/>
      <c r="E225" s="304"/>
      <c r="F225" s="34"/>
      <c r="G225" s="34"/>
      <c r="H225" s="34"/>
      <c r="I225" s="34"/>
      <c r="J225" s="44"/>
      <c r="K225" s="105"/>
      <c r="L225" s="34"/>
      <c r="M225" s="34"/>
      <c r="N225" s="34"/>
    </row>
    <row r="226" spans="1:14" ht="12.75">
      <c r="A226" s="34"/>
      <c r="B226" s="34"/>
      <c r="C226" s="34"/>
      <c r="D226" s="188"/>
      <c r="E226" s="304"/>
      <c r="F226" s="34"/>
      <c r="G226" s="34"/>
      <c r="H226" s="34"/>
      <c r="I226" s="34"/>
      <c r="J226" s="44"/>
      <c r="K226" s="105"/>
      <c r="L226" s="34"/>
      <c r="M226" s="34"/>
      <c r="N226" s="34"/>
    </row>
    <row r="227" spans="1:14" ht="12.75">
      <c r="A227" s="34"/>
      <c r="B227" s="34"/>
      <c r="C227" s="34"/>
      <c r="D227" s="188"/>
      <c r="E227" s="304"/>
      <c r="F227" s="34"/>
      <c r="G227" s="34"/>
      <c r="H227" s="34"/>
      <c r="I227" s="34"/>
      <c r="J227" s="44"/>
      <c r="K227" s="105"/>
      <c r="L227" s="34"/>
      <c r="M227" s="34"/>
      <c r="N227" s="34"/>
    </row>
    <row r="228" spans="1:14" ht="12.75">
      <c r="A228" s="34"/>
      <c r="B228" s="34"/>
      <c r="C228" s="34"/>
      <c r="D228" s="188"/>
      <c r="E228" s="304"/>
      <c r="F228" s="34"/>
      <c r="G228" s="34"/>
      <c r="H228" s="34"/>
      <c r="I228" s="34"/>
      <c r="J228" s="44"/>
      <c r="K228" s="105"/>
      <c r="L228" s="34"/>
      <c r="M228" s="34"/>
      <c r="N228" s="34"/>
    </row>
    <row r="229" spans="1:14" ht="12.75">
      <c r="A229" s="34"/>
      <c r="B229" s="34"/>
      <c r="C229" s="34"/>
      <c r="D229" s="188"/>
      <c r="E229" s="304"/>
      <c r="F229" s="34"/>
      <c r="G229" s="34"/>
      <c r="H229" s="34"/>
      <c r="I229" s="34"/>
      <c r="J229" s="44"/>
      <c r="K229" s="105"/>
      <c r="L229" s="34"/>
      <c r="M229" s="34"/>
      <c r="N229" s="34"/>
    </row>
    <row r="230" spans="1:14" ht="12.75">
      <c r="A230" s="34"/>
      <c r="B230" s="34"/>
      <c r="C230" s="34"/>
      <c r="D230" s="188"/>
      <c r="E230" s="304"/>
      <c r="F230" s="34"/>
      <c r="G230" s="34"/>
      <c r="H230" s="34"/>
      <c r="I230" s="34"/>
      <c r="J230" s="44"/>
      <c r="K230" s="105"/>
      <c r="L230" s="34"/>
      <c r="M230" s="34"/>
      <c r="N230" s="34"/>
    </row>
    <row r="231" spans="1:14" ht="12.75">
      <c r="A231" s="34"/>
      <c r="B231" s="34"/>
      <c r="C231" s="34"/>
      <c r="D231" s="188"/>
      <c r="E231" s="304"/>
      <c r="F231" s="34"/>
      <c r="G231" s="34"/>
      <c r="H231" s="34"/>
      <c r="I231" s="34"/>
      <c r="J231" s="44"/>
      <c r="K231" s="105"/>
      <c r="L231" s="34"/>
      <c r="M231" s="34"/>
      <c r="N231" s="34"/>
    </row>
    <row r="232" spans="1:14" ht="12.75">
      <c r="A232" s="34"/>
      <c r="B232" s="34"/>
      <c r="C232" s="34"/>
      <c r="D232" s="188"/>
      <c r="E232" s="304"/>
      <c r="F232" s="34"/>
      <c r="G232" s="34"/>
      <c r="H232" s="34"/>
      <c r="I232" s="34"/>
      <c r="J232" s="44"/>
      <c r="K232" s="105"/>
      <c r="L232" s="34"/>
      <c r="M232" s="34"/>
      <c r="N232" s="34"/>
    </row>
    <row r="233" spans="1:14" ht="12.75">
      <c r="A233" s="34"/>
      <c r="B233" s="34"/>
      <c r="C233" s="34"/>
      <c r="D233" s="188"/>
      <c r="E233" s="304"/>
      <c r="F233" s="34"/>
      <c r="G233" s="34"/>
      <c r="H233" s="34"/>
      <c r="I233" s="34"/>
      <c r="J233" s="44"/>
      <c r="K233" s="105"/>
      <c r="L233" s="34"/>
      <c r="M233" s="34"/>
      <c r="N233" s="34"/>
    </row>
    <row r="234" spans="1:14" ht="12.75">
      <c r="A234" s="34"/>
      <c r="B234" s="34"/>
      <c r="C234" s="34"/>
      <c r="D234" s="188"/>
      <c r="E234" s="304"/>
      <c r="F234" s="34"/>
      <c r="G234" s="34"/>
      <c r="H234" s="34"/>
      <c r="I234" s="34"/>
      <c r="J234" s="44"/>
      <c r="K234" s="105"/>
      <c r="L234" s="34"/>
      <c r="M234" s="34"/>
      <c r="N234" s="34"/>
    </row>
    <row r="235" spans="1:14" ht="12.75">
      <c r="A235" s="34"/>
      <c r="B235" s="34"/>
      <c r="C235" s="34"/>
      <c r="D235" s="188"/>
      <c r="E235" s="304"/>
      <c r="F235" s="34"/>
      <c r="G235" s="34"/>
      <c r="H235" s="34"/>
      <c r="I235" s="34"/>
      <c r="J235" s="44"/>
      <c r="K235" s="105"/>
      <c r="L235" s="34"/>
      <c r="M235" s="34"/>
      <c r="N235" s="34"/>
    </row>
    <row r="236" spans="1:14" ht="12.75">
      <c r="A236" s="34"/>
      <c r="B236" s="34"/>
      <c r="C236" s="34"/>
      <c r="D236" s="188"/>
      <c r="E236" s="304"/>
      <c r="F236" s="34"/>
      <c r="G236" s="34"/>
      <c r="H236" s="34"/>
      <c r="I236" s="34"/>
      <c r="J236" s="44"/>
      <c r="K236" s="105"/>
      <c r="L236" s="34"/>
      <c r="M236" s="34"/>
      <c r="N236" s="34"/>
    </row>
    <row r="237" spans="1:14" ht="12.75">
      <c r="A237" s="34"/>
      <c r="B237" s="34"/>
      <c r="C237" s="34"/>
      <c r="D237" s="188"/>
      <c r="E237" s="304"/>
      <c r="F237" s="34"/>
      <c r="G237" s="34"/>
      <c r="H237" s="34"/>
      <c r="I237" s="34"/>
      <c r="J237" s="44"/>
      <c r="K237" s="105"/>
      <c r="L237" s="34"/>
      <c r="M237" s="34"/>
      <c r="N237" s="34"/>
    </row>
    <row r="238" spans="1:14" ht="12.75">
      <c r="A238" s="34"/>
      <c r="B238" s="34"/>
      <c r="C238" s="34"/>
      <c r="D238" s="188"/>
      <c r="E238" s="304"/>
      <c r="F238" s="34"/>
      <c r="G238" s="34"/>
      <c r="H238" s="34"/>
      <c r="I238" s="34"/>
      <c r="J238" s="44"/>
      <c r="K238" s="105"/>
      <c r="L238" s="34"/>
      <c r="M238" s="34"/>
      <c r="N238" s="34"/>
    </row>
    <row r="239" spans="1:14" ht="12.75">
      <c r="A239" s="34"/>
      <c r="B239" s="34"/>
      <c r="C239" s="34"/>
      <c r="D239" s="188"/>
      <c r="E239" s="304"/>
      <c r="F239" s="34"/>
      <c r="G239" s="34"/>
      <c r="H239" s="34"/>
      <c r="I239" s="34"/>
      <c r="J239" s="44"/>
      <c r="K239" s="105"/>
      <c r="L239" s="34"/>
      <c r="M239" s="34"/>
      <c r="N239" s="34"/>
    </row>
    <row r="240" spans="1:14" ht="12.75">
      <c r="A240" s="34"/>
      <c r="B240" s="34"/>
      <c r="C240" s="34"/>
      <c r="D240" s="188"/>
      <c r="E240" s="304"/>
      <c r="F240" s="34"/>
      <c r="G240" s="34"/>
      <c r="H240" s="34"/>
      <c r="I240" s="34"/>
      <c r="J240" s="44"/>
      <c r="K240" s="105"/>
      <c r="L240" s="34"/>
      <c r="M240" s="34"/>
      <c r="N240" s="34"/>
    </row>
    <row r="241" spans="1:14" ht="12.75">
      <c r="A241" s="34"/>
      <c r="B241" s="34"/>
      <c r="C241" s="34"/>
      <c r="D241" s="188"/>
      <c r="E241" s="304"/>
      <c r="F241" s="34"/>
      <c r="G241" s="34"/>
      <c r="H241" s="34"/>
      <c r="I241" s="34"/>
      <c r="J241" s="44"/>
      <c r="K241" s="105"/>
      <c r="L241" s="34"/>
      <c r="M241" s="34"/>
      <c r="N241" s="34"/>
    </row>
    <row r="242" spans="1:14" ht="12.75">
      <c r="A242" s="34"/>
      <c r="B242" s="34"/>
      <c r="C242" s="34"/>
      <c r="D242" s="188"/>
      <c r="E242" s="304"/>
      <c r="F242" s="34"/>
      <c r="G242" s="34"/>
      <c r="H242" s="34"/>
      <c r="I242" s="34"/>
      <c r="J242" s="44"/>
      <c r="K242" s="105"/>
      <c r="L242" s="34"/>
      <c r="M242" s="34"/>
      <c r="N242" s="34"/>
    </row>
    <row r="243" spans="1:14" ht="12.75">
      <c r="A243" s="34"/>
      <c r="B243" s="34"/>
      <c r="C243" s="34"/>
      <c r="D243" s="188"/>
      <c r="E243" s="304"/>
      <c r="F243" s="34"/>
      <c r="G243" s="34"/>
      <c r="H243" s="34"/>
      <c r="I243" s="34"/>
      <c r="J243" s="44"/>
      <c r="K243" s="105"/>
      <c r="L243" s="34"/>
      <c r="M243" s="34"/>
      <c r="N243" s="34"/>
    </row>
    <row r="244" spans="1:14" ht="12.75">
      <c r="A244" s="34"/>
      <c r="B244" s="34"/>
      <c r="C244" s="34"/>
      <c r="D244" s="188"/>
      <c r="E244" s="304"/>
      <c r="F244" s="34"/>
      <c r="G244" s="34"/>
      <c r="H244" s="34"/>
      <c r="I244" s="34"/>
      <c r="J244" s="44"/>
      <c r="K244" s="105"/>
      <c r="L244" s="34"/>
      <c r="M244" s="34"/>
      <c r="N244" s="34"/>
    </row>
    <row r="245" spans="1:14" ht="12.75">
      <c r="A245" s="34"/>
      <c r="B245" s="34"/>
      <c r="C245" s="34"/>
      <c r="D245" s="188"/>
      <c r="E245" s="304"/>
      <c r="F245" s="34"/>
      <c r="G245" s="34"/>
      <c r="H245" s="34"/>
      <c r="I245" s="34"/>
      <c r="J245" s="44"/>
      <c r="K245" s="105"/>
      <c r="L245" s="34"/>
      <c r="M245" s="34"/>
      <c r="N245" s="34"/>
    </row>
    <row r="246" spans="1:14" ht="12.75">
      <c r="A246" s="34"/>
      <c r="B246" s="34"/>
      <c r="C246" s="34"/>
      <c r="D246" s="188"/>
      <c r="E246" s="304"/>
      <c r="F246" s="34"/>
      <c r="G246" s="34"/>
      <c r="H246" s="34"/>
      <c r="I246" s="34"/>
      <c r="J246" s="44"/>
      <c r="K246" s="105"/>
      <c r="L246" s="34"/>
      <c r="M246" s="34"/>
      <c r="N246" s="34"/>
    </row>
    <row r="247" spans="1:14" ht="12.75">
      <c r="A247" s="34"/>
      <c r="B247" s="34"/>
      <c r="C247" s="34"/>
      <c r="D247" s="188"/>
      <c r="E247" s="304"/>
      <c r="F247" s="34"/>
      <c r="G247" s="34"/>
      <c r="H247" s="34"/>
      <c r="I247" s="34"/>
      <c r="J247" s="44"/>
      <c r="K247" s="105"/>
      <c r="L247" s="34"/>
      <c r="M247" s="34"/>
      <c r="N247" s="34"/>
    </row>
    <row r="248" spans="1:14" ht="12.75">
      <c r="A248" s="34"/>
      <c r="B248" s="34"/>
      <c r="C248" s="34"/>
      <c r="D248" s="188"/>
      <c r="E248" s="304"/>
      <c r="F248" s="34"/>
      <c r="G248" s="34"/>
      <c r="H248" s="34"/>
      <c r="I248" s="34"/>
      <c r="J248" s="44"/>
      <c r="K248" s="105"/>
      <c r="L248" s="34"/>
      <c r="M248" s="34"/>
      <c r="N248" s="34"/>
    </row>
    <row r="249" spans="1:14" ht="12.75">
      <c r="A249" s="34"/>
      <c r="B249" s="34"/>
      <c r="C249" s="34"/>
      <c r="D249" s="188"/>
      <c r="E249" s="304"/>
      <c r="F249" s="34"/>
      <c r="G249" s="34"/>
      <c r="H249" s="34"/>
      <c r="I249" s="34"/>
      <c r="J249" s="44"/>
      <c r="K249" s="105"/>
      <c r="L249" s="34"/>
      <c r="M249" s="34"/>
      <c r="N249" s="34"/>
    </row>
    <row r="250" spans="1:14" ht="12.75">
      <c r="A250" s="34"/>
      <c r="B250" s="34"/>
      <c r="C250" s="34"/>
      <c r="D250" s="188"/>
      <c r="E250" s="304"/>
      <c r="F250" s="34"/>
      <c r="G250" s="34"/>
      <c r="H250" s="34"/>
      <c r="I250" s="34"/>
      <c r="J250" s="44"/>
      <c r="K250" s="105"/>
      <c r="L250" s="34"/>
      <c r="M250" s="34"/>
      <c r="N250" s="34"/>
    </row>
    <row r="251" spans="1:14" ht="12.75">
      <c r="A251" s="34"/>
      <c r="B251" s="34"/>
      <c r="C251" s="34"/>
      <c r="D251" s="188"/>
      <c r="E251" s="304"/>
      <c r="F251" s="34"/>
      <c r="G251" s="34"/>
      <c r="H251" s="34"/>
      <c r="I251" s="34"/>
      <c r="J251" s="44"/>
      <c r="K251" s="105"/>
      <c r="L251" s="34"/>
      <c r="M251" s="34"/>
      <c r="N251" s="34"/>
    </row>
    <row r="252" spans="1:14" ht="12.75">
      <c r="A252" s="34"/>
      <c r="B252" s="34"/>
      <c r="C252" s="34"/>
      <c r="D252" s="188"/>
      <c r="E252" s="304"/>
      <c r="F252" s="34"/>
      <c r="G252" s="34"/>
      <c r="H252" s="34"/>
      <c r="I252" s="34"/>
      <c r="J252" s="44"/>
      <c r="K252" s="105"/>
      <c r="L252" s="34"/>
      <c r="M252" s="34"/>
      <c r="N252" s="34"/>
    </row>
    <row r="253" spans="1:14" ht="12.75">
      <c r="A253" s="34"/>
      <c r="B253" s="34"/>
      <c r="C253" s="34"/>
      <c r="D253" s="188"/>
      <c r="E253" s="304"/>
      <c r="F253" s="34"/>
      <c r="G253" s="34"/>
      <c r="H253" s="34"/>
      <c r="I253" s="34"/>
      <c r="J253" s="44"/>
      <c r="K253" s="105"/>
      <c r="L253" s="34"/>
      <c r="M253" s="34"/>
      <c r="N253" s="34"/>
    </row>
    <row r="254" spans="1:14" ht="12.75">
      <c r="A254" s="34"/>
      <c r="B254" s="34"/>
      <c r="C254" s="34"/>
      <c r="D254" s="188"/>
      <c r="E254" s="304"/>
      <c r="F254" s="34"/>
      <c r="G254" s="34"/>
      <c r="H254" s="34"/>
      <c r="I254" s="34"/>
      <c r="J254" s="44"/>
      <c r="K254" s="105"/>
      <c r="L254" s="34"/>
      <c r="M254" s="34"/>
      <c r="N254" s="34"/>
    </row>
    <row r="255" spans="1:14" ht="12.75">
      <c r="A255" s="34"/>
      <c r="B255" s="34"/>
      <c r="C255" s="34"/>
      <c r="D255" s="188"/>
      <c r="E255" s="304"/>
      <c r="F255" s="34"/>
      <c r="G255" s="34"/>
      <c r="H255" s="34"/>
      <c r="I255" s="34"/>
      <c r="J255" s="44"/>
      <c r="K255" s="105"/>
      <c r="L255" s="34"/>
      <c r="M255" s="34"/>
      <c r="N255" s="34"/>
    </row>
    <row r="256" spans="1:14" ht="12.75">
      <c r="A256" s="34"/>
      <c r="B256" s="34"/>
      <c r="C256" s="34"/>
      <c r="D256" s="188"/>
      <c r="E256" s="304"/>
      <c r="F256" s="34"/>
      <c r="G256" s="34"/>
      <c r="H256" s="34"/>
      <c r="I256" s="34"/>
      <c r="J256" s="44"/>
      <c r="K256" s="105"/>
      <c r="L256" s="34"/>
      <c r="M256" s="34"/>
      <c r="N256" s="34"/>
    </row>
    <row r="257" spans="1:14" ht="12.75">
      <c r="A257" s="34"/>
      <c r="B257" s="34"/>
      <c r="C257" s="34"/>
      <c r="D257" s="188"/>
      <c r="E257" s="304"/>
      <c r="F257" s="34"/>
      <c r="G257" s="34"/>
      <c r="H257" s="34"/>
      <c r="I257" s="34"/>
      <c r="J257" s="44"/>
      <c r="K257" s="105"/>
      <c r="L257" s="34"/>
      <c r="M257" s="34"/>
      <c r="N257" s="34"/>
    </row>
    <row r="258" spans="1:14" ht="12.75">
      <c r="A258" s="34"/>
      <c r="B258" s="34"/>
      <c r="C258" s="34"/>
      <c r="D258" s="188"/>
      <c r="E258" s="304"/>
      <c r="F258" s="34"/>
      <c r="G258" s="34"/>
      <c r="H258" s="34"/>
      <c r="I258" s="34"/>
      <c r="J258" s="44"/>
      <c r="K258" s="105"/>
      <c r="L258" s="34"/>
      <c r="M258" s="34"/>
      <c r="N258" s="34"/>
    </row>
    <row r="259" spans="1:14" ht="12.75">
      <c r="A259" s="34"/>
      <c r="B259" s="34"/>
      <c r="C259" s="34"/>
      <c r="D259" s="188"/>
      <c r="E259" s="304"/>
      <c r="F259" s="34"/>
      <c r="G259" s="34"/>
      <c r="H259" s="34"/>
      <c r="I259" s="34"/>
      <c r="J259" s="44"/>
      <c r="K259" s="105"/>
      <c r="L259" s="34"/>
      <c r="M259" s="34"/>
      <c r="N259" s="34"/>
    </row>
    <row r="260" spans="1:14" ht="12.75">
      <c r="A260" s="34"/>
      <c r="B260" s="34"/>
      <c r="C260" s="34"/>
      <c r="D260" s="188"/>
      <c r="E260" s="304"/>
      <c r="F260" s="34"/>
      <c r="G260" s="34"/>
      <c r="H260" s="34"/>
      <c r="I260" s="34"/>
      <c r="J260" s="44"/>
      <c r="K260" s="105"/>
      <c r="L260" s="34"/>
      <c r="M260" s="34"/>
      <c r="N260" s="34"/>
    </row>
    <row r="261" spans="1:14" ht="12.75">
      <c r="A261" s="34"/>
      <c r="B261" s="34"/>
      <c r="C261" s="34"/>
      <c r="D261" s="188"/>
      <c r="E261" s="304"/>
      <c r="F261" s="34"/>
      <c r="G261" s="34"/>
      <c r="H261" s="34"/>
      <c r="I261" s="34"/>
      <c r="J261" s="44"/>
      <c r="K261" s="105"/>
      <c r="L261" s="34"/>
      <c r="M261" s="34"/>
      <c r="N261" s="34"/>
    </row>
    <row r="262" spans="1:14" ht="12.75">
      <c r="A262" s="34"/>
      <c r="B262" s="34"/>
      <c r="C262" s="34"/>
      <c r="D262" s="188"/>
      <c r="E262" s="304"/>
      <c r="F262" s="34"/>
      <c r="G262" s="34"/>
      <c r="H262" s="34"/>
      <c r="I262" s="34"/>
      <c r="J262" s="44"/>
      <c r="K262" s="105"/>
      <c r="L262" s="34"/>
      <c r="M262" s="34"/>
      <c r="N262" s="34"/>
    </row>
    <row r="263" spans="1:14" ht="12.75">
      <c r="A263" s="34"/>
      <c r="B263" s="34"/>
      <c r="C263" s="34"/>
      <c r="D263" s="188"/>
      <c r="E263" s="304"/>
      <c r="F263" s="34"/>
      <c r="G263" s="34"/>
      <c r="H263" s="34"/>
      <c r="I263" s="34"/>
      <c r="J263" s="44"/>
      <c r="K263" s="105"/>
      <c r="L263" s="34"/>
      <c r="M263" s="34"/>
      <c r="N263" s="34"/>
    </row>
    <row r="264" spans="1:14" ht="12.75">
      <c r="A264" s="34"/>
      <c r="B264" s="34"/>
      <c r="C264" s="34"/>
      <c r="D264" s="188"/>
      <c r="E264" s="304"/>
      <c r="F264" s="34"/>
      <c r="G264" s="34"/>
      <c r="H264" s="34"/>
      <c r="I264" s="34"/>
      <c r="J264" s="44"/>
      <c r="K264" s="105"/>
      <c r="L264" s="34"/>
      <c r="M264" s="34"/>
      <c r="N264" s="34"/>
    </row>
    <row r="265" spans="1:14" ht="12.75">
      <c r="A265" s="34"/>
      <c r="B265" s="34"/>
      <c r="C265" s="34"/>
      <c r="D265" s="188"/>
      <c r="E265" s="304"/>
      <c r="F265" s="34"/>
      <c r="G265" s="34"/>
      <c r="H265" s="34"/>
      <c r="I265" s="34"/>
      <c r="J265" s="44"/>
      <c r="K265" s="105"/>
      <c r="L265" s="34"/>
      <c r="M265" s="34"/>
      <c r="N265" s="34"/>
    </row>
    <row r="266" spans="1:14" ht="12.75">
      <c r="A266" s="34"/>
      <c r="B266" s="34"/>
      <c r="C266" s="34"/>
      <c r="D266" s="188"/>
      <c r="E266" s="304"/>
      <c r="F266" s="34"/>
      <c r="G266" s="34"/>
      <c r="H266" s="34"/>
      <c r="I266" s="34"/>
      <c r="J266" s="44"/>
      <c r="K266" s="105"/>
      <c r="L266" s="34"/>
      <c r="M266" s="34"/>
      <c r="N266" s="34"/>
    </row>
    <row r="267" spans="1:14" ht="12.75">
      <c r="A267" s="34"/>
      <c r="B267" s="34"/>
      <c r="C267" s="34"/>
      <c r="D267" s="188"/>
      <c r="E267" s="304"/>
      <c r="F267" s="34"/>
      <c r="G267" s="34"/>
      <c r="H267" s="34"/>
      <c r="I267" s="34"/>
      <c r="J267" s="44"/>
      <c r="K267" s="105"/>
      <c r="L267" s="34"/>
      <c r="M267" s="34"/>
      <c r="N267" s="34"/>
    </row>
    <row r="268" spans="1:14" ht="12.75">
      <c r="A268" s="34"/>
      <c r="B268" s="34"/>
      <c r="C268" s="34"/>
      <c r="D268" s="188"/>
      <c r="E268" s="304"/>
      <c r="F268" s="34"/>
      <c r="G268" s="34"/>
      <c r="H268" s="34"/>
      <c r="I268" s="34"/>
      <c r="J268" s="44"/>
      <c r="K268" s="105"/>
      <c r="L268" s="34"/>
      <c r="M268" s="34"/>
      <c r="N268" s="34"/>
    </row>
    <row r="269" spans="1:14" ht="12.75">
      <c r="A269" s="34"/>
      <c r="B269" s="34"/>
      <c r="C269" s="34"/>
      <c r="D269" s="188"/>
      <c r="E269" s="304"/>
      <c r="F269" s="34"/>
      <c r="G269" s="34"/>
      <c r="H269" s="34"/>
      <c r="I269" s="34"/>
      <c r="J269" s="44"/>
      <c r="K269" s="105"/>
      <c r="L269" s="34"/>
      <c r="M269" s="34"/>
      <c r="N269" s="34"/>
    </row>
    <row r="270" spans="1:14" ht="12.75">
      <c r="A270" s="34"/>
      <c r="B270" s="34"/>
      <c r="C270" s="34"/>
      <c r="D270" s="188"/>
      <c r="E270" s="304"/>
      <c r="F270" s="34"/>
      <c r="G270" s="34"/>
      <c r="H270" s="34"/>
      <c r="I270" s="34"/>
      <c r="J270" s="44"/>
      <c r="K270" s="105"/>
      <c r="L270" s="34"/>
      <c r="M270" s="34"/>
      <c r="N270" s="34"/>
    </row>
    <row r="271" spans="1:14" ht="12.75">
      <c r="A271" s="34"/>
      <c r="B271" s="34"/>
      <c r="C271" s="34"/>
      <c r="D271" s="188"/>
      <c r="E271" s="304"/>
      <c r="F271" s="34"/>
      <c r="G271" s="34"/>
      <c r="H271" s="34"/>
      <c r="I271" s="34"/>
      <c r="J271" s="44"/>
      <c r="K271" s="105"/>
      <c r="L271" s="34"/>
      <c r="M271" s="34"/>
      <c r="N271" s="34"/>
    </row>
    <row r="272" spans="1:14" ht="12.75">
      <c r="A272" s="34"/>
      <c r="B272" s="34"/>
      <c r="C272" s="34"/>
      <c r="D272" s="188"/>
      <c r="E272" s="304"/>
      <c r="F272" s="34"/>
      <c r="G272" s="34"/>
      <c r="H272" s="34"/>
      <c r="I272" s="34"/>
      <c r="J272" s="44"/>
      <c r="K272" s="105"/>
      <c r="L272" s="34"/>
      <c r="M272" s="34"/>
      <c r="N272" s="34"/>
    </row>
    <row r="273" spans="1:14" ht="12.75">
      <c r="A273" s="34"/>
      <c r="B273" s="34"/>
      <c r="C273" s="34"/>
      <c r="D273" s="188"/>
      <c r="E273" s="304"/>
      <c r="F273" s="34"/>
      <c r="G273" s="34"/>
      <c r="H273" s="34"/>
      <c r="I273" s="34"/>
      <c r="J273" s="44"/>
      <c r="K273" s="105"/>
      <c r="L273" s="34"/>
      <c r="M273" s="34"/>
      <c r="N273" s="34"/>
    </row>
    <row r="274" spans="1:14" ht="12.75">
      <c r="A274" s="34"/>
      <c r="B274" s="34"/>
      <c r="C274" s="34"/>
      <c r="D274" s="188"/>
      <c r="E274" s="304"/>
      <c r="F274" s="34"/>
      <c r="G274" s="34"/>
      <c r="H274" s="34"/>
      <c r="I274" s="34"/>
      <c r="J274" s="44"/>
      <c r="K274" s="105"/>
      <c r="L274" s="34"/>
      <c r="M274" s="34"/>
      <c r="N274" s="34"/>
    </row>
    <row r="275" spans="1:14" ht="12.75">
      <c r="A275" s="34"/>
      <c r="B275" s="34"/>
      <c r="C275" s="34"/>
      <c r="D275" s="188"/>
      <c r="E275" s="304"/>
      <c r="F275" s="34"/>
      <c r="G275" s="34"/>
      <c r="H275" s="34"/>
      <c r="I275" s="34"/>
      <c r="J275" s="44"/>
      <c r="K275" s="105"/>
      <c r="L275" s="34"/>
      <c r="M275" s="34"/>
      <c r="N275" s="34"/>
    </row>
    <row r="276" spans="1:14" ht="12.75">
      <c r="A276" s="34"/>
      <c r="B276" s="34"/>
      <c r="C276" s="34"/>
      <c r="D276" s="188"/>
      <c r="E276" s="304"/>
      <c r="F276" s="34"/>
      <c r="G276" s="34"/>
      <c r="H276" s="34"/>
      <c r="I276" s="34"/>
      <c r="J276" s="44"/>
      <c r="K276" s="105"/>
      <c r="L276" s="34"/>
      <c r="M276" s="34"/>
      <c r="N276" s="34"/>
    </row>
    <row r="277" spans="1:14" ht="12.75">
      <c r="A277" s="34"/>
      <c r="B277" s="34"/>
      <c r="C277" s="34"/>
      <c r="D277" s="188"/>
      <c r="E277" s="304"/>
      <c r="F277" s="34"/>
      <c r="G277" s="34"/>
      <c r="H277" s="34"/>
      <c r="I277" s="34"/>
      <c r="J277" s="44"/>
      <c r="K277" s="105"/>
      <c r="L277" s="34"/>
      <c r="M277" s="34"/>
      <c r="N277" s="34"/>
    </row>
    <row r="278" spans="1:14" ht="12.75">
      <c r="A278" s="34"/>
      <c r="B278" s="34"/>
      <c r="C278" s="34"/>
      <c r="D278" s="188"/>
      <c r="E278" s="304"/>
      <c r="F278" s="34"/>
      <c r="G278" s="34"/>
      <c r="H278" s="34"/>
      <c r="I278" s="34"/>
      <c r="J278" s="44"/>
      <c r="K278" s="105"/>
      <c r="L278" s="34"/>
      <c r="M278" s="34"/>
      <c r="N278" s="34"/>
    </row>
    <row r="279" spans="1:14" ht="12.75">
      <c r="A279" s="34"/>
      <c r="B279" s="34"/>
      <c r="C279" s="34"/>
      <c r="D279" s="188"/>
      <c r="E279" s="304"/>
      <c r="F279" s="34"/>
      <c r="G279" s="34"/>
      <c r="H279" s="34"/>
      <c r="I279" s="34"/>
      <c r="J279" s="44"/>
      <c r="K279" s="105"/>
      <c r="L279" s="34"/>
      <c r="M279" s="34"/>
      <c r="N279" s="34"/>
    </row>
    <row r="280" spans="1:14" ht="12.75">
      <c r="A280" s="34"/>
      <c r="B280" s="34"/>
      <c r="C280" s="34"/>
      <c r="D280" s="188"/>
      <c r="E280" s="304"/>
      <c r="F280" s="34"/>
      <c r="G280" s="34"/>
      <c r="H280" s="34"/>
      <c r="I280" s="34"/>
      <c r="J280" s="44"/>
      <c r="K280" s="105"/>
      <c r="L280" s="34"/>
      <c r="M280" s="34"/>
      <c r="N280" s="34"/>
    </row>
    <row r="281" spans="1:14" ht="12.75">
      <c r="A281" s="34"/>
      <c r="B281" s="34"/>
      <c r="C281" s="34"/>
      <c r="D281" s="188"/>
      <c r="E281" s="304"/>
      <c r="F281" s="34"/>
      <c r="G281" s="34"/>
      <c r="H281" s="34"/>
      <c r="I281" s="34"/>
      <c r="J281" s="44"/>
      <c r="K281" s="105"/>
      <c r="L281" s="34"/>
      <c r="M281" s="34"/>
      <c r="N281" s="34"/>
    </row>
    <row r="282" spans="1:14" ht="12.75">
      <c r="A282" s="34"/>
      <c r="B282" s="34"/>
      <c r="C282" s="34"/>
      <c r="D282" s="188"/>
      <c r="E282" s="304"/>
      <c r="F282" s="34"/>
      <c r="G282" s="34"/>
      <c r="H282" s="34"/>
      <c r="I282" s="34"/>
      <c r="J282" s="44"/>
      <c r="K282" s="105"/>
      <c r="L282" s="34"/>
      <c r="M282" s="34"/>
      <c r="N282" s="34"/>
    </row>
    <row r="283" spans="1:14" ht="12.75">
      <c r="A283" s="34"/>
      <c r="B283" s="34"/>
      <c r="C283" s="34"/>
      <c r="D283" s="188"/>
      <c r="E283" s="304"/>
      <c r="F283" s="34"/>
      <c r="G283" s="34"/>
      <c r="H283" s="34"/>
      <c r="I283" s="34"/>
      <c r="J283" s="44"/>
      <c r="K283" s="105"/>
      <c r="L283" s="34"/>
      <c r="M283" s="34"/>
      <c r="N283" s="34"/>
    </row>
    <row r="284" spans="1:14" ht="12.75">
      <c r="A284" s="34"/>
      <c r="B284" s="34"/>
      <c r="C284" s="34"/>
      <c r="D284" s="188"/>
      <c r="E284" s="304"/>
      <c r="F284" s="34"/>
      <c r="G284" s="34"/>
      <c r="H284" s="34"/>
      <c r="I284" s="34"/>
      <c r="J284" s="44"/>
      <c r="K284" s="105"/>
      <c r="L284" s="34"/>
      <c r="M284" s="34"/>
      <c r="N284" s="34"/>
    </row>
    <row r="285" spans="1:14" ht="12.75">
      <c r="A285" s="34"/>
      <c r="B285" s="34"/>
      <c r="C285" s="34"/>
      <c r="D285" s="188"/>
      <c r="E285" s="304"/>
      <c r="F285" s="34"/>
      <c r="G285" s="34"/>
      <c r="H285" s="34"/>
      <c r="I285" s="34"/>
      <c r="J285" s="44"/>
      <c r="K285" s="105"/>
      <c r="L285" s="34"/>
      <c r="M285" s="34"/>
      <c r="N285" s="34"/>
    </row>
    <row r="286" spans="1:14" ht="12.75">
      <c r="A286" s="34"/>
      <c r="B286" s="34"/>
      <c r="C286" s="34"/>
      <c r="D286" s="188"/>
      <c r="E286" s="304"/>
      <c r="F286" s="34"/>
      <c r="G286" s="34"/>
      <c r="H286" s="34"/>
      <c r="I286" s="34"/>
      <c r="J286" s="44"/>
      <c r="K286" s="105"/>
      <c r="L286" s="34"/>
      <c r="M286" s="34"/>
      <c r="N286" s="34"/>
    </row>
    <row r="287" spans="1:14" ht="12.75">
      <c r="A287" s="34"/>
      <c r="B287" s="34"/>
      <c r="C287" s="34"/>
      <c r="D287" s="188"/>
      <c r="E287" s="304"/>
      <c r="F287" s="34"/>
      <c r="G287" s="34"/>
      <c r="H287" s="34"/>
      <c r="I287" s="34"/>
      <c r="J287" s="44"/>
      <c r="K287" s="105"/>
      <c r="L287" s="34"/>
      <c r="M287" s="34"/>
      <c r="N287" s="34"/>
    </row>
    <row r="288" spans="1:14" ht="12.75">
      <c r="A288" s="34"/>
      <c r="B288" s="34"/>
      <c r="C288" s="34"/>
      <c r="D288" s="188"/>
      <c r="E288" s="304"/>
      <c r="F288" s="34"/>
      <c r="G288" s="34"/>
      <c r="H288" s="34"/>
      <c r="I288" s="34"/>
      <c r="J288" s="44"/>
      <c r="K288" s="105"/>
      <c r="L288" s="34"/>
      <c r="M288" s="34"/>
      <c r="N288" s="34"/>
    </row>
    <row r="289" spans="1:14" ht="12.75">
      <c r="A289" s="34"/>
      <c r="B289" s="34"/>
      <c r="C289" s="34"/>
      <c r="D289" s="188"/>
      <c r="E289" s="304"/>
      <c r="F289" s="34"/>
      <c r="G289" s="34"/>
      <c r="H289" s="34"/>
      <c r="I289" s="34"/>
      <c r="J289" s="44"/>
      <c r="K289" s="105"/>
      <c r="L289" s="34"/>
      <c r="M289" s="34"/>
      <c r="N289" s="34"/>
    </row>
    <row r="290" spans="1:14" ht="12.75">
      <c r="A290" s="34"/>
      <c r="B290" s="34"/>
      <c r="C290" s="34"/>
      <c r="D290" s="188"/>
      <c r="E290" s="304"/>
      <c r="F290" s="34"/>
      <c r="G290" s="34"/>
      <c r="H290" s="34"/>
      <c r="I290" s="34"/>
      <c r="J290" s="44"/>
      <c r="K290" s="105"/>
      <c r="L290" s="34"/>
      <c r="M290" s="34"/>
      <c r="N290" s="34"/>
    </row>
    <row r="291" spans="1:14" ht="12.75">
      <c r="A291" s="34"/>
      <c r="B291" s="34"/>
      <c r="C291" s="34"/>
      <c r="D291" s="188"/>
      <c r="E291" s="304"/>
      <c r="F291" s="34"/>
      <c r="G291" s="34"/>
      <c r="H291" s="34"/>
      <c r="I291" s="34"/>
      <c r="J291" s="44"/>
      <c r="K291" s="105"/>
      <c r="L291" s="34"/>
      <c r="M291" s="34"/>
      <c r="N291" s="34"/>
    </row>
    <row r="292" spans="1:14" ht="12.75">
      <c r="A292" s="34"/>
      <c r="B292" s="34"/>
      <c r="C292" s="34"/>
      <c r="D292" s="188"/>
      <c r="E292" s="304"/>
      <c r="F292" s="34"/>
      <c r="G292" s="34"/>
      <c r="H292" s="34"/>
      <c r="I292" s="34"/>
      <c r="J292" s="44"/>
      <c r="K292" s="105"/>
      <c r="L292" s="34"/>
      <c r="M292" s="34"/>
      <c r="N292" s="34"/>
    </row>
    <row r="293" spans="1:14" ht="12.75">
      <c r="A293" s="34"/>
      <c r="B293" s="34"/>
      <c r="C293" s="34"/>
      <c r="D293" s="188"/>
      <c r="E293" s="304"/>
      <c r="F293" s="34"/>
      <c r="G293" s="34"/>
      <c r="H293" s="34"/>
      <c r="I293" s="34"/>
      <c r="J293" s="44"/>
      <c r="K293" s="105"/>
      <c r="L293" s="34"/>
      <c r="M293" s="34"/>
      <c r="N293" s="34"/>
    </row>
    <row r="294" spans="1:14" ht="12.75">
      <c r="A294" s="34"/>
      <c r="B294" s="34"/>
      <c r="C294" s="34"/>
      <c r="D294" s="188"/>
      <c r="E294" s="304"/>
      <c r="F294" s="34"/>
      <c r="G294" s="34"/>
      <c r="H294" s="34"/>
      <c r="I294" s="34"/>
      <c r="J294" s="44"/>
      <c r="K294" s="105"/>
      <c r="L294" s="34"/>
      <c r="M294" s="34"/>
      <c r="N294" s="34"/>
    </row>
    <row r="295" spans="1:14" ht="12.75">
      <c r="A295" s="34"/>
      <c r="B295" s="34"/>
      <c r="C295" s="34"/>
      <c r="D295" s="188"/>
      <c r="E295" s="304"/>
      <c r="F295" s="34"/>
      <c r="G295" s="34"/>
      <c r="H295" s="34"/>
      <c r="I295" s="34"/>
      <c r="J295" s="44"/>
      <c r="K295" s="105"/>
      <c r="L295" s="34"/>
      <c r="M295" s="34"/>
      <c r="N295" s="34"/>
    </row>
    <row r="296" spans="1:14" ht="12.75">
      <c r="A296" s="34"/>
      <c r="B296" s="34"/>
      <c r="C296" s="34"/>
      <c r="D296" s="188"/>
      <c r="E296" s="304"/>
      <c r="F296" s="34"/>
      <c r="G296" s="34"/>
      <c r="H296" s="34"/>
      <c r="I296" s="34"/>
      <c r="J296" s="44"/>
      <c r="K296" s="105"/>
      <c r="L296" s="34"/>
      <c r="M296" s="34"/>
      <c r="N296" s="34"/>
    </row>
    <row r="297" spans="1:14" ht="12.75">
      <c r="A297" s="34"/>
      <c r="B297" s="34"/>
      <c r="C297" s="34"/>
      <c r="D297" s="188"/>
      <c r="E297" s="304"/>
      <c r="F297" s="34"/>
      <c r="G297" s="34"/>
      <c r="H297" s="34"/>
      <c r="I297" s="34"/>
      <c r="J297" s="44"/>
      <c r="K297" s="105"/>
      <c r="L297" s="34"/>
      <c r="M297" s="34"/>
      <c r="N297" s="34"/>
    </row>
    <row r="298" spans="1:14" ht="12.75">
      <c r="A298" s="34"/>
      <c r="B298" s="34"/>
      <c r="C298" s="34"/>
      <c r="D298" s="188"/>
      <c r="E298" s="304"/>
      <c r="F298" s="34"/>
      <c r="G298" s="34"/>
      <c r="H298" s="34"/>
      <c r="I298" s="34"/>
      <c r="J298" s="44"/>
      <c r="K298" s="105"/>
      <c r="L298" s="34"/>
      <c r="M298" s="34"/>
      <c r="N298" s="34"/>
    </row>
    <row r="299" spans="1:14" ht="12.75">
      <c r="A299" s="34"/>
      <c r="B299" s="34"/>
      <c r="C299" s="34"/>
      <c r="D299" s="188"/>
      <c r="E299" s="304"/>
      <c r="F299" s="34"/>
      <c r="G299" s="34"/>
      <c r="H299" s="34"/>
      <c r="I299" s="34"/>
      <c r="J299" s="44"/>
      <c r="K299" s="105"/>
      <c r="L299" s="34"/>
      <c r="M299" s="34"/>
      <c r="N299" s="34"/>
    </row>
    <row r="300" spans="1:14" ht="12.75">
      <c r="A300" s="34"/>
      <c r="B300" s="34"/>
      <c r="C300" s="34"/>
      <c r="D300" s="188"/>
      <c r="E300" s="304"/>
      <c r="F300" s="34"/>
      <c r="G300" s="34"/>
      <c r="H300" s="34"/>
      <c r="I300" s="34"/>
      <c r="J300" s="44"/>
      <c r="K300" s="105"/>
      <c r="L300" s="34"/>
      <c r="M300" s="34"/>
      <c r="N300" s="34"/>
    </row>
    <row r="301" spans="1:14" ht="12.75">
      <c r="A301" s="34"/>
      <c r="B301" s="34"/>
      <c r="C301" s="34"/>
      <c r="D301" s="188"/>
      <c r="E301" s="304"/>
      <c r="F301" s="34"/>
      <c r="G301" s="34"/>
      <c r="H301" s="34"/>
      <c r="I301" s="34"/>
      <c r="J301" s="44"/>
      <c r="K301" s="105"/>
      <c r="L301" s="34"/>
      <c r="M301" s="34"/>
      <c r="N301" s="34"/>
    </row>
    <row r="302" spans="1:14" ht="12.75">
      <c r="A302" s="34"/>
      <c r="B302" s="34"/>
      <c r="C302" s="34"/>
      <c r="D302" s="188"/>
      <c r="E302" s="304"/>
      <c r="F302" s="34"/>
      <c r="G302" s="34"/>
      <c r="H302" s="34"/>
      <c r="I302" s="34"/>
      <c r="J302" s="44"/>
      <c r="K302" s="105"/>
      <c r="L302" s="34"/>
      <c r="M302" s="34"/>
      <c r="N302" s="34"/>
    </row>
    <row r="303" spans="1:14" ht="12.75">
      <c r="A303" s="34"/>
      <c r="B303" s="34"/>
      <c r="C303" s="34"/>
      <c r="D303" s="188"/>
      <c r="E303" s="304"/>
      <c r="F303" s="34"/>
      <c r="G303" s="34"/>
      <c r="H303" s="34"/>
      <c r="I303" s="34"/>
      <c r="J303" s="44"/>
      <c r="K303" s="105"/>
      <c r="L303" s="34"/>
      <c r="M303" s="34"/>
      <c r="N303" s="34"/>
    </row>
    <row r="304" spans="1:14" ht="12.75">
      <c r="A304" s="34"/>
      <c r="B304" s="34"/>
      <c r="C304" s="34"/>
      <c r="D304" s="188"/>
      <c r="E304" s="304"/>
      <c r="F304" s="34"/>
      <c r="G304" s="34"/>
      <c r="H304" s="34"/>
      <c r="I304" s="34"/>
      <c r="J304" s="44"/>
      <c r="K304" s="105"/>
      <c r="L304" s="34"/>
      <c r="M304" s="34"/>
      <c r="N304" s="34"/>
    </row>
    <row r="305" spans="1:14" ht="12.75">
      <c r="A305" s="34"/>
      <c r="B305" s="34"/>
      <c r="C305" s="34"/>
      <c r="D305" s="188"/>
      <c r="E305" s="304"/>
      <c r="F305" s="34"/>
      <c r="G305" s="34"/>
      <c r="H305" s="34"/>
      <c r="I305" s="34"/>
      <c r="J305" s="44"/>
      <c r="K305" s="105"/>
      <c r="L305" s="34"/>
      <c r="M305" s="34"/>
      <c r="N305" s="34"/>
    </row>
    <row r="306" spans="1:14" ht="12.75">
      <c r="A306" s="34"/>
      <c r="B306" s="34"/>
      <c r="C306" s="34"/>
      <c r="D306" s="188"/>
      <c r="E306" s="304"/>
      <c r="F306" s="34"/>
      <c r="G306" s="34"/>
      <c r="H306" s="34"/>
      <c r="I306" s="34"/>
      <c r="J306" s="44"/>
      <c r="K306" s="105"/>
      <c r="L306" s="34"/>
      <c r="M306" s="34"/>
      <c r="N306" s="34"/>
    </row>
    <row r="307" spans="1:14" ht="12.75">
      <c r="A307" s="34"/>
      <c r="B307" s="34"/>
      <c r="C307" s="34"/>
      <c r="D307" s="188"/>
      <c r="E307" s="304"/>
      <c r="F307" s="34"/>
      <c r="G307" s="34"/>
      <c r="H307" s="34"/>
      <c r="I307" s="34"/>
      <c r="J307" s="44"/>
      <c r="K307" s="105"/>
      <c r="L307" s="34"/>
      <c r="M307" s="34"/>
      <c r="N307" s="34"/>
    </row>
    <row r="308" spans="1:14" ht="12.75">
      <c r="A308" s="34"/>
      <c r="B308" s="34"/>
      <c r="C308" s="34"/>
      <c r="D308" s="188"/>
      <c r="E308" s="304"/>
      <c r="F308" s="34"/>
      <c r="G308" s="34"/>
      <c r="H308" s="34"/>
      <c r="I308" s="34"/>
      <c r="J308" s="44"/>
      <c r="K308" s="105"/>
      <c r="L308" s="34"/>
      <c r="M308" s="34"/>
      <c r="N308" s="34"/>
    </row>
    <row r="309" spans="1:14" ht="12.75">
      <c r="A309" s="34"/>
      <c r="B309" s="34"/>
      <c r="C309" s="34"/>
      <c r="D309" s="188"/>
      <c r="E309" s="304"/>
      <c r="F309" s="34"/>
      <c r="G309" s="34"/>
      <c r="H309" s="34"/>
      <c r="I309" s="34"/>
      <c r="J309" s="44"/>
      <c r="K309" s="105"/>
      <c r="L309" s="34"/>
      <c r="M309" s="34"/>
      <c r="N309" s="34"/>
    </row>
    <row r="310" spans="1:14" ht="12.75">
      <c r="A310" s="34"/>
      <c r="B310" s="34"/>
      <c r="C310" s="34"/>
      <c r="D310" s="188"/>
      <c r="E310" s="304"/>
      <c r="F310" s="34"/>
      <c r="G310" s="34"/>
      <c r="H310" s="34"/>
      <c r="I310" s="34"/>
      <c r="J310" s="44"/>
      <c r="K310" s="105"/>
      <c r="L310" s="34"/>
      <c r="M310" s="34"/>
      <c r="N310" s="34"/>
    </row>
    <row r="311" spans="1:14" ht="12.75">
      <c r="A311" s="34"/>
      <c r="B311" s="34"/>
      <c r="C311" s="34"/>
      <c r="D311" s="188"/>
      <c r="E311" s="304"/>
      <c r="F311" s="34"/>
      <c r="G311" s="34"/>
      <c r="H311" s="34"/>
      <c r="I311" s="34"/>
      <c r="J311" s="44"/>
      <c r="K311" s="105"/>
      <c r="L311" s="34"/>
      <c r="M311" s="34"/>
      <c r="N311" s="34"/>
    </row>
    <row r="312" spans="1:14" ht="12.75">
      <c r="A312" s="34"/>
      <c r="B312" s="34"/>
      <c r="C312" s="34"/>
      <c r="D312" s="188"/>
      <c r="E312" s="304"/>
      <c r="F312" s="34"/>
      <c r="G312" s="34"/>
      <c r="H312" s="34"/>
      <c r="I312" s="34"/>
      <c r="J312" s="44"/>
      <c r="K312" s="105"/>
      <c r="L312" s="34"/>
      <c r="M312" s="34"/>
      <c r="N312" s="34"/>
    </row>
    <row r="313" spans="1:14" ht="12.75">
      <c r="A313" s="34"/>
      <c r="B313" s="34"/>
      <c r="C313" s="34"/>
      <c r="D313" s="188"/>
      <c r="E313" s="304"/>
      <c r="F313" s="34"/>
      <c r="G313" s="34"/>
      <c r="H313" s="34"/>
      <c r="I313" s="34"/>
      <c r="J313" s="44"/>
      <c r="K313" s="105"/>
      <c r="L313" s="34"/>
      <c r="M313" s="34"/>
      <c r="N313" s="34"/>
    </row>
    <row r="314" spans="1:14" ht="12.75">
      <c r="A314" s="34"/>
      <c r="B314" s="34"/>
      <c r="C314" s="34"/>
      <c r="D314" s="188"/>
      <c r="E314" s="304"/>
      <c r="F314" s="34"/>
      <c r="G314" s="34"/>
      <c r="H314" s="34"/>
      <c r="I314" s="34"/>
      <c r="J314" s="44"/>
      <c r="K314" s="105"/>
      <c r="L314" s="34"/>
      <c r="M314" s="34"/>
      <c r="N314" s="34"/>
    </row>
    <row r="315" spans="1:14" ht="12.75">
      <c r="A315" s="34"/>
      <c r="B315" s="34"/>
      <c r="C315" s="34"/>
      <c r="D315" s="188"/>
      <c r="E315" s="304"/>
      <c r="F315" s="34"/>
      <c r="G315" s="34"/>
      <c r="H315" s="34"/>
      <c r="I315" s="34"/>
      <c r="J315" s="44"/>
      <c r="K315" s="105"/>
      <c r="L315" s="34"/>
      <c r="M315" s="34"/>
      <c r="N315" s="34"/>
    </row>
    <row r="316" spans="1:14" ht="12.75">
      <c r="A316" s="34"/>
      <c r="B316" s="34"/>
      <c r="C316" s="34"/>
      <c r="D316" s="188"/>
      <c r="E316" s="304"/>
      <c r="F316" s="34"/>
      <c r="G316" s="34"/>
      <c r="H316" s="34"/>
      <c r="I316" s="34"/>
      <c r="J316" s="44"/>
      <c r="K316" s="105"/>
      <c r="L316" s="34"/>
      <c r="M316" s="34"/>
      <c r="N316" s="34"/>
    </row>
    <row r="317" spans="1:14" ht="12.75">
      <c r="A317" s="34"/>
      <c r="B317" s="34"/>
      <c r="C317" s="34"/>
      <c r="D317" s="188"/>
      <c r="E317" s="304"/>
      <c r="F317" s="34"/>
      <c r="G317" s="34"/>
      <c r="H317" s="34"/>
      <c r="I317" s="34"/>
      <c r="J317" s="44"/>
      <c r="K317" s="105"/>
      <c r="L317" s="34"/>
      <c r="M317" s="34"/>
      <c r="N317" s="34"/>
    </row>
    <row r="318" spans="1:14" ht="12.75">
      <c r="A318" s="34"/>
      <c r="B318" s="34"/>
      <c r="C318" s="34"/>
      <c r="D318" s="188"/>
      <c r="E318" s="304"/>
      <c r="F318" s="34"/>
      <c r="G318" s="34"/>
      <c r="H318" s="34"/>
      <c r="I318" s="34"/>
      <c r="J318" s="44"/>
      <c r="K318" s="105"/>
      <c r="L318" s="34"/>
      <c r="M318" s="34"/>
      <c r="N318" s="34"/>
    </row>
    <row r="319" spans="1:14" ht="12.75">
      <c r="A319" s="34"/>
      <c r="B319" s="34"/>
      <c r="C319" s="34"/>
      <c r="D319" s="188"/>
      <c r="E319" s="304"/>
      <c r="F319" s="34"/>
      <c r="G319" s="34"/>
      <c r="H319" s="34"/>
      <c r="I319" s="34"/>
      <c r="J319" s="44"/>
      <c r="K319" s="105"/>
      <c r="L319" s="34"/>
      <c r="M319" s="34"/>
      <c r="N319" s="34"/>
    </row>
    <row r="320" spans="1:14" ht="12.75">
      <c r="A320" s="34"/>
      <c r="B320" s="34"/>
      <c r="C320" s="34"/>
      <c r="D320" s="188"/>
      <c r="E320" s="304"/>
      <c r="F320" s="34"/>
      <c r="G320" s="34"/>
      <c r="H320" s="34"/>
      <c r="I320" s="34"/>
      <c r="J320" s="44"/>
      <c r="K320" s="105"/>
      <c r="L320" s="34"/>
      <c r="M320" s="34"/>
      <c r="N320" s="34"/>
    </row>
    <row r="321" spans="1:14" ht="12.75">
      <c r="A321" s="34"/>
      <c r="B321" s="34"/>
      <c r="C321" s="34"/>
      <c r="D321" s="188"/>
      <c r="E321" s="304"/>
      <c r="F321" s="34"/>
      <c r="G321" s="34"/>
      <c r="H321" s="34"/>
      <c r="I321" s="34"/>
      <c r="J321" s="44"/>
      <c r="K321" s="105"/>
      <c r="L321" s="34"/>
      <c r="M321" s="34"/>
      <c r="N321" s="34"/>
    </row>
    <row r="322" spans="1:14" ht="12.75">
      <c r="A322" s="34"/>
      <c r="B322" s="34"/>
      <c r="C322" s="34"/>
      <c r="D322" s="188"/>
      <c r="E322" s="304"/>
      <c r="F322" s="34"/>
      <c r="G322" s="34"/>
      <c r="H322" s="34"/>
      <c r="I322" s="34"/>
      <c r="J322" s="44"/>
      <c r="K322" s="105"/>
      <c r="L322" s="34"/>
      <c r="M322" s="34"/>
      <c r="N322" s="34"/>
    </row>
    <row r="323" spans="1:14" ht="12.75">
      <c r="A323" s="34"/>
      <c r="B323" s="34"/>
      <c r="C323" s="34"/>
      <c r="D323" s="188"/>
      <c r="E323" s="304"/>
      <c r="F323" s="34"/>
      <c r="G323" s="34"/>
      <c r="H323" s="34"/>
      <c r="I323" s="34"/>
      <c r="J323" s="44"/>
      <c r="K323" s="105"/>
      <c r="L323" s="34"/>
      <c r="M323" s="34"/>
      <c r="N323" s="34"/>
    </row>
    <row r="324" spans="1:14" ht="12.75">
      <c r="A324" s="34"/>
      <c r="B324" s="34"/>
      <c r="C324" s="34"/>
      <c r="D324" s="188"/>
      <c r="E324" s="304"/>
      <c r="F324" s="34"/>
      <c r="G324" s="34"/>
      <c r="H324" s="34"/>
      <c r="I324" s="34"/>
      <c r="J324" s="44"/>
      <c r="K324" s="105"/>
      <c r="L324" s="34"/>
      <c r="M324" s="34"/>
      <c r="N324" s="34"/>
    </row>
    <row r="325" spans="1:14" ht="12.75">
      <c r="A325" s="34"/>
      <c r="B325" s="34"/>
      <c r="C325" s="34"/>
      <c r="D325" s="188"/>
      <c r="E325" s="304"/>
      <c r="F325" s="34"/>
      <c r="G325" s="34"/>
      <c r="H325" s="34"/>
      <c r="I325" s="34"/>
      <c r="J325" s="44"/>
      <c r="K325" s="105"/>
      <c r="L325" s="34"/>
      <c r="M325" s="34"/>
      <c r="N325" s="34"/>
    </row>
    <row r="326" spans="1:14" ht="12.75">
      <c r="A326" s="34"/>
      <c r="B326" s="34"/>
      <c r="C326" s="34"/>
      <c r="D326" s="188"/>
      <c r="E326" s="304"/>
      <c r="F326" s="34"/>
      <c r="G326" s="34"/>
      <c r="H326" s="34"/>
      <c r="I326" s="34"/>
      <c r="J326" s="44"/>
      <c r="K326" s="105"/>
      <c r="L326" s="34"/>
      <c r="M326" s="34"/>
      <c r="N326" s="34"/>
    </row>
    <row r="327" spans="1:14" ht="12.75">
      <c r="A327" s="34"/>
      <c r="B327" s="34"/>
      <c r="C327" s="34"/>
      <c r="D327" s="188"/>
      <c r="E327" s="304"/>
      <c r="F327" s="34"/>
      <c r="G327" s="34"/>
      <c r="H327" s="34"/>
      <c r="I327" s="34"/>
      <c r="J327" s="44"/>
      <c r="K327" s="105"/>
      <c r="L327" s="34"/>
      <c r="M327" s="34"/>
      <c r="N327" s="34"/>
    </row>
    <row r="328" spans="1:14" ht="12.75">
      <c r="A328" s="34"/>
      <c r="B328" s="34"/>
      <c r="C328" s="34"/>
      <c r="D328" s="188"/>
      <c r="E328" s="304"/>
      <c r="F328" s="34"/>
      <c r="G328" s="34"/>
      <c r="H328" s="34"/>
      <c r="I328" s="34"/>
      <c r="J328" s="44"/>
      <c r="K328" s="105"/>
      <c r="L328" s="34"/>
      <c r="M328" s="34"/>
      <c r="N328" s="34"/>
    </row>
    <row r="329" spans="1:14" ht="12.75">
      <c r="A329" s="34"/>
      <c r="B329" s="34"/>
      <c r="C329" s="34"/>
      <c r="D329" s="188"/>
      <c r="E329" s="304"/>
      <c r="F329" s="34"/>
      <c r="G329" s="34"/>
      <c r="H329" s="34"/>
      <c r="I329" s="34"/>
      <c r="J329" s="44"/>
      <c r="K329" s="105"/>
      <c r="L329" s="34"/>
      <c r="M329" s="34"/>
      <c r="N329" s="34"/>
    </row>
    <row r="330" spans="1:14" ht="12.75">
      <c r="A330" s="34"/>
      <c r="B330" s="34"/>
      <c r="C330" s="34"/>
      <c r="D330" s="188"/>
      <c r="E330" s="304"/>
      <c r="F330" s="34"/>
      <c r="G330" s="34"/>
      <c r="H330" s="34"/>
      <c r="I330" s="34"/>
      <c r="J330" s="44"/>
      <c r="K330" s="105"/>
      <c r="L330" s="34"/>
      <c r="M330" s="34"/>
      <c r="N330" s="34"/>
    </row>
    <row r="331" spans="1:14" ht="12.75">
      <c r="A331" s="34"/>
      <c r="B331" s="34"/>
      <c r="C331" s="34"/>
      <c r="D331" s="188"/>
      <c r="E331" s="304"/>
      <c r="F331" s="34"/>
      <c r="G331" s="34"/>
      <c r="H331" s="34"/>
      <c r="I331" s="34"/>
      <c r="J331" s="44"/>
      <c r="K331" s="105"/>
      <c r="L331" s="34"/>
      <c r="M331" s="34"/>
      <c r="N331" s="34"/>
    </row>
    <row r="332" spans="1:14" ht="12.75">
      <c r="A332" s="34"/>
      <c r="B332" s="34"/>
      <c r="C332" s="34"/>
      <c r="D332" s="188"/>
      <c r="E332" s="304"/>
      <c r="F332" s="34"/>
      <c r="G332" s="34"/>
      <c r="H332" s="34"/>
      <c r="I332" s="34"/>
      <c r="J332" s="44"/>
      <c r="K332" s="105"/>
      <c r="L332" s="34"/>
      <c r="M332" s="34"/>
      <c r="N332" s="34"/>
    </row>
    <row r="333" spans="1:14" ht="12.75">
      <c r="A333" s="34"/>
      <c r="B333" s="34"/>
      <c r="C333" s="34"/>
      <c r="D333" s="188"/>
      <c r="E333" s="304"/>
      <c r="F333" s="34"/>
      <c r="G333" s="34"/>
      <c r="H333" s="34"/>
      <c r="I333" s="34"/>
      <c r="J333" s="44"/>
      <c r="K333" s="105"/>
      <c r="L333" s="34"/>
      <c r="M333" s="34"/>
      <c r="N333" s="34"/>
    </row>
    <row r="334" spans="1:14" ht="12.75">
      <c r="A334" s="34"/>
      <c r="B334" s="34"/>
      <c r="C334" s="34"/>
      <c r="D334" s="188"/>
      <c r="E334" s="304"/>
      <c r="F334" s="34"/>
      <c r="G334" s="34"/>
      <c r="H334" s="34"/>
      <c r="I334" s="34"/>
      <c r="J334" s="44"/>
      <c r="K334" s="105"/>
      <c r="L334" s="34"/>
      <c r="M334" s="34"/>
      <c r="N334" s="34"/>
    </row>
    <row r="335" spans="1:14" ht="12.75">
      <c r="A335" s="34"/>
      <c r="B335" s="34"/>
      <c r="C335" s="34"/>
      <c r="D335" s="188"/>
      <c r="E335" s="304"/>
      <c r="F335" s="34"/>
      <c r="G335" s="34"/>
      <c r="H335" s="34"/>
      <c r="I335" s="34"/>
      <c r="J335" s="44"/>
      <c r="K335" s="105"/>
      <c r="L335" s="34"/>
      <c r="M335" s="34"/>
      <c r="N335" s="34"/>
    </row>
    <row r="336" spans="1:14" ht="12.75">
      <c r="A336" s="34"/>
      <c r="B336" s="34"/>
      <c r="C336" s="34"/>
      <c r="D336" s="188"/>
      <c r="E336" s="304"/>
      <c r="F336" s="34"/>
      <c r="G336" s="34"/>
      <c r="H336" s="34"/>
      <c r="I336" s="34"/>
      <c r="J336" s="44"/>
      <c r="K336" s="105"/>
      <c r="L336" s="34"/>
      <c r="M336" s="34"/>
      <c r="N336" s="34"/>
    </row>
    <row r="337" spans="1:14" ht="12.75">
      <c r="A337" s="34"/>
      <c r="B337" s="34"/>
      <c r="C337" s="34"/>
      <c r="D337" s="188"/>
      <c r="E337" s="304"/>
      <c r="F337" s="34"/>
      <c r="G337" s="34"/>
      <c r="H337" s="34"/>
      <c r="I337" s="34"/>
      <c r="J337" s="44"/>
      <c r="K337" s="105"/>
      <c r="L337" s="34"/>
      <c r="M337" s="34"/>
      <c r="N337" s="34"/>
    </row>
    <row r="338" spans="1:14" ht="12.75">
      <c r="A338" s="34"/>
      <c r="B338" s="34"/>
      <c r="C338" s="34"/>
      <c r="D338" s="188"/>
      <c r="E338" s="304"/>
      <c r="F338" s="34"/>
      <c r="G338" s="34"/>
      <c r="H338" s="34"/>
      <c r="I338" s="34"/>
      <c r="J338" s="44"/>
      <c r="K338" s="105"/>
      <c r="L338" s="34"/>
      <c r="M338" s="34"/>
      <c r="N338" s="34"/>
    </row>
    <row r="339" spans="1:14" ht="12.75">
      <c r="A339" s="34"/>
      <c r="B339" s="34"/>
      <c r="C339" s="34"/>
      <c r="D339" s="188"/>
      <c r="E339" s="304"/>
      <c r="F339" s="34"/>
      <c r="G339" s="34"/>
      <c r="H339" s="34"/>
      <c r="I339" s="34"/>
      <c r="J339" s="44"/>
      <c r="K339" s="105"/>
      <c r="L339" s="34"/>
      <c r="M339" s="34"/>
      <c r="N339" s="34"/>
    </row>
    <row r="340" spans="1:14" ht="12.75">
      <c r="A340" s="34"/>
      <c r="B340" s="34"/>
      <c r="C340" s="34"/>
      <c r="D340" s="188"/>
      <c r="E340" s="304"/>
      <c r="F340" s="34"/>
      <c r="G340" s="34"/>
      <c r="H340" s="34"/>
      <c r="I340" s="34"/>
      <c r="J340" s="44"/>
      <c r="K340" s="105"/>
      <c r="L340" s="34"/>
      <c r="M340" s="34"/>
      <c r="N340" s="34"/>
    </row>
    <row r="341" spans="1:14" ht="12.75">
      <c r="A341" s="34"/>
      <c r="B341" s="34"/>
      <c r="C341" s="34"/>
      <c r="D341" s="188"/>
      <c r="E341" s="304"/>
      <c r="F341" s="34"/>
      <c r="G341" s="34"/>
      <c r="H341" s="34"/>
      <c r="I341" s="34"/>
      <c r="J341" s="44"/>
      <c r="K341" s="105"/>
      <c r="L341" s="34"/>
      <c r="M341" s="34"/>
      <c r="N341" s="34"/>
    </row>
    <row r="342" spans="1:14" ht="12.75">
      <c r="A342" s="34"/>
      <c r="B342" s="34"/>
      <c r="C342" s="34"/>
      <c r="D342" s="188"/>
      <c r="E342" s="304"/>
      <c r="F342" s="34"/>
      <c r="G342" s="34"/>
      <c r="H342" s="34"/>
      <c r="I342" s="34"/>
      <c r="J342" s="44"/>
      <c r="K342" s="105"/>
      <c r="L342" s="34"/>
      <c r="M342" s="34"/>
      <c r="N342" s="34"/>
    </row>
    <row r="343" spans="1:14" ht="12.75">
      <c r="A343" s="34"/>
      <c r="B343" s="34"/>
      <c r="C343" s="34"/>
      <c r="D343" s="188"/>
      <c r="E343" s="304"/>
      <c r="F343" s="34"/>
      <c r="G343" s="34"/>
      <c r="H343" s="34"/>
      <c r="I343" s="34"/>
      <c r="J343" s="44"/>
      <c r="K343" s="105"/>
      <c r="L343" s="34"/>
      <c r="M343" s="34"/>
      <c r="N343" s="34"/>
    </row>
    <row r="344" spans="1:14" ht="12.75">
      <c r="A344" s="34"/>
      <c r="B344" s="34"/>
      <c r="C344" s="34"/>
      <c r="D344" s="188"/>
      <c r="E344" s="304"/>
      <c r="F344" s="34"/>
      <c r="G344" s="34"/>
      <c r="H344" s="34"/>
      <c r="I344" s="34"/>
      <c r="J344" s="44"/>
      <c r="K344" s="105"/>
      <c r="L344" s="34"/>
      <c r="M344" s="34"/>
      <c r="N344" s="34"/>
    </row>
    <row r="345" spans="1:14" ht="12.75">
      <c r="A345" s="34"/>
      <c r="B345" s="34"/>
      <c r="C345" s="34"/>
      <c r="D345" s="188"/>
      <c r="E345" s="304"/>
      <c r="F345" s="34"/>
      <c r="G345" s="34"/>
      <c r="H345" s="34"/>
      <c r="I345" s="34"/>
      <c r="J345" s="44"/>
      <c r="K345" s="105"/>
      <c r="L345" s="34"/>
      <c r="M345" s="34"/>
      <c r="N345" s="34"/>
    </row>
    <row r="346" spans="1:14" ht="12.75">
      <c r="A346" s="34"/>
      <c r="B346" s="34"/>
      <c r="C346" s="34"/>
      <c r="D346" s="188"/>
      <c r="E346" s="304"/>
      <c r="F346" s="34"/>
      <c r="G346" s="34"/>
      <c r="H346" s="34"/>
      <c r="I346" s="34"/>
      <c r="J346" s="44"/>
      <c r="K346" s="105"/>
      <c r="L346" s="34"/>
      <c r="M346" s="34"/>
      <c r="N346" s="34"/>
    </row>
    <row r="347" spans="1:14" ht="12.75">
      <c r="A347" s="34"/>
      <c r="B347" s="34"/>
      <c r="C347" s="34"/>
      <c r="D347" s="188"/>
      <c r="E347" s="304"/>
      <c r="F347" s="34"/>
      <c r="G347" s="34"/>
      <c r="H347" s="34"/>
      <c r="I347" s="34"/>
      <c r="J347" s="44"/>
      <c r="K347" s="105"/>
      <c r="L347" s="34"/>
      <c r="M347" s="34"/>
      <c r="N347" s="34"/>
    </row>
    <row r="348" spans="1:14" ht="12.75">
      <c r="A348" s="34"/>
      <c r="B348" s="34"/>
      <c r="C348" s="34"/>
      <c r="D348" s="188"/>
      <c r="E348" s="304"/>
      <c r="F348" s="34"/>
      <c r="G348" s="34"/>
      <c r="H348" s="34"/>
      <c r="I348" s="34"/>
      <c r="J348" s="44"/>
      <c r="K348" s="105"/>
      <c r="L348" s="34"/>
      <c r="M348" s="34"/>
      <c r="N348" s="34"/>
    </row>
    <row r="349" spans="1:14" ht="12.75">
      <c r="A349" s="34"/>
      <c r="B349" s="34"/>
      <c r="C349" s="34"/>
      <c r="D349" s="188"/>
      <c r="E349" s="304"/>
      <c r="F349" s="34"/>
      <c r="G349" s="34"/>
      <c r="H349" s="34"/>
      <c r="I349" s="34"/>
      <c r="J349" s="44"/>
      <c r="K349" s="105"/>
      <c r="L349" s="34"/>
      <c r="M349" s="34"/>
      <c r="N349" s="34"/>
    </row>
    <row r="350" spans="1:14" ht="12.75">
      <c r="A350" s="34"/>
      <c r="B350" s="34"/>
      <c r="C350" s="34"/>
      <c r="D350" s="188"/>
      <c r="E350" s="304"/>
      <c r="F350" s="34"/>
      <c r="G350" s="34"/>
      <c r="H350" s="34"/>
      <c r="I350" s="34"/>
      <c r="J350" s="44"/>
      <c r="K350" s="105"/>
      <c r="L350" s="34"/>
      <c r="M350" s="34"/>
      <c r="N350" s="34"/>
    </row>
    <row r="351" spans="1:14" ht="12.75">
      <c r="A351" s="34"/>
      <c r="B351" s="34"/>
      <c r="C351" s="34"/>
      <c r="D351" s="188"/>
      <c r="E351" s="304"/>
      <c r="F351" s="34"/>
      <c r="G351" s="34"/>
      <c r="H351" s="34"/>
      <c r="I351" s="34"/>
      <c r="J351" s="44"/>
      <c r="K351" s="105"/>
      <c r="L351" s="34"/>
      <c r="M351" s="34"/>
      <c r="N351" s="34"/>
    </row>
    <row r="352" spans="1:14" ht="12.75">
      <c r="A352" s="34"/>
      <c r="B352" s="34"/>
      <c r="C352" s="34"/>
      <c r="D352" s="188"/>
      <c r="E352" s="304"/>
      <c r="F352" s="34"/>
      <c r="G352" s="34"/>
      <c r="H352" s="34"/>
      <c r="I352" s="34"/>
      <c r="J352" s="44"/>
      <c r="K352" s="105"/>
      <c r="L352" s="34"/>
      <c r="M352" s="34"/>
      <c r="N352" s="34"/>
    </row>
    <row r="353" spans="1:14" ht="12.75">
      <c r="A353" s="34"/>
      <c r="B353" s="34"/>
      <c r="C353" s="34"/>
      <c r="D353" s="188"/>
      <c r="E353" s="304"/>
      <c r="F353" s="34"/>
      <c r="G353" s="34"/>
      <c r="H353" s="34"/>
      <c r="I353" s="34"/>
      <c r="J353" s="44"/>
      <c r="K353" s="105"/>
      <c r="L353" s="34"/>
      <c r="M353" s="34"/>
      <c r="N353" s="34"/>
    </row>
    <row r="354" spans="1:14" ht="12.75">
      <c r="A354" s="34"/>
      <c r="B354" s="34"/>
      <c r="C354" s="34"/>
      <c r="D354" s="188"/>
      <c r="E354" s="304"/>
      <c r="F354" s="34"/>
      <c r="G354" s="34"/>
      <c r="H354" s="34"/>
      <c r="I354" s="34"/>
      <c r="J354" s="44"/>
      <c r="K354" s="105"/>
      <c r="L354" s="34"/>
      <c r="M354" s="34"/>
      <c r="N354" s="34"/>
    </row>
    <row r="355" spans="1:14" ht="12.75">
      <c r="A355" s="34"/>
      <c r="B355" s="34"/>
      <c r="C355" s="34"/>
      <c r="D355" s="188"/>
      <c r="E355" s="304"/>
      <c r="F355" s="34"/>
      <c r="G355" s="34"/>
      <c r="H355" s="34"/>
      <c r="I355" s="34"/>
      <c r="J355" s="44"/>
      <c r="K355" s="105"/>
      <c r="L355" s="34"/>
      <c r="M355" s="34"/>
      <c r="N355" s="34"/>
    </row>
    <row r="356" spans="1:14" ht="12.75">
      <c r="A356" s="34"/>
      <c r="B356" s="34"/>
      <c r="C356" s="34"/>
      <c r="D356" s="188"/>
      <c r="E356" s="304"/>
      <c r="F356" s="34"/>
      <c r="G356" s="34"/>
      <c r="H356" s="34"/>
      <c r="I356" s="34"/>
      <c r="J356" s="44"/>
      <c r="K356" s="105"/>
      <c r="L356" s="34"/>
      <c r="M356" s="34"/>
      <c r="N356" s="34"/>
    </row>
    <row r="357" spans="1:14" ht="12.75">
      <c r="A357" s="34"/>
      <c r="B357" s="34"/>
      <c r="C357" s="34"/>
      <c r="D357" s="188"/>
      <c r="E357" s="304"/>
      <c r="F357" s="34"/>
      <c r="G357" s="34"/>
      <c r="H357" s="34"/>
      <c r="I357" s="34"/>
      <c r="J357" s="44"/>
      <c r="K357" s="105"/>
      <c r="L357" s="34"/>
      <c r="M357" s="34"/>
      <c r="N357" s="34"/>
    </row>
    <row r="358" spans="1:14" ht="12.75">
      <c r="A358" s="34"/>
      <c r="B358" s="34"/>
      <c r="C358" s="34"/>
      <c r="D358" s="188"/>
      <c r="E358" s="304"/>
      <c r="F358" s="34"/>
      <c r="G358" s="34"/>
      <c r="H358" s="34"/>
      <c r="I358" s="34"/>
      <c r="J358" s="44"/>
      <c r="K358" s="105"/>
      <c r="L358" s="34"/>
      <c r="M358" s="34"/>
      <c r="N358" s="34"/>
    </row>
    <row r="359" spans="1:14" ht="12.75">
      <c r="A359" s="34"/>
      <c r="B359" s="34"/>
      <c r="C359" s="34"/>
      <c r="D359" s="188"/>
      <c r="E359" s="304"/>
      <c r="F359" s="34"/>
      <c r="G359" s="34"/>
      <c r="H359" s="34"/>
      <c r="I359" s="34"/>
      <c r="J359" s="44"/>
      <c r="K359" s="105"/>
      <c r="L359" s="34"/>
      <c r="M359" s="34"/>
      <c r="N359" s="34"/>
    </row>
    <row r="360" spans="1:14" ht="12.75">
      <c r="A360" s="34"/>
      <c r="B360" s="34"/>
      <c r="C360" s="34"/>
      <c r="D360" s="188"/>
      <c r="E360" s="304"/>
      <c r="F360" s="34"/>
      <c r="G360" s="34"/>
      <c r="H360" s="34"/>
      <c r="I360" s="34"/>
      <c r="J360" s="44"/>
      <c r="K360" s="105"/>
      <c r="L360" s="34"/>
      <c r="M360" s="34"/>
      <c r="N360" s="34"/>
    </row>
    <row r="361" spans="1:14" ht="12.75">
      <c r="A361" s="34"/>
      <c r="B361" s="34"/>
      <c r="C361" s="34"/>
      <c r="D361" s="188"/>
      <c r="E361" s="304"/>
      <c r="F361" s="34"/>
      <c r="G361" s="34"/>
      <c r="H361" s="34"/>
      <c r="I361" s="34"/>
      <c r="J361" s="44"/>
      <c r="K361" s="105"/>
      <c r="L361" s="34"/>
      <c r="M361" s="34"/>
      <c r="N361" s="34"/>
    </row>
    <row r="362" spans="1:14" ht="12.75">
      <c r="A362" s="34"/>
      <c r="B362" s="34"/>
      <c r="C362" s="34"/>
      <c r="D362" s="188"/>
      <c r="E362" s="304"/>
      <c r="F362" s="34"/>
      <c r="G362" s="34"/>
      <c r="H362" s="34"/>
      <c r="I362" s="34"/>
      <c r="J362" s="44"/>
      <c r="K362" s="105"/>
      <c r="L362" s="34"/>
      <c r="M362" s="34"/>
      <c r="N362" s="34"/>
    </row>
    <row r="363" spans="1:14" ht="12.75">
      <c r="A363" s="34"/>
      <c r="B363" s="34"/>
      <c r="C363" s="34"/>
      <c r="D363" s="188"/>
      <c r="E363" s="304"/>
      <c r="F363" s="34"/>
      <c r="G363" s="34"/>
      <c r="H363" s="34"/>
      <c r="I363" s="34"/>
      <c r="J363" s="44"/>
      <c r="K363" s="105"/>
      <c r="L363" s="34"/>
      <c r="M363" s="34"/>
      <c r="N363" s="34"/>
    </row>
    <row r="364" spans="1:14" ht="12.75">
      <c r="A364" s="34"/>
      <c r="B364" s="34"/>
      <c r="C364" s="34"/>
      <c r="D364" s="188"/>
      <c r="E364" s="304"/>
      <c r="F364" s="34"/>
      <c r="G364" s="34"/>
      <c r="H364" s="34"/>
      <c r="I364" s="34"/>
      <c r="J364" s="44"/>
      <c r="K364" s="105"/>
      <c r="L364" s="34"/>
      <c r="M364" s="34"/>
      <c r="N364" s="34"/>
    </row>
    <row r="365" spans="1:14" ht="12.75">
      <c r="A365" s="34"/>
      <c r="B365" s="34"/>
      <c r="C365" s="34"/>
      <c r="D365" s="188"/>
      <c r="E365" s="304"/>
      <c r="F365" s="34"/>
      <c r="G365" s="34"/>
      <c r="H365" s="34"/>
      <c r="I365" s="34"/>
      <c r="J365" s="44"/>
      <c r="K365" s="105"/>
      <c r="L365" s="34"/>
      <c r="M365" s="34"/>
      <c r="N365" s="34"/>
    </row>
    <row r="366" spans="1:14" ht="12.75">
      <c r="A366" s="34"/>
      <c r="B366" s="34"/>
      <c r="C366" s="34"/>
      <c r="D366" s="188"/>
      <c r="E366" s="304"/>
      <c r="F366" s="34"/>
      <c r="G366" s="34"/>
      <c r="H366" s="34"/>
      <c r="I366" s="34"/>
      <c r="J366" s="44"/>
      <c r="K366" s="105"/>
      <c r="L366" s="34"/>
      <c r="M366" s="34"/>
      <c r="N366" s="34"/>
    </row>
    <row r="367" spans="1:14" ht="12.75">
      <c r="A367" s="34"/>
      <c r="B367" s="34"/>
      <c r="C367" s="34"/>
      <c r="D367" s="188"/>
      <c r="E367" s="304"/>
      <c r="F367" s="34"/>
      <c r="G367" s="34"/>
      <c r="H367" s="34"/>
      <c r="I367" s="34"/>
      <c r="J367" s="44"/>
      <c r="K367" s="105"/>
      <c r="L367" s="34"/>
      <c r="M367" s="34"/>
      <c r="N367" s="34"/>
    </row>
    <row r="368" spans="1:14" ht="12.75">
      <c r="A368" s="34"/>
      <c r="B368" s="34"/>
      <c r="C368" s="34"/>
      <c r="D368" s="188"/>
      <c r="E368" s="304"/>
      <c r="F368" s="34"/>
      <c r="G368" s="34"/>
      <c r="H368" s="34"/>
      <c r="I368" s="34"/>
      <c r="J368" s="44"/>
      <c r="K368" s="105"/>
      <c r="L368" s="34"/>
      <c r="M368" s="34"/>
      <c r="N368" s="34"/>
    </row>
    <row r="369" spans="1:14" ht="12.75">
      <c r="A369" s="34"/>
      <c r="B369" s="34"/>
      <c r="C369" s="34"/>
      <c r="D369" s="188"/>
      <c r="E369" s="304"/>
      <c r="F369" s="34"/>
      <c r="G369" s="34"/>
      <c r="H369" s="34"/>
      <c r="I369" s="34"/>
      <c r="J369" s="44"/>
      <c r="K369" s="105"/>
      <c r="L369" s="34"/>
      <c r="M369" s="34"/>
      <c r="N369" s="34"/>
    </row>
    <row r="370" spans="1:14" ht="12.75">
      <c r="A370" s="34"/>
      <c r="B370" s="34"/>
      <c r="C370" s="34"/>
      <c r="D370" s="188"/>
      <c r="E370" s="304"/>
      <c r="F370" s="34"/>
      <c r="G370" s="34"/>
      <c r="H370" s="34"/>
      <c r="I370" s="34"/>
      <c r="J370" s="44"/>
      <c r="K370" s="105"/>
      <c r="L370" s="34"/>
      <c r="M370" s="34"/>
      <c r="N370" s="34"/>
    </row>
    <row r="371" spans="1:14" ht="12.75">
      <c r="A371" s="34"/>
      <c r="B371" s="34"/>
      <c r="C371" s="34"/>
      <c r="D371" s="188"/>
      <c r="E371" s="304"/>
      <c r="F371" s="34"/>
      <c r="G371" s="34"/>
      <c r="H371" s="34"/>
      <c r="I371" s="34"/>
      <c r="J371" s="44"/>
      <c r="K371" s="105"/>
      <c r="L371" s="34"/>
      <c r="M371" s="34"/>
      <c r="N371" s="34"/>
    </row>
    <row r="372" spans="1:14" ht="12.75">
      <c r="A372" s="34"/>
      <c r="B372" s="34"/>
      <c r="C372" s="34"/>
      <c r="D372" s="188"/>
      <c r="E372" s="304"/>
      <c r="F372" s="34"/>
      <c r="G372" s="34"/>
      <c r="H372" s="34"/>
      <c r="I372" s="34"/>
      <c r="J372" s="44"/>
      <c r="K372" s="105"/>
      <c r="L372" s="34"/>
      <c r="M372" s="34"/>
      <c r="N372" s="34"/>
    </row>
    <row r="373" spans="1:14" ht="12.75">
      <c r="A373" s="34"/>
      <c r="B373" s="34"/>
      <c r="C373" s="34"/>
      <c r="D373" s="188"/>
      <c r="E373" s="304"/>
      <c r="F373" s="34"/>
      <c r="G373" s="34"/>
      <c r="H373" s="34"/>
      <c r="I373" s="34"/>
      <c r="J373" s="44"/>
      <c r="K373" s="105"/>
      <c r="L373" s="34"/>
      <c r="M373" s="34"/>
      <c r="N373" s="34"/>
    </row>
    <row r="374" spans="1:14" ht="12.75">
      <c r="A374" s="34"/>
      <c r="B374" s="34"/>
      <c r="C374" s="34"/>
      <c r="D374" s="188"/>
      <c r="E374" s="304"/>
      <c r="F374" s="34"/>
      <c r="G374" s="34"/>
      <c r="H374" s="34"/>
      <c r="I374" s="34"/>
      <c r="J374" s="44"/>
      <c r="K374" s="105"/>
      <c r="L374" s="34"/>
      <c r="M374" s="34"/>
      <c r="N374" s="34"/>
    </row>
    <row r="375" spans="1:14" ht="12.75">
      <c r="A375" s="34"/>
      <c r="B375" s="34"/>
      <c r="C375" s="34"/>
      <c r="D375" s="188"/>
      <c r="E375" s="304"/>
      <c r="F375" s="34"/>
      <c r="G375" s="34"/>
      <c r="H375" s="34"/>
      <c r="I375" s="34"/>
      <c r="J375" s="44"/>
      <c r="K375" s="105"/>
      <c r="L375" s="34"/>
      <c r="M375" s="34"/>
      <c r="N375" s="34"/>
    </row>
    <row r="376" spans="1:14" ht="12.75">
      <c r="A376" s="34"/>
      <c r="B376" s="34"/>
      <c r="C376" s="34"/>
      <c r="D376" s="188"/>
      <c r="E376" s="304"/>
      <c r="F376" s="34"/>
      <c r="G376" s="34"/>
      <c r="H376" s="34"/>
      <c r="I376" s="34"/>
      <c r="J376" s="44"/>
      <c r="K376" s="105"/>
      <c r="L376" s="34"/>
      <c r="M376" s="34"/>
      <c r="N376" s="34"/>
    </row>
    <row r="377" spans="1:14" ht="12.75">
      <c r="A377" s="34"/>
      <c r="B377" s="34"/>
      <c r="C377" s="34"/>
      <c r="D377" s="188"/>
      <c r="E377" s="304"/>
      <c r="F377" s="34"/>
      <c r="G377" s="34"/>
      <c r="H377" s="34"/>
      <c r="I377" s="34"/>
      <c r="J377" s="44"/>
      <c r="K377" s="105"/>
      <c r="L377" s="34"/>
      <c r="M377" s="34"/>
      <c r="N377" s="34"/>
    </row>
    <row r="378" spans="1:14" ht="12.75">
      <c r="A378" s="34"/>
      <c r="B378" s="34"/>
      <c r="C378" s="34"/>
      <c r="D378" s="188"/>
      <c r="E378" s="304"/>
      <c r="F378" s="34"/>
      <c r="G378" s="34"/>
      <c r="H378" s="34"/>
      <c r="I378" s="34"/>
      <c r="J378" s="44"/>
      <c r="K378" s="105"/>
      <c r="L378" s="34"/>
      <c r="M378" s="34"/>
      <c r="N378" s="34"/>
    </row>
    <row r="379" spans="1:14" ht="12.75">
      <c r="A379" s="34"/>
      <c r="B379" s="34"/>
      <c r="C379" s="34"/>
      <c r="D379" s="188"/>
      <c r="E379" s="304"/>
      <c r="F379" s="34"/>
      <c r="G379" s="34"/>
      <c r="H379" s="34"/>
      <c r="I379" s="34"/>
      <c r="J379" s="44"/>
      <c r="K379" s="105"/>
      <c r="L379" s="34"/>
      <c r="M379" s="34"/>
      <c r="N379" s="34"/>
    </row>
    <row r="380" spans="1:14" ht="12.75">
      <c r="A380" s="34"/>
      <c r="B380" s="34"/>
      <c r="C380" s="34"/>
      <c r="D380" s="188"/>
      <c r="E380" s="304"/>
      <c r="F380" s="34"/>
      <c r="G380" s="34"/>
      <c r="H380" s="34"/>
      <c r="I380" s="34"/>
      <c r="J380" s="44"/>
      <c r="K380" s="105"/>
      <c r="L380" s="34"/>
      <c r="M380" s="34"/>
      <c r="N380" s="34"/>
    </row>
    <row r="381" spans="1:14" ht="12.75">
      <c r="A381" s="34"/>
      <c r="B381" s="34"/>
      <c r="C381" s="34"/>
      <c r="D381" s="188"/>
      <c r="E381" s="304"/>
      <c r="F381" s="34"/>
      <c r="G381" s="34"/>
      <c r="H381" s="34"/>
      <c r="I381" s="34"/>
      <c r="J381" s="44"/>
      <c r="K381" s="105"/>
      <c r="L381" s="34"/>
      <c r="M381" s="34"/>
      <c r="N381" s="34"/>
    </row>
    <row r="382" spans="1:14" ht="12.75">
      <c r="A382" s="34"/>
      <c r="B382" s="34"/>
      <c r="C382" s="34"/>
      <c r="D382" s="188"/>
      <c r="E382" s="304"/>
      <c r="F382" s="34"/>
      <c r="G382" s="34"/>
      <c r="H382" s="34"/>
      <c r="I382" s="34"/>
      <c r="J382" s="44"/>
      <c r="K382" s="105"/>
      <c r="L382" s="34"/>
      <c r="M382" s="34"/>
      <c r="N382" s="34"/>
    </row>
    <row r="383" spans="1:14" ht="12.75">
      <c r="A383" s="34"/>
      <c r="B383" s="34"/>
      <c r="C383" s="34"/>
      <c r="D383" s="188"/>
      <c r="E383" s="304"/>
      <c r="F383" s="34"/>
      <c r="G383" s="34"/>
      <c r="H383" s="34"/>
      <c r="I383" s="34"/>
      <c r="J383" s="44"/>
      <c r="K383" s="105"/>
      <c r="L383" s="34"/>
      <c r="M383" s="34"/>
      <c r="N383" s="34"/>
    </row>
    <row r="384" spans="1:14" ht="12.75">
      <c r="A384" s="34"/>
      <c r="B384" s="34"/>
      <c r="C384" s="34"/>
      <c r="D384" s="188"/>
      <c r="E384" s="304"/>
      <c r="F384" s="34"/>
      <c r="G384" s="34"/>
      <c r="H384" s="34"/>
      <c r="I384" s="34"/>
      <c r="J384" s="44"/>
      <c r="K384" s="105"/>
      <c r="L384" s="34"/>
      <c r="M384" s="34"/>
      <c r="N384" s="34"/>
    </row>
    <row r="385" spans="1:14" ht="12.75">
      <c r="A385" s="34"/>
      <c r="B385" s="34"/>
      <c r="C385" s="34"/>
      <c r="D385" s="188"/>
      <c r="E385" s="304"/>
      <c r="F385" s="34"/>
      <c r="G385" s="34"/>
      <c r="H385" s="34"/>
      <c r="I385" s="34"/>
      <c r="J385" s="44"/>
      <c r="K385" s="105"/>
      <c r="L385" s="34"/>
      <c r="M385" s="34"/>
      <c r="N385" s="34"/>
    </row>
    <row r="386" spans="1:14" ht="12.75">
      <c r="A386" s="34"/>
      <c r="B386" s="34"/>
      <c r="C386" s="34"/>
      <c r="D386" s="188"/>
      <c r="E386" s="304"/>
      <c r="F386" s="34"/>
      <c r="G386" s="34"/>
      <c r="H386" s="34"/>
      <c r="I386" s="34"/>
      <c r="J386" s="44"/>
      <c r="K386" s="105"/>
      <c r="L386" s="34"/>
      <c r="M386" s="34"/>
      <c r="N386" s="34"/>
    </row>
    <row r="387" spans="1:14" ht="12.75">
      <c r="A387" s="34"/>
      <c r="B387" s="34"/>
      <c r="C387" s="34"/>
      <c r="D387" s="188"/>
      <c r="E387" s="304"/>
      <c r="F387" s="34"/>
      <c r="G387" s="34"/>
      <c r="H387" s="34"/>
      <c r="I387" s="34"/>
      <c r="J387" s="44"/>
      <c r="K387" s="105"/>
      <c r="L387" s="34"/>
      <c r="M387" s="34"/>
      <c r="N387" s="34"/>
    </row>
    <row r="388" spans="1:14" ht="12.75">
      <c r="A388" s="34"/>
      <c r="B388" s="34"/>
      <c r="C388" s="34"/>
      <c r="D388" s="188"/>
      <c r="E388" s="304"/>
      <c r="F388" s="34"/>
      <c r="G388" s="34"/>
      <c r="H388" s="34"/>
      <c r="I388" s="34"/>
      <c r="J388" s="44"/>
      <c r="K388" s="105"/>
      <c r="L388" s="34"/>
      <c r="M388" s="34"/>
      <c r="N388" s="34"/>
    </row>
    <row r="389" spans="1:14" ht="12.75">
      <c r="A389" s="34"/>
      <c r="B389" s="34"/>
      <c r="C389" s="34"/>
      <c r="D389" s="188"/>
      <c r="E389" s="304"/>
      <c r="F389" s="34"/>
      <c r="G389" s="34"/>
      <c r="H389" s="34"/>
      <c r="I389" s="34"/>
      <c r="J389" s="44"/>
      <c r="K389" s="105"/>
      <c r="L389" s="34"/>
      <c r="M389" s="34"/>
      <c r="N389" s="34"/>
    </row>
    <row r="390" spans="1:14" ht="12.75">
      <c r="A390" s="34"/>
      <c r="B390" s="34"/>
      <c r="C390" s="34"/>
      <c r="D390" s="188"/>
      <c r="E390" s="304"/>
      <c r="F390" s="34"/>
      <c r="G390" s="34"/>
      <c r="H390" s="34"/>
      <c r="I390" s="34"/>
      <c r="J390" s="44"/>
      <c r="K390" s="105"/>
      <c r="L390" s="34"/>
      <c r="M390" s="34"/>
      <c r="N390" s="34"/>
    </row>
    <row r="391" spans="1:14" ht="12.75">
      <c r="A391" s="34"/>
      <c r="B391" s="34"/>
      <c r="C391" s="34"/>
      <c r="D391" s="188"/>
      <c r="E391" s="304"/>
      <c r="F391" s="34"/>
      <c r="G391" s="34"/>
      <c r="H391" s="34"/>
      <c r="I391" s="34"/>
      <c r="J391" s="44"/>
      <c r="K391" s="105"/>
      <c r="L391" s="34"/>
      <c r="M391" s="34"/>
      <c r="N391" s="34"/>
    </row>
    <row r="392" spans="1:14" ht="12.75">
      <c r="A392" s="34"/>
      <c r="B392" s="34"/>
      <c r="C392" s="34"/>
      <c r="D392" s="188"/>
      <c r="E392" s="304"/>
      <c r="F392" s="34"/>
      <c r="G392" s="34"/>
      <c r="H392" s="34"/>
      <c r="I392" s="34"/>
      <c r="J392" s="44"/>
      <c r="K392" s="105"/>
      <c r="L392" s="34"/>
      <c r="M392" s="34"/>
      <c r="N392" s="34"/>
    </row>
    <row r="393" spans="1:14" ht="12.75">
      <c r="A393" s="34"/>
      <c r="B393" s="34"/>
      <c r="C393" s="34"/>
      <c r="D393" s="188"/>
      <c r="E393" s="304"/>
      <c r="F393" s="34"/>
      <c r="G393" s="34"/>
      <c r="H393" s="34"/>
      <c r="I393" s="34"/>
      <c r="J393" s="44"/>
      <c r="K393" s="105"/>
      <c r="L393" s="34"/>
      <c r="M393" s="34"/>
      <c r="N393" s="34"/>
    </row>
    <row r="394" spans="1:14" ht="12.75">
      <c r="A394" s="34"/>
      <c r="B394" s="34"/>
      <c r="C394" s="34"/>
      <c r="D394" s="188"/>
      <c r="E394" s="304"/>
      <c r="F394" s="34"/>
      <c r="G394" s="34"/>
      <c r="H394" s="34"/>
      <c r="I394" s="34"/>
      <c r="J394" s="44"/>
      <c r="K394" s="105"/>
      <c r="L394" s="34"/>
      <c r="M394" s="34"/>
      <c r="N394" s="34"/>
    </row>
    <row r="395" spans="1:14" ht="12.75">
      <c r="A395" s="34"/>
      <c r="B395" s="34"/>
      <c r="C395" s="34"/>
      <c r="D395" s="188"/>
      <c r="E395" s="304"/>
      <c r="F395" s="34"/>
      <c r="G395" s="34"/>
      <c r="H395" s="34"/>
      <c r="I395" s="34"/>
      <c r="J395" s="44"/>
      <c r="K395" s="105"/>
      <c r="L395" s="34"/>
      <c r="M395" s="34"/>
      <c r="N395" s="34"/>
    </row>
    <row r="396" spans="1:14" ht="12.75">
      <c r="A396" s="34"/>
      <c r="B396" s="34"/>
      <c r="C396" s="34"/>
      <c r="D396" s="188"/>
      <c r="E396" s="304"/>
      <c r="F396" s="34"/>
      <c r="G396" s="34"/>
      <c r="H396" s="34"/>
      <c r="I396" s="34"/>
      <c r="J396" s="44"/>
      <c r="K396" s="105"/>
      <c r="L396" s="34"/>
      <c r="M396" s="34"/>
      <c r="N396" s="34"/>
    </row>
    <row r="397" spans="1:14" ht="12.75">
      <c r="A397" s="34"/>
      <c r="B397" s="34"/>
      <c r="C397" s="34"/>
      <c r="D397" s="188"/>
      <c r="E397" s="304"/>
      <c r="F397" s="34"/>
      <c r="G397" s="34"/>
      <c r="H397" s="34"/>
      <c r="I397" s="34"/>
      <c r="J397" s="44"/>
      <c r="K397" s="105"/>
      <c r="L397" s="34"/>
      <c r="M397" s="34"/>
      <c r="N397" s="34"/>
    </row>
    <row r="398" spans="1:14" ht="12.75">
      <c r="A398" s="34"/>
      <c r="B398" s="34"/>
      <c r="C398" s="34"/>
      <c r="D398" s="188"/>
      <c r="E398" s="304"/>
      <c r="F398" s="34"/>
      <c r="G398" s="34"/>
      <c r="H398" s="34"/>
      <c r="I398" s="34"/>
      <c r="J398" s="44"/>
      <c r="K398" s="105"/>
      <c r="L398" s="34"/>
      <c r="M398" s="34"/>
      <c r="N398" s="34"/>
    </row>
    <row r="399" spans="1:14" ht="12.75">
      <c r="A399" s="34"/>
      <c r="B399" s="34"/>
      <c r="C399" s="34"/>
      <c r="D399" s="188"/>
      <c r="E399" s="304"/>
      <c r="F399" s="34"/>
      <c r="G399" s="34"/>
      <c r="H399" s="34"/>
      <c r="I399" s="34"/>
      <c r="J399" s="44"/>
      <c r="K399" s="105"/>
      <c r="L399" s="34"/>
      <c r="M399" s="34"/>
      <c r="N399" s="34"/>
    </row>
    <row r="400" spans="1:14" ht="12.75">
      <c r="A400" s="34"/>
      <c r="B400" s="34"/>
      <c r="C400" s="34"/>
      <c r="D400" s="188"/>
      <c r="E400" s="304"/>
      <c r="F400" s="34"/>
      <c r="G400" s="34"/>
      <c r="H400" s="34"/>
      <c r="I400" s="34"/>
      <c r="J400" s="44"/>
      <c r="K400" s="105"/>
      <c r="L400" s="34"/>
      <c r="M400" s="34"/>
      <c r="N400" s="34"/>
    </row>
    <row r="401" spans="1:14" ht="12.75">
      <c r="A401" s="34"/>
      <c r="B401" s="34"/>
      <c r="C401" s="34"/>
      <c r="D401" s="188"/>
      <c r="E401" s="304"/>
      <c r="F401" s="34"/>
      <c r="G401" s="34"/>
      <c r="H401" s="34"/>
      <c r="I401" s="34"/>
      <c r="J401" s="44"/>
      <c r="K401" s="105"/>
      <c r="L401" s="34"/>
      <c r="M401" s="34"/>
      <c r="N401" s="34"/>
    </row>
    <row r="402" spans="1:14" ht="12.75">
      <c r="A402" s="34"/>
      <c r="B402" s="34"/>
      <c r="C402" s="34"/>
      <c r="D402" s="188"/>
      <c r="E402" s="304"/>
      <c r="F402" s="34"/>
      <c r="G402" s="34"/>
      <c r="H402" s="34"/>
      <c r="I402" s="34"/>
      <c r="J402" s="44"/>
      <c r="K402" s="105"/>
      <c r="L402" s="34"/>
      <c r="M402" s="34"/>
      <c r="N402" s="34"/>
    </row>
    <row r="403" spans="1:14" ht="12.75">
      <c r="A403" s="34"/>
      <c r="B403" s="34"/>
      <c r="C403" s="34"/>
      <c r="D403" s="188"/>
      <c r="E403" s="304"/>
      <c r="F403" s="34"/>
      <c r="G403" s="34"/>
      <c r="H403" s="34"/>
      <c r="I403" s="34"/>
      <c r="J403" s="44"/>
      <c r="K403" s="105"/>
      <c r="L403" s="34"/>
      <c r="M403" s="34"/>
      <c r="N403" s="34"/>
    </row>
    <row r="404" spans="1:14" ht="12.75">
      <c r="A404" s="34"/>
      <c r="B404" s="34"/>
      <c r="C404" s="34"/>
      <c r="D404" s="188"/>
      <c r="E404" s="304"/>
      <c r="F404" s="34"/>
      <c r="G404" s="34"/>
      <c r="H404" s="34"/>
      <c r="I404" s="34"/>
      <c r="J404" s="44"/>
      <c r="K404" s="105"/>
      <c r="L404" s="34"/>
      <c r="M404" s="34"/>
      <c r="N404" s="34"/>
    </row>
    <row r="405" spans="1:14" ht="12.75">
      <c r="A405" s="34"/>
      <c r="B405" s="34"/>
      <c r="C405" s="34"/>
      <c r="D405" s="188"/>
      <c r="E405" s="304"/>
      <c r="F405" s="34"/>
      <c r="G405" s="34"/>
      <c r="H405" s="34"/>
      <c r="I405" s="34"/>
      <c r="J405" s="44"/>
      <c r="K405" s="105"/>
      <c r="L405" s="34"/>
      <c r="M405" s="34"/>
      <c r="N405" s="34"/>
    </row>
    <row r="406" spans="1:14" ht="12.75">
      <c r="A406" s="34"/>
      <c r="B406" s="34"/>
      <c r="C406" s="34"/>
      <c r="D406" s="188"/>
      <c r="E406" s="304"/>
      <c r="F406" s="34"/>
      <c r="G406" s="34"/>
      <c r="H406" s="34"/>
      <c r="I406" s="34"/>
      <c r="J406" s="44"/>
      <c r="K406" s="105"/>
      <c r="L406" s="34"/>
      <c r="M406" s="34"/>
      <c r="N406" s="34"/>
    </row>
    <row r="407" spans="1:14" ht="12.75">
      <c r="A407" s="34"/>
      <c r="B407" s="34"/>
      <c r="C407" s="34"/>
      <c r="D407" s="188"/>
      <c r="E407" s="304"/>
      <c r="F407" s="34"/>
      <c r="G407" s="34"/>
      <c r="H407" s="34"/>
      <c r="I407" s="34"/>
      <c r="J407" s="44"/>
      <c r="K407" s="105"/>
      <c r="L407" s="34"/>
      <c r="M407" s="34"/>
      <c r="N407" s="34"/>
    </row>
    <row r="408" spans="1:14" ht="12.75">
      <c r="A408" s="34"/>
      <c r="B408" s="34"/>
      <c r="C408" s="34"/>
      <c r="D408" s="188"/>
      <c r="E408" s="304"/>
      <c r="F408" s="34"/>
      <c r="G408" s="34"/>
      <c r="H408" s="34"/>
      <c r="I408" s="34"/>
      <c r="J408" s="44"/>
      <c r="K408" s="105"/>
      <c r="L408" s="34"/>
      <c r="M408" s="34"/>
      <c r="N408" s="34"/>
    </row>
    <row r="409" spans="1:14" ht="12.75">
      <c r="A409" s="34"/>
      <c r="B409" s="34"/>
      <c r="C409" s="34"/>
      <c r="D409" s="188"/>
      <c r="E409" s="304"/>
      <c r="F409" s="34"/>
      <c r="G409" s="34"/>
      <c r="H409" s="34"/>
      <c r="I409" s="34"/>
      <c r="J409" s="44"/>
      <c r="K409" s="105"/>
      <c r="L409" s="34"/>
      <c r="M409" s="34"/>
      <c r="N409" s="34"/>
    </row>
    <row r="410" spans="1:14" ht="12.75">
      <c r="A410" s="34"/>
      <c r="B410" s="34"/>
      <c r="C410" s="34"/>
      <c r="D410" s="188"/>
      <c r="E410" s="304"/>
      <c r="F410" s="34"/>
      <c r="G410" s="34"/>
      <c r="H410" s="34"/>
      <c r="I410" s="34"/>
      <c r="J410" s="44"/>
      <c r="K410" s="105"/>
      <c r="L410" s="34"/>
      <c r="M410" s="34"/>
      <c r="N410" s="34"/>
    </row>
    <row r="411" spans="1:14" ht="12.75">
      <c r="A411" s="34"/>
      <c r="B411" s="34"/>
      <c r="C411" s="34"/>
      <c r="D411" s="188"/>
      <c r="E411" s="304"/>
      <c r="F411" s="34"/>
      <c r="G411" s="34"/>
      <c r="H411" s="34"/>
      <c r="I411" s="34"/>
      <c r="J411" s="44"/>
      <c r="K411" s="105"/>
      <c r="L411" s="34"/>
      <c r="M411" s="34"/>
      <c r="N411" s="34"/>
    </row>
    <row r="412" spans="1:14" ht="12.75">
      <c r="A412" s="34"/>
      <c r="B412" s="34"/>
      <c r="C412" s="34"/>
      <c r="D412" s="188"/>
      <c r="E412" s="304"/>
      <c r="F412" s="34"/>
      <c r="G412" s="34"/>
      <c r="H412" s="34"/>
      <c r="I412" s="34"/>
      <c r="J412" s="44"/>
      <c r="K412" s="105"/>
      <c r="L412" s="34"/>
      <c r="M412" s="34"/>
      <c r="N412" s="34"/>
    </row>
    <row r="413" spans="1:14" ht="12.75">
      <c r="A413" s="34"/>
      <c r="B413" s="34"/>
      <c r="C413" s="34"/>
      <c r="D413" s="188"/>
      <c r="E413" s="304"/>
      <c r="F413" s="34"/>
      <c r="G413" s="34"/>
      <c r="H413" s="34"/>
      <c r="I413" s="34"/>
      <c r="J413" s="44"/>
      <c r="K413" s="105"/>
      <c r="L413" s="34"/>
      <c r="M413" s="34"/>
      <c r="N413" s="34"/>
    </row>
    <row r="414" spans="1:14" ht="12.75">
      <c r="A414" s="34"/>
      <c r="B414" s="34"/>
      <c r="C414" s="34"/>
      <c r="D414" s="188"/>
      <c r="E414" s="304"/>
      <c r="F414" s="34"/>
      <c r="G414" s="34"/>
      <c r="H414" s="34"/>
      <c r="I414" s="34"/>
      <c r="J414" s="44"/>
      <c r="K414" s="105"/>
      <c r="L414" s="34"/>
      <c r="M414" s="34"/>
      <c r="N414" s="34"/>
    </row>
    <row r="415" spans="1:14" ht="12.75">
      <c r="A415" s="34"/>
      <c r="B415" s="34"/>
      <c r="C415" s="34"/>
      <c r="D415" s="188"/>
      <c r="E415" s="304"/>
      <c r="F415" s="34"/>
      <c r="G415" s="34"/>
      <c r="H415" s="34"/>
      <c r="I415" s="34"/>
      <c r="J415" s="44"/>
      <c r="K415" s="105"/>
      <c r="L415" s="34"/>
      <c r="M415" s="34"/>
      <c r="N415" s="34"/>
    </row>
    <row r="416" spans="1:14" ht="12.75">
      <c r="A416" s="34"/>
      <c r="B416" s="34"/>
      <c r="C416" s="34"/>
      <c r="D416" s="188"/>
      <c r="E416" s="304"/>
      <c r="F416" s="34"/>
      <c r="G416" s="34"/>
      <c r="H416" s="34"/>
      <c r="I416" s="34"/>
      <c r="J416" s="44"/>
      <c r="K416" s="105"/>
      <c r="L416" s="34"/>
      <c r="M416" s="34"/>
      <c r="N416" s="34"/>
    </row>
    <row r="417" spans="1:14" ht="12.75">
      <c r="A417" s="34"/>
      <c r="B417" s="34"/>
      <c r="C417" s="34"/>
      <c r="D417" s="188"/>
      <c r="E417" s="304"/>
      <c r="F417" s="34"/>
      <c r="G417" s="34"/>
      <c r="H417" s="34"/>
      <c r="I417" s="34"/>
      <c r="J417" s="44"/>
      <c r="K417" s="105"/>
      <c r="L417" s="34"/>
      <c r="M417" s="34"/>
      <c r="N417" s="34"/>
    </row>
    <row r="418" spans="1:14" ht="12.75">
      <c r="A418" s="34"/>
      <c r="B418" s="34"/>
      <c r="C418" s="34"/>
      <c r="D418" s="188"/>
      <c r="E418" s="304"/>
      <c r="F418" s="34"/>
      <c r="G418" s="34"/>
      <c r="H418" s="34"/>
      <c r="I418" s="34"/>
      <c r="J418" s="44"/>
      <c r="K418" s="105"/>
      <c r="L418" s="34"/>
      <c r="M418" s="34"/>
      <c r="N418" s="34"/>
    </row>
    <row r="419" spans="1:14" ht="12.75">
      <c r="A419" s="34"/>
      <c r="B419" s="34"/>
      <c r="C419" s="34"/>
      <c r="D419" s="188"/>
      <c r="E419" s="304"/>
      <c r="F419" s="34"/>
      <c r="G419" s="34"/>
      <c r="H419" s="34"/>
      <c r="I419" s="34"/>
      <c r="J419" s="44"/>
      <c r="K419" s="105"/>
      <c r="L419" s="34"/>
      <c r="M419" s="34"/>
      <c r="N419" s="34"/>
    </row>
    <row r="420" spans="1:14" ht="12.75">
      <c r="A420" s="34"/>
      <c r="B420" s="34"/>
      <c r="C420" s="34"/>
      <c r="D420" s="188"/>
      <c r="E420" s="304"/>
      <c r="F420" s="34"/>
      <c r="G420" s="34"/>
      <c r="H420" s="34"/>
      <c r="I420" s="34"/>
      <c r="J420" s="44"/>
      <c r="K420" s="105"/>
      <c r="L420" s="34"/>
      <c r="M420" s="34"/>
      <c r="N420" s="34"/>
    </row>
    <row r="421" spans="1:14" ht="12.75">
      <c r="A421" s="34"/>
      <c r="B421" s="34"/>
      <c r="C421" s="34"/>
      <c r="D421" s="188"/>
      <c r="E421" s="304"/>
      <c r="F421" s="34"/>
      <c r="G421" s="34"/>
      <c r="H421" s="34"/>
      <c r="I421" s="34"/>
      <c r="J421" s="44"/>
      <c r="K421" s="105"/>
      <c r="L421" s="34"/>
      <c r="M421" s="34"/>
      <c r="N421" s="34"/>
    </row>
    <row r="422" spans="1:14" ht="12.75">
      <c r="A422" s="34"/>
      <c r="B422" s="34"/>
      <c r="C422" s="34"/>
      <c r="D422" s="188"/>
      <c r="E422" s="304"/>
      <c r="F422" s="34"/>
      <c r="G422" s="34"/>
      <c r="H422" s="34"/>
      <c r="I422" s="34"/>
      <c r="J422" s="44"/>
      <c r="K422" s="105"/>
      <c r="L422" s="34"/>
      <c r="M422" s="34"/>
      <c r="N422" s="34"/>
    </row>
    <row r="423" spans="1:14" ht="12.75">
      <c r="A423" s="34"/>
      <c r="B423" s="34"/>
      <c r="C423" s="34"/>
      <c r="D423" s="188"/>
      <c r="E423" s="304"/>
      <c r="F423" s="34"/>
      <c r="G423" s="34"/>
      <c r="H423" s="34"/>
      <c r="I423" s="34"/>
      <c r="J423" s="44"/>
      <c r="K423" s="105"/>
      <c r="L423" s="34"/>
      <c r="M423" s="34"/>
      <c r="N423" s="34"/>
    </row>
    <row r="424" spans="1:14" ht="12.75">
      <c r="A424" s="34"/>
      <c r="B424" s="34"/>
      <c r="C424" s="34"/>
      <c r="D424" s="188"/>
      <c r="E424" s="304"/>
      <c r="F424" s="34"/>
      <c r="G424" s="34"/>
      <c r="H424" s="34"/>
      <c r="I424" s="34"/>
      <c r="J424" s="44"/>
      <c r="K424" s="105"/>
      <c r="L424" s="34"/>
      <c r="M424" s="34"/>
      <c r="N424" s="34"/>
    </row>
    <row r="425" spans="1:14" ht="12.75">
      <c r="A425" s="34"/>
      <c r="B425" s="34"/>
      <c r="C425" s="34"/>
      <c r="D425" s="188"/>
      <c r="E425" s="304"/>
      <c r="F425" s="34"/>
      <c r="G425" s="34"/>
      <c r="H425" s="34"/>
      <c r="I425" s="34"/>
      <c r="J425" s="44"/>
      <c r="K425" s="105"/>
      <c r="L425" s="34"/>
      <c r="M425" s="34"/>
      <c r="N425" s="34"/>
    </row>
    <row r="426" spans="1:14" ht="12.75">
      <c r="A426" s="34"/>
      <c r="B426" s="34"/>
      <c r="C426" s="34"/>
      <c r="D426" s="188"/>
      <c r="E426" s="304"/>
      <c r="F426" s="34"/>
      <c r="G426" s="34"/>
      <c r="H426" s="34"/>
      <c r="I426" s="34"/>
      <c r="J426" s="44"/>
      <c r="K426" s="105"/>
      <c r="L426" s="34"/>
      <c r="M426" s="34"/>
      <c r="N426" s="34"/>
    </row>
    <row r="427" spans="1:14" ht="12.75">
      <c r="A427" s="34"/>
      <c r="B427" s="34"/>
      <c r="C427" s="34"/>
      <c r="D427" s="188"/>
      <c r="E427" s="304"/>
      <c r="F427" s="34"/>
      <c r="G427" s="34"/>
      <c r="H427" s="34"/>
      <c r="I427" s="34"/>
      <c r="J427" s="44"/>
      <c r="K427" s="105"/>
      <c r="L427" s="34"/>
      <c r="M427" s="34"/>
      <c r="N427" s="34"/>
    </row>
    <row r="428" spans="1:14" ht="12.75">
      <c r="A428" s="34"/>
      <c r="B428" s="34"/>
      <c r="C428" s="34"/>
      <c r="D428" s="188"/>
      <c r="E428" s="304"/>
      <c r="F428" s="34"/>
      <c r="G428" s="34"/>
      <c r="H428" s="34"/>
      <c r="I428" s="34"/>
      <c r="J428" s="44"/>
      <c r="K428" s="105"/>
      <c r="L428" s="34"/>
      <c r="M428" s="34"/>
      <c r="N428" s="34"/>
    </row>
    <row r="429" spans="1:14" ht="12.75">
      <c r="A429" s="34"/>
      <c r="B429" s="34"/>
      <c r="C429" s="34"/>
      <c r="D429" s="188"/>
      <c r="E429" s="304"/>
      <c r="F429" s="34"/>
      <c r="G429" s="34"/>
      <c r="H429" s="34"/>
      <c r="I429" s="34"/>
      <c r="J429" s="44"/>
      <c r="K429" s="105"/>
      <c r="L429" s="34"/>
      <c r="M429" s="34"/>
      <c r="N429" s="34"/>
    </row>
    <row r="430" spans="1:14" ht="12.75">
      <c r="A430" s="34"/>
      <c r="B430" s="34"/>
      <c r="C430" s="34"/>
      <c r="D430" s="188"/>
      <c r="E430" s="304"/>
      <c r="F430" s="34"/>
      <c r="G430" s="34"/>
      <c r="H430" s="34"/>
      <c r="I430" s="34"/>
      <c r="J430" s="44"/>
      <c r="K430" s="105"/>
      <c r="L430" s="34"/>
      <c r="M430" s="34"/>
      <c r="N430" s="34"/>
    </row>
    <row r="431" spans="1:14" ht="12.75">
      <c r="A431" s="34"/>
      <c r="B431" s="34"/>
      <c r="C431" s="34"/>
      <c r="D431" s="188"/>
      <c r="E431" s="304"/>
      <c r="F431" s="34"/>
      <c r="G431" s="34"/>
      <c r="H431" s="34"/>
      <c r="I431" s="34"/>
      <c r="J431" s="44"/>
      <c r="K431" s="105"/>
      <c r="L431" s="34"/>
      <c r="M431" s="34"/>
      <c r="N431" s="34"/>
    </row>
    <row r="432" spans="1:14" ht="12.75">
      <c r="A432" s="34"/>
      <c r="B432" s="34"/>
      <c r="C432" s="34"/>
      <c r="D432" s="188"/>
      <c r="E432" s="304"/>
      <c r="F432" s="34"/>
      <c r="G432" s="34"/>
      <c r="H432" s="34"/>
      <c r="I432" s="34"/>
      <c r="J432" s="44"/>
      <c r="K432" s="105"/>
      <c r="L432" s="34"/>
      <c r="M432" s="34"/>
      <c r="N432" s="34"/>
    </row>
    <row r="433" spans="1:14" ht="12.75">
      <c r="A433" s="34"/>
      <c r="B433" s="34"/>
      <c r="C433" s="34"/>
      <c r="D433" s="188"/>
      <c r="E433" s="304"/>
      <c r="F433" s="34"/>
      <c r="G433" s="34"/>
      <c r="H433" s="34"/>
      <c r="I433" s="34"/>
      <c r="J433" s="44"/>
      <c r="K433" s="105"/>
      <c r="L433" s="34"/>
      <c r="M433" s="34"/>
      <c r="N433" s="34"/>
    </row>
    <row r="434" spans="1:14" ht="12.75">
      <c r="A434" s="34"/>
      <c r="B434" s="34"/>
      <c r="C434" s="34"/>
      <c r="D434" s="188"/>
      <c r="E434" s="304"/>
      <c r="F434" s="34"/>
      <c r="G434" s="34"/>
      <c r="H434" s="34"/>
      <c r="I434" s="34"/>
      <c r="J434" s="44"/>
      <c r="K434" s="105"/>
      <c r="L434" s="34"/>
      <c r="M434" s="34"/>
      <c r="N434" s="34"/>
    </row>
    <row r="435" spans="1:14" ht="12.75">
      <c r="A435" s="34"/>
      <c r="B435" s="34"/>
      <c r="C435" s="34"/>
      <c r="D435" s="188"/>
      <c r="E435" s="304"/>
      <c r="F435" s="34"/>
      <c r="G435" s="34"/>
      <c r="H435" s="34"/>
      <c r="I435" s="34"/>
      <c r="J435" s="44"/>
      <c r="K435" s="105"/>
      <c r="L435" s="34"/>
      <c r="M435" s="34"/>
      <c r="N435" s="34"/>
    </row>
    <row r="436" spans="1:14" ht="12.75">
      <c r="A436" s="34"/>
      <c r="B436" s="34"/>
      <c r="C436" s="34"/>
      <c r="D436" s="188"/>
      <c r="E436" s="304"/>
      <c r="F436" s="34"/>
      <c r="G436" s="34"/>
      <c r="H436" s="34"/>
      <c r="I436" s="34"/>
      <c r="J436" s="44"/>
      <c r="K436" s="105"/>
      <c r="L436" s="34"/>
      <c r="M436" s="34"/>
      <c r="N436" s="34"/>
    </row>
    <row r="437" spans="1:14" ht="12.75">
      <c r="A437" s="34"/>
      <c r="B437" s="34"/>
      <c r="C437" s="34"/>
      <c r="D437" s="188"/>
      <c r="E437" s="304"/>
      <c r="F437" s="34"/>
      <c r="G437" s="34"/>
      <c r="H437" s="34"/>
      <c r="I437" s="34"/>
      <c r="J437" s="44"/>
      <c r="K437" s="105"/>
      <c r="L437" s="34"/>
      <c r="M437" s="34"/>
      <c r="N437" s="34"/>
    </row>
    <row r="438" spans="1:14" ht="12.75">
      <c r="A438" s="34"/>
      <c r="B438" s="34"/>
      <c r="C438" s="34"/>
      <c r="D438" s="188"/>
      <c r="E438" s="304"/>
      <c r="F438" s="34"/>
      <c r="G438" s="34"/>
      <c r="H438" s="34"/>
      <c r="I438" s="34"/>
      <c r="J438" s="44"/>
      <c r="K438" s="105"/>
      <c r="L438" s="34"/>
      <c r="M438" s="34"/>
      <c r="N438" s="34"/>
    </row>
    <row r="439" spans="1:14" ht="12.75">
      <c r="A439" s="34"/>
      <c r="B439" s="34"/>
      <c r="C439" s="34"/>
      <c r="D439" s="188"/>
      <c r="E439" s="304"/>
      <c r="F439" s="34"/>
      <c r="G439" s="34"/>
      <c r="H439" s="34"/>
      <c r="I439" s="34"/>
      <c r="J439" s="44"/>
      <c r="K439" s="105"/>
      <c r="L439" s="34"/>
      <c r="M439" s="34"/>
      <c r="N439" s="34"/>
    </row>
    <row r="440" spans="1:14" ht="12.75">
      <c r="A440" s="34"/>
      <c r="B440" s="34"/>
      <c r="C440" s="34"/>
      <c r="D440" s="188"/>
      <c r="E440" s="304"/>
      <c r="F440" s="34"/>
      <c r="G440" s="34"/>
      <c r="H440" s="34"/>
      <c r="I440" s="34"/>
      <c r="J440" s="44"/>
      <c r="K440" s="105"/>
      <c r="L440" s="34"/>
      <c r="M440" s="34"/>
      <c r="N440" s="34"/>
    </row>
    <row r="441" spans="1:14" ht="12.75">
      <c r="A441" s="34"/>
      <c r="B441" s="34"/>
      <c r="C441" s="34"/>
      <c r="D441" s="188"/>
      <c r="E441" s="304"/>
      <c r="F441" s="34"/>
      <c r="G441" s="34"/>
      <c r="H441" s="34"/>
      <c r="I441" s="34"/>
      <c r="J441" s="44"/>
      <c r="K441" s="105"/>
      <c r="L441" s="34"/>
      <c r="M441" s="34"/>
      <c r="N441" s="34"/>
    </row>
    <row r="442" spans="1:14" ht="12.75">
      <c r="A442" s="34"/>
      <c r="B442" s="34"/>
      <c r="C442" s="34"/>
      <c r="D442" s="188"/>
      <c r="E442" s="304"/>
      <c r="F442" s="34"/>
      <c r="G442" s="34"/>
      <c r="H442" s="34"/>
      <c r="I442" s="34"/>
      <c r="J442" s="44"/>
      <c r="K442" s="105"/>
      <c r="L442" s="34"/>
      <c r="M442" s="34"/>
      <c r="N442" s="34"/>
    </row>
    <row r="443" spans="1:14" ht="12.75">
      <c r="A443" s="34"/>
      <c r="B443" s="34"/>
      <c r="C443" s="34"/>
      <c r="D443" s="188"/>
      <c r="E443" s="304"/>
      <c r="F443" s="34"/>
      <c r="G443" s="34"/>
      <c r="H443" s="34"/>
      <c r="I443" s="34"/>
      <c r="J443" s="44"/>
      <c r="K443" s="105"/>
      <c r="L443" s="34"/>
      <c r="M443" s="34"/>
      <c r="N443" s="34"/>
    </row>
    <row r="444" spans="1:14" ht="12.75">
      <c r="A444" s="34"/>
      <c r="B444" s="34"/>
      <c r="C444" s="34"/>
      <c r="D444" s="188"/>
      <c r="E444" s="304"/>
      <c r="F444" s="34"/>
      <c r="G444" s="34"/>
      <c r="H444" s="34"/>
      <c r="I444" s="34"/>
      <c r="J444" s="44"/>
      <c r="K444" s="105"/>
      <c r="L444" s="34"/>
      <c r="M444" s="34"/>
      <c r="N444" s="34"/>
    </row>
    <row r="445" spans="1:14" ht="12.75">
      <c r="A445" s="34"/>
      <c r="B445" s="34"/>
      <c r="C445" s="34"/>
      <c r="D445" s="188"/>
      <c r="E445" s="304"/>
      <c r="F445" s="34"/>
      <c r="G445" s="34"/>
      <c r="H445" s="34"/>
      <c r="I445" s="34"/>
      <c r="J445" s="44"/>
      <c r="K445" s="105"/>
      <c r="L445" s="34"/>
      <c r="M445" s="34"/>
      <c r="N445" s="34"/>
    </row>
    <row r="446" spans="1:14" ht="12.75">
      <c r="A446" s="34"/>
      <c r="B446" s="34"/>
      <c r="C446" s="34"/>
      <c r="D446" s="188"/>
      <c r="E446" s="304"/>
      <c r="F446" s="34"/>
      <c r="G446" s="34"/>
      <c r="H446" s="34"/>
      <c r="I446" s="34"/>
      <c r="J446" s="44"/>
      <c r="K446" s="105"/>
      <c r="L446" s="34"/>
      <c r="M446" s="34"/>
      <c r="N446" s="34"/>
    </row>
    <row r="447" spans="1:14" ht="12.75">
      <c r="A447" s="34"/>
      <c r="B447" s="34"/>
      <c r="C447" s="34"/>
      <c r="D447" s="188"/>
      <c r="E447" s="304"/>
      <c r="F447" s="34"/>
      <c r="G447" s="34"/>
      <c r="H447" s="34"/>
      <c r="I447" s="34"/>
      <c r="J447" s="44"/>
      <c r="K447" s="105"/>
      <c r="L447" s="34"/>
      <c r="M447" s="34"/>
      <c r="N447" s="34"/>
    </row>
    <row r="448" spans="1:14" ht="12.75">
      <c r="A448" s="34"/>
      <c r="B448" s="34"/>
      <c r="C448" s="34"/>
      <c r="D448" s="188"/>
      <c r="E448" s="304"/>
      <c r="F448" s="34"/>
      <c r="G448" s="34"/>
      <c r="H448" s="34"/>
      <c r="I448" s="34"/>
      <c r="J448" s="44"/>
      <c r="K448" s="105"/>
      <c r="L448" s="34"/>
      <c r="M448" s="34"/>
      <c r="N448" s="34"/>
    </row>
    <row r="449" spans="1:14" ht="12.75">
      <c r="A449" s="34"/>
      <c r="B449" s="34"/>
      <c r="C449" s="34"/>
      <c r="D449" s="188"/>
      <c r="E449" s="304"/>
      <c r="F449" s="34"/>
      <c r="G449" s="34"/>
      <c r="H449" s="34"/>
      <c r="I449" s="34"/>
      <c r="J449" s="44"/>
      <c r="K449" s="105"/>
      <c r="L449" s="34"/>
      <c r="M449" s="34"/>
      <c r="N449" s="34"/>
    </row>
    <row r="450" spans="1:14" ht="12.75">
      <c r="A450" s="34"/>
      <c r="B450" s="34"/>
      <c r="C450" s="34"/>
      <c r="D450" s="188"/>
      <c r="E450" s="304"/>
      <c r="F450" s="34"/>
      <c r="G450" s="34"/>
      <c r="H450" s="34"/>
      <c r="I450" s="34"/>
      <c r="J450" s="44"/>
      <c r="K450" s="105"/>
      <c r="L450" s="34"/>
      <c r="M450" s="34"/>
      <c r="N450" s="34"/>
    </row>
    <row r="451" spans="1:14" ht="12.75">
      <c r="A451" s="34"/>
      <c r="B451" s="34"/>
      <c r="C451" s="34"/>
      <c r="D451" s="188"/>
      <c r="E451" s="304"/>
      <c r="F451" s="34"/>
      <c r="G451" s="34"/>
      <c r="H451" s="34"/>
      <c r="I451" s="34"/>
      <c r="J451" s="44"/>
      <c r="K451" s="105"/>
      <c r="L451" s="34"/>
      <c r="M451" s="34"/>
      <c r="N451" s="34"/>
    </row>
    <row r="452" spans="1:14" ht="12.75">
      <c r="A452" s="34"/>
      <c r="B452" s="34"/>
      <c r="C452" s="34"/>
      <c r="D452" s="188"/>
      <c r="E452" s="304"/>
      <c r="F452" s="34"/>
      <c r="G452" s="34"/>
      <c r="H452" s="34"/>
      <c r="I452" s="34"/>
      <c r="J452" s="44"/>
      <c r="K452" s="105"/>
      <c r="L452" s="34"/>
      <c r="M452" s="34"/>
      <c r="N452" s="34"/>
    </row>
    <row r="453" spans="1:14" ht="12.75">
      <c r="A453" s="34"/>
      <c r="B453" s="34"/>
      <c r="C453" s="34"/>
      <c r="D453" s="188"/>
      <c r="E453" s="304"/>
      <c r="F453" s="34"/>
      <c r="G453" s="34"/>
      <c r="H453" s="34"/>
      <c r="I453" s="34"/>
      <c r="J453" s="44"/>
      <c r="K453" s="105"/>
      <c r="L453" s="34"/>
      <c r="M453" s="34"/>
      <c r="N453" s="34"/>
    </row>
    <row r="454" spans="1:14" ht="12.75">
      <c r="A454" s="34"/>
      <c r="B454" s="34"/>
      <c r="C454" s="34"/>
      <c r="D454" s="188"/>
      <c r="E454" s="304"/>
      <c r="F454" s="34"/>
      <c r="G454" s="34"/>
      <c r="H454" s="34"/>
      <c r="I454" s="34"/>
      <c r="J454" s="44"/>
      <c r="K454" s="105"/>
      <c r="L454" s="34"/>
      <c r="M454" s="34"/>
      <c r="N454" s="34"/>
    </row>
    <row r="455" spans="1:14" ht="12.75">
      <c r="A455" s="34"/>
      <c r="B455" s="34"/>
      <c r="C455" s="34"/>
      <c r="D455" s="188"/>
      <c r="E455" s="304"/>
      <c r="F455" s="34"/>
      <c r="G455" s="34"/>
      <c r="H455" s="34"/>
      <c r="I455" s="34"/>
      <c r="J455" s="44"/>
      <c r="K455" s="105"/>
      <c r="L455" s="34"/>
      <c r="M455" s="34"/>
      <c r="N455" s="34"/>
    </row>
    <row r="456" spans="1:14" ht="12.75">
      <c r="A456" s="34"/>
      <c r="B456" s="34"/>
      <c r="C456" s="34"/>
      <c r="D456" s="188"/>
      <c r="E456" s="304"/>
      <c r="F456" s="34"/>
      <c r="G456" s="34"/>
      <c r="H456" s="34"/>
      <c r="I456" s="34"/>
      <c r="J456" s="44"/>
      <c r="K456" s="105"/>
      <c r="L456" s="34"/>
      <c r="M456" s="34"/>
      <c r="N456" s="34"/>
    </row>
    <row r="457" spans="1:14" ht="12.75">
      <c r="A457" s="34"/>
      <c r="B457" s="34"/>
      <c r="C457" s="34"/>
      <c r="D457" s="188"/>
      <c r="E457" s="304"/>
      <c r="F457" s="34"/>
      <c r="G457" s="34"/>
      <c r="H457" s="34"/>
      <c r="I457" s="34"/>
      <c r="J457" s="44"/>
      <c r="K457" s="105"/>
      <c r="L457" s="34"/>
      <c r="M457" s="34"/>
      <c r="N457" s="34"/>
    </row>
    <row r="458" spans="1:14" ht="12.75">
      <c r="A458" s="34"/>
      <c r="B458" s="34"/>
      <c r="C458" s="34"/>
      <c r="D458" s="188"/>
      <c r="E458" s="304"/>
      <c r="F458" s="34"/>
      <c r="G458" s="34"/>
      <c r="H458" s="34"/>
      <c r="I458" s="34"/>
      <c r="J458" s="44"/>
      <c r="K458" s="105"/>
      <c r="L458" s="34"/>
      <c r="M458" s="34"/>
      <c r="N458" s="34"/>
    </row>
    <row r="459" spans="1:14" ht="12.75">
      <c r="A459" s="34"/>
      <c r="B459" s="34"/>
      <c r="C459" s="34"/>
      <c r="D459" s="188"/>
      <c r="E459" s="304"/>
      <c r="F459" s="34"/>
      <c r="G459" s="34"/>
      <c r="H459" s="34"/>
      <c r="I459" s="34"/>
      <c r="J459" s="44"/>
      <c r="K459" s="105"/>
      <c r="L459" s="34"/>
      <c r="M459" s="34"/>
      <c r="N459" s="34"/>
    </row>
    <row r="460" spans="1:14" ht="12.75">
      <c r="A460" s="34"/>
      <c r="B460" s="34"/>
      <c r="C460" s="34"/>
      <c r="D460" s="188"/>
      <c r="E460" s="304"/>
      <c r="F460" s="34"/>
      <c r="G460" s="34"/>
      <c r="H460" s="34"/>
      <c r="I460" s="34"/>
      <c r="J460" s="44"/>
      <c r="K460" s="105"/>
      <c r="L460" s="34"/>
      <c r="M460" s="34"/>
      <c r="N460" s="34"/>
    </row>
    <row r="461" spans="1:14" ht="12.75">
      <c r="A461" s="34"/>
      <c r="B461" s="34"/>
      <c r="C461" s="34"/>
      <c r="D461" s="188"/>
      <c r="E461" s="304"/>
      <c r="F461" s="34"/>
      <c r="G461" s="34"/>
      <c r="H461" s="34"/>
      <c r="I461" s="34"/>
      <c r="J461" s="44"/>
      <c r="K461" s="105"/>
      <c r="L461" s="34"/>
      <c r="M461" s="34"/>
      <c r="N461" s="34"/>
    </row>
    <row r="462" spans="1:14" ht="12.75">
      <c r="A462" s="34"/>
      <c r="B462" s="34"/>
      <c r="C462" s="34"/>
      <c r="D462" s="188"/>
      <c r="E462" s="304"/>
      <c r="F462" s="34"/>
      <c r="G462" s="34"/>
      <c r="H462" s="34"/>
      <c r="I462" s="34"/>
      <c r="J462" s="44"/>
      <c r="K462" s="105"/>
      <c r="L462" s="34"/>
      <c r="M462" s="34"/>
      <c r="N462" s="34"/>
    </row>
    <row r="463" spans="1:14" ht="12.75">
      <c r="A463" s="34"/>
      <c r="B463" s="34"/>
      <c r="C463" s="34"/>
      <c r="D463" s="188"/>
      <c r="E463" s="304"/>
      <c r="F463" s="34"/>
      <c r="G463" s="34"/>
      <c r="H463" s="34"/>
      <c r="I463" s="34"/>
      <c r="J463" s="44"/>
      <c r="K463" s="105"/>
      <c r="L463" s="34"/>
      <c r="M463" s="34"/>
      <c r="N463" s="34"/>
    </row>
    <row r="464" spans="1:14" ht="12.75">
      <c r="A464" s="34"/>
      <c r="B464" s="34"/>
      <c r="C464" s="34"/>
      <c r="D464" s="188"/>
      <c r="E464" s="304"/>
      <c r="F464" s="34"/>
      <c r="G464" s="34"/>
      <c r="H464" s="34"/>
      <c r="I464" s="34"/>
      <c r="J464" s="44"/>
      <c r="K464" s="105"/>
      <c r="L464" s="34"/>
      <c r="M464" s="34"/>
      <c r="N464" s="34"/>
    </row>
    <row r="465" spans="1:14" ht="12.75">
      <c r="A465" s="34"/>
      <c r="B465" s="34"/>
      <c r="C465" s="34"/>
      <c r="D465" s="188"/>
      <c r="E465" s="304"/>
      <c r="F465" s="34"/>
      <c r="G465" s="34"/>
      <c r="H465" s="34"/>
      <c r="I465" s="34"/>
      <c r="J465" s="44"/>
      <c r="K465" s="105"/>
      <c r="L465" s="34"/>
      <c r="M465" s="34"/>
      <c r="N465" s="34"/>
    </row>
    <row r="466" spans="1:14" ht="12.75">
      <c r="A466" s="34"/>
      <c r="B466" s="34"/>
      <c r="C466" s="34"/>
      <c r="D466" s="188"/>
      <c r="E466" s="304"/>
      <c r="F466" s="34"/>
      <c r="G466" s="34"/>
      <c r="H466" s="34"/>
      <c r="I466" s="34"/>
      <c r="J466" s="44"/>
      <c r="K466" s="105"/>
      <c r="L466" s="34"/>
      <c r="M466" s="34"/>
      <c r="N466" s="34"/>
    </row>
    <row r="467" spans="1:14" ht="12.75">
      <c r="A467" s="34"/>
      <c r="B467" s="34"/>
      <c r="C467" s="34"/>
      <c r="D467" s="188"/>
      <c r="E467" s="304"/>
      <c r="F467" s="34"/>
      <c r="G467" s="34"/>
      <c r="H467" s="34"/>
      <c r="I467" s="34"/>
      <c r="J467" s="44"/>
      <c r="K467" s="105"/>
      <c r="L467" s="34"/>
      <c r="M467" s="34"/>
      <c r="N467" s="34"/>
    </row>
    <row r="468" spans="1:14" ht="12.75">
      <c r="A468" s="34"/>
      <c r="B468" s="34"/>
      <c r="C468" s="34"/>
      <c r="D468" s="188"/>
      <c r="E468" s="304"/>
      <c r="F468" s="34"/>
      <c r="G468" s="34"/>
      <c r="H468" s="34"/>
      <c r="I468" s="34"/>
      <c r="J468" s="44"/>
      <c r="K468" s="105"/>
      <c r="L468" s="34"/>
      <c r="M468" s="34"/>
      <c r="N468" s="34"/>
    </row>
    <row r="469" spans="1:14" ht="12.75">
      <c r="A469" s="34"/>
      <c r="B469" s="34"/>
      <c r="C469" s="34"/>
      <c r="D469" s="188"/>
      <c r="E469" s="304"/>
      <c r="F469" s="34"/>
      <c r="G469" s="34"/>
      <c r="H469" s="34"/>
      <c r="I469" s="34"/>
      <c r="J469" s="44"/>
      <c r="K469" s="105"/>
      <c r="L469" s="34"/>
      <c r="M469" s="34"/>
      <c r="N469" s="34"/>
    </row>
    <row r="470" spans="1:14" ht="12.75">
      <c r="A470" s="34"/>
      <c r="B470" s="34"/>
      <c r="C470" s="34"/>
      <c r="D470" s="188"/>
      <c r="E470" s="304"/>
      <c r="F470" s="34"/>
      <c r="G470" s="34"/>
      <c r="H470" s="34"/>
      <c r="I470" s="34"/>
      <c r="J470" s="44"/>
      <c r="K470" s="105"/>
      <c r="L470" s="34"/>
      <c r="M470" s="34"/>
      <c r="N470" s="34"/>
    </row>
    <row r="471" spans="1:14" ht="12.75">
      <c r="A471" s="34"/>
      <c r="B471" s="34"/>
      <c r="C471" s="34"/>
      <c r="D471" s="188"/>
      <c r="E471" s="304"/>
      <c r="F471" s="34"/>
      <c r="G471" s="34"/>
      <c r="H471" s="34"/>
      <c r="I471" s="34"/>
      <c r="J471" s="44"/>
      <c r="K471" s="105"/>
      <c r="L471" s="34"/>
      <c r="M471" s="34"/>
      <c r="N471" s="34"/>
    </row>
    <row r="472" spans="1:14" ht="12.75">
      <c r="A472" s="34"/>
      <c r="B472" s="34"/>
      <c r="C472" s="34"/>
      <c r="D472" s="188"/>
      <c r="E472" s="304"/>
      <c r="F472" s="34"/>
      <c r="G472" s="34"/>
      <c r="H472" s="34"/>
      <c r="I472" s="34"/>
      <c r="J472" s="44"/>
      <c r="K472" s="105"/>
      <c r="L472" s="34"/>
      <c r="M472" s="34"/>
      <c r="N472" s="34"/>
    </row>
    <row r="473" spans="1:14" ht="12.75">
      <c r="A473" s="34"/>
      <c r="B473" s="34"/>
      <c r="C473" s="34"/>
      <c r="D473" s="188"/>
      <c r="E473" s="304"/>
      <c r="F473" s="34"/>
      <c r="G473" s="34"/>
      <c r="H473" s="34"/>
      <c r="I473" s="34"/>
      <c r="J473" s="44"/>
      <c r="K473" s="105"/>
      <c r="L473" s="34"/>
      <c r="M473" s="34"/>
      <c r="N473" s="34"/>
    </row>
    <row r="474" spans="1:14" ht="12.75">
      <c r="A474" s="34"/>
      <c r="B474" s="34"/>
      <c r="C474" s="34"/>
      <c r="D474" s="188"/>
      <c r="E474" s="304"/>
      <c r="F474" s="34"/>
      <c r="G474" s="34"/>
      <c r="H474" s="34"/>
      <c r="I474" s="34"/>
      <c r="J474" s="44"/>
      <c r="K474" s="105"/>
      <c r="L474" s="34"/>
      <c r="M474" s="34"/>
      <c r="N474" s="34"/>
    </row>
    <row r="475" spans="1:14" ht="12.75">
      <c r="A475" s="34"/>
      <c r="B475" s="34"/>
      <c r="C475" s="34"/>
      <c r="D475" s="188"/>
      <c r="E475" s="304"/>
      <c r="F475" s="34"/>
      <c r="G475" s="34"/>
      <c r="H475" s="34"/>
      <c r="I475" s="34"/>
      <c r="J475" s="44"/>
      <c r="K475" s="105"/>
      <c r="L475" s="34"/>
      <c r="M475" s="34"/>
      <c r="N475" s="34"/>
    </row>
    <row r="476" spans="1:14" ht="12.75">
      <c r="A476" s="34"/>
      <c r="B476" s="34"/>
      <c r="C476" s="34"/>
      <c r="D476" s="188"/>
      <c r="E476" s="304"/>
      <c r="F476" s="34"/>
      <c r="G476" s="34"/>
      <c r="H476" s="34"/>
      <c r="I476" s="34"/>
      <c r="J476" s="44"/>
      <c r="K476" s="105"/>
      <c r="L476" s="34"/>
      <c r="M476" s="34"/>
      <c r="N476" s="34"/>
    </row>
    <row r="477" spans="1:14" ht="12.75">
      <c r="A477" s="34"/>
      <c r="B477" s="34"/>
      <c r="C477" s="34"/>
      <c r="D477" s="188"/>
      <c r="E477" s="304"/>
      <c r="F477" s="34"/>
      <c r="G477" s="34"/>
      <c r="H477" s="34"/>
      <c r="I477" s="34"/>
      <c r="J477" s="44"/>
      <c r="K477" s="105"/>
      <c r="L477" s="34"/>
      <c r="M477" s="34"/>
      <c r="N477" s="34"/>
    </row>
    <row r="478" spans="1:14" ht="12.75">
      <c r="A478" s="34"/>
      <c r="B478" s="34"/>
      <c r="C478" s="34"/>
      <c r="D478" s="188"/>
      <c r="E478" s="304"/>
      <c r="F478" s="34"/>
      <c r="G478" s="34"/>
      <c r="H478" s="34"/>
      <c r="I478" s="34"/>
      <c r="J478" s="44"/>
      <c r="K478" s="105"/>
      <c r="L478" s="34"/>
      <c r="M478" s="34"/>
      <c r="N478" s="34"/>
    </row>
    <row r="479" spans="1:14" ht="12.75">
      <c r="A479" s="34"/>
      <c r="B479" s="34"/>
      <c r="C479" s="34"/>
      <c r="D479" s="188"/>
      <c r="E479" s="304"/>
      <c r="F479" s="34"/>
      <c r="G479" s="34"/>
      <c r="H479" s="34"/>
      <c r="I479" s="34"/>
      <c r="J479" s="44"/>
      <c r="K479" s="105"/>
      <c r="L479" s="34"/>
      <c r="M479" s="34"/>
      <c r="N479" s="34"/>
    </row>
    <row r="480" spans="1:14" ht="12.75">
      <c r="A480" s="34"/>
      <c r="B480" s="34"/>
      <c r="C480" s="34"/>
      <c r="D480" s="188"/>
      <c r="E480" s="304"/>
      <c r="F480" s="34"/>
      <c r="G480" s="34"/>
      <c r="H480" s="34"/>
      <c r="I480" s="34"/>
      <c r="J480" s="44"/>
      <c r="K480" s="105"/>
      <c r="L480" s="34"/>
      <c r="M480" s="34"/>
      <c r="N480" s="34"/>
    </row>
    <row r="481" spans="1:14" ht="12.75">
      <c r="A481" s="34"/>
      <c r="B481" s="34"/>
      <c r="C481" s="34"/>
      <c r="D481" s="188"/>
      <c r="E481" s="304"/>
      <c r="F481" s="34"/>
      <c r="G481" s="34"/>
      <c r="H481" s="34"/>
      <c r="I481" s="34"/>
      <c r="J481" s="44"/>
      <c r="K481" s="105"/>
      <c r="L481" s="34"/>
      <c r="M481" s="34"/>
      <c r="N481" s="34"/>
    </row>
    <row r="482" spans="1:14" ht="12.75">
      <c r="A482" s="34"/>
      <c r="B482" s="34"/>
      <c r="C482" s="34"/>
      <c r="D482" s="188"/>
      <c r="E482" s="304"/>
      <c r="F482" s="34"/>
      <c r="G482" s="34"/>
      <c r="H482" s="34"/>
      <c r="I482" s="34"/>
      <c r="J482" s="44"/>
      <c r="K482" s="105"/>
      <c r="L482" s="34"/>
      <c r="M482" s="34"/>
      <c r="N482" s="34"/>
    </row>
    <row r="483" spans="1:14" ht="12.75">
      <c r="A483" s="34"/>
      <c r="B483" s="34"/>
      <c r="C483" s="34"/>
      <c r="D483" s="188"/>
      <c r="E483" s="304"/>
      <c r="F483" s="34"/>
      <c r="G483" s="34"/>
      <c r="H483" s="34"/>
      <c r="I483" s="34"/>
      <c r="J483" s="44"/>
      <c r="K483" s="105"/>
      <c r="L483" s="34"/>
      <c r="M483" s="34"/>
      <c r="N483" s="34"/>
    </row>
    <row r="484" spans="1:14" ht="12.75">
      <c r="A484" s="34"/>
      <c r="B484" s="34"/>
      <c r="C484" s="34"/>
      <c r="D484" s="188"/>
      <c r="E484" s="304"/>
      <c r="F484" s="34"/>
      <c r="G484" s="34"/>
      <c r="H484" s="34"/>
      <c r="I484" s="34"/>
      <c r="J484" s="44"/>
      <c r="K484" s="105"/>
      <c r="L484" s="34"/>
      <c r="M484" s="34"/>
      <c r="N484" s="34"/>
    </row>
    <row r="485" spans="1:14" ht="12.75">
      <c r="A485" s="34"/>
      <c r="B485" s="34"/>
      <c r="C485" s="34"/>
      <c r="D485" s="188"/>
      <c r="E485" s="304"/>
      <c r="F485" s="34"/>
      <c r="G485" s="34"/>
      <c r="H485" s="34"/>
      <c r="I485" s="34"/>
      <c r="J485" s="44"/>
      <c r="K485" s="105"/>
      <c r="L485" s="34"/>
      <c r="M485" s="34"/>
      <c r="N485" s="34"/>
    </row>
    <row r="486" spans="1:14" ht="12.75">
      <c r="A486" s="34"/>
      <c r="B486" s="34"/>
      <c r="C486" s="34"/>
      <c r="D486" s="188"/>
      <c r="E486" s="304"/>
      <c r="F486" s="34"/>
      <c r="G486" s="34"/>
      <c r="H486" s="34"/>
      <c r="I486" s="34"/>
      <c r="J486" s="44"/>
      <c r="K486" s="105"/>
      <c r="L486" s="34"/>
      <c r="M486" s="34"/>
      <c r="N486" s="34"/>
    </row>
    <row r="487" spans="1:14" ht="12.75">
      <c r="A487" s="34"/>
      <c r="B487" s="34"/>
      <c r="C487" s="34"/>
      <c r="D487" s="188"/>
      <c r="E487" s="304"/>
      <c r="F487" s="34"/>
      <c r="G487" s="34"/>
      <c r="H487" s="34"/>
      <c r="I487" s="34"/>
      <c r="J487" s="44"/>
      <c r="K487" s="105"/>
      <c r="L487" s="34"/>
      <c r="M487" s="34"/>
      <c r="N487" s="34"/>
    </row>
    <row r="488" spans="1:14" ht="12.75">
      <c r="A488" s="34"/>
      <c r="B488" s="34"/>
      <c r="C488" s="34"/>
      <c r="D488" s="188"/>
      <c r="E488" s="304"/>
      <c r="F488" s="34"/>
      <c r="G488" s="34"/>
      <c r="H488" s="34"/>
      <c r="I488" s="34"/>
      <c r="J488" s="44"/>
      <c r="K488" s="105"/>
      <c r="L488" s="34"/>
      <c r="M488" s="34"/>
      <c r="N488" s="34"/>
    </row>
    <row r="489" spans="1:14" ht="12.75">
      <c r="A489" s="34"/>
      <c r="B489" s="34"/>
      <c r="C489" s="34"/>
      <c r="D489" s="188"/>
      <c r="E489" s="304"/>
      <c r="F489" s="34"/>
      <c r="G489" s="34"/>
      <c r="H489" s="34"/>
      <c r="I489" s="34"/>
      <c r="J489" s="44"/>
      <c r="K489" s="105"/>
      <c r="L489" s="34"/>
      <c r="M489" s="34"/>
      <c r="N489" s="34"/>
    </row>
    <row r="490" spans="1:14" ht="12.75">
      <c r="A490" s="34"/>
      <c r="B490" s="34"/>
      <c r="C490" s="34"/>
      <c r="D490" s="188"/>
      <c r="E490" s="304"/>
      <c r="F490" s="34"/>
      <c r="G490" s="34"/>
      <c r="H490" s="34"/>
      <c r="I490" s="34"/>
      <c r="J490" s="44"/>
      <c r="K490" s="105"/>
      <c r="L490" s="34"/>
      <c r="M490" s="34"/>
      <c r="N490" s="34"/>
    </row>
    <row r="491" spans="1:14" ht="12.75">
      <c r="A491" s="34"/>
      <c r="B491" s="34"/>
      <c r="C491" s="34"/>
      <c r="D491" s="188"/>
      <c r="E491" s="304"/>
      <c r="F491" s="34"/>
      <c r="G491" s="34"/>
      <c r="H491" s="34"/>
      <c r="I491" s="34"/>
      <c r="J491" s="44"/>
      <c r="K491" s="105"/>
      <c r="L491" s="34"/>
      <c r="M491" s="34"/>
      <c r="N491" s="34"/>
    </row>
    <row r="492" spans="1:14" ht="12.75">
      <c r="A492" s="34"/>
      <c r="B492" s="34"/>
      <c r="C492" s="34"/>
      <c r="D492" s="188"/>
      <c r="E492" s="304"/>
      <c r="F492" s="34"/>
      <c r="G492" s="34"/>
      <c r="H492" s="34"/>
      <c r="I492" s="34"/>
      <c r="J492" s="44"/>
      <c r="K492" s="105"/>
      <c r="L492" s="34"/>
      <c r="M492" s="34"/>
      <c r="N492" s="34"/>
    </row>
    <row r="493" spans="1:14" ht="12.75">
      <c r="A493" s="34"/>
      <c r="B493" s="34"/>
      <c r="C493" s="34"/>
      <c r="D493" s="188"/>
      <c r="E493" s="304"/>
      <c r="F493" s="34"/>
      <c r="G493" s="34"/>
      <c r="H493" s="34"/>
      <c r="I493" s="34"/>
      <c r="J493" s="44"/>
      <c r="K493" s="105"/>
      <c r="L493" s="34"/>
      <c r="M493" s="34"/>
      <c r="N493" s="34"/>
    </row>
    <row r="494" spans="1:14" ht="12.75">
      <c r="A494" s="34"/>
      <c r="B494" s="34"/>
      <c r="C494" s="34"/>
      <c r="D494" s="188"/>
      <c r="E494" s="304"/>
      <c r="F494" s="34"/>
      <c r="G494" s="34"/>
      <c r="H494" s="34"/>
      <c r="I494" s="34"/>
      <c r="J494" s="44"/>
      <c r="K494" s="105"/>
      <c r="L494" s="34"/>
      <c r="M494" s="34"/>
      <c r="N494" s="34"/>
    </row>
    <row r="495" spans="1:14" ht="12.75">
      <c r="A495" s="34"/>
      <c r="B495" s="34"/>
      <c r="C495" s="34"/>
      <c r="D495" s="188"/>
      <c r="E495" s="304"/>
      <c r="F495" s="34"/>
      <c r="G495" s="34"/>
      <c r="H495" s="34"/>
      <c r="I495" s="34"/>
      <c r="J495" s="44"/>
      <c r="K495" s="105"/>
      <c r="L495" s="34"/>
      <c r="M495" s="34"/>
      <c r="N495" s="34"/>
    </row>
    <row r="496" spans="1:14" ht="12.75">
      <c r="A496" s="34"/>
      <c r="B496" s="34"/>
      <c r="C496" s="34"/>
      <c r="D496" s="188"/>
      <c r="E496" s="304"/>
      <c r="F496" s="34"/>
      <c r="G496" s="34"/>
      <c r="H496" s="34"/>
      <c r="I496" s="34"/>
      <c r="J496" s="44"/>
      <c r="K496" s="105"/>
      <c r="L496" s="34"/>
      <c r="M496" s="34"/>
      <c r="N496" s="34"/>
    </row>
    <row r="497" spans="1:14" ht="12.75">
      <c r="A497" s="34"/>
      <c r="B497" s="34"/>
      <c r="C497" s="34"/>
      <c r="D497" s="188"/>
      <c r="E497" s="304"/>
      <c r="F497" s="34"/>
      <c r="G497" s="34"/>
      <c r="H497" s="34"/>
      <c r="I497" s="34"/>
      <c r="J497" s="44"/>
      <c r="K497" s="105"/>
      <c r="L497" s="34"/>
      <c r="M497" s="34"/>
      <c r="N497" s="34"/>
    </row>
    <row r="498" spans="1:14" ht="12.75">
      <c r="A498" s="34"/>
      <c r="B498" s="34"/>
      <c r="C498" s="34"/>
      <c r="D498" s="188"/>
      <c r="E498" s="304"/>
      <c r="F498" s="34"/>
      <c r="G498" s="34"/>
      <c r="H498" s="34"/>
      <c r="I498" s="34"/>
      <c r="J498" s="44"/>
      <c r="K498" s="105"/>
      <c r="L498" s="34"/>
      <c r="M498" s="34"/>
      <c r="N498" s="34"/>
    </row>
    <row r="499" spans="1:14" ht="12.75">
      <c r="A499" s="34"/>
      <c r="B499" s="34"/>
      <c r="C499" s="34"/>
      <c r="D499" s="188"/>
      <c r="E499" s="304"/>
      <c r="F499" s="34"/>
      <c r="G499" s="34"/>
      <c r="H499" s="34"/>
      <c r="I499" s="34"/>
      <c r="J499" s="44"/>
      <c r="K499" s="105"/>
      <c r="L499" s="34"/>
      <c r="M499" s="34"/>
      <c r="N499" s="34"/>
    </row>
    <row r="500" spans="1:14" ht="12.75">
      <c r="A500" s="34"/>
      <c r="B500" s="34"/>
      <c r="C500" s="34"/>
      <c r="D500" s="188"/>
      <c r="E500" s="304"/>
      <c r="F500" s="34"/>
      <c r="G500" s="34"/>
      <c r="H500" s="34"/>
      <c r="I500" s="34"/>
      <c r="J500" s="44"/>
      <c r="K500" s="105"/>
      <c r="L500" s="34"/>
      <c r="M500" s="34"/>
      <c r="N500" s="34"/>
    </row>
    <row r="501" spans="1:14" ht="12.75">
      <c r="A501" s="34"/>
      <c r="B501" s="34"/>
      <c r="C501" s="34"/>
      <c r="D501" s="188"/>
      <c r="E501" s="304"/>
      <c r="F501" s="34"/>
      <c r="G501" s="34"/>
      <c r="H501" s="34"/>
      <c r="I501" s="34"/>
      <c r="J501" s="44"/>
      <c r="K501" s="105"/>
      <c r="L501" s="34"/>
      <c r="M501" s="34"/>
      <c r="N501" s="34"/>
    </row>
    <row r="502" spans="1:14" ht="12.75">
      <c r="A502" s="34"/>
      <c r="B502" s="34"/>
      <c r="C502" s="34"/>
      <c r="D502" s="188"/>
      <c r="E502" s="304"/>
      <c r="F502" s="34"/>
      <c r="G502" s="34"/>
      <c r="H502" s="34"/>
      <c r="I502" s="34"/>
      <c r="J502" s="44"/>
      <c r="K502" s="105"/>
      <c r="L502" s="34"/>
      <c r="M502" s="34"/>
      <c r="N502" s="34"/>
    </row>
    <row r="503" spans="1:14" ht="12.75">
      <c r="A503" s="34"/>
      <c r="B503" s="34"/>
      <c r="C503" s="34"/>
      <c r="D503" s="188"/>
      <c r="E503" s="304"/>
      <c r="F503" s="34"/>
      <c r="G503" s="34"/>
      <c r="H503" s="34"/>
      <c r="I503" s="34"/>
      <c r="J503" s="44"/>
      <c r="K503" s="105"/>
      <c r="L503" s="34"/>
      <c r="M503" s="34"/>
      <c r="N503" s="34"/>
    </row>
    <row r="504" spans="1:14" ht="12.75">
      <c r="A504" s="34"/>
      <c r="B504" s="34"/>
      <c r="C504" s="34"/>
      <c r="D504" s="188"/>
      <c r="E504" s="304"/>
      <c r="F504" s="34"/>
      <c r="G504" s="34"/>
      <c r="H504" s="34"/>
      <c r="I504" s="34"/>
      <c r="J504" s="44"/>
      <c r="K504" s="105"/>
      <c r="L504" s="34"/>
      <c r="M504" s="34"/>
      <c r="N504" s="34"/>
    </row>
    <row r="505" spans="1:14" ht="12.75">
      <c r="A505" s="34"/>
      <c r="B505" s="34"/>
      <c r="C505" s="34"/>
      <c r="D505" s="188"/>
      <c r="E505" s="304"/>
      <c r="F505" s="34"/>
      <c r="G505" s="34"/>
      <c r="H505" s="34"/>
      <c r="I505" s="34"/>
      <c r="J505" s="44"/>
      <c r="K505" s="105"/>
      <c r="L505" s="34"/>
      <c r="M505" s="34"/>
      <c r="N505" s="34"/>
    </row>
    <row r="506" spans="1:14" ht="12.75">
      <c r="A506" s="34"/>
      <c r="B506" s="34"/>
      <c r="C506" s="34"/>
      <c r="D506" s="188"/>
      <c r="E506" s="304"/>
      <c r="F506" s="34"/>
      <c r="G506" s="34"/>
      <c r="H506" s="34"/>
      <c r="I506" s="34"/>
      <c r="J506" s="44"/>
      <c r="K506" s="105"/>
      <c r="L506" s="34"/>
      <c r="M506" s="34"/>
      <c r="N506" s="34"/>
    </row>
    <row r="507" spans="1:14" ht="12.75">
      <c r="A507" s="34"/>
      <c r="B507" s="34"/>
      <c r="C507" s="34"/>
      <c r="D507" s="188"/>
      <c r="E507" s="304"/>
      <c r="F507" s="34"/>
      <c r="G507" s="34"/>
      <c r="H507" s="34"/>
      <c r="I507" s="34"/>
      <c r="J507" s="44"/>
      <c r="K507" s="105"/>
      <c r="L507" s="34"/>
      <c r="M507" s="34"/>
      <c r="N507" s="34"/>
    </row>
    <row r="508" spans="1:14" ht="12.75">
      <c r="A508" s="34"/>
      <c r="B508" s="34"/>
      <c r="C508" s="34"/>
      <c r="D508" s="188"/>
      <c r="E508" s="304"/>
      <c r="F508" s="34"/>
      <c r="G508" s="34"/>
      <c r="H508" s="34"/>
      <c r="I508" s="34"/>
      <c r="J508" s="44"/>
      <c r="K508" s="105"/>
      <c r="L508" s="34"/>
      <c r="M508" s="34"/>
      <c r="N508" s="34"/>
    </row>
    <row r="509" spans="1:14" ht="12.75">
      <c r="A509" s="34"/>
      <c r="B509" s="34"/>
      <c r="C509" s="34"/>
      <c r="D509" s="188"/>
      <c r="E509" s="304"/>
      <c r="F509" s="34"/>
      <c r="G509" s="34"/>
      <c r="H509" s="34"/>
      <c r="I509" s="34"/>
      <c r="J509" s="44"/>
      <c r="K509" s="105"/>
      <c r="L509" s="34"/>
      <c r="M509" s="34"/>
      <c r="N509" s="34"/>
    </row>
    <row r="510" spans="1:14" ht="12.75">
      <c r="A510" s="34"/>
      <c r="B510" s="34"/>
      <c r="C510" s="34"/>
      <c r="D510" s="188"/>
      <c r="E510" s="304"/>
      <c r="F510" s="34"/>
      <c r="G510" s="34"/>
      <c r="H510" s="34"/>
      <c r="I510" s="34"/>
      <c r="J510" s="44"/>
      <c r="K510" s="105"/>
      <c r="L510" s="34"/>
      <c r="M510" s="34"/>
      <c r="N510" s="34"/>
    </row>
    <row r="511" spans="1:14" ht="12.75">
      <c r="A511" s="34"/>
      <c r="B511" s="34"/>
      <c r="C511" s="34"/>
      <c r="D511" s="188"/>
      <c r="E511" s="304"/>
      <c r="F511" s="34"/>
      <c r="G511" s="34"/>
      <c r="H511" s="34"/>
      <c r="I511" s="34"/>
      <c r="J511" s="44"/>
      <c r="K511" s="105"/>
      <c r="L511" s="34"/>
      <c r="M511" s="34"/>
      <c r="N511" s="34"/>
    </row>
    <row r="512" spans="1:14" ht="12.75">
      <c r="A512" s="34"/>
      <c r="B512" s="34"/>
      <c r="C512" s="34"/>
      <c r="D512" s="188"/>
      <c r="E512" s="304"/>
      <c r="F512" s="34"/>
      <c r="G512" s="34"/>
      <c r="H512" s="34"/>
      <c r="I512" s="34"/>
      <c r="J512" s="44"/>
      <c r="K512" s="105"/>
      <c r="L512" s="34"/>
      <c r="M512" s="34"/>
      <c r="N512" s="34"/>
    </row>
    <row r="513" spans="1:14" ht="12.75">
      <c r="A513" s="34"/>
      <c r="B513" s="34"/>
      <c r="C513" s="34"/>
      <c r="D513" s="188"/>
      <c r="E513" s="304"/>
      <c r="F513" s="34"/>
      <c r="G513" s="34"/>
      <c r="H513" s="34"/>
      <c r="I513" s="34"/>
      <c r="J513" s="44"/>
      <c r="K513" s="105"/>
      <c r="L513" s="34"/>
      <c r="M513" s="34"/>
      <c r="N513" s="34"/>
    </row>
    <row r="514" spans="1:14" ht="12.75">
      <c r="A514" s="34"/>
      <c r="B514" s="34"/>
      <c r="C514" s="34"/>
      <c r="D514" s="188"/>
      <c r="E514" s="304"/>
      <c r="F514" s="34"/>
      <c r="G514" s="34"/>
      <c r="H514" s="34"/>
      <c r="I514" s="34"/>
      <c r="J514" s="44"/>
      <c r="K514" s="105"/>
      <c r="L514" s="34"/>
      <c r="M514" s="34"/>
      <c r="N514" s="34"/>
    </row>
    <row r="515" spans="1:14" ht="12.75">
      <c r="A515" s="34"/>
      <c r="B515" s="34"/>
      <c r="C515" s="34"/>
      <c r="D515" s="188"/>
      <c r="E515" s="304"/>
      <c r="F515" s="34"/>
      <c r="G515" s="34"/>
      <c r="H515" s="34"/>
      <c r="I515" s="34"/>
      <c r="J515" s="44"/>
      <c r="K515" s="105"/>
      <c r="L515" s="34"/>
      <c r="M515" s="34"/>
      <c r="N515" s="34"/>
    </row>
    <row r="516" spans="1:14" ht="12.75">
      <c r="A516" s="34"/>
      <c r="B516" s="34"/>
      <c r="C516" s="34"/>
      <c r="D516" s="188"/>
      <c r="E516" s="304"/>
      <c r="F516" s="34"/>
      <c r="G516" s="34"/>
      <c r="H516" s="34"/>
      <c r="I516" s="34"/>
      <c r="J516" s="44"/>
      <c r="K516" s="105"/>
      <c r="L516" s="34"/>
      <c r="M516" s="34"/>
      <c r="N516" s="34"/>
    </row>
    <row r="517" spans="1:14" ht="12.75">
      <c r="A517" s="34"/>
      <c r="B517" s="34"/>
      <c r="C517" s="34"/>
      <c r="D517" s="188"/>
      <c r="E517" s="304"/>
      <c r="F517" s="34"/>
      <c r="G517" s="34"/>
      <c r="H517" s="34"/>
      <c r="I517" s="34"/>
      <c r="J517" s="44"/>
      <c r="K517" s="105"/>
      <c r="L517" s="34"/>
      <c r="M517" s="34"/>
      <c r="N517" s="34"/>
    </row>
    <row r="518" spans="1:14" ht="12.75">
      <c r="A518" s="34"/>
      <c r="B518" s="34"/>
      <c r="C518" s="34"/>
      <c r="D518" s="188"/>
      <c r="E518" s="304"/>
      <c r="F518" s="34"/>
      <c r="G518" s="34"/>
      <c r="H518" s="34"/>
      <c r="I518" s="34"/>
      <c r="J518" s="44"/>
      <c r="K518" s="105"/>
      <c r="L518" s="34"/>
      <c r="M518" s="34"/>
      <c r="N518" s="34"/>
    </row>
    <row r="519" spans="1:14" ht="12.75">
      <c r="A519" s="34"/>
      <c r="B519" s="34"/>
      <c r="C519" s="34"/>
      <c r="D519" s="188"/>
      <c r="E519" s="304"/>
      <c r="F519" s="34"/>
      <c r="G519" s="34"/>
      <c r="H519" s="34"/>
      <c r="I519" s="34"/>
      <c r="J519" s="44"/>
      <c r="K519" s="105"/>
      <c r="L519" s="34"/>
      <c r="M519" s="34"/>
      <c r="N519" s="34"/>
    </row>
    <row r="520" spans="1:14" ht="12.75">
      <c r="A520" s="34"/>
      <c r="B520" s="34"/>
      <c r="C520" s="34"/>
      <c r="D520" s="188"/>
      <c r="E520" s="304"/>
      <c r="F520" s="34"/>
      <c r="G520" s="34"/>
      <c r="H520" s="34"/>
      <c r="I520" s="34"/>
      <c r="J520" s="44"/>
      <c r="K520" s="105"/>
      <c r="L520" s="34"/>
      <c r="M520" s="34"/>
      <c r="N520" s="34"/>
    </row>
    <row r="521" spans="1:14" ht="12.75">
      <c r="A521" s="34"/>
      <c r="B521" s="34"/>
      <c r="C521" s="34"/>
      <c r="D521" s="188"/>
      <c r="E521" s="304"/>
      <c r="F521" s="34"/>
      <c r="G521" s="34"/>
      <c r="H521" s="34"/>
      <c r="I521" s="34"/>
      <c r="J521" s="44"/>
      <c r="K521" s="105"/>
      <c r="L521" s="34"/>
      <c r="M521" s="34"/>
      <c r="N521" s="34"/>
    </row>
    <row r="522" spans="1:14" ht="12.75">
      <c r="A522" s="34"/>
      <c r="B522" s="34"/>
      <c r="C522" s="34"/>
      <c r="D522" s="188"/>
      <c r="E522" s="304"/>
      <c r="F522" s="34"/>
      <c r="G522" s="34"/>
      <c r="H522" s="34"/>
      <c r="I522" s="34"/>
      <c r="J522" s="44"/>
      <c r="K522" s="105"/>
      <c r="L522" s="34"/>
      <c r="M522" s="34"/>
      <c r="N522" s="34"/>
    </row>
    <row r="523" spans="1:14" ht="12.75">
      <c r="A523" s="34"/>
      <c r="B523" s="34"/>
      <c r="C523" s="34"/>
      <c r="D523" s="188"/>
      <c r="E523" s="304"/>
      <c r="F523" s="34"/>
      <c r="G523" s="34"/>
      <c r="H523" s="34"/>
      <c r="I523" s="34"/>
      <c r="J523" s="44"/>
      <c r="K523" s="105"/>
      <c r="L523" s="34"/>
      <c r="M523" s="34"/>
      <c r="N523" s="34"/>
    </row>
    <row r="524" spans="1:14" ht="12.75">
      <c r="A524" s="34"/>
      <c r="B524" s="34"/>
      <c r="C524" s="34"/>
      <c r="D524" s="188"/>
      <c r="E524" s="304"/>
      <c r="F524" s="34"/>
      <c r="G524" s="34"/>
      <c r="H524" s="34"/>
      <c r="I524" s="34"/>
      <c r="J524" s="44"/>
      <c r="K524" s="105"/>
      <c r="L524" s="34"/>
      <c r="M524" s="34"/>
      <c r="N524" s="34"/>
    </row>
    <row r="525" spans="1:14" ht="12.75">
      <c r="A525" s="34"/>
      <c r="B525" s="34"/>
      <c r="C525" s="34"/>
      <c r="D525" s="188"/>
      <c r="E525" s="304"/>
      <c r="F525" s="34"/>
      <c r="G525" s="34"/>
      <c r="H525" s="34"/>
      <c r="I525" s="34"/>
      <c r="J525" s="44"/>
      <c r="K525" s="105"/>
      <c r="L525" s="34"/>
      <c r="M525" s="34"/>
      <c r="N525" s="34"/>
    </row>
    <row r="526" spans="1:14" ht="12.75">
      <c r="A526" s="34"/>
      <c r="B526" s="34"/>
      <c r="C526" s="34"/>
      <c r="D526" s="188"/>
      <c r="E526" s="304"/>
      <c r="F526" s="34"/>
      <c r="G526" s="34"/>
      <c r="H526" s="34"/>
      <c r="I526" s="34"/>
      <c r="J526" s="44"/>
      <c r="K526" s="105"/>
      <c r="L526" s="34"/>
      <c r="M526" s="34"/>
      <c r="N526" s="34"/>
    </row>
    <row r="527" spans="1:14" ht="12.75">
      <c r="A527" s="34"/>
      <c r="B527" s="34"/>
      <c r="C527" s="34"/>
      <c r="D527" s="188"/>
      <c r="E527" s="304"/>
      <c r="F527" s="34"/>
      <c r="G527" s="34"/>
      <c r="H527" s="34"/>
      <c r="I527" s="34"/>
      <c r="J527" s="44"/>
      <c r="K527" s="105"/>
      <c r="L527" s="34"/>
      <c r="M527" s="34"/>
      <c r="N527" s="34"/>
    </row>
    <row r="528" spans="1:14" ht="12.75">
      <c r="A528" s="34"/>
      <c r="B528" s="34"/>
      <c r="C528" s="34"/>
      <c r="D528" s="188"/>
      <c r="E528" s="304"/>
      <c r="F528" s="34"/>
      <c r="G528" s="34"/>
      <c r="H528" s="34"/>
      <c r="I528" s="34"/>
      <c r="J528" s="44"/>
      <c r="K528" s="105"/>
      <c r="L528" s="34"/>
      <c r="M528" s="34"/>
      <c r="N528" s="34"/>
    </row>
    <row r="529" spans="1:14" ht="12.75">
      <c r="A529" s="34"/>
      <c r="B529" s="34"/>
      <c r="C529" s="34"/>
      <c r="D529" s="188"/>
      <c r="E529" s="304"/>
      <c r="F529" s="34"/>
      <c r="G529" s="34"/>
      <c r="H529" s="34"/>
      <c r="I529" s="34"/>
      <c r="J529" s="44"/>
      <c r="K529" s="105"/>
      <c r="L529" s="34"/>
      <c r="M529" s="34"/>
      <c r="N529" s="34"/>
    </row>
    <row r="530" spans="1:14" ht="12.75">
      <c r="A530" s="34"/>
      <c r="B530" s="34"/>
      <c r="C530" s="34"/>
      <c r="D530" s="188"/>
      <c r="E530" s="304"/>
      <c r="F530" s="34"/>
      <c r="G530" s="34"/>
      <c r="H530" s="34"/>
      <c r="I530" s="34"/>
      <c r="J530" s="44"/>
      <c r="K530" s="105"/>
      <c r="L530" s="34"/>
      <c r="M530" s="34"/>
      <c r="N530" s="34"/>
    </row>
    <row r="531" spans="1:14" ht="12.75">
      <c r="A531" s="34"/>
      <c r="B531" s="34"/>
      <c r="C531" s="34"/>
      <c r="D531" s="188"/>
      <c r="E531" s="304"/>
      <c r="F531" s="34"/>
      <c r="G531" s="34"/>
      <c r="H531" s="34"/>
      <c r="I531" s="34"/>
      <c r="J531" s="44"/>
      <c r="K531" s="105"/>
      <c r="L531" s="34"/>
      <c r="M531" s="34"/>
      <c r="N531" s="34"/>
    </row>
    <row r="532" spans="1:14" ht="12.75">
      <c r="A532" s="34"/>
      <c r="B532" s="34"/>
      <c r="C532" s="34"/>
      <c r="D532" s="188"/>
      <c r="E532" s="304"/>
      <c r="F532" s="34"/>
      <c r="G532" s="34"/>
      <c r="H532" s="34"/>
      <c r="I532" s="34"/>
      <c r="J532" s="44"/>
      <c r="K532" s="105"/>
      <c r="L532" s="34"/>
      <c r="M532" s="34"/>
      <c r="N532" s="34"/>
    </row>
    <row r="533" spans="1:14" ht="12.75">
      <c r="A533" s="34"/>
      <c r="B533" s="34"/>
      <c r="C533" s="34"/>
      <c r="D533" s="188"/>
      <c r="E533" s="304"/>
      <c r="F533" s="34"/>
      <c r="G533" s="34"/>
      <c r="H533" s="34"/>
      <c r="I533" s="34"/>
      <c r="J533" s="44"/>
      <c r="K533" s="105"/>
      <c r="L533" s="34"/>
      <c r="M533" s="34"/>
      <c r="N533" s="34"/>
    </row>
    <row r="534" spans="1:14" ht="12.75">
      <c r="A534" s="34"/>
      <c r="B534" s="34"/>
      <c r="C534" s="34"/>
      <c r="D534" s="188"/>
      <c r="E534" s="304"/>
      <c r="F534" s="34"/>
      <c r="G534" s="34"/>
      <c r="H534" s="34"/>
      <c r="I534" s="34"/>
      <c r="J534" s="44"/>
      <c r="K534" s="105"/>
      <c r="L534" s="34"/>
      <c r="M534" s="34"/>
      <c r="N534" s="34"/>
    </row>
    <row r="535" spans="1:14" ht="12.75">
      <c r="A535" s="34"/>
      <c r="B535" s="34"/>
      <c r="C535" s="34"/>
      <c r="D535" s="188"/>
      <c r="E535" s="304"/>
      <c r="F535" s="34"/>
      <c r="G535" s="34"/>
      <c r="H535" s="34"/>
      <c r="I535" s="34"/>
      <c r="J535" s="44"/>
      <c r="K535" s="105"/>
      <c r="L535" s="34"/>
      <c r="M535" s="34"/>
      <c r="N535" s="34"/>
    </row>
    <row r="536" spans="1:14" ht="12.75">
      <c r="A536" s="34"/>
      <c r="B536" s="34"/>
      <c r="C536" s="34"/>
      <c r="D536" s="188"/>
      <c r="E536" s="304"/>
      <c r="F536" s="34"/>
      <c r="G536" s="34"/>
      <c r="H536" s="34"/>
      <c r="I536" s="34"/>
      <c r="J536" s="44"/>
      <c r="K536" s="105"/>
      <c r="L536" s="34"/>
      <c r="M536" s="34"/>
      <c r="N536" s="34"/>
    </row>
    <row r="537" spans="1:14" ht="12.75">
      <c r="A537" s="34"/>
      <c r="B537" s="34"/>
      <c r="C537" s="34"/>
      <c r="D537" s="188"/>
      <c r="E537" s="304"/>
      <c r="F537" s="34"/>
      <c r="G537" s="34"/>
      <c r="H537" s="34"/>
      <c r="I537" s="34"/>
      <c r="J537" s="44"/>
      <c r="K537" s="105"/>
      <c r="L537" s="34"/>
      <c r="M537" s="34"/>
      <c r="N537" s="34"/>
    </row>
    <row r="538" spans="1:14" ht="12.75">
      <c r="A538" s="34"/>
      <c r="B538" s="34"/>
      <c r="C538" s="34"/>
      <c r="D538" s="188"/>
      <c r="E538" s="304"/>
      <c r="F538" s="34"/>
      <c r="G538" s="34"/>
      <c r="H538" s="34"/>
      <c r="I538" s="34"/>
      <c r="J538" s="44"/>
      <c r="K538" s="105"/>
      <c r="L538" s="34"/>
      <c r="M538" s="34"/>
      <c r="N538" s="34"/>
    </row>
    <row r="539" spans="1:14" ht="12.75">
      <c r="A539" s="34"/>
      <c r="B539" s="34"/>
      <c r="C539" s="34"/>
      <c r="D539" s="188"/>
      <c r="E539" s="304"/>
      <c r="F539" s="34"/>
      <c r="G539" s="34"/>
      <c r="H539" s="34"/>
      <c r="I539" s="34"/>
      <c r="J539" s="44"/>
      <c r="K539" s="105"/>
      <c r="L539" s="34"/>
      <c r="M539" s="34"/>
      <c r="N539" s="34"/>
    </row>
    <row r="540" spans="1:14" ht="12.75">
      <c r="A540" s="34"/>
      <c r="B540" s="34"/>
      <c r="C540" s="34"/>
      <c r="D540" s="188"/>
      <c r="E540" s="304"/>
      <c r="F540" s="34"/>
      <c r="G540" s="34"/>
      <c r="H540" s="34"/>
      <c r="I540" s="34"/>
      <c r="J540" s="44"/>
      <c r="K540" s="105"/>
      <c r="L540" s="34"/>
      <c r="M540" s="34"/>
      <c r="N540" s="34"/>
    </row>
    <row r="541" spans="1:14" ht="12.75">
      <c r="A541" s="34"/>
      <c r="B541" s="34"/>
      <c r="C541" s="34"/>
      <c r="D541" s="188"/>
      <c r="E541" s="304"/>
      <c r="F541" s="34"/>
      <c r="G541" s="34"/>
      <c r="H541" s="34"/>
      <c r="I541" s="34"/>
      <c r="J541" s="44"/>
      <c r="K541" s="105"/>
      <c r="L541" s="34"/>
      <c r="M541" s="34"/>
      <c r="N541" s="34"/>
    </row>
    <row r="542" spans="1:14" ht="12.75">
      <c r="A542" s="34"/>
      <c r="B542" s="34"/>
      <c r="C542" s="34"/>
      <c r="D542" s="188"/>
      <c r="E542" s="304"/>
      <c r="F542" s="34"/>
      <c r="G542" s="34"/>
      <c r="H542" s="34"/>
      <c r="I542" s="34"/>
      <c r="J542" s="44"/>
      <c r="K542" s="105"/>
      <c r="L542" s="34"/>
      <c r="M542" s="34"/>
      <c r="N542" s="34"/>
    </row>
    <row r="543" spans="1:14" ht="12.75">
      <c r="A543" s="34"/>
      <c r="B543" s="34"/>
      <c r="C543" s="34"/>
      <c r="D543" s="188"/>
      <c r="E543" s="304"/>
      <c r="F543" s="34"/>
      <c r="G543" s="34"/>
      <c r="H543" s="34"/>
      <c r="I543" s="34"/>
      <c r="J543" s="44"/>
      <c r="K543" s="105"/>
      <c r="L543" s="34"/>
      <c r="M543" s="34"/>
      <c r="N543" s="34"/>
    </row>
    <row r="544" spans="1:14" ht="12.75">
      <c r="A544" s="34"/>
      <c r="B544" s="34"/>
      <c r="C544" s="34"/>
      <c r="D544" s="188"/>
      <c r="E544" s="304"/>
      <c r="F544" s="34"/>
      <c r="G544" s="34"/>
      <c r="H544" s="34"/>
      <c r="I544" s="34"/>
      <c r="J544" s="44"/>
      <c r="K544" s="105"/>
      <c r="L544" s="34"/>
      <c r="M544" s="34"/>
      <c r="N544" s="34"/>
    </row>
    <row r="545" spans="1:14" ht="12.75">
      <c r="A545" s="34"/>
      <c r="B545" s="34"/>
      <c r="C545" s="34"/>
      <c r="D545" s="188"/>
      <c r="E545" s="304"/>
      <c r="F545" s="34"/>
      <c r="G545" s="34"/>
      <c r="H545" s="34"/>
      <c r="I545" s="34"/>
      <c r="J545" s="44"/>
      <c r="K545" s="105"/>
      <c r="L545" s="34"/>
      <c r="M545" s="34"/>
      <c r="N545" s="34"/>
    </row>
    <row r="546" spans="1:14" ht="12.75">
      <c r="A546" s="34"/>
      <c r="B546" s="34"/>
      <c r="C546" s="34"/>
      <c r="D546" s="188"/>
      <c r="E546" s="304"/>
      <c r="F546" s="34"/>
      <c r="G546" s="34"/>
      <c r="H546" s="34"/>
      <c r="I546" s="34"/>
      <c r="J546" s="44"/>
      <c r="K546" s="105"/>
      <c r="L546" s="34"/>
      <c r="M546" s="34"/>
      <c r="N546" s="34"/>
    </row>
    <row r="547" spans="1:14" ht="12.75">
      <c r="A547" s="34"/>
      <c r="B547" s="34"/>
      <c r="C547" s="34"/>
      <c r="D547" s="188"/>
      <c r="E547" s="304"/>
      <c r="F547" s="34"/>
      <c r="G547" s="34"/>
      <c r="H547" s="34"/>
      <c r="I547" s="34"/>
      <c r="J547" s="44"/>
      <c r="K547" s="105"/>
      <c r="L547" s="34"/>
      <c r="M547" s="34"/>
      <c r="N547" s="34"/>
    </row>
    <row r="548" spans="1:14" ht="12.75">
      <c r="A548" s="34"/>
      <c r="B548" s="34"/>
      <c r="C548" s="34"/>
      <c r="D548" s="188"/>
      <c r="E548" s="304"/>
      <c r="F548" s="34"/>
      <c r="G548" s="34"/>
      <c r="H548" s="34"/>
      <c r="I548" s="34"/>
      <c r="J548" s="44"/>
      <c r="K548" s="105"/>
      <c r="L548" s="34"/>
      <c r="M548" s="34"/>
      <c r="N548" s="34"/>
    </row>
    <row r="549" spans="1:14" ht="12.75">
      <c r="A549" s="34"/>
      <c r="B549" s="34"/>
      <c r="C549" s="34"/>
      <c r="D549" s="188"/>
      <c r="E549" s="304"/>
      <c r="F549" s="34"/>
      <c r="G549" s="34"/>
      <c r="H549" s="34"/>
      <c r="I549" s="34"/>
      <c r="J549" s="44"/>
      <c r="K549" s="105"/>
      <c r="L549" s="34"/>
      <c r="M549" s="34"/>
      <c r="N549" s="34"/>
    </row>
    <row r="550" spans="1:14" ht="12.75">
      <c r="A550" s="34"/>
      <c r="B550" s="34"/>
      <c r="C550" s="34"/>
      <c r="D550" s="188"/>
      <c r="E550" s="304"/>
      <c r="F550" s="34"/>
      <c r="G550" s="34"/>
      <c r="H550" s="34"/>
      <c r="I550" s="34"/>
      <c r="J550" s="44"/>
      <c r="K550" s="105"/>
      <c r="L550" s="34"/>
      <c r="M550" s="34"/>
      <c r="N550" s="34"/>
    </row>
    <row r="551" spans="1:14" ht="12.75">
      <c r="A551" s="34"/>
      <c r="B551" s="34"/>
      <c r="C551" s="34"/>
      <c r="D551" s="188"/>
      <c r="E551" s="304"/>
      <c r="F551" s="34"/>
      <c r="G551" s="34"/>
      <c r="H551" s="34"/>
      <c r="I551" s="34"/>
      <c r="J551" s="44"/>
      <c r="K551" s="105"/>
      <c r="L551" s="34"/>
      <c r="M551" s="34"/>
      <c r="N551" s="34"/>
    </row>
    <row r="552" spans="1:14" ht="12.75">
      <c r="A552" s="34"/>
      <c r="B552" s="34"/>
      <c r="C552" s="34"/>
      <c r="D552" s="188"/>
      <c r="E552" s="304"/>
      <c r="F552" s="34"/>
      <c r="G552" s="34"/>
      <c r="H552" s="34"/>
      <c r="I552" s="34"/>
      <c r="J552" s="44"/>
      <c r="K552" s="105"/>
      <c r="L552" s="34"/>
      <c r="M552" s="34"/>
      <c r="N552" s="34"/>
    </row>
    <row r="553" spans="1:14" ht="12.75">
      <c r="A553" s="34"/>
      <c r="B553" s="34"/>
      <c r="C553" s="34"/>
      <c r="D553" s="188"/>
      <c r="E553" s="304"/>
      <c r="F553" s="34"/>
      <c r="G553" s="34"/>
      <c r="H553" s="34"/>
      <c r="I553" s="34"/>
      <c r="J553" s="44"/>
      <c r="K553" s="105"/>
      <c r="L553" s="34"/>
      <c r="M553" s="34"/>
      <c r="N553" s="34"/>
    </row>
    <row r="554" spans="1:14" ht="12.75">
      <c r="A554" s="34"/>
      <c r="B554" s="34"/>
      <c r="C554" s="34"/>
      <c r="D554" s="188"/>
      <c r="E554" s="304"/>
      <c r="F554" s="34"/>
      <c r="G554" s="34"/>
      <c r="H554" s="34"/>
      <c r="I554" s="34"/>
      <c r="J554" s="44"/>
      <c r="K554" s="105"/>
      <c r="L554" s="34"/>
      <c r="M554" s="34"/>
      <c r="N554" s="34"/>
    </row>
    <row r="555" spans="1:14" ht="12.75">
      <c r="A555" s="34"/>
      <c r="B555" s="34"/>
      <c r="C555" s="34"/>
      <c r="D555" s="188"/>
      <c r="E555" s="304"/>
      <c r="F555" s="34"/>
      <c r="G555" s="34"/>
      <c r="H555" s="34"/>
      <c r="I555" s="34"/>
      <c r="J555" s="44"/>
      <c r="K555" s="105"/>
      <c r="L555" s="34"/>
      <c r="M555" s="34"/>
      <c r="N555" s="34"/>
    </row>
    <row r="556" spans="1:14" ht="12.75">
      <c r="A556" s="34"/>
      <c r="B556" s="34"/>
      <c r="C556" s="34"/>
      <c r="D556" s="188"/>
      <c r="E556" s="304"/>
      <c r="F556" s="34"/>
      <c r="G556" s="34"/>
      <c r="H556" s="34"/>
      <c r="I556" s="34"/>
      <c r="J556" s="44"/>
      <c r="K556" s="105"/>
      <c r="L556" s="34"/>
      <c r="M556" s="34"/>
      <c r="N556" s="34"/>
    </row>
    <row r="557" spans="1:14" ht="12.75">
      <c r="A557" s="34"/>
      <c r="B557" s="34"/>
      <c r="C557" s="34"/>
      <c r="D557" s="188"/>
      <c r="E557" s="304"/>
      <c r="F557" s="34"/>
      <c r="G557" s="34"/>
      <c r="H557" s="34"/>
      <c r="I557" s="34"/>
      <c r="J557" s="44"/>
      <c r="K557" s="105"/>
      <c r="L557" s="34"/>
      <c r="M557" s="34"/>
      <c r="N557" s="34"/>
    </row>
    <row r="558" spans="1:14" ht="12.75">
      <c r="A558" s="34"/>
      <c r="B558" s="34"/>
      <c r="C558" s="34"/>
      <c r="D558" s="188"/>
      <c r="E558" s="304"/>
      <c r="F558" s="34"/>
      <c r="G558" s="34"/>
      <c r="H558" s="34"/>
      <c r="I558" s="34"/>
      <c r="J558" s="44"/>
      <c r="K558" s="105"/>
      <c r="L558" s="34"/>
      <c r="M558" s="34"/>
      <c r="N558" s="34"/>
    </row>
    <row r="559" spans="1:14" ht="12.75">
      <c r="A559" s="34"/>
      <c r="B559" s="34"/>
      <c r="C559" s="34"/>
      <c r="D559" s="188"/>
      <c r="E559" s="304"/>
      <c r="F559" s="34"/>
      <c r="G559" s="34"/>
      <c r="H559" s="34"/>
      <c r="I559" s="34"/>
      <c r="J559" s="44"/>
      <c r="K559" s="105"/>
      <c r="L559" s="34"/>
      <c r="M559" s="34"/>
      <c r="N559" s="34"/>
    </row>
    <row r="560" spans="1:14" ht="12.75">
      <c r="A560" s="34"/>
      <c r="B560" s="34"/>
      <c r="C560" s="34"/>
      <c r="D560" s="188"/>
      <c r="E560" s="304"/>
      <c r="F560" s="34"/>
      <c r="G560" s="34"/>
      <c r="H560" s="34"/>
      <c r="I560" s="34"/>
      <c r="J560" s="44"/>
      <c r="K560" s="105"/>
      <c r="L560" s="34"/>
      <c r="M560" s="34"/>
      <c r="N560" s="34"/>
    </row>
    <row r="561" spans="1:14" ht="12.75">
      <c r="A561" s="34"/>
      <c r="B561" s="34"/>
      <c r="C561" s="34"/>
      <c r="D561" s="188"/>
      <c r="E561" s="304"/>
      <c r="F561" s="34"/>
      <c r="G561" s="34"/>
      <c r="H561" s="34"/>
      <c r="I561" s="34"/>
      <c r="J561" s="44"/>
      <c r="K561" s="105"/>
      <c r="L561" s="34"/>
      <c r="M561" s="34"/>
      <c r="N561" s="34"/>
    </row>
    <row r="562" spans="1:14" ht="12.75">
      <c r="A562" s="34"/>
      <c r="B562" s="34"/>
      <c r="C562" s="34"/>
      <c r="D562" s="188"/>
      <c r="E562" s="304"/>
      <c r="F562" s="34"/>
      <c r="G562" s="34"/>
      <c r="H562" s="34"/>
      <c r="I562" s="34"/>
      <c r="J562" s="44"/>
      <c r="K562" s="105"/>
      <c r="L562" s="34"/>
      <c r="M562" s="34"/>
      <c r="N562" s="34"/>
    </row>
    <row r="563" spans="1:14" ht="12.75">
      <c r="A563" s="34"/>
      <c r="B563" s="34"/>
      <c r="C563" s="34"/>
      <c r="D563" s="188"/>
      <c r="E563" s="304"/>
      <c r="F563" s="34"/>
      <c r="G563" s="34"/>
      <c r="H563" s="34"/>
      <c r="I563" s="34"/>
      <c r="J563" s="44"/>
      <c r="K563" s="105"/>
      <c r="L563" s="34"/>
      <c r="M563" s="34"/>
      <c r="N563" s="34"/>
    </row>
    <row r="564" spans="1:14" ht="12.75">
      <c r="A564" s="34"/>
      <c r="B564" s="34"/>
      <c r="C564" s="34"/>
      <c r="D564" s="188"/>
      <c r="E564" s="304"/>
      <c r="F564" s="34"/>
      <c r="G564" s="34"/>
      <c r="H564" s="34"/>
      <c r="I564" s="34"/>
      <c r="J564" s="44"/>
      <c r="K564" s="105"/>
      <c r="L564" s="34"/>
      <c r="M564" s="34"/>
      <c r="N564" s="34"/>
    </row>
    <row r="565" spans="1:14" ht="12.75">
      <c r="A565" s="34"/>
      <c r="B565" s="34"/>
      <c r="C565" s="34"/>
      <c r="D565" s="188"/>
      <c r="E565" s="304"/>
      <c r="F565" s="34"/>
      <c r="G565" s="34"/>
      <c r="H565" s="34"/>
      <c r="I565" s="34"/>
      <c r="J565" s="44"/>
      <c r="K565" s="105"/>
      <c r="L565" s="34"/>
      <c r="M565" s="34"/>
      <c r="N565" s="34"/>
    </row>
    <row r="566" spans="1:14" ht="12.75">
      <c r="A566" s="34"/>
      <c r="B566" s="34"/>
      <c r="C566" s="34"/>
      <c r="D566" s="188"/>
      <c r="E566" s="304"/>
      <c r="F566" s="34"/>
      <c r="G566" s="34"/>
      <c r="H566" s="34"/>
      <c r="I566" s="34"/>
      <c r="J566" s="44"/>
      <c r="K566" s="105"/>
      <c r="L566" s="34"/>
      <c r="M566" s="34"/>
      <c r="N566" s="34"/>
    </row>
    <row r="567" spans="1:14" ht="12.75">
      <c r="A567" s="34"/>
      <c r="B567" s="34"/>
      <c r="C567" s="34"/>
      <c r="D567" s="188"/>
      <c r="E567" s="304"/>
      <c r="F567" s="34"/>
      <c r="G567" s="34"/>
      <c r="H567" s="34"/>
      <c r="I567" s="34"/>
      <c r="J567" s="44"/>
      <c r="K567" s="105"/>
      <c r="L567" s="34"/>
      <c r="M567" s="34"/>
      <c r="N567" s="34"/>
    </row>
    <row r="568" spans="1:14" ht="12.75">
      <c r="A568" s="34"/>
      <c r="B568" s="34"/>
      <c r="C568" s="34"/>
      <c r="D568" s="188"/>
      <c r="E568" s="304"/>
      <c r="F568" s="34"/>
      <c r="G568" s="34"/>
      <c r="H568" s="34"/>
      <c r="I568" s="34"/>
      <c r="J568" s="44"/>
      <c r="K568" s="105"/>
      <c r="L568" s="34"/>
      <c r="M568" s="34"/>
      <c r="N568" s="34"/>
    </row>
    <row r="569" spans="1:14" ht="12.75">
      <c r="A569" s="34"/>
      <c r="B569" s="34"/>
      <c r="C569" s="34"/>
      <c r="D569" s="188"/>
      <c r="E569" s="304"/>
      <c r="F569" s="34"/>
      <c r="G569" s="34"/>
      <c r="H569" s="34"/>
      <c r="I569" s="34"/>
      <c r="J569" s="44"/>
      <c r="K569" s="105"/>
      <c r="L569" s="34"/>
      <c r="M569" s="34"/>
      <c r="N569" s="34"/>
    </row>
    <row r="570" spans="1:14" ht="12.75">
      <c r="A570" s="34"/>
      <c r="B570" s="34"/>
      <c r="C570" s="34"/>
      <c r="D570" s="188"/>
      <c r="E570" s="304"/>
      <c r="F570" s="34"/>
      <c r="G570" s="34"/>
      <c r="H570" s="34"/>
      <c r="I570" s="34"/>
      <c r="J570" s="44"/>
      <c r="K570" s="105"/>
      <c r="L570" s="34"/>
      <c r="M570" s="34"/>
      <c r="N570" s="34"/>
    </row>
    <row r="571" spans="1:14" ht="12.75">
      <c r="A571" s="34"/>
      <c r="B571" s="34"/>
      <c r="C571" s="34"/>
      <c r="D571" s="188"/>
      <c r="E571" s="304"/>
      <c r="F571" s="34"/>
      <c r="G571" s="34"/>
      <c r="H571" s="34"/>
      <c r="I571" s="34"/>
      <c r="J571" s="44"/>
      <c r="K571" s="105"/>
      <c r="L571" s="34"/>
      <c r="M571" s="34"/>
      <c r="N571" s="34"/>
    </row>
    <row r="572" spans="1:14" ht="12.75">
      <c r="A572" s="34"/>
      <c r="B572" s="34"/>
      <c r="C572" s="34"/>
      <c r="D572" s="188"/>
      <c r="E572" s="304"/>
      <c r="F572" s="34"/>
      <c r="G572" s="34"/>
      <c r="H572" s="34"/>
      <c r="I572" s="34"/>
      <c r="J572" s="44"/>
      <c r="K572" s="105"/>
      <c r="L572" s="34"/>
      <c r="M572" s="34"/>
      <c r="N572" s="34"/>
    </row>
    <row r="573" spans="1:14" ht="12.75">
      <c r="A573" s="34"/>
      <c r="B573" s="34"/>
      <c r="C573" s="34"/>
      <c r="D573" s="188"/>
      <c r="E573" s="304"/>
      <c r="F573" s="34"/>
      <c r="G573" s="34"/>
      <c r="H573" s="34"/>
      <c r="I573" s="34"/>
      <c r="J573" s="44"/>
      <c r="K573" s="105"/>
      <c r="L573" s="34"/>
      <c r="M573" s="34"/>
      <c r="N573" s="34"/>
    </row>
    <row r="574" spans="1:14" ht="12.75">
      <c r="A574" s="34"/>
      <c r="B574" s="34"/>
      <c r="C574" s="34"/>
      <c r="D574" s="188"/>
      <c r="E574" s="304"/>
      <c r="F574" s="34"/>
      <c r="G574" s="34"/>
      <c r="H574" s="34"/>
      <c r="I574" s="34"/>
      <c r="J574" s="44"/>
      <c r="K574" s="105"/>
      <c r="L574" s="34"/>
      <c r="M574" s="34"/>
      <c r="N574" s="34"/>
    </row>
    <row r="575" spans="1:14" ht="12.75">
      <c r="A575" s="34"/>
      <c r="B575" s="34"/>
      <c r="C575" s="34"/>
      <c r="D575" s="188"/>
      <c r="E575" s="304"/>
      <c r="F575" s="34"/>
      <c r="G575" s="34"/>
      <c r="H575" s="34"/>
      <c r="I575" s="34"/>
      <c r="J575" s="44"/>
      <c r="K575" s="105"/>
      <c r="L575" s="34"/>
      <c r="M575" s="34"/>
      <c r="N575" s="34"/>
    </row>
    <row r="576" spans="1:14" ht="12.75">
      <c r="A576" s="34"/>
      <c r="B576" s="34"/>
      <c r="C576" s="34"/>
      <c r="D576" s="188"/>
      <c r="E576" s="304"/>
      <c r="F576" s="34"/>
      <c r="G576" s="34"/>
      <c r="H576" s="34"/>
      <c r="I576" s="34"/>
      <c r="J576" s="44"/>
      <c r="K576" s="105"/>
      <c r="L576" s="34"/>
      <c r="M576" s="34"/>
      <c r="N576" s="34"/>
    </row>
    <row r="577" spans="1:14" ht="12.75">
      <c r="A577" s="34"/>
      <c r="B577" s="34"/>
      <c r="C577" s="34"/>
      <c r="D577" s="188"/>
      <c r="E577" s="304"/>
      <c r="F577" s="34"/>
      <c r="G577" s="34"/>
      <c r="H577" s="34"/>
      <c r="I577" s="34"/>
      <c r="J577" s="44"/>
      <c r="K577" s="105"/>
      <c r="L577" s="34"/>
      <c r="M577" s="34"/>
      <c r="N577" s="34"/>
    </row>
    <row r="578" spans="1:14" ht="12.75">
      <c r="A578" s="34"/>
      <c r="B578" s="34"/>
      <c r="C578" s="34"/>
      <c r="D578" s="188"/>
      <c r="E578" s="304"/>
      <c r="F578" s="34"/>
      <c r="G578" s="34"/>
      <c r="H578" s="34"/>
      <c r="I578" s="34"/>
      <c r="J578" s="44"/>
      <c r="K578" s="105"/>
      <c r="L578" s="34"/>
      <c r="M578" s="34"/>
      <c r="N578" s="34"/>
    </row>
    <row r="579" spans="1:14" ht="12.75">
      <c r="A579" s="34"/>
      <c r="B579" s="34"/>
      <c r="C579" s="34"/>
      <c r="D579" s="188"/>
      <c r="E579" s="304"/>
      <c r="F579" s="34"/>
      <c r="G579" s="34"/>
      <c r="H579" s="34"/>
      <c r="I579" s="34"/>
      <c r="J579" s="44"/>
      <c r="K579" s="105"/>
      <c r="L579" s="34"/>
      <c r="M579" s="34"/>
      <c r="N579" s="34"/>
    </row>
    <row r="580" spans="1:14" ht="12.75">
      <c r="A580" s="34"/>
      <c r="B580" s="34"/>
      <c r="C580" s="34"/>
      <c r="D580" s="188"/>
      <c r="E580" s="304"/>
      <c r="F580" s="34"/>
      <c r="G580" s="34"/>
      <c r="H580" s="34"/>
      <c r="I580" s="34"/>
      <c r="J580" s="44"/>
      <c r="K580" s="105"/>
      <c r="L580" s="34"/>
      <c r="M580" s="34"/>
      <c r="N580" s="34"/>
    </row>
    <row r="581" spans="1:14" ht="12.75">
      <c r="A581" s="34"/>
      <c r="B581" s="34"/>
      <c r="C581" s="34"/>
      <c r="D581" s="188"/>
      <c r="E581" s="304"/>
      <c r="F581" s="34"/>
      <c r="G581" s="34"/>
      <c r="H581" s="34"/>
      <c r="I581" s="34"/>
      <c r="J581" s="44"/>
      <c r="K581" s="105"/>
      <c r="L581" s="34"/>
      <c r="M581" s="34"/>
      <c r="N581" s="34"/>
    </row>
    <row r="582" spans="1:14" ht="12.75">
      <c r="A582" s="34"/>
      <c r="B582" s="34"/>
      <c r="C582" s="34"/>
      <c r="D582" s="188"/>
      <c r="E582" s="304"/>
      <c r="F582" s="34"/>
      <c r="G582" s="34"/>
      <c r="H582" s="34"/>
      <c r="I582" s="34"/>
      <c r="J582" s="44"/>
      <c r="K582" s="105"/>
      <c r="L582" s="34"/>
      <c r="M582" s="34"/>
      <c r="N582" s="34"/>
    </row>
    <row r="583" spans="1:14" ht="12.75">
      <c r="A583" s="34"/>
      <c r="B583" s="34"/>
      <c r="C583" s="34"/>
      <c r="D583" s="188"/>
      <c r="E583" s="304"/>
      <c r="F583" s="34"/>
      <c r="G583" s="34"/>
      <c r="H583" s="34"/>
      <c r="I583" s="34"/>
      <c r="J583" s="44"/>
      <c r="K583" s="105"/>
      <c r="L583" s="34"/>
      <c r="M583" s="34"/>
      <c r="N583" s="34"/>
    </row>
    <row r="584" spans="1:14" ht="12.75">
      <c r="A584" s="34"/>
      <c r="B584" s="34"/>
      <c r="C584" s="34"/>
      <c r="D584" s="188"/>
      <c r="E584" s="304"/>
      <c r="F584" s="34"/>
      <c r="G584" s="34"/>
      <c r="H584" s="34"/>
      <c r="I584" s="34"/>
      <c r="J584" s="44"/>
      <c r="K584" s="105"/>
      <c r="L584" s="34"/>
      <c r="M584" s="34"/>
      <c r="N584" s="34"/>
    </row>
    <row r="585" spans="1:14" ht="12.75">
      <c r="A585" s="34"/>
      <c r="B585" s="34"/>
      <c r="C585" s="34"/>
      <c r="D585" s="188"/>
      <c r="E585" s="304"/>
      <c r="F585" s="34"/>
      <c r="G585" s="34"/>
      <c r="H585" s="34"/>
      <c r="I585" s="34"/>
      <c r="J585" s="44"/>
      <c r="K585" s="105"/>
      <c r="L585" s="34"/>
      <c r="M585" s="34"/>
      <c r="N585" s="34"/>
    </row>
    <row r="586" spans="1:14" ht="12.75">
      <c r="A586" s="34"/>
      <c r="B586" s="34"/>
      <c r="C586" s="34"/>
      <c r="D586" s="188"/>
      <c r="E586" s="304"/>
      <c r="F586" s="34"/>
      <c r="G586" s="34"/>
      <c r="H586" s="34"/>
      <c r="I586" s="34"/>
      <c r="J586" s="44"/>
      <c r="K586" s="105"/>
      <c r="L586" s="34"/>
      <c r="M586" s="34"/>
      <c r="N586" s="34"/>
    </row>
    <row r="587" spans="1:14" ht="12.75">
      <c r="A587" s="34"/>
      <c r="B587" s="34"/>
      <c r="C587" s="34"/>
      <c r="D587" s="188"/>
      <c r="E587" s="304"/>
      <c r="F587" s="34"/>
      <c r="G587" s="34"/>
      <c r="H587" s="34"/>
      <c r="I587" s="34"/>
      <c r="J587" s="44"/>
      <c r="K587" s="105"/>
      <c r="L587" s="34"/>
      <c r="M587" s="34"/>
      <c r="N587" s="34"/>
    </row>
    <row r="588" spans="1:14" ht="12.75">
      <c r="A588" s="34"/>
      <c r="B588" s="34"/>
      <c r="C588" s="34"/>
      <c r="D588" s="188"/>
      <c r="E588" s="304"/>
      <c r="F588" s="34"/>
      <c r="G588" s="34"/>
      <c r="H588" s="34"/>
      <c r="I588" s="34"/>
      <c r="J588" s="44"/>
      <c r="K588" s="105"/>
      <c r="L588" s="34"/>
      <c r="M588" s="34"/>
      <c r="N588" s="34"/>
    </row>
    <row r="589" spans="1:14" ht="12.75">
      <c r="A589" s="34"/>
      <c r="B589" s="34"/>
      <c r="C589" s="34"/>
      <c r="D589" s="188"/>
      <c r="E589" s="304"/>
      <c r="F589" s="34"/>
      <c r="G589" s="34"/>
      <c r="H589" s="34"/>
      <c r="I589" s="34"/>
      <c r="J589" s="44"/>
      <c r="K589" s="105"/>
      <c r="L589" s="34"/>
      <c r="M589" s="34"/>
      <c r="N589" s="34"/>
    </row>
    <row r="590" spans="1:14" ht="12.75">
      <c r="A590" s="34"/>
      <c r="B590" s="34"/>
      <c r="C590" s="34"/>
      <c r="D590" s="188"/>
      <c r="E590" s="304"/>
      <c r="F590" s="34"/>
      <c r="G590" s="34"/>
      <c r="H590" s="34"/>
      <c r="I590" s="34"/>
      <c r="J590" s="44"/>
      <c r="K590" s="105"/>
      <c r="L590" s="34"/>
      <c r="M590" s="34"/>
      <c r="N590" s="34"/>
    </row>
    <row r="591" spans="1:14" ht="12.75">
      <c r="A591" s="34"/>
      <c r="B591" s="34"/>
      <c r="C591" s="34"/>
      <c r="D591" s="188"/>
      <c r="E591" s="304"/>
      <c r="F591" s="34"/>
      <c r="G591" s="34"/>
      <c r="H591" s="34"/>
      <c r="I591" s="34"/>
      <c r="J591" s="44"/>
      <c r="K591" s="105"/>
      <c r="L591" s="34"/>
      <c r="M591" s="34"/>
      <c r="N591" s="34"/>
    </row>
    <row r="592" spans="1:14" ht="12.75">
      <c r="A592" s="34"/>
      <c r="B592" s="34"/>
      <c r="C592" s="34"/>
      <c r="D592" s="188"/>
      <c r="E592" s="304"/>
      <c r="F592" s="34"/>
      <c r="G592" s="34"/>
      <c r="H592" s="34"/>
      <c r="I592" s="34"/>
      <c r="J592" s="44"/>
      <c r="K592" s="105"/>
      <c r="L592" s="34"/>
      <c r="M592" s="34"/>
      <c r="N592" s="34"/>
    </row>
    <row r="593" spans="1:14" ht="12.75">
      <c r="A593" s="34"/>
      <c r="B593" s="34"/>
      <c r="C593" s="34"/>
      <c r="D593" s="188"/>
      <c r="E593" s="304"/>
      <c r="F593" s="34"/>
      <c r="G593" s="34"/>
      <c r="H593" s="34"/>
      <c r="I593" s="34"/>
      <c r="J593" s="44"/>
      <c r="K593" s="105"/>
      <c r="L593" s="34"/>
      <c r="M593" s="34"/>
      <c r="N593" s="34"/>
    </row>
    <row r="594" spans="1:14" ht="12.75">
      <c r="A594" s="34"/>
      <c r="B594" s="34"/>
      <c r="C594" s="34"/>
      <c r="D594" s="188"/>
      <c r="E594" s="304"/>
      <c r="F594" s="34"/>
      <c r="G594" s="34"/>
      <c r="H594" s="34"/>
      <c r="I594" s="34"/>
      <c r="J594" s="44"/>
      <c r="K594" s="105"/>
      <c r="L594" s="34"/>
      <c r="M594" s="34"/>
      <c r="N594" s="34"/>
    </row>
    <row r="595" spans="1:14" ht="12.75">
      <c r="A595" s="34"/>
      <c r="B595" s="34"/>
      <c r="C595" s="34"/>
      <c r="D595" s="188"/>
      <c r="E595" s="304"/>
      <c r="F595" s="34"/>
      <c r="G595" s="34"/>
      <c r="H595" s="34"/>
      <c r="I595" s="34"/>
      <c r="J595" s="44"/>
      <c r="K595" s="105"/>
      <c r="L595" s="34"/>
      <c r="M595" s="34"/>
      <c r="N595" s="34"/>
    </row>
    <row r="596" spans="1:14" ht="12.75">
      <c r="A596" s="34"/>
      <c r="B596" s="34"/>
      <c r="C596" s="34"/>
      <c r="D596" s="188"/>
      <c r="E596" s="304"/>
      <c r="F596" s="34"/>
      <c r="G596" s="34"/>
      <c r="H596" s="34"/>
      <c r="I596" s="34"/>
      <c r="J596" s="44"/>
      <c r="K596" s="105"/>
      <c r="L596" s="34"/>
      <c r="M596" s="34"/>
      <c r="N596" s="34"/>
    </row>
    <row r="597" spans="1:14" ht="12.75">
      <c r="A597" s="34"/>
      <c r="B597" s="34"/>
      <c r="C597" s="34"/>
      <c r="D597" s="188"/>
      <c r="E597" s="304"/>
      <c r="F597" s="34"/>
      <c r="G597" s="34"/>
      <c r="H597" s="34"/>
      <c r="I597" s="34"/>
      <c r="J597" s="44"/>
      <c r="K597" s="105"/>
      <c r="L597" s="34"/>
      <c r="M597" s="34"/>
      <c r="N597" s="34"/>
    </row>
    <row r="598" spans="1:14" ht="12.75">
      <c r="A598" s="34"/>
      <c r="B598" s="34"/>
      <c r="C598" s="34"/>
      <c r="D598" s="188"/>
      <c r="E598" s="304"/>
      <c r="F598" s="34"/>
      <c r="G598" s="34"/>
      <c r="H598" s="34"/>
      <c r="I598" s="34"/>
      <c r="J598" s="44"/>
      <c r="K598" s="105"/>
      <c r="L598" s="34"/>
      <c r="M598" s="34"/>
      <c r="N598" s="34"/>
    </row>
    <row r="599" spans="1:14" ht="12.75">
      <c r="A599" s="34"/>
      <c r="B599" s="34"/>
      <c r="C599" s="34"/>
      <c r="D599" s="188"/>
      <c r="E599" s="304"/>
      <c r="F599" s="34"/>
      <c r="G599" s="34"/>
      <c r="H599" s="34"/>
      <c r="I599" s="34"/>
      <c r="J599" s="44"/>
      <c r="K599" s="105"/>
      <c r="L599" s="34"/>
      <c r="M599" s="34"/>
      <c r="N599" s="34"/>
    </row>
    <row r="600" spans="1:14" ht="12.75">
      <c r="A600" s="34"/>
      <c r="B600" s="34"/>
      <c r="C600" s="34"/>
      <c r="D600" s="188"/>
      <c r="E600" s="304"/>
      <c r="F600" s="34"/>
      <c r="G600" s="34"/>
      <c r="H600" s="34"/>
      <c r="I600" s="34"/>
      <c r="J600" s="44"/>
      <c r="K600" s="105"/>
      <c r="L600" s="34"/>
      <c r="M600" s="34"/>
      <c r="N600" s="34"/>
    </row>
    <row r="601" spans="1:14" ht="12.75">
      <c r="A601" s="34"/>
      <c r="B601" s="34"/>
      <c r="C601" s="34"/>
      <c r="D601" s="188"/>
      <c r="E601" s="304"/>
      <c r="F601" s="34"/>
      <c r="G601" s="34"/>
      <c r="H601" s="34"/>
      <c r="I601" s="34"/>
      <c r="J601" s="44"/>
      <c r="K601" s="105"/>
      <c r="L601" s="34"/>
      <c r="M601" s="34"/>
      <c r="N601" s="34"/>
    </row>
    <row r="602" spans="1:14" ht="12.75">
      <c r="A602" s="34"/>
      <c r="B602" s="34"/>
      <c r="C602" s="34"/>
      <c r="D602" s="188"/>
      <c r="E602" s="304"/>
      <c r="F602" s="34"/>
      <c r="G602" s="34"/>
      <c r="H602" s="34"/>
      <c r="I602" s="34"/>
      <c r="J602" s="44"/>
      <c r="K602" s="105"/>
      <c r="L602" s="34"/>
      <c r="M602" s="34"/>
      <c r="N602" s="34"/>
    </row>
    <row r="603" spans="1:14" ht="12.75">
      <c r="A603" s="34"/>
      <c r="B603" s="34"/>
      <c r="C603" s="34"/>
      <c r="D603" s="188"/>
      <c r="E603" s="304"/>
      <c r="F603" s="34"/>
      <c r="G603" s="34"/>
      <c r="H603" s="34"/>
      <c r="I603" s="34"/>
      <c r="J603" s="44"/>
      <c r="K603" s="105"/>
      <c r="L603" s="34"/>
      <c r="M603" s="34"/>
      <c r="N603" s="34"/>
    </row>
    <row r="604" spans="1:14" ht="12.75">
      <c r="A604" s="34"/>
      <c r="B604" s="34"/>
      <c r="C604" s="34"/>
      <c r="D604" s="188"/>
      <c r="E604" s="304"/>
      <c r="F604" s="34"/>
      <c r="G604" s="34"/>
      <c r="H604" s="34"/>
      <c r="I604" s="34"/>
      <c r="J604" s="44"/>
      <c r="K604" s="105"/>
      <c r="L604" s="34"/>
      <c r="M604" s="34"/>
      <c r="N604" s="34"/>
    </row>
    <row r="605" spans="1:14" ht="12.75">
      <c r="A605" s="34"/>
      <c r="B605" s="34"/>
      <c r="C605" s="34"/>
      <c r="D605" s="188"/>
      <c r="E605" s="304"/>
      <c r="F605" s="34"/>
      <c r="G605" s="34"/>
      <c r="H605" s="34"/>
      <c r="I605" s="34"/>
      <c r="J605" s="44"/>
      <c r="K605" s="105"/>
      <c r="L605" s="34"/>
      <c r="M605" s="34"/>
      <c r="N605" s="34"/>
    </row>
    <row r="606" spans="1:14" ht="12.75">
      <c r="A606" s="34"/>
      <c r="B606" s="34"/>
      <c r="C606" s="34"/>
      <c r="D606" s="188"/>
      <c r="E606" s="304"/>
      <c r="F606" s="34"/>
      <c r="G606" s="34"/>
      <c r="H606" s="34"/>
      <c r="I606" s="34"/>
      <c r="J606" s="44"/>
      <c r="K606" s="105"/>
      <c r="L606" s="34"/>
      <c r="M606" s="34"/>
      <c r="N606" s="34"/>
    </row>
    <row r="607" spans="1:14" ht="12.75">
      <c r="A607" s="34"/>
      <c r="B607" s="34"/>
      <c r="C607" s="34"/>
      <c r="D607" s="188"/>
      <c r="E607" s="304"/>
      <c r="F607" s="34"/>
      <c r="G607" s="34"/>
      <c r="H607" s="34"/>
      <c r="I607" s="34"/>
      <c r="J607" s="44"/>
      <c r="K607" s="105"/>
      <c r="L607" s="34"/>
      <c r="M607" s="34"/>
      <c r="N607" s="34"/>
    </row>
    <row r="608" spans="1:14" ht="12.75">
      <c r="A608" s="34"/>
      <c r="B608" s="34"/>
      <c r="C608" s="34"/>
      <c r="D608" s="188"/>
      <c r="E608" s="304"/>
      <c r="F608" s="34"/>
      <c r="G608" s="34"/>
      <c r="H608" s="34"/>
      <c r="I608" s="34"/>
      <c r="J608" s="44"/>
      <c r="K608" s="105"/>
      <c r="L608" s="34"/>
      <c r="M608" s="34"/>
      <c r="N608" s="34"/>
    </row>
    <row r="609" spans="1:14" ht="12.75">
      <c r="A609" s="34"/>
      <c r="B609" s="34"/>
      <c r="C609" s="34"/>
      <c r="D609" s="188"/>
      <c r="E609" s="304"/>
      <c r="F609" s="34"/>
      <c r="G609" s="34"/>
      <c r="H609" s="34"/>
      <c r="I609" s="34"/>
      <c r="J609" s="44"/>
      <c r="K609" s="105"/>
      <c r="L609" s="34"/>
      <c r="M609" s="34"/>
      <c r="N609" s="34"/>
    </row>
    <row r="610" spans="1:14" ht="12.75">
      <c r="A610" s="34"/>
      <c r="B610" s="34"/>
      <c r="C610" s="34"/>
      <c r="D610" s="188"/>
      <c r="E610" s="304"/>
      <c r="F610" s="34"/>
      <c r="G610" s="34"/>
      <c r="H610" s="34"/>
      <c r="I610" s="34"/>
      <c r="J610" s="44"/>
      <c r="K610" s="105"/>
      <c r="L610" s="34"/>
      <c r="M610" s="34"/>
      <c r="N610" s="34"/>
    </row>
    <row r="611" spans="1:14" ht="12.75">
      <c r="A611" s="34"/>
      <c r="B611" s="34"/>
      <c r="C611" s="34"/>
      <c r="D611" s="188"/>
      <c r="E611" s="304"/>
      <c r="F611" s="34"/>
      <c r="G611" s="34"/>
      <c r="H611" s="34"/>
      <c r="I611" s="34"/>
      <c r="J611" s="44"/>
      <c r="K611" s="105"/>
      <c r="L611" s="34"/>
      <c r="M611" s="34"/>
      <c r="N611" s="34"/>
    </row>
    <row r="612" spans="1:14" ht="12.75">
      <c r="A612" s="34"/>
      <c r="B612" s="34"/>
      <c r="C612" s="34"/>
      <c r="D612" s="188"/>
      <c r="E612" s="304"/>
      <c r="F612" s="34"/>
      <c r="G612" s="34"/>
      <c r="H612" s="34"/>
      <c r="I612" s="34"/>
      <c r="J612" s="44"/>
      <c r="K612" s="105"/>
      <c r="L612" s="34"/>
      <c r="M612" s="34"/>
      <c r="N612" s="34"/>
    </row>
    <row r="613" spans="1:14" ht="12.75">
      <c r="A613" s="34"/>
      <c r="B613" s="34"/>
      <c r="C613" s="34"/>
      <c r="D613" s="188"/>
      <c r="E613" s="304"/>
      <c r="F613" s="34"/>
      <c r="G613" s="34"/>
      <c r="H613" s="34"/>
      <c r="I613" s="34"/>
      <c r="J613" s="44"/>
      <c r="K613" s="105"/>
      <c r="L613" s="34"/>
      <c r="M613" s="34"/>
      <c r="N613" s="34"/>
    </row>
    <row r="614" spans="1:14" ht="12.75">
      <c r="A614" s="34"/>
      <c r="B614" s="34"/>
      <c r="C614" s="34"/>
      <c r="D614" s="188"/>
      <c r="E614" s="304"/>
      <c r="F614" s="34"/>
      <c r="G614" s="34"/>
      <c r="H614" s="34"/>
      <c r="I614" s="34"/>
      <c r="J614" s="44"/>
      <c r="K614" s="105"/>
      <c r="L614" s="34"/>
      <c r="M614" s="34"/>
      <c r="N614" s="34"/>
    </row>
    <row r="615" spans="1:14" ht="12.75">
      <c r="A615" s="34"/>
      <c r="B615" s="34"/>
      <c r="C615" s="34"/>
      <c r="D615" s="188"/>
      <c r="E615" s="304"/>
      <c r="F615" s="34"/>
      <c r="G615" s="34"/>
      <c r="H615" s="34"/>
      <c r="I615" s="34"/>
      <c r="J615" s="44"/>
      <c r="K615" s="105"/>
      <c r="L615" s="34"/>
      <c r="M615" s="34"/>
      <c r="N615" s="34"/>
    </row>
    <row r="616" spans="1:14" ht="12.75">
      <c r="A616" s="34"/>
      <c r="B616" s="34"/>
      <c r="C616" s="34"/>
      <c r="D616" s="188"/>
      <c r="E616" s="304"/>
      <c r="F616" s="34"/>
      <c r="G616" s="34"/>
      <c r="H616" s="34"/>
      <c r="I616" s="34"/>
      <c r="J616" s="44"/>
      <c r="K616" s="105"/>
      <c r="L616" s="34"/>
      <c r="M616" s="34"/>
      <c r="N616" s="34"/>
    </row>
    <row r="617" spans="1:14" ht="12.75">
      <c r="A617" s="34"/>
      <c r="B617" s="34"/>
      <c r="C617" s="34"/>
      <c r="D617" s="188"/>
      <c r="E617" s="304"/>
      <c r="F617" s="34"/>
      <c r="G617" s="34"/>
      <c r="H617" s="34"/>
      <c r="I617" s="34"/>
      <c r="J617" s="44"/>
      <c r="K617" s="105"/>
      <c r="L617" s="34"/>
      <c r="M617" s="34"/>
      <c r="N617" s="34"/>
    </row>
    <row r="618" spans="1:14" ht="12.75">
      <c r="A618" s="34"/>
      <c r="B618" s="34"/>
      <c r="C618" s="34"/>
      <c r="D618" s="188"/>
      <c r="E618" s="304"/>
      <c r="F618" s="34"/>
      <c r="G618" s="34"/>
      <c r="H618" s="34"/>
      <c r="I618" s="34"/>
      <c r="J618" s="44"/>
      <c r="K618" s="105"/>
      <c r="L618" s="34"/>
      <c r="M618" s="34"/>
      <c r="N618" s="34"/>
    </row>
    <row r="619" spans="1:14" ht="12.75">
      <c r="A619" s="34"/>
      <c r="B619" s="34"/>
      <c r="C619" s="34"/>
      <c r="D619" s="188"/>
      <c r="E619" s="304"/>
      <c r="F619" s="34"/>
      <c r="G619" s="34"/>
      <c r="H619" s="34"/>
      <c r="I619" s="34"/>
      <c r="J619" s="44"/>
      <c r="K619" s="105"/>
      <c r="L619" s="34"/>
      <c r="M619" s="34"/>
      <c r="N619" s="34"/>
    </row>
    <row r="620" spans="1:14" ht="12.75">
      <c r="A620" s="34"/>
      <c r="B620" s="34"/>
      <c r="C620" s="34"/>
      <c r="D620" s="188"/>
      <c r="E620" s="304"/>
      <c r="F620" s="34"/>
      <c r="G620" s="34"/>
      <c r="H620" s="34"/>
      <c r="I620" s="34"/>
      <c r="J620" s="44"/>
      <c r="K620" s="105"/>
      <c r="L620" s="34"/>
      <c r="M620" s="34"/>
      <c r="N620" s="34"/>
    </row>
    <row r="621" spans="1:14" ht="12.75">
      <c r="A621" s="34"/>
      <c r="B621" s="34"/>
      <c r="C621" s="34"/>
      <c r="D621" s="188"/>
      <c r="E621" s="304"/>
      <c r="F621" s="34"/>
      <c r="G621" s="34"/>
      <c r="H621" s="34"/>
      <c r="I621" s="34"/>
      <c r="J621" s="44"/>
      <c r="K621" s="105"/>
      <c r="L621" s="34"/>
      <c r="M621" s="34"/>
      <c r="N621" s="34"/>
    </row>
    <row r="622" spans="1:14" ht="12.75">
      <c r="A622" s="34"/>
      <c r="B622" s="34"/>
      <c r="C622" s="34"/>
      <c r="D622" s="188"/>
      <c r="E622" s="304"/>
      <c r="F622" s="34"/>
      <c r="G622" s="34"/>
      <c r="H622" s="34"/>
      <c r="I622" s="34"/>
      <c r="J622" s="44"/>
      <c r="K622" s="105"/>
      <c r="L622" s="34"/>
      <c r="M622" s="34"/>
      <c r="N622" s="34"/>
    </row>
    <row r="623" spans="1:14" ht="12.75">
      <c r="A623" s="34"/>
      <c r="B623" s="34"/>
      <c r="C623" s="34"/>
      <c r="D623" s="188"/>
      <c r="E623" s="304"/>
      <c r="F623" s="34"/>
      <c r="G623" s="34"/>
      <c r="H623" s="34"/>
      <c r="I623" s="34"/>
      <c r="J623" s="44"/>
      <c r="K623" s="105"/>
      <c r="L623" s="34"/>
      <c r="M623" s="34"/>
      <c r="N623" s="34"/>
    </row>
    <row r="624" spans="1:14" ht="12.75">
      <c r="A624" s="34"/>
      <c r="B624" s="34"/>
      <c r="C624" s="34"/>
      <c r="D624" s="188"/>
      <c r="E624" s="304"/>
      <c r="F624" s="34"/>
      <c r="G624" s="34"/>
      <c r="H624" s="34"/>
      <c r="I624" s="34"/>
      <c r="J624" s="44"/>
      <c r="K624" s="105"/>
      <c r="L624" s="34"/>
      <c r="M624" s="34"/>
      <c r="N624" s="34"/>
    </row>
    <row r="625" spans="1:14" ht="12.75">
      <c r="A625" s="34"/>
      <c r="B625" s="34"/>
      <c r="C625" s="34"/>
      <c r="D625" s="188"/>
      <c r="E625" s="304"/>
      <c r="F625" s="34"/>
      <c r="G625" s="34"/>
      <c r="H625" s="34"/>
      <c r="I625" s="34"/>
      <c r="J625" s="44"/>
      <c r="K625" s="105"/>
      <c r="L625" s="34"/>
      <c r="M625" s="34"/>
      <c r="N625" s="34"/>
    </row>
    <row r="626" spans="1:14" ht="12.75">
      <c r="A626" s="34"/>
      <c r="B626" s="34"/>
      <c r="C626" s="34"/>
      <c r="D626" s="188"/>
      <c r="E626" s="304"/>
      <c r="F626" s="34"/>
      <c r="G626" s="34"/>
      <c r="H626" s="34"/>
      <c r="I626" s="34"/>
      <c r="J626" s="44"/>
      <c r="K626" s="105"/>
      <c r="L626" s="34"/>
      <c r="M626" s="34"/>
      <c r="N626" s="34"/>
    </row>
    <row r="627" spans="1:14" ht="12.75">
      <c r="A627" s="34"/>
      <c r="B627" s="34"/>
      <c r="C627" s="34"/>
      <c r="D627" s="188"/>
      <c r="E627" s="304"/>
      <c r="F627" s="34"/>
      <c r="G627" s="34"/>
      <c r="H627" s="34"/>
      <c r="I627" s="34"/>
      <c r="J627" s="44"/>
      <c r="K627" s="105"/>
      <c r="L627" s="34"/>
      <c r="M627" s="34"/>
      <c r="N627" s="34"/>
    </row>
    <row r="628" spans="1:14" ht="12.75">
      <c r="A628" s="34"/>
      <c r="B628" s="34"/>
      <c r="C628" s="34"/>
      <c r="D628" s="188"/>
      <c r="E628" s="304"/>
      <c r="F628" s="34"/>
      <c r="G628" s="34"/>
      <c r="H628" s="34"/>
      <c r="I628" s="34"/>
      <c r="J628" s="44"/>
      <c r="K628" s="105"/>
      <c r="L628" s="34"/>
      <c r="M628" s="34"/>
      <c r="N628" s="34"/>
    </row>
    <row r="629" spans="1:14" ht="12.75">
      <c r="A629" s="34"/>
      <c r="B629" s="34"/>
      <c r="C629" s="34"/>
      <c r="D629" s="188"/>
      <c r="E629" s="304"/>
      <c r="F629" s="34"/>
      <c r="G629" s="34"/>
      <c r="H629" s="34"/>
      <c r="I629" s="34"/>
      <c r="J629" s="44"/>
      <c r="K629" s="105"/>
      <c r="L629" s="34"/>
      <c r="M629" s="34"/>
      <c r="N629" s="34"/>
    </row>
    <row r="630" spans="1:14" ht="12.75">
      <c r="A630" s="34"/>
      <c r="B630" s="34"/>
      <c r="C630" s="34"/>
      <c r="D630" s="188"/>
      <c r="E630" s="304"/>
      <c r="F630" s="34"/>
      <c r="G630" s="34"/>
      <c r="H630" s="34"/>
      <c r="I630" s="34"/>
      <c r="J630" s="44"/>
      <c r="K630" s="105"/>
      <c r="L630" s="34"/>
      <c r="M630" s="34"/>
      <c r="N630" s="34"/>
    </row>
    <row r="631" spans="1:14" ht="12.75">
      <c r="A631" s="34"/>
      <c r="B631" s="34"/>
      <c r="C631" s="34"/>
      <c r="D631" s="188"/>
      <c r="E631" s="304"/>
      <c r="F631" s="34"/>
      <c r="G631" s="34"/>
      <c r="H631" s="34"/>
      <c r="I631" s="34"/>
      <c r="J631" s="44"/>
      <c r="K631" s="105"/>
      <c r="L631" s="34"/>
      <c r="M631" s="34"/>
      <c r="N631" s="34"/>
    </row>
    <row r="632" spans="1:14" ht="12.75">
      <c r="A632" s="34"/>
      <c r="B632" s="34"/>
      <c r="C632" s="34"/>
      <c r="D632" s="188"/>
      <c r="E632" s="304"/>
      <c r="F632" s="34"/>
      <c r="G632" s="34"/>
      <c r="H632" s="34"/>
      <c r="I632" s="34"/>
      <c r="J632" s="44"/>
      <c r="K632" s="105"/>
      <c r="L632" s="34"/>
      <c r="M632" s="34"/>
      <c r="N632" s="34"/>
    </row>
    <row r="633" spans="1:14" ht="12.75">
      <c r="A633" s="34"/>
      <c r="B633" s="34"/>
      <c r="C633" s="34"/>
      <c r="D633" s="188"/>
      <c r="E633" s="304"/>
      <c r="F633" s="34"/>
      <c r="G633" s="34"/>
      <c r="H633" s="34"/>
      <c r="I633" s="34"/>
      <c r="J633" s="44"/>
      <c r="K633" s="105"/>
      <c r="L633" s="34"/>
      <c r="M633" s="34"/>
      <c r="N633" s="34"/>
    </row>
    <row r="634" spans="1:14" ht="12.75">
      <c r="A634" s="34"/>
      <c r="B634" s="34"/>
      <c r="C634" s="34"/>
      <c r="D634" s="188"/>
      <c r="E634" s="304"/>
      <c r="F634" s="34"/>
      <c r="G634" s="34"/>
      <c r="H634" s="34"/>
      <c r="I634" s="34"/>
      <c r="J634" s="44"/>
      <c r="K634" s="105"/>
      <c r="L634" s="34"/>
      <c r="M634" s="34"/>
      <c r="N634" s="34"/>
    </row>
    <row r="635" spans="1:14" ht="12.75">
      <c r="A635" s="34"/>
      <c r="B635" s="34"/>
      <c r="C635" s="34"/>
      <c r="D635" s="188"/>
      <c r="E635" s="304"/>
      <c r="F635" s="34"/>
      <c r="G635" s="34"/>
      <c r="H635" s="34"/>
      <c r="I635" s="34"/>
      <c r="J635" s="44"/>
      <c r="K635" s="105"/>
      <c r="L635" s="34"/>
      <c r="M635" s="34"/>
      <c r="N635" s="34"/>
    </row>
    <row r="636" spans="1:14" ht="12.75">
      <c r="A636" s="34"/>
      <c r="B636" s="34"/>
      <c r="C636" s="34"/>
      <c r="D636" s="188"/>
      <c r="E636" s="304"/>
      <c r="F636" s="34"/>
      <c r="G636" s="34"/>
      <c r="H636" s="34"/>
      <c r="I636" s="34"/>
      <c r="J636" s="44"/>
      <c r="K636" s="105"/>
      <c r="L636" s="34"/>
      <c r="M636" s="34"/>
      <c r="N636" s="34"/>
    </row>
    <row r="637" spans="1:14" ht="12.75">
      <c r="A637" s="34"/>
      <c r="B637" s="34"/>
      <c r="C637" s="34"/>
      <c r="D637" s="188"/>
      <c r="E637" s="304"/>
      <c r="F637" s="34"/>
      <c r="G637" s="34"/>
      <c r="H637" s="34"/>
      <c r="I637" s="34"/>
      <c r="J637" s="44"/>
      <c r="K637" s="105"/>
      <c r="L637" s="34"/>
      <c r="M637" s="34"/>
      <c r="N637" s="34"/>
    </row>
    <row r="638" spans="1:14" ht="12.75">
      <c r="A638" s="34"/>
      <c r="B638" s="34"/>
      <c r="C638" s="34"/>
      <c r="D638" s="188"/>
      <c r="E638" s="304"/>
      <c r="F638" s="34"/>
      <c r="G638" s="34"/>
      <c r="H638" s="34"/>
      <c r="I638" s="34"/>
      <c r="J638" s="44"/>
      <c r="K638" s="105"/>
      <c r="L638" s="34"/>
      <c r="M638" s="34"/>
      <c r="N638" s="34"/>
    </row>
    <row r="639" spans="1:14" ht="12.75">
      <c r="A639" s="34"/>
      <c r="B639" s="34"/>
      <c r="C639" s="34"/>
      <c r="D639" s="188"/>
      <c r="E639" s="304"/>
      <c r="F639" s="34"/>
      <c r="G639" s="34"/>
      <c r="H639" s="34"/>
      <c r="I639" s="34"/>
      <c r="J639" s="44"/>
      <c r="K639" s="105"/>
      <c r="L639" s="34"/>
      <c r="M639" s="34"/>
      <c r="N639" s="34"/>
    </row>
    <row r="640" spans="1:14" ht="12.75">
      <c r="A640" s="34"/>
      <c r="B640" s="34"/>
      <c r="C640" s="34"/>
      <c r="D640" s="188"/>
      <c r="E640" s="304"/>
      <c r="F640" s="34"/>
      <c r="G640" s="34"/>
      <c r="H640" s="34"/>
      <c r="I640" s="34"/>
      <c r="J640" s="44"/>
      <c r="K640" s="105"/>
      <c r="L640" s="34"/>
      <c r="M640" s="34"/>
      <c r="N640" s="34"/>
    </row>
    <row r="641" spans="1:14" ht="12.75">
      <c r="A641" s="34"/>
      <c r="B641" s="34"/>
      <c r="C641" s="34"/>
      <c r="D641" s="188"/>
      <c r="E641" s="304"/>
      <c r="F641" s="34"/>
      <c r="G641" s="34"/>
      <c r="H641" s="34"/>
      <c r="I641" s="34"/>
      <c r="J641" s="44"/>
      <c r="K641" s="105"/>
      <c r="L641" s="34"/>
      <c r="M641" s="34"/>
      <c r="N641" s="34"/>
    </row>
    <row r="642" spans="1:14" ht="12.75">
      <c r="A642" s="34"/>
      <c r="B642" s="34"/>
      <c r="C642" s="34"/>
      <c r="D642" s="188"/>
      <c r="E642" s="304"/>
      <c r="F642" s="34"/>
      <c r="G642" s="34"/>
      <c r="H642" s="34"/>
      <c r="I642" s="34"/>
      <c r="J642" s="44"/>
      <c r="K642" s="105"/>
      <c r="L642" s="34"/>
      <c r="M642" s="34"/>
      <c r="N642" s="34"/>
    </row>
    <row r="643" spans="1:14" ht="12.75">
      <c r="A643" s="34"/>
      <c r="B643" s="34"/>
      <c r="C643" s="34"/>
      <c r="D643" s="188"/>
      <c r="E643" s="304"/>
      <c r="F643" s="34"/>
      <c r="G643" s="34"/>
      <c r="H643" s="34"/>
      <c r="I643" s="34"/>
      <c r="J643" s="44"/>
      <c r="K643" s="105"/>
      <c r="L643" s="34"/>
      <c r="M643" s="34"/>
      <c r="N643" s="34"/>
    </row>
    <row r="644" spans="1:14" ht="12.75">
      <c r="A644" s="34"/>
      <c r="B644" s="34"/>
      <c r="C644" s="34"/>
      <c r="D644" s="188"/>
      <c r="E644" s="304"/>
      <c r="F644" s="34"/>
      <c r="G644" s="34"/>
      <c r="H644" s="34"/>
      <c r="I644" s="34"/>
      <c r="J644" s="44"/>
      <c r="K644" s="105"/>
      <c r="L644" s="34"/>
      <c r="M644" s="34"/>
      <c r="N644" s="34"/>
    </row>
    <row r="645" spans="1:14" ht="12.75">
      <c r="A645" s="34"/>
      <c r="B645" s="34"/>
      <c r="C645" s="34"/>
      <c r="D645" s="188"/>
      <c r="E645" s="304"/>
      <c r="F645" s="34"/>
      <c r="G645" s="34"/>
      <c r="H645" s="34"/>
      <c r="I645" s="34"/>
      <c r="J645" s="44"/>
      <c r="K645" s="105"/>
      <c r="L645" s="34"/>
      <c r="M645" s="34"/>
      <c r="N645" s="34"/>
    </row>
    <row r="646" spans="1:14" ht="12.75">
      <c r="A646" s="34"/>
      <c r="B646" s="34"/>
      <c r="C646" s="34"/>
      <c r="D646" s="188"/>
      <c r="E646" s="304"/>
      <c r="F646" s="34"/>
      <c r="G646" s="34"/>
      <c r="H646" s="34"/>
      <c r="I646" s="34"/>
      <c r="J646" s="44"/>
      <c r="K646" s="105"/>
      <c r="L646" s="34"/>
      <c r="M646" s="34"/>
      <c r="N646" s="34"/>
    </row>
    <row r="647" spans="1:14" ht="12.75">
      <c r="A647" s="34"/>
      <c r="B647" s="34"/>
      <c r="C647" s="34"/>
      <c r="D647" s="188"/>
      <c r="E647" s="304"/>
      <c r="F647" s="34"/>
      <c r="G647" s="34"/>
      <c r="H647" s="34"/>
      <c r="I647" s="34"/>
      <c r="J647" s="44"/>
      <c r="K647" s="105"/>
      <c r="L647" s="34"/>
      <c r="M647" s="34"/>
      <c r="N647" s="34"/>
    </row>
    <row r="648" spans="1:14" ht="12.75">
      <c r="A648" s="34"/>
      <c r="B648" s="34"/>
      <c r="C648" s="34"/>
      <c r="D648" s="188"/>
      <c r="E648" s="304"/>
      <c r="F648" s="34"/>
      <c r="G648" s="34"/>
      <c r="H648" s="34"/>
      <c r="I648" s="34"/>
      <c r="J648" s="44"/>
      <c r="K648" s="105"/>
      <c r="L648" s="34"/>
      <c r="M648" s="34"/>
      <c r="N648" s="34"/>
    </row>
    <row r="649" spans="1:14" ht="12.75">
      <c r="A649" s="34"/>
      <c r="B649" s="34"/>
      <c r="C649" s="34"/>
      <c r="D649" s="188"/>
      <c r="E649" s="304"/>
      <c r="F649" s="34"/>
      <c r="G649" s="34"/>
      <c r="H649" s="34"/>
      <c r="I649" s="34"/>
      <c r="J649" s="44"/>
      <c r="K649" s="105"/>
      <c r="L649" s="34"/>
      <c r="M649" s="34"/>
      <c r="N649" s="34"/>
    </row>
    <row r="650" spans="1:14" ht="12.75">
      <c r="A650" s="34"/>
      <c r="B650" s="34"/>
      <c r="C650" s="34"/>
      <c r="D650" s="188"/>
      <c r="E650" s="304"/>
      <c r="F650" s="34"/>
      <c r="G650" s="34"/>
      <c r="H650" s="34"/>
      <c r="I650" s="34"/>
      <c r="J650" s="44"/>
      <c r="K650" s="105"/>
      <c r="L650" s="34"/>
      <c r="M650" s="34"/>
      <c r="N650" s="34"/>
    </row>
    <row r="651" spans="1:14" ht="12.75">
      <c r="A651" s="34"/>
      <c r="B651" s="34"/>
      <c r="C651" s="34"/>
      <c r="D651" s="188"/>
      <c r="E651" s="304"/>
      <c r="F651" s="34"/>
      <c r="G651" s="34"/>
      <c r="H651" s="34"/>
      <c r="I651" s="34"/>
      <c r="J651" s="44"/>
      <c r="K651" s="105"/>
      <c r="L651" s="34"/>
      <c r="M651" s="34"/>
      <c r="N651" s="34"/>
    </row>
    <row r="652" spans="1:14" ht="12.75">
      <c r="A652" s="34"/>
      <c r="B652" s="34"/>
      <c r="C652" s="34"/>
      <c r="D652" s="188"/>
      <c r="E652" s="304"/>
      <c r="F652" s="34"/>
      <c r="G652" s="34"/>
      <c r="H652" s="34"/>
      <c r="I652" s="34"/>
      <c r="J652" s="44"/>
      <c r="K652" s="105"/>
      <c r="L652" s="34"/>
      <c r="M652" s="34"/>
      <c r="N652" s="34"/>
    </row>
    <row r="653" spans="1:14" ht="12.75">
      <c r="A653" s="34"/>
      <c r="B653" s="34"/>
      <c r="C653" s="34"/>
      <c r="D653" s="188"/>
      <c r="E653" s="304"/>
      <c r="F653" s="34"/>
      <c r="G653" s="34"/>
      <c r="H653" s="34"/>
      <c r="I653" s="34"/>
      <c r="J653" s="44"/>
      <c r="K653" s="105"/>
      <c r="L653" s="34"/>
      <c r="M653" s="34"/>
      <c r="N653" s="34"/>
    </row>
    <row r="654" spans="1:14" ht="12.75">
      <c r="A654" s="34"/>
      <c r="B654" s="34"/>
      <c r="C654" s="34"/>
      <c r="D654" s="188"/>
      <c r="E654" s="304"/>
      <c r="F654" s="34"/>
      <c r="G654" s="34"/>
      <c r="H654" s="34"/>
      <c r="I654" s="34"/>
      <c r="J654" s="44"/>
      <c r="K654" s="105"/>
      <c r="L654" s="34"/>
      <c r="M654" s="34"/>
      <c r="N654" s="34"/>
    </row>
    <row r="655" spans="1:14" ht="12.75">
      <c r="A655" s="34"/>
      <c r="B655" s="34"/>
      <c r="C655" s="34"/>
      <c r="D655" s="188"/>
      <c r="E655" s="304"/>
      <c r="F655" s="34"/>
      <c r="G655" s="34"/>
      <c r="H655" s="34"/>
      <c r="I655" s="34"/>
      <c r="J655" s="44"/>
      <c r="K655" s="105"/>
      <c r="L655" s="34"/>
      <c r="M655" s="34"/>
      <c r="N655" s="34"/>
    </row>
    <row r="656" spans="1:14" ht="12.75">
      <c r="A656" s="34"/>
      <c r="B656" s="34"/>
      <c r="C656" s="34"/>
      <c r="D656" s="188"/>
      <c r="E656" s="304"/>
      <c r="F656" s="34"/>
      <c r="G656" s="34"/>
      <c r="H656" s="34"/>
      <c r="I656" s="34"/>
      <c r="J656" s="44"/>
      <c r="K656" s="105"/>
      <c r="L656" s="34"/>
      <c r="M656" s="34"/>
      <c r="N656" s="34"/>
    </row>
    <row r="657" spans="1:14" ht="12.75">
      <c r="A657" s="34"/>
      <c r="B657" s="34"/>
      <c r="C657" s="34"/>
      <c r="D657" s="188"/>
      <c r="E657" s="304"/>
      <c r="F657" s="34"/>
      <c r="G657" s="34"/>
      <c r="H657" s="34"/>
      <c r="I657" s="34"/>
      <c r="J657" s="44"/>
      <c r="K657" s="105"/>
      <c r="L657" s="34"/>
      <c r="M657" s="34"/>
      <c r="N657" s="34"/>
    </row>
    <row r="658" spans="1:14" ht="12.75">
      <c r="A658" s="34"/>
      <c r="B658" s="34"/>
      <c r="C658" s="34"/>
      <c r="D658" s="188"/>
      <c r="E658" s="304"/>
      <c r="F658" s="34"/>
      <c r="G658" s="34"/>
      <c r="H658" s="34"/>
      <c r="I658" s="34"/>
      <c r="J658" s="44"/>
      <c r="K658" s="105"/>
      <c r="L658" s="34"/>
      <c r="M658" s="34"/>
      <c r="N658" s="34"/>
    </row>
    <row r="659" spans="1:14" ht="12.75">
      <c r="A659" s="34"/>
      <c r="B659" s="34"/>
      <c r="C659" s="34"/>
      <c r="D659" s="188"/>
      <c r="E659" s="304"/>
      <c r="F659" s="34"/>
      <c r="G659" s="34"/>
      <c r="H659" s="34"/>
      <c r="I659" s="34"/>
      <c r="J659" s="44"/>
      <c r="K659" s="105"/>
      <c r="L659" s="34"/>
      <c r="M659" s="34"/>
      <c r="N659" s="34"/>
    </row>
    <row r="660" spans="1:14" ht="12.75">
      <c r="A660" s="34"/>
      <c r="B660" s="34"/>
      <c r="C660" s="34"/>
      <c r="D660" s="188"/>
      <c r="E660" s="304"/>
      <c r="F660" s="34"/>
      <c r="G660" s="34"/>
      <c r="H660" s="34"/>
      <c r="I660" s="34"/>
      <c r="J660" s="44"/>
      <c r="K660" s="105"/>
      <c r="L660" s="34"/>
      <c r="M660" s="34"/>
      <c r="N660" s="34"/>
    </row>
    <row r="661" spans="1:14" ht="12.75">
      <c r="A661" s="34"/>
      <c r="B661" s="34"/>
      <c r="C661" s="34"/>
      <c r="D661" s="188"/>
      <c r="E661" s="304"/>
      <c r="F661" s="34"/>
      <c r="G661" s="34"/>
      <c r="H661" s="34"/>
      <c r="I661" s="34"/>
      <c r="J661" s="44"/>
      <c r="K661" s="105"/>
      <c r="L661" s="34"/>
      <c r="M661" s="34"/>
      <c r="N661" s="34"/>
    </row>
    <row r="662" spans="1:14" ht="12.75">
      <c r="A662" s="34"/>
      <c r="B662" s="34"/>
      <c r="C662" s="34"/>
      <c r="D662" s="188"/>
      <c r="E662" s="304"/>
      <c r="F662" s="34"/>
      <c r="G662" s="34"/>
      <c r="H662" s="34"/>
      <c r="I662" s="34"/>
      <c r="J662" s="44"/>
      <c r="K662" s="105"/>
      <c r="L662" s="34"/>
      <c r="M662" s="34"/>
      <c r="N662" s="34"/>
    </row>
    <row r="663" spans="1:14" ht="12.75">
      <c r="A663" s="34"/>
      <c r="B663" s="34"/>
      <c r="C663" s="34"/>
      <c r="D663" s="188"/>
      <c r="E663" s="304"/>
      <c r="F663" s="34"/>
      <c r="G663" s="34"/>
      <c r="H663" s="34"/>
      <c r="I663" s="34"/>
      <c r="J663" s="44"/>
      <c r="K663" s="105"/>
      <c r="L663" s="34"/>
      <c r="M663" s="34"/>
      <c r="N663" s="34"/>
    </row>
    <row r="664" spans="1:14" ht="12.75">
      <c r="A664" s="34"/>
      <c r="B664" s="34"/>
      <c r="C664" s="34"/>
      <c r="D664" s="188"/>
      <c r="E664" s="304"/>
      <c r="F664" s="34"/>
      <c r="G664" s="34"/>
      <c r="H664" s="34"/>
      <c r="I664" s="34"/>
      <c r="J664" s="44"/>
      <c r="K664" s="105"/>
      <c r="L664" s="34"/>
      <c r="M664" s="34"/>
      <c r="N664" s="34"/>
    </row>
    <row r="665" spans="1:14" ht="12.75">
      <c r="A665" s="34"/>
      <c r="B665" s="34"/>
      <c r="C665" s="34"/>
      <c r="D665" s="188"/>
      <c r="E665" s="304"/>
      <c r="F665" s="34"/>
      <c r="G665" s="34"/>
      <c r="H665" s="34"/>
      <c r="I665" s="34"/>
      <c r="J665" s="44"/>
      <c r="K665" s="105"/>
      <c r="L665" s="34"/>
      <c r="M665" s="34"/>
      <c r="N665" s="34"/>
    </row>
    <row r="666" spans="1:14" ht="12.75">
      <c r="A666" s="34"/>
      <c r="B666" s="34"/>
      <c r="C666" s="34"/>
      <c r="D666" s="188"/>
      <c r="E666" s="304"/>
      <c r="F666" s="34"/>
      <c r="G666" s="34"/>
      <c r="H666" s="34"/>
      <c r="I666" s="34"/>
      <c r="J666" s="44"/>
      <c r="K666" s="105"/>
      <c r="L666" s="34"/>
      <c r="M666" s="34"/>
      <c r="N666" s="34"/>
    </row>
    <row r="667" spans="1:14" ht="12.75">
      <c r="A667" s="34"/>
      <c r="B667" s="34"/>
      <c r="C667" s="34"/>
      <c r="D667" s="188"/>
      <c r="E667" s="304"/>
      <c r="F667" s="34"/>
      <c r="G667" s="34"/>
      <c r="H667" s="34"/>
      <c r="I667" s="34"/>
      <c r="J667" s="44"/>
      <c r="K667" s="105"/>
      <c r="L667" s="34"/>
      <c r="M667" s="34"/>
      <c r="N667" s="34"/>
    </row>
    <row r="668" spans="1:14" ht="12.75">
      <c r="A668" s="34"/>
      <c r="B668" s="34"/>
      <c r="C668" s="34"/>
      <c r="D668" s="188"/>
      <c r="E668" s="304"/>
      <c r="F668" s="34"/>
      <c r="G668" s="34"/>
      <c r="H668" s="34"/>
      <c r="I668" s="34"/>
      <c r="J668" s="44"/>
      <c r="K668" s="105"/>
      <c r="L668" s="34"/>
      <c r="M668" s="34"/>
      <c r="N668" s="34"/>
    </row>
    <row r="669" spans="1:14" ht="12.75">
      <c r="A669" s="34"/>
      <c r="B669" s="34"/>
      <c r="C669" s="34"/>
      <c r="D669" s="188"/>
      <c r="E669" s="304"/>
      <c r="F669" s="34"/>
      <c r="G669" s="34"/>
      <c r="H669" s="34"/>
      <c r="I669" s="34"/>
      <c r="J669" s="44"/>
      <c r="K669" s="105"/>
      <c r="L669" s="34"/>
      <c r="M669" s="34"/>
      <c r="N669" s="34"/>
    </row>
    <row r="670" spans="1:14" ht="12.75">
      <c r="A670" s="34"/>
      <c r="B670" s="34"/>
      <c r="C670" s="34"/>
      <c r="D670" s="188"/>
      <c r="E670" s="304"/>
      <c r="F670" s="34"/>
      <c r="G670" s="34"/>
      <c r="H670" s="34"/>
      <c r="I670" s="34"/>
      <c r="J670" s="44"/>
      <c r="K670" s="105"/>
      <c r="L670" s="34"/>
      <c r="M670" s="34"/>
      <c r="N670" s="34"/>
    </row>
    <row r="671" spans="1:14" ht="12.75">
      <c r="A671" s="34"/>
      <c r="B671" s="34"/>
      <c r="C671" s="34"/>
      <c r="D671" s="188"/>
      <c r="E671" s="304"/>
      <c r="F671" s="34"/>
      <c r="G671" s="34"/>
      <c r="H671" s="34"/>
      <c r="I671" s="34"/>
      <c r="J671" s="44"/>
      <c r="K671" s="105"/>
      <c r="L671" s="34"/>
      <c r="M671" s="34"/>
      <c r="N671" s="34"/>
    </row>
    <row r="672" spans="1:14" ht="12.75">
      <c r="A672" s="34"/>
      <c r="B672" s="34"/>
      <c r="C672" s="34"/>
      <c r="D672" s="188"/>
      <c r="E672" s="304"/>
      <c r="F672" s="34"/>
      <c r="G672" s="34"/>
      <c r="H672" s="34"/>
      <c r="I672" s="34"/>
      <c r="J672" s="44"/>
      <c r="K672" s="105"/>
      <c r="L672" s="34"/>
      <c r="M672" s="34"/>
      <c r="N672" s="34"/>
    </row>
    <row r="673" spans="1:14" ht="12.75">
      <c r="A673" s="34"/>
      <c r="B673" s="34"/>
      <c r="C673" s="34"/>
      <c r="D673" s="188"/>
      <c r="E673" s="304"/>
      <c r="F673" s="34"/>
      <c r="G673" s="34"/>
      <c r="H673" s="34"/>
      <c r="I673" s="34"/>
      <c r="J673" s="44"/>
      <c r="K673" s="105"/>
      <c r="L673" s="34"/>
      <c r="M673" s="34"/>
      <c r="N673" s="34"/>
    </row>
    <row r="674" spans="1:14" ht="12.75">
      <c r="A674" s="34"/>
      <c r="B674" s="34"/>
      <c r="C674" s="34"/>
      <c r="D674" s="188"/>
      <c r="E674" s="304"/>
      <c r="F674" s="34"/>
      <c r="G674" s="34"/>
      <c r="H674" s="34"/>
      <c r="I674" s="34"/>
      <c r="J674" s="44"/>
      <c r="K674" s="105"/>
      <c r="L674" s="34"/>
      <c r="M674" s="34"/>
      <c r="N674" s="34"/>
    </row>
    <row r="675" spans="1:14" ht="12.75">
      <c r="A675" s="34"/>
      <c r="B675" s="34"/>
      <c r="C675" s="34"/>
      <c r="D675" s="188"/>
      <c r="E675" s="304"/>
      <c r="F675" s="34"/>
      <c r="G675" s="34"/>
      <c r="H675" s="34"/>
      <c r="I675" s="34"/>
      <c r="J675" s="44"/>
      <c r="K675" s="105"/>
      <c r="L675" s="34"/>
      <c r="M675" s="34"/>
      <c r="N675" s="34"/>
    </row>
    <row r="676" spans="1:14" ht="12.75">
      <c r="A676" s="34"/>
      <c r="B676" s="34"/>
      <c r="C676" s="34"/>
      <c r="D676" s="188"/>
      <c r="E676" s="304"/>
      <c r="F676" s="34"/>
      <c r="G676" s="34"/>
      <c r="H676" s="34"/>
      <c r="I676" s="34"/>
      <c r="J676" s="44"/>
      <c r="K676" s="105"/>
      <c r="L676" s="34"/>
      <c r="M676" s="34"/>
      <c r="N676" s="34"/>
    </row>
    <row r="677" spans="1:14" ht="12.75">
      <c r="A677" s="34"/>
      <c r="B677" s="34"/>
      <c r="C677" s="34"/>
      <c r="D677" s="188"/>
      <c r="E677" s="304"/>
      <c r="F677" s="34"/>
      <c r="G677" s="34"/>
      <c r="H677" s="34"/>
      <c r="I677" s="34"/>
      <c r="J677" s="44"/>
      <c r="K677" s="105"/>
      <c r="L677" s="34"/>
      <c r="M677" s="34"/>
      <c r="N677" s="34"/>
    </row>
    <row r="678" spans="1:14" ht="12.75">
      <c r="A678" s="34"/>
      <c r="B678" s="34"/>
      <c r="C678" s="34"/>
      <c r="D678" s="188"/>
      <c r="E678" s="304"/>
      <c r="F678" s="34"/>
      <c r="G678" s="34"/>
      <c r="H678" s="34"/>
      <c r="I678" s="34"/>
      <c r="J678" s="44"/>
      <c r="K678" s="105"/>
      <c r="L678" s="34"/>
      <c r="M678" s="34"/>
      <c r="N678" s="34"/>
    </row>
    <row r="679" spans="1:14" ht="12.75">
      <c r="A679" s="34"/>
      <c r="B679" s="34"/>
      <c r="C679" s="34"/>
      <c r="D679" s="188"/>
      <c r="E679" s="304"/>
      <c r="F679" s="34"/>
      <c r="G679" s="34"/>
      <c r="H679" s="34"/>
      <c r="I679" s="34"/>
      <c r="J679" s="44"/>
      <c r="K679" s="105"/>
      <c r="L679" s="34"/>
      <c r="M679" s="34"/>
      <c r="N679" s="34"/>
    </row>
    <row r="680" spans="1:14" ht="12.75">
      <c r="A680" s="34"/>
      <c r="B680" s="34"/>
      <c r="C680" s="34"/>
      <c r="D680" s="188"/>
      <c r="E680" s="304"/>
      <c r="F680" s="34"/>
      <c r="G680" s="34"/>
      <c r="H680" s="34"/>
      <c r="I680" s="34"/>
      <c r="J680" s="44"/>
      <c r="K680" s="105"/>
      <c r="L680" s="34"/>
      <c r="M680" s="34"/>
      <c r="N680" s="34"/>
    </row>
    <row r="681" spans="1:14" ht="12.75">
      <c r="A681" s="34"/>
      <c r="B681" s="34"/>
      <c r="C681" s="34"/>
      <c r="D681" s="188"/>
      <c r="E681" s="304"/>
      <c r="F681" s="34"/>
      <c r="G681" s="34"/>
      <c r="H681" s="34"/>
      <c r="I681" s="34"/>
      <c r="J681" s="44"/>
      <c r="K681" s="105"/>
      <c r="L681" s="34"/>
      <c r="M681" s="34"/>
      <c r="N681" s="34"/>
    </row>
    <row r="682" spans="1:14" ht="12.75">
      <c r="A682" s="34"/>
      <c r="B682" s="34"/>
      <c r="C682" s="34"/>
      <c r="D682" s="188"/>
      <c r="E682" s="304"/>
      <c r="F682" s="34"/>
      <c r="G682" s="34"/>
      <c r="H682" s="34"/>
      <c r="I682" s="34"/>
      <c r="J682" s="44"/>
      <c r="K682" s="105"/>
      <c r="L682" s="34"/>
      <c r="M682" s="34"/>
      <c r="N682" s="34"/>
    </row>
    <row r="683" spans="1:14" ht="12.75">
      <c r="A683" s="34"/>
      <c r="B683" s="34"/>
      <c r="C683" s="34"/>
      <c r="D683" s="188"/>
      <c r="E683" s="304"/>
      <c r="F683" s="34"/>
      <c r="G683" s="34"/>
      <c r="H683" s="34"/>
      <c r="I683" s="34"/>
      <c r="J683" s="44"/>
      <c r="K683" s="105"/>
      <c r="L683" s="34"/>
      <c r="M683" s="34"/>
      <c r="N683" s="34"/>
    </row>
    <row r="684" spans="1:14" ht="12.75">
      <c r="A684" s="34"/>
      <c r="B684" s="34"/>
      <c r="C684" s="34"/>
      <c r="D684" s="188"/>
      <c r="E684" s="304"/>
      <c r="F684" s="34"/>
      <c r="G684" s="34"/>
      <c r="H684" s="34"/>
      <c r="I684" s="34"/>
      <c r="J684" s="44"/>
      <c r="K684" s="105"/>
      <c r="L684" s="34"/>
      <c r="M684" s="34"/>
      <c r="N684" s="34"/>
    </row>
    <row r="685" spans="1:14" ht="12.75">
      <c r="A685" s="34"/>
      <c r="B685" s="34"/>
      <c r="C685" s="34"/>
      <c r="D685" s="188"/>
      <c r="E685" s="304"/>
      <c r="F685" s="34"/>
      <c r="G685" s="34"/>
      <c r="H685" s="34"/>
      <c r="I685" s="34"/>
      <c r="J685" s="44"/>
      <c r="K685" s="105"/>
      <c r="L685" s="34"/>
      <c r="M685" s="34"/>
      <c r="N685" s="34"/>
    </row>
    <row r="686" spans="1:14" ht="12.75">
      <c r="A686" s="34"/>
      <c r="B686" s="34"/>
      <c r="C686" s="34"/>
      <c r="D686" s="188"/>
      <c r="E686" s="304"/>
      <c r="F686" s="34"/>
      <c r="G686" s="34"/>
      <c r="H686" s="34"/>
      <c r="I686" s="34"/>
      <c r="J686" s="44"/>
      <c r="K686" s="105"/>
      <c r="L686" s="34"/>
      <c r="M686" s="34"/>
      <c r="N686" s="34"/>
    </row>
    <row r="687" spans="1:14" ht="12.75">
      <c r="A687" s="34"/>
      <c r="B687" s="34"/>
      <c r="C687" s="34"/>
      <c r="D687" s="188"/>
      <c r="E687" s="304"/>
      <c r="F687" s="34"/>
      <c r="G687" s="34"/>
      <c r="H687" s="34"/>
      <c r="I687" s="34"/>
      <c r="J687" s="44"/>
      <c r="K687" s="105"/>
      <c r="L687" s="34"/>
      <c r="M687" s="34"/>
      <c r="N687" s="34"/>
    </row>
    <row r="688" spans="1:14" ht="12.75">
      <c r="A688" s="34"/>
      <c r="B688" s="34"/>
      <c r="C688" s="34"/>
      <c r="D688" s="188"/>
      <c r="E688" s="304"/>
      <c r="F688" s="34"/>
      <c r="G688" s="34"/>
      <c r="H688" s="34"/>
      <c r="I688" s="34"/>
      <c r="J688" s="44"/>
      <c r="K688" s="105"/>
      <c r="L688" s="34"/>
      <c r="M688" s="34"/>
      <c r="N688" s="34"/>
    </row>
    <row r="689" spans="1:14" ht="12.75">
      <c r="A689" s="34"/>
      <c r="B689" s="34"/>
      <c r="C689" s="34"/>
      <c r="D689" s="188"/>
      <c r="E689" s="304"/>
      <c r="F689" s="34"/>
      <c r="G689" s="34"/>
      <c r="H689" s="34"/>
      <c r="I689" s="34"/>
      <c r="J689" s="44"/>
      <c r="K689" s="105"/>
      <c r="L689" s="34"/>
      <c r="M689" s="34"/>
      <c r="N689" s="34"/>
    </row>
    <row r="690" spans="1:14" ht="12.75">
      <c r="A690" s="34"/>
      <c r="B690" s="34"/>
      <c r="C690" s="34"/>
      <c r="D690" s="188"/>
      <c r="E690" s="304"/>
      <c r="F690" s="34"/>
      <c r="G690" s="34"/>
      <c r="H690" s="34"/>
      <c r="I690" s="34"/>
      <c r="J690" s="44"/>
      <c r="K690" s="105"/>
      <c r="L690" s="34"/>
      <c r="M690" s="34"/>
      <c r="N690" s="34"/>
    </row>
    <row r="691" spans="1:14" ht="12.75">
      <c r="A691" s="34"/>
      <c r="B691" s="34"/>
      <c r="C691" s="34"/>
      <c r="D691" s="188"/>
      <c r="E691" s="304"/>
      <c r="F691" s="34"/>
      <c r="G691" s="34"/>
      <c r="H691" s="34"/>
      <c r="I691" s="34"/>
      <c r="J691" s="44"/>
      <c r="K691" s="105"/>
      <c r="L691" s="34"/>
      <c r="M691" s="34"/>
      <c r="N691" s="34"/>
    </row>
    <row r="692" spans="1:14" ht="12.75">
      <c r="A692" s="34"/>
      <c r="B692" s="34"/>
      <c r="C692" s="34"/>
      <c r="D692" s="188"/>
      <c r="E692" s="304"/>
      <c r="F692" s="34"/>
      <c r="G692" s="34"/>
      <c r="H692" s="34"/>
      <c r="I692" s="34"/>
      <c r="J692" s="44"/>
      <c r="K692" s="105"/>
      <c r="L692" s="34"/>
      <c r="M692" s="34"/>
      <c r="N692" s="34"/>
    </row>
    <row r="693" spans="1:14" ht="12.75">
      <c r="A693" s="34"/>
      <c r="B693" s="34"/>
      <c r="C693" s="34"/>
      <c r="D693" s="188"/>
      <c r="E693" s="304"/>
      <c r="F693" s="34"/>
      <c r="G693" s="34"/>
      <c r="H693" s="34"/>
      <c r="I693" s="34"/>
      <c r="J693" s="44"/>
      <c r="K693" s="105"/>
      <c r="L693" s="34"/>
      <c r="M693" s="34"/>
      <c r="N693" s="34"/>
    </row>
    <row r="694" spans="1:14" ht="12.75">
      <c r="A694" s="34"/>
      <c r="B694" s="34"/>
      <c r="C694" s="34"/>
      <c r="D694" s="188"/>
      <c r="E694" s="304"/>
      <c r="F694" s="34"/>
      <c r="G694" s="34"/>
      <c r="H694" s="34"/>
      <c r="I694" s="34"/>
      <c r="J694" s="44"/>
      <c r="K694" s="105"/>
      <c r="L694" s="34"/>
      <c r="M694" s="34"/>
      <c r="N694" s="34"/>
    </row>
    <row r="695" spans="1:14" ht="12.75">
      <c r="A695" s="34"/>
      <c r="B695" s="34"/>
      <c r="C695" s="34"/>
      <c r="D695" s="188"/>
      <c r="E695" s="304"/>
      <c r="F695" s="34"/>
      <c r="G695" s="34"/>
      <c r="H695" s="34"/>
      <c r="I695" s="34"/>
      <c r="J695" s="44"/>
      <c r="K695" s="105"/>
      <c r="L695" s="34"/>
      <c r="M695" s="34"/>
      <c r="N695" s="34"/>
    </row>
    <row r="696" spans="1:14" ht="12.75">
      <c r="A696" s="34"/>
      <c r="B696" s="34"/>
      <c r="C696" s="34"/>
      <c r="D696" s="188"/>
      <c r="E696" s="304"/>
      <c r="F696" s="34"/>
      <c r="G696" s="34"/>
      <c r="H696" s="34"/>
      <c r="I696" s="34"/>
      <c r="J696" s="44"/>
      <c r="K696" s="105"/>
      <c r="L696" s="34"/>
      <c r="M696" s="34"/>
      <c r="N696" s="34"/>
    </row>
    <row r="697" spans="1:14" ht="12.75">
      <c r="A697" s="34"/>
      <c r="B697" s="34"/>
      <c r="C697" s="34"/>
      <c r="D697" s="188"/>
      <c r="E697" s="304"/>
      <c r="F697" s="34"/>
      <c r="G697" s="34"/>
      <c r="H697" s="34"/>
      <c r="I697" s="34"/>
      <c r="J697" s="44"/>
      <c r="K697" s="105"/>
      <c r="L697" s="34"/>
      <c r="M697" s="34"/>
      <c r="N697" s="34"/>
    </row>
    <row r="698" spans="1:14" ht="12.75">
      <c r="A698" s="34"/>
      <c r="B698" s="34"/>
      <c r="C698" s="34"/>
      <c r="D698" s="188"/>
      <c r="E698" s="304"/>
      <c r="F698" s="34"/>
      <c r="G698" s="34"/>
      <c r="H698" s="34"/>
      <c r="I698" s="34"/>
      <c r="J698" s="44"/>
      <c r="K698" s="105"/>
      <c r="L698" s="34"/>
      <c r="M698" s="34"/>
      <c r="N698" s="34"/>
    </row>
    <row r="699" spans="1:14" ht="12.75">
      <c r="A699" s="34"/>
      <c r="B699" s="34"/>
      <c r="C699" s="34"/>
      <c r="D699" s="188"/>
      <c r="E699" s="304"/>
      <c r="F699" s="34"/>
      <c r="G699" s="34"/>
      <c r="H699" s="34"/>
      <c r="I699" s="34"/>
      <c r="J699" s="44"/>
      <c r="K699" s="105"/>
      <c r="L699" s="34"/>
      <c r="M699" s="34"/>
      <c r="N699" s="34"/>
    </row>
    <row r="700" spans="1:14" ht="12.75">
      <c r="A700" s="34"/>
      <c r="B700" s="34"/>
      <c r="C700" s="34"/>
      <c r="D700" s="188"/>
      <c r="E700" s="304"/>
      <c r="F700" s="34"/>
      <c r="G700" s="34"/>
      <c r="H700" s="34"/>
      <c r="I700" s="34"/>
      <c r="J700" s="44"/>
      <c r="K700" s="105"/>
      <c r="L700" s="34"/>
      <c r="M700" s="34"/>
      <c r="N700" s="34"/>
    </row>
    <row r="701" spans="1:14" ht="12.75">
      <c r="A701" s="34"/>
      <c r="B701" s="34"/>
      <c r="C701" s="34"/>
      <c r="D701" s="188"/>
      <c r="E701" s="304"/>
      <c r="F701" s="34"/>
      <c r="G701" s="34"/>
      <c r="H701" s="34"/>
      <c r="I701" s="34"/>
      <c r="J701" s="44"/>
      <c r="K701" s="105"/>
      <c r="L701" s="34"/>
      <c r="M701" s="34"/>
      <c r="N701" s="34"/>
    </row>
    <row r="702" spans="1:14" ht="12.75">
      <c r="A702" s="34"/>
      <c r="B702" s="34"/>
      <c r="C702" s="34"/>
      <c r="D702" s="188"/>
      <c r="E702" s="304"/>
      <c r="F702" s="34"/>
      <c r="G702" s="34"/>
      <c r="H702" s="34"/>
      <c r="I702" s="34"/>
      <c r="J702" s="44"/>
      <c r="K702" s="105"/>
      <c r="L702" s="34"/>
      <c r="M702" s="34"/>
      <c r="N702" s="34"/>
    </row>
    <row r="703" spans="1:14" ht="12.75">
      <c r="A703" s="34"/>
      <c r="B703" s="34"/>
      <c r="C703" s="34"/>
      <c r="D703" s="188"/>
      <c r="E703" s="304"/>
      <c r="F703" s="34"/>
      <c r="G703" s="34"/>
      <c r="H703" s="34"/>
      <c r="I703" s="34"/>
      <c r="J703" s="44"/>
      <c r="K703" s="105"/>
      <c r="L703" s="34"/>
      <c r="M703" s="34"/>
      <c r="N703" s="34"/>
    </row>
    <row r="704" spans="1:14" ht="12.75">
      <c r="A704" s="34"/>
      <c r="B704" s="34"/>
      <c r="C704" s="34"/>
      <c r="D704" s="188"/>
      <c r="E704" s="304"/>
      <c r="F704" s="34"/>
      <c r="G704" s="34"/>
      <c r="H704" s="34"/>
      <c r="I704" s="34"/>
      <c r="J704" s="44"/>
      <c r="K704" s="105"/>
      <c r="L704" s="34"/>
      <c r="M704" s="34"/>
      <c r="N704" s="34"/>
    </row>
    <row r="705" spans="1:14" ht="12.75">
      <c r="A705" s="34"/>
      <c r="B705" s="34"/>
      <c r="C705" s="34"/>
      <c r="D705" s="188"/>
      <c r="E705" s="304"/>
      <c r="F705" s="34"/>
      <c r="G705" s="34"/>
      <c r="H705" s="34"/>
      <c r="I705" s="34"/>
      <c r="J705" s="44"/>
      <c r="K705" s="105"/>
      <c r="L705" s="34"/>
      <c r="M705" s="34"/>
      <c r="N705" s="34"/>
    </row>
    <row r="706" spans="1:14" ht="12.75">
      <c r="A706" s="34"/>
      <c r="B706" s="34"/>
      <c r="C706" s="34"/>
      <c r="D706" s="188"/>
      <c r="E706" s="304"/>
      <c r="F706" s="34"/>
      <c r="G706" s="34"/>
      <c r="H706" s="34"/>
      <c r="I706" s="34"/>
      <c r="J706" s="44"/>
      <c r="K706" s="105"/>
      <c r="L706" s="34"/>
      <c r="M706" s="34"/>
      <c r="N706" s="34"/>
    </row>
    <row r="707" spans="1:14" ht="12.75">
      <c r="A707" s="34"/>
      <c r="B707" s="34"/>
      <c r="C707" s="34"/>
      <c r="D707" s="188"/>
      <c r="E707" s="304"/>
      <c r="F707" s="34"/>
      <c r="G707" s="34"/>
      <c r="H707" s="34"/>
      <c r="I707" s="34"/>
      <c r="J707" s="44"/>
      <c r="K707" s="105"/>
      <c r="L707" s="34"/>
      <c r="M707" s="34"/>
      <c r="N707" s="34"/>
    </row>
    <row r="708" spans="1:14" ht="12.75">
      <c r="A708" s="34"/>
      <c r="B708" s="34"/>
      <c r="C708" s="34"/>
      <c r="D708" s="188"/>
      <c r="E708" s="304"/>
      <c r="F708" s="34"/>
      <c r="G708" s="34"/>
      <c r="H708" s="34"/>
      <c r="I708" s="34"/>
      <c r="J708" s="44"/>
      <c r="K708" s="105"/>
      <c r="L708" s="34"/>
      <c r="M708" s="34"/>
      <c r="N708" s="34"/>
    </row>
    <row r="709" spans="1:14" ht="12.75">
      <c r="A709" s="34"/>
      <c r="B709" s="34"/>
      <c r="C709" s="34"/>
      <c r="D709" s="188"/>
      <c r="E709" s="304"/>
      <c r="F709" s="34"/>
      <c r="G709" s="34"/>
      <c r="H709" s="34"/>
      <c r="I709" s="34"/>
      <c r="J709" s="44"/>
      <c r="K709" s="105"/>
      <c r="L709" s="34"/>
      <c r="M709" s="34"/>
      <c r="N709" s="34"/>
    </row>
    <row r="710" spans="1:14" ht="12.75">
      <c r="A710" s="34"/>
      <c r="B710" s="34"/>
      <c r="C710" s="34"/>
      <c r="D710" s="188"/>
      <c r="E710" s="304"/>
      <c r="F710" s="34"/>
      <c r="G710" s="34"/>
      <c r="H710" s="34"/>
      <c r="I710" s="34"/>
      <c r="J710" s="44"/>
      <c r="K710" s="105"/>
      <c r="L710" s="34"/>
      <c r="M710" s="34"/>
      <c r="N710" s="34"/>
    </row>
    <row r="711" spans="1:14" ht="12.75">
      <c r="A711" s="34"/>
      <c r="B711" s="34"/>
      <c r="C711" s="34"/>
      <c r="D711" s="188"/>
      <c r="E711" s="304"/>
      <c r="F711" s="34"/>
      <c r="G711" s="34"/>
      <c r="H711" s="34"/>
      <c r="I711" s="34"/>
      <c r="J711" s="44"/>
      <c r="K711" s="105"/>
      <c r="L711" s="34"/>
      <c r="M711" s="34"/>
      <c r="N711" s="34"/>
    </row>
    <row r="712" spans="1:14" ht="12.75">
      <c r="A712" s="34"/>
      <c r="B712" s="34"/>
      <c r="C712" s="34"/>
      <c r="D712" s="188"/>
      <c r="E712" s="304"/>
      <c r="F712" s="34"/>
      <c r="G712" s="34"/>
      <c r="H712" s="34"/>
      <c r="I712" s="34"/>
      <c r="J712" s="44"/>
      <c r="K712" s="105"/>
      <c r="L712" s="34"/>
      <c r="M712" s="34"/>
      <c r="N712" s="34"/>
    </row>
    <row r="713" spans="1:14" ht="12.75">
      <c r="A713" s="34"/>
      <c r="B713" s="34"/>
      <c r="C713" s="34"/>
      <c r="D713" s="188"/>
      <c r="E713" s="304"/>
      <c r="F713" s="34"/>
      <c r="G713" s="34"/>
      <c r="H713" s="34"/>
      <c r="I713" s="34"/>
      <c r="J713" s="44"/>
      <c r="K713" s="105"/>
      <c r="L713" s="34"/>
      <c r="M713" s="34"/>
      <c r="N713" s="34"/>
    </row>
    <row r="714" spans="1:14" ht="12.75">
      <c r="A714" s="34"/>
      <c r="B714" s="34"/>
      <c r="C714" s="34"/>
      <c r="D714" s="188"/>
      <c r="E714" s="304"/>
      <c r="F714" s="34"/>
      <c r="G714" s="34"/>
      <c r="H714" s="34"/>
      <c r="I714" s="34"/>
      <c r="J714" s="44"/>
      <c r="K714" s="105"/>
      <c r="L714" s="34"/>
      <c r="M714" s="34"/>
      <c r="N714" s="34"/>
    </row>
    <row r="715" spans="1:14" ht="12.75">
      <c r="A715" s="34"/>
      <c r="B715" s="34"/>
      <c r="C715" s="34"/>
      <c r="D715" s="188"/>
      <c r="E715" s="304"/>
      <c r="F715" s="34"/>
      <c r="G715" s="34"/>
      <c r="H715" s="34"/>
      <c r="I715" s="34"/>
      <c r="J715" s="44"/>
      <c r="K715" s="105"/>
      <c r="L715" s="34"/>
      <c r="M715" s="34"/>
      <c r="N715" s="34"/>
    </row>
    <row r="716" spans="1:14" ht="12.75">
      <c r="A716" s="34"/>
      <c r="B716" s="34"/>
      <c r="C716" s="34"/>
      <c r="D716" s="188"/>
      <c r="E716" s="304"/>
      <c r="F716" s="34"/>
      <c r="G716" s="34"/>
      <c r="H716" s="34"/>
      <c r="I716" s="34"/>
      <c r="J716" s="44"/>
      <c r="K716" s="105"/>
      <c r="L716" s="34"/>
      <c r="M716" s="34"/>
      <c r="N716" s="34"/>
    </row>
    <row r="717" spans="1:14" ht="12.75">
      <c r="A717" s="34"/>
      <c r="B717" s="34"/>
      <c r="C717" s="34"/>
      <c r="D717" s="188"/>
      <c r="E717" s="304"/>
      <c r="F717" s="34"/>
      <c r="G717" s="34"/>
      <c r="H717" s="34"/>
      <c r="I717" s="34"/>
      <c r="J717" s="44"/>
      <c r="K717" s="105"/>
      <c r="L717" s="34"/>
      <c r="M717" s="34"/>
      <c r="N717" s="34"/>
    </row>
    <row r="718" spans="1:14" ht="12.75">
      <c r="A718" s="34"/>
      <c r="B718" s="34"/>
      <c r="C718" s="34"/>
      <c r="D718" s="188"/>
      <c r="E718" s="304"/>
      <c r="F718" s="34"/>
      <c r="G718" s="34"/>
      <c r="H718" s="34"/>
      <c r="I718" s="34"/>
      <c r="J718" s="44"/>
      <c r="K718" s="105"/>
      <c r="L718" s="34"/>
      <c r="M718" s="34"/>
      <c r="N718" s="34"/>
    </row>
    <row r="719" spans="1:14" ht="12.75">
      <c r="A719" s="34"/>
      <c r="B719" s="34"/>
      <c r="C719" s="34"/>
      <c r="D719" s="188"/>
      <c r="E719" s="304"/>
      <c r="F719" s="34"/>
      <c r="G719" s="34"/>
      <c r="H719" s="34"/>
      <c r="I719" s="34"/>
      <c r="J719" s="44"/>
      <c r="K719" s="105"/>
      <c r="L719" s="34"/>
      <c r="M719" s="34"/>
      <c r="N719" s="34"/>
    </row>
    <row r="720" spans="1:14" ht="12.75">
      <c r="A720" s="34"/>
      <c r="B720" s="34"/>
      <c r="C720" s="34"/>
      <c r="D720" s="188"/>
      <c r="E720" s="304"/>
      <c r="F720" s="34"/>
      <c r="G720" s="34"/>
      <c r="H720" s="34"/>
      <c r="I720" s="34"/>
      <c r="J720" s="44"/>
      <c r="K720" s="105"/>
      <c r="L720" s="34"/>
      <c r="M720" s="34"/>
      <c r="N720" s="34"/>
    </row>
    <row r="721" spans="1:14" ht="12.75">
      <c r="A721" s="34"/>
      <c r="B721" s="34"/>
      <c r="C721" s="34"/>
      <c r="D721" s="188"/>
      <c r="E721" s="304"/>
      <c r="F721" s="34"/>
      <c r="G721" s="34"/>
      <c r="H721" s="34"/>
      <c r="I721" s="34"/>
      <c r="J721" s="44"/>
      <c r="K721" s="105"/>
      <c r="L721" s="34"/>
      <c r="M721" s="34"/>
      <c r="N721" s="34"/>
    </row>
    <row r="722" spans="1:14" ht="12.75">
      <c r="A722" s="34"/>
      <c r="B722" s="34"/>
      <c r="C722" s="34"/>
      <c r="D722" s="188"/>
      <c r="E722" s="304"/>
      <c r="F722" s="34"/>
      <c r="G722" s="34"/>
      <c r="H722" s="34"/>
      <c r="I722" s="34"/>
      <c r="J722" s="44"/>
      <c r="K722" s="105"/>
      <c r="L722" s="34"/>
      <c r="M722" s="34"/>
      <c r="N722" s="34"/>
    </row>
    <row r="723" spans="1:14" ht="12.75">
      <c r="A723" s="34"/>
      <c r="B723" s="34"/>
      <c r="C723" s="34"/>
      <c r="D723" s="188"/>
      <c r="E723" s="304"/>
      <c r="F723" s="34"/>
      <c r="G723" s="34"/>
      <c r="H723" s="34"/>
      <c r="I723" s="34"/>
      <c r="J723" s="44"/>
      <c r="K723" s="105"/>
      <c r="L723" s="34"/>
      <c r="M723" s="34"/>
      <c r="N723" s="34"/>
    </row>
    <row r="724" spans="1:14" ht="12.75">
      <c r="A724" s="34"/>
      <c r="B724" s="34"/>
      <c r="C724" s="34"/>
      <c r="D724" s="188"/>
      <c r="E724" s="304"/>
      <c r="F724" s="34"/>
      <c r="G724" s="34"/>
      <c r="H724" s="34"/>
      <c r="I724" s="34"/>
      <c r="J724" s="44"/>
      <c r="K724" s="105"/>
      <c r="L724" s="34"/>
      <c r="M724" s="34"/>
      <c r="N724" s="34"/>
    </row>
    <row r="725" spans="1:14" ht="12.75">
      <c r="A725" s="34"/>
      <c r="B725" s="34"/>
      <c r="C725" s="34"/>
      <c r="D725" s="188"/>
      <c r="E725" s="304"/>
      <c r="F725" s="34"/>
      <c r="G725" s="34"/>
      <c r="H725" s="34"/>
      <c r="I725" s="34"/>
      <c r="J725" s="44"/>
      <c r="K725" s="105"/>
      <c r="L725" s="34"/>
      <c r="M725" s="34"/>
      <c r="N725" s="34"/>
    </row>
    <row r="726" spans="1:14" ht="12.75">
      <c r="A726" s="34"/>
      <c r="B726" s="34"/>
      <c r="C726" s="34"/>
      <c r="D726" s="188"/>
      <c r="E726" s="304"/>
      <c r="F726" s="34"/>
      <c r="G726" s="34"/>
      <c r="H726" s="34"/>
      <c r="I726" s="34"/>
      <c r="J726" s="44"/>
      <c r="K726" s="105"/>
      <c r="L726" s="34"/>
      <c r="M726" s="34"/>
      <c r="N726" s="34"/>
    </row>
    <row r="727" spans="1:14" ht="12.75">
      <c r="A727" s="34"/>
      <c r="B727" s="34"/>
      <c r="C727" s="34"/>
      <c r="D727" s="188"/>
      <c r="E727" s="304"/>
      <c r="F727" s="34"/>
      <c r="G727" s="34"/>
      <c r="H727" s="34"/>
      <c r="I727" s="34"/>
      <c r="J727" s="44"/>
      <c r="K727" s="105"/>
      <c r="L727" s="34"/>
      <c r="M727" s="34"/>
      <c r="N727" s="34"/>
    </row>
    <row r="728" spans="1:14" ht="12.75">
      <c r="A728" s="34"/>
      <c r="B728" s="34"/>
      <c r="C728" s="34"/>
      <c r="D728" s="188"/>
      <c r="E728" s="304"/>
      <c r="F728" s="34"/>
      <c r="G728" s="34"/>
      <c r="H728" s="34"/>
      <c r="I728" s="34"/>
      <c r="J728" s="44"/>
      <c r="K728" s="105"/>
      <c r="L728" s="34"/>
      <c r="M728" s="34"/>
      <c r="N728" s="34"/>
    </row>
    <row r="729" spans="1:14" ht="12.75">
      <c r="A729" s="34"/>
      <c r="B729" s="34"/>
      <c r="C729" s="34"/>
      <c r="D729" s="188"/>
      <c r="E729" s="304"/>
      <c r="F729" s="34"/>
      <c r="G729" s="34"/>
      <c r="H729" s="34"/>
      <c r="I729" s="34"/>
      <c r="J729" s="44"/>
      <c r="K729" s="105"/>
      <c r="L729" s="34"/>
      <c r="M729" s="34"/>
      <c r="N729" s="34"/>
    </row>
    <row r="730" spans="1:14" ht="12.75">
      <c r="A730" s="34"/>
      <c r="B730" s="34"/>
      <c r="C730" s="34"/>
      <c r="D730" s="188"/>
      <c r="E730" s="304"/>
      <c r="F730" s="34"/>
      <c r="G730" s="34"/>
      <c r="H730" s="34"/>
      <c r="I730" s="34"/>
      <c r="J730" s="44"/>
      <c r="K730" s="105"/>
      <c r="L730" s="34"/>
      <c r="M730" s="34"/>
      <c r="N730" s="34"/>
    </row>
    <row r="731" spans="1:14" ht="12.75">
      <c r="A731" s="34"/>
      <c r="B731" s="34"/>
      <c r="C731" s="34"/>
      <c r="D731" s="188"/>
      <c r="E731" s="304"/>
      <c r="F731" s="34"/>
      <c r="G731" s="34"/>
      <c r="H731" s="34"/>
      <c r="I731" s="34"/>
      <c r="J731" s="44"/>
      <c r="K731" s="105"/>
      <c r="L731" s="34"/>
      <c r="M731" s="34"/>
      <c r="N731" s="34"/>
    </row>
    <row r="732" spans="1:14" ht="12.75">
      <c r="A732" s="34"/>
      <c r="B732" s="34"/>
      <c r="C732" s="34"/>
      <c r="D732" s="188"/>
      <c r="E732" s="304"/>
      <c r="F732" s="34"/>
      <c r="G732" s="34"/>
      <c r="H732" s="34"/>
      <c r="I732" s="34"/>
      <c r="J732" s="44"/>
      <c r="K732" s="105"/>
      <c r="L732" s="34"/>
      <c r="M732" s="34"/>
      <c r="N732" s="34"/>
    </row>
    <row r="733" spans="1:14" ht="12.75">
      <c r="A733" s="34"/>
      <c r="B733" s="34"/>
      <c r="C733" s="34"/>
      <c r="D733" s="188"/>
      <c r="E733" s="304"/>
      <c r="F733" s="34"/>
      <c r="G733" s="34"/>
      <c r="H733" s="34"/>
      <c r="I733" s="34"/>
      <c r="J733" s="44"/>
      <c r="K733" s="105"/>
      <c r="L733" s="34"/>
      <c r="M733" s="34"/>
      <c r="N733" s="34"/>
    </row>
    <row r="734" spans="1:14" ht="12.75">
      <c r="A734" s="34"/>
      <c r="B734" s="34"/>
      <c r="C734" s="34"/>
      <c r="D734" s="188"/>
      <c r="E734" s="304"/>
      <c r="F734" s="34"/>
      <c r="G734" s="34"/>
      <c r="H734" s="34"/>
      <c r="I734" s="34"/>
      <c r="J734" s="44"/>
      <c r="K734" s="105"/>
      <c r="L734" s="34"/>
      <c r="M734" s="34"/>
      <c r="N734" s="34"/>
    </row>
    <row r="735" spans="1:14" ht="12.75">
      <c r="A735" s="34"/>
      <c r="B735" s="34"/>
      <c r="C735" s="34"/>
      <c r="D735" s="188"/>
      <c r="E735" s="304"/>
      <c r="F735" s="34"/>
      <c r="G735" s="34"/>
      <c r="H735" s="34"/>
      <c r="I735" s="34"/>
      <c r="J735" s="44"/>
      <c r="K735" s="105"/>
      <c r="L735" s="34"/>
      <c r="M735" s="34"/>
      <c r="N735" s="34"/>
    </row>
    <row r="736" spans="1:14" ht="12.75">
      <c r="A736" s="34"/>
      <c r="B736" s="34"/>
      <c r="C736" s="34"/>
      <c r="D736" s="188"/>
      <c r="E736" s="304"/>
      <c r="F736" s="34"/>
      <c r="G736" s="34"/>
      <c r="H736" s="34"/>
      <c r="I736" s="34"/>
      <c r="J736" s="44"/>
      <c r="K736" s="105"/>
      <c r="L736" s="34"/>
      <c r="M736" s="34"/>
      <c r="N736" s="34"/>
    </row>
    <row r="737" spans="1:14" ht="12.75">
      <c r="A737" s="34"/>
      <c r="B737" s="34"/>
      <c r="C737" s="34"/>
      <c r="D737" s="188"/>
      <c r="E737" s="304"/>
      <c r="F737" s="34"/>
      <c r="G737" s="34"/>
      <c r="H737" s="34"/>
      <c r="I737" s="34"/>
      <c r="J737" s="44"/>
      <c r="K737" s="105"/>
      <c r="L737" s="34"/>
      <c r="M737" s="34"/>
      <c r="N737" s="34"/>
    </row>
    <row r="738" spans="1:14" ht="12.75">
      <c r="A738" s="34"/>
      <c r="B738" s="34"/>
      <c r="C738" s="34"/>
      <c r="D738" s="188"/>
      <c r="E738" s="304"/>
      <c r="F738" s="34"/>
      <c r="G738" s="34"/>
      <c r="H738" s="34"/>
      <c r="I738" s="34"/>
      <c r="J738" s="44"/>
      <c r="K738" s="105"/>
      <c r="L738" s="34"/>
      <c r="M738" s="34"/>
      <c r="N738" s="34"/>
    </row>
    <row r="739" spans="1:14" ht="12.75">
      <c r="A739" s="34"/>
      <c r="B739" s="34"/>
      <c r="C739" s="34"/>
      <c r="D739" s="188"/>
      <c r="E739" s="304"/>
      <c r="F739" s="34"/>
      <c r="G739" s="34"/>
      <c r="H739" s="34"/>
      <c r="I739" s="34"/>
      <c r="J739" s="44"/>
      <c r="K739" s="105"/>
      <c r="L739" s="34"/>
      <c r="M739" s="34"/>
      <c r="N739" s="34"/>
    </row>
    <row r="740" spans="1:14" ht="12.75">
      <c r="A740" s="34"/>
      <c r="B740" s="34"/>
      <c r="C740" s="34"/>
      <c r="D740" s="188"/>
      <c r="E740" s="304"/>
      <c r="F740" s="34"/>
      <c r="G740" s="34"/>
      <c r="H740" s="34"/>
      <c r="I740" s="34"/>
      <c r="J740" s="44"/>
      <c r="K740" s="105"/>
      <c r="L740" s="34"/>
      <c r="M740" s="34"/>
      <c r="N740" s="34"/>
    </row>
    <row r="741" spans="1:14" ht="12.75">
      <c r="A741" s="34"/>
      <c r="B741" s="34"/>
      <c r="C741" s="34"/>
      <c r="D741" s="188"/>
      <c r="E741" s="304"/>
      <c r="F741" s="34"/>
      <c r="G741" s="34"/>
      <c r="H741" s="34"/>
      <c r="I741" s="34"/>
      <c r="J741" s="44"/>
      <c r="K741" s="105"/>
      <c r="L741" s="34"/>
      <c r="M741" s="34"/>
      <c r="N741" s="34"/>
    </row>
    <row r="742" spans="1:14" ht="12.75">
      <c r="A742" s="34"/>
      <c r="B742" s="34"/>
      <c r="C742" s="34"/>
      <c r="D742" s="188"/>
      <c r="E742" s="304"/>
      <c r="F742" s="34"/>
      <c r="G742" s="34"/>
      <c r="H742" s="34"/>
      <c r="I742" s="34"/>
      <c r="J742" s="44"/>
      <c r="K742" s="105"/>
      <c r="L742" s="34"/>
      <c r="M742" s="34"/>
      <c r="N742" s="34"/>
    </row>
    <row r="743" spans="1:14" ht="12.75">
      <c r="A743" s="34"/>
      <c r="B743" s="34"/>
      <c r="C743" s="34"/>
      <c r="D743" s="188"/>
      <c r="E743" s="304"/>
      <c r="F743" s="34"/>
      <c r="G743" s="34"/>
      <c r="H743" s="34"/>
      <c r="I743" s="34"/>
      <c r="J743" s="44"/>
      <c r="K743" s="105"/>
      <c r="L743" s="34"/>
      <c r="M743" s="34"/>
      <c r="N743" s="34"/>
    </row>
    <row r="744" spans="1:14" ht="12.75">
      <c r="A744" s="34"/>
      <c r="B744" s="34"/>
      <c r="C744" s="34"/>
      <c r="D744" s="188"/>
      <c r="E744" s="304"/>
      <c r="F744" s="34"/>
      <c r="G744" s="34"/>
      <c r="H744" s="34"/>
      <c r="I744" s="34"/>
      <c r="J744" s="44"/>
      <c r="K744" s="105"/>
      <c r="L744" s="34"/>
      <c r="M744" s="34"/>
      <c r="N744" s="34"/>
    </row>
    <row r="745" spans="1:14" ht="12.75">
      <c r="A745" s="34"/>
      <c r="B745" s="34"/>
      <c r="C745" s="34"/>
      <c r="D745" s="188"/>
      <c r="E745" s="304"/>
      <c r="F745" s="34"/>
      <c r="G745" s="34"/>
      <c r="H745" s="34"/>
      <c r="I745" s="34"/>
      <c r="J745" s="44"/>
      <c r="K745" s="105"/>
      <c r="L745" s="34"/>
      <c r="M745" s="34"/>
      <c r="N745" s="34"/>
    </row>
    <row r="746" spans="1:14" ht="12.75">
      <c r="A746" s="34"/>
      <c r="B746" s="34"/>
      <c r="C746" s="34"/>
      <c r="D746" s="188"/>
      <c r="E746" s="304"/>
      <c r="F746" s="34"/>
      <c r="G746" s="34"/>
      <c r="H746" s="34"/>
      <c r="I746" s="34"/>
      <c r="J746" s="44"/>
      <c r="K746" s="105"/>
      <c r="L746" s="34"/>
      <c r="M746" s="34"/>
      <c r="N746" s="34"/>
    </row>
    <row r="747" spans="1:14" ht="12.75">
      <c r="A747" s="34"/>
      <c r="B747" s="34"/>
      <c r="C747" s="34"/>
      <c r="D747" s="188"/>
      <c r="E747" s="304"/>
      <c r="F747" s="34"/>
      <c r="G747" s="34"/>
      <c r="H747" s="34"/>
      <c r="I747" s="34"/>
      <c r="J747" s="44"/>
      <c r="K747" s="105"/>
      <c r="L747" s="34"/>
      <c r="M747" s="34"/>
      <c r="N747" s="34"/>
    </row>
    <row r="748" spans="1:14" ht="12.75">
      <c r="A748" s="34"/>
      <c r="B748" s="34"/>
      <c r="C748" s="34"/>
      <c r="D748" s="188"/>
      <c r="E748" s="304"/>
      <c r="F748" s="34"/>
      <c r="G748" s="34"/>
      <c r="H748" s="34"/>
      <c r="I748" s="34"/>
      <c r="J748" s="44"/>
      <c r="K748" s="105"/>
      <c r="L748" s="34"/>
      <c r="M748" s="34"/>
      <c r="N748" s="34"/>
    </row>
    <row r="749" spans="1:14" ht="12.75">
      <c r="A749" s="34"/>
      <c r="B749" s="34"/>
      <c r="C749" s="34"/>
      <c r="D749" s="188"/>
      <c r="E749" s="304"/>
      <c r="F749" s="34"/>
      <c r="G749" s="34"/>
      <c r="H749" s="34"/>
      <c r="I749" s="34"/>
      <c r="J749" s="44"/>
      <c r="K749" s="105"/>
      <c r="L749" s="34"/>
      <c r="M749" s="34"/>
      <c r="N749" s="34"/>
    </row>
    <row r="750" spans="1:14" ht="12.75">
      <c r="A750" s="34"/>
      <c r="B750" s="34"/>
      <c r="C750" s="34"/>
      <c r="D750" s="188"/>
      <c r="E750" s="304"/>
      <c r="F750" s="34"/>
      <c r="G750" s="34"/>
      <c r="H750" s="34"/>
      <c r="I750" s="34"/>
      <c r="J750" s="44"/>
      <c r="K750" s="105"/>
      <c r="L750" s="34"/>
      <c r="M750" s="34"/>
      <c r="N750" s="34"/>
    </row>
    <row r="751" spans="1:14" ht="12.75">
      <c r="A751" s="34"/>
      <c r="B751" s="34"/>
      <c r="C751" s="34"/>
      <c r="D751" s="188"/>
      <c r="E751" s="304"/>
      <c r="F751" s="34"/>
      <c r="G751" s="34"/>
      <c r="H751" s="34"/>
      <c r="I751" s="34"/>
      <c r="J751" s="44"/>
      <c r="K751" s="105"/>
      <c r="L751" s="34"/>
      <c r="M751" s="34"/>
      <c r="N751" s="34"/>
    </row>
    <row r="752" spans="1:14" ht="12.75">
      <c r="A752" s="34"/>
      <c r="B752" s="34"/>
      <c r="C752" s="34"/>
      <c r="D752" s="188"/>
      <c r="E752" s="304"/>
      <c r="F752" s="34"/>
      <c r="G752" s="34"/>
      <c r="H752" s="34"/>
      <c r="I752" s="34"/>
      <c r="J752" s="44"/>
      <c r="K752" s="105"/>
      <c r="L752" s="34"/>
      <c r="M752" s="34"/>
      <c r="N752" s="34"/>
    </row>
    <row r="753" spans="1:14" ht="12.75">
      <c r="A753" s="34"/>
      <c r="B753" s="34"/>
      <c r="C753" s="34"/>
      <c r="D753" s="188"/>
      <c r="E753" s="304"/>
      <c r="F753" s="34"/>
      <c r="G753" s="34"/>
      <c r="H753" s="34"/>
      <c r="I753" s="34"/>
      <c r="J753" s="44"/>
      <c r="K753" s="105"/>
      <c r="L753" s="34"/>
      <c r="M753" s="34"/>
      <c r="N753" s="34"/>
    </row>
    <row r="754" spans="1:14" ht="12.75">
      <c r="A754" s="34"/>
      <c r="B754" s="34"/>
      <c r="C754" s="34"/>
      <c r="D754" s="188"/>
      <c r="E754" s="304"/>
      <c r="F754" s="34"/>
      <c r="G754" s="34"/>
      <c r="H754" s="34"/>
      <c r="I754" s="34"/>
      <c r="J754" s="44"/>
      <c r="K754" s="105"/>
      <c r="L754" s="34"/>
      <c r="M754" s="34"/>
      <c r="N754" s="34"/>
    </row>
    <row r="755" spans="1:14" ht="12.75">
      <c r="A755" s="34"/>
      <c r="B755" s="34"/>
      <c r="C755" s="34"/>
      <c r="D755" s="188"/>
      <c r="E755" s="304"/>
      <c r="F755" s="34"/>
      <c r="G755" s="34"/>
      <c r="H755" s="34"/>
      <c r="I755" s="34"/>
      <c r="J755" s="44"/>
      <c r="K755" s="105"/>
      <c r="L755" s="34"/>
      <c r="M755" s="34"/>
      <c r="N755" s="34"/>
    </row>
    <row r="756" spans="1:14" ht="12.75">
      <c r="A756" s="34"/>
      <c r="B756" s="34"/>
      <c r="C756" s="34"/>
      <c r="D756" s="188"/>
      <c r="E756" s="304"/>
      <c r="F756" s="34"/>
      <c r="G756" s="34"/>
      <c r="H756" s="34"/>
      <c r="I756" s="34"/>
      <c r="J756" s="44"/>
      <c r="K756" s="105"/>
      <c r="L756" s="34"/>
      <c r="M756" s="34"/>
      <c r="N756" s="34"/>
    </row>
    <row r="757" spans="1:14" ht="12.75">
      <c r="A757" s="34"/>
      <c r="B757" s="34"/>
      <c r="C757" s="34"/>
      <c r="D757" s="188"/>
      <c r="E757" s="304"/>
      <c r="F757" s="34"/>
      <c r="G757" s="34"/>
      <c r="H757" s="34"/>
      <c r="I757" s="34"/>
      <c r="J757" s="44"/>
      <c r="K757" s="105"/>
      <c r="L757" s="34"/>
      <c r="M757" s="34"/>
      <c r="N757" s="34"/>
    </row>
    <row r="758" spans="1:14" ht="12.75">
      <c r="A758" s="34"/>
      <c r="B758" s="34"/>
      <c r="C758" s="34"/>
      <c r="D758" s="188"/>
      <c r="E758" s="304"/>
      <c r="F758" s="34"/>
      <c r="G758" s="34"/>
      <c r="H758" s="34"/>
      <c r="I758" s="34"/>
      <c r="J758" s="44"/>
      <c r="K758" s="105"/>
      <c r="L758" s="34"/>
      <c r="M758" s="34"/>
      <c r="N758" s="34"/>
    </row>
    <row r="759" spans="1:14" ht="12.75">
      <c r="A759" s="34"/>
      <c r="B759" s="34"/>
      <c r="C759" s="34"/>
      <c r="D759" s="188"/>
      <c r="E759" s="304"/>
      <c r="F759" s="34"/>
      <c r="G759" s="34"/>
      <c r="H759" s="34"/>
      <c r="I759" s="34"/>
      <c r="J759" s="44"/>
      <c r="K759" s="105"/>
      <c r="L759" s="34"/>
      <c r="M759" s="34"/>
      <c r="N759" s="34"/>
    </row>
    <row r="760" spans="1:14" ht="12.75">
      <c r="A760" s="34"/>
      <c r="B760" s="34"/>
      <c r="C760" s="34"/>
      <c r="D760" s="188"/>
      <c r="E760" s="304"/>
      <c r="F760" s="34"/>
      <c r="G760" s="34"/>
      <c r="H760" s="34"/>
      <c r="I760" s="34"/>
      <c r="J760" s="44"/>
      <c r="K760" s="105"/>
      <c r="L760" s="34"/>
      <c r="M760" s="34"/>
      <c r="N760" s="34"/>
    </row>
    <row r="761" spans="1:14" ht="12.75">
      <c r="A761" s="34"/>
      <c r="B761" s="34"/>
      <c r="C761" s="34"/>
      <c r="D761" s="188"/>
      <c r="E761" s="304"/>
      <c r="F761" s="34"/>
      <c r="G761" s="34"/>
      <c r="H761" s="34"/>
      <c r="I761" s="34"/>
      <c r="J761" s="44"/>
      <c r="K761" s="105"/>
      <c r="L761" s="34"/>
      <c r="M761" s="34"/>
      <c r="N761" s="34"/>
    </row>
    <row r="762" spans="1:14" ht="12.75">
      <c r="A762" s="34"/>
      <c r="B762" s="34"/>
      <c r="C762" s="34"/>
      <c r="D762" s="188"/>
      <c r="E762" s="304"/>
      <c r="F762" s="34"/>
      <c r="G762" s="34"/>
      <c r="H762" s="34"/>
      <c r="I762" s="34"/>
      <c r="J762" s="44"/>
      <c r="K762" s="105"/>
      <c r="L762" s="34"/>
      <c r="M762" s="34"/>
      <c r="N762" s="34"/>
    </row>
    <row r="763" spans="1:14" ht="12.75">
      <c r="A763" s="34"/>
      <c r="B763" s="34"/>
      <c r="C763" s="34"/>
      <c r="D763" s="188"/>
      <c r="E763" s="304"/>
      <c r="F763" s="34"/>
      <c r="G763" s="34"/>
      <c r="H763" s="34"/>
      <c r="I763" s="34"/>
      <c r="J763" s="44"/>
      <c r="K763" s="105"/>
      <c r="L763" s="34"/>
      <c r="M763" s="34"/>
      <c r="N763" s="34"/>
    </row>
    <row r="764" spans="1:14" ht="12.75">
      <c r="A764" s="34"/>
      <c r="B764" s="34"/>
      <c r="C764" s="34"/>
      <c r="D764" s="188"/>
      <c r="E764" s="304"/>
      <c r="F764" s="34"/>
      <c r="G764" s="34"/>
      <c r="H764" s="34"/>
      <c r="I764" s="34"/>
      <c r="J764" s="44"/>
      <c r="K764" s="105"/>
      <c r="L764" s="34"/>
      <c r="M764" s="34"/>
      <c r="N764" s="34"/>
    </row>
    <row r="765" spans="1:14" ht="12.75">
      <c r="A765" s="34"/>
      <c r="B765" s="34"/>
      <c r="C765" s="34"/>
      <c r="D765" s="188"/>
      <c r="E765" s="304"/>
      <c r="F765" s="34"/>
      <c r="G765" s="34"/>
      <c r="H765" s="34"/>
      <c r="I765" s="34"/>
      <c r="J765" s="44"/>
      <c r="K765" s="105"/>
      <c r="L765" s="34"/>
      <c r="M765" s="34"/>
      <c r="N765" s="34"/>
    </row>
    <row r="766" spans="1:14" ht="12.75">
      <c r="A766" s="34"/>
      <c r="B766" s="34"/>
      <c r="C766" s="34"/>
      <c r="D766" s="188"/>
      <c r="E766" s="304"/>
      <c r="F766" s="34"/>
      <c r="G766" s="34"/>
      <c r="H766" s="34"/>
      <c r="I766" s="34"/>
      <c r="J766" s="44"/>
      <c r="K766" s="105"/>
      <c r="L766" s="34"/>
      <c r="M766" s="34"/>
      <c r="N766" s="34"/>
    </row>
    <row r="767" spans="1:14" ht="12.75">
      <c r="A767" s="34"/>
      <c r="B767" s="34"/>
      <c r="C767" s="34"/>
      <c r="D767" s="188"/>
      <c r="E767" s="304"/>
      <c r="F767" s="34"/>
      <c r="G767" s="34"/>
      <c r="H767" s="34"/>
      <c r="I767" s="34"/>
      <c r="J767" s="44"/>
      <c r="K767" s="105"/>
      <c r="L767" s="34"/>
      <c r="M767" s="34"/>
      <c r="N767" s="34"/>
    </row>
    <row r="768" spans="1:14" ht="12.75">
      <c r="A768" s="34"/>
      <c r="B768" s="34"/>
      <c r="C768" s="34"/>
      <c r="D768" s="188"/>
      <c r="E768" s="304"/>
      <c r="F768" s="34"/>
      <c r="G768" s="34"/>
      <c r="H768" s="34"/>
      <c r="I768" s="34"/>
      <c r="J768" s="44"/>
      <c r="K768" s="105"/>
      <c r="L768" s="34"/>
      <c r="M768" s="34"/>
      <c r="N768" s="34"/>
    </row>
    <row r="769" spans="1:14" ht="12.75">
      <c r="A769" s="34"/>
      <c r="B769" s="34"/>
      <c r="C769" s="34"/>
      <c r="D769" s="188"/>
      <c r="E769" s="304"/>
      <c r="F769" s="34"/>
      <c r="G769" s="34"/>
      <c r="H769" s="34"/>
      <c r="I769" s="34"/>
      <c r="J769" s="44"/>
      <c r="K769" s="105"/>
      <c r="L769" s="34"/>
      <c r="M769" s="34"/>
      <c r="N769" s="34"/>
    </row>
    <row r="770" spans="1:14" ht="12.75">
      <c r="A770" s="34"/>
      <c r="B770" s="34"/>
      <c r="C770" s="34"/>
      <c r="D770" s="188"/>
      <c r="E770" s="304"/>
      <c r="F770" s="34"/>
      <c r="G770" s="34"/>
      <c r="H770" s="34"/>
      <c r="I770" s="34"/>
      <c r="J770" s="44"/>
      <c r="K770" s="105"/>
      <c r="L770" s="34"/>
      <c r="M770" s="34"/>
      <c r="N770" s="34"/>
    </row>
    <row r="771" spans="1:14" ht="12.75">
      <c r="A771" s="34"/>
      <c r="B771" s="34"/>
      <c r="C771" s="34"/>
      <c r="D771" s="188"/>
      <c r="E771" s="304"/>
      <c r="F771" s="34"/>
      <c r="G771" s="34"/>
      <c r="H771" s="34"/>
      <c r="I771" s="34"/>
      <c r="J771" s="44"/>
      <c r="K771" s="105"/>
      <c r="L771" s="34"/>
      <c r="M771" s="34"/>
      <c r="N771" s="34"/>
    </row>
    <row r="772" spans="1:14" ht="12.75">
      <c r="A772" s="34"/>
      <c r="B772" s="34"/>
      <c r="C772" s="34"/>
      <c r="D772" s="188"/>
      <c r="E772" s="304"/>
      <c r="F772" s="34"/>
      <c r="G772" s="34"/>
      <c r="H772" s="34"/>
      <c r="I772" s="34"/>
      <c r="J772" s="44"/>
      <c r="K772" s="105"/>
      <c r="L772" s="34"/>
      <c r="M772" s="34"/>
      <c r="N772" s="34"/>
    </row>
    <row r="773" spans="1:14" ht="12.75">
      <c r="A773" s="34"/>
      <c r="B773" s="34"/>
      <c r="C773" s="34"/>
      <c r="D773" s="188"/>
      <c r="E773" s="304"/>
      <c r="F773" s="34"/>
      <c r="G773" s="34"/>
      <c r="H773" s="34"/>
      <c r="I773" s="34"/>
      <c r="J773" s="44"/>
      <c r="K773" s="105"/>
      <c r="L773" s="34"/>
      <c r="M773" s="34"/>
      <c r="N773" s="34"/>
    </row>
    <row r="774" spans="1:14" ht="12.75">
      <c r="A774" s="34"/>
      <c r="B774" s="34"/>
      <c r="C774" s="34"/>
      <c r="D774" s="188"/>
      <c r="E774" s="304"/>
      <c r="F774" s="34"/>
      <c r="G774" s="34"/>
      <c r="H774" s="34"/>
      <c r="I774" s="34"/>
      <c r="J774" s="44"/>
      <c r="K774" s="105"/>
      <c r="L774" s="34"/>
      <c r="M774" s="34"/>
      <c r="N774" s="34"/>
    </row>
    <row r="775" spans="1:14" ht="12.75">
      <c r="A775" s="34"/>
      <c r="B775" s="34"/>
      <c r="C775" s="34"/>
      <c r="D775" s="188"/>
      <c r="E775" s="304"/>
      <c r="F775" s="34"/>
      <c r="G775" s="34"/>
      <c r="H775" s="34"/>
      <c r="I775" s="34"/>
      <c r="J775" s="44"/>
      <c r="K775" s="105"/>
      <c r="L775" s="34"/>
      <c r="M775" s="34"/>
      <c r="N775" s="34"/>
    </row>
    <row r="776" spans="1:14" ht="12.75">
      <c r="A776" s="34"/>
      <c r="B776" s="34"/>
      <c r="C776" s="34"/>
      <c r="D776" s="188"/>
      <c r="E776" s="304"/>
      <c r="F776" s="34"/>
      <c r="G776" s="34"/>
      <c r="H776" s="34"/>
      <c r="I776" s="34"/>
      <c r="J776" s="44"/>
      <c r="K776" s="105"/>
      <c r="L776" s="34"/>
      <c r="M776" s="34"/>
      <c r="N776" s="34"/>
    </row>
    <row r="777" spans="1:14" ht="12.75">
      <c r="A777" s="34"/>
      <c r="B777" s="34"/>
      <c r="C777" s="34"/>
      <c r="D777" s="188"/>
      <c r="E777" s="304"/>
      <c r="F777" s="34"/>
      <c r="G777" s="34"/>
      <c r="H777" s="34"/>
      <c r="I777" s="34"/>
      <c r="J777" s="44"/>
      <c r="K777" s="105"/>
      <c r="L777" s="34"/>
      <c r="M777" s="34"/>
      <c r="N777" s="34"/>
    </row>
    <row r="778" spans="1:14" ht="12.75">
      <c r="A778" s="34"/>
      <c r="B778" s="34"/>
      <c r="C778" s="34"/>
      <c r="D778" s="188"/>
      <c r="E778" s="304"/>
      <c r="F778" s="34"/>
      <c r="G778" s="34"/>
      <c r="H778" s="34"/>
      <c r="I778" s="34"/>
      <c r="J778" s="44"/>
      <c r="K778" s="105"/>
      <c r="L778" s="34"/>
      <c r="M778" s="34"/>
      <c r="N778" s="34"/>
    </row>
    <row r="779" spans="1:14" ht="12.75">
      <c r="A779" s="34"/>
      <c r="B779" s="34"/>
      <c r="C779" s="34"/>
      <c r="D779" s="188"/>
      <c r="E779" s="304"/>
      <c r="F779" s="34"/>
      <c r="G779" s="34"/>
      <c r="H779" s="34"/>
      <c r="I779" s="34"/>
      <c r="J779" s="44"/>
      <c r="K779" s="105"/>
      <c r="L779" s="34"/>
      <c r="M779" s="34"/>
      <c r="N779" s="34"/>
    </row>
    <row r="780" spans="1:14" ht="12.75">
      <c r="A780" s="34"/>
      <c r="B780" s="34"/>
      <c r="C780" s="34"/>
      <c r="D780" s="188"/>
      <c r="E780" s="304"/>
      <c r="F780" s="34"/>
      <c r="G780" s="34"/>
      <c r="H780" s="34"/>
      <c r="I780" s="34"/>
      <c r="J780" s="44"/>
      <c r="K780" s="105"/>
      <c r="L780" s="34"/>
      <c r="M780" s="34"/>
      <c r="N780" s="34"/>
    </row>
    <row r="781" spans="1:14" ht="12.75">
      <c r="A781" s="34"/>
      <c r="B781" s="34"/>
      <c r="C781" s="34"/>
      <c r="D781" s="188"/>
      <c r="E781" s="304"/>
      <c r="F781" s="34"/>
      <c r="G781" s="34"/>
      <c r="H781" s="34"/>
      <c r="I781" s="34"/>
      <c r="J781" s="44"/>
      <c r="K781" s="105"/>
      <c r="L781" s="34"/>
      <c r="M781" s="34"/>
      <c r="N781" s="34"/>
    </row>
    <row r="782" spans="1:14" ht="12.75">
      <c r="A782" s="34"/>
      <c r="B782" s="34"/>
      <c r="C782" s="34"/>
      <c r="D782" s="188"/>
      <c r="E782" s="304"/>
      <c r="F782" s="34"/>
      <c r="G782" s="34"/>
      <c r="H782" s="34"/>
      <c r="I782" s="34"/>
      <c r="J782" s="44"/>
      <c r="K782" s="105"/>
      <c r="L782" s="34"/>
      <c r="M782" s="34"/>
      <c r="N782" s="34"/>
    </row>
    <row r="783" spans="1:14" ht="12.75">
      <c r="A783" s="34"/>
      <c r="B783" s="34"/>
      <c r="C783" s="34"/>
      <c r="D783" s="188"/>
      <c r="E783" s="304"/>
      <c r="F783" s="34"/>
      <c r="G783" s="34"/>
      <c r="H783" s="34"/>
      <c r="I783" s="34"/>
      <c r="J783" s="44"/>
      <c r="K783" s="105"/>
      <c r="L783" s="34"/>
      <c r="M783" s="34"/>
      <c r="N783" s="34"/>
    </row>
    <row r="784" spans="1:14" ht="12.75">
      <c r="A784" s="34"/>
      <c r="B784" s="34"/>
      <c r="C784" s="34"/>
      <c r="D784" s="188"/>
      <c r="E784" s="304"/>
      <c r="F784" s="34"/>
      <c r="G784" s="34"/>
      <c r="H784" s="34"/>
      <c r="I784" s="34"/>
      <c r="J784" s="44"/>
      <c r="K784" s="105"/>
      <c r="L784" s="34"/>
      <c r="M784" s="34"/>
      <c r="N784" s="34"/>
    </row>
    <row r="785" spans="1:14" ht="12.75">
      <c r="A785" s="34"/>
      <c r="B785" s="34"/>
      <c r="C785" s="34"/>
      <c r="D785" s="188"/>
      <c r="E785" s="304"/>
      <c r="F785" s="34"/>
      <c r="G785" s="34"/>
      <c r="H785" s="34"/>
      <c r="I785" s="34"/>
      <c r="J785" s="44"/>
      <c r="K785" s="105"/>
      <c r="L785" s="34"/>
      <c r="M785" s="34"/>
      <c r="N785" s="34"/>
    </row>
    <row r="786" spans="1:14" ht="12.75">
      <c r="A786" s="34"/>
      <c r="B786" s="34"/>
      <c r="C786" s="34"/>
      <c r="D786" s="188"/>
      <c r="E786" s="304"/>
      <c r="F786" s="34"/>
      <c r="G786" s="34"/>
      <c r="H786" s="34"/>
      <c r="I786" s="34"/>
      <c r="J786" s="44"/>
      <c r="K786" s="105"/>
      <c r="L786" s="34"/>
      <c r="M786" s="34"/>
      <c r="N786" s="34"/>
    </row>
    <row r="787" spans="1:14" ht="12.75">
      <c r="A787" s="34"/>
      <c r="B787" s="34"/>
      <c r="C787" s="34"/>
      <c r="D787" s="188"/>
      <c r="E787" s="304"/>
      <c r="F787" s="34"/>
      <c r="G787" s="34"/>
      <c r="H787" s="34"/>
      <c r="I787" s="34"/>
      <c r="J787" s="44"/>
      <c r="K787" s="105"/>
      <c r="L787" s="34"/>
      <c r="M787" s="34"/>
      <c r="N787" s="34"/>
    </row>
    <row r="788" spans="1:14" ht="12.75">
      <c r="A788" s="34"/>
      <c r="B788" s="34"/>
      <c r="C788" s="34"/>
      <c r="D788" s="188"/>
      <c r="E788" s="304"/>
      <c r="F788" s="34"/>
      <c r="G788" s="34"/>
      <c r="H788" s="34"/>
      <c r="I788" s="34"/>
      <c r="J788" s="44"/>
      <c r="K788" s="105"/>
      <c r="L788" s="34"/>
      <c r="M788" s="34"/>
      <c r="N788" s="34"/>
    </row>
    <row r="789" spans="1:14" ht="12.75">
      <c r="A789" s="34"/>
      <c r="B789" s="34"/>
      <c r="C789" s="34"/>
      <c r="D789" s="188"/>
      <c r="E789" s="304"/>
      <c r="F789" s="34"/>
      <c r="G789" s="34"/>
      <c r="H789" s="34"/>
      <c r="I789" s="34"/>
      <c r="J789" s="44"/>
      <c r="K789" s="105"/>
      <c r="L789" s="34"/>
      <c r="M789" s="34"/>
      <c r="N789" s="34"/>
    </row>
    <row r="790" spans="1:14" ht="12.75">
      <c r="A790" s="34"/>
      <c r="B790" s="34"/>
      <c r="C790" s="34"/>
      <c r="D790" s="188"/>
      <c r="E790" s="304"/>
      <c r="F790" s="34"/>
      <c r="G790" s="34"/>
      <c r="H790" s="34"/>
      <c r="I790" s="34"/>
      <c r="J790" s="44"/>
      <c r="K790" s="105"/>
      <c r="L790" s="34"/>
      <c r="M790" s="34"/>
      <c r="N790" s="34"/>
    </row>
    <row r="791" spans="1:14" ht="12.75">
      <c r="A791" s="34"/>
      <c r="B791" s="34"/>
      <c r="C791" s="34"/>
      <c r="D791" s="188"/>
      <c r="E791" s="304"/>
      <c r="F791" s="34"/>
      <c r="G791" s="34"/>
      <c r="H791" s="34"/>
      <c r="I791" s="34"/>
      <c r="J791" s="44"/>
      <c r="K791" s="105"/>
      <c r="L791" s="34"/>
      <c r="M791" s="34"/>
      <c r="N791" s="34"/>
    </row>
    <row r="792" spans="1:14" ht="12.75">
      <c r="A792" s="34"/>
      <c r="B792" s="34"/>
      <c r="C792" s="34"/>
      <c r="D792" s="188"/>
      <c r="E792" s="304"/>
      <c r="F792" s="34"/>
      <c r="G792" s="34"/>
      <c r="H792" s="34"/>
      <c r="I792" s="34"/>
      <c r="J792" s="44"/>
      <c r="K792" s="105"/>
      <c r="L792" s="34"/>
      <c r="M792" s="34"/>
      <c r="N792" s="34"/>
    </row>
    <row r="793" spans="1:14" ht="12.75">
      <c r="A793" s="34"/>
      <c r="B793" s="34"/>
      <c r="C793" s="34"/>
      <c r="D793" s="188"/>
      <c r="E793" s="304"/>
      <c r="F793" s="34"/>
      <c r="G793" s="34"/>
      <c r="H793" s="34"/>
      <c r="I793" s="34"/>
      <c r="J793" s="44"/>
      <c r="K793" s="105"/>
      <c r="L793" s="34"/>
      <c r="M793" s="34"/>
      <c r="N793" s="34"/>
    </row>
    <row r="794" spans="1:14" ht="12.75">
      <c r="A794" s="34"/>
      <c r="B794" s="34"/>
      <c r="C794" s="34"/>
      <c r="D794" s="188"/>
      <c r="E794" s="304"/>
      <c r="F794" s="34"/>
      <c r="G794" s="34"/>
      <c r="H794" s="34"/>
      <c r="I794" s="34"/>
      <c r="J794" s="44"/>
      <c r="K794" s="105"/>
      <c r="L794" s="34"/>
      <c r="M794" s="34"/>
      <c r="N794" s="34"/>
    </row>
    <row r="795" spans="1:14" ht="12.75">
      <c r="A795" s="34"/>
      <c r="B795" s="34"/>
      <c r="C795" s="34"/>
      <c r="D795" s="188"/>
      <c r="E795" s="304"/>
      <c r="F795" s="34"/>
      <c r="G795" s="34"/>
      <c r="H795" s="34"/>
      <c r="I795" s="34"/>
      <c r="J795" s="44"/>
      <c r="K795" s="105"/>
      <c r="L795" s="34"/>
      <c r="M795" s="34"/>
      <c r="N795" s="34"/>
    </row>
    <row r="796" spans="1:14" ht="12.75">
      <c r="A796" s="34"/>
      <c r="B796" s="34"/>
      <c r="C796" s="34"/>
      <c r="D796" s="188"/>
      <c r="E796" s="304"/>
      <c r="F796" s="34"/>
      <c r="G796" s="34"/>
      <c r="H796" s="34"/>
      <c r="I796" s="34"/>
      <c r="J796" s="44"/>
      <c r="K796" s="105"/>
      <c r="L796" s="34"/>
      <c r="M796" s="34"/>
      <c r="N796" s="34"/>
    </row>
    <row r="797" spans="1:14" ht="12.75">
      <c r="A797" s="34"/>
      <c r="B797" s="34"/>
      <c r="C797" s="34"/>
      <c r="D797" s="188"/>
      <c r="E797" s="304"/>
      <c r="F797" s="34"/>
      <c r="G797" s="34"/>
      <c r="H797" s="34"/>
      <c r="I797" s="34"/>
      <c r="J797" s="44"/>
      <c r="K797" s="105"/>
      <c r="L797" s="34"/>
      <c r="M797" s="34"/>
      <c r="N797" s="34"/>
    </row>
    <row r="798" spans="1:14" ht="12.75">
      <c r="A798" s="34"/>
      <c r="B798" s="34"/>
      <c r="C798" s="34"/>
      <c r="D798" s="188"/>
      <c r="E798" s="304"/>
      <c r="F798" s="34"/>
      <c r="G798" s="34"/>
      <c r="H798" s="34"/>
      <c r="I798" s="34"/>
      <c r="J798" s="44"/>
      <c r="K798" s="105"/>
      <c r="L798" s="34"/>
      <c r="M798" s="34"/>
      <c r="N798" s="34"/>
    </row>
    <row r="799" spans="1:14" ht="12.75">
      <c r="A799" s="34"/>
      <c r="B799" s="34"/>
      <c r="C799" s="34"/>
      <c r="D799" s="188"/>
      <c r="E799" s="304"/>
      <c r="F799" s="34"/>
      <c r="G799" s="34"/>
      <c r="H799" s="34"/>
      <c r="I799" s="34"/>
      <c r="J799" s="44"/>
      <c r="K799" s="105"/>
      <c r="L799" s="34"/>
      <c r="M799" s="34"/>
      <c r="N799" s="34"/>
    </row>
    <row r="800" spans="1:14" ht="12.75">
      <c r="A800" s="34"/>
      <c r="B800" s="34"/>
      <c r="C800" s="34"/>
      <c r="D800" s="188"/>
      <c r="E800" s="304"/>
      <c r="F800" s="34"/>
      <c r="G800" s="34"/>
      <c r="H800" s="34"/>
      <c r="I800" s="34"/>
      <c r="J800" s="44"/>
      <c r="K800" s="105"/>
      <c r="L800" s="34"/>
      <c r="M800" s="34"/>
      <c r="N800" s="34"/>
    </row>
    <row r="801" spans="1:14" ht="12.75">
      <c r="A801" s="34"/>
      <c r="B801" s="34"/>
      <c r="C801" s="34"/>
      <c r="D801" s="188"/>
      <c r="E801" s="304"/>
      <c r="F801" s="34"/>
      <c r="G801" s="34"/>
      <c r="H801" s="34"/>
      <c r="I801" s="34"/>
      <c r="J801" s="44"/>
      <c r="K801" s="105"/>
      <c r="L801" s="34"/>
      <c r="M801" s="34"/>
      <c r="N801" s="34"/>
    </row>
    <row r="802" spans="1:14" ht="12.75">
      <c r="A802" s="34"/>
      <c r="B802" s="34"/>
      <c r="C802" s="34"/>
      <c r="D802" s="188"/>
      <c r="E802" s="304"/>
      <c r="F802" s="34"/>
      <c r="G802" s="34"/>
      <c r="H802" s="34"/>
      <c r="I802" s="34"/>
      <c r="J802" s="44"/>
      <c r="K802" s="105"/>
      <c r="L802" s="34"/>
      <c r="M802" s="34"/>
      <c r="N802" s="34"/>
    </row>
    <row r="803" spans="1:14" ht="12.75">
      <c r="A803" s="34"/>
      <c r="B803" s="34"/>
      <c r="C803" s="34"/>
      <c r="D803" s="188"/>
      <c r="E803" s="304"/>
      <c r="F803" s="34"/>
      <c r="G803" s="34"/>
      <c r="H803" s="34"/>
      <c r="I803" s="34"/>
      <c r="J803" s="44"/>
      <c r="K803" s="105"/>
      <c r="L803" s="34"/>
      <c r="M803" s="34"/>
      <c r="N803" s="34"/>
    </row>
    <row r="804" spans="1:14" ht="12.75">
      <c r="A804" s="34"/>
      <c r="B804" s="34"/>
      <c r="C804" s="34"/>
      <c r="D804" s="188"/>
      <c r="E804" s="304"/>
      <c r="F804" s="34"/>
      <c r="G804" s="34"/>
      <c r="H804" s="34"/>
      <c r="I804" s="34"/>
      <c r="J804" s="44"/>
      <c r="K804" s="105"/>
      <c r="L804" s="34"/>
      <c r="M804" s="34"/>
      <c r="N804" s="34"/>
    </row>
    <row r="805" spans="1:14" ht="12.75">
      <c r="A805" s="34"/>
      <c r="B805" s="34"/>
      <c r="C805" s="34"/>
      <c r="D805" s="188"/>
      <c r="E805" s="304"/>
      <c r="F805" s="34"/>
      <c r="G805" s="34"/>
      <c r="H805" s="34"/>
      <c r="I805" s="34"/>
      <c r="J805" s="44"/>
      <c r="K805" s="105"/>
      <c r="L805" s="34"/>
      <c r="M805" s="34"/>
      <c r="N805" s="34"/>
    </row>
    <row r="806" spans="1:14" ht="12.75">
      <c r="A806" s="34"/>
      <c r="B806" s="34"/>
      <c r="C806" s="34"/>
      <c r="D806" s="188"/>
      <c r="E806" s="304"/>
      <c r="F806" s="34"/>
      <c r="G806" s="34"/>
      <c r="H806" s="34"/>
      <c r="I806" s="34"/>
      <c r="J806" s="44"/>
      <c r="K806" s="105"/>
      <c r="L806" s="34"/>
      <c r="M806" s="34"/>
      <c r="N806" s="34"/>
    </row>
    <row r="807" spans="1:14" ht="12.75">
      <c r="A807" s="34"/>
      <c r="B807" s="34"/>
      <c r="C807" s="34"/>
      <c r="D807" s="188"/>
      <c r="E807" s="304"/>
      <c r="F807" s="34"/>
      <c r="G807" s="34"/>
      <c r="H807" s="34"/>
      <c r="I807" s="34"/>
      <c r="J807" s="44"/>
      <c r="K807" s="105"/>
      <c r="L807" s="34"/>
      <c r="M807" s="34"/>
      <c r="N807" s="34"/>
    </row>
    <row r="808" spans="1:14" ht="12.75">
      <c r="A808" s="34"/>
      <c r="B808" s="34"/>
      <c r="C808" s="34"/>
      <c r="D808" s="188"/>
      <c r="E808" s="304"/>
      <c r="F808" s="34"/>
      <c r="G808" s="34"/>
      <c r="H808" s="34"/>
      <c r="I808" s="34"/>
      <c r="J808" s="44"/>
      <c r="K808" s="105"/>
      <c r="L808" s="34"/>
      <c r="M808" s="34"/>
      <c r="N808" s="34"/>
    </row>
    <row r="809" spans="1:14" ht="12.75">
      <c r="A809" s="34"/>
      <c r="B809" s="34"/>
      <c r="C809" s="34"/>
      <c r="D809" s="188"/>
      <c r="E809" s="304"/>
      <c r="F809" s="34"/>
      <c r="G809" s="34"/>
      <c r="H809" s="34"/>
      <c r="I809" s="34"/>
      <c r="J809" s="44"/>
      <c r="K809" s="105"/>
      <c r="L809" s="34"/>
      <c r="M809" s="34"/>
      <c r="N809" s="34"/>
    </row>
    <row r="810" spans="1:14" ht="12.75">
      <c r="A810" s="34"/>
      <c r="B810" s="34"/>
      <c r="C810" s="34"/>
      <c r="D810" s="188"/>
      <c r="E810" s="304"/>
      <c r="F810" s="34"/>
      <c r="G810" s="34"/>
      <c r="H810" s="34"/>
      <c r="I810" s="34"/>
      <c r="J810" s="44"/>
      <c r="K810" s="105"/>
      <c r="L810" s="34"/>
      <c r="M810" s="34"/>
      <c r="N810" s="34"/>
    </row>
    <row r="811" spans="1:14" ht="12.75">
      <c r="A811" s="34"/>
      <c r="B811" s="34"/>
      <c r="C811" s="34"/>
      <c r="D811" s="188"/>
      <c r="E811" s="304"/>
      <c r="F811" s="34"/>
      <c r="G811" s="34"/>
      <c r="H811" s="34"/>
      <c r="I811" s="34"/>
      <c r="J811" s="44"/>
      <c r="K811" s="105"/>
      <c r="L811" s="34"/>
      <c r="M811" s="34"/>
      <c r="N811" s="34"/>
    </row>
    <row r="812" spans="1:14" ht="12.75">
      <c r="A812" s="34"/>
      <c r="B812" s="34"/>
      <c r="C812" s="34"/>
      <c r="D812" s="188"/>
      <c r="E812" s="304"/>
      <c r="F812" s="34"/>
      <c r="G812" s="34"/>
      <c r="H812" s="34"/>
      <c r="I812" s="34"/>
      <c r="J812" s="44"/>
      <c r="K812" s="105"/>
      <c r="L812" s="34"/>
      <c r="M812" s="34"/>
      <c r="N812" s="34"/>
    </row>
    <row r="813" spans="1:14" ht="12.75">
      <c r="A813" s="34"/>
      <c r="B813" s="34"/>
      <c r="C813" s="34"/>
      <c r="D813" s="188"/>
      <c r="E813" s="304"/>
      <c r="F813" s="34"/>
      <c r="G813" s="34"/>
      <c r="H813" s="34"/>
      <c r="I813" s="34"/>
      <c r="J813" s="44"/>
      <c r="K813" s="105"/>
      <c r="L813" s="34"/>
      <c r="M813" s="34"/>
      <c r="N813" s="34"/>
    </row>
    <row r="814" spans="1:14" ht="12.75">
      <c r="A814" s="34"/>
      <c r="B814" s="34"/>
      <c r="C814" s="34"/>
      <c r="D814" s="188"/>
      <c r="E814" s="304"/>
      <c r="F814" s="34"/>
      <c r="G814" s="34"/>
      <c r="H814" s="34"/>
      <c r="I814" s="34"/>
      <c r="J814" s="44"/>
      <c r="K814" s="105"/>
      <c r="L814" s="34"/>
      <c r="M814" s="34"/>
      <c r="N814" s="34"/>
    </row>
    <row r="815" spans="1:14" ht="12.75">
      <c r="A815" s="34"/>
      <c r="B815" s="34"/>
      <c r="C815" s="34"/>
      <c r="D815" s="188"/>
      <c r="E815" s="304"/>
      <c r="F815" s="34"/>
      <c r="G815" s="34"/>
      <c r="H815" s="34"/>
      <c r="I815" s="34"/>
      <c r="J815" s="44"/>
      <c r="K815" s="105"/>
      <c r="L815" s="34"/>
      <c r="M815" s="34"/>
      <c r="N815" s="34"/>
    </row>
    <row r="816" spans="1:14" ht="12.75">
      <c r="A816" s="34"/>
      <c r="B816" s="34"/>
      <c r="C816" s="34"/>
      <c r="D816" s="188"/>
      <c r="E816" s="304"/>
      <c r="F816" s="34"/>
      <c r="G816" s="34"/>
      <c r="H816" s="34"/>
      <c r="I816" s="34"/>
      <c r="J816" s="44"/>
      <c r="K816" s="105"/>
      <c r="L816" s="34"/>
      <c r="M816" s="34"/>
      <c r="N816" s="34"/>
    </row>
    <row r="817" spans="1:14" ht="12.75">
      <c r="A817" s="34"/>
      <c r="B817" s="34"/>
      <c r="C817" s="34"/>
      <c r="D817" s="188"/>
      <c r="E817" s="304"/>
      <c r="F817" s="34"/>
      <c r="G817" s="34"/>
      <c r="H817" s="34"/>
      <c r="I817" s="34"/>
      <c r="J817" s="44"/>
      <c r="K817" s="105"/>
      <c r="L817" s="34"/>
      <c r="M817" s="34"/>
      <c r="N817" s="34"/>
    </row>
    <row r="818" spans="1:14" ht="12.75">
      <c r="A818" s="34"/>
      <c r="B818" s="34"/>
      <c r="C818" s="34"/>
      <c r="D818" s="188"/>
      <c r="E818" s="304"/>
      <c r="F818" s="34"/>
      <c r="G818" s="34"/>
      <c r="H818" s="34"/>
      <c r="I818" s="34"/>
      <c r="J818" s="44"/>
      <c r="K818" s="105"/>
      <c r="L818" s="34"/>
      <c r="M818" s="34"/>
      <c r="N818" s="34"/>
    </row>
    <row r="819" spans="1:14" ht="12.75">
      <c r="A819" s="34"/>
      <c r="B819" s="34"/>
      <c r="C819" s="34"/>
      <c r="D819" s="188"/>
      <c r="E819" s="304"/>
      <c r="F819" s="34"/>
      <c r="G819" s="34"/>
      <c r="H819" s="34"/>
      <c r="I819" s="34"/>
      <c r="J819" s="44"/>
      <c r="K819" s="105"/>
      <c r="L819" s="34"/>
      <c r="M819" s="34"/>
      <c r="N819" s="34"/>
    </row>
    <row r="820" spans="1:14" ht="12.75">
      <c r="A820" s="34"/>
      <c r="B820" s="34"/>
      <c r="C820" s="34"/>
      <c r="D820" s="188"/>
      <c r="E820" s="304"/>
      <c r="F820" s="34"/>
      <c r="G820" s="34"/>
      <c r="H820" s="34"/>
      <c r="I820" s="34"/>
      <c r="J820" s="44"/>
      <c r="K820" s="105"/>
      <c r="L820" s="34"/>
      <c r="M820" s="34"/>
      <c r="N820" s="34"/>
    </row>
    <row r="821" spans="1:14" ht="12.75">
      <c r="A821" s="34"/>
      <c r="B821" s="34"/>
      <c r="C821" s="34"/>
      <c r="D821" s="188"/>
      <c r="E821" s="304"/>
      <c r="F821" s="34"/>
      <c r="G821" s="34"/>
      <c r="H821" s="34"/>
      <c r="I821" s="34"/>
      <c r="J821" s="44"/>
      <c r="K821" s="105"/>
      <c r="L821" s="34"/>
      <c r="M821" s="34"/>
      <c r="N821" s="34"/>
    </row>
    <row r="822" spans="1:14" ht="12.75">
      <c r="A822" s="34"/>
      <c r="B822" s="34"/>
      <c r="C822" s="34"/>
      <c r="D822" s="188"/>
      <c r="E822" s="304"/>
      <c r="F822" s="34"/>
      <c r="G822" s="34"/>
      <c r="H822" s="34"/>
      <c r="I822" s="34"/>
      <c r="J822" s="44"/>
      <c r="K822" s="105"/>
      <c r="L822" s="34"/>
      <c r="M822" s="34"/>
      <c r="N822" s="34"/>
    </row>
    <row r="823" spans="1:14" ht="12.75">
      <c r="A823" s="34"/>
      <c r="B823" s="34"/>
      <c r="C823" s="34"/>
      <c r="D823" s="188"/>
      <c r="E823" s="304"/>
      <c r="F823" s="34"/>
      <c r="G823" s="34"/>
      <c r="H823" s="34"/>
      <c r="I823" s="34"/>
      <c r="J823" s="44"/>
      <c r="K823" s="105"/>
      <c r="L823" s="34"/>
      <c r="M823" s="34"/>
      <c r="N823" s="34"/>
    </row>
    <row r="824" spans="1:14" ht="12.75">
      <c r="A824" s="34"/>
      <c r="B824" s="34"/>
      <c r="C824" s="34"/>
      <c r="D824" s="188"/>
      <c r="E824" s="304"/>
      <c r="F824" s="34"/>
      <c r="G824" s="34"/>
      <c r="H824" s="34"/>
      <c r="I824" s="34"/>
      <c r="J824" s="44"/>
      <c r="K824" s="105"/>
      <c r="L824" s="34"/>
      <c r="M824" s="34"/>
      <c r="N824" s="34"/>
    </row>
    <row r="825" spans="1:14" ht="12.75">
      <c r="A825" s="34"/>
      <c r="B825" s="34"/>
      <c r="C825" s="34"/>
      <c r="D825" s="188"/>
      <c r="E825" s="304"/>
      <c r="F825" s="34"/>
      <c r="G825" s="34"/>
      <c r="H825" s="34"/>
      <c r="I825" s="34"/>
      <c r="J825" s="44"/>
      <c r="K825" s="105"/>
      <c r="L825" s="34"/>
      <c r="M825" s="34"/>
      <c r="N825" s="34"/>
    </row>
    <row r="826" spans="1:14" ht="12.75">
      <c r="A826" s="34"/>
      <c r="B826" s="34"/>
      <c r="C826" s="34"/>
      <c r="D826" s="188"/>
      <c r="E826" s="304"/>
      <c r="F826" s="34"/>
      <c r="G826" s="34"/>
      <c r="H826" s="34"/>
      <c r="I826" s="34"/>
      <c r="J826" s="44"/>
      <c r="K826" s="105"/>
      <c r="L826" s="34"/>
      <c r="M826" s="34"/>
      <c r="N826" s="34"/>
    </row>
    <row r="827" spans="1:14" ht="12.75">
      <c r="A827" s="34"/>
      <c r="B827" s="34"/>
      <c r="C827" s="34"/>
      <c r="D827" s="188"/>
      <c r="E827" s="304"/>
      <c r="F827" s="34"/>
      <c r="G827" s="34"/>
      <c r="H827" s="34"/>
      <c r="I827" s="34"/>
      <c r="J827" s="44"/>
      <c r="K827" s="105"/>
      <c r="L827" s="34"/>
      <c r="M827" s="34"/>
      <c r="N827" s="34"/>
    </row>
    <row r="828" spans="1:14" ht="12.75">
      <c r="A828" s="34"/>
      <c r="B828" s="34"/>
      <c r="C828" s="34"/>
      <c r="D828" s="188"/>
      <c r="E828" s="304"/>
      <c r="F828" s="34"/>
      <c r="G828" s="34"/>
      <c r="H828" s="34"/>
      <c r="I828" s="34"/>
      <c r="J828" s="44"/>
      <c r="K828" s="105"/>
      <c r="L828" s="34"/>
      <c r="M828" s="34"/>
      <c r="N828" s="34"/>
    </row>
    <row r="829" spans="1:14" ht="12.75">
      <c r="A829" s="34"/>
      <c r="B829" s="34"/>
      <c r="C829" s="34"/>
      <c r="D829" s="188"/>
      <c r="E829" s="304"/>
      <c r="F829" s="34"/>
      <c r="G829" s="34"/>
      <c r="H829" s="34"/>
      <c r="I829" s="34"/>
      <c r="J829" s="44"/>
      <c r="K829" s="105"/>
      <c r="L829" s="34"/>
      <c r="M829" s="34"/>
      <c r="N829" s="34"/>
    </row>
    <row r="830" spans="1:14" ht="12.75">
      <c r="A830" s="34"/>
      <c r="B830" s="34"/>
      <c r="C830" s="34"/>
      <c r="D830" s="188"/>
      <c r="E830" s="304"/>
      <c r="F830" s="34"/>
      <c r="G830" s="34"/>
      <c r="H830" s="34"/>
      <c r="I830" s="34"/>
      <c r="J830" s="44"/>
      <c r="K830" s="105"/>
      <c r="L830" s="34"/>
      <c r="M830" s="34"/>
      <c r="N830" s="34"/>
    </row>
    <row r="831" spans="1:14" ht="12.75">
      <c r="A831" s="34"/>
      <c r="B831" s="34"/>
      <c r="C831" s="34"/>
      <c r="D831" s="188"/>
      <c r="E831" s="304"/>
      <c r="F831" s="34"/>
      <c r="G831" s="34"/>
      <c r="H831" s="34"/>
      <c r="I831" s="34"/>
      <c r="J831" s="44"/>
      <c r="K831" s="105"/>
      <c r="L831" s="34"/>
      <c r="M831" s="34"/>
      <c r="N831" s="34"/>
    </row>
    <row r="832" spans="1:14" ht="12.75">
      <c r="A832" s="34"/>
      <c r="B832" s="34"/>
      <c r="C832" s="34"/>
      <c r="D832" s="188"/>
      <c r="E832" s="304"/>
      <c r="F832" s="34"/>
      <c r="G832" s="34"/>
      <c r="H832" s="34"/>
      <c r="I832" s="34"/>
      <c r="J832" s="44"/>
      <c r="K832" s="105"/>
      <c r="L832" s="34"/>
      <c r="M832" s="34"/>
      <c r="N832" s="34"/>
    </row>
    <row r="833" spans="1:14" ht="12.75">
      <c r="A833" s="34"/>
      <c r="B833" s="34"/>
      <c r="C833" s="34"/>
      <c r="D833" s="188"/>
      <c r="E833" s="304"/>
      <c r="F833" s="34"/>
      <c r="G833" s="34"/>
      <c r="H833" s="34"/>
      <c r="I833" s="34"/>
      <c r="J833" s="44"/>
      <c r="K833" s="105"/>
      <c r="L833" s="34"/>
      <c r="M833" s="34"/>
      <c r="N833" s="34"/>
    </row>
    <row r="834" spans="1:14" ht="12.75">
      <c r="A834" s="34"/>
      <c r="B834" s="34"/>
      <c r="C834" s="34"/>
      <c r="D834" s="188"/>
      <c r="E834" s="304"/>
      <c r="F834" s="34"/>
      <c r="G834" s="34"/>
      <c r="H834" s="34"/>
      <c r="I834" s="34"/>
      <c r="J834" s="44"/>
      <c r="K834" s="105"/>
      <c r="L834" s="34"/>
      <c r="M834" s="34"/>
      <c r="N834" s="34"/>
    </row>
    <row r="835" spans="1:14" ht="12.75">
      <c r="A835" s="34"/>
      <c r="B835" s="34"/>
      <c r="C835" s="34"/>
      <c r="D835" s="188"/>
      <c r="E835" s="304"/>
      <c r="F835" s="34"/>
      <c r="G835" s="34"/>
      <c r="H835" s="34"/>
      <c r="I835" s="34"/>
      <c r="J835" s="44"/>
      <c r="K835" s="105"/>
      <c r="L835" s="34"/>
      <c r="M835" s="34"/>
      <c r="N835" s="34"/>
    </row>
    <row r="836" spans="1:14" ht="12.75">
      <c r="A836" s="34"/>
      <c r="B836" s="34"/>
      <c r="C836" s="34"/>
      <c r="D836" s="188"/>
      <c r="E836" s="304"/>
      <c r="F836" s="34"/>
      <c r="G836" s="34"/>
      <c r="H836" s="34"/>
      <c r="I836" s="34"/>
      <c r="J836" s="44"/>
      <c r="K836" s="105"/>
      <c r="L836" s="34"/>
      <c r="M836" s="34"/>
      <c r="N836" s="34"/>
    </row>
    <row r="837" spans="1:14" ht="12.75">
      <c r="A837" s="34"/>
      <c r="B837" s="34"/>
      <c r="C837" s="34"/>
      <c r="D837" s="188"/>
      <c r="E837" s="304"/>
      <c r="F837" s="34"/>
      <c r="G837" s="34"/>
      <c r="H837" s="34"/>
      <c r="I837" s="34"/>
      <c r="J837" s="44"/>
      <c r="K837" s="105"/>
      <c r="L837" s="34"/>
      <c r="M837" s="34"/>
      <c r="N837" s="34"/>
    </row>
    <row r="838" spans="1:14" ht="12.75">
      <c r="A838" s="34"/>
      <c r="B838" s="34"/>
      <c r="C838" s="34"/>
      <c r="D838" s="188"/>
      <c r="E838" s="304"/>
      <c r="F838" s="34"/>
      <c r="G838" s="34"/>
      <c r="H838" s="34"/>
      <c r="I838" s="34"/>
      <c r="J838" s="44"/>
      <c r="K838" s="105"/>
      <c r="L838" s="34"/>
      <c r="M838" s="34"/>
      <c r="N838" s="34"/>
    </row>
    <row r="839" spans="1:14" ht="12.75">
      <c r="A839" s="34"/>
      <c r="B839" s="34"/>
      <c r="C839" s="34"/>
      <c r="D839" s="188"/>
      <c r="E839" s="304"/>
      <c r="F839" s="34"/>
      <c r="G839" s="34"/>
      <c r="H839" s="34"/>
      <c r="I839" s="34"/>
      <c r="J839" s="44"/>
      <c r="K839" s="105"/>
      <c r="L839" s="34"/>
      <c r="M839" s="34"/>
      <c r="N839" s="34"/>
    </row>
    <row r="840" spans="1:14" ht="12.75">
      <c r="A840" s="34"/>
      <c r="B840" s="34"/>
      <c r="C840" s="34"/>
      <c r="D840" s="188"/>
      <c r="E840" s="304"/>
      <c r="F840" s="34"/>
      <c r="G840" s="34"/>
      <c r="H840" s="34"/>
      <c r="I840" s="34"/>
      <c r="J840" s="44"/>
      <c r="K840" s="105"/>
      <c r="L840" s="34"/>
      <c r="M840" s="34"/>
      <c r="N840" s="34"/>
    </row>
    <row r="841" spans="1:14" ht="12.75">
      <c r="A841" s="34"/>
      <c r="B841" s="34"/>
      <c r="C841" s="34"/>
      <c r="D841" s="188"/>
      <c r="E841" s="304"/>
      <c r="F841" s="34"/>
      <c r="G841" s="34"/>
      <c r="H841" s="34"/>
      <c r="I841" s="34"/>
      <c r="J841" s="44"/>
      <c r="K841" s="105"/>
      <c r="L841" s="34"/>
      <c r="M841" s="34"/>
      <c r="N841" s="34"/>
    </row>
    <row r="842" spans="1:14" ht="12.75">
      <c r="A842" s="34"/>
      <c r="B842" s="34"/>
      <c r="C842" s="34"/>
      <c r="D842" s="188"/>
      <c r="E842" s="304"/>
      <c r="F842" s="34"/>
      <c r="G842" s="34"/>
      <c r="H842" s="34"/>
      <c r="I842" s="34"/>
      <c r="J842" s="44"/>
      <c r="K842" s="105"/>
      <c r="L842" s="34"/>
      <c r="M842" s="34"/>
      <c r="N842" s="34"/>
    </row>
    <row r="843" spans="1:14" ht="12.75">
      <c r="A843" s="34"/>
      <c r="B843" s="34"/>
      <c r="C843" s="34"/>
      <c r="D843" s="188"/>
      <c r="E843" s="304"/>
      <c r="F843" s="34"/>
      <c r="G843" s="34"/>
      <c r="H843" s="34"/>
      <c r="I843" s="34"/>
      <c r="J843" s="44"/>
      <c r="K843" s="105"/>
      <c r="L843" s="34"/>
      <c r="M843" s="34"/>
      <c r="N843" s="34"/>
    </row>
    <row r="844" spans="1:14" ht="12.75">
      <c r="A844" s="34"/>
      <c r="B844" s="34"/>
      <c r="C844" s="34"/>
      <c r="D844" s="188"/>
      <c r="E844" s="304"/>
      <c r="F844" s="34"/>
      <c r="G844" s="34"/>
      <c r="H844" s="34"/>
      <c r="I844" s="34"/>
      <c r="J844" s="44"/>
      <c r="K844" s="105"/>
      <c r="L844" s="34"/>
      <c r="M844" s="34"/>
      <c r="N844" s="34"/>
    </row>
    <row r="845" spans="1:14" ht="12.75">
      <c r="A845" s="34"/>
      <c r="B845" s="34"/>
      <c r="C845" s="34"/>
      <c r="D845" s="188"/>
      <c r="E845" s="304"/>
      <c r="F845" s="34"/>
      <c r="G845" s="34"/>
      <c r="H845" s="34"/>
      <c r="I845" s="34"/>
      <c r="J845" s="44"/>
      <c r="K845" s="105"/>
      <c r="L845" s="34"/>
      <c r="M845" s="34"/>
      <c r="N845" s="34"/>
    </row>
    <row r="846" spans="1:14" ht="12.75">
      <c r="A846" s="34"/>
      <c r="B846" s="34"/>
      <c r="C846" s="34"/>
      <c r="D846" s="188"/>
      <c r="E846" s="304"/>
      <c r="F846" s="34"/>
      <c r="G846" s="34"/>
      <c r="H846" s="34"/>
      <c r="I846" s="34"/>
      <c r="J846" s="44"/>
      <c r="K846" s="105"/>
      <c r="L846" s="34"/>
      <c r="M846" s="34"/>
      <c r="N846" s="34"/>
    </row>
    <row r="847" spans="1:14" ht="12.75">
      <c r="A847" s="34"/>
      <c r="B847" s="34"/>
      <c r="C847" s="34"/>
      <c r="D847" s="188"/>
      <c r="E847" s="304"/>
      <c r="F847" s="34"/>
      <c r="G847" s="34"/>
      <c r="H847" s="34"/>
      <c r="I847" s="34"/>
      <c r="J847" s="44"/>
      <c r="K847" s="105"/>
      <c r="L847" s="34"/>
      <c r="M847" s="34"/>
      <c r="N847" s="34"/>
    </row>
    <row r="848" spans="1:14" ht="12.75">
      <c r="A848" s="34"/>
      <c r="B848" s="34"/>
      <c r="C848" s="34"/>
      <c r="D848" s="188"/>
      <c r="E848" s="304"/>
      <c r="F848" s="34"/>
      <c r="G848" s="34"/>
      <c r="H848" s="34"/>
      <c r="I848" s="34"/>
      <c r="J848" s="44"/>
      <c r="K848" s="105"/>
      <c r="L848" s="34"/>
      <c r="M848" s="34"/>
      <c r="N848" s="34"/>
    </row>
    <row r="849" spans="1:14" ht="12.75">
      <c r="A849" s="34"/>
      <c r="B849" s="34"/>
      <c r="C849" s="34"/>
      <c r="D849" s="188"/>
      <c r="E849" s="304"/>
      <c r="F849" s="34"/>
      <c r="G849" s="34"/>
      <c r="H849" s="34"/>
      <c r="I849" s="34"/>
      <c r="J849" s="44"/>
      <c r="K849" s="105"/>
      <c r="L849" s="34"/>
      <c r="M849" s="34"/>
      <c r="N849" s="34"/>
    </row>
    <row r="850" spans="1:14" ht="12.75">
      <c r="A850" s="34"/>
      <c r="B850" s="34"/>
      <c r="C850" s="34"/>
      <c r="D850" s="188"/>
      <c r="E850" s="304"/>
      <c r="F850" s="34"/>
      <c r="G850" s="34"/>
      <c r="H850" s="34"/>
      <c r="I850" s="34"/>
      <c r="J850" s="44"/>
      <c r="K850" s="105"/>
      <c r="L850" s="34"/>
      <c r="M850" s="34"/>
      <c r="N850" s="34"/>
    </row>
    <row r="851" spans="1:14" ht="12.75">
      <c r="A851" s="34"/>
      <c r="B851" s="34"/>
      <c r="C851" s="34"/>
      <c r="D851" s="188"/>
      <c r="E851" s="304"/>
      <c r="F851" s="34"/>
      <c r="G851" s="34"/>
      <c r="H851" s="34"/>
      <c r="I851" s="34"/>
      <c r="J851" s="44"/>
      <c r="K851" s="105"/>
      <c r="L851" s="34"/>
      <c r="M851" s="34"/>
      <c r="N851" s="34"/>
    </row>
    <row r="852" spans="1:14" ht="12.75">
      <c r="A852" s="34"/>
      <c r="B852" s="34"/>
      <c r="C852" s="34"/>
      <c r="D852" s="188"/>
      <c r="E852" s="304"/>
      <c r="F852" s="34"/>
      <c r="G852" s="34"/>
      <c r="H852" s="34"/>
      <c r="I852" s="34"/>
      <c r="J852" s="44"/>
      <c r="K852" s="105"/>
      <c r="L852" s="34"/>
      <c r="M852" s="34"/>
      <c r="N852" s="34"/>
    </row>
    <row r="853" spans="1:14" ht="12.75">
      <c r="A853" s="34"/>
      <c r="B853" s="34"/>
      <c r="C853" s="34"/>
      <c r="D853" s="188"/>
      <c r="E853" s="304"/>
      <c r="F853" s="34"/>
      <c r="G853" s="34"/>
      <c r="H853" s="34"/>
      <c r="I853" s="34"/>
      <c r="J853" s="44"/>
      <c r="K853" s="105"/>
      <c r="L853" s="34"/>
      <c r="M853" s="34"/>
      <c r="N853" s="34"/>
    </row>
    <row r="854" spans="1:14" ht="12.75">
      <c r="A854" s="34"/>
      <c r="B854" s="34"/>
      <c r="C854" s="34"/>
      <c r="D854" s="188"/>
      <c r="E854" s="304"/>
      <c r="F854" s="34"/>
      <c r="G854" s="34"/>
      <c r="H854" s="34"/>
      <c r="I854" s="34"/>
      <c r="J854" s="44"/>
      <c r="K854" s="105"/>
      <c r="L854" s="34"/>
      <c r="M854" s="34"/>
      <c r="N854" s="34"/>
    </row>
    <row r="855" spans="1:14" ht="12.75">
      <c r="A855" s="34"/>
      <c r="B855" s="34"/>
      <c r="C855" s="34"/>
      <c r="D855" s="188"/>
      <c r="E855" s="304"/>
      <c r="F855" s="34"/>
      <c r="G855" s="34"/>
      <c r="H855" s="34"/>
      <c r="I855" s="34"/>
      <c r="J855" s="44"/>
      <c r="K855" s="105"/>
      <c r="L855" s="34"/>
      <c r="M855" s="34"/>
      <c r="N855" s="34"/>
    </row>
    <row r="856" spans="1:14" ht="12.75">
      <c r="A856" s="34"/>
      <c r="B856" s="34"/>
      <c r="C856" s="34"/>
      <c r="D856" s="188"/>
      <c r="E856" s="304"/>
      <c r="F856" s="34"/>
      <c r="G856" s="34"/>
      <c r="H856" s="34"/>
      <c r="I856" s="34"/>
      <c r="J856" s="44"/>
      <c r="K856" s="105"/>
      <c r="L856" s="34"/>
      <c r="M856" s="34"/>
      <c r="N856" s="34"/>
    </row>
    <row r="857" spans="1:14" ht="12.75">
      <c r="A857" s="34"/>
      <c r="B857" s="34"/>
      <c r="C857" s="34"/>
      <c r="D857" s="188"/>
      <c r="E857" s="304"/>
      <c r="F857" s="34"/>
      <c r="G857" s="34"/>
      <c r="H857" s="34"/>
      <c r="I857" s="34"/>
      <c r="J857" s="44"/>
      <c r="K857" s="105"/>
      <c r="L857" s="34"/>
      <c r="M857" s="34"/>
      <c r="N857" s="34"/>
    </row>
    <row r="858" spans="1:14" ht="12.75">
      <c r="A858" s="34"/>
      <c r="B858" s="34"/>
      <c r="C858" s="34"/>
      <c r="D858" s="188"/>
      <c r="E858" s="304"/>
      <c r="F858" s="34"/>
      <c r="G858" s="34"/>
      <c r="H858" s="34"/>
      <c r="I858" s="34"/>
      <c r="J858" s="44"/>
      <c r="K858" s="105"/>
      <c r="L858" s="34"/>
      <c r="M858" s="34"/>
      <c r="N858" s="34"/>
    </row>
    <row r="859" spans="1:14" ht="12.75">
      <c r="A859" s="34"/>
      <c r="B859" s="34"/>
      <c r="C859" s="34"/>
      <c r="D859" s="188"/>
      <c r="E859" s="304"/>
      <c r="F859" s="34"/>
      <c r="G859" s="34"/>
      <c r="H859" s="34"/>
      <c r="I859" s="34"/>
      <c r="J859" s="44"/>
      <c r="K859" s="105"/>
      <c r="L859" s="34"/>
      <c r="M859" s="34"/>
      <c r="N859" s="34"/>
    </row>
    <row r="860" spans="1:14" ht="12.75">
      <c r="A860" s="34"/>
      <c r="B860" s="34"/>
      <c r="C860" s="34"/>
      <c r="D860" s="188"/>
      <c r="E860" s="304"/>
      <c r="F860" s="34"/>
      <c r="G860" s="34"/>
      <c r="H860" s="34"/>
      <c r="I860" s="34"/>
      <c r="J860" s="44"/>
      <c r="K860" s="105"/>
      <c r="L860" s="34"/>
      <c r="M860" s="34"/>
      <c r="N860" s="34"/>
    </row>
    <row r="861" spans="1:14" ht="12.75">
      <c r="A861" s="34"/>
      <c r="B861" s="34"/>
      <c r="C861" s="34"/>
      <c r="D861" s="188"/>
      <c r="E861" s="304"/>
      <c r="F861" s="34"/>
      <c r="G861" s="34"/>
      <c r="H861" s="34"/>
      <c r="I861" s="34"/>
      <c r="J861" s="44"/>
      <c r="K861" s="105"/>
      <c r="L861" s="34"/>
      <c r="M861" s="34"/>
      <c r="N861" s="34"/>
    </row>
    <row r="862" spans="1:14" ht="12.75">
      <c r="A862" s="34"/>
      <c r="B862" s="34"/>
      <c r="C862" s="34"/>
      <c r="D862" s="188"/>
      <c r="E862" s="304"/>
      <c r="F862" s="34"/>
      <c r="G862" s="34"/>
      <c r="H862" s="34"/>
      <c r="I862" s="34"/>
      <c r="J862" s="44"/>
      <c r="K862" s="105"/>
      <c r="L862" s="34"/>
      <c r="M862" s="34"/>
      <c r="N862" s="34"/>
    </row>
    <row r="863" spans="1:14" ht="12.75">
      <c r="A863" s="34"/>
      <c r="B863" s="34"/>
      <c r="C863" s="34"/>
      <c r="D863" s="188"/>
      <c r="E863" s="304"/>
      <c r="F863" s="34"/>
      <c r="G863" s="34"/>
      <c r="H863" s="34"/>
      <c r="I863" s="34"/>
      <c r="J863" s="44"/>
      <c r="K863" s="105"/>
      <c r="L863" s="34"/>
      <c r="M863" s="34"/>
      <c r="N863" s="34"/>
    </row>
    <row r="864" spans="1:14" ht="12.75">
      <c r="A864" s="34"/>
      <c r="B864" s="34"/>
      <c r="C864" s="34"/>
      <c r="D864" s="188"/>
      <c r="E864" s="304"/>
      <c r="F864" s="34"/>
      <c r="G864" s="34"/>
      <c r="H864" s="34"/>
      <c r="I864" s="34"/>
      <c r="J864" s="44"/>
      <c r="K864" s="105"/>
      <c r="L864" s="34"/>
      <c r="M864" s="34"/>
      <c r="N864" s="34"/>
    </row>
    <row r="865" spans="1:14" ht="12.75">
      <c r="A865" s="34"/>
      <c r="B865" s="34"/>
      <c r="C865" s="34"/>
      <c r="D865" s="188"/>
      <c r="E865" s="304"/>
      <c r="F865" s="34"/>
      <c r="G865" s="34"/>
      <c r="H865" s="34"/>
      <c r="I865" s="34"/>
      <c r="J865" s="44"/>
      <c r="K865" s="105"/>
      <c r="L865" s="34"/>
      <c r="M865" s="34"/>
      <c r="N865" s="34"/>
    </row>
    <row r="866" spans="1:14" ht="12.75">
      <c r="A866" s="34"/>
      <c r="B866" s="34"/>
      <c r="C866" s="34"/>
      <c r="D866" s="188"/>
      <c r="E866" s="304"/>
      <c r="F866" s="34"/>
      <c r="G866" s="34"/>
      <c r="H866" s="34"/>
      <c r="I866" s="34"/>
      <c r="J866" s="44"/>
      <c r="K866" s="105"/>
      <c r="L866" s="34"/>
      <c r="M866" s="34"/>
      <c r="N866" s="34"/>
    </row>
    <row r="867" spans="1:14" ht="12.75">
      <c r="A867" s="34"/>
      <c r="B867" s="34"/>
      <c r="C867" s="34"/>
      <c r="D867" s="188"/>
      <c r="E867" s="304"/>
      <c r="F867" s="34"/>
      <c r="G867" s="34"/>
      <c r="H867" s="34"/>
      <c r="I867" s="34"/>
      <c r="J867" s="44"/>
      <c r="K867" s="105"/>
      <c r="L867" s="34"/>
      <c r="M867" s="34"/>
      <c r="N867" s="34"/>
    </row>
    <row r="868" spans="1:14" ht="12.75">
      <c r="A868" s="34"/>
      <c r="B868" s="34"/>
      <c r="C868" s="34"/>
      <c r="D868" s="188"/>
      <c r="E868" s="304"/>
      <c r="F868" s="34"/>
      <c r="G868" s="34"/>
      <c r="H868" s="34"/>
      <c r="I868" s="34"/>
      <c r="J868" s="44"/>
      <c r="K868" s="105"/>
      <c r="L868" s="34"/>
      <c r="M868" s="34"/>
      <c r="N868" s="34"/>
    </row>
    <row r="869" spans="1:14" ht="12.75">
      <c r="A869" s="34"/>
      <c r="B869" s="34"/>
      <c r="C869" s="34"/>
      <c r="D869" s="188"/>
      <c r="E869" s="304"/>
      <c r="F869" s="34"/>
      <c r="G869" s="34"/>
      <c r="H869" s="34"/>
      <c r="I869" s="34"/>
      <c r="J869" s="44"/>
      <c r="K869" s="105"/>
      <c r="L869" s="34"/>
      <c r="M869" s="34"/>
      <c r="N869" s="34"/>
    </row>
    <row r="870" spans="1:14" ht="12.75">
      <c r="A870" s="34"/>
      <c r="B870" s="34"/>
      <c r="C870" s="34"/>
      <c r="D870" s="188"/>
      <c r="E870" s="304"/>
      <c r="F870" s="34"/>
      <c r="G870" s="34"/>
      <c r="H870" s="34"/>
      <c r="I870" s="34"/>
      <c r="J870" s="44"/>
      <c r="K870" s="105"/>
      <c r="L870" s="34"/>
      <c r="M870" s="34"/>
      <c r="N870" s="34"/>
    </row>
    <row r="871" spans="1:14" ht="12.75">
      <c r="A871" s="34"/>
      <c r="B871" s="34"/>
      <c r="C871" s="34"/>
      <c r="D871" s="188"/>
      <c r="E871" s="304"/>
      <c r="F871" s="34"/>
      <c r="G871" s="34"/>
      <c r="H871" s="34"/>
      <c r="I871" s="34"/>
      <c r="J871" s="44"/>
      <c r="K871" s="105"/>
      <c r="L871" s="34"/>
      <c r="M871" s="34"/>
      <c r="N871" s="34"/>
    </row>
    <row r="872" spans="1:14" ht="12.75">
      <c r="A872" s="34"/>
      <c r="B872" s="34"/>
      <c r="C872" s="34"/>
      <c r="D872" s="188"/>
      <c r="E872" s="304"/>
      <c r="F872" s="34"/>
      <c r="G872" s="34"/>
      <c r="H872" s="34"/>
      <c r="I872" s="34"/>
      <c r="J872" s="44"/>
      <c r="K872" s="105"/>
      <c r="L872" s="34"/>
      <c r="M872" s="34"/>
      <c r="N872" s="34"/>
    </row>
    <row r="873" spans="1:14" ht="12.75">
      <c r="A873" s="34"/>
      <c r="B873" s="34"/>
      <c r="C873" s="34"/>
      <c r="D873" s="188"/>
      <c r="E873" s="304"/>
      <c r="F873" s="34"/>
      <c r="G873" s="34"/>
      <c r="H873" s="34"/>
      <c r="I873" s="34"/>
      <c r="J873" s="44"/>
      <c r="K873" s="105"/>
      <c r="L873" s="34"/>
      <c r="M873" s="34"/>
      <c r="N873" s="34"/>
    </row>
    <row r="874" spans="1:14" ht="12.75">
      <c r="A874" s="34"/>
      <c r="B874" s="34"/>
      <c r="C874" s="34"/>
      <c r="D874" s="188"/>
      <c r="E874" s="304"/>
      <c r="F874" s="34"/>
      <c r="G874" s="34"/>
      <c r="H874" s="34"/>
      <c r="I874" s="34"/>
      <c r="J874" s="44"/>
      <c r="K874" s="105"/>
      <c r="L874" s="34"/>
      <c r="M874" s="34"/>
      <c r="N874" s="34"/>
    </row>
    <row r="875" spans="1:14" ht="12.75">
      <c r="A875" s="34"/>
      <c r="B875" s="34"/>
      <c r="C875" s="34"/>
      <c r="D875" s="188"/>
      <c r="E875" s="304"/>
      <c r="F875" s="34"/>
      <c r="G875" s="34"/>
      <c r="H875" s="34"/>
      <c r="I875" s="34"/>
      <c r="J875" s="44"/>
      <c r="K875" s="105"/>
      <c r="L875" s="34"/>
      <c r="M875" s="34"/>
      <c r="N875" s="34"/>
    </row>
    <row r="876" spans="1:14" ht="12.75">
      <c r="A876" s="34"/>
      <c r="B876" s="34"/>
      <c r="C876" s="34"/>
      <c r="D876" s="188"/>
      <c r="E876" s="304"/>
      <c r="F876" s="34"/>
      <c r="G876" s="34"/>
      <c r="H876" s="34"/>
      <c r="I876" s="34"/>
      <c r="J876" s="44"/>
      <c r="K876" s="105"/>
      <c r="L876" s="34"/>
      <c r="M876" s="34"/>
      <c r="N876" s="34"/>
    </row>
    <row r="877" spans="1:14" ht="12.75">
      <c r="A877" s="34"/>
      <c r="B877" s="34"/>
      <c r="C877" s="34"/>
      <c r="D877" s="188"/>
      <c r="E877" s="304"/>
      <c r="F877" s="34"/>
      <c r="G877" s="34"/>
      <c r="H877" s="34"/>
      <c r="I877" s="34"/>
      <c r="J877" s="44"/>
      <c r="K877" s="105"/>
      <c r="L877" s="34"/>
      <c r="M877" s="34"/>
      <c r="N877" s="34"/>
    </row>
    <row r="878" spans="1:14" ht="12.75">
      <c r="A878" s="34"/>
      <c r="B878" s="34"/>
      <c r="C878" s="34"/>
      <c r="D878" s="188"/>
      <c r="E878" s="304"/>
      <c r="F878" s="34"/>
      <c r="G878" s="34"/>
      <c r="H878" s="34"/>
      <c r="I878" s="34"/>
      <c r="J878" s="44"/>
      <c r="K878" s="105"/>
      <c r="L878" s="34"/>
      <c r="M878" s="34"/>
      <c r="N878" s="34"/>
    </row>
    <row r="879" spans="1:14" ht="12.75">
      <c r="A879" s="34"/>
      <c r="B879" s="34"/>
      <c r="C879" s="34"/>
      <c r="D879" s="188"/>
      <c r="E879" s="304"/>
      <c r="F879" s="34"/>
      <c r="G879" s="34"/>
      <c r="H879" s="34"/>
      <c r="I879" s="34"/>
      <c r="J879" s="44"/>
      <c r="K879" s="105"/>
      <c r="L879" s="34"/>
      <c r="M879" s="34"/>
      <c r="N879" s="34"/>
    </row>
    <row r="880" spans="1:14" ht="12.75">
      <c r="A880" s="34"/>
      <c r="B880" s="34"/>
      <c r="C880" s="34"/>
      <c r="D880" s="188"/>
      <c r="E880" s="304"/>
      <c r="F880" s="34"/>
      <c r="G880" s="34"/>
      <c r="H880" s="34"/>
      <c r="I880" s="34"/>
      <c r="J880" s="44"/>
      <c r="K880" s="105"/>
      <c r="L880" s="34"/>
      <c r="M880" s="34"/>
      <c r="N880" s="34"/>
    </row>
    <row r="881" spans="1:14" ht="12.75">
      <c r="A881" s="34"/>
      <c r="B881" s="34"/>
      <c r="C881" s="34"/>
      <c r="D881" s="188"/>
      <c r="E881" s="304"/>
      <c r="F881" s="34"/>
      <c r="G881" s="34"/>
      <c r="H881" s="34"/>
      <c r="I881" s="34"/>
      <c r="J881" s="44"/>
      <c r="K881" s="105"/>
      <c r="L881" s="34"/>
      <c r="M881" s="34"/>
      <c r="N881" s="34"/>
    </row>
    <row r="882" spans="1:14" ht="12.75">
      <c r="A882" s="34"/>
      <c r="B882" s="34"/>
      <c r="C882" s="34"/>
      <c r="D882" s="188"/>
      <c r="E882" s="304"/>
      <c r="F882" s="34"/>
      <c r="G882" s="34"/>
      <c r="H882" s="34"/>
      <c r="I882" s="34"/>
      <c r="J882" s="44"/>
      <c r="K882" s="105"/>
      <c r="L882" s="34"/>
      <c r="M882" s="34"/>
      <c r="N882" s="34"/>
    </row>
    <row r="883" spans="1:14" ht="12.75">
      <c r="A883" s="34"/>
      <c r="B883" s="34"/>
      <c r="C883" s="34"/>
      <c r="D883" s="188"/>
      <c r="E883" s="304"/>
      <c r="F883" s="34"/>
      <c r="G883" s="34"/>
      <c r="H883" s="34"/>
      <c r="I883" s="34"/>
      <c r="J883" s="44"/>
      <c r="K883" s="105"/>
      <c r="L883" s="34"/>
      <c r="M883" s="34"/>
      <c r="N883" s="34"/>
    </row>
    <row r="884" spans="1:14" ht="12.75">
      <c r="A884" s="34"/>
      <c r="B884" s="34"/>
      <c r="C884" s="34"/>
      <c r="D884" s="188"/>
      <c r="E884" s="304"/>
      <c r="F884" s="34"/>
      <c r="G884" s="34"/>
      <c r="H884" s="34"/>
      <c r="I884" s="34"/>
      <c r="J884" s="44"/>
      <c r="K884" s="105"/>
      <c r="L884" s="34"/>
      <c r="M884" s="34"/>
      <c r="N884" s="34"/>
    </row>
    <row r="885" spans="1:14" ht="12.75">
      <c r="A885" s="34"/>
      <c r="B885" s="34"/>
      <c r="C885" s="34"/>
      <c r="D885" s="188"/>
      <c r="E885" s="304"/>
      <c r="F885" s="34"/>
      <c r="G885" s="34"/>
      <c r="H885" s="34"/>
      <c r="I885" s="34"/>
      <c r="J885" s="44"/>
      <c r="K885" s="105"/>
      <c r="L885" s="34"/>
      <c r="M885" s="34"/>
      <c r="N885" s="34"/>
    </row>
    <row r="886" spans="1:14" ht="12.75">
      <c r="A886" s="34"/>
      <c r="B886" s="34"/>
      <c r="C886" s="34"/>
      <c r="D886" s="188"/>
      <c r="E886" s="304"/>
      <c r="F886" s="34"/>
      <c r="G886" s="34"/>
      <c r="H886" s="34"/>
      <c r="I886" s="34"/>
      <c r="J886" s="44"/>
      <c r="K886" s="105"/>
      <c r="L886" s="34"/>
      <c r="M886" s="34"/>
      <c r="N886" s="34"/>
    </row>
    <row r="887" spans="1:14" ht="12.75">
      <c r="A887" s="34"/>
      <c r="B887" s="34"/>
      <c r="C887" s="34"/>
      <c r="D887" s="188"/>
      <c r="E887" s="304"/>
      <c r="F887" s="34"/>
      <c r="G887" s="34"/>
      <c r="H887" s="34"/>
      <c r="I887" s="34"/>
      <c r="J887" s="44"/>
      <c r="K887" s="105"/>
      <c r="L887" s="34"/>
      <c r="M887" s="34"/>
      <c r="N887" s="34"/>
    </row>
    <row r="888" spans="1:14" ht="12.75">
      <c r="A888" s="34"/>
      <c r="B888" s="34"/>
      <c r="C888" s="34"/>
      <c r="D888" s="188"/>
      <c r="E888" s="304"/>
      <c r="F888" s="34"/>
      <c r="G888" s="34"/>
      <c r="H888" s="34"/>
      <c r="I888" s="34"/>
      <c r="J888" s="44"/>
      <c r="K888" s="105"/>
      <c r="L888" s="34"/>
      <c r="M888" s="34"/>
      <c r="N888" s="34"/>
    </row>
    <row r="889" spans="1:14" ht="12.75">
      <c r="A889" s="34"/>
      <c r="B889" s="34"/>
      <c r="C889" s="34"/>
      <c r="D889" s="188"/>
      <c r="E889" s="304"/>
      <c r="F889" s="34"/>
      <c r="G889" s="34"/>
      <c r="H889" s="34"/>
      <c r="I889" s="34"/>
      <c r="J889" s="44"/>
      <c r="K889" s="105"/>
      <c r="L889" s="34"/>
      <c r="M889" s="34"/>
      <c r="N889" s="34"/>
    </row>
    <row r="890" spans="1:14" ht="12.75">
      <c r="A890" s="34"/>
      <c r="B890" s="34"/>
      <c r="C890" s="34"/>
      <c r="D890" s="188"/>
      <c r="E890" s="304"/>
      <c r="F890" s="34"/>
      <c r="G890" s="34"/>
      <c r="H890" s="34"/>
      <c r="I890" s="34"/>
      <c r="J890" s="44"/>
      <c r="K890" s="105"/>
      <c r="L890" s="34"/>
      <c r="M890" s="34"/>
      <c r="N890" s="34"/>
    </row>
    <row r="891" spans="1:14" ht="12.75">
      <c r="A891" s="34"/>
      <c r="B891" s="34"/>
      <c r="C891" s="34"/>
      <c r="D891" s="188"/>
      <c r="E891" s="304"/>
      <c r="F891" s="34"/>
      <c r="G891" s="34"/>
      <c r="H891" s="34"/>
      <c r="I891" s="34"/>
      <c r="J891" s="44"/>
      <c r="K891" s="105"/>
      <c r="L891" s="34"/>
      <c r="M891" s="34"/>
      <c r="N891" s="34"/>
    </row>
    <row r="892" spans="1:14" ht="12.75">
      <c r="A892" s="34"/>
      <c r="B892" s="34"/>
      <c r="C892" s="34"/>
      <c r="D892" s="188"/>
      <c r="E892" s="304"/>
      <c r="F892" s="34"/>
      <c r="G892" s="34"/>
      <c r="H892" s="34"/>
      <c r="I892" s="34"/>
      <c r="J892" s="44"/>
      <c r="K892" s="105"/>
      <c r="L892" s="34"/>
      <c r="M892" s="34"/>
      <c r="N892" s="34"/>
    </row>
    <row r="893" spans="1:14" ht="12.75">
      <c r="A893" s="34"/>
      <c r="B893" s="34"/>
      <c r="C893" s="34"/>
      <c r="D893" s="188"/>
      <c r="E893" s="304"/>
      <c r="F893" s="34"/>
      <c r="G893" s="34"/>
      <c r="H893" s="34"/>
      <c r="I893" s="34"/>
      <c r="J893" s="44"/>
      <c r="K893" s="105"/>
      <c r="L893" s="34"/>
      <c r="M893" s="34"/>
      <c r="N893" s="34"/>
    </row>
    <row r="894" spans="1:14" ht="12.75">
      <c r="A894" s="34"/>
      <c r="B894" s="34"/>
      <c r="C894" s="34"/>
      <c r="D894" s="188"/>
      <c r="E894" s="304"/>
      <c r="F894" s="34"/>
      <c r="G894" s="34"/>
      <c r="H894" s="34"/>
      <c r="I894" s="34"/>
      <c r="J894" s="44"/>
      <c r="K894" s="105"/>
      <c r="L894" s="34"/>
      <c r="M894" s="34"/>
      <c r="N894" s="34"/>
    </row>
    <row r="895" spans="1:14" ht="12.75">
      <c r="A895" s="34"/>
      <c r="B895" s="34"/>
      <c r="C895" s="34"/>
      <c r="D895" s="188"/>
      <c r="E895" s="304"/>
      <c r="F895" s="34"/>
      <c r="G895" s="34"/>
      <c r="H895" s="34"/>
      <c r="I895" s="34"/>
      <c r="J895" s="44"/>
      <c r="K895" s="105"/>
      <c r="L895" s="34"/>
      <c r="M895" s="34"/>
      <c r="N895" s="34"/>
    </row>
    <row r="896" spans="1:14" ht="12.75">
      <c r="A896" s="34"/>
      <c r="B896" s="34"/>
      <c r="C896" s="34"/>
      <c r="D896" s="188"/>
      <c r="E896" s="304"/>
      <c r="F896" s="34"/>
      <c r="G896" s="34"/>
      <c r="H896" s="34"/>
      <c r="I896" s="34"/>
      <c r="J896" s="44"/>
      <c r="K896" s="105"/>
      <c r="L896" s="34"/>
      <c r="M896" s="34"/>
      <c r="N896" s="34"/>
    </row>
    <row r="897" spans="1:14" ht="12.75">
      <c r="A897" s="34"/>
      <c r="B897" s="34"/>
      <c r="C897" s="34"/>
      <c r="D897" s="188"/>
      <c r="E897" s="304"/>
      <c r="F897" s="34"/>
      <c r="G897" s="34"/>
      <c r="H897" s="34"/>
      <c r="I897" s="34"/>
      <c r="J897" s="44"/>
      <c r="K897" s="105"/>
      <c r="L897" s="34"/>
      <c r="M897" s="34"/>
      <c r="N897" s="34"/>
    </row>
    <row r="898" spans="1:14" ht="12.75">
      <c r="A898" s="34"/>
      <c r="B898" s="34"/>
      <c r="C898" s="34"/>
      <c r="D898" s="188"/>
      <c r="E898" s="304"/>
      <c r="F898" s="34"/>
      <c r="G898" s="34"/>
      <c r="H898" s="34"/>
      <c r="I898" s="34"/>
      <c r="J898" s="44"/>
      <c r="K898" s="105"/>
      <c r="L898" s="34"/>
      <c r="M898" s="34"/>
      <c r="N898" s="34"/>
    </row>
    <row r="899" spans="1:14" ht="12.75">
      <c r="A899" s="34"/>
      <c r="B899" s="34"/>
      <c r="C899" s="34"/>
      <c r="D899" s="188"/>
      <c r="E899" s="304"/>
      <c r="F899" s="34"/>
      <c r="G899" s="34"/>
      <c r="H899" s="34"/>
      <c r="I899" s="34"/>
      <c r="J899" s="44"/>
      <c r="K899" s="105"/>
      <c r="L899" s="34"/>
      <c r="M899" s="34"/>
      <c r="N899" s="34"/>
    </row>
    <row r="900" spans="1:14" ht="12.75">
      <c r="A900" s="34"/>
      <c r="B900" s="34"/>
      <c r="C900" s="34"/>
      <c r="D900" s="188"/>
      <c r="E900" s="304"/>
      <c r="F900" s="34"/>
      <c r="G900" s="34"/>
      <c r="H900" s="34"/>
      <c r="I900" s="34"/>
      <c r="J900" s="44"/>
      <c r="K900" s="105"/>
      <c r="L900" s="34"/>
      <c r="M900" s="34"/>
      <c r="N900" s="34"/>
    </row>
    <row r="901" spans="1:14" ht="12.75">
      <c r="A901" s="34"/>
      <c r="B901" s="34"/>
      <c r="C901" s="34"/>
      <c r="D901" s="188"/>
      <c r="E901" s="304"/>
      <c r="F901" s="34"/>
      <c r="G901" s="34"/>
      <c r="H901" s="34"/>
      <c r="I901" s="34"/>
      <c r="J901" s="44"/>
      <c r="K901" s="105"/>
      <c r="L901" s="34"/>
      <c r="M901" s="34"/>
      <c r="N901" s="34"/>
    </row>
    <row r="902" spans="1:14" ht="12.75">
      <c r="A902" s="34"/>
      <c r="B902" s="34"/>
      <c r="C902" s="34"/>
      <c r="D902" s="188"/>
      <c r="E902" s="304"/>
      <c r="F902" s="34"/>
      <c r="G902" s="34"/>
      <c r="H902" s="34"/>
      <c r="I902" s="34"/>
      <c r="J902" s="44"/>
      <c r="K902" s="105"/>
      <c r="L902" s="34"/>
      <c r="M902" s="34"/>
      <c r="N902" s="34"/>
    </row>
    <row r="903" spans="1:14" ht="12.75">
      <c r="A903" s="34"/>
      <c r="B903" s="34"/>
      <c r="C903" s="34"/>
      <c r="D903" s="188"/>
      <c r="E903" s="304"/>
      <c r="F903" s="34"/>
      <c r="G903" s="34"/>
      <c r="H903" s="34"/>
      <c r="I903" s="34"/>
      <c r="J903" s="44"/>
      <c r="K903" s="105"/>
      <c r="L903" s="34"/>
      <c r="M903" s="34"/>
      <c r="N903" s="34"/>
    </row>
    <row r="904" spans="1:14" ht="12.75">
      <c r="A904" s="34"/>
      <c r="B904" s="34"/>
      <c r="C904" s="34"/>
      <c r="D904" s="188"/>
      <c r="E904" s="304"/>
      <c r="F904" s="34"/>
      <c r="G904" s="34"/>
      <c r="H904" s="34"/>
      <c r="I904" s="34"/>
      <c r="J904" s="44"/>
      <c r="K904" s="105"/>
      <c r="L904" s="34"/>
      <c r="M904" s="34"/>
      <c r="N904" s="34"/>
    </row>
    <row r="905" spans="1:14" ht="12.75">
      <c r="A905" s="34"/>
      <c r="B905" s="34"/>
      <c r="C905" s="34"/>
      <c r="D905" s="188"/>
      <c r="E905" s="304"/>
      <c r="F905" s="34"/>
      <c r="G905" s="34"/>
      <c r="H905" s="34"/>
      <c r="I905" s="34"/>
      <c r="J905" s="44"/>
      <c r="K905" s="105"/>
      <c r="L905" s="34"/>
      <c r="M905" s="34"/>
      <c r="N905" s="34"/>
    </row>
    <row r="906" spans="1:14" ht="12.75">
      <c r="A906" s="34"/>
      <c r="B906" s="34"/>
      <c r="C906" s="34"/>
      <c r="D906" s="188"/>
      <c r="E906" s="304"/>
      <c r="F906" s="34"/>
      <c r="G906" s="34"/>
      <c r="H906" s="34"/>
      <c r="I906" s="34"/>
      <c r="J906" s="44"/>
      <c r="K906" s="105"/>
      <c r="L906" s="34"/>
      <c r="M906" s="34"/>
      <c r="N906" s="34"/>
    </row>
    <row r="907" spans="1:14" ht="12.75">
      <c r="A907" s="34"/>
      <c r="B907" s="34"/>
      <c r="C907" s="34"/>
      <c r="D907" s="188"/>
      <c r="E907" s="304"/>
      <c r="F907" s="34"/>
      <c r="G907" s="34"/>
      <c r="H907" s="34"/>
      <c r="I907" s="34"/>
      <c r="J907" s="44"/>
      <c r="K907" s="105"/>
      <c r="L907" s="34"/>
      <c r="M907" s="34"/>
      <c r="N907" s="34"/>
    </row>
    <row r="908" spans="1:14" ht="12.75">
      <c r="A908" s="34"/>
      <c r="B908" s="34"/>
      <c r="C908" s="34"/>
      <c r="D908" s="188"/>
      <c r="E908" s="304"/>
      <c r="F908" s="34"/>
      <c r="G908" s="34"/>
      <c r="H908" s="34"/>
      <c r="I908" s="34"/>
      <c r="J908" s="44"/>
      <c r="K908" s="105"/>
      <c r="L908" s="34"/>
      <c r="M908" s="34"/>
      <c r="N908" s="34"/>
    </row>
    <row r="909" spans="1:14" ht="12.75">
      <c r="A909" s="34"/>
      <c r="B909" s="34"/>
      <c r="C909" s="34"/>
      <c r="D909" s="188"/>
      <c r="E909" s="304"/>
      <c r="F909" s="34"/>
      <c r="G909" s="34"/>
      <c r="H909" s="34"/>
      <c r="I909" s="34"/>
      <c r="J909" s="44"/>
      <c r="K909" s="105"/>
      <c r="L909" s="34"/>
      <c r="M909" s="34"/>
      <c r="N909" s="34"/>
    </row>
    <row r="910" spans="1:14" ht="12.75">
      <c r="A910" s="34"/>
      <c r="B910" s="34"/>
      <c r="C910" s="34"/>
      <c r="D910" s="188"/>
      <c r="E910" s="304"/>
      <c r="F910" s="34"/>
      <c r="G910" s="34"/>
      <c r="H910" s="34"/>
      <c r="I910" s="34"/>
      <c r="J910" s="44"/>
      <c r="K910" s="105"/>
      <c r="L910" s="34"/>
      <c r="M910" s="34"/>
      <c r="N910" s="34"/>
    </row>
    <row r="911" spans="1:14" ht="12.75">
      <c r="A911" s="34"/>
      <c r="B911" s="34"/>
      <c r="C911" s="34"/>
      <c r="D911" s="188"/>
      <c r="E911" s="304"/>
      <c r="F911" s="34"/>
      <c r="G911" s="34"/>
      <c r="H911" s="34"/>
      <c r="I911" s="34"/>
      <c r="J911" s="44"/>
      <c r="K911" s="105"/>
      <c r="L911" s="34"/>
      <c r="M911" s="34"/>
      <c r="N911" s="34"/>
    </row>
    <row r="912" spans="1:14" ht="12.75">
      <c r="A912" s="34"/>
      <c r="B912" s="34"/>
      <c r="C912" s="34"/>
      <c r="D912" s="188"/>
      <c r="E912" s="304"/>
      <c r="F912" s="34"/>
      <c r="G912" s="34"/>
      <c r="H912" s="34"/>
      <c r="I912" s="34"/>
      <c r="J912" s="44"/>
      <c r="K912" s="105"/>
      <c r="L912" s="34"/>
      <c r="M912" s="34"/>
      <c r="N912" s="34"/>
    </row>
    <row r="913" spans="1:14" ht="12.75">
      <c r="A913" s="34"/>
      <c r="B913" s="34"/>
      <c r="C913" s="34"/>
      <c r="D913" s="188"/>
      <c r="E913" s="304"/>
      <c r="F913" s="34"/>
      <c r="G913" s="34"/>
      <c r="H913" s="34"/>
      <c r="I913" s="34"/>
      <c r="J913" s="44"/>
      <c r="K913" s="105"/>
      <c r="L913" s="34"/>
      <c r="M913" s="34"/>
      <c r="N913" s="34"/>
    </row>
    <row r="914" spans="1:14" ht="12.75">
      <c r="A914" s="34"/>
      <c r="B914" s="34"/>
      <c r="C914" s="34"/>
      <c r="D914" s="188"/>
      <c r="E914" s="304"/>
      <c r="F914" s="34"/>
      <c r="G914" s="34"/>
      <c r="H914" s="34"/>
      <c r="I914" s="34"/>
      <c r="J914" s="44"/>
      <c r="K914" s="105"/>
      <c r="L914" s="34"/>
      <c r="M914" s="34"/>
      <c r="N914" s="34"/>
    </row>
    <row r="915" spans="1:14" ht="12.75">
      <c r="A915" s="34"/>
      <c r="B915" s="34"/>
      <c r="C915" s="34"/>
      <c r="D915" s="188"/>
      <c r="E915" s="304"/>
      <c r="F915" s="34"/>
      <c r="G915" s="34"/>
      <c r="H915" s="34"/>
      <c r="I915" s="34"/>
      <c r="J915" s="44"/>
      <c r="K915" s="105"/>
      <c r="L915" s="34"/>
      <c r="M915" s="34"/>
      <c r="N915" s="34"/>
    </row>
    <row r="916" spans="1:14" ht="12.75">
      <c r="A916" s="34"/>
      <c r="B916" s="34"/>
      <c r="C916" s="34"/>
      <c r="D916" s="188"/>
      <c r="E916" s="304"/>
      <c r="F916" s="34"/>
      <c r="G916" s="34"/>
      <c r="H916" s="34"/>
      <c r="I916" s="34"/>
      <c r="J916" s="44"/>
      <c r="K916" s="105"/>
      <c r="L916" s="34"/>
      <c r="M916" s="34"/>
      <c r="N916" s="34"/>
    </row>
    <row r="917" spans="1:14" ht="12.75">
      <c r="A917" s="34"/>
      <c r="B917" s="34"/>
      <c r="C917" s="34"/>
      <c r="D917" s="188"/>
      <c r="E917" s="304"/>
      <c r="F917" s="34"/>
      <c r="G917" s="34"/>
      <c r="H917" s="34"/>
      <c r="I917" s="34"/>
      <c r="J917" s="44"/>
      <c r="K917" s="105"/>
      <c r="L917" s="34"/>
      <c r="M917" s="34"/>
      <c r="N917" s="34"/>
    </row>
    <row r="918" spans="1:14" ht="12.75">
      <c r="A918" s="34"/>
      <c r="B918" s="34"/>
      <c r="C918" s="34"/>
      <c r="D918" s="188"/>
      <c r="E918" s="304"/>
      <c r="F918" s="34"/>
      <c r="G918" s="34"/>
      <c r="H918" s="34"/>
      <c r="I918" s="34"/>
      <c r="J918" s="44"/>
      <c r="K918" s="105"/>
      <c r="L918" s="34"/>
      <c r="M918" s="34"/>
      <c r="N918" s="34"/>
    </row>
    <row r="919" spans="1:14" ht="12.75">
      <c r="A919" s="34"/>
      <c r="B919" s="34"/>
      <c r="C919" s="34"/>
      <c r="D919" s="188"/>
      <c r="E919" s="304"/>
      <c r="F919" s="34"/>
      <c r="G919" s="34"/>
      <c r="H919" s="34"/>
      <c r="I919" s="34"/>
      <c r="J919" s="44"/>
      <c r="K919" s="105"/>
      <c r="L919" s="34"/>
      <c r="M919" s="34"/>
      <c r="N919" s="34"/>
    </row>
    <row r="920" spans="1:14" ht="12.75">
      <c r="A920" s="34"/>
      <c r="B920" s="34"/>
      <c r="C920" s="34"/>
      <c r="D920" s="188"/>
      <c r="E920" s="304"/>
      <c r="F920" s="34"/>
      <c r="G920" s="34"/>
      <c r="H920" s="34"/>
      <c r="I920" s="34"/>
      <c r="J920" s="44"/>
      <c r="K920" s="105"/>
      <c r="L920" s="34"/>
      <c r="M920" s="34"/>
      <c r="N920" s="34"/>
    </row>
    <row r="921" spans="1:14" ht="12.75">
      <c r="A921" s="34"/>
      <c r="B921" s="34"/>
      <c r="C921" s="34"/>
      <c r="D921" s="188"/>
      <c r="E921" s="304"/>
      <c r="F921" s="34"/>
      <c r="G921" s="34"/>
      <c r="H921" s="34"/>
      <c r="I921" s="34"/>
      <c r="J921" s="44"/>
      <c r="K921" s="105"/>
      <c r="L921" s="34"/>
      <c r="M921" s="34"/>
      <c r="N921" s="34"/>
    </row>
    <row r="922" spans="1:14" ht="12.75">
      <c r="A922" s="34"/>
      <c r="B922" s="34"/>
      <c r="C922" s="34"/>
      <c r="D922" s="188"/>
      <c r="E922" s="304"/>
      <c r="F922" s="34"/>
      <c r="G922" s="34"/>
      <c r="H922" s="34"/>
      <c r="I922" s="34"/>
      <c r="J922" s="44"/>
      <c r="K922" s="105"/>
      <c r="L922" s="34"/>
      <c r="M922" s="34"/>
      <c r="N922" s="34"/>
    </row>
    <row r="923" spans="1:14" ht="12.75">
      <c r="A923" s="34"/>
      <c r="B923" s="34"/>
      <c r="C923" s="34"/>
      <c r="D923" s="188"/>
      <c r="E923" s="304"/>
      <c r="F923" s="34"/>
      <c r="G923" s="34"/>
      <c r="H923" s="34"/>
      <c r="I923" s="34"/>
      <c r="J923" s="44"/>
      <c r="K923" s="105"/>
      <c r="L923" s="34"/>
      <c r="M923" s="34"/>
      <c r="N923" s="34"/>
    </row>
    <row r="924" spans="1:14" ht="12.75">
      <c r="A924" s="34"/>
      <c r="B924" s="34"/>
      <c r="C924" s="34"/>
      <c r="D924" s="188"/>
      <c r="E924" s="304"/>
      <c r="F924" s="34"/>
      <c r="G924" s="34"/>
      <c r="H924" s="34"/>
      <c r="I924" s="34"/>
      <c r="J924" s="44"/>
      <c r="K924" s="105"/>
      <c r="L924" s="34"/>
      <c r="M924" s="34"/>
      <c r="N924" s="34"/>
    </row>
    <row r="925" spans="1:14" ht="12.75">
      <c r="A925" s="34"/>
      <c r="B925" s="34"/>
      <c r="C925" s="34"/>
      <c r="D925" s="188"/>
      <c r="E925" s="304"/>
      <c r="F925" s="34"/>
      <c r="G925" s="34"/>
      <c r="H925" s="34"/>
      <c r="I925" s="34"/>
      <c r="J925" s="44"/>
      <c r="K925" s="105"/>
      <c r="L925" s="34"/>
      <c r="M925" s="34"/>
      <c r="N925" s="34"/>
    </row>
    <row r="926" spans="1:14" ht="12.75">
      <c r="A926" s="34"/>
      <c r="B926" s="34"/>
      <c r="C926" s="34"/>
      <c r="D926" s="188"/>
      <c r="E926" s="304"/>
      <c r="F926" s="34"/>
      <c r="G926" s="34"/>
      <c r="H926" s="34"/>
      <c r="I926" s="34"/>
      <c r="J926" s="44"/>
      <c r="K926" s="105"/>
      <c r="L926" s="34"/>
      <c r="M926" s="34"/>
      <c r="N926" s="34"/>
    </row>
    <row r="927" spans="1:14" ht="12.75">
      <c r="A927" s="34"/>
      <c r="B927" s="34"/>
      <c r="C927" s="34"/>
      <c r="D927" s="188"/>
      <c r="E927" s="304"/>
      <c r="F927" s="34"/>
      <c r="G927" s="34"/>
      <c r="H927" s="34"/>
      <c r="I927" s="34"/>
      <c r="J927" s="44"/>
      <c r="K927" s="105"/>
      <c r="L927" s="34"/>
      <c r="M927" s="34"/>
      <c r="N927" s="34"/>
    </row>
    <row r="928" spans="1:14" ht="12.75">
      <c r="A928" s="34"/>
      <c r="B928" s="34"/>
      <c r="C928" s="34"/>
      <c r="D928" s="188"/>
      <c r="E928" s="304"/>
      <c r="F928" s="34"/>
      <c r="G928" s="34"/>
      <c r="H928" s="34"/>
      <c r="I928" s="34"/>
      <c r="J928" s="44"/>
      <c r="K928" s="105"/>
      <c r="L928" s="34"/>
      <c r="M928" s="34"/>
      <c r="N928" s="34"/>
    </row>
    <row r="929" spans="1:14" ht="12.75">
      <c r="A929" s="34"/>
      <c r="B929" s="34"/>
      <c r="C929" s="34"/>
      <c r="D929" s="188"/>
      <c r="E929" s="304"/>
      <c r="F929" s="34"/>
      <c r="G929" s="34"/>
      <c r="H929" s="34"/>
      <c r="I929" s="34"/>
      <c r="J929" s="44"/>
      <c r="K929" s="105"/>
      <c r="L929" s="34"/>
      <c r="M929" s="34"/>
      <c r="N929" s="34"/>
    </row>
    <row r="930" spans="1:14" ht="12.75">
      <c r="A930" s="34"/>
      <c r="B930" s="34"/>
      <c r="C930" s="34"/>
      <c r="D930" s="188"/>
      <c r="E930" s="304"/>
      <c r="F930" s="34"/>
      <c r="G930" s="34"/>
      <c r="H930" s="34"/>
      <c r="I930" s="34"/>
      <c r="J930" s="44"/>
      <c r="K930" s="105"/>
      <c r="L930" s="34"/>
      <c r="M930" s="34"/>
      <c r="N930" s="34"/>
    </row>
    <row r="931" spans="1:14" ht="12.75">
      <c r="A931" s="34"/>
      <c r="B931" s="34"/>
      <c r="C931" s="34"/>
      <c r="D931" s="188"/>
      <c r="E931" s="304"/>
      <c r="F931" s="34"/>
      <c r="G931" s="34"/>
      <c r="H931" s="34"/>
      <c r="I931" s="34"/>
      <c r="J931" s="44"/>
      <c r="K931" s="105"/>
      <c r="L931" s="34"/>
      <c r="M931" s="34"/>
      <c r="N931" s="34"/>
    </row>
    <row r="932" spans="1:14" ht="12.75">
      <c r="A932" s="34"/>
      <c r="B932" s="34"/>
      <c r="C932" s="34"/>
      <c r="D932" s="188"/>
      <c r="E932" s="304"/>
      <c r="F932" s="34"/>
      <c r="G932" s="34"/>
      <c r="H932" s="34"/>
      <c r="I932" s="34"/>
      <c r="J932" s="44"/>
      <c r="K932" s="105"/>
      <c r="L932" s="34"/>
      <c r="M932" s="34"/>
      <c r="N932" s="34"/>
    </row>
    <row r="933" spans="1:14" ht="12.75">
      <c r="A933" s="34"/>
      <c r="B933" s="34"/>
      <c r="C933" s="34"/>
      <c r="D933" s="188"/>
      <c r="E933" s="304"/>
      <c r="F933" s="34"/>
      <c r="G933" s="34"/>
      <c r="H933" s="34"/>
      <c r="I933" s="34"/>
      <c r="J933" s="44"/>
      <c r="K933" s="105"/>
      <c r="L933" s="34"/>
      <c r="M933" s="34"/>
      <c r="N933" s="34"/>
    </row>
    <row r="934" spans="1:14" ht="12.75">
      <c r="A934" s="34"/>
      <c r="B934" s="34"/>
      <c r="C934" s="34"/>
      <c r="D934" s="188"/>
      <c r="E934" s="304"/>
      <c r="F934" s="34"/>
      <c r="G934" s="34"/>
      <c r="H934" s="34"/>
      <c r="I934" s="34"/>
      <c r="J934" s="44"/>
      <c r="K934" s="105"/>
      <c r="L934" s="34"/>
      <c r="M934" s="34"/>
      <c r="N934" s="34"/>
    </row>
    <row r="935" spans="1:14" ht="12.75">
      <c r="A935" s="34"/>
      <c r="B935" s="34"/>
      <c r="C935" s="34"/>
      <c r="D935" s="188"/>
      <c r="E935" s="304"/>
      <c r="F935" s="34"/>
      <c r="G935" s="34"/>
      <c r="H935" s="34"/>
      <c r="I935" s="34"/>
      <c r="J935" s="44"/>
      <c r="K935" s="105"/>
      <c r="L935" s="34"/>
      <c r="M935" s="34"/>
      <c r="N935" s="34"/>
    </row>
    <row r="936" spans="1:14" ht="12.75">
      <c r="A936" s="34"/>
      <c r="B936" s="34"/>
      <c r="C936" s="34"/>
      <c r="D936" s="188"/>
      <c r="E936" s="304"/>
      <c r="F936" s="34"/>
      <c r="G936" s="34"/>
      <c r="H936" s="34"/>
      <c r="I936" s="34"/>
      <c r="J936" s="44"/>
      <c r="K936" s="105"/>
      <c r="L936" s="34"/>
      <c r="M936" s="34"/>
      <c r="N936" s="34"/>
    </row>
    <row r="937" spans="1:14" ht="12.75">
      <c r="A937" s="34"/>
      <c r="B937" s="34"/>
      <c r="C937" s="34"/>
      <c r="D937" s="188"/>
      <c r="E937" s="304"/>
      <c r="F937" s="34"/>
      <c r="G937" s="34"/>
      <c r="H937" s="34"/>
      <c r="I937" s="34"/>
      <c r="J937" s="44"/>
      <c r="K937" s="105"/>
      <c r="L937" s="34"/>
      <c r="M937" s="34"/>
      <c r="N937" s="34"/>
    </row>
    <row r="938" spans="1:14" ht="12.75">
      <c r="A938" s="34"/>
      <c r="B938" s="34"/>
      <c r="C938" s="34"/>
      <c r="D938" s="188"/>
      <c r="E938" s="304"/>
      <c r="F938" s="34"/>
      <c r="G938" s="34"/>
      <c r="H938" s="34"/>
      <c r="I938" s="34"/>
      <c r="J938" s="44"/>
      <c r="K938" s="105"/>
      <c r="L938" s="34"/>
      <c r="M938" s="34"/>
      <c r="N938" s="34"/>
    </row>
    <row r="939" spans="1:14" ht="12.75">
      <c r="A939" s="34"/>
      <c r="B939" s="34"/>
      <c r="C939" s="34"/>
      <c r="D939" s="188"/>
      <c r="E939" s="304"/>
      <c r="F939" s="34"/>
      <c r="G939" s="34"/>
      <c r="H939" s="34"/>
      <c r="I939" s="34"/>
      <c r="J939" s="44"/>
      <c r="K939" s="105"/>
      <c r="L939" s="34"/>
      <c r="M939" s="34"/>
      <c r="N939" s="34"/>
    </row>
    <row r="940" spans="1:14" ht="12.75">
      <c r="A940" s="34"/>
      <c r="B940" s="34"/>
      <c r="C940" s="34"/>
      <c r="D940" s="188"/>
      <c r="E940" s="304"/>
      <c r="F940" s="34"/>
      <c r="G940" s="34"/>
      <c r="H940" s="34"/>
      <c r="I940" s="34"/>
      <c r="J940" s="44"/>
      <c r="K940" s="105"/>
      <c r="L940" s="34"/>
      <c r="M940" s="34"/>
      <c r="N940" s="34"/>
    </row>
    <row r="941" spans="1:14" ht="12.75">
      <c r="A941" s="34"/>
      <c r="B941" s="34"/>
      <c r="C941" s="34"/>
      <c r="D941" s="188"/>
      <c r="E941" s="304"/>
      <c r="F941" s="34"/>
      <c r="G941" s="34"/>
      <c r="H941" s="34"/>
      <c r="I941" s="34"/>
      <c r="J941" s="44"/>
      <c r="K941" s="105"/>
      <c r="L941" s="34"/>
      <c r="M941" s="34"/>
      <c r="N941" s="34"/>
    </row>
    <row r="942" spans="1:14" ht="12.75">
      <c r="A942" s="34"/>
      <c r="B942" s="34"/>
      <c r="C942" s="34"/>
      <c r="D942" s="188"/>
      <c r="E942" s="304"/>
      <c r="F942" s="34"/>
      <c r="G942" s="34"/>
      <c r="H942" s="34"/>
      <c r="I942" s="34"/>
      <c r="J942" s="44"/>
      <c r="K942" s="105"/>
      <c r="L942" s="34"/>
      <c r="M942" s="34"/>
      <c r="N942" s="34"/>
    </row>
    <row r="943" spans="1:14" ht="12.75">
      <c r="A943" s="34"/>
      <c r="B943" s="34"/>
      <c r="C943" s="34"/>
      <c r="D943" s="188"/>
      <c r="E943" s="304"/>
      <c r="F943" s="34"/>
      <c r="G943" s="34"/>
      <c r="H943" s="34"/>
      <c r="I943" s="34"/>
      <c r="J943" s="44"/>
      <c r="K943" s="105"/>
      <c r="L943" s="34"/>
      <c r="M943" s="34"/>
      <c r="N943" s="34"/>
    </row>
    <row r="944" spans="1:14" ht="12.75">
      <c r="A944" s="34"/>
      <c r="B944" s="34"/>
      <c r="C944" s="34"/>
      <c r="D944" s="188"/>
      <c r="E944" s="304"/>
      <c r="F944" s="34"/>
      <c r="G944" s="34"/>
      <c r="H944" s="34"/>
      <c r="I944" s="34"/>
      <c r="J944" s="44"/>
      <c r="K944" s="105"/>
      <c r="L944" s="34"/>
      <c r="M944" s="34"/>
      <c r="N944" s="34"/>
    </row>
    <row r="945" spans="1:14" ht="12.75">
      <c r="A945" s="34"/>
      <c r="B945" s="34"/>
      <c r="C945" s="34"/>
      <c r="D945" s="188"/>
      <c r="E945" s="304"/>
      <c r="F945" s="34"/>
      <c r="G945" s="34"/>
      <c r="H945" s="34"/>
      <c r="I945" s="34"/>
      <c r="J945" s="44"/>
      <c r="K945" s="105"/>
      <c r="L945" s="34"/>
      <c r="M945" s="34"/>
      <c r="N945" s="34"/>
    </row>
    <row r="946" spans="1:14" ht="12.75">
      <c r="A946" s="34"/>
      <c r="B946" s="34"/>
      <c r="C946" s="34"/>
      <c r="D946" s="188"/>
      <c r="E946" s="304"/>
      <c r="F946" s="34"/>
      <c r="G946" s="34"/>
      <c r="H946" s="34"/>
      <c r="I946" s="34"/>
      <c r="J946" s="44"/>
      <c r="K946" s="105"/>
      <c r="L946" s="34"/>
      <c r="M946" s="34"/>
      <c r="N946" s="34"/>
    </row>
    <row r="947" spans="1:14" ht="12.75">
      <c r="A947" s="34"/>
      <c r="B947" s="34"/>
      <c r="C947" s="34"/>
      <c r="D947" s="188"/>
      <c r="E947" s="304"/>
      <c r="F947" s="34"/>
      <c r="G947" s="34"/>
      <c r="H947" s="34"/>
      <c r="I947" s="34"/>
      <c r="J947" s="44"/>
      <c r="K947" s="105"/>
      <c r="L947" s="34"/>
      <c r="M947" s="34"/>
      <c r="N947" s="34"/>
    </row>
    <row r="948" spans="1:14" ht="12.75">
      <c r="A948" s="34"/>
      <c r="B948" s="34"/>
      <c r="C948" s="34"/>
      <c r="D948" s="188"/>
      <c r="E948" s="304"/>
      <c r="F948" s="34"/>
      <c r="G948" s="34"/>
      <c r="H948" s="34"/>
      <c r="I948" s="34"/>
      <c r="J948" s="44"/>
      <c r="K948" s="105"/>
      <c r="L948" s="34"/>
      <c r="M948" s="34"/>
      <c r="N948" s="34"/>
    </row>
    <row r="949" spans="1:14" ht="12.75">
      <c r="A949" s="34"/>
      <c r="B949" s="34"/>
      <c r="C949" s="34"/>
      <c r="D949" s="188"/>
      <c r="E949" s="304"/>
      <c r="F949" s="34"/>
      <c r="G949" s="34"/>
      <c r="H949" s="34"/>
      <c r="I949" s="34"/>
      <c r="J949" s="44"/>
      <c r="K949" s="105"/>
      <c r="L949" s="34"/>
      <c r="M949" s="34"/>
      <c r="N949" s="34"/>
    </row>
    <row r="950" spans="1:14" ht="12.75">
      <c r="A950" s="34"/>
      <c r="B950" s="34"/>
      <c r="C950" s="34"/>
      <c r="D950" s="188"/>
      <c r="E950" s="304"/>
      <c r="F950" s="34"/>
      <c r="G950" s="34"/>
      <c r="H950" s="34"/>
      <c r="I950" s="34"/>
      <c r="J950" s="44"/>
      <c r="K950" s="105"/>
      <c r="L950" s="34"/>
      <c r="M950" s="34"/>
      <c r="N950" s="34"/>
    </row>
    <row r="951" spans="1:14" ht="12.75">
      <c r="A951" s="34"/>
      <c r="B951" s="34"/>
      <c r="C951" s="34"/>
      <c r="D951" s="188"/>
      <c r="E951" s="304"/>
      <c r="F951" s="34"/>
      <c r="G951" s="34"/>
      <c r="H951" s="34"/>
      <c r="I951" s="34"/>
      <c r="J951" s="44"/>
      <c r="K951" s="105"/>
      <c r="L951" s="34"/>
      <c r="M951" s="34"/>
      <c r="N951" s="34"/>
    </row>
    <row r="952" spans="1:14" ht="12.75">
      <c r="A952" s="34"/>
      <c r="B952" s="34"/>
      <c r="C952" s="34"/>
      <c r="D952" s="188"/>
      <c r="E952" s="304"/>
      <c r="F952" s="34"/>
      <c r="G952" s="34"/>
      <c r="H952" s="34"/>
      <c r="I952" s="34"/>
      <c r="J952" s="44"/>
      <c r="K952" s="105"/>
      <c r="L952" s="34"/>
      <c r="M952" s="34"/>
      <c r="N952" s="34"/>
    </row>
    <row r="953" spans="1:14" ht="12.75">
      <c r="A953" s="34"/>
      <c r="B953" s="34"/>
      <c r="C953" s="34"/>
      <c r="D953" s="188"/>
      <c r="E953" s="304"/>
      <c r="F953" s="34"/>
      <c r="G953" s="34"/>
      <c r="H953" s="34"/>
      <c r="I953" s="34"/>
      <c r="J953" s="44"/>
      <c r="K953" s="105"/>
      <c r="L953" s="34"/>
      <c r="M953" s="34"/>
      <c r="N953" s="34"/>
    </row>
    <row r="954" spans="1:14" ht="12.75">
      <c r="A954" s="34"/>
      <c r="B954" s="34"/>
      <c r="C954" s="34"/>
      <c r="D954" s="188"/>
      <c r="E954" s="304"/>
      <c r="F954" s="34"/>
      <c r="G954" s="34"/>
      <c r="H954" s="34"/>
      <c r="I954" s="34"/>
      <c r="J954" s="44"/>
      <c r="K954" s="105"/>
      <c r="L954" s="34"/>
      <c r="M954" s="34"/>
      <c r="N954" s="34"/>
    </row>
    <row r="955" spans="1:14" ht="12.75">
      <c r="A955" s="34"/>
      <c r="B955" s="34"/>
      <c r="C955" s="34"/>
      <c r="D955" s="188"/>
      <c r="E955" s="304"/>
      <c r="F955" s="34"/>
      <c r="G955" s="34"/>
      <c r="H955" s="34"/>
      <c r="I955" s="34"/>
      <c r="J955" s="44"/>
      <c r="K955" s="105"/>
      <c r="L955" s="34"/>
      <c r="M955" s="34"/>
      <c r="N955" s="34"/>
    </row>
    <row r="956" spans="1:14" ht="12.75">
      <c r="A956" s="34"/>
      <c r="B956" s="34"/>
      <c r="C956" s="34"/>
      <c r="D956" s="188"/>
      <c r="E956" s="304"/>
      <c r="F956" s="34"/>
      <c r="G956" s="34"/>
      <c r="H956" s="34"/>
      <c r="I956" s="34"/>
      <c r="J956" s="44"/>
      <c r="K956" s="105"/>
      <c r="L956" s="34"/>
      <c r="M956" s="34"/>
      <c r="N956" s="34"/>
    </row>
    <row r="957" spans="1:14" ht="12.75">
      <c r="A957" s="34"/>
      <c r="B957" s="34"/>
      <c r="C957" s="34"/>
      <c r="D957" s="188"/>
      <c r="E957" s="304"/>
      <c r="F957" s="34"/>
      <c r="G957" s="34"/>
      <c r="H957" s="34"/>
      <c r="I957" s="34"/>
      <c r="J957" s="44"/>
      <c r="K957" s="105"/>
      <c r="L957" s="34"/>
      <c r="M957" s="34"/>
      <c r="N957" s="34"/>
    </row>
    <row r="958" spans="1:14" ht="12.75">
      <c r="A958" s="34"/>
      <c r="B958" s="34"/>
      <c r="C958" s="34"/>
      <c r="D958" s="188"/>
      <c r="E958" s="304"/>
      <c r="F958" s="34"/>
      <c r="G958" s="34"/>
      <c r="H958" s="34"/>
      <c r="I958" s="34"/>
      <c r="J958" s="44"/>
      <c r="K958" s="105"/>
      <c r="L958" s="34"/>
      <c r="M958" s="34"/>
      <c r="N958" s="34"/>
    </row>
    <row r="959" spans="1:14" ht="12.75">
      <c r="A959" s="34"/>
      <c r="B959" s="34"/>
      <c r="C959" s="34"/>
      <c r="D959" s="188"/>
      <c r="E959" s="304"/>
      <c r="F959" s="34"/>
      <c r="G959" s="34"/>
      <c r="H959" s="34"/>
      <c r="I959" s="34"/>
      <c r="J959" s="44"/>
      <c r="K959" s="105"/>
      <c r="L959" s="34"/>
      <c r="M959" s="34"/>
      <c r="N959" s="34"/>
    </row>
    <row r="960" spans="1:14" ht="12.75">
      <c r="A960" s="34"/>
      <c r="B960" s="34"/>
      <c r="C960" s="34"/>
      <c r="D960" s="188"/>
      <c r="E960" s="304"/>
      <c r="F960" s="34"/>
      <c r="G960" s="34"/>
      <c r="H960" s="34"/>
      <c r="I960" s="34"/>
      <c r="J960" s="44"/>
      <c r="K960" s="105"/>
      <c r="L960" s="34"/>
      <c r="M960" s="34"/>
      <c r="N960" s="34"/>
    </row>
    <row r="961" spans="1:14" ht="12.75">
      <c r="A961" s="34"/>
      <c r="B961" s="34"/>
      <c r="C961" s="34"/>
      <c r="D961" s="188"/>
      <c r="E961" s="304"/>
      <c r="F961" s="34"/>
      <c r="G961" s="34"/>
      <c r="H961" s="34"/>
      <c r="I961" s="34"/>
      <c r="J961" s="44"/>
      <c r="K961" s="105"/>
      <c r="L961" s="34"/>
      <c r="M961" s="34"/>
      <c r="N961" s="34"/>
    </row>
    <row r="962" spans="1:14" ht="12.75">
      <c r="A962" s="34"/>
      <c r="B962" s="34"/>
      <c r="C962" s="34"/>
      <c r="D962" s="188"/>
      <c r="E962" s="304"/>
      <c r="F962" s="34"/>
      <c r="G962" s="34"/>
      <c r="H962" s="34"/>
      <c r="I962" s="34"/>
      <c r="J962" s="44"/>
      <c r="K962" s="105"/>
      <c r="L962" s="34"/>
      <c r="M962" s="34"/>
      <c r="N962" s="34"/>
    </row>
    <row r="963" spans="1:14" ht="12.75">
      <c r="A963" s="34"/>
      <c r="B963" s="34"/>
      <c r="C963" s="34"/>
      <c r="D963" s="188"/>
      <c r="E963" s="304"/>
      <c r="F963" s="34"/>
      <c r="G963" s="34"/>
      <c r="H963" s="34"/>
      <c r="I963" s="34"/>
      <c r="J963" s="44"/>
      <c r="K963" s="105"/>
      <c r="L963" s="34"/>
      <c r="M963" s="34"/>
      <c r="N963" s="34"/>
    </row>
    <row r="964" spans="1:14" ht="12.75">
      <c r="A964" s="34"/>
      <c r="B964" s="34"/>
      <c r="C964" s="34"/>
      <c r="D964" s="188"/>
      <c r="E964" s="304"/>
      <c r="F964" s="34"/>
      <c r="G964" s="34"/>
      <c r="H964" s="34"/>
      <c r="I964" s="34"/>
      <c r="J964" s="44"/>
      <c r="K964" s="105"/>
      <c r="L964" s="34"/>
      <c r="M964" s="34"/>
      <c r="N964" s="34"/>
    </row>
    <row r="965" spans="1:14" ht="12.75">
      <c r="A965" s="34"/>
      <c r="B965" s="34"/>
      <c r="C965" s="34"/>
      <c r="D965" s="188"/>
      <c r="E965" s="304"/>
      <c r="F965" s="34"/>
      <c r="G965" s="34"/>
      <c r="H965" s="34"/>
      <c r="I965" s="34"/>
      <c r="J965" s="44"/>
      <c r="K965" s="105"/>
      <c r="L965" s="34"/>
      <c r="M965" s="34"/>
      <c r="N965" s="34"/>
    </row>
    <row r="966" spans="1:14" ht="12.75">
      <c r="A966" s="34"/>
      <c r="B966" s="34"/>
      <c r="C966" s="34"/>
      <c r="D966" s="188"/>
      <c r="E966" s="304"/>
      <c r="F966" s="34"/>
      <c r="G966" s="34"/>
      <c r="H966" s="34"/>
      <c r="I966" s="34"/>
      <c r="J966" s="44"/>
      <c r="K966" s="105"/>
      <c r="L966" s="34"/>
      <c r="M966" s="34"/>
      <c r="N966" s="34"/>
    </row>
    <row r="967" spans="1:14" ht="12.75">
      <c r="A967" s="34"/>
      <c r="B967" s="34"/>
      <c r="C967" s="34"/>
      <c r="D967" s="188"/>
      <c r="E967" s="304"/>
      <c r="F967" s="34"/>
      <c r="G967" s="34"/>
      <c r="H967" s="34"/>
      <c r="I967" s="34"/>
      <c r="J967" s="44"/>
      <c r="K967" s="105"/>
      <c r="L967" s="34"/>
      <c r="M967" s="34"/>
      <c r="N967" s="34"/>
    </row>
    <row r="968" spans="1:14" ht="12.75">
      <c r="A968" s="34"/>
      <c r="B968" s="34"/>
      <c r="C968" s="34"/>
      <c r="D968" s="188"/>
      <c r="E968" s="304"/>
      <c r="F968" s="34"/>
      <c r="G968" s="34"/>
      <c r="H968" s="34"/>
      <c r="I968" s="34"/>
      <c r="J968" s="44"/>
      <c r="K968" s="105"/>
      <c r="L968" s="34"/>
      <c r="M968" s="34"/>
      <c r="N968" s="34"/>
    </row>
    <row r="969" spans="1:14" ht="12.75">
      <c r="A969" s="34"/>
      <c r="B969" s="34"/>
      <c r="C969" s="34"/>
      <c r="D969" s="188"/>
      <c r="E969" s="304"/>
      <c r="F969" s="34"/>
      <c r="G969" s="34"/>
      <c r="H969" s="34"/>
      <c r="I969" s="34"/>
      <c r="J969" s="44"/>
      <c r="K969" s="105"/>
      <c r="L969" s="34"/>
      <c r="M969" s="34"/>
      <c r="N969" s="34"/>
    </row>
    <row r="970" spans="1:14" ht="12.75">
      <c r="A970" s="34"/>
      <c r="B970" s="34"/>
      <c r="C970" s="34"/>
      <c r="D970" s="188"/>
      <c r="E970" s="304"/>
      <c r="F970" s="34"/>
      <c r="G970" s="34"/>
      <c r="H970" s="34"/>
      <c r="I970" s="34"/>
      <c r="J970" s="44"/>
      <c r="K970" s="105"/>
      <c r="L970" s="34"/>
      <c r="M970" s="34"/>
      <c r="N970" s="34"/>
    </row>
    <row r="971" spans="1:14" ht="12.75">
      <c r="A971" s="34"/>
      <c r="B971" s="34"/>
      <c r="C971" s="34"/>
      <c r="D971" s="188"/>
      <c r="E971" s="304"/>
      <c r="F971" s="34"/>
      <c r="G971" s="34"/>
      <c r="H971" s="34"/>
      <c r="I971" s="34"/>
      <c r="J971" s="44"/>
      <c r="K971" s="105"/>
      <c r="L971" s="34"/>
      <c r="M971" s="34"/>
      <c r="N971" s="34"/>
    </row>
    <row r="972" spans="1:14" ht="12.75">
      <c r="A972" s="34"/>
      <c r="B972" s="34"/>
      <c r="C972" s="34"/>
      <c r="D972" s="188"/>
      <c r="E972" s="304"/>
      <c r="F972" s="34"/>
      <c r="G972" s="34"/>
      <c r="H972" s="34"/>
      <c r="I972" s="34"/>
      <c r="J972" s="44"/>
      <c r="K972" s="105"/>
      <c r="L972" s="34"/>
      <c r="M972" s="34"/>
      <c r="N972" s="34"/>
    </row>
    <row r="973" spans="1:14" ht="12.75">
      <c r="A973" s="34"/>
      <c r="B973" s="34"/>
      <c r="C973" s="34"/>
      <c r="D973" s="188"/>
      <c r="E973" s="304"/>
      <c r="F973" s="34"/>
      <c r="G973" s="34"/>
      <c r="H973" s="34"/>
      <c r="I973" s="34"/>
      <c r="J973" s="44"/>
      <c r="K973" s="105"/>
      <c r="L973" s="34"/>
      <c r="M973" s="34"/>
      <c r="N973" s="34"/>
    </row>
    <row r="974" spans="1:14" ht="12.75">
      <c r="A974" s="34"/>
      <c r="B974" s="34"/>
      <c r="C974" s="34"/>
      <c r="D974" s="188"/>
      <c r="E974" s="304"/>
      <c r="F974" s="34"/>
      <c r="G974" s="34"/>
      <c r="H974" s="34"/>
      <c r="I974" s="34"/>
      <c r="J974" s="44"/>
      <c r="K974" s="105"/>
      <c r="L974" s="34"/>
      <c r="M974" s="34"/>
      <c r="N974" s="34"/>
    </row>
    <row r="975" spans="1:14" ht="12.75">
      <c r="A975" s="34"/>
      <c r="B975" s="34"/>
      <c r="C975" s="34"/>
      <c r="D975" s="188"/>
      <c r="E975" s="304"/>
      <c r="F975" s="34"/>
      <c r="G975" s="34"/>
      <c r="H975" s="34"/>
      <c r="I975" s="34"/>
      <c r="J975" s="44"/>
      <c r="K975" s="105"/>
      <c r="L975" s="34"/>
      <c r="M975" s="34"/>
      <c r="N975" s="34"/>
    </row>
    <row r="976" spans="1:14" ht="12.75">
      <c r="A976" s="34"/>
      <c r="B976" s="34"/>
      <c r="C976" s="34"/>
      <c r="D976" s="188"/>
      <c r="E976" s="304"/>
      <c r="F976" s="34"/>
      <c r="G976" s="34"/>
      <c r="H976" s="34"/>
      <c r="I976" s="34"/>
      <c r="J976" s="44"/>
      <c r="K976" s="105"/>
      <c r="L976" s="34"/>
      <c r="M976" s="34"/>
      <c r="N976" s="34"/>
    </row>
    <row r="977" spans="1:14" ht="12.75">
      <c r="A977" s="34"/>
      <c r="B977" s="34"/>
      <c r="C977" s="34"/>
      <c r="D977" s="188"/>
      <c r="E977" s="304"/>
      <c r="F977" s="34"/>
      <c r="G977" s="34"/>
      <c r="H977" s="34"/>
      <c r="I977" s="34"/>
      <c r="J977" s="44"/>
      <c r="K977" s="105"/>
      <c r="L977" s="34"/>
      <c r="M977" s="34"/>
      <c r="N977" s="34"/>
    </row>
    <row r="978" spans="1:14" ht="12.75">
      <c r="A978" s="34"/>
      <c r="B978" s="34"/>
      <c r="C978" s="34"/>
      <c r="D978" s="188"/>
      <c r="E978" s="304"/>
      <c r="F978" s="34"/>
      <c r="G978" s="34"/>
      <c r="H978" s="34"/>
      <c r="I978" s="34"/>
      <c r="J978" s="44"/>
      <c r="K978" s="105"/>
      <c r="L978" s="34"/>
      <c r="M978" s="34"/>
      <c r="N978" s="34"/>
    </row>
    <row r="979" spans="1:14" ht="12.75">
      <c r="A979" s="34"/>
      <c r="B979" s="34"/>
      <c r="C979" s="34"/>
      <c r="D979" s="188"/>
      <c r="E979" s="304"/>
      <c r="F979" s="34"/>
      <c r="G979" s="34"/>
      <c r="H979" s="34"/>
      <c r="I979" s="34"/>
      <c r="J979" s="44"/>
      <c r="K979" s="105"/>
      <c r="L979" s="34"/>
      <c r="M979" s="34"/>
      <c r="N979" s="34"/>
    </row>
    <row r="980" spans="1:14" ht="12.75">
      <c r="A980" s="34"/>
      <c r="B980" s="34"/>
      <c r="C980" s="34"/>
      <c r="D980" s="188"/>
      <c r="E980" s="304"/>
      <c r="F980" s="34"/>
      <c r="G980" s="34"/>
      <c r="H980" s="34"/>
      <c r="I980" s="34"/>
      <c r="J980" s="44"/>
      <c r="K980" s="105"/>
      <c r="L980" s="34"/>
      <c r="M980" s="34"/>
      <c r="N980" s="34"/>
    </row>
    <row r="981" spans="1:14" ht="12.75">
      <c r="A981" s="34"/>
      <c r="B981" s="34"/>
      <c r="C981" s="34"/>
      <c r="D981" s="188"/>
      <c r="E981" s="304"/>
      <c r="F981" s="34"/>
      <c r="G981" s="34"/>
      <c r="H981" s="34"/>
      <c r="I981" s="34"/>
      <c r="J981" s="44"/>
      <c r="K981" s="105"/>
      <c r="L981" s="34"/>
      <c r="M981" s="34"/>
      <c r="N981" s="34"/>
    </row>
    <row r="982" spans="1:14" ht="12.75">
      <c r="A982" s="34"/>
      <c r="B982" s="34"/>
      <c r="C982" s="34"/>
      <c r="D982" s="188"/>
      <c r="E982" s="304"/>
      <c r="F982" s="34"/>
      <c r="G982" s="34"/>
      <c r="H982" s="34"/>
      <c r="I982" s="34"/>
      <c r="J982" s="44"/>
      <c r="K982" s="105"/>
      <c r="L982" s="34"/>
      <c r="M982" s="34"/>
      <c r="N982" s="34"/>
    </row>
    <row r="983" spans="1:14" ht="12.75">
      <c r="A983" s="34"/>
      <c r="B983" s="34"/>
      <c r="C983" s="34"/>
      <c r="D983" s="188"/>
      <c r="E983" s="304"/>
      <c r="F983" s="34"/>
      <c r="G983" s="34"/>
      <c r="H983" s="34"/>
      <c r="I983" s="34"/>
      <c r="J983" s="44"/>
      <c r="K983" s="105"/>
      <c r="L983" s="34"/>
      <c r="M983" s="34"/>
      <c r="N983" s="34"/>
    </row>
    <row r="984" spans="1:14" ht="12.75">
      <c r="A984" s="34"/>
      <c r="B984" s="34"/>
      <c r="C984" s="34"/>
      <c r="D984" s="188"/>
      <c r="E984" s="304"/>
      <c r="F984" s="34"/>
      <c r="G984" s="34"/>
      <c r="H984" s="34"/>
      <c r="I984" s="34"/>
      <c r="J984" s="44"/>
      <c r="K984" s="105"/>
      <c r="L984" s="34"/>
      <c r="M984" s="34"/>
      <c r="N984" s="34"/>
    </row>
    <row r="985" spans="1:14" ht="12.75">
      <c r="A985" s="34"/>
      <c r="B985" s="34"/>
      <c r="C985" s="34"/>
      <c r="D985" s="188"/>
      <c r="E985" s="304"/>
      <c r="F985" s="34"/>
      <c r="G985" s="34"/>
      <c r="H985" s="34"/>
      <c r="I985" s="34"/>
      <c r="J985" s="44"/>
      <c r="K985" s="105"/>
      <c r="L985" s="34"/>
      <c r="M985" s="34"/>
      <c r="N985" s="34"/>
    </row>
    <row r="986" spans="1:14" ht="12.75">
      <c r="A986" s="34"/>
      <c r="B986" s="34"/>
      <c r="C986" s="34"/>
      <c r="D986" s="188"/>
      <c r="E986" s="304"/>
      <c r="F986" s="34"/>
      <c r="G986" s="34"/>
      <c r="H986" s="34"/>
      <c r="I986" s="34"/>
      <c r="J986" s="44"/>
      <c r="K986" s="105"/>
      <c r="L986" s="34"/>
      <c r="M986" s="34"/>
      <c r="N986" s="34"/>
    </row>
    <row r="987" spans="1:14" ht="12.75">
      <c r="A987" s="34"/>
      <c r="B987" s="34"/>
      <c r="C987" s="34"/>
      <c r="D987" s="188"/>
      <c r="E987" s="304"/>
      <c r="F987" s="34"/>
      <c r="G987" s="34"/>
      <c r="H987" s="34"/>
      <c r="I987" s="34"/>
      <c r="J987" s="44"/>
      <c r="K987" s="105"/>
      <c r="L987" s="34"/>
      <c r="M987" s="34"/>
      <c r="N987" s="34"/>
    </row>
    <row r="988" spans="1:14" ht="12.75">
      <c r="A988" s="34"/>
      <c r="B988" s="34"/>
      <c r="C988" s="34"/>
      <c r="D988" s="188"/>
      <c r="E988" s="304"/>
      <c r="F988" s="34"/>
      <c r="G988" s="34"/>
      <c r="H988" s="34"/>
      <c r="I988" s="34"/>
      <c r="J988" s="44"/>
      <c r="K988" s="105"/>
      <c r="L988" s="34"/>
      <c r="M988" s="34"/>
      <c r="N988" s="34"/>
    </row>
    <row r="989" spans="1:14" ht="12.75">
      <c r="A989" s="34"/>
      <c r="B989" s="34"/>
      <c r="C989" s="34"/>
      <c r="D989" s="188"/>
      <c r="E989" s="304"/>
      <c r="F989" s="34"/>
      <c r="G989" s="34"/>
      <c r="H989" s="34"/>
      <c r="I989" s="34"/>
      <c r="J989" s="44"/>
      <c r="K989" s="105"/>
      <c r="L989" s="34"/>
      <c r="M989" s="34"/>
      <c r="N989" s="34"/>
    </row>
    <row r="990" spans="1:14" ht="12.75">
      <c r="A990" s="34"/>
      <c r="B990" s="34"/>
      <c r="C990" s="34"/>
      <c r="D990" s="188"/>
      <c r="E990" s="304"/>
      <c r="F990" s="34"/>
      <c r="G990" s="34"/>
      <c r="H990" s="34"/>
      <c r="I990" s="34"/>
      <c r="J990" s="44"/>
      <c r="K990" s="105"/>
      <c r="L990" s="34"/>
      <c r="M990" s="34"/>
      <c r="N990" s="34"/>
    </row>
    <row r="991" spans="1:14" ht="12.75">
      <c r="A991" s="34"/>
      <c r="B991" s="34"/>
      <c r="C991" s="34"/>
      <c r="D991" s="188"/>
      <c r="E991" s="304"/>
      <c r="F991" s="34"/>
      <c r="G991" s="34"/>
      <c r="H991" s="34"/>
      <c r="I991" s="34"/>
      <c r="J991" s="44"/>
      <c r="K991" s="105"/>
      <c r="L991" s="34"/>
      <c r="M991" s="34"/>
      <c r="N991" s="34"/>
    </row>
    <row r="992" spans="1:14" ht="12.75">
      <c r="A992" s="34"/>
      <c r="B992" s="34"/>
      <c r="C992" s="34"/>
      <c r="D992" s="188"/>
      <c r="E992" s="304"/>
      <c r="F992" s="34"/>
      <c r="G992" s="34"/>
      <c r="H992" s="34"/>
      <c r="I992" s="34"/>
      <c r="J992" s="44"/>
      <c r="K992" s="105"/>
      <c r="L992" s="34"/>
      <c r="M992" s="34"/>
      <c r="N992" s="34"/>
    </row>
    <row r="993" spans="1:14" ht="12.75">
      <c r="A993" s="34"/>
      <c r="B993" s="34"/>
      <c r="C993" s="34"/>
      <c r="D993" s="188"/>
      <c r="E993" s="304"/>
      <c r="F993" s="34"/>
      <c r="G993" s="34"/>
      <c r="H993" s="34"/>
      <c r="I993" s="34"/>
      <c r="J993" s="44"/>
      <c r="K993" s="105"/>
      <c r="L993" s="34"/>
      <c r="M993" s="34"/>
      <c r="N993" s="34"/>
    </row>
    <row r="994" spans="1:14" ht="12.75">
      <c r="A994" s="34"/>
      <c r="B994" s="34"/>
      <c r="C994" s="34"/>
      <c r="D994" s="188"/>
      <c r="E994" s="304"/>
      <c r="F994" s="34"/>
      <c r="G994" s="34"/>
      <c r="H994" s="34"/>
      <c r="I994" s="34"/>
      <c r="J994" s="44"/>
      <c r="K994" s="105"/>
      <c r="L994" s="34"/>
      <c r="M994" s="34"/>
      <c r="N994" s="34"/>
    </row>
    <row r="995" spans="1:14" ht="12.75">
      <c r="A995" s="34"/>
      <c r="B995" s="34"/>
      <c r="C995" s="34"/>
      <c r="D995" s="188"/>
      <c r="E995" s="304"/>
      <c r="F995" s="34"/>
      <c r="G995" s="34"/>
      <c r="H995" s="34"/>
      <c r="I995" s="34"/>
      <c r="J995" s="44"/>
      <c r="K995" s="105"/>
      <c r="L995" s="34"/>
      <c r="M995" s="34"/>
      <c r="N995" s="34"/>
    </row>
    <row r="996" spans="1:14" ht="12.75">
      <c r="A996" s="34"/>
      <c r="B996" s="34"/>
      <c r="C996" s="34"/>
      <c r="D996" s="188"/>
      <c r="E996" s="304"/>
      <c r="F996" s="34"/>
      <c r="G996" s="34"/>
      <c r="H996" s="34"/>
      <c r="I996" s="34"/>
      <c r="J996" s="44"/>
      <c r="K996" s="105"/>
      <c r="L996" s="34"/>
      <c r="M996" s="34"/>
      <c r="N996" s="34"/>
    </row>
    <row r="997" spans="1:14" ht="12.75">
      <c r="A997" s="34"/>
      <c r="B997" s="34"/>
      <c r="C997" s="34"/>
      <c r="D997" s="188"/>
      <c r="E997" s="304"/>
      <c r="F997" s="34"/>
      <c r="G997" s="34"/>
      <c r="H997" s="34"/>
      <c r="I997" s="34"/>
      <c r="J997" s="44"/>
      <c r="K997" s="105"/>
      <c r="L997" s="34"/>
      <c r="M997" s="34"/>
      <c r="N997" s="34"/>
    </row>
    <row r="998" spans="1:14" ht="12.75">
      <c r="A998" s="34"/>
      <c r="B998" s="34"/>
      <c r="C998" s="34"/>
      <c r="D998" s="188"/>
      <c r="E998" s="304"/>
      <c r="F998" s="34"/>
      <c r="G998" s="34"/>
      <c r="H998" s="34"/>
      <c r="I998" s="34"/>
      <c r="J998" s="44"/>
      <c r="K998" s="105"/>
      <c r="L998" s="34"/>
      <c r="M998" s="34"/>
      <c r="N998" s="34"/>
    </row>
    <row r="999" spans="1:14" ht="12.75">
      <c r="A999" s="34"/>
      <c r="B999" s="34"/>
      <c r="C999" s="34"/>
      <c r="D999" s="188"/>
      <c r="E999" s="304"/>
      <c r="F999" s="34"/>
      <c r="G999" s="34"/>
      <c r="H999" s="34"/>
      <c r="I999" s="34"/>
      <c r="J999" s="44"/>
      <c r="K999" s="105"/>
      <c r="L999" s="34"/>
      <c r="M999" s="34"/>
      <c r="N999" s="34"/>
    </row>
    <row r="1000" spans="1:14" ht="12.75">
      <c r="A1000" s="34"/>
      <c r="B1000" s="34"/>
      <c r="C1000" s="34"/>
      <c r="D1000" s="188"/>
      <c r="E1000" s="304"/>
      <c r="F1000" s="34"/>
      <c r="G1000" s="34"/>
      <c r="H1000" s="34"/>
      <c r="I1000" s="34"/>
      <c r="J1000" s="44"/>
      <c r="K1000" s="105"/>
      <c r="L1000" s="34"/>
      <c r="M1000" s="34"/>
      <c r="N1000" s="34"/>
    </row>
  </sheetData>
  <hyperlinks>
    <hyperlink ref="C2" r:id="rId1" xr:uid="{00000000-0004-0000-2400-000000000000}"/>
    <hyperlink ref="C3" r:id="rId2" xr:uid="{00000000-0004-0000-2400-000001000000}"/>
    <hyperlink ref="C4" r:id="rId3" xr:uid="{00000000-0004-0000-2400-000002000000}"/>
    <hyperlink ref="C5" r:id="rId4" xr:uid="{00000000-0004-0000-2400-000003000000}"/>
    <hyperlink ref="C6" r:id="rId5" xr:uid="{00000000-0004-0000-2400-000004000000}"/>
    <hyperlink ref="C7" r:id="rId6" xr:uid="{00000000-0004-0000-2400-000005000000}"/>
    <hyperlink ref="C8" r:id="rId7" xr:uid="{00000000-0004-0000-2400-000006000000}"/>
    <hyperlink ref="C9" r:id="rId8" xr:uid="{00000000-0004-0000-2400-000007000000}"/>
    <hyperlink ref="C10" r:id="rId9" xr:uid="{00000000-0004-0000-2400-000008000000}"/>
    <hyperlink ref="C11" r:id="rId10" xr:uid="{00000000-0004-0000-2400-000009000000}"/>
    <hyperlink ref="C12" r:id="rId11" xr:uid="{00000000-0004-0000-2400-00000A000000}"/>
    <hyperlink ref="C13" r:id="rId12" xr:uid="{00000000-0004-0000-2400-00000B000000}"/>
    <hyperlink ref="C14" r:id="rId13" xr:uid="{00000000-0004-0000-2400-00000C000000}"/>
    <hyperlink ref="C15" r:id="rId14" xr:uid="{00000000-0004-0000-2400-00000D000000}"/>
    <hyperlink ref="C16" r:id="rId15" xr:uid="{00000000-0004-0000-2400-00000E000000}"/>
    <hyperlink ref="C17" r:id="rId16" xr:uid="{00000000-0004-0000-2400-00000F000000}"/>
    <hyperlink ref="C18" r:id="rId17" xr:uid="{00000000-0004-0000-2400-000010000000}"/>
    <hyperlink ref="C19" r:id="rId18" xr:uid="{00000000-0004-0000-2400-000011000000}"/>
    <hyperlink ref="C20" r:id="rId19" xr:uid="{00000000-0004-0000-2400-000012000000}"/>
    <hyperlink ref="C21" r:id="rId20" xr:uid="{00000000-0004-0000-2400-000013000000}"/>
    <hyperlink ref="C22" r:id="rId21" xr:uid="{00000000-0004-0000-2400-000014000000}"/>
    <hyperlink ref="C23" r:id="rId22" xr:uid="{00000000-0004-0000-2400-000015000000}"/>
    <hyperlink ref="C24" r:id="rId23" xr:uid="{00000000-0004-0000-2400-000016000000}"/>
    <hyperlink ref="C25" r:id="rId24" xr:uid="{00000000-0004-0000-2400-000017000000}"/>
    <hyperlink ref="C26" r:id="rId25" xr:uid="{00000000-0004-0000-2400-000018000000}"/>
    <hyperlink ref="C27" r:id="rId26" xr:uid="{00000000-0004-0000-2400-000019000000}"/>
    <hyperlink ref="C28" r:id="rId27" xr:uid="{00000000-0004-0000-2400-00001A000000}"/>
    <hyperlink ref="C29" r:id="rId28" xr:uid="{00000000-0004-0000-2400-00001B000000}"/>
    <hyperlink ref="C30" r:id="rId29" xr:uid="{00000000-0004-0000-2400-00001C000000}"/>
    <hyperlink ref="C31" r:id="rId30" xr:uid="{00000000-0004-0000-2400-00001D000000}"/>
    <hyperlink ref="C32" r:id="rId31" xr:uid="{00000000-0004-0000-2400-00001E000000}"/>
    <hyperlink ref="C33" r:id="rId32" xr:uid="{00000000-0004-0000-2400-00001F000000}"/>
    <hyperlink ref="C34" r:id="rId33" xr:uid="{00000000-0004-0000-2400-000020000000}"/>
    <hyperlink ref="C35" r:id="rId34" xr:uid="{00000000-0004-0000-2400-000021000000}"/>
    <hyperlink ref="C36" r:id="rId35" xr:uid="{00000000-0004-0000-2400-000022000000}"/>
    <hyperlink ref="C37" r:id="rId36" xr:uid="{00000000-0004-0000-2400-000023000000}"/>
    <hyperlink ref="C38" r:id="rId37" xr:uid="{00000000-0004-0000-2400-000024000000}"/>
    <hyperlink ref="C39" r:id="rId38" xr:uid="{00000000-0004-0000-2400-000025000000}"/>
    <hyperlink ref="C40" r:id="rId39" xr:uid="{00000000-0004-0000-2400-000026000000}"/>
    <hyperlink ref="C41" r:id="rId40" xr:uid="{00000000-0004-0000-2400-000027000000}"/>
    <hyperlink ref="C42" r:id="rId41" xr:uid="{00000000-0004-0000-2400-000028000000}"/>
    <hyperlink ref="C43" r:id="rId42" xr:uid="{00000000-0004-0000-2400-000029000000}"/>
    <hyperlink ref="C44" r:id="rId43" xr:uid="{00000000-0004-0000-2400-00002A000000}"/>
    <hyperlink ref="C45" r:id="rId44" xr:uid="{00000000-0004-0000-2400-00002B000000}"/>
    <hyperlink ref="C46" r:id="rId45" xr:uid="{00000000-0004-0000-2400-00002C000000}"/>
    <hyperlink ref="C47" r:id="rId46" xr:uid="{00000000-0004-0000-2400-00002D000000}"/>
    <hyperlink ref="C48" r:id="rId47" xr:uid="{00000000-0004-0000-2400-00002E000000}"/>
    <hyperlink ref="C49" r:id="rId48" xr:uid="{00000000-0004-0000-2400-00002F000000}"/>
    <hyperlink ref="C50" r:id="rId49" xr:uid="{00000000-0004-0000-2400-000030000000}"/>
    <hyperlink ref="C51" r:id="rId50" xr:uid="{00000000-0004-0000-2400-000031000000}"/>
    <hyperlink ref="C52" r:id="rId51" xr:uid="{00000000-0004-0000-2400-000032000000}"/>
    <hyperlink ref="C53" r:id="rId52" xr:uid="{00000000-0004-0000-2400-000033000000}"/>
    <hyperlink ref="C54" r:id="rId53" xr:uid="{00000000-0004-0000-2400-000034000000}"/>
    <hyperlink ref="C55" r:id="rId54" xr:uid="{00000000-0004-0000-2400-000035000000}"/>
    <hyperlink ref="C56" r:id="rId55" xr:uid="{00000000-0004-0000-2400-000036000000}"/>
    <hyperlink ref="C57" r:id="rId56" xr:uid="{00000000-0004-0000-2400-000037000000}"/>
    <hyperlink ref="C58" r:id="rId57" xr:uid="{00000000-0004-0000-2400-000038000000}"/>
    <hyperlink ref="C59" r:id="rId58" xr:uid="{00000000-0004-0000-2400-000039000000}"/>
    <hyperlink ref="C60" r:id="rId59" xr:uid="{00000000-0004-0000-2400-00003A000000}"/>
    <hyperlink ref="C61" r:id="rId60" xr:uid="{00000000-0004-0000-2400-00003B000000}"/>
    <hyperlink ref="C62" r:id="rId61" xr:uid="{00000000-0004-0000-2400-00003C000000}"/>
    <hyperlink ref="C63" r:id="rId62" xr:uid="{00000000-0004-0000-2400-00003D000000}"/>
    <hyperlink ref="C64" r:id="rId63" xr:uid="{00000000-0004-0000-2400-00003E000000}"/>
    <hyperlink ref="C65" r:id="rId64" xr:uid="{00000000-0004-0000-2400-00003F000000}"/>
    <hyperlink ref="C66" r:id="rId65" xr:uid="{00000000-0004-0000-2400-000040000000}"/>
    <hyperlink ref="C67" r:id="rId66" xr:uid="{00000000-0004-0000-2400-000041000000}"/>
    <hyperlink ref="C68" r:id="rId67" xr:uid="{00000000-0004-0000-2400-000042000000}"/>
    <hyperlink ref="C69" r:id="rId68" xr:uid="{00000000-0004-0000-2400-000043000000}"/>
    <hyperlink ref="C70" r:id="rId69" xr:uid="{00000000-0004-0000-2400-000044000000}"/>
    <hyperlink ref="C71" r:id="rId70" xr:uid="{00000000-0004-0000-2400-000045000000}"/>
    <hyperlink ref="C72" r:id="rId71" xr:uid="{00000000-0004-0000-2400-000046000000}"/>
    <hyperlink ref="C73" r:id="rId72" xr:uid="{00000000-0004-0000-2400-000047000000}"/>
    <hyperlink ref="C74" r:id="rId73" xr:uid="{00000000-0004-0000-2400-000048000000}"/>
    <hyperlink ref="C75" r:id="rId74" xr:uid="{00000000-0004-0000-2400-000049000000}"/>
    <hyperlink ref="C76" r:id="rId75" xr:uid="{00000000-0004-0000-2400-00004A000000}"/>
    <hyperlink ref="C77" r:id="rId76" xr:uid="{00000000-0004-0000-2400-00004B000000}"/>
    <hyperlink ref="C78" r:id="rId77" xr:uid="{00000000-0004-0000-2400-00004C000000}"/>
    <hyperlink ref="C79" r:id="rId78" xr:uid="{00000000-0004-0000-2400-00004D000000}"/>
    <hyperlink ref="C80" r:id="rId79" xr:uid="{00000000-0004-0000-2400-00004E000000}"/>
    <hyperlink ref="C81" r:id="rId80" xr:uid="{00000000-0004-0000-2400-00004F000000}"/>
    <hyperlink ref="C82" r:id="rId81" xr:uid="{00000000-0004-0000-2400-000050000000}"/>
    <hyperlink ref="C83" r:id="rId82" xr:uid="{00000000-0004-0000-2400-000051000000}"/>
    <hyperlink ref="C84" r:id="rId83" xr:uid="{00000000-0004-0000-2400-000052000000}"/>
    <hyperlink ref="C85" r:id="rId84" xr:uid="{00000000-0004-0000-2400-000053000000}"/>
    <hyperlink ref="C86" r:id="rId85" xr:uid="{00000000-0004-0000-2400-000054000000}"/>
    <hyperlink ref="C87" r:id="rId86" xr:uid="{00000000-0004-0000-2400-000055000000}"/>
    <hyperlink ref="C88" r:id="rId87" xr:uid="{00000000-0004-0000-2400-000056000000}"/>
    <hyperlink ref="C89" r:id="rId88" xr:uid="{00000000-0004-0000-2400-000057000000}"/>
    <hyperlink ref="C90" r:id="rId89" xr:uid="{00000000-0004-0000-2400-000058000000}"/>
    <hyperlink ref="C91" r:id="rId90" xr:uid="{00000000-0004-0000-2400-000059000000}"/>
    <hyperlink ref="C92" r:id="rId91" xr:uid="{00000000-0004-0000-2400-00005A000000}"/>
    <hyperlink ref="C93" r:id="rId92" xr:uid="{00000000-0004-0000-2400-00005B000000}"/>
    <hyperlink ref="C94" r:id="rId93" xr:uid="{00000000-0004-0000-2400-00005C000000}"/>
    <hyperlink ref="C95" r:id="rId94" xr:uid="{00000000-0004-0000-2400-00005D000000}"/>
    <hyperlink ref="C96" r:id="rId95" xr:uid="{00000000-0004-0000-2400-00005E000000}"/>
    <hyperlink ref="C97" r:id="rId96" xr:uid="{00000000-0004-0000-2400-00005F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AC100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6.140625" customWidth="1"/>
    <col min="2" max="3" width="47.7109375" customWidth="1"/>
    <col min="4" max="4" width="50.42578125" customWidth="1"/>
    <col min="5" max="5" width="46" customWidth="1"/>
    <col min="6" max="6" width="63.85546875" customWidth="1"/>
    <col min="7" max="7" width="21.42578125" customWidth="1"/>
    <col min="8" max="8" width="34.7109375" customWidth="1"/>
    <col min="9" max="9" width="60.7109375" customWidth="1"/>
    <col min="10" max="10" width="17.85546875" customWidth="1"/>
    <col min="11" max="11" width="13.7109375" customWidth="1"/>
    <col min="12" max="12" width="28.28515625" customWidth="1"/>
    <col min="13" max="14" width="19.5703125" customWidth="1"/>
  </cols>
  <sheetData>
    <row r="1" spans="1:29" ht="26.25" customHeight="1">
      <c r="A1" s="275" t="s">
        <v>6259</v>
      </c>
      <c r="B1" s="275" t="s">
        <v>9293</v>
      </c>
      <c r="C1" s="579" t="s">
        <v>5630</v>
      </c>
      <c r="D1" s="275" t="s">
        <v>6</v>
      </c>
      <c r="E1" s="275" t="s">
        <v>1822</v>
      </c>
      <c r="F1" s="275" t="s">
        <v>7</v>
      </c>
      <c r="G1" s="275" t="s">
        <v>7388</v>
      </c>
      <c r="H1" s="275" t="s">
        <v>8</v>
      </c>
      <c r="I1" s="275" t="s">
        <v>5627</v>
      </c>
      <c r="J1" s="275" t="s">
        <v>389</v>
      </c>
      <c r="K1" s="275" t="s">
        <v>4</v>
      </c>
      <c r="L1" s="275" t="s">
        <v>6060</v>
      </c>
      <c r="M1" s="275" t="s">
        <v>6413</v>
      </c>
      <c r="N1" s="275" t="s">
        <v>1821</v>
      </c>
      <c r="O1" s="34"/>
      <c r="P1" s="34"/>
      <c r="Q1" s="34"/>
      <c r="R1" s="34"/>
      <c r="S1" s="34"/>
      <c r="T1" s="34"/>
      <c r="U1" s="34"/>
      <c r="V1" s="34"/>
      <c r="W1" s="34"/>
      <c r="X1" s="34"/>
      <c r="Y1" s="34"/>
      <c r="Z1" s="34"/>
      <c r="AA1" s="34"/>
      <c r="AB1" s="34"/>
      <c r="AC1" s="34"/>
    </row>
    <row r="2" spans="1:29" ht="36.75" customHeight="1">
      <c r="A2" s="581">
        <v>37257</v>
      </c>
      <c r="B2" s="583" t="s">
        <v>11466</v>
      </c>
      <c r="C2" s="609" t="s">
        <v>11467</v>
      </c>
      <c r="D2" s="583" t="s">
        <v>11468</v>
      </c>
      <c r="E2" s="584"/>
      <c r="F2" s="583" t="s">
        <v>11469</v>
      </c>
      <c r="G2" s="34" t="s">
        <v>6132</v>
      </c>
      <c r="H2" s="583" t="s">
        <v>11470</v>
      </c>
      <c r="I2" s="34" t="s">
        <v>11471</v>
      </c>
      <c r="J2" s="34" t="s">
        <v>6872</v>
      </c>
      <c r="K2" s="105"/>
      <c r="L2" s="34" t="s">
        <v>6941</v>
      </c>
      <c r="M2" s="34"/>
      <c r="N2" s="34" t="s">
        <v>1828</v>
      </c>
      <c r="O2" s="105"/>
      <c r="P2" s="105"/>
      <c r="Q2" s="105"/>
      <c r="R2" s="105"/>
      <c r="S2" s="105"/>
      <c r="T2" s="105"/>
      <c r="U2" s="105"/>
      <c r="V2" s="105"/>
      <c r="W2" s="105"/>
      <c r="X2" s="105"/>
      <c r="Y2" s="105"/>
      <c r="Z2" s="105"/>
      <c r="AA2" s="105"/>
      <c r="AB2" s="105"/>
      <c r="AC2" s="105"/>
    </row>
    <row r="3" spans="1:29" ht="51">
      <c r="A3" s="581">
        <v>37288</v>
      </c>
      <c r="B3" s="583" t="s">
        <v>11466</v>
      </c>
      <c r="C3" s="609" t="s">
        <v>11472</v>
      </c>
      <c r="D3" s="583" t="s">
        <v>11473</v>
      </c>
      <c r="E3" s="584"/>
      <c r="F3" s="583" t="s">
        <v>11474</v>
      </c>
      <c r="G3" s="34" t="s">
        <v>6132</v>
      </c>
      <c r="H3" s="583" t="s">
        <v>11470</v>
      </c>
      <c r="I3" s="34" t="s">
        <v>2453</v>
      </c>
      <c r="J3" s="34" t="s">
        <v>6872</v>
      </c>
      <c r="K3" s="105"/>
      <c r="L3" s="34" t="s">
        <v>6933</v>
      </c>
      <c r="M3" s="34"/>
      <c r="N3" s="34" t="s">
        <v>1828</v>
      </c>
      <c r="O3" s="105"/>
      <c r="P3" s="105"/>
      <c r="Q3" s="105"/>
      <c r="R3" s="105"/>
      <c r="S3" s="105"/>
      <c r="T3" s="105"/>
      <c r="U3" s="105"/>
      <c r="V3" s="105"/>
      <c r="W3" s="105"/>
      <c r="X3" s="105"/>
      <c r="Y3" s="105"/>
      <c r="Z3" s="105"/>
      <c r="AA3" s="105"/>
      <c r="AB3" s="105"/>
      <c r="AC3" s="105"/>
    </row>
    <row r="4" spans="1:29" ht="63.75">
      <c r="A4" s="581">
        <v>37316</v>
      </c>
      <c r="B4" s="583" t="s">
        <v>11466</v>
      </c>
      <c r="C4" s="609" t="s">
        <v>11475</v>
      </c>
      <c r="D4" s="34" t="s">
        <v>11476</v>
      </c>
      <c r="E4" s="188"/>
      <c r="F4" s="34" t="s">
        <v>11477</v>
      </c>
      <c r="G4" s="509" t="s">
        <v>1808</v>
      </c>
      <c r="H4" s="589" t="s">
        <v>11478</v>
      </c>
      <c r="I4" s="34" t="s">
        <v>11479</v>
      </c>
      <c r="J4" s="34" t="s">
        <v>6872</v>
      </c>
      <c r="K4" s="105"/>
      <c r="L4" s="34" t="s">
        <v>6137</v>
      </c>
      <c r="M4" s="34"/>
      <c r="N4" s="34" t="s">
        <v>2467</v>
      </c>
      <c r="O4" s="105"/>
      <c r="P4" s="105"/>
      <c r="Q4" s="105"/>
      <c r="R4" s="105"/>
      <c r="S4" s="105"/>
      <c r="T4" s="105"/>
      <c r="U4" s="105"/>
      <c r="V4" s="105"/>
      <c r="W4" s="105"/>
      <c r="X4" s="105"/>
      <c r="Y4" s="105"/>
      <c r="Z4" s="105"/>
      <c r="AA4" s="105"/>
      <c r="AB4" s="105"/>
      <c r="AC4" s="105"/>
    </row>
    <row r="5" spans="1:29" ht="53.25" customHeight="1">
      <c r="A5" s="581">
        <v>37347</v>
      </c>
      <c r="B5" s="583" t="s">
        <v>11466</v>
      </c>
      <c r="C5" s="609" t="s">
        <v>11480</v>
      </c>
      <c r="D5" s="34" t="s">
        <v>11481</v>
      </c>
      <c r="E5" s="188"/>
      <c r="F5" s="583" t="s">
        <v>10702</v>
      </c>
      <c r="G5" s="509" t="s">
        <v>1808</v>
      </c>
      <c r="H5" s="398" t="s">
        <v>11130</v>
      </c>
      <c r="I5" s="66">
        <v>815500</v>
      </c>
      <c r="J5" s="34" t="s">
        <v>6872</v>
      </c>
      <c r="K5" s="105"/>
      <c r="L5" s="34" t="s">
        <v>7712</v>
      </c>
      <c r="M5" s="34"/>
      <c r="N5" s="34" t="s">
        <v>6783</v>
      </c>
      <c r="O5" s="105"/>
      <c r="P5" s="105"/>
      <c r="Q5" s="105"/>
      <c r="R5" s="105"/>
      <c r="S5" s="105"/>
      <c r="T5" s="105"/>
      <c r="U5" s="105"/>
      <c r="V5" s="105"/>
      <c r="W5" s="105"/>
      <c r="X5" s="105"/>
      <c r="Y5" s="105"/>
      <c r="Z5" s="105"/>
      <c r="AA5" s="105"/>
      <c r="AB5" s="105"/>
      <c r="AC5" s="105"/>
    </row>
    <row r="6" spans="1:29" ht="32.25" customHeight="1">
      <c r="A6" s="581">
        <v>37377</v>
      </c>
      <c r="B6" s="583" t="s">
        <v>11466</v>
      </c>
      <c r="C6" s="609" t="s">
        <v>11482</v>
      </c>
      <c r="D6" s="34" t="s">
        <v>11483</v>
      </c>
      <c r="E6" s="188"/>
      <c r="F6" s="34" t="s">
        <v>11484</v>
      </c>
      <c r="G6" s="34" t="s">
        <v>6132</v>
      </c>
      <c r="H6" s="583" t="s">
        <v>11470</v>
      </c>
      <c r="I6" s="66">
        <v>17629</v>
      </c>
      <c r="J6" s="34" t="s">
        <v>6872</v>
      </c>
      <c r="K6" s="105"/>
      <c r="L6" s="34" t="s">
        <v>6137</v>
      </c>
      <c r="M6" s="34"/>
      <c r="N6" s="34" t="s">
        <v>1828</v>
      </c>
      <c r="O6" s="105"/>
      <c r="P6" s="105"/>
      <c r="Q6" s="105"/>
      <c r="R6" s="105"/>
      <c r="S6" s="105"/>
      <c r="T6" s="105"/>
      <c r="U6" s="105"/>
      <c r="V6" s="105"/>
      <c r="W6" s="105"/>
      <c r="X6" s="105"/>
      <c r="Y6" s="105"/>
      <c r="Z6" s="105"/>
      <c r="AA6" s="105"/>
      <c r="AB6" s="105"/>
      <c r="AC6" s="105"/>
    </row>
    <row r="7" spans="1:29" ht="25.5">
      <c r="A7" s="581">
        <v>37408</v>
      </c>
      <c r="B7" s="583" t="s">
        <v>11466</v>
      </c>
      <c r="C7" s="609" t="s">
        <v>11485</v>
      </c>
      <c r="D7" s="34" t="s">
        <v>11486</v>
      </c>
      <c r="E7" s="188"/>
      <c r="F7" s="398" t="s">
        <v>11487</v>
      </c>
      <c r="G7" s="34" t="s">
        <v>6132</v>
      </c>
      <c r="H7" s="583" t="s">
        <v>11470</v>
      </c>
      <c r="I7" s="34" t="s">
        <v>11488</v>
      </c>
      <c r="J7" s="34" t="s">
        <v>6872</v>
      </c>
      <c r="K7" s="105"/>
      <c r="L7" s="34" t="s">
        <v>6217</v>
      </c>
      <c r="M7" s="34"/>
      <c r="N7" s="34" t="s">
        <v>1828</v>
      </c>
      <c r="O7" s="105"/>
      <c r="P7" s="105"/>
      <c r="Q7" s="105"/>
      <c r="R7" s="105"/>
      <c r="S7" s="105"/>
      <c r="T7" s="105"/>
      <c r="U7" s="105"/>
      <c r="V7" s="105"/>
      <c r="W7" s="105"/>
      <c r="X7" s="105"/>
      <c r="Y7" s="105"/>
      <c r="Z7" s="105"/>
      <c r="AA7" s="105"/>
      <c r="AB7" s="105"/>
      <c r="AC7" s="105"/>
    </row>
    <row r="8" spans="1:29" ht="25.5">
      <c r="A8" s="581">
        <v>37438</v>
      </c>
      <c r="B8" s="583" t="s">
        <v>11466</v>
      </c>
      <c r="C8" s="609" t="s">
        <v>11489</v>
      </c>
      <c r="D8" s="583" t="s">
        <v>11490</v>
      </c>
      <c r="E8" s="584"/>
      <c r="F8" s="34" t="s">
        <v>565</v>
      </c>
      <c r="G8" s="509" t="s">
        <v>1808</v>
      </c>
      <c r="H8" s="620" t="s">
        <v>11491</v>
      </c>
      <c r="I8" s="66">
        <v>36720</v>
      </c>
      <c r="J8" s="34" t="s">
        <v>6872</v>
      </c>
      <c r="K8" s="105"/>
      <c r="L8" s="34" t="s">
        <v>11492</v>
      </c>
      <c r="M8" s="34" t="s">
        <v>1824</v>
      </c>
      <c r="N8" s="34" t="s">
        <v>2611</v>
      </c>
      <c r="O8" s="105"/>
      <c r="P8" s="105"/>
      <c r="Q8" s="105"/>
      <c r="R8" s="105"/>
      <c r="S8" s="105"/>
      <c r="T8" s="105"/>
      <c r="U8" s="105"/>
      <c r="V8" s="105"/>
      <c r="W8" s="105"/>
      <c r="X8" s="105"/>
      <c r="Y8" s="105"/>
      <c r="Z8" s="105"/>
      <c r="AA8" s="105"/>
      <c r="AB8" s="105"/>
      <c r="AC8" s="105"/>
    </row>
    <row r="9" spans="1:29" ht="25.5">
      <c r="A9" s="581">
        <v>37469</v>
      </c>
      <c r="B9" s="583" t="s">
        <v>11466</v>
      </c>
      <c r="C9" s="609" t="s">
        <v>11493</v>
      </c>
      <c r="D9" s="583" t="s">
        <v>11494</v>
      </c>
      <c r="E9" s="584"/>
      <c r="F9" s="34" t="s">
        <v>11495</v>
      </c>
      <c r="G9" s="34" t="s">
        <v>6132</v>
      </c>
      <c r="H9" s="583" t="s">
        <v>11470</v>
      </c>
      <c r="I9" s="34" t="s">
        <v>2453</v>
      </c>
      <c r="J9" s="34" t="s">
        <v>6872</v>
      </c>
      <c r="K9" s="105"/>
      <c r="L9" s="34" t="s">
        <v>6217</v>
      </c>
      <c r="M9" s="34"/>
      <c r="N9" s="34" t="s">
        <v>1828</v>
      </c>
      <c r="O9" s="105"/>
      <c r="P9" s="105"/>
      <c r="Q9" s="105"/>
      <c r="R9" s="105"/>
      <c r="S9" s="105"/>
      <c r="T9" s="105"/>
      <c r="U9" s="105"/>
      <c r="V9" s="105"/>
      <c r="W9" s="105"/>
      <c r="X9" s="105"/>
      <c r="Y9" s="105"/>
      <c r="Z9" s="105"/>
      <c r="AA9" s="105"/>
      <c r="AB9" s="105"/>
      <c r="AC9" s="105"/>
    </row>
    <row r="10" spans="1:29" ht="25.5">
      <c r="A10" s="581">
        <v>37500</v>
      </c>
      <c r="B10" s="583" t="s">
        <v>11466</v>
      </c>
      <c r="C10" s="609" t="s">
        <v>11496</v>
      </c>
      <c r="D10" s="583" t="s">
        <v>11497</v>
      </c>
      <c r="E10" s="584"/>
      <c r="F10" s="583" t="s">
        <v>11498</v>
      </c>
      <c r="G10" s="34" t="s">
        <v>6132</v>
      </c>
      <c r="H10" s="583" t="s">
        <v>11470</v>
      </c>
      <c r="I10" s="583" t="s">
        <v>2453</v>
      </c>
      <c r="J10" s="34" t="s">
        <v>6872</v>
      </c>
      <c r="K10" s="105"/>
      <c r="L10" s="34" t="s">
        <v>6217</v>
      </c>
      <c r="M10" s="34"/>
      <c r="N10" s="34" t="s">
        <v>1828</v>
      </c>
      <c r="O10" s="105"/>
      <c r="P10" s="105"/>
      <c r="Q10" s="105"/>
      <c r="R10" s="105"/>
      <c r="S10" s="105"/>
      <c r="T10" s="105"/>
      <c r="U10" s="105"/>
      <c r="V10" s="105"/>
      <c r="W10" s="105"/>
      <c r="X10" s="105"/>
      <c r="Y10" s="105"/>
      <c r="Z10" s="105"/>
      <c r="AA10" s="105"/>
      <c r="AB10" s="105"/>
      <c r="AC10" s="105"/>
    </row>
    <row r="11" spans="1:29" ht="25.5">
      <c r="A11" s="587">
        <v>37530</v>
      </c>
      <c r="B11" s="583" t="s">
        <v>11466</v>
      </c>
      <c r="C11" s="609" t="s">
        <v>11499</v>
      </c>
      <c r="D11" s="34" t="s">
        <v>11500</v>
      </c>
      <c r="E11" s="188"/>
      <c r="F11" s="34" t="s">
        <v>11501</v>
      </c>
      <c r="G11" s="509" t="s">
        <v>1808</v>
      </c>
      <c r="H11" s="589" t="s">
        <v>11502</v>
      </c>
      <c r="I11" s="621">
        <v>185000</v>
      </c>
      <c r="J11" s="583" t="s">
        <v>6872</v>
      </c>
      <c r="K11" s="105"/>
      <c r="L11" s="34" t="s">
        <v>6217</v>
      </c>
      <c r="M11" s="34"/>
      <c r="N11" s="34" t="s">
        <v>1828</v>
      </c>
      <c r="O11" s="105"/>
      <c r="P11" s="105"/>
      <c r="Q11" s="105"/>
      <c r="R11" s="105"/>
      <c r="S11" s="105"/>
      <c r="T11" s="105"/>
      <c r="U11" s="105"/>
      <c r="V11" s="105"/>
      <c r="W11" s="105"/>
      <c r="X11" s="105"/>
      <c r="Y11" s="105"/>
      <c r="Z11" s="105"/>
      <c r="AA11" s="105"/>
      <c r="AB11" s="105"/>
      <c r="AC11" s="105"/>
    </row>
    <row r="12" spans="1:29" ht="38.25">
      <c r="A12" s="587">
        <v>37561</v>
      </c>
      <c r="B12" s="583" t="s">
        <v>11466</v>
      </c>
      <c r="C12" s="609" t="s">
        <v>11503</v>
      </c>
      <c r="D12" s="34" t="s">
        <v>11504</v>
      </c>
      <c r="E12" s="188"/>
      <c r="F12" s="583" t="s">
        <v>11505</v>
      </c>
      <c r="G12" s="34" t="s">
        <v>6132</v>
      </c>
      <c r="H12" s="34" t="s">
        <v>11506</v>
      </c>
      <c r="I12" s="65">
        <v>13700</v>
      </c>
      <c r="J12" s="583" t="s">
        <v>6872</v>
      </c>
      <c r="K12" s="105"/>
      <c r="L12" s="34" t="s">
        <v>6933</v>
      </c>
      <c r="M12" s="34"/>
      <c r="N12" s="34" t="s">
        <v>1828</v>
      </c>
      <c r="O12" s="105"/>
      <c r="P12" s="105"/>
      <c r="Q12" s="105"/>
      <c r="R12" s="105"/>
      <c r="S12" s="105"/>
      <c r="T12" s="105"/>
      <c r="U12" s="105"/>
      <c r="V12" s="105"/>
      <c r="W12" s="105"/>
      <c r="X12" s="105"/>
      <c r="Y12" s="105"/>
      <c r="Z12" s="105"/>
      <c r="AA12" s="105"/>
      <c r="AB12" s="105"/>
      <c r="AC12" s="105"/>
    </row>
    <row r="13" spans="1:29" ht="25.5">
      <c r="A13" s="587">
        <v>37591</v>
      </c>
      <c r="B13" s="583" t="s">
        <v>11466</v>
      </c>
      <c r="C13" s="609" t="s">
        <v>11507</v>
      </c>
      <c r="D13" s="34" t="s">
        <v>11508</v>
      </c>
      <c r="E13" s="188"/>
      <c r="F13" s="34" t="s">
        <v>11509</v>
      </c>
      <c r="G13" s="34" t="s">
        <v>6132</v>
      </c>
      <c r="H13" s="34" t="s">
        <v>11506</v>
      </c>
      <c r="I13" s="34" t="s">
        <v>11510</v>
      </c>
      <c r="J13" s="34" t="s">
        <v>6872</v>
      </c>
      <c r="K13" s="105"/>
      <c r="L13" s="34" t="s">
        <v>6104</v>
      </c>
      <c r="M13" s="34"/>
      <c r="N13" s="34" t="s">
        <v>1828</v>
      </c>
      <c r="O13" s="105"/>
      <c r="P13" s="105"/>
      <c r="Q13" s="105"/>
      <c r="R13" s="105"/>
      <c r="S13" s="105"/>
      <c r="T13" s="105"/>
      <c r="U13" s="105"/>
      <c r="V13" s="105"/>
      <c r="W13" s="105"/>
      <c r="X13" s="105"/>
      <c r="Y13" s="105"/>
      <c r="Z13" s="105"/>
      <c r="AA13" s="105"/>
      <c r="AB13" s="105"/>
      <c r="AC13" s="105"/>
    </row>
    <row r="14" spans="1:29" ht="25.5">
      <c r="A14" s="34" t="s">
        <v>11511</v>
      </c>
      <c r="B14" s="583" t="s">
        <v>11466</v>
      </c>
      <c r="C14" s="609" t="s">
        <v>11512</v>
      </c>
      <c r="D14" s="34" t="s">
        <v>11513</v>
      </c>
      <c r="E14" s="188"/>
      <c r="F14" s="34" t="s">
        <v>11514</v>
      </c>
      <c r="G14" s="34" t="s">
        <v>6179</v>
      </c>
      <c r="H14" s="34" t="s">
        <v>11506</v>
      </c>
      <c r="I14" s="34" t="s">
        <v>11515</v>
      </c>
      <c r="J14" s="34" t="s">
        <v>6872</v>
      </c>
      <c r="K14" s="105"/>
      <c r="L14" s="34" t="s">
        <v>6104</v>
      </c>
      <c r="M14" s="34"/>
      <c r="N14" s="34" t="s">
        <v>1828</v>
      </c>
      <c r="O14" s="105"/>
      <c r="P14" s="105"/>
      <c r="Q14" s="105"/>
      <c r="R14" s="105"/>
      <c r="S14" s="105"/>
      <c r="T14" s="105"/>
      <c r="U14" s="105"/>
      <c r="V14" s="105"/>
      <c r="W14" s="105"/>
      <c r="X14" s="105"/>
      <c r="Y14" s="105"/>
      <c r="Z14" s="105"/>
      <c r="AA14" s="105"/>
      <c r="AB14" s="105"/>
      <c r="AC14" s="105"/>
    </row>
    <row r="15" spans="1:29" ht="63.75">
      <c r="A15" s="34" t="s">
        <v>11516</v>
      </c>
      <c r="B15" s="583" t="s">
        <v>11466</v>
      </c>
      <c r="C15" s="609" t="s">
        <v>11517</v>
      </c>
      <c r="D15" s="34" t="s">
        <v>11518</v>
      </c>
      <c r="E15" s="188"/>
      <c r="F15" s="34" t="s">
        <v>11519</v>
      </c>
      <c r="G15" s="34" t="s">
        <v>6132</v>
      </c>
      <c r="H15" s="34" t="s">
        <v>11506</v>
      </c>
      <c r="I15" s="34" t="s">
        <v>2453</v>
      </c>
      <c r="J15" s="34" t="s">
        <v>6872</v>
      </c>
      <c r="K15" s="105"/>
      <c r="L15" s="34" t="s">
        <v>6941</v>
      </c>
      <c r="M15" s="34"/>
      <c r="N15" s="34" t="s">
        <v>1828</v>
      </c>
      <c r="O15" s="105"/>
      <c r="P15" s="105"/>
      <c r="Q15" s="105"/>
      <c r="R15" s="105"/>
      <c r="S15" s="105"/>
      <c r="T15" s="105"/>
      <c r="U15" s="105"/>
      <c r="V15" s="105"/>
      <c r="W15" s="105"/>
      <c r="X15" s="105"/>
      <c r="Y15" s="105"/>
      <c r="Z15" s="105"/>
      <c r="AA15" s="105"/>
      <c r="AB15" s="105"/>
      <c r="AC15" s="105"/>
    </row>
    <row r="16" spans="1:29" ht="25.5">
      <c r="A16" s="34" t="s">
        <v>11520</v>
      </c>
      <c r="B16" s="583" t="s">
        <v>11466</v>
      </c>
      <c r="C16" s="609" t="s">
        <v>11521</v>
      </c>
      <c r="D16" s="34" t="s">
        <v>11522</v>
      </c>
      <c r="E16" s="188"/>
      <c r="F16" s="34" t="s">
        <v>11523</v>
      </c>
      <c r="G16" s="34" t="s">
        <v>6132</v>
      </c>
      <c r="H16" s="34" t="s">
        <v>11506</v>
      </c>
      <c r="I16" s="34" t="s">
        <v>2453</v>
      </c>
      <c r="J16" s="34" t="s">
        <v>6872</v>
      </c>
      <c r="K16" s="105"/>
      <c r="L16" s="34" t="s">
        <v>6104</v>
      </c>
      <c r="M16" s="34"/>
      <c r="N16" s="34" t="s">
        <v>1828</v>
      </c>
      <c r="O16" s="105"/>
      <c r="P16" s="105"/>
      <c r="Q16" s="105"/>
      <c r="R16" s="105"/>
      <c r="S16" s="105"/>
      <c r="T16" s="105"/>
      <c r="U16" s="105"/>
      <c r="V16" s="105"/>
      <c r="W16" s="105"/>
      <c r="X16" s="105"/>
      <c r="Y16" s="105"/>
      <c r="Z16" s="105"/>
      <c r="AA16" s="105"/>
      <c r="AB16" s="105"/>
      <c r="AC16" s="105"/>
    </row>
    <row r="17" spans="1:29" ht="25.5">
      <c r="A17" s="34" t="s">
        <v>11524</v>
      </c>
      <c r="B17" s="583" t="s">
        <v>11466</v>
      </c>
      <c r="C17" s="609" t="s">
        <v>11525</v>
      </c>
      <c r="D17" s="583" t="s">
        <v>11526</v>
      </c>
      <c r="E17" s="584"/>
      <c r="F17" s="583" t="s">
        <v>11527</v>
      </c>
      <c r="G17" s="509" t="s">
        <v>1808</v>
      </c>
      <c r="H17" s="34" t="s">
        <v>11506</v>
      </c>
      <c r="I17" s="66">
        <v>116000</v>
      </c>
      <c r="J17" s="34" t="s">
        <v>6872</v>
      </c>
      <c r="K17" s="105"/>
      <c r="L17" s="34" t="s">
        <v>6933</v>
      </c>
      <c r="M17" s="34" t="s">
        <v>1824</v>
      </c>
      <c r="N17" s="34" t="s">
        <v>1828</v>
      </c>
      <c r="O17" s="105"/>
      <c r="P17" s="105"/>
      <c r="Q17" s="105"/>
      <c r="R17" s="105"/>
      <c r="S17" s="105"/>
      <c r="T17" s="105"/>
      <c r="U17" s="105"/>
      <c r="V17" s="105"/>
      <c r="W17" s="105"/>
      <c r="X17" s="105"/>
      <c r="Y17" s="105"/>
      <c r="Z17" s="105"/>
      <c r="AA17" s="105"/>
      <c r="AB17" s="105"/>
      <c r="AC17" s="105"/>
    </row>
    <row r="18" spans="1:29" ht="25.5">
      <c r="A18" s="34" t="s">
        <v>11528</v>
      </c>
      <c r="B18" s="583" t="s">
        <v>11466</v>
      </c>
      <c r="C18" s="582" t="s">
        <v>11529</v>
      </c>
      <c r="D18" s="583" t="s">
        <v>11530</v>
      </c>
      <c r="E18" s="584"/>
      <c r="F18" s="34" t="s">
        <v>11531</v>
      </c>
      <c r="G18" s="509" t="s">
        <v>1808</v>
      </c>
      <c r="H18" s="34" t="s">
        <v>11506</v>
      </c>
      <c r="I18" s="621">
        <v>54000</v>
      </c>
      <c r="J18" s="34" t="s">
        <v>6872</v>
      </c>
      <c r="K18" s="105"/>
      <c r="L18" s="34" t="s">
        <v>6933</v>
      </c>
      <c r="M18" s="34" t="s">
        <v>1824</v>
      </c>
      <c r="N18" s="34" t="s">
        <v>1828</v>
      </c>
      <c r="O18" s="105"/>
      <c r="P18" s="105"/>
      <c r="Q18" s="105"/>
      <c r="R18" s="105"/>
      <c r="S18" s="105"/>
      <c r="T18" s="105"/>
      <c r="U18" s="105"/>
      <c r="V18" s="105"/>
      <c r="W18" s="105"/>
      <c r="X18" s="105"/>
      <c r="Y18" s="105"/>
      <c r="Z18" s="105"/>
      <c r="AA18" s="105"/>
      <c r="AB18" s="105"/>
      <c r="AC18" s="105"/>
    </row>
    <row r="19" spans="1:29" ht="96.75" customHeight="1">
      <c r="A19" s="34" t="s">
        <v>11532</v>
      </c>
      <c r="B19" s="583" t="s">
        <v>11466</v>
      </c>
      <c r="C19" s="609" t="s">
        <v>11533</v>
      </c>
      <c r="D19" s="34" t="s">
        <v>11534</v>
      </c>
      <c r="E19" s="188"/>
      <c r="F19" s="34" t="s">
        <v>11535</v>
      </c>
      <c r="G19" s="509" t="s">
        <v>1808</v>
      </c>
      <c r="H19" s="34" t="s">
        <v>11506</v>
      </c>
      <c r="I19" s="34" t="s">
        <v>11536</v>
      </c>
      <c r="J19" s="34" t="s">
        <v>6872</v>
      </c>
      <c r="K19" s="105"/>
      <c r="L19" s="34" t="s">
        <v>6941</v>
      </c>
      <c r="M19" s="34" t="s">
        <v>1824</v>
      </c>
      <c r="N19" s="34" t="s">
        <v>1828</v>
      </c>
      <c r="O19" s="105"/>
      <c r="P19" s="105"/>
      <c r="Q19" s="105"/>
      <c r="R19" s="105"/>
      <c r="S19" s="105"/>
      <c r="T19" s="105"/>
      <c r="U19" s="105"/>
      <c r="V19" s="105"/>
      <c r="W19" s="105"/>
      <c r="X19" s="105"/>
      <c r="Y19" s="105"/>
      <c r="Z19" s="105"/>
      <c r="AA19" s="105"/>
      <c r="AB19" s="105"/>
      <c r="AC19" s="105"/>
    </row>
    <row r="20" spans="1:29" ht="25.5">
      <c r="A20" s="34" t="s">
        <v>11537</v>
      </c>
      <c r="B20" s="583" t="s">
        <v>11466</v>
      </c>
      <c r="C20" s="609" t="s">
        <v>11538</v>
      </c>
      <c r="D20" s="583" t="s">
        <v>11539</v>
      </c>
      <c r="E20" s="584"/>
      <c r="F20" s="34" t="s">
        <v>650</v>
      </c>
      <c r="G20" s="509" t="s">
        <v>1808</v>
      </c>
      <c r="H20" s="34" t="s">
        <v>11506</v>
      </c>
      <c r="I20" s="34" t="s">
        <v>11540</v>
      </c>
      <c r="J20" s="34" t="s">
        <v>6872</v>
      </c>
      <c r="K20" s="105"/>
      <c r="L20" s="34" t="s">
        <v>6064</v>
      </c>
      <c r="M20" s="34" t="s">
        <v>1824</v>
      </c>
      <c r="N20" s="34" t="s">
        <v>1828</v>
      </c>
      <c r="O20" s="105"/>
      <c r="P20" s="105"/>
      <c r="Q20" s="105"/>
      <c r="R20" s="105"/>
      <c r="S20" s="105"/>
      <c r="T20" s="105"/>
      <c r="U20" s="105"/>
      <c r="V20" s="105"/>
      <c r="W20" s="105"/>
      <c r="X20" s="105"/>
      <c r="Y20" s="105"/>
      <c r="Z20" s="105"/>
      <c r="AA20" s="105"/>
      <c r="AB20" s="105"/>
      <c r="AC20" s="105"/>
    </row>
    <row r="21" spans="1:29" ht="38.25">
      <c r="A21" s="34" t="s">
        <v>11541</v>
      </c>
      <c r="B21" s="583" t="s">
        <v>11466</v>
      </c>
      <c r="C21" s="609" t="s">
        <v>11542</v>
      </c>
      <c r="D21" s="34" t="s">
        <v>11543</v>
      </c>
      <c r="E21" s="188"/>
      <c r="F21" s="34" t="s">
        <v>11544</v>
      </c>
      <c r="G21" s="34" t="s">
        <v>6132</v>
      </c>
      <c r="H21" s="583" t="s">
        <v>11470</v>
      </c>
      <c r="I21" s="65">
        <v>566660</v>
      </c>
      <c r="J21" s="34" t="s">
        <v>6872</v>
      </c>
      <c r="K21" s="105"/>
      <c r="L21" s="34" t="s">
        <v>6941</v>
      </c>
      <c r="M21" s="34"/>
      <c r="N21" s="34" t="s">
        <v>1828</v>
      </c>
      <c r="O21" s="105"/>
      <c r="P21" s="105"/>
      <c r="Q21" s="105"/>
      <c r="R21" s="105"/>
      <c r="S21" s="105"/>
      <c r="T21" s="105"/>
      <c r="U21" s="105"/>
      <c r="V21" s="105"/>
      <c r="W21" s="105"/>
      <c r="X21" s="105"/>
      <c r="Y21" s="105"/>
      <c r="Z21" s="105"/>
      <c r="AA21" s="105"/>
      <c r="AB21" s="105"/>
      <c r="AC21" s="105"/>
    </row>
    <row r="22" spans="1:29" ht="140.25">
      <c r="A22" s="34" t="s">
        <v>11545</v>
      </c>
      <c r="B22" s="583" t="s">
        <v>11466</v>
      </c>
      <c r="C22" s="609" t="s">
        <v>11546</v>
      </c>
      <c r="D22" s="34" t="s">
        <v>11547</v>
      </c>
      <c r="E22" s="188"/>
      <c r="F22" s="34" t="s">
        <v>11548</v>
      </c>
      <c r="G22" s="34" t="s">
        <v>6132</v>
      </c>
      <c r="H22" s="583" t="s">
        <v>11470</v>
      </c>
      <c r="I22" s="34" t="s">
        <v>2453</v>
      </c>
      <c r="J22" s="583" t="s">
        <v>6872</v>
      </c>
      <c r="K22" s="105"/>
      <c r="L22" s="34" t="s">
        <v>6941</v>
      </c>
      <c r="M22" s="34"/>
      <c r="N22" s="34" t="s">
        <v>1828</v>
      </c>
      <c r="O22" s="105"/>
      <c r="P22" s="105"/>
      <c r="Q22" s="105"/>
      <c r="R22" s="105"/>
      <c r="S22" s="105"/>
      <c r="T22" s="105"/>
      <c r="U22" s="105"/>
      <c r="V22" s="105"/>
      <c r="W22" s="105"/>
      <c r="X22" s="105"/>
      <c r="Y22" s="105"/>
      <c r="Z22" s="105"/>
      <c r="AA22" s="105"/>
      <c r="AB22" s="105"/>
      <c r="AC22" s="105"/>
    </row>
    <row r="23" spans="1:29" ht="25.5">
      <c r="A23" s="34" t="s">
        <v>11549</v>
      </c>
      <c r="B23" s="583" t="s">
        <v>11466</v>
      </c>
      <c r="C23" s="609" t="s">
        <v>11550</v>
      </c>
      <c r="D23" s="34" t="s">
        <v>9988</v>
      </c>
      <c r="E23" s="188"/>
      <c r="F23" s="583" t="s">
        <v>9989</v>
      </c>
      <c r="G23" s="34" t="s">
        <v>6132</v>
      </c>
      <c r="H23" s="583" t="s">
        <v>11470</v>
      </c>
      <c r="I23" s="34" t="s">
        <v>2453</v>
      </c>
      <c r="J23" s="583" t="s">
        <v>6872</v>
      </c>
      <c r="K23" s="105"/>
      <c r="L23" s="34" t="s">
        <v>6137</v>
      </c>
      <c r="M23" s="34"/>
      <c r="N23" s="34" t="s">
        <v>1828</v>
      </c>
      <c r="O23" s="105"/>
      <c r="P23" s="105"/>
      <c r="Q23" s="105"/>
      <c r="R23" s="105"/>
      <c r="S23" s="105"/>
      <c r="T23" s="105"/>
      <c r="U23" s="105"/>
      <c r="V23" s="105"/>
      <c r="W23" s="105"/>
      <c r="X23" s="105"/>
      <c r="Y23" s="105"/>
      <c r="Z23" s="105"/>
      <c r="AA23" s="105"/>
      <c r="AB23" s="105"/>
      <c r="AC23" s="105"/>
    </row>
    <row r="24" spans="1:29" ht="25.5">
      <c r="A24" s="34" t="s">
        <v>11551</v>
      </c>
      <c r="B24" s="583" t="s">
        <v>11466</v>
      </c>
      <c r="C24" s="609" t="s">
        <v>11552</v>
      </c>
      <c r="D24" s="34" t="s">
        <v>11553</v>
      </c>
      <c r="E24" s="188"/>
      <c r="F24" s="34" t="s">
        <v>1389</v>
      </c>
      <c r="G24" s="509" t="s">
        <v>1808</v>
      </c>
      <c r="H24" s="620" t="s">
        <v>11491</v>
      </c>
      <c r="I24" s="590" t="s">
        <v>11554</v>
      </c>
      <c r="J24" s="34" t="s">
        <v>6872</v>
      </c>
      <c r="K24" s="105"/>
      <c r="L24" s="34" t="s">
        <v>6137</v>
      </c>
      <c r="M24" s="34" t="s">
        <v>1824</v>
      </c>
      <c r="N24" s="34" t="s">
        <v>2611</v>
      </c>
      <c r="O24" s="105"/>
      <c r="P24" s="105"/>
      <c r="Q24" s="105"/>
      <c r="R24" s="105"/>
      <c r="S24" s="105"/>
      <c r="T24" s="105"/>
      <c r="U24" s="105"/>
      <c r="V24" s="105"/>
      <c r="W24" s="105"/>
      <c r="X24" s="105"/>
      <c r="Y24" s="105"/>
      <c r="Z24" s="105"/>
      <c r="AA24" s="105"/>
      <c r="AB24" s="105"/>
      <c r="AC24" s="105"/>
    </row>
    <row r="25" spans="1:29" ht="25.5">
      <c r="A25" s="34" t="s">
        <v>11555</v>
      </c>
      <c r="B25" s="583" t="s">
        <v>11466</v>
      </c>
      <c r="C25" s="609" t="s">
        <v>11556</v>
      </c>
      <c r="D25" s="34" t="s">
        <v>11557</v>
      </c>
      <c r="E25" s="188"/>
      <c r="F25" s="34" t="s">
        <v>11558</v>
      </c>
      <c r="G25" s="509" t="s">
        <v>1808</v>
      </c>
      <c r="H25" s="583" t="s">
        <v>11470</v>
      </c>
      <c r="I25" s="66">
        <v>30000</v>
      </c>
      <c r="J25" s="34" t="s">
        <v>6872</v>
      </c>
      <c r="K25" s="105"/>
      <c r="L25" s="34" t="s">
        <v>6071</v>
      </c>
      <c r="M25" s="34" t="s">
        <v>1824</v>
      </c>
      <c r="N25" s="34" t="s">
        <v>6783</v>
      </c>
      <c r="O25" s="105"/>
      <c r="P25" s="105"/>
      <c r="Q25" s="105"/>
      <c r="R25" s="105"/>
      <c r="S25" s="105"/>
      <c r="T25" s="105"/>
      <c r="U25" s="105"/>
      <c r="V25" s="105"/>
      <c r="W25" s="105"/>
      <c r="X25" s="105"/>
      <c r="Y25" s="105"/>
      <c r="Z25" s="105"/>
      <c r="AA25" s="105"/>
      <c r="AB25" s="105"/>
      <c r="AC25" s="105"/>
    </row>
    <row r="26" spans="1:29" ht="25.5">
      <c r="A26" s="34" t="s">
        <v>11559</v>
      </c>
      <c r="B26" s="583" t="s">
        <v>11466</v>
      </c>
      <c r="C26" s="609" t="s">
        <v>11560</v>
      </c>
      <c r="D26" s="34" t="s">
        <v>10429</v>
      </c>
      <c r="E26" s="188"/>
      <c r="F26" s="34" t="s">
        <v>11561</v>
      </c>
      <c r="G26" s="509" t="s">
        <v>1808</v>
      </c>
      <c r="H26" s="583" t="s">
        <v>11470</v>
      </c>
      <c r="I26" s="66">
        <v>106250</v>
      </c>
      <c r="J26" s="34" t="s">
        <v>6872</v>
      </c>
      <c r="K26" s="105"/>
      <c r="L26" s="34" t="s">
        <v>6137</v>
      </c>
      <c r="M26" s="34"/>
      <c r="N26" s="34" t="s">
        <v>1828</v>
      </c>
      <c r="O26" s="105"/>
      <c r="P26" s="105"/>
      <c r="Q26" s="105"/>
      <c r="R26" s="105"/>
      <c r="S26" s="105"/>
      <c r="T26" s="105"/>
      <c r="U26" s="105"/>
      <c r="V26" s="105"/>
      <c r="W26" s="105"/>
      <c r="X26" s="105"/>
      <c r="Y26" s="105"/>
      <c r="Z26" s="105"/>
      <c r="AA26" s="105"/>
      <c r="AB26" s="105"/>
      <c r="AC26" s="105"/>
    </row>
    <row r="27" spans="1:29" ht="25.5">
      <c r="A27" s="34" t="s">
        <v>11562</v>
      </c>
      <c r="B27" s="583" t="s">
        <v>11466</v>
      </c>
      <c r="C27" s="609" t="s">
        <v>11563</v>
      </c>
      <c r="D27" s="398" t="s">
        <v>11564</v>
      </c>
      <c r="E27" s="605"/>
      <c r="F27" s="34" t="s">
        <v>11565</v>
      </c>
      <c r="G27" s="509" t="s">
        <v>1808</v>
      </c>
      <c r="H27" s="583" t="s">
        <v>11470</v>
      </c>
      <c r="I27" s="34" t="s">
        <v>11566</v>
      </c>
      <c r="J27" s="583" t="s">
        <v>6872</v>
      </c>
      <c r="K27" s="105"/>
      <c r="L27" s="34" t="s">
        <v>6137</v>
      </c>
      <c r="M27" s="34" t="s">
        <v>1824</v>
      </c>
      <c r="N27" s="34" t="s">
        <v>1828</v>
      </c>
      <c r="O27" s="105"/>
      <c r="P27" s="105"/>
      <c r="Q27" s="105"/>
      <c r="R27" s="105"/>
      <c r="S27" s="105"/>
      <c r="T27" s="105"/>
      <c r="U27" s="105"/>
      <c r="V27" s="105"/>
      <c r="W27" s="105"/>
      <c r="X27" s="105"/>
      <c r="Y27" s="105"/>
      <c r="Z27" s="105"/>
      <c r="AA27" s="105"/>
      <c r="AB27" s="105"/>
      <c r="AC27" s="105"/>
    </row>
    <row r="28" spans="1:29" ht="25.5">
      <c r="A28" s="34" t="s">
        <v>11567</v>
      </c>
      <c r="B28" s="583" t="s">
        <v>11466</v>
      </c>
      <c r="C28" s="609" t="s">
        <v>11568</v>
      </c>
      <c r="D28" s="34" t="s">
        <v>11569</v>
      </c>
      <c r="E28" s="188"/>
      <c r="F28" s="34" t="s">
        <v>581</v>
      </c>
      <c r="G28" s="509" t="s">
        <v>1808</v>
      </c>
      <c r="H28" s="622" t="s">
        <v>11570</v>
      </c>
      <c r="I28" s="66">
        <v>37700</v>
      </c>
      <c r="J28" s="34" t="s">
        <v>6872</v>
      </c>
      <c r="K28" s="105"/>
      <c r="L28" s="34" t="s">
        <v>6064</v>
      </c>
      <c r="M28" s="34" t="s">
        <v>1824</v>
      </c>
      <c r="N28" s="34" t="s">
        <v>6370</v>
      </c>
      <c r="O28" s="105"/>
      <c r="P28" s="105"/>
      <c r="Q28" s="105"/>
      <c r="R28" s="105"/>
      <c r="S28" s="105"/>
      <c r="T28" s="105"/>
      <c r="U28" s="105"/>
      <c r="V28" s="105"/>
      <c r="W28" s="105"/>
      <c r="X28" s="105"/>
      <c r="Y28" s="105"/>
      <c r="Z28" s="105"/>
      <c r="AA28" s="105"/>
      <c r="AB28" s="105"/>
      <c r="AC28" s="105"/>
    </row>
    <row r="29" spans="1:29" ht="25.5">
      <c r="A29" s="34" t="s">
        <v>11571</v>
      </c>
      <c r="B29" s="583" t="s">
        <v>11466</v>
      </c>
      <c r="C29" s="609" t="s">
        <v>11572</v>
      </c>
      <c r="D29" s="34" t="s">
        <v>11573</v>
      </c>
      <c r="E29" s="188"/>
      <c r="F29" s="34" t="s">
        <v>11574</v>
      </c>
      <c r="G29" s="34" t="s">
        <v>6132</v>
      </c>
      <c r="H29" s="583" t="s">
        <v>11470</v>
      </c>
      <c r="I29" s="66">
        <v>50000</v>
      </c>
      <c r="J29" s="34" t="s">
        <v>6872</v>
      </c>
      <c r="K29" s="105"/>
      <c r="L29" s="34" t="s">
        <v>6071</v>
      </c>
      <c r="M29" s="34"/>
      <c r="N29" s="34" t="s">
        <v>1828</v>
      </c>
      <c r="O29" s="105"/>
      <c r="P29" s="105"/>
      <c r="Q29" s="105"/>
      <c r="R29" s="105"/>
      <c r="S29" s="105"/>
      <c r="T29" s="105"/>
      <c r="U29" s="105"/>
      <c r="V29" s="105"/>
      <c r="W29" s="105"/>
      <c r="X29" s="105"/>
      <c r="Y29" s="105"/>
      <c r="Z29" s="105"/>
      <c r="AA29" s="105"/>
      <c r="AB29" s="105"/>
      <c r="AC29" s="105"/>
    </row>
    <row r="30" spans="1:29" ht="58.5" customHeight="1">
      <c r="A30" s="34" t="s">
        <v>11575</v>
      </c>
      <c r="B30" s="583" t="s">
        <v>11466</v>
      </c>
      <c r="C30" s="609" t="s">
        <v>11576</v>
      </c>
      <c r="D30" s="34" t="s">
        <v>11577</v>
      </c>
      <c r="E30" s="188"/>
      <c r="F30" s="34" t="s">
        <v>11578</v>
      </c>
      <c r="G30" s="34" t="s">
        <v>10092</v>
      </c>
      <c r="H30" s="583" t="s">
        <v>11470</v>
      </c>
      <c r="I30" s="66">
        <v>2365000</v>
      </c>
      <c r="J30" s="34" t="s">
        <v>6872</v>
      </c>
      <c r="K30" s="105"/>
      <c r="L30" s="34" t="s">
        <v>6064</v>
      </c>
      <c r="M30" s="34"/>
      <c r="N30" s="34" t="s">
        <v>1828</v>
      </c>
      <c r="O30" s="105"/>
      <c r="P30" s="105"/>
      <c r="Q30" s="105"/>
      <c r="R30" s="105"/>
      <c r="S30" s="105"/>
      <c r="T30" s="105"/>
      <c r="U30" s="105"/>
      <c r="V30" s="105"/>
      <c r="W30" s="105"/>
      <c r="X30" s="105"/>
      <c r="Y30" s="105"/>
      <c r="Z30" s="105"/>
      <c r="AA30" s="105"/>
      <c r="AB30" s="105"/>
      <c r="AC30" s="105"/>
    </row>
    <row r="31" spans="1:29" ht="25.5">
      <c r="A31" s="34" t="s">
        <v>11579</v>
      </c>
      <c r="B31" s="583" t="s">
        <v>11466</v>
      </c>
      <c r="C31" s="609" t="s">
        <v>11580</v>
      </c>
      <c r="D31" s="34" t="s">
        <v>11581</v>
      </c>
      <c r="E31" s="188"/>
      <c r="F31" s="34" t="s">
        <v>11582</v>
      </c>
      <c r="G31" s="34" t="s">
        <v>11583</v>
      </c>
      <c r="H31" s="583" t="s">
        <v>11470</v>
      </c>
      <c r="I31" s="34" t="s">
        <v>5024</v>
      </c>
      <c r="J31" s="34" t="s">
        <v>6872</v>
      </c>
      <c r="K31" s="105"/>
      <c r="L31" s="34" t="s">
        <v>6104</v>
      </c>
      <c r="M31" s="34"/>
      <c r="N31" s="34" t="s">
        <v>1828</v>
      </c>
      <c r="O31" s="105"/>
      <c r="P31" s="105"/>
      <c r="Q31" s="105"/>
      <c r="R31" s="105"/>
      <c r="S31" s="105"/>
      <c r="T31" s="105"/>
      <c r="U31" s="105"/>
      <c r="V31" s="105"/>
      <c r="W31" s="105"/>
      <c r="X31" s="105"/>
      <c r="Y31" s="105"/>
      <c r="Z31" s="105"/>
      <c r="AA31" s="105"/>
      <c r="AB31" s="105"/>
      <c r="AC31" s="105"/>
    </row>
    <row r="32" spans="1:29" ht="25.5">
      <c r="A32" s="34" t="s">
        <v>11584</v>
      </c>
      <c r="B32" s="583" t="s">
        <v>11466</v>
      </c>
      <c r="C32" s="609" t="s">
        <v>11585</v>
      </c>
      <c r="D32" s="398" t="s">
        <v>11586</v>
      </c>
      <c r="E32" s="605"/>
      <c r="F32" s="34" t="s">
        <v>581</v>
      </c>
      <c r="G32" s="509" t="s">
        <v>1808</v>
      </c>
      <c r="H32" s="622" t="s">
        <v>11570</v>
      </c>
      <c r="I32" s="34" t="s">
        <v>11587</v>
      </c>
      <c r="J32" s="34" t="s">
        <v>6872</v>
      </c>
      <c r="K32" s="105"/>
      <c r="L32" s="34" t="s">
        <v>6064</v>
      </c>
      <c r="M32" s="34" t="s">
        <v>1824</v>
      </c>
      <c r="N32" s="34" t="s">
        <v>6370</v>
      </c>
      <c r="O32" s="105"/>
      <c r="P32" s="105"/>
      <c r="Q32" s="105"/>
      <c r="R32" s="105"/>
      <c r="S32" s="105"/>
      <c r="T32" s="105"/>
      <c r="U32" s="105"/>
      <c r="V32" s="105"/>
      <c r="W32" s="105"/>
      <c r="X32" s="105"/>
      <c r="Y32" s="105"/>
      <c r="Z32" s="105"/>
      <c r="AA32" s="105"/>
      <c r="AB32" s="105"/>
      <c r="AC32" s="105"/>
    </row>
    <row r="33" spans="1:29" ht="38.25">
      <c r="A33" s="34" t="s">
        <v>11588</v>
      </c>
      <c r="B33" s="583" t="s">
        <v>11466</v>
      </c>
      <c r="C33" s="618" t="s">
        <v>11589</v>
      </c>
      <c r="D33" s="398"/>
      <c r="E33" s="605"/>
      <c r="F33" s="398" t="s">
        <v>11590</v>
      </c>
      <c r="G33" s="509" t="s">
        <v>1808</v>
      </c>
      <c r="H33" s="398" t="s">
        <v>11591</v>
      </c>
      <c r="I33" s="34" t="s">
        <v>2453</v>
      </c>
      <c r="J33" s="34" t="s">
        <v>6872</v>
      </c>
      <c r="K33" s="105"/>
      <c r="L33" s="34"/>
      <c r="M33" s="34"/>
      <c r="N33" s="398" t="s">
        <v>11592</v>
      </c>
      <c r="O33" s="105"/>
      <c r="P33" s="105"/>
      <c r="Q33" s="105"/>
      <c r="R33" s="105"/>
      <c r="S33" s="105"/>
      <c r="T33" s="105"/>
      <c r="U33" s="105"/>
      <c r="V33" s="105"/>
      <c r="W33" s="105"/>
      <c r="X33" s="105"/>
      <c r="Y33" s="105"/>
      <c r="Z33" s="105"/>
      <c r="AA33" s="105"/>
      <c r="AB33" s="105"/>
      <c r="AC33" s="105"/>
    </row>
    <row r="34" spans="1:29" ht="25.5">
      <c r="A34" s="34" t="s">
        <v>11593</v>
      </c>
      <c r="B34" s="583" t="s">
        <v>11466</v>
      </c>
      <c r="C34" s="609" t="s">
        <v>11594</v>
      </c>
      <c r="D34" s="583" t="s">
        <v>11595</v>
      </c>
      <c r="E34" s="584"/>
      <c r="F34" s="34" t="s">
        <v>11596</v>
      </c>
      <c r="G34" s="34" t="s">
        <v>6132</v>
      </c>
      <c r="H34" s="34" t="s">
        <v>11597</v>
      </c>
      <c r="I34" s="34" t="s">
        <v>11598</v>
      </c>
      <c r="J34" s="583" t="s">
        <v>6872</v>
      </c>
      <c r="K34" s="105"/>
      <c r="L34" s="34" t="s">
        <v>6137</v>
      </c>
      <c r="M34" s="34"/>
      <c r="N34" s="34" t="s">
        <v>2609</v>
      </c>
      <c r="O34" s="105"/>
      <c r="P34" s="105"/>
      <c r="Q34" s="105"/>
      <c r="R34" s="105"/>
      <c r="S34" s="105"/>
      <c r="T34" s="105"/>
      <c r="U34" s="105"/>
      <c r="V34" s="105"/>
      <c r="W34" s="105"/>
      <c r="X34" s="105"/>
      <c r="Y34" s="105"/>
      <c r="Z34" s="105"/>
      <c r="AA34" s="105"/>
      <c r="AB34" s="105"/>
      <c r="AC34" s="105"/>
    </row>
    <row r="35" spans="1:29" ht="25.5">
      <c r="A35" s="34" t="s">
        <v>11599</v>
      </c>
      <c r="B35" s="583" t="s">
        <v>11466</v>
      </c>
      <c r="C35" s="609" t="s">
        <v>11600</v>
      </c>
      <c r="D35" s="34" t="s">
        <v>11601</v>
      </c>
      <c r="E35" s="188"/>
      <c r="F35" s="34" t="s">
        <v>11602</v>
      </c>
      <c r="G35" s="509" t="s">
        <v>1808</v>
      </c>
      <c r="H35" s="589" t="s">
        <v>11603</v>
      </c>
      <c r="I35" s="34" t="s">
        <v>11604</v>
      </c>
      <c r="J35" s="34" t="s">
        <v>6872</v>
      </c>
      <c r="K35" s="105"/>
      <c r="L35" s="34" t="s">
        <v>6064</v>
      </c>
      <c r="M35" s="34"/>
      <c r="N35" s="34" t="s">
        <v>2609</v>
      </c>
      <c r="O35" s="105"/>
      <c r="P35" s="105"/>
      <c r="Q35" s="105"/>
      <c r="R35" s="105"/>
      <c r="S35" s="105"/>
      <c r="T35" s="105"/>
      <c r="U35" s="105"/>
      <c r="V35" s="105"/>
      <c r="W35" s="105"/>
      <c r="X35" s="105"/>
      <c r="Y35" s="105"/>
      <c r="Z35" s="105"/>
      <c r="AA35" s="105"/>
      <c r="AB35" s="105"/>
      <c r="AC35" s="105"/>
    </row>
    <row r="36" spans="1:29" ht="25.5">
      <c r="A36" s="34" t="s">
        <v>11605</v>
      </c>
      <c r="B36" s="583" t="s">
        <v>11466</v>
      </c>
      <c r="C36" s="609" t="s">
        <v>11606</v>
      </c>
      <c r="D36" s="34" t="s">
        <v>11607</v>
      </c>
      <c r="E36" s="188"/>
      <c r="F36" s="34" t="s">
        <v>11608</v>
      </c>
      <c r="G36" s="509" t="s">
        <v>1808</v>
      </c>
      <c r="H36" s="34" t="s">
        <v>2508</v>
      </c>
      <c r="I36" s="66">
        <v>10000</v>
      </c>
      <c r="J36" s="34" t="s">
        <v>6872</v>
      </c>
      <c r="K36" s="105"/>
      <c r="L36" s="34" t="s">
        <v>6064</v>
      </c>
      <c r="M36" s="34" t="s">
        <v>1824</v>
      </c>
      <c r="N36" s="34" t="s">
        <v>1828</v>
      </c>
      <c r="O36" s="105"/>
      <c r="P36" s="105"/>
      <c r="Q36" s="105"/>
      <c r="R36" s="105"/>
      <c r="S36" s="105"/>
      <c r="T36" s="105"/>
      <c r="U36" s="105"/>
      <c r="V36" s="105"/>
      <c r="W36" s="105"/>
      <c r="X36" s="105"/>
      <c r="Y36" s="105"/>
      <c r="Z36" s="105"/>
      <c r="AA36" s="105"/>
      <c r="AB36" s="105"/>
      <c r="AC36" s="105"/>
    </row>
    <row r="37" spans="1:29" ht="66.75" customHeight="1">
      <c r="A37" s="34" t="s">
        <v>11609</v>
      </c>
      <c r="B37" s="583" t="s">
        <v>11466</v>
      </c>
      <c r="C37" s="609" t="s">
        <v>11610</v>
      </c>
      <c r="D37" s="34" t="s">
        <v>11611</v>
      </c>
      <c r="E37" s="188" t="s">
        <v>11612</v>
      </c>
      <c r="F37" s="34" t="s">
        <v>11613</v>
      </c>
      <c r="G37" s="509" t="s">
        <v>1808</v>
      </c>
      <c r="H37" s="583" t="s">
        <v>11470</v>
      </c>
      <c r="I37" s="34" t="s">
        <v>11614</v>
      </c>
      <c r="J37" s="34" t="s">
        <v>6872</v>
      </c>
      <c r="K37" s="105"/>
      <c r="L37" s="34" t="s">
        <v>6064</v>
      </c>
      <c r="M37" s="34"/>
      <c r="N37" s="34" t="s">
        <v>1828</v>
      </c>
      <c r="O37" s="105"/>
      <c r="P37" s="105"/>
      <c r="Q37" s="105"/>
      <c r="R37" s="105"/>
      <c r="S37" s="105"/>
      <c r="T37" s="105"/>
      <c r="U37" s="105"/>
      <c r="V37" s="105"/>
      <c r="W37" s="105"/>
      <c r="X37" s="105"/>
      <c r="Y37" s="105"/>
      <c r="Z37" s="105"/>
      <c r="AA37" s="105"/>
      <c r="AB37" s="105"/>
      <c r="AC37" s="105"/>
    </row>
    <row r="38" spans="1:29" ht="25.5">
      <c r="A38" s="34" t="s">
        <v>11615</v>
      </c>
      <c r="B38" s="583" t="s">
        <v>11466</v>
      </c>
      <c r="C38" s="609" t="s">
        <v>11616</v>
      </c>
      <c r="D38" s="34" t="s">
        <v>11617</v>
      </c>
      <c r="E38" s="188"/>
      <c r="F38" s="398" t="s">
        <v>11618</v>
      </c>
      <c r="G38" s="34" t="s">
        <v>6132</v>
      </c>
      <c r="H38" s="583" t="s">
        <v>11470</v>
      </c>
      <c r="I38" s="34" t="s">
        <v>5024</v>
      </c>
      <c r="J38" s="34" t="s">
        <v>6872</v>
      </c>
      <c r="K38" s="105"/>
      <c r="L38" s="34" t="s">
        <v>6064</v>
      </c>
      <c r="M38" s="34"/>
      <c r="N38" s="34" t="s">
        <v>1828</v>
      </c>
      <c r="O38" s="105"/>
      <c r="P38" s="105"/>
      <c r="Q38" s="105"/>
      <c r="R38" s="105"/>
      <c r="S38" s="105"/>
      <c r="T38" s="105"/>
      <c r="U38" s="105"/>
      <c r="V38" s="105"/>
      <c r="W38" s="105"/>
      <c r="X38" s="105"/>
      <c r="Y38" s="105"/>
      <c r="Z38" s="105"/>
      <c r="AA38" s="105"/>
      <c r="AB38" s="105"/>
      <c r="AC38" s="105"/>
    </row>
    <row r="39" spans="1:29" ht="38.25">
      <c r="A39" s="34" t="s">
        <v>11619</v>
      </c>
      <c r="B39" s="583" t="s">
        <v>11466</v>
      </c>
      <c r="C39" s="609" t="s">
        <v>11620</v>
      </c>
      <c r="D39" s="583" t="s">
        <v>11621</v>
      </c>
      <c r="E39" s="584"/>
      <c r="F39" s="34" t="s">
        <v>11622</v>
      </c>
      <c r="G39" s="509" t="s">
        <v>6179</v>
      </c>
      <c r="H39" s="583" t="s">
        <v>11623</v>
      </c>
      <c r="I39" s="66">
        <v>10000</v>
      </c>
      <c r="J39" s="34" t="s">
        <v>6872</v>
      </c>
      <c r="K39" s="105"/>
      <c r="L39" s="34" t="s">
        <v>6064</v>
      </c>
      <c r="M39" s="34"/>
      <c r="N39" s="622" t="s">
        <v>2656</v>
      </c>
      <c r="O39" s="105"/>
      <c r="P39" s="105"/>
      <c r="Q39" s="105"/>
      <c r="R39" s="105"/>
      <c r="S39" s="105"/>
      <c r="T39" s="105"/>
      <c r="U39" s="105"/>
      <c r="V39" s="105"/>
      <c r="W39" s="105"/>
      <c r="X39" s="105"/>
      <c r="Y39" s="105"/>
      <c r="Z39" s="105"/>
      <c r="AA39" s="105"/>
      <c r="AB39" s="105"/>
      <c r="AC39" s="105"/>
    </row>
    <row r="40" spans="1:29" ht="25.5">
      <c r="A40" s="34" t="s">
        <v>11624</v>
      </c>
      <c r="B40" s="583" t="s">
        <v>11466</v>
      </c>
      <c r="C40" s="609" t="s">
        <v>11625</v>
      </c>
      <c r="D40" s="583" t="s">
        <v>11626</v>
      </c>
      <c r="E40" s="584"/>
      <c r="F40" s="398" t="s">
        <v>650</v>
      </c>
      <c r="G40" s="509" t="s">
        <v>1808</v>
      </c>
      <c r="H40" s="622" t="s">
        <v>11627</v>
      </c>
      <c r="I40" s="34" t="s">
        <v>11628</v>
      </c>
      <c r="J40" s="34" t="s">
        <v>6872</v>
      </c>
      <c r="K40" s="105"/>
      <c r="L40" s="34" t="s">
        <v>6064</v>
      </c>
      <c r="M40" s="34" t="s">
        <v>1824</v>
      </c>
      <c r="N40" s="34" t="s">
        <v>6314</v>
      </c>
      <c r="O40" s="105"/>
      <c r="P40" s="105"/>
      <c r="Q40" s="105"/>
      <c r="R40" s="105"/>
      <c r="S40" s="105"/>
      <c r="T40" s="105"/>
      <c r="U40" s="105"/>
      <c r="V40" s="105"/>
      <c r="W40" s="105"/>
      <c r="X40" s="105"/>
      <c r="Y40" s="105"/>
      <c r="Z40" s="105"/>
      <c r="AA40" s="105"/>
      <c r="AB40" s="105"/>
      <c r="AC40" s="105"/>
    </row>
    <row r="41" spans="1:29" ht="25.5">
      <c r="A41" s="34" t="s">
        <v>11629</v>
      </c>
      <c r="B41" s="583" t="s">
        <v>11466</v>
      </c>
      <c r="C41" s="609" t="s">
        <v>11630</v>
      </c>
      <c r="D41" s="583" t="s">
        <v>11631</v>
      </c>
      <c r="E41" s="584"/>
      <c r="F41" s="34" t="s">
        <v>11632</v>
      </c>
      <c r="G41" s="509" t="s">
        <v>1808</v>
      </c>
      <c r="H41" s="583" t="s">
        <v>11470</v>
      </c>
      <c r="I41" s="66">
        <v>9000</v>
      </c>
      <c r="J41" s="34" t="s">
        <v>6872</v>
      </c>
      <c r="K41" s="105"/>
      <c r="L41" s="34" t="s">
        <v>6064</v>
      </c>
      <c r="M41" s="34" t="s">
        <v>1824</v>
      </c>
      <c r="N41" s="34" t="s">
        <v>1828</v>
      </c>
      <c r="O41" s="105"/>
      <c r="P41" s="105"/>
      <c r="Q41" s="105"/>
      <c r="R41" s="105"/>
      <c r="S41" s="105"/>
      <c r="T41" s="105"/>
      <c r="U41" s="105"/>
      <c r="V41" s="105"/>
      <c r="W41" s="105"/>
      <c r="X41" s="105"/>
      <c r="Y41" s="105"/>
      <c r="Z41" s="105"/>
      <c r="AA41" s="105"/>
      <c r="AB41" s="105"/>
      <c r="AC41" s="105"/>
    </row>
    <row r="42" spans="1:29" ht="51">
      <c r="A42" s="34" t="s">
        <v>11633</v>
      </c>
      <c r="B42" s="583" t="s">
        <v>11466</v>
      </c>
      <c r="C42" s="609" t="s">
        <v>11634</v>
      </c>
      <c r="D42" s="34" t="s">
        <v>11635</v>
      </c>
      <c r="E42" s="188"/>
      <c r="F42" s="34" t="s">
        <v>11636</v>
      </c>
      <c r="G42" s="509" t="s">
        <v>1808</v>
      </c>
      <c r="H42" s="34" t="s">
        <v>2508</v>
      </c>
      <c r="I42" s="34" t="s">
        <v>11637</v>
      </c>
      <c r="J42" s="34" t="s">
        <v>6872</v>
      </c>
      <c r="K42" s="105"/>
      <c r="L42" s="34" t="s">
        <v>6137</v>
      </c>
      <c r="M42" s="34" t="s">
        <v>1824</v>
      </c>
      <c r="N42" s="34" t="s">
        <v>1828</v>
      </c>
      <c r="O42" s="105"/>
      <c r="P42" s="105"/>
      <c r="Q42" s="105"/>
      <c r="R42" s="105"/>
      <c r="S42" s="105"/>
      <c r="T42" s="105"/>
      <c r="U42" s="105"/>
      <c r="V42" s="105"/>
      <c r="W42" s="105"/>
      <c r="X42" s="105"/>
      <c r="Y42" s="105"/>
      <c r="Z42" s="105"/>
      <c r="AA42" s="105"/>
      <c r="AB42" s="105"/>
      <c r="AC42" s="105"/>
    </row>
    <row r="43" spans="1:29" ht="127.5">
      <c r="A43" s="34" t="s">
        <v>11638</v>
      </c>
      <c r="B43" s="583" t="s">
        <v>11466</v>
      </c>
      <c r="C43" s="609" t="s">
        <v>11639</v>
      </c>
      <c r="D43" s="34" t="s">
        <v>11640</v>
      </c>
      <c r="E43" s="188"/>
      <c r="F43" s="34" t="s">
        <v>10302</v>
      </c>
      <c r="G43" s="509" t="s">
        <v>1808</v>
      </c>
      <c r="H43" s="589" t="s">
        <v>11641</v>
      </c>
      <c r="I43" s="34" t="s">
        <v>11642</v>
      </c>
      <c r="J43" s="34" t="s">
        <v>6872</v>
      </c>
      <c r="K43" s="105"/>
      <c r="L43" s="34" t="s">
        <v>6137</v>
      </c>
      <c r="M43" s="34"/>
      <c r="N43" s="34" t="s">
        <v>1828</v>
      </c>
      <c r="O43" s="105"/>
      <c r="P43" s="105"/>
      <c r="Q43" s="105"/>
      <c r="R43" s="105"/>
      <c r="S43" s="105"/>
      <c r="T43" s="105"/>
      <c r="U43" s="105"/>
      <c r="V43" s="105"/>
      <c r="W43" s="105"/>
      <c r="X43" s="105"/>
      <c r="Y43" s="105"/>
      <c r="Z43" s="105"/>
      <c r="AA43" s="105"/>
      <c r="AB43" s="105"/>
      <c r="AC43" s="105"/>
    </row>
    <row r="44" spans="1:29" ht="38.25">
      <c r="A44" s="34" t="s">
        <v>11643</v>
      </c>
      <c r="B44" s="583" t="s">
        <v>11466</v>
      </c>
      <c r="C44" s="609" t="s">
        <v>11644</v>
      </c>
      <c r="D44" s="583" t="s">
        <v>11645</v>
      </c>
      <c r="E44" s="584"/>
      <c r="F44" s="34" t="s">
        <v>11646</v>
      </c>
      <c r="G44" s="34" t="s">
        <v>6132</v>
      </c>
      <c r="H44" s="398"/>
      <c r="I44" s="34" t="s">
        <v>11647</v>
      </c>
      <c r="J44" s="583" t="s">
        <v>6872</v>
      </c>
      <c r="K44" s="105"/>
      <c r="L44" s="34" t="s">
        <v>6064</v>
      </c>
      <c r="M44" s="34"/>
      <c r="N44" s="34"/>
      <c r="O44" s="105"/>
      <c r="P44" s="105"/>
      <c r="Q44" s="105"/>
      <c r="R44" s="105"/>
      <c r="S44" s="105"/>
      <c r="T44" s="105"/>
      <c r="U44" s="105"/>
      <c r="V44" s="105"/>
      <c r="W44" s="105"/>
      <c r="X44" s="105"/>
      <c r="Y44" s="105"/>
      <c r="Z44" s="105"/>
      <c r="AA44" s="105"/>
      <c r="AB44" s="105"/>
      <c r="AC44" s="105"/>
    </row>
    <row r="45" spans="1:29" ht="25.5">
      <c r="A45" s="34" t="s">
        <v>11648</v>
      </c>
      <c r="B45" s="583" t="s">
        <v>11466</v>
      </c>
      <c r="C45" s="609" t="s">
        <v>11649</v>
      </c>
      <c r="D45" s="583" t="s">
        <v>11650</v>
      </c>
      <c r="E45" s="584"/>
      <c r="F45" s="34" t="s">
        <v>11651</v>
      </c>
      <c r="G45" s="509" t="s">
        <v>1808</v>
      </c>
      <c r="H45" s="583" t="s">
        <v>11470</v>
      </c>
      <c r="I45" s="66">
        <v>20000</v>
      </c>
      <c r="J45" s="34" t="s">
        <v>6872</v>
      </c>
      <c r="K45" s="105"/>
      <c r="L45" s="34" t="s">
        <v>6137</v>
      </c>
      <c r="M45" s="34" t="s">
        <v>1824</v>
      </c>
      <c r="N45" s="34" t="s">
        <v>1828</v>
      </c>
      <c r="O45" s="105"/>
      <c r="P45" s="105"/>
      <c r="Q45" s="105"/>
      <c r="R45" s="105"/>
      <c r="S45" s="105"/>
      <c r="T45" s="105"/>
      <c r="U45" s="105"/>
      <c r="V45" s="105"/>
      <c r="W45" s="105"/>
      <c r="X45" s="105"/>
      <c r="Y45" s="105"/>
      <c r="Z45" s="105"/>
      <c r="AA45" s="105"/>
      <c r="AB45" s="105"/>
      <c r="AC45" s="105"/>
    </row>
    <row r="46" spans="1:29" ht="51">
      <c r="A46" s="34" t="s">
        <v>11652</v>
      </c>
      <c r="B46" s="583" t="s">
        <v>11466</v>
      </c>
      <c r="C46" s="609" t="s">
        <v>11653</v>
      </c>
      <c r="D46" s="583" t="s">
        <v>11654</v>
      </c>
      <c r="E46" s="584"/>
      <c r="F46" s="34" t="s">
        <v>11655</v>
      </c>
      <c r="G46" s="34" t="s">
        <v>6132</v>
      </c>
      <c r="H46" s="583" t="s">
        <v>11470</v>
      </c>
      <c r="I46" s="34" t="s">
        <v>11656</v>
      </c>
      <c r="J46" s="34" t="s">
        <v>6872</v>
      </c>
      <c r="K46" s="105"/>
      <c r="L46" s="34" t="s">
        <v>6941</v>
      </c>
      <c r="M46" s="34"/>
      <c r="N46" s="34" t="s">
        <v>1828</v>
      </c>
      <c r="O46" s="105"/>
      <c r="P46" s="105"/>
      <c r="Q46" s="105"/>
      <c r="R46" s="105"/>
      <c r="S46" s="105"/>
      <c r="T46" s="105"/>
      <c r="U46" s="105"/>
      <c r="V46" s="105"/>
      <c r="W46" s="105"/>
      <c r="X46" s="105"/>
      <c r="Y46" s="105"/>
      <c r="Z46" s="105"/>
      <c r="AA46" s="105"/>
      <c r="AB46" s="105"/>
      <c r="AC46" s="105"/>
    </row>
    <row r="47" spans="1:29" ht="89.25">
      <c r="A47" s="34" t="s">
        <v>11657</v>
      </c>
      <c r="B47" s="583" t="s">
        <v>11466</v>
      </c>
      <c r="C47" s="609" t="s">
        <v>11658</v>
      </c>
      <c r="D47" s="310" t="s">
        <v>11659</v>
      </c>
      <c r="E47" s="371"/>
      <c r="F47" s="34" t="s">
        <v>11660</v>
      </c>
      <c r="G47" s="509" t="s">
        <v>1808</v>
      </c>
      <c r="H47" s="398" t="s">
        <v>11661</v>
      </c>
      <c r="I47" s="34" t="s">
        <v>11662</v>
      </c>
      <c r="J47" s="34" t="s">
        <v>6872</v>
      </c>
      <c r="K47" s="105"/>
      <c r="L47" s="34" t="s">
        <v>6941</v>
      </c>
      <c r="M47" s="34"/>
      <c r="N47" s="34" t="s">
        <v>1828</v>
      </c>
      <c r="O47" s="105"/>
      <c r="P47" s="105"/>
      <c r="Q47" s="105"/>
      <c r="R47" s="105"/>
      <c r="S47" s="105"/>
      <c r="T47" s="105"/>
      <c r="U47" s="105"/>
      <c r="V47" s="105"/>
      <c r="W47" s="105"/>
      <c r="X47" s="105"/>
      <c r="Y47" s="105"/>
      <c r="Z47" s="105"/>
      <c r="AA47" s="105"/>
      <c r="AB47" s="105"/>
      <c r="AC47" s="105"/>
    </row>
    <row r="48" spans="1:29" ht="38.25">
      <c r="A48" s="34" t="s">
        <v>11663</v>
      </c>
      <c r="B48" s="583" t="s">
        <v>11466</v>
      </c>
      <c r="C48" s="609" t="s">
        <v>11664</v>
      </c>
      <c r="D48" s="34" t="s">
        <v>11665</v>
      </c>
      <c r="E48" s="188"/>
      <c r="F48" s="34" t="s">
        <v>11666</v>
      </c>
      <c r="G48" s="34" t="s">
        <v>6132</v>
      </c>
      <c r="H48" s="623" t="s">
        <v>11667</v>
      </c>
      <c r="I48" s="34" t="s">
        <v>11668</v>
      </c>
      <c r="J48" s="34" t="s">
        <v>6872</v>
      </c>
      <c r="K48" s="105"/>
      <c r="L48" s="34" t="s">
        <v>6933</v>
      </c>
      <c r="M48" s="34"/>
      <c r="N48" s="34" t="s">
        <v>1828</v>
      </c>
      <c r="O48" s="105"/>
      <c r="P48" s="105"/>
      <c r="Q48" s="105"/>
      <c r="R48" s="105"/>
      <c r="S48" s="105"/>
      <c r="T48" s="105"/>
      <c r="U48" s="105"/>
      <c r="V48" s="105"/>
      <c r="W48" s="105"/>
      <c r="X48" s="105"/>
      <c r="Y48" s="105"/>
      <c r="Z48" s="105"/>
      <c r="AA48" s="105"/>
      <c r="AB48" s="105"/>
      <c r="AC48" s="105"/>
    </row>
    <row r="49" spans="1:29" ht="38.25">
      <c r="A49" s="34" t="s">
        <v>11669</v>
      </c>
      <c r="B49" s="583" t="s">
        <v>11466</v>
      </c>
      <c r="C49" s="609" t="s">
        <v>11670</v>
      </c>
      <c r="D49" s="34" t="s">
        <v>11671</v>
      </c>
      <c r="E49" s="188"/>
      <c r="F49" s="34" t="s">
        <v>11672</v>
      </c>
      <c r="G49" s="34" t="s">
        <v>6132</v>
      </c>
      <c r="H49" s="589" t="s">
        <v>11673</v>
      </c>
      <c r="I49" s="66" t="s">
        <v>11674</v>
      </c>
      <c r="J49" s="34" t="s">
        <v>6872</v>
      </c>
      <c r="K49" s="105"/>
      <c r="L49" s="34" t="s">
        <v>6933</v>
      </c>
      <c r="M49" s="34"/>
      <c r="N49" s="34" t="s">
        <v>5656</v>
      </c>
      <c r="O49" s="105"/>
      <c r="P49" s="105"/>
      <c r="Q49" s="105"/>
      <c r="R49" s="105"/>
      <c r="S49" s="105"/>
      <c r="T49" s="105"/>
      <c r="U49" s="105"/>
      <c r="V49" s="105"/>
      <c r="W49" s="105"/>
      <c r="X49" s="105"/>
      <c r="Y49" s="105"/>
      <c r="Z49" s="105"/>
      <c r="AA49" s="105"/>
      <c r="AB49" s="105"/>
      <c r="AC49" s="105"/>
    </row>
    <row r="50" spans="1:29" ht="38.25">
      <c r="A50" s="34" t="s">
        <v>11675</v>
      </c>
      <c r="B50" s="583" t="s">
        <v>11466</v>
      </c>
      <c r="C50" s="609" t="s">
        <v>11676</v>
      </c>
      <c r="D50" s="583" t="s">
        <v>11677</v>
      </c>
      <c r="E50" s="584"/>
      <c r="F50" s="34" t="s">
        <v>11678</v>
      </c>
      <c r="G50" s="34" t="s">
        <v>6132</v>
      </c>
      <c r="H50" s="623" t="s">
        <v>11679</v>
      </c>
      <c r="I50" s="34" t="s">
        <v>11680</v>
      </c>
      <c r="J50" s="34" t="s">
        <v>6872</v>
      </c>
      <c r="K50" s="105"/>
      <c r="L50" s="34" t="s">
        <v>6064</v>
      </c>
      <c r="M50" s="34"/>
      <c r="N50" s="34" t="s">
        <v>1828</v>
      </c>
      <c r="O50" s="105"/>
      <c r="P50" s="105"/>
      <c r="Q50" s="105"/>
      <c r="R50" s="105"/>
      <c r="S50" s="105"/>
      <c r="T50" s="105"/>
      <c r="U50" s="105"/>
      <c r="V50" s="105"/>
      <c r="W50" s="105"/>
      <c r="X50" s="105"/>
      <c r="Y50" s="105"/>
      <c r="Z50" s="105"/>
      <c r="AA50" s="105"/>
      <c r="AB50" s="105"/>
      <c r="AC50" s="105"/>
    </row>
    <row r="51" spans="1:29" ht="38.25">
      <c r="A51" s="34" t="s">
        <v>11681</v>
      </c>
      <c r="B51" s="583" t="s">
        <v>11466</v>
      </c>
      <c r="C51" s="609" t="s">
        <v>11682</v>
      </c>
      <c r="D51" s="34" t="s">
        <v>11683</v>
      </c>
      <c r="E51" s="188"/>
      <c r="F51" s="34" t="s">
        <v>11684</v>
      </c>
      <c r="G51" s="34" t="s">
        <v>6179</v>
      </c>
      <c r="H51" s="398" t="s">
        <v>11685</v>
      </c>
      <c r="I51" s="34" t="s">
        <v>11686</v>
      </c>
      <c r="J51" s="34" t="s">
        <v>6872</v>
      </c>
      <c r="K51" s="105"/>
      <c r="L51" s="34" t="s">
        <v>6064</v>
      </c>
      <c r="M51" s="34"/>
      <c r="N51" s="34"/>
      <c r="O51" s="105"/>
      <c r="P51" s="105"/>
      <c r="Q51" s="105"/>
      <c r="R51" s="105"/>
      <c r="S51" s="105"/>
      <c r="T51" s="105"/>
      <c r="U51" s="105"/>
      <c r="V51" s="105"/>
      <c r="W51" s="105"/>
      <c r="X51" s="105"/>
      <c r="Y51" s="105"/>
      <c r="Z51" s="105"/>
      <c r="AA51" s="105"/>
      <c r="AB51" s="105"/>
      <c r="AC51" s="105"/>
    </row>
    <row r="52" spans="1:29" ht="25.5">
      <c r="A52" s="34" t="s">
        <v>11687</v>
      </c>
      <c r="B52" s="583" t="s">
        <v>11466</v>
      </c>
      <c r="C52" s="609" t="s">
        <v>11688</v>
      </c>
      <c r="D52" s="34" t="s">
        <v>11689</v>
      </c>
      <c r="E52" s="188"/>
      <c r="F52" s="583" t="s">
        <v>11690</v>
      </c>
      <c r="G52" s="34" t="s">
        <v>6132</v>
      </c>
      <c r="H52" s="398" t="s">
        <v>11691</v>
      </c>
      <c r="I52" s="606" t="s">
        <v>11692</v>
      </c>
      <c r="J52" s="34" t="s">
        <v>6872</v>
      </c>
      <c r="K52" s="105"/>
      <c r="L52" s="34" t="s">
        <v>6064</v>
      </c>
      <c r="M52" s="34"/>
      <c r="N52" s="34" t="s">
        <v>2609</v>
      </c>
      <c r="O52" s="105"/>
      <c r="P52" s="105"/>
      <c r="Q52" s="105"/>
      <c r="R52" s="105"/>
      <c r="S52" s="105"/>
      <c r="T52" s="105"/>
      <c r="U52" s="105"/>
      <c r="V52" s="105"/>
      <c r="W52" s="105"/>
      <c r="X52" s="105"/>
      <c r="Y52" s="105"/>
      <c r="Z52" s="105"/>
      <c r="AA52" s="105"/>
      <c r="AB52" s="105"/>
      <c r="AC52" s="105"/>
    </row>
    <row r="53" spans="1:29" ht="38.25">
      <c r="A53" s="34" t="s">
        <v>11693</v>
      </c>
      <c r="B53" s="583" t="s">
        <v>11466</v>
      </c>
      <c r="C53" s="609" t="s">
        <v>11694</v>
      </c>
      <c r="D53" s="34" t="s">
        <v>11695</v>
      </c>
      <c r="E53" s="188"/>
      <c r="F53" s="34" t="s">
        <v>572</v>
      </c>
      <c r="G53" s="509" t="s">
        <v>1808</v>
      </c>
      <c r="H53" s="34" t="s">
        <v>5780</v>
      </c>
      <c r="I53" s="66">
        <v>25000</v>
      </c>
      <c r="J53" s="34" t="s">
        <v>6872</v>
      </c>
      <c r="K53" s="105"/>
      <c r="L53" s="34" t="s">
        <v>6064</v>
      </c>
      <c r="M53" s="34" t="s">
        <v>1824</v>
      </c>
      <c r="N53" s="34" t="s">
        <v>2460</v>
      </c>
      <c r="O53" s="105"/>
      <c r="P53" s="105"/>
      <c r="Q53" s="105"/>
      <c r="R53" s="105"/>
      <c r="S53" s="105"/>
      <c r="T53" s="105"/>
      <c r="U53" s="105"/>
      <c r="V53" s="105"/>
      <c r="W53" s="105"/>
      <c r="X53" s="105"/>
      <c r="Y53" s="105"/>
      <c r="Z53" s="105"/>
      <c r="AA53" s="105"/>
      <c r="AB53" s="105"/>
      <c r="AC53" s="105"/>
    </row>
    <row r="54" spans="1:29" ht="38.25">
      <c r="A54" s="34" t="s">
        <v>11696</v>
      </c>
      <c r="B54" s="583" t="s">
        <v>11466</v>
      </c>
      <c r="C54" s="609" t="s">
        <v>11697</v>
      </c>
      <c r="D54" s="34" t="s">
        <v>11698</v>
      </c>
      <c r="E54" s="188"/>
      <c r="F54" s="34" t="s">
        <v>11699</v>
      </c>
      <c r="G54" s="34" t="s">
        <v>6132</v>
      </c>
      <c r="H54" s="583" t="s">
        <v>11679</v>
      </c>
      <c r="I54" s="34" t="s">
        <v>11680</v>
      </c>
      <c r="J54" s="34" t="s">
        <v>6872</v>
      </c>
      <c r="K54" s="105"/>
      <c r="L54" s="34" t="s">
        <v>6064</v>
      </c>
      <c r="M54" s="34"/>
      <c r="N54" s="34"/>
      <c r="O54" s="105"/>
      <c r="P54" s="105"/>
      <c r="Q54" s="105"/>
      <c r="R54" s="105"/>
      <c r="S54" s="105"/>
      <c r="T54" s="105"/>
      <c r="U54" s="105"/>
      <c r="V54" s="105"/>
      <c r="W54" s="105"/>
      <c r="X54" s="105"/>
      <c r="Y54" s="105"/>
      <c r="Z54" s="105"/>
      <c r="AA54" s="105"/>
      <c r="AB54" s="105"/>
      <c r="AC54" s="105"/>
    </row>
    <row r="55" spans="1:29" ht="51">
      <c r="A55" s="34" t="s">
        <v>11700</v>
      </c>
      <c r="B55" s="583" t="s">
        <v>11466</v>
      </c>
      <c r="C55" s="609" t="s">
        <v>11701</v>
      </c>
      <c r="D55" s="34" t="s">
        <v>11702</v>
      </c>
      <c r="E55" s="188"/>
      <c r="F55" s="34" t="s">
        <v>11703</v>
      </c>
      <c r="G55" s="34" t="s">
        <v>6132</v>
      </c>
      <c r="H55" s="34"/>
      <c r="I55" s="34" t="s">
        <v>11704</v>
      </c>
      <c r="J55" s="34" t="s">
        <v>6872</v>
      </c>
      <c r="K55" s="105"/>
      <c r="L55" s="34" t="s">
        <v>6064</v>
      </c>
      <c r="M55" s="34"/>
      <c r="N55" s="34"/>
      <c r="O55" s="105"/>
      <c r="P55" s="105"/>
      <c r="Q55" s="105"/>
      <c r="R55" s="105"/>
      <c r="S55" s="105"/>
      <c r="T55" s="105"/>
      <c r="U55" s="105"/>
      <c r="V55" s="105"/>
      <c r="W55" s="105"/>
      <c r="X55" s="105"/>
      <c r="Y55" s="105"/>
      <c r="Z55" s="105"/>
      <c r="AA55" s="105"/>
      <c r="AB55" s="105"/>
      <c r="AC55" s="105"/>
    </row>
    <row r="56" spans="1:29" ht="25.5">
      <c r="A56" s="34" t="s">
        <v>11705</v>
      </c>
      <c r="B56" s="583" t="s">
        <v>11466</v>
      </c>
      <c r="C56" s="609" t="s">
        <v>11706</v>
      </c>
      <c r="D56" s="34" t="s">
        <v>11707</v>
      </c>
      <c r="E56" s="188"/>
      <c r="F56" s="34"/>
      <c r="G56" s="509" t="s">
        <v>1808</v>
      </c>
      <c r="H56" s="34" t="s">
        <v>11708</v>
      </c>
      <c r="I56" s="34" t="s">
        <v>11709</v>
      </c>
      <c r="J56" s="34" t="s">
        <v>6872</v>
      </c>
      <c r="K56" s="105"/>
      <c r="L56" s="34" t="s">
        <v>6064</v>
      </c>
      <c r="M56" s="34"/>
      <c r="N56" s="34" t="s">
        <v>1828</v>
      </c>
      <c r="O56" s="105"/>
      <c r="P56" s="105"/>
      <c r="Q56" s="105"/>
      <c r="R56" s="105"/>
      <c r="S56" s="105"/>
      <c r="T56" s="105"/>
      <c r="U56" s="105"/>
      <c r="V56" s="105"/>
      <c r="W56" s="105"/>
      <c r="X56" s="105"/>
      <c r="Y56" s="105"/>
      <c r="Z56" s="105"/>
      <c r="AA56" s="105"/>
      <c r="AB56" s="105"/>
      <c r="AC56" s="105"/>
    </row>
    <row r="57" spans="1:29" ht="38.25">
      <c r="A57" s="34" t="s">
        <v>11710</v>
      </c>
      <c r="B57" s="583" t="s">
        <v>11466</v>
      </c>
      <c r="C57" s="609" t="s">
        <v>11711</v>
      </c>
      <c r="D57" s="34" t="s">
        <v>11695</v>
      </c>
      <c r="E57" s="188"/>
      <c r="F57" s="34" t="s">
        <v>10394</v>
      </c>
      <c r="G57" s="509" t="s">
        <v>1808</v>
      </c>
      <c r="H57" s="34" t="s">
        <v>5780</v>
      </c>
      <c r="I57" s="66">
        <v>25000</v>
      </c>
      <c r="J57" s="34" t="s">
        <v>6872</v>
      </c>
      <c r="K57" s="105"/>
      <c r="L57" s="34" t="s">
        <v>6064</v>
      </c>
      <c r="M57" s="34" t="s">
        <v>1824</v>
      </c>
      <c r="N57" s="34" t="s">
        <v>2460</v>
      </c>
      <c r="O57" s="105"/>
      <c r="P57" s="105"/>
      <c r="Q57" s="105"/>
      <c r="R57" s="105"/>
      <c r="S57" s="105"/>
      <c r="T57" s="105"/>
      <c r="U57" s="105"/>
      <c r="V57" s="105"/>
      <c r="W57" s="105"/>
      <c r="X57" s="105"/>
      <c r="Y57" s="105"/>
      <c r="Z57" s="105"/>
      <c r="AA57" s="105"/>
      <c r="AB57" s="105"/>
      <c r="AC57" s="105"/>
    </row>
    <row r="58" spans="1:29" ht="38.25">
      <c r="A58" s="34" t="s">
        <v>11712</v>
      </c>
      <c r="B58" s="583" t="s">
        <v>11466</v>
      </c>
      <c r="C58" s="609" t="s">
        <v>11713</v>
      </c>
      <c r="D58" s="34" t="s">
        <v>11707</v>
      </c>
      <c r="E58" s="188"/>
      <c r="F58" s="34" t="s">
        <v>11714</v>
      </c>
      <c r="G58" s="34" t="s">
        <v>6179</v>
      </c>
      <c r="H58" s="583" t="s">
        <v>11708</v>
      </c>
      <c r="I58" s="34"/>
      <c r="J58" s="34" t="s">
        <v>6872</v>
      </c>
      <c r="K58" s="105"/>
      <c r="L58" s="34" t="s">
        <v>6064</v>
      </c>
      <c r="M58" s="34"/>
      <c r="N58" s="34" t="s">
        <v>1828</v>
      </c>
      <c r="O58" s="105"/>
      <c r="P58" s="105"/>
      <c r="Q58" s="105"/>
      <c r="R58" s="105"/>
      <c r="S58" s="105"/>
      <c r="T58" s="105"/>
      <c r="U58" s="105"/>
      <c r="V58" s="105"/>
      <c r="W58" s="105"/>
      <c r="X58" s="105"/>
      <c r="Y58" s="105"/>
      <c r="Z58" s="105"/>
      <c r="AA58" s="105"/>
      <c r="AB58" s="105"/>
      <c r="AC58" s="105"/>
    </row>
    <row r="59" spans="1:29" ht="25.5">
      <c r="A59" s="34" t="s">
        <v>11715</v>
      </c>
      <c r="B59" s="583" t="s">
        <v>11466</v>
      </c>
      <c r="C59" s="609" t="s">
        <v>11716</v>
      </c>
      <c r="D59" s="34" t="s">
        <v>11717</v>
      </c>
      <c r="E59" s="188"/>
      <c r="F59" s="34" t="s">
        <v>11718</v>
      </c>
      <c r="G59" s="509" t="s">
        <v>1808</v>
      </c>
      <c r="H59" s="398"/>
      <c r="I59" s="66">
        <v>300000</v>
      </c>
      <c r="J59" s="34" t="s">
        <v>6872</v>
      </c>
      <c r="K59" s="105"/>
      <c r="L59" s="34" t="s">
        <v>6064</v>
      </c>
      <c r="M59" s="34"/>
      <c r="N59" s="34"/>
      <c r="O59" s="105"/>
      <c r="P59" s="105"/>
      <c r="Q59" s="105"/>
      <c r="R59" s="105"/>
      <c r="S59" s="105"/>
      <c r="T59" s="105"/>
      <c r="U59" s="105"/>
      <c r="V59" s="105"/>
      <c r="W59" s="105"/>
      <c r="X59" s="105"/>
      <c r="Y59" s="105"/>
      <c r="Z59" s="105"/>
      <c r="AA59" s="105"/>
      <c r="AB59" s="105"/>
      <c r="AC59" s="105"/>
    </row>
    <row r="60" spans="1:29" ht="51">
      <c r="A60" s="34" t="s">
        <v>11719</v>
      </c>
      <c r="B60" s="583" t="s">
        <v>11466</v>
      </c>
      <c r="C60" s="609" t="s">
        <v>11720</v>
      </c>
      <c r="D60" s="34" t="s">
        <v>11721</v>
      </c>
      <c r="E60" s="188"/>
      <c r="F60" s="34" t="s">
        <v>11722</v>
      </c>
      <c r="G60" s="34" t="s">
        <v>6132</v>
      </c>
      <c r="H60" s="583" t="s">
        <v>11470</v>
      </c>
      <c r="I60" s="34" t="s">
        <v>11723</v>
      </c>
      <c r="J60" s="34" t="s">
        <v>6872</v>
      </c>
      <c r="K60" s="105"/>
      <c r="L60" s="34" t="s">
        <v>6941</v>
      </c>
      <c r="M60" s="34"/>
      <c r="N60" s="34" t="s">
        <v>1828</v>
      </c>
      <c r="O60" s="105"/>
      <c r="P60" s="105"/>
      <c r="Q60" s="105"/>
      <c r="R60" s="105"/>
      <c r="S60" s="105"/>
      <c r="T60" s="105"/>
      <c r="U60" s="105"/>
      <c r="V60" s="105"/>
      <c r="W60" s="105"/>
      <c r="X60" s="105"/>
      <c r="Y60" s="105"/>
      <c r="Z60" s="105"/>
      <c r="AA60" s="105"/>
      <c r="AB60" s="105"/>
      <c r="AC60" s="105"/>
    </row>
    <row r="61" spans="1:29" ht="25.5">
      <c r="A61" s="34" t="s">
        <v>11724</v>
      </c>
      <c r="B61" s="583" t="s">
        <v>11466</v>
      </c>
      <c r="C61" s="609" t="s">
        <v>11725</v>
      </c>
      <c r="D61" s="34" t="s">
        <v>11726</v>
      </c>
      <c r="E61" s="188"/>
      <c r="F61" s="34" t="s">
        <v>11727</v>
      </c>
      <c r="G61" s="34" t="s">
        <v>6132</v>
      </c>
      <c r="H61" s="398"/>
      <c r="I61" s="66">
        <v>51374</v>
      </c>
      <c r="J61" s="34" t="s">
        <v>6872</v>
      </c>
      <c r="K61" s="105"/>
      <c r="L61" s="34" t="s">
        <v>6933</v>
      </c>
      <c r="M61" s="34"/>
      <c r="N61" s="34" t="s">
        <v>2609</v>
      </c>
      <c r="O61" s="105"/>
      <c r="P61" s="105"/>
      <c r="Q61" s="105"/>
      <c r="R61" s="105"/>
      <c r="S61" s="105"/>
      <c r="T61" s="105"/>
      <c r="U61" s="105"/>
      <c r="V61" s="105"/>
      <c r="W61" s="105"/>
      <c r="X61" s="105"/>
      <c r="Y61" s="105"/>
      <c r="Z61" s="105"/>
      <c r="AA61" s="105"/>
      <c r="AB61" s="105"/>
      <c r="AC61" s="105"/>
    </row>
    <row r="62" spans="1:29" ht="25.5">
      <c r="A62" s="34" t="s">
        <v>11728</v>
      </c>
      <c r="B62" s="583" t="s">
        <v>11466</v>
      </c>
      <c r="C62" s="609" t="s">
        <v>11729</v>
      </c>
      <c r="D62" s="34" t="s">
        <v>11730</v>
      </c>
      <c r="E62" s="188"/>
      <c r="F62" s="34" t="s">
        <v>11731</v>
      </c>
      <c r="G62" s="34" t="s">
        <v>6179</v>
      </c>
      <c r="H62" s="398" t="s">
        <v>11470</v>
      </c>
      <c r="I62" s="34" t="s">
        <v>5024</v>
      </c>
      <c r="J62" s="34" t="s">
        <v>6872</v>
      </c>
      <c r="K62" s="105"/>
      <c r="L62" s="34" t="s">
        <v>6941</v>
      </c>
      <c r="M62" s="34"/>
      <c r="N62" s="34" t="s">
        <v>1828</v>
      </c>
      <c r="O62" s="105"/>
      <c r="P62" s="105"/>
      <c r="Q62" s="105"/>
      <c r="R62" s="105"/>
      <c r="S62" s="105"/>
      <c r="T62" s="105"/>
      <c r="U62" s="105"/>
      <c r="V62" s="105"/>
      <c r="W62" s="105"/>
      <c r="X62" s="105"/>
      <c r="Y62" s="105"/>
      <c r="Z62" s="105"/>
      <c r="AA62" s="105"/>
      <c r="AB62" s="105"/>
      <c r="AC62" s="105"/>
    </row>
    <row r="63" spans="1:29" ht="38.25">
      <c r="A63" s="34" t="s">
        <v>11732</v>
      </c>
      <c r="B63" s="583" t="s">
        <v>11466</v>
      </c>
      <c r="C63" s="609" t="s">
        <v>11733</v>
      </c>
      <c r="D63" s="34" t="s">
        <v>11734</v>
      </c>
      <c r="E63" s="188"/>
      <c r="F63" s="34" t="s">
        <v>3649</v>
      </c>
      <c r="G63" s="509" t="s">
        <v>1808</v>
      </c>
      <c r="H63" s="398"/>
      <c r="I63" s="34" t="s">
        <v>11735</v>
      </c>
      <c r="J63" s="34" t="s">
        <v>6872</v>
      </c>
      <c r="K63" s="105"/>
      <c r="L63" s="34" t="s">
        <v>6137</v>
      </c>
      <c r="M63" s="34"/>
      <c r="N63" s="34" t="s">
        <v>6822</v>
      </c>
      <c r="O63" s="105"/>
      <c r="P63" s="105"/>
      <c r="Q63" s="105"/>
      <c r="R63" s="105"/>
      <c r="S63" s="105"/>
      <c r="T63" s="105"/>
      <c r="U63" s="105"/>
      <c r="V63" s="105"/>
      <c r="W63" s="105"/>
      <c r="X63" s="105"/>
      <c r="Y63" s="105"/>
      <c r="Z63" s="105"/>
      <c r="AA63" s="105"/>
      <c r="AB63" s="105"/>
      <c r="AC63" s="105"/>
    </row>
    <row r="64" spans="1:29" ht="25.5">
      <c r="A64" s="34" t="s">
        <v>11736</v>
      </c>
      <c r="B64" s="583" t="s">
        <v>11466</v>
      </c>
      <c r="C64" s="609" t="s">
        <v>11737</v>
      </c>
      <c r="D64" s="34" t="s">
        <v>11738</v>
      </c>
      <c r="E64" s="188"/>
      <c r="F64" s="34" t="s">
        <v>11739</v>
      </c>
      <c r="G64" s="34" t="s">
        <v>6179</v>
      </c>
      <c r="H64" s="583" t="s">
        <v>11470</v>
      </c>
      <c r="I64" s="34" t="s">
        <v>5024</v>
      </c>
      <c r="J64" s="34" t="s">
        <v>6872</v>
      </c>
      <c r="K64" s="105"/>
      <c r="L64" s="34" t="s">
        <v>6941</v>
      </c>
      <c r="M64" s="34"/>
      <c r="N64" s="34" t="s">
        <v>1828</v>
      </c>
      <c r="O64" s="105"/>
      <c r="P64" s="105"/>
      <c r="Q64" s="105"/>
      <c r="R64" s="105"/>
      <c r="S64" s="105"/>
      <c r="T64" s="105"/>
      <c r="U64" s="105"/>
      <c r="V64" s="105"/>
      <c r="W64" s="105"/>
      <c r="X64" s="105"/>
      <c r="Y64" s="105"/>
      <c r="Z64" s="105"/>
      <c r="AA64" s="105"/>
      <c r="AB64" s="105"/>
      <c r="AC64" s="105"/>
    </row>
    <row r="65" spans="1:29" ht="38.25">
      <c r="A65" s="34" t="s">
        <v>11740</v>
      </c>
      <c r="B65" s="583" t="s">
        <v>11741</v>
      </c>
      <c r="C65" s="609" t="s">
        <v>11742</v>
      </c>
      <c r="D65" s="34" t="s">
        <v>11743</v>
      </c>
      <c r="E65" s="188"/>
      <c r="F65" s="34" t="s">
        <v>11744</v>
      </c>
      <c r="G65" s="509" t="s">
        <v>1808</v>
      </c>
      <c r="H65" s="398" t="s">
        <v>10660</v>
      </c>
      <c r="I65" s="66">
        <v>700000</v>
      </c>
      <c r="J65" s="34" t="s">
        <v>6872</v>
      </c>
      <c r="K65" s="105"/>
      <c r="L65" s="34" t="s">
        <v>6064</v>
      </c>
      <c r="M65" s="34" t="s">
        <v>1824</v>
      </c>
      <c r="N65" s="34" t="s">
        <v>2449</v>
      </c>
      <c r="O65" s="105"/>
      <c r="P65" s="105"/>
      <c r="Q65" s="105"/>
      <c r="R65" s="105"/>
      <c r="S65" s="105"/>
      <c r="T65" s="105"/>
      <c r="U65" s="105"/>
      <c r="V65" s="105"/>
      <c r="W65" s="105"/>
      <c r="X65" s="105"/>
      <c r="Y65" s="105"/>
      <c r="Z65" s="105"/>
      <c r="AA65" s="105"/>
      <c r="AB65" s="105"/>
      <c r="AC65" s="105"/>
    </row>
    <row r="66" spans="1:29" ht="25.5">
      <c r="A66" s="34" t="s">
        <v>11745</v>
      </c>
      <c r="B66" s="583" t="s">
        <v>11746</v>
      </c>
      <c r="C66" s="609" t="s">
        <v>11747</v>
      </c>
      <c r="D66" s="34" t="s">
        <v>11748</v>
      </c>
      <c r="E66" s="188"/>
      <c r="F66" s="34" t="s">
        <v>11749</v>
      </c>
      <c r="G66" s="34" t="s">
        <v>6179</v>
      </c>
      <c r="H66" s="34" t="s">
        <v>11470</v>
      </c>
      <c r="I66" s="66">
        <v>237635</v>
      </c>
      <c r="J66" s="34" t="s">
        <v>5578</v>
      </c>
      <c r="K66" s="105"/>
      <c r="L66" s="34" t="s">
        <v>6217</v>
      </c>
      <c r="M66" s="34"/>
      <c r="N66" s="34" t="s">
        <v>1828</v>
      </c>
      <c r="O66" s="105"/>
      <c r="P66" s="105"/>
      <c r="Q66" s="105"/>
      <c r="R66" s="105"/>
      <c r="S66" s="105"/>
      <c r="T66" s="105"/>
      <c r="U66" s="105"/>
      <c r="V66" s="105"/>
      <c r="W66" s="105"/>
      <c r="X66" s="105"/>
      <c r="Y66" s="105"/>
      <c r="Z66" s="105"/>
      <c r="AA66" s="105"/>
      <c r="AB66" s="105"/>
      <c r="AC66" s="105"/>
    </row>
    <row r="67" spans="1:29" ht="38.25">
      <c r="A67" s="34" t="s">
        <v>11750</v>
      </c>
      <c r="B67" s="583" t="s">
        <v>11751</v>
      </c>
      <c r="C67" s="609" t="s">
        <v>11752</v>
      </c>
      <c r="D67" s="34" t="s">
        <v>11753</v>
      </c>
      <c r="E67" s="188"/>
      <c r="F67" s="34" t="s">
        <v>11754</v>
      </c>
      <c r="G67" s="509" t="s">
        <v>1808</v>
      </c>
      <c r="H67" s="34" t="s">
        <v>10616</v>
      </c>
      <c r="I67" s="66">
        <v>500000</v>
      </c>
      <c r="J67" s="34" t="s">
        <v>6872</v>
      </c>
      <c r="K67" s="105"/>
      <c r="L67" s="34" t="s">
        <v>6064</v>
      </c>
      <c r="M67" s="34" t="s">
        <v>1824</v>
      </c>
      <c r="N67" s="34" t="s">
        <v>6783</v>
      </c>
      <c r="O67" s="105"/>
      <c r="P67" s="105"/>
      <c r="Q67" s="105"/>
      <c r="R67" s="105"/>
      <c r="S67" s="105"/>
      <c r="T67" s="105"/>
      <c r="U67" s="105"/>
      <c r="V67" s="105"/>
      <c r="W67" s="105"/>
      <c r="X67" s="105"/>
      <c r="Y67" s="105"/>
      <c r="Z67" s="105"/>
      <c r="AA67" s="105"/>
      <c r="AB67" s="105"/>
      <c r="AC67" s="105"/>
    </row>
    <row r="68" spans="1:29" ht="38.25">
      <c r="A68" s="34" t="s">
        <v>11755</v>
      </c>
      <c r="B68" s="583" t="s">
        <v>11746</v>
      </c>
      <c r="C68" s="609" t="s">
        <v>11756</v>
      </c>
      <c r="D68" s="34" t="s">
        <v>6174</v>
      </c>
      <c r="E68" s="188"/>
      <c r="F68" s="34" t="s">
        <v>11757</v>
      </c>
      <c r="G68" s="34" t="s">
        <v>6179</v>
      </c>
      <c r="H68" s="34" t="s">
        <v>11758</v>
      </c>
      <c r="I68" s="66">
        <v>212165</v>
      </c>
      <c r="J68" s="34" t="s">
        <v>5578</v>
      </c>
      <c r="K68" s="105"/>
      <c r="L68" s="34" t="s">
        <v>6108</v>
      </c>
      <c r="M68" s="34"/>
      <c r="N68" s="34" t="s">
        <v>1828</v>
      </c>
      <c r="O68" s="105"/>
      <c r="P68" s="105"/>
      <c r="Q68" s="105"/>
      <c r="R68" s="105"/>
      <c r="S68" s="105"/>
      <c r="T68" s="105"/>
      <c r="U68" s="105"/>
      <c r="V68" s="105"/>
      <c r="W68" s="105"/>
      <c r="X68" s="105"/>
      <c r="Y68" s="105"/>
      <c r="Z68" s="105"/>
      <c r="AA68" s="105"/>
      <c r="AB68" s="105"/>
      <c r="AC68" s="105"/>
    </row>
    <row r="69" spans="1:29" ht="25.5">
      <c r="A69" s="34" t="s">
        <v>11759</v>
      </c>
      <c r="B69" s="583" t="s">
        <v>11746</v>
      </c>
      <c r="C69" s="609" t="s">
        <v>11760</v>
      </c>
      <c r="D69" s="34" t="s">
        <v>11761</v>
      </c>
      <c r="E69" s="188"/>
      <c r="F69" s="34" t="s">
        <v>11762</v>
      </c>
      <c r="G69" s="34" t="s">
        <v>6132</v>
      </c>
      <c r="H69" s="34" t="s">
        <v>11763</v>
      </c>
      <c r="I69" s="65">
        <v>78591</v>
      </c>
      <c r="J69" s="34" t="s">
        <v>5578</v>
      </c>
      <c r="K69" s="105"/>
      <c r="L69" s="34" t="s">
        <v>6092</v>
      </c>
      <c r="M69" s="34"/>
      <c r="N69" s="34" t="s">
        <v>1828</v>
      </c>
      <c r="O69" s="105"/>
      <c r="P69" s="105"/>
      <c r="Q69" s="105"/>
      <c r="R69" s="105"/>
      <c r="S69" s="105"/>
      <c r="T69" s="105"/>
      <c r="U69" s="105"/>
      <c r="V69" s="105"/>
      <c r="W69" s="105"/>
      <c r="X69" s="105"/>
      <c r="Y69" s="105"/>
      <c r="Z69" s="105"/>
      <c r="AA69" s="105"/>
      <c r="AB69" s="105"/>
      <c r="AC69" s="105"/>
    </row>
    <row r="70" spans="1:29" ht="25.5">
      <c r="A70" s="34" t="s">
        <v>11764</v>
      </c>
      <c r="B70" s="583" t="s">
        <v>11751</v>
      </c>
      <c r="C70" s="609" t="s">
        <v>11765</v>
      </c>
      <c r="D70" s="34" t="s">
        <v>11766</v>
      </c>
      <c r="E70" s="188"/>
      <c r="F70" s="34" t="s">
        <v>11767</v>
      </c>
      <c r="G70" s="509" t="s">
        <v>1808</v>
      </c>
      <c r="H70" s="34"/>
      <c r="I70" s="65">
        <v>665552</v>
      </c>
      <c r="J70" s="34" t="s">
        <v>6872</v>
      </c>
      <c r="K70" s="105"/>
      <c r="L70" s="34" t="s">
        <v>6137</v>
      </c>
      <c r="M70" s="34"/>
      <c r="N70" s="34"/>
      <c r="O70" s="105"/>
      <c r="P70" s="105"/>
      <c r="Q70" s="105"/>
      <c r="R70" s="105"/>
      <c r="S70" s="105"/>
      <c r="T70" s="105"/>
      <c r="U70" s="105"/>
      <c r="V70" s="105"/>
      <c r="W70" s="105"/>
      <c r="X70" s="105"/>
      <c r="Y70" s="105"/>
      <c r="Z70" s="105"/>
      <c r="AA70" s="105"/>
      <c r="AB70" s="105"/>
      <c r="AC70" s="105"/>
    </row>
    <row r="71" spans="1:29" ht="25.5">
      <c r="A71" s="34" t="s">
        <v>11768</v>
      </c>
      <c r="B71" s="583" t="s">
        <v>11769</v>
      </c>
      <c r="C71" s="609" t="s">
        <v>11770</v>
      </c>
      <c r="D71" s="34" t="s">
        <v>11771</v>
      </c>
      <c r="E71" s="188"/>
      <c r="F71" s="34" t="s">
        <v>11772</v>
      </c>
      <c r="G71" s="509" t="s">
        <v>1808</v>
      </c>
      <c r="H71" s="34" t="s">
        <v>11773</v>
      </c>
      <c r="I71" s="66">
        <v>70000</v>
      </c>
      <c r="J71" s="34" t="s">
        <v>6872</v>
      </c>
      <c r="K71" s="105"/>
      <c r="L71" s="34" t="s">
        <v>6137</v>
      </c>
      <c r="M71" s="34"/>
      <c r="N71" s="34"/>
      <c r="O71" s="105"/>
      <c r="P71" s="105"/>
      <c r="Q71" s="105"/>
      <c r="R71" s="105"/>
      <c r="S71" s="105"/>
      <c r="T71" s="105"/>
      <c r="U71" s="105"/>
      <c r="V71" s="105"/>
      <c r="W71" s="105"/>
      <c r="X71" s="105"/>
      <c r="Y71" s="105"/>
      <c r="Z71" s="105"/>
      <c r="AA71" s="105"/>
      <c r="AB71" s="105"/>
      <c r="AC71" s="105"/>
    </row>
    <row r="72" spans="1:29" ht="38.25">
      <c r="A72" s="34" t="s">
        <v>11774</v>
      </c>
      <c r="B72" s="583" t="s">
        <v>11466</v>
      </c>
      <c r="C72" s="609" t="s">
        <v>11775</v>
      </c>
      <c r="D72" s="34" t="s">
        <v>11776</v>
      </c>
      <c r="E72" s="188"/>
      <c r="F72" s="34" t="s">
        <v>11777</v>
      </c>
      <c r="G72" s="34" t="s">
        <v>6132</v>
      </c>
      <c r="H72" s="398" t="s">
        <v>11778</v>
      </c>
      <c r="I72" s="34" t="s">
        <v>11779</v>
      </c>
      <c r="J72" s="34" t="s">
        <v>6872</v>
      </c>
      <c r="K72" s="105"/>
      <c r="L72" s="34" t="s">
        <v>6064</v>
      </c>
      <c r="M72" s="34"/>
      <c r="N72" s="34" t="s">
        <v>11780</v>
      </c>
      <c r="O72" s="105"/>
      <c r="P72" s="105"/>
      <c r="Q72" s="105"/>
      <c r="R72" s="105"/>
      <c r="S72" s="105"/>
      <c r="T72" s="105"/>
      <c r="U72" s="105"/>
      <c r="V72" s="105"/>
      <c r="W72" s="105"/>
      <c r="X72" s="105"/>
      <c r="Y72" s="105"/>
      <c r="Z72" s="105"/>
      <c r="AA72" s="105"/>
      <c r="AB72" s="105"/>
      <c r="AC72" s="105"/>
    </row>
    <row r="73" spans="1:29" ht="38.25">
      <c r="A73" s="34" t="s">
        <v>11781</v>
      </c>
      <c r="B73" s="583" t="s">
        <v>11466</v>
      </c>
      <c r="C73" s="609" t="s">
        <v>11782</v>
      </c>
      <c r="D73" s="34" t="s">
        <v>11783</v>
      </c>
      <c r="E73" s="188"/>
      <c r="F73" s="34" t="s">
        <v>11784</v>
      </c>
      <c r="G73" s="34" t="s">
        <v>6132</v>
      </c>
      <c r="H73" s="34" t="s">
        <v>11785</v>
      </c>
      <c r="I73" s="34" t="s">
        <v>11786</v>
      </c>
      <c r="J73" s="34" t="s">
        <v>6872</v>
      </c>
      <c r="K73" s="105"/>
      <c r="L73" s="34" t="s">
        <v>6092</v>
      </c>
      <c r="M73" s="34"/>
      <c r="N73" s="34" t="s">
        <v>6370</v>
      </c>
      <c r="O73" s="105"/>
      <c r="P73" s="105"/>
      <c r="Q73" s="105"/>
      <c r="R73" s="105"/>
      <c r="S73" s="105"/>
      <c r="T73" s="105"/>
      <c r="U73" s="105"/>
      <c r="V73" s="105"/>
      <c r="W73" s="105"/>
      <c r="X73" s="105"/>
      <c r="Y73" s="105"/>
      <c r="Z73" s="105"/>
      <c r="AA73" s="105"/>
      <c r="AB73" s="105"/>
      <c r="AC73" s="105"/>
    </row>
    <row r="74" spans="1:29" ht="25.5">
      <c r="A74" s="34" t="s">
        <v>11787</v>
      </c>
      <c r="B74" s="583" t="s">
        <v>11466</v>
      </c>
      <c r="C74" s="609" t="s">
        <v>11788</v>
      </c>
      <c r="D74" s="34" t="s">
        <v>11789</v>
      </c>
      <c r="E74" s="188"/>
      <c r="F74" s="34" t="s">
        <v>11790</v>
      </c>
      <c r="G74" s="34" t="s">
        <v>6132</v>
      </c>
      <c r="H74" s="34" t="s">
        <v>11791</v>
      </c>
      <c r="I74" s="66">
        <v>363600</v>
      </c>
      <c r="J74" s="34" t="s">
        <v>6872</v>
      </c>
      <c r="K74" s="105"/>
      <c r="L74" s="34" t="s">
        <v>6137</v>
      </c>
      <c r="M74" s="34"/>
      <c r="N74" s="34"/>
      <c r="O74" s="105"/>
      <c r="P74" s="105"/>
      <c r="Q74" s="105"/>
      <c r="R74" s="105"/>
      <c r="S74" s="105"/>
      <c r="T74" s="105"/>
      <c r="U74" s="105"/>
      <c r="V74" s="105"/>
      <c r="W74" s="105"/>
      <c r="X74" s="105"/>
      <c r="Y74" s="105"/>
      <c r="Z74" s="105"/>
      <c r="AA74" s="105"/>
      <c r="AB74" s="105"/>
      <c r="AC74" s="105"/>
    </row>
    <row r="75" spans="1:29" ht="25.5">
      <c r="A75" s="34" t="s">
        <v>11792</v>
      </c>
      <c r="B75" s="583" t="s">
        <v>11466</v>
      </c>
      <c r="C75" s="609" t="s">
        <v>11793</v>
      </c>
      <c r="D75" s="34" t="s">
        <v>11794</v>
      </c>
      <c r="E75" s="188"/>
      <c r="F75" s="34" t="s">
        <v>11795</v>
      </c>
      <c r="G75" s="509" t="s">
        <v>1808</v>
      </c>
      <c r="H75" s="34" t="s">
        <v>11796</v>
      </c>
      <c r="I75" s="66">
        <v>74975</v>
      </c>
      <c r="J75" s="34" t="s">
        <v>6872</v>
      </c>
      <c r="K75" s="105"/>
      <c r="L75" s="34" t="s">
        <v>6137</v>
      </c>
      <c r="M75" s="34"/>
      <c r="N75" s="34" t="s">
        <v>2460</v>
      </c>
      <c r="O75" s="105"/>
      <c r="P75" s="105"/>
      <c r="Q75" s="105"/>
      <c r="R75" s="105"/>
      <c r="S75" s="105"/>
      <c r="T75" s="105"/>
      <c r="U75" s="105"/>
      <c r="V75" s="105"/>
      <c r="W75" s="105"/>
      <c r="X75" s="105"/>
      <c r="Y75" s="105"/>
      <c r="Z75" s="105"/>
      <c r="AA75" s="105"/>
      <c r="AB75" s="105"/>
      <c r="AC75" s="105"/>
    </row>
    <row r="76" spans="1:29" ht="25.5">
      <c r="A76" s="34" t="s">
        <v>11797</v>
      </c>
      <c r="B76" s="583" t="s">
        <v>11466</v>
      </c>
      <c r="C76" s="609" t="s">
        <v>11798</v>
      </c>
      <c r="D76" s="34" t="s">
        <v>11799</v>
      </c>
      <c r="E76" s="188"/>
      <c r="F76" s="34" t="s">
        <v>11800</v>
      </c>
      <c r="G76" s="509" t="s">
        <v>1808</v>
      </c>
      <c r="H76" s="34" t="s">
        <v>3686</v>
      </c>
      <c r="I76" s="66">
        <v>287500</v>
      </c>
      <c r="J76" s="34" t="s">
        <v>6872</v>
      </c>
      <c r="K76" s="105"/>
      <c r="L76" s="34" t="s">
        <v>6064</v>
      </c>
      <c r="M76" s="34"/>
      <c r="N76" s="34" t="s">
        <v>2656</v>
      </c>
      <c r="O76" s="105"/>
      <c r="P76" s="105"/>
      <c r="Q76" s="105"/>
      <c r="R76" s="105"/>
      <c r="S76" s="105"/>
      <c r="T76" s="105"/>
      <c r="U76" s="105"/>
      <c r="V76" s="105"/>
      <c r="W76" s="105"/>
      <c r="X76" s="105"/>
      <c r="Y76" s="105"/>
      <c r="Z76" s="105"/>
      <c r="AA76" s="105"/>
      <c r="AB76" s="105"/>
      <c r="AC76" s="105"/>
    </row>
    <row r="77" spans="1:29" ht="38.25">
      <c r="A77" s="34" t="s">
        <v>11801</v>
      </c>
      <c r="B77" s="583" t="s">
        <v>11746</v>
      </c>
      <c r="C77" s="609" t="s">
        <v>11802</v>
      </c>
      <c r="D77" s="34" t="s">
        <v>11803</v>
      </c>
      <c r="E77" s="188"/>
      <c r="F77" s="34" t="s">
        <v>11804</v>
      </c>
      <c r="G77" s="509" t="s">
        <v>1808</v>
      </c>
      <c r="H77" s="34" t="s">
        <v>8375</v>
      </c>
      <c r="I77" s="66">
        <v>561200</v>
      </c>
      <c r="J77" s="34" t="s">
        <v>5578</v>
      </c>
      <c r="K77" s="105"/>
      <c r="L77" s="34" t="s">
        <v>6064</v>
      </c>
      <c r="M77" s="34"/>
      <c r="N77" s="34" t="s">
        <v>2467</v>
      </c>
      <c r="O77" s="105"/>
      <c r="P77" s="105"/>
      <c r="Q77" s="105"/>
      <c r="R77" s="105"/>
      <c r="S77" s="105"/>
      <c r="T77" s="105"/>
      <c r="U77" s="105"/>
      <c r="V77" s="105"/>
      <c r="W77" s="105"/>
      <c r="X77" s="105"/>
      <c r="Y77" s="105"/>
      <c r="Z77" s="105"/>
      <c r="AA77" s="105"/>
      <c r="AB77" s="105"/>
      <c r="AC77" s="105"/>
    </row>
    <row r="78" spans="1:29" ht="25.5">
      <c r="A78" s="34" t="s">
        <v>11805</v>
      </c>
      <c r="B78" s="583" t="s">
        <v>11806</v>
      </c>
      <c r="C78" s="609" t="s">
        <v>11807</v>
      </c>
      <c r="D78" s="34" t="s">
        <v>11808</v>
      </c>
      <c r="E78" s="188"/>
      <c r="F78" s="34" t="s">
        <v>11809</v>
      </c>
      <c r="G78" s="509" t="s">
        <v>1808</v>
      </c>
      <c r="H78" s="34" t="s">
        <v>11810</v>
      </c>
      <c r="I78" s="65">
        <v>995292.54</v>
      </c>
      <c r="J78" s="34" t="s">
        <v>6872</v>
      </c>
      <c r="K78" s="105"/>
      <c r="L78" s="34" t="s">
        <v>6064</v>
      </c>
      <c r="M78" s="34"/>
      <c r="N78" s="34" t="s">
        <v>2467</v>
      </c>
      <c r="O78" s="105"/>
      <c r="P78" s="105"/>
      <c r="Q78" s="105"/>
      <c r="R78" s="105"/>
      <c r="S78" s="105"/>
      <c r="T78" s="105"/>
      <c r="U78" s="105"/>
      <c r="V78" s="105"/>
      <c r="W78" s="105"/>
      <c r="X78" s="105"/>
      <c r="Y78" s="105"/>
      <c r="Z78" s="105"/>
      <c r="AA78" s="105"/>
      <c r="AB78" s="105"/>
      <c r="AC78" s="105"/>
    </row>
    <row r="79" spans="1:29" ht="25.5">
      <c r="A79" s="34" t="s">
        <v>11811</v>
      </c>
      <c r="B79" s="583" t="s">
        <v>11466</v>
      </c>
      <c r="C79" s="609" t="s">
        <v>11812</v>
      </c>
      <c r="D79" s="34" t="s">
        <v>11813</v>
      </c>
      <c r="E79" s="188"/>
      <c r="F79" s="34" t="s">
        <v>1442</v>
      </c>
      <c r="G79" s="509" t="s">
        <v>1808</v>
      </c>
      <c r="H79" s="34" t="s">
        <v>10616</v>
      </c>
      <c r="I79" s="34" t="s">
        <v>11814</v>
      </c>
      <c r="J79" s="34" t="s">
        <v>6872</v>
      </c>
      <c r="K79" s="105"/>
      <c r="L79" s="34" t="s">
        <v>6064</v>
      </c>
      <c r="M79" s="34" t="s">
        <v>1824</v>
      </c>
      <c r="N79" s="34" t="s">
        <v>6783</v>
      </c>
      <c r="O79" s="105"/>
      <c r="P79" s="105"/>
      <c r="Q79" s="105"/>
      <c r="R79" s="105"/>
      <c r="S79" s="105"/>
      <c r="T79" s="105"/>
      <c r="U79" s="105"/>
      <c r="V79" s="105"/>
      <c r="W79" s="105"/>
      <c r="X79" s="105"/>
      <c r="Y79" s="105"/>
      <c r="Z79" s="105"/>
      <c r="AA79" s="105"/>
      <c r="AB79" s="105"/>
      <c r="AC79" s="105"/>
    </row>
    <row r="80" spans="1:29" ht="23.25" customHeight="1">
      <c r="A80" s="34" t="s">
        <v>11815</v>
      </c>
      <c r="B80" s="583" t="s">
        <v>11746</v>
      </c>
      <c r="C80" s="609" t="s">
        <v>11816</v>
      </c>
      <c r="D80" s="34" t="s">
        <v>11817</v>
      </c>
      <c r="E80" s="188"/>
      <c r="F80" s="34" t="s">
        <v>11818</v>
      </c>
      <c r="G80" s="509" t="s">
        <v>1808</v>
      </c>
      <c r="H80" s="34" t="s">
        <v>11819</v>
      </c>
      <c r="I80" s="34" t="s">
        <v>11820</v>
      </c>
      <c r="J80" s="34" t="s">
        <v>5578</v>
      </c>
      <c r="K80" s="105"/>
      <c r="L80" s="34" t="s">
        <v>6064</v>
      </c>
      <c r="M80" s="34"/>
      <c r="N80" s="34" t="s">
        <v>2613</v>
      </c>
      <c r="O80" s="105"/>
      <c r="P80" s="105"/>
      <c r="Q80" s="105"/>
      <c r="R80" s="105"/>
      <c r="S80" s="105"/>
      <c r="T80" s="105"/>
      <c r="U80" s="105"/>
      <c r="V80" s="105"/>
      <c r="W80" s="105"/>
      <c r="X80" s="105"/>
      <c r="Y80" s="105"/>
      <c r="Z80" s="105"/>
      <c r="AA80" s="105"/>
      <c r="AB80" s="105"/>
      <c r="AC80" s="105"/>
    </row>
    <row r="81" spans="1:29" ht="38.25">
      <c r="A81" s="34" t="s">
        <v>11821</v>
      </c>
      <c r="B81" s="583" t="s">
        <v>11466</v>
      </c>
      <c r="C81" s="609" t="s">
        <v>11822</v>
      </c>
      <c r="D81" s="34" t="s">
        <v>11823</v>
      </c>
      <c r="E81" s="188"/>
      <c r="F81" s="34" t="s">
        <v>11824</v>
      </c>
      <c r="G81" s="509" t="s">
        <v>1808</v>
      </c>
      <c r="H81" s="589" t="s">
        <v>11825</v>
      </c>
      <c r="I81" s="66">
        <v>85000</v>
      </c>
      <c r="J81" s="34" t="s">
        <v>6872</v>
      </c>
      <c r="K81" s="105"/>
      <c r="L81" s="34" t="s">
        <v>6703</v>
      </c>
      <c r="M81" s="34"/>
      <c r="N81" s="34" t="s">
        <v>2449</v>
      </c>
      <c r="O81" s="105"/>
      <c r="P81" s="105"/>
      <c r="Q81" s="105"/>
      <c r="R81" s="105"/>
      <c r="S81" s="105"/>
      <c r="T81" s="105"/>
      <c r="U81" s="105"/>
      <c r="V81" s="105"/>
      <c r="W81" s="105"/>
      <c r="X81" s="105"/>
      <c r="Y81" s="105"/>
      <c r="Z81" s="105"/>
      <c r="AA81" s="105"/>
      <c r="AB81" s="105"/>
      <c r="AC81" s="105"/>
    </row>
    <row r="82" spans="1:29" ht="38.25">
      <c r="A82" s="34" t="s">
        <v>11826</v>
      </c>
      <c r="B82" s="583" t="s">
        <v>11827</v>
      </c>
      <c r="C82" s="609" t="s">
        <v>11828</v>
      </c>
      <c r="D82" s="34" t="s">
        <v>11829</v>
      </c>
      <c r="E82" s="188"/>
      <c r="F82" s="34" t="s">
        <v>11830</v>
      </c>
      <c r="G82" s="34" t="s">
        <v>6132</v>
      </c>
      <c r="H82" s="623" t="s">
        <v>11831</v>
      </c>
      <c r="I82" s="34" t="s">
        <v>11832</v>
      </c>
      <c r="J82" s="398" t="s">
        <v>6872</v>
      </c>
      <c r="K82" s="105"/>
      <c r="L82" s="34" t="s">
        <v>6064</v>
      </c>
      <c r="M82" s="34"/>
      <c r="N82" s="34" t="s">
        <v>2449</v>
      </c>
      <c r="O82" s="105"/>
      <c r="P82" s="105"/>
      <c r="Q82" s="105"/>
      <c r="R82" s="105"/>
      <c r="S82" s="105"/>
      <c r="T82" s="105"/>
      <c r="U82" s="105"/>
      <c r="V82" s="105"/>
      <c r="W82" s="105"/>
      <c r="X82" s="105"/>
      <c r="Y82" s="105"/>
      <c r="Z82" s="105"/>
      <c r="AA82" s="105"/>
      <c r="AB82" s="105"/>
      <c r="AC82" s="105"/>
    </row>
    <row r="83" spans="1:29" ht="25.5">
      <c r="A83" s="34" t="s">
        <v>11833</v>
      </c>
      <c r="B83" s="583" t="s">
        <v>11466</v>
      </c>
      <c r="C83" s="609" t="s">
        <v>11834</v>
      </c>
      <c r="D83" s="34" t="s">
        <v>11835</v>
      </c>
      <c r="E83" s="188"/>
      <c r="F83" s="34" t="s">
        <v>11836</v>
      </c>
      <c r="G83" s="509" t="s">
        <v>1808</v>
      </c>
      <c r="H83" s="34"/>
      <c r="I83" s="34" t="s">
        <v>11837</v>
      </c>
      <c r="J83" s="398" t="s">
        <v>6872</v>
      </c>
      <c r="K83" s="105"/>
      <c r="L83" s="34" t="s">
        <v>6064</v>
      </c>
      <c r="M83" s="34" t="s">
        <v>1824</v>
      </c>
      <c r="N83" s="34" t="s">
        <v>6809</v>
      </c>
      <c r="O83" s="105"/>
      <c r="P83" s="105"/>
      <c r="Q83" s="105"/>
      <c r="R83" s="105"/>
      <c r="S83" s="105"/>
      <c r="T83" s="105"/>
      <c r="U83" s="105"/>
      <c r="V83" s="105"/>
      <c r="W83" s="105"/>
      <c r="X83" s="105"/>
      <c r="Y83" s="105"/>
      <c r="Z83" s="105"/>
      <c r="AA83" s="105"/>
      <c r="AB83" s="105"/>
      <c r="AC83" s="105"/>
    </row>
    <row r="84" spans="1:29" ht="102">
      <c r="A84" s="34" t="s">
        <v>11838</v>
      </c>
      <c r="B84" s="583" t="s">
        <v>11839</v>
      </c>
      <c r="C84" s="609" t="s">
        <v>11840</v>
      </c>
      <c r="D84" s="34" t="s">
        <v>11841</v>
      </c>
      <c r="E84" s="188" t="s">
        <v>11842</v>
      </c>
      <c r="F84" s="34" t="s">
        <v>11843</v>
      </c>
      <c r="G84" s="509" t="s">
        <v>1808</v>
      </c>
      <c r="H84" s="34" t="s">
        <v>11844</v>
      </c>
      <c r="I84" s="66">
        <v>220000</v>
      </c>
      <c r="J84" s="398" t="s">
        <v>6872</v>
      </c>
      <c r="K84" s="105"/>
      <c r="L84" s="34" t="s">
        <v>6064</v>
      </c>
      <c r="M84" s="34"/>
      <c r="N84" s="34" t="s">
        <v>2467</v>
      </c>
      <c r="O84" s="105"/>
      <c r="P84" s="105"/>
      <c r="Q84" s="105"/>
      <c r="R84" s="105"/>
      <c r="S84" s="105"/>
      <c r="T84" s="105"/>
      <c r="U84" s="105"/>
      <c r="V84" s="105"/>
      <c r="W84" s="105"/>
      <c r="X84" s="105"/>
      <c r="Y84" s="105"/>
      <c r="Z84" s="105"/>
      <c r="AA84" s="105"/>
      <c r="AB84" s="105"/>
      <c r="AC84" s="105"/>
    </row>
    <row r="85" spans="1:29" ht="51">
      <c r="A85" s="34" t="s">
        <v>11845</v>
      </c>
      <c r="B85" s="583" t="s">
        <v>11846</v>
      </c>
      <c r="C85" s="609" t="s">
        <v>11847</v>
      </c>
      <c r="D85" s="34" t="s">
        <v>11848</v>
      </c>
      <c r="E85" s="188" t="s">
        <v>11849</v>
      </c>
      <c r="F85" s="34" t="s">
        <v>11850</v>
      </c>
      <c r="G85" s="509" t="s">
        <v>1808</v>
      </c>
      <c r="H85" s="34" t="s">
        <v>11851</v>
      </c>
      <c r="I85" s="66">
        <v>7500</v>
      </c>
      <c r="J85" s="34" t="s">
        <v>6872</v>
      </c>
      <c r="K85" s="105"/>
      <c r="L85" s="34" t="s">
        <v>6064</v>
      </c>
      <c r="M85" s="34"/>
      <c r="N85" s="34"/>
      <c r="O85" s="105"/>
      <c r="P85" s="105"/>
      <c r="Q85" s="105"/>
      <c r="R85" s="105"/>
      <c r="S85" s="105"/>
      <c r="T85" s="105"/>
      <c r="U85" s="105"/>
      <c r="V85" s="105"/>
      <c r="W85" s="105"/>
      <c r="X85" s="105"/>
      <c r="Y85" s="105"/>
      <c r="Z85" s="105"/>
      <c r="AA85" s="105"/>
      <c r="AB85" s="105"/>
      <c r="AC85" s="105"/>
    </row>
    <row r="86" spans="1:29" ht="76.5">
      <c r="A86" s="34" t="s">
        <v>11852</v>
      </c>
      <c r="B86" s="583" t="s">
        <v>11846</v>
      </c>
      <c r="C86" s="609" t="s">
        <v>11853</v>
      </c>
      <c r="D86" s="34" t="s">
        <v>11854</v>
      </c>
      <c r="E86" s="188" t="s">
        <v>11855</v>
      </c>
      <c r="F86" s="34" t="s">
        <v>11856</v>
      </c>
      <c r="G86" s="509" t="s">
        <v>1808</v>
      </c>
      <c r="H86" s="34" t="s">
        <v>11857</v>
      </c>
      <c r="I86" s="65">
        <v>29000</v>
      </c>
      <c r="J86" s="34" t="s">
        <v>6872</v>
      </c>
      <c r="K86" s="105"/>
      <c r="L86" s="34" t="s">
        <v>6064</v>
      </c>
      <c r="M86" s="34"/>
      <c r="N86" s="34" t="s">
        <v>6783</v>
      </c>
      <c r="O86" s="105"/>
      <c r="P86" s="105"/>
      <c r="Q86" s="105"/>
      <c r="R86" s="105"/>
      <c r="S86" s="105"/>
      <c r="T86" s="105"/>
      <c r="U86" s="105"/>
      <c r="V86" s="105"/>
      <c r="W86" s="105"/>
      <c r="X86" s="105"/>
      <c r="Y86" s="105"/>
      <c r="Z86" s="105"/>
      <c r="AA86" s="105"/>
      <c r="AB86" s="105"/>
      <c r="AC86" s="105"/>
    </row>
    <row r="87" spans="1:29" ht="12.75">
      <c r="A87" s="34"/>
      <c r="B87" s="583"/>
      <c r="C87" s="583"/>
      <c r="D87" s="34"/>
      <c r="E87" s="188"/>
      <c r="F87" s="34"/>
      <c r="G87" s="34"/>
      <c r="H87" s="34"/>
      <c r="I87" s="34"/>
      <c r="J87" s="34"/>
      <c r="K87" s="105"/>
      <c r="L87" s="34"/>
      <c r="M87" s="34"/>
      <c r="N87" s="34"/>
      <c r="O87" s="105"/>
      <c r="P87" s="105"/>
      <c r="Q87" s="105"/>
      <c r="R87" s="105"/>
      <c r="S87" s="105"/>
      <c r="T87" s="105"/>
      <c r="U87" s="105"/>
      <c r="V87" s="105"/>
      <c r="W87" s="105"/>
      <c r="X87" s="105"/>
      <c r="Y87" s="105"/>
      <c r="Z87" s="105"/>
      <c r="AA87" s="105"/>
      <c r="AB87" s="105"/>
      <c r="AC87" s="105"/>
    </row>
    <row r="88" spans="1:29" ht="12.75">
      <c r="A88" s="34"/>
      <c r="B88" s="583"/>
      <c r="C88" s="583"/>
      <c r="D88" s="34"/>
      <c r="E88" s="188"/>
      <c r="F88" s="34"/>
      <c r="G88" s="34"/>
      <c r="H88" s="34"/>
      <c r="I88" s="34"/>
      <c r="J88" s="34"/>
      <c r="K88" s="105"/>
      <c r="L88" s="34"/>
      <c r="M88" s="34"/>
      <c r="N88" s="34"/>
      <c r="O88" s="105"/>
      <c r="P88" s="105"/>
      <c r="Q88" s="105"/>
      <c r="R88" s="105"/>
      <c r="S88" s="105"/>
      <c r="T88" s="105"/>
      <c r="U88" s="105"/>
      <c r="V88" s="105"/>
      <c r="W88" s="105"/>
      <c r="X88" s="105"/>
      <c r="Y88" s="105"/>
      <c r="Z88" s="105"/>
      <c r="AA88" s="105"/>
      <c r="AB88" s="105"/>
      <c r="AC88" s="105"/>
    </row>
    <row r="89" spans="1:29" ht="12.75">
      <c r="A89" s="34"/>
      <c r="B89" s="583"/>
      <c r="C89" s="583" t="s">
        <v>997</v>
      </c>
      <c r="D89" s="34"/>
      <c r="E89" s="188"/>
      <c r="F89" s="34"/>
      <c r="G89" s="34"/>
      <c r="H89" s="34"/>
      <c r="I89" s="34"/>
      <c r="J89" s="34"/>
      <c r="K89" s="105"/>
      <c r="L89" s="34"/>
      <c r="M89" s="34"/>
      <c r="N89" s="34"/>
      <c r="O89" s="105"/>
      <c r="P89" s="105"/>
      <c r="Q89" s="105"/>
      <c r="R89" s="105"/>
      <c r="S89" s="105"/>
      <c r="T89" s="105"/>
      <c r="U89" s="105"/>
      <c r="V89" s="105"/>
      <c r="W89" s="105"/>
      <c r="X89" s="105"/>
      <c r="Y89" s="105"/>
      <c r="Z89" s="105"/>
      <c r="AA89" s="105"/>
      <c r="AB89" s="105"/>
      <c r="AC89" s="105"/>
    </row>
    <row r="90" spans="1:29" ht="12.75">
      <c r="A90" s="34"/>
      <c r="B90" s="583"/>
      <c r="C90" s="583"/>
      <c r="D90" s="34"/>
      <c r="E90" s="188"/>
      <c r="F90" s="34"/>
      <c r="G90" s="34"/>
      <c r="H90" s="34" t="s">
        <v>997</v>
      </c>
      <c r="I90" s="34"/>
      <c r="J90" s="34"/>
      <c r="K90" s="105"/>
      <c r="L90" s="34"/>
      <c r="M90" s="34"/>
      <c r="N90" s="34"/>
      <c r="O90" s="105"/>
      <c r="P90" s="105"/>
      <c r="Q90" s="105"/>
      <c r="R90" s="105"/>
      <c r="S90" s="105"/>
      <c r="T90" s="105"/>
      <c r="U90" s="105"/>
      <c r="V90" s="105"/>
      <c r="W90" s="105"/>
      <c r="X90" s="105"/>
      <c r="Y90" s="105"/>
      <c r="Z90" s="105"/>
      <c r="AA90" s="105"/>
      <c r="AB90" s="105"/>
      <c r="AC90" s="105"/>
    </row>
    <row r="91" spans="1:29" ht="12.75">
      <c r="A91" s="34"/>
      <c r="B91" s="583"/>
      <c r="C91" s="583"/>
      <c r="D91" s="34"/>
      <c r="E91" s="188"/>
      <c r="F91" s="34"/>
      <c r="G91" s="34"/>
      <c r="H91" s="34"/>
      <c r="I91" s="34"/>
      <c r="J91" s="34"/>
      <c r="K91" s="105"/>
      <c r="L91" s="34"/>
      <c r="M91" s="34"/>
      <c r="N91" s="34"/>
      <c r="O91" s="105"/>
      <c r="P91" s="105"/>
      <c r="Q91" s="105"/>
      <c r="R91" s="105"/>
      <c r="S91" s="105"/>
      <c r="T91" s="105"/>
      <c r="U91" s="105"/>
      <c r="V91" s="105"/>
      <c r="W91" s="105"/>
      <c r="X91" s="105"/>
      <c r="Y91" s="105"/>
      <c r="Z91" s="105"/>
      <c r="AA91" s="105"/>
      <c r="AB91" s="105"/>
      <c r="AC91" s="105"/>
    </row>
    <row r="92" spans="1:29" ht="12.75">
      <c r="A92" s="34"/>
      <c r="B92" s="583"/>
      <c r="C92" s="583"/>
      <c r="D92" s="34"/>
      <c r="E92" s="188"/>
      <c r="F92" s="34"/>
      <c r="G92" s="34"/>
      <c r="H92" s="34"/>
      <c r="I92" s="34"/>
      <c r="J92" s="34"/>
      <c r="K92" s="105"/>
      <c r="L92" s="34"/>
      <c r="M92" s="34"/>
      <c r="N92" s="34"/>
      <c r="O92" s="105"/>
      <c r="P92" s="105"/>
      <c r="Q92" s="105"/>
      <c r="R92" s="105"/>
      <c r="S92" s="105"/>
      <c r="T92" s="105"/>
      <c r="U92" s="105"/>
      <c r="V92" s="105"/>
      <c r="W92" s="105"/>
      <c r="X92" s="105"/>
      <c r="Y92" s="105"/>
      <c r="Z92" s="105"/>
      <c r="AA92" s="105"/>
      <c r="AB92" s="105"/>
      <c r="AC92" s="105"/>
    </row>
    <row r="93" spans="1:29" ht="12.75">
      <c r="A93" s="34"/>
      <c r="B93" s="583"/>
      <c r="C93" s="583"/>
      <c r="D93" s="34"/>
      <c r="E93" s="188"/>
      <c r="F93" s="34"/>
      <c r="G93" s="34"/>
      <c r="H93" s="34"/>
      <c r="I93" s="34"/>
      <c r="J93" s="34"/>
      <c r="K93" s="105"/>
      <c r="L93" s="34"/>
      <c r="M93" s="34"/>
      <c r="N93" s="34"/>
      <c r="O93" s="105"/>
      <c r="P93" s="105"/>
      <c r="Q93" s="105"/>
      <c r="R93" s="105"/>
      <c r="S93" s="105"/>
      <c r="T93" s="105"/>
      <c r="U93" s="105"/>
      <c r="V93" s="105"/>
      <c r="W93" s="105"/>
      <c r="X93" s="105"/>
      <c r="Y93" s="105"/>
      <c r="Z93" s="105"/>
      <c r="AA93" s="105"/>
      <c r="AB93" s="105"/>
      <c r="AC93" s="105"/>
    </row>
    <row r="94" spans="1:29" ht="12.75">
      <c r="A94" s="34"/>
      <c r="B94" s="583"/>
      <c r="C94" s="583"/>
      <c r="D94" s="34"/>
      <c r="E94" s="188"/>
      <c r="F94" s="34"/>
      <c r="G94" s="34"/>
      <c r="H94" s="34"/>
      <c r="I94" s="34"/>
      <c r="J94" s="34"/>
      <c r="K94" s="105"/>
      <c r="L94" s="34"/>
      <c r="M94" s="34"/>
      <c r="N94" s="34"/>
      <c r="O94" s="105"/>
      <c r="P94" s="105"/>
      <c r="Q94" s="105"/>
      <c r="R94" s="105"/>
      <c r="S94" s="105"/>
      <c r="T94" s="105"/>
      <c r="U94" s="105"/>
      <c r="V94" s="105"/>
      <c r="W94" s="105"/>
      <c r="X94" s="105"/>
      <c r="Y94" s="105"/>
      <c r="Z94" s="105"/>
      <c r="AA94" s="105"/>
      <c r="AB94" s="105"/>
      <c r="AC94" s="105"/>
    </row>
    <row r="95" spans="1:29" ht="12.75">
      <c r="A95" s="34"/>
      <c r="B95" s="583"/>
      <c r="C95" s="583"/>
      <c r="D95" s="34"/>
      <c r="E95" s="188"/>
      <c r="F95" s="34"/>
      <c r="G95" s="34"/>
      <c r="H95" s="34"/>
      <c r="I95" s="34"/>
      <c r="J95" s="34"/>
      <c r="K95" s="105"/>
      <c r="L95" s="34"/>
      <c r="M95" s="34"/>
      <c r="N95" s="34"/>
      <c r="O95" s="105"/>
      <c r="P95" s="105"/>
      <c r="Q95" s="105"/>
      <c r="R95" s="105"/>
      <c r="S95" s="105"/>
      <c r="T95" s="105"/>
      <c r="U95" s="105"/>
      <c r="V95" s="105"/>
      <c r="W95" s="105"/>
      <c r="X95" s="105"/>
      <c r="Y95" s="105"/>
      <c r="Z95" s="105"/>
      <c r="AA95" s="105"/>
      <c r="AB95" s="105"/>
      <c r="AC95" s="105"/>
    </row>
    <row r="96" spans="1:29" ht="12.75">
      <c r="A96" s="34"/>
      <c r="B96" s="34"/>
      <c r="C96" s="34"/>
      <c r="D96" s="34"/>
      <c r="E96" s="188"/>
      <c r="F96" s="34"/>
      <c r="G96" s="34"/>
      <c r="H96" s="34"/>
      <c r="I96" s="34"/>
      <c r="J96" s="34"/>
      <c r="K96" s="105"/>
      <c r="L96" s="34"/>
      <c r="M96" s="34"/>
      <c r="N96" s="34"/>
      <c r="O96" s="105"/>
      <c r="P96" s="105"/>
      <c r="Q96" s="105"/>
      <c r="R96" s="105"/>
      <c r="S96" s="105"/>
      <c r="T96" s="105"/>
      <c r="U96" s="105"/>
      <c r="V96" s="105"/>
      <c r="W96" s="105"/>
      <c r="X96" s="105"/>
      <c r="Y96" s="105"/>
      <c r="Z96" s="105"/>
      <c r="AA96" s="105"/>
      <c r="AB96" s="105"/>
      <c r="AC96" s="105"/>
    </row>
    <row r="97" spans="1:29" ht="12.75">
      <c r="A97" s="34"/>
      <c r="B97" s="583"/>
      <c r="C97" s="583"/>
      <c r="D97" s="34"/>
      <c r="E97" s="188"/>
      <c r="F97" s="34"/>
      <c r="G97" s="34"/>
      <c r="H97" s="34"/>
      <c r="I97" s="34"/>
      <c r="J97" s="34"/>
      <c r="K97" s="105"/>
      <c r="L97" s="34"/>
      <c r="M97" s="34"/>
      <c r="N97" s="34"/>
      <c r="O97" s="105"/>
      <c r="P97" s="105"/>
      <c r="Q97" s="105"/>
      <c r="R97" s="105"/>
      <c r="S97" s="105"/>
      <c r="T97" s="105"/>
      <c r="U97" s="105"/>
      <c r="V97" s="105"/>
      <c r="W97" s="105"/>
      <c r="X97" s="105"/>
      <c r="Y97" s="105"/>
      <c r="Z97" s="105"/>
      <c r="AA97" s="105"/>
      <c r="AB97" s="105"/>
      <c r="AC97" s="105"/>
    </row>
    <row r="98" spans="1:29" ht="12.75">
      <c r="A98" s="34"/>
      <c r="B98" s="34"/>
      <c r="C98" s="34"/>
      <c r="D98" s="34"/>
      <c r="E98" s="188"/>
      <c r="F98" s="34"/>
      <c r="G98" s="34"/>
      <c r="H98" s="34"/>
      <c r="I98" s="34"/>
      <c r="J98" s="34"/>
      <c r="K98" s="105"/>
      <c r="L98" s="34"/>
      <c r="M98" s="34"/>
      <c r="N98" s="34"/>
      <c r="O98" s="105"/>
      <c r="P98" s="105"/>
      <c r="Q98" s="105"/>
      <c r="R98" s="105"/>
      <c r="S98" s="105"/>
      <c r="T98" s="105"/>
      <c r="U98" s="105"/>
      <c r="V98" s="105"/>
      <c r="W98" s="105"/>
      <c r="X98" s="105"/>
      <c r="Y98" s="105"/>
      <c r="Z98" s="105"/>
      <c r="AA98" s="105"/>
      <c r="AB98" s="105"/>
      <c r="AC98" s="105"/>
    </row>
    <row r="99" spans="1:29" ht="12.75">
      <c r="A99" s="34"/>
      <c r="B99" s="591"/>
      <c r="C99" s="591"/>
      <c r="D99" s="34"/>
      <c r="E99" s="188"/>
      <c r="F99" s="34"/>
      <c r="G99" s="34"/>
      <c r="H99" s="34"/>
      <c r="I99" s="34"/>
      <c r="J99" s="34"/>
      <c r="K99" s="105"/>
      <c r="L99" s="34"/>
      <c r="M99" s="34"/>
      <c r="N99" s="34"/>
      <c r="O99" s="105"/>
      <c r="P99" s="105"/>
      <c r="Q99" s="105"/>
      <c r="R99" s="105"/>
      <c r="S99" s="105"/>
      <c r="T99" s="105"/>
      <c r="U99" s="105"/>
      <c r="V99" s="105"/>
      <c r="W99" s="105"/>
      <c r="X99" s="105"/>
      <c r="Y99" s="105"/>
      <c r="Z99" s="105"/>
      <c r="AA99" s="105"/>
      <c r="AB99" s="105"/>
      <c r="AC99" s="105"/>
    </row>
    <row r="100" spans="1:29" ht="12.75">
      <c r="A100" s="34"/>
      <c r="B100" s="591"/>
      <c r="C100" s="591"/>
      <c r="D100" s="34"/>
      <c r="E100" s="188"/>
      <c r="F100" s="34"/>
      <c r="G100" s="34"/>
      <c r="H100" s="34"/>
      <c r="I100" s="34"/>
      <c r="J100" s="34"/>
      <c r="K100" s="105"/>
      <c r="L100" s="34"/>
      <c r="M100" s="34"/>
      <c r="N100" s="34"/>
      <c r="O100" s="105"/>
      <c r="P100" s="105"/>
      <c r="Q100" s="105"/>
      <c r="R100" s="105"/>
      <c r="S100" s="105"/>
      <c r="T100" s="105"/>
      <c r="U100" s="105"/>
      <c r="V100" s="105"/>
      <c r="W100" s="105"/>
      <c r="X100" s="105"/>
      <c r="Y100" s="105"/>
      <c r="Z100" s="105"/>
      <c r="AA100" s="105"/>
      <c r="AB100" s="105"/>
      <c r="AC100" s="105"/>
    </row>
    <row r="101" spans="1:29" ht="12.75">
      <c r="A101" s="34"/>
      <c r="B101" s="591"/>
      <c r="C101" s="591"/>
      <c r="D101" s="34"/>
      <c r="E101" s="188"/>
      <c r="F101" s="34"/>
      <c r="G101" s="34"/>
      <c r="H101" s="34"/>
      <c r="I101" s="34"/>
      <c r="J101" s="34"/>
      <c r="K101" s="105"/>
      <c r="L101" s="34"/>
      <c r="M101" s="34"/>
      <c r="N101" s="34"/>
      <c r="O101" s="105"/>
      <c r="P101" s="105"/>
      <c r="Q101" s="105"/>
      <c r="R101" s="105"/>
      <c r="S101" s="105"/>
      <c r="T101" s="105"/>
      <c r="U101" s="105"/>
      <c r="V101" s="105"/>
      <c r="W101" s="105"/>
      <c r="X101" s="105"/>
      <c r="Y101" s="105"/>
      <c r="Z101" s="105"/>
      <c r="AA101" s="105"/>
      <c r="AB101" s="105"/>
      <c r="AC101" s="105"/>
    </row>
    <row r="102" spans="1:29" ht="12.75">
      <c r="A102" s="34"/>
      <c r="B102" s="591"/>
      <c r="C102" s="591"/>
      <c r="D102" s="34"/>
      <c r="E102" s="188"/>
      <c r="F102" s="34"/>
      <c r="G102" s="34"/>
      <c r="H102" s="34"/>
      <c r="I102" s="34"/>
      <c r="J102" s="34"/>
      <c r="K102" s="105"/>
      <c r="L102" s="34"/>
      <c r="M102" s="34"/>
      <c r="N102" s="34"/>
      <c r="O102" s="105"/>
      <c r="P102" s="105"/>
      <c r="Q102" s="105"/>
      <c r="R102" s="105"/>
      <c r="S102" s="105"/>
      <c r="T102" s="105"/>
      <c r="U102" s="105"/>
      <c r="V102" s="105"/>
      <c r="W102" s="105"/>
      <c r="X102" s="105"/>
      <c r="Y102" s="105"/>
      <c r="Z102" s="105"/>
      <c r="AA102" s="105"/>
      <c r="AB102" s="105"/>
      <c r="AC102" s="105"/>
    </row>
    <row r="103" spans="1:29" ht="12.75">
      <c r="A103" s="34"/>
      <c r="B103" s="34"/>
      <c r="C103" s="34"/>
      <c r="D103" s="34"/>
      <c r="E103" s="188"/>
      <c r="F103" s="34"/>
      <c r="G103" s="34"/>
      <c r="H103" s="34"/>
      <c r="I103" s="34"/>
      <c r="J103" s="34"/>
      <c r="K103" s="105"/>
      <c r="L103" s="34"/>
      <c r="M103" s="34"/>
      <c r="N103" s="34"/>
      <c r="O103" s="105"/>
      <c r="P103" s="105"/>
      <c r="Q103" s="105"/>
      <c r="R103" s="105"/>
      <c r="S103" s="105"/>
      <c r="T103" s="105"/>
      <c r="U103" s="105"/>
      <c r="V103" s="105"/>
      <c r="W103" s="105"/>
      <c r="X103" s="105"/>
      <c r="Y103" s="105"/>
      <c r="Z103" s="105"/>
      <c r="AA103" s="105"/>
      <c r="AB103" s="105"/>
      <c r="AC103" s="105"/>
    </row>
    <row r="104" spans="1:29" ht="12.75">
      <c r="A104" s="34"/>
      <c r="B104" s="34"/>
      <c r="C104" s="34"/>
      <c r="D104" s="34"/>
      <c r="E104" s="188"/>
      <c r="F104" s="34"/>
      <c r="G104" s="34"/>
      <c r="H104" s="34"/>
      <c r="I104" s="34"/>
      <c r="J104" s="34"/>
      <c r="K104" s="105"/>
      <c r="L104" s="34"/>
      <c r="M104" s="34"/>
      <c r="N104" s="34"/>
      <c r="O104" s="105"/>
      <c r="P104" s="105"/>
      <c r="Q104" s="105"/>
      <c r="R104" s="105"/>
      <c r="S104" s="105"/>
      <c r="T104" s="105"/>
      <c r="U104" s="105"/>
      <c r="V104" s="105"/>
      <c r="W104" s="105"/>
      <c r="X104" s="105"/>
      <c r="Y104" s="105"/>
      <c r="Z104" s="105"/>
      <c r="AA104" s="105"/>
      <c r="AB104" s="105"/>
      <c r="AC104" s="105"/>
    </row>
    <row r="105" spans="1:29" ht="12.75">
      <c r="A105" s="34"/>
      <c r="B105" s="34"/>
      <c r="C105" s="34"/>
      <c r="D105" s="34"/>
      <c r="E105" s="188"/>
      <c r="F105" s="34"/>
      <c r="G105" s="34"/>
      <c r="H105" s="34"/>
      <c r="I105" s="34"/>
      <c r="J105" s="34"/>
      <c r="K105" s="105"/>
      <c r="L105" s="34"/>
      <c r="M105" s="34"/>
      <c r="N105" s="34"/>
      <c r="O105" s="105"/>
      <c r="P105" s="105"/>
      <c r="Q105" s="105"/>
      <c r="R105" s="105"/>
      <c r="S105" s="105"/>
      <c r="T105" s="105"/>
      <c r="U105" s="105"/>
      <c r="V105" s="105"/>
      <c r="W105" s="105"/>
      <c r="X105" s="105"/>
      <c r="Y105" s="105"/>
      <c r="Z105" s="105"/>
      <c r="AA105" s="105"/>
      <c r="AB105" s="105"/>
      <c r="AC105" s="105"/>
    </row>
    <row r="106" spans="1:29" ht="12.75">
      <c r="A106" s="34"/>
      <c r="B106" s="34"/>
      <c r="C106" s="34"/>
      <c r="D106" s="34"/>
      <c r="E106" s="188"/>
      <c r="F106" s="34"/>
      <c r="G106" s="34"/>
      <c r="H106" s="34"/>
      <c r="I106" s="34"/>
      <c r="J106" s="34"/>
      <c r="K106" s="105"/>
      <c r="L106" s="34"/>
      <c r="M106" s="34"/>
      <c r="N106" s="34"/>
      <c r="O106" s="105"/>
      <c r="P106" s="105"/>
      <c r="Q106" s="105"/>
      <c r="R106" s="105"/>
      <c r="S106" s="105"/>
      <c r="T106" s="105"/>
      <c r="U106" s="105"/>
      <c r="V106" s="105"/>
      <c r="W106" s="105"/>
      <c r="X106" s="105"/>
      <c r="Y106" s="105"/>
      <c r="Z106" s="105"/>
      <c r="AA106" s="105"/>
      <c r="AB106" s="105"/>
      <c r="AC106" s="105"/>
    </row>
    <row r="107" spans="1:29" ht="12.75">
      <c r="A107" s="34"/>
      <c r="B107" s="34"/>
      <c r="C107" s="34"/>
      <c r="D107" s="34"/>
      <c r="E107" s="188"/>
      <c r="F107" s="34"/>
      <c r="G107" s="34"/>
      <c r="H107" s="34"/>
      <c r="I107" s="34"/>
      <c r="J107" s="34"/>
      <c r="K107" s="105"/>
      <c r="L107" s="34"/>
      <c r="M107" s="34"/>
      <c r="N107" s="34"/>
      <c r="O107" s="105"/>
      <c r="P107" s="105"/>
      <c r="Q107" s="105"/>
      <c r="R107" s="105"/>
      <c r="S107" s="105"/>
      <c r="T107" s="105"/>
      <c r="U107" s="105"/>
      <c r="V107" s="105"/>
      <c r="W107" s="105"/>
      <c r="X107" s="105"/>
      <c r="Y107" s="105"/>
      <c r="Z107" s="105"/>
      <c r="AA107" s="105"/>
      <c r="AB107" s="105"/>
      <c r="AC107" s="105"/>
    </row>
    <row r="108" spans="1:29" ht="12.75">
      <c r="A108" s="34"/>
      <c r="B108" s="34"/>
      <c r="C108" s="34"/>
      <c r="D108" s="34"/>
      <c r="E108" s="188"/>
      <c r="F108" s="34"/>
      <c r="G108" s="34"/>
      <c r="H108" s="34"/>
      <c r="I108" s="34"/>
      <c r="J108" s="34"/>
      <c r="K108" s="105"/>
      <c r="L108" s="34"/>
      <c r="M108" s="34"/>
      <c r="N108" s="34"/>
      <c r="O108" s="105"/>
      <c r="P108" s="105"/>
      <c r="Q108" s="105"/>
      <c r="R108" s="105"/>
      <c r="S108" s="105"/>
      <c r="T108" s="105"/>
      <c r="U108" s="105"/>
      <c r="V108" s="105"/>
      <c r="W108" s="105"/>
      <c r="X108" s="105"/>
      <c r="Y108" s="105"/>
      <c r="Z108" s="105"/>
      <c r="AA108" s="105"/>
      <c r="AB108" s="105"/>
      <c r="AC108" s="105"/>
    </row>
    <row r="109" spans="1:29" ht="12.75">
      <c r="A109" s="34"/>
      <c r="B109" s="34"/>
      <c r="C109" s="34"/>
      <c r="D109" s="34"/>
      <c r="E109" s="188"/>
      <c r="F109" s="34"/>
      <c r="G109" s="34"/>
      <c r="H109" s="34"/>
      <c r="I109" s="34"/>
      <c r="J109" s="34"/>
      <c r="K109" s="105"/>
      <c r="L109" s="34"/>
      <c r="M109" s="34"/>
      <c r="N109" s="34"/>
      <c r="O109" s="105"/>
      <c r="P109" s="105"/>
      <c r="Q109" s="105"/>
      <c r="R109" s="105"/>
      <c r="S109" s="105"/>
      <c r="T109" s="105"/>
      <c r="U109" s="105"/>
      <c r="V109" s="105"/>
      <c r="W109" s="105"/>
      <c r="X109" s="105"/>
      <c r="Y109" s="105"/>
      <c r="Z109" s="105"/>
      <c r="AA109" s="105"/>
      <c r="AB109" s="105"/>
      <c r="AC109" s="105"/>
    </row>
    <row r="110" spans="1:29" ht="12.75">
      <c r="A110" s="34"/>
      <c r="B110" s="34"/>
      <c r="C110" s="34"/>
      <c r="D110" s="34"/>
      <c r="E110" s="188"/>
      <c r="F110" s="34"/>
      <c r="G110" s="34"/>
      <c r="H110" s="34"/>
      <c r="I110" s="34"/>
      <c r="J110" s="34"/>
      <c r="K110" s="105"/>
      <c r="L110" s="34"/>
      <c r="M110" s="34"/>
      <c r="N110" s="34"/>
      <c r="O110" s="105"/>
      <c r="P110" s="105"/>
      <c r="Q110" s="105"/>
      <c r="R110" s="105"/>
      <c r="S110" s="105"/>
      <c r="T110" s="105"/>
      <c r="U110" s="105"/>
      <c r="V110" s="105"/>
      <c r="W110" s="105"/>
      <c r="X110" s="105"/>
      <c r="Y110" s="105"/>
      <c r="Z110" s="105"/>
      <c r="AA110" s="105"/>
      <c r="AB110" s="105"/>
      <c r="AC110" s="105"/>
    </row>
    <row r="111" spans="1:29" ht="12.75">
      <c r="A111" s="34"/>
      <c r="B111" s="34"/>
      <c r="C111" s="34"/>
      <c r="D111" s="34"/>
      <c r="E111" s="188"/>
      <c r="F111" s="34"/>
      <c r="G111" s="34"/>
      <c r="H111" s="34"/>
      <c r="I111" s="34"/>
      <c r="J111" s="34"/>
      <c r="K111" s="105"/>
      <c r="L111" s="34"/>
      <c r="M111" s="34"/>
      <c r="N111" s="34"/>
      <c r="O111" s="105"/>
      <c r="P111" s="105"/>
      <c r="Q111" s="105"/>
      <c r="R111" s="105"/>
      <c r="S111" s="105"/>
      <c r="T111" s="105"/>
      <c r="U111" s="105"/>
      <c r="V111" s="105"/>
      <c r="W111" s="105"/>
      <c r="X111" s="105"/>
      <c r="Y111" s="105"/>
      <c r="Z111" s="105"/>
      <c r="AA111" s="105"/>
      <c r="AB111" s="105"/>
      <c r="AC111" s="105"/>
    </row>
    <row r="112" spans="1:29" ht="12.75">
      <c r="A112" s="34"/>
      <c r="B112" s="34"/>
      <c r="C112" s="34"/>
      <c r="D112" s="34"/>
      <c r="E112" s="188"/>
      <c r="F112" s="34"/>
      <c r="G112" s="34"/>
      <c r="H112" s="34"/>
      <c r="I112" s="34"/>
      <c r="J112" s="34"/>
      <c r="K112" s="105"/>
      <c r="L112" s="34"/>
      <c r="M112" s="34"/>
      <c r="N112" s="34"/>
      <c r="O112" s="105"/>
      <c r="P112" s="105"/>
      <c r="Q112" s="105"/>
      <c r="R112" s="105"/>
      <c r="S112" s="105"/>
      <c r="T112" s="105"/>
      <c r="U112" s="105"/>
      <c r="V112" s="105"/>
      <c r="W112" s="105"/>
      <c r="X112" s="105"/>
      <c r="Y112" s="105"/>
      <c r="Z112" s="105"/>
      <c r="AA112" s="105"/>
      <c r="AB112" s="105"/>
      <c r="AC112" s="105"/>
    </row>
    <row r="113" spans="1:29" ht="12.75">
      <c r="A113" s="34"/>
      <c r="B113" s="34"/>
      <c r="C113" s="34"/>
      <c r="D113" s="34"/>
      <c r="E113" s="188"/>
      <c r="F113" s="34" t="s">
        <v>997</v>
      </c>
      <c r="G113" s="34"/>
      <c r="H113" s="34"/>
      <c r="I113" s="34"/>
      <c r="J113" s="34"/>
      <c r="K113" s="105"/>
      <c r="L113" s="34"/>
      <c r="M113" s="34"/>
      <c r="N113" s="34"/>
      <c r="O113" s="105"/>
      <c r="P113" s="105"/>
      <c r="Q113" s="105"/>
      <c r="R113" s="105"/>
      <c r="S113" s="105"/>
      <c r="T113" s="105"/>
      <c r="U113" s="105"/>
      <c r="V113" s="105"/>
      <c r="W113" s="105"/>
      <c r="X113" s="105"/>
      <c r="Y113" s="105"/>
      <c r="Z113" s="105"/>
      <c r="AA113" s="105"/>
      <c r="AB113" s="105"/>
      <c r="AC113" s="105"/>
    </row>
    <row r="114" spans="1:29" ht="12.75">
      <c r="A114" s="34"/>
      <c r="B114" s="34"/>
      <c r="C114" s="34"/>
      <c r="D114" s="34"/>
      <c r="E114" s="188"/>
      <c r="F114" s="34"/>
      <c r="G114" s="34"/>
      <c r="H114" s="34"/>
      <c r="I114" s="34"/>
      <c r="J114" s="34"/>
      <c r="K114" s="105"/>
      <c r="L114" s="34"/>
      <c r="M114" s="34"/>
      <c r="N114" s="34"/>
      <c r="O114" s="105"/>
      <c r="P114" s="105"/>
      <c r="Q114" s="105"/>
      <c r="R114" s="105"/>
      <c r="S114" s="105"/>
      <c r="T114" s="105"/>
      <c r="U114" s="105"/>
      <c r="V114" s="105"/>
      <c r="W114" s="105"/>
      <c r="X114" s="105"/>
      <c r="Y114" s="105"/>
      <c r="Z114" s="105"/>
      <c r="AA114" s="105"/>
      <c r="AB114" s="105"/>
      <c r="AC114" s="105"/>
    </row>
    <row r="115" spans="1:29" ht="12.75">
      <c r="A115" s="34"/>
      <c r="B115" s="34"/>
      <c r="C115" s="34"/>
      <c r="D115" s="34"/>
      <c r="E115" s="188"/>
      <c r="F115" s="34"/>
      <c r="G115" s="34"/>
      <c r="H115" s="34"/>
      <c r="I115" s="34"/>
      <c r="J115" s="34"/>
      <c r="K115" s="105"/>
      <c r="L115" s="34"/>
      <c r="M115" s="34"/>
      <c r="N115" s="34"/>
      <c r="O115" s="105"/>
      <c r="P115" s="105"/>
      <c r="Q115" s="105"/>
      <c r="R115" s="105"/>
      <c r="S115" s="105"/>
      <c r="T115" s="105"/>
      <c r="U115" s="105"/>
      <c r="V115" s="105"/>
      <c r="W115" s="105"/>
      <c r="X115" s="105"/>
      <c r="Y115" s="105"/>
      <c r="Z115" s="105"/>
      <c r="AA115" s="105"/>
      <c r="AB115" s="105"/>
      <c r="AC115" s="105"/>
    </row>
    <row r="116" spans="1:29" ht="12.75">
      <c r="A116" s="34"/>
      <c r="B116" s="34"/>
      <c r="C116" s="34"/>
      <c r="D116" s="34"/>
      <c r="E116" s="188"/>
      <c r="F116" s="34"/>
      <c r="G116" s="34"/>
      <c r="H116" s="34"/>
      <c r="I116" s="34"/>
      <c r="J116" s="34"/>
      <c r="K116" s="105"/>
      <c r="L116" s="34"/>
      <c r="M116" s="34"/>
      <c r="N116" s="34"/>
      <c r="O116" s="105"/>
      <c r="P116" s="105"/>
      <c r="Q116" s="105"/>
      <c r="R116" s="105"/>
      <c r="S116" s="105"/>
      <c r="T116" s="105"/>
      <c r="U116" s="105"/>
      <c r="V116" s="105"/>
      <c r="W116" s="105"/>
      <c r="X116" s="105"/>
      <c r="Y116" s="105"/>
      <c r="Z116" s="105"/>
      <c r="AA116" s="105"/>
      <c r="AB116" s="105"/>
      <c r="AC116" s="105"/>
    </row>
    <row r="117" spans="1:29" ht="12.75">
      <c r="A117" s="34"/>
      <c r="B117" s="34"/>
      <c r="C117" s="34"/>
      <c r="D117" s="34"/>
      <c r="E117" s="188"/>
      <c r="F117" s="34"/>
      <c r="G117" s="34"/>
      <c r="H117" s="34"/>
      <c r="I117" s="34"/>
      <c r="J117" s="34"/>
      <c r="K117" s="105"/>
      <c r="L117" s="34"/>
      <c r="M117" s="34"/>
      <c r="N117" s="34"/>
      <c r="O117" s="105"/>
      <c r="P117" s="105"/>
      <c r="Q117" s="105"/>
      <c r="R117" s="105"/>
      <c r="S117" s="105"/>
      <c r="T117" s="105"/>
      <c r="U117" s="105"/>
      <c r="V117" s="105"/>
      <c r="W117" s="105"/>
      <c r="X117" s="105"/>
      <c r="Y117" s="105"/>
      <c r="Z117" s="105"/>
      <c r="AA117" s="105"/>
      <c r="AB117" s="105"/>
      <c r="AC117" s="105"/>
    </row>
    <row r="118" spans="1:29" ht="12.75">
      <c r="A118" s="34"/>
      <c r="B118" s="34"/>
      <c r="C118" s="34"/>
      <c r="D118" s="34"/>
      <c r="E118" s="188"/>
      <c r="F118" s="34"/>
      <c r="G118" s="34"/>
      <c r="H118" s="34"/>
      <c r="I118" s="34"/>
      <c r="J118" s="34"/>
      <c r="K118" s="105"/>
      <c r="L118" s="34"/>
      <c r="M118" s="34"/>
      <c r="N118" s="34"/>
      <c r="O118" s="105"/>
      <c r="P118" s="105"/>
      <c r="Q118" s="105"/>
      <c r="R118" s="105"/>
      <c r="S118" s="105"/>
      <c r="T118" s="105"/>
      <c r="U118" s="105"/>
      <c r="V118" s="105"/>
      <c r="W118" s="105"/>
      <c r="X118" s="105"/>
      <c r="Y118" s="105"/>
      <c r="Z118" s="105"/>
      <c r="AA118" s="105"/>
      <c r="AB118" s="105"/>
      <c r="AC118" s="105"/>
    </row>
    <row r="119" spans="1:29" ht="12.75">
      <c r="A119" s="34"/>
      <c r="B119" s="34"/>
      <c r="C119" s="34"/>
      <c r="D119" s="34"/>
      <c r="E119" s="188"/>
      <c r="F119" s="34"/>
      <c r="G119" s="34"/>
      <c r="H119" s="34"/>
      <c r="I119" s="34"/>
      <c r="J119" s="34"/>
      <c r="K119" s="105"/>
      <c r="L119" s="34"/>
      <c r="M119" s="34"/>
      <c r="N119" s="34"/>
      <c r="O119" s="105"/>
      <c r="P119" s="105"/>
      <c r="Q119" s="105"/>
      <c r="R119" s="105"/>
      <c r="S119" s="105"/>
      <c r="T119" s="105"/>
      <c r="U119" s="105"/>
      <c r="V119" s="105"/>
      <c r="W119" s="105"/>
      <c r="X119" s="105"/>
      <c r="Y119" s="105"/>
      <c r="Z119" s="105"/>
      <c r="AA119" s="105"/>
      <c r="AB119" s="105"/>
      <c r="AC119" s="105"/>
    </row>
    <row r="120" spans="1:29" ht="12.75">
      <c r="A120" s="34"/>
      <c r="B120" s="34"/>
      <c r="C120" s="34"/>
      <c r="D120" s="34"/>
      <c r="E120" s="188"/>
      <c r="F120" s="34"/>
      <c r="G120" s="34"/>
      <c r="H120" s="34"/>
      <c r="I120" s="34"/>
      <c r="J120" s="34"/>
      <c r="K120" s="105"/>
      <c r="L120" s="34"/>
      <c r="M120" s="34"/>
      <c r="N120" s="34"/>
      <c r="O120" s="105"/>
      <c r="P120" s="105"/>
      <c r="Q120" s="105"/>
      <c r="R120" s="105"/>
      <c r="S120" s="105"/>
      <c r="T120" s="105"/>
      <c r="U120" s="105"/>
      <c r="V120" s="105"/>
      <c r="W120" s="105"/>
      <c r="X120" s="105"/>
      <c r="Y120" s="105"/>
      <c r="Z120" s="105"/>
      <c r="AA120" s="105"/>
      <c r="AB120" s="105"/>
      <c r="AC120" s="105"/>
    </row>
    <row r="121" spans="1:29" ht="12.75">
      <c r="A121" s="34"/>
      <c r="B121" s="34"/>
      <c r="C121" s="34"/>
      <c r="D121" s="34"/>
      <c r="E121" s="188"/>
      <c r="F121" s="34"/>
      <c r="G121" s="34"/>
      <c r="H121" s="34"/>
      <c r="I121" s="34"/>
      <c r="J121" s="34"/>
      <c r="K121" s="105"/>
      <c r="L121" s="34"/>
      <c r="M121" s="34"/>
      <c r="N121" s="34"/>
      <c r="O121" s="105"/>
      <c r="P121" s="105"/>
      <c r="Q121" s="105"/>
      <c r="R121" s="105"/>
      <c r="S121" s="105"/>
      <c r="T121" s="105"/>
      <c r="U121" s="105"/>
      <c r="V121" s="105"/>
      <c r="W121" s="105"/>
      <c r="X121" s="105"/>
      <c r="Y121" s="105"/>
      <c r="Z121" s="105"/>
      <c r="AA121" s="105"/>
      <c r="AB121" s="105"/>
      <c r="AC121" s="105"/>
    </row>
    <row r="122" spans="1:29" ht="12.75">
      <c r="A122" s="34"/>
      <c r="B122" s="34"/>
      <c r="C122" s="34"/>
      <c r="D122" s="34"/>
      <c r="E122" s="188"/>
      <c r="F122" s="34"/>
      <c r="G122" s="34"/>
      <c r="H122" s="34"/>
      <c r="I122" s="34"/>
      <c r="J122" s="34"/>
      <c r="K122" s="105"/>
      <c r="L122" s="34"/>
      <c r="M122" s="34"/>
      <c r="N122" s="34"/>
      <c r="O122" s="105"/>
      <c r="P122" s="105"/>
      <c r="Q122" s="105"/>
      <c r="R122" s="105"/>
      <c r="S122" s="105"/>
      <c r="T122" s="105"/>
      <c r="U122" s="105"/>
      <c r="V122" s="105"/>
      <c r="W122" s="105"/>
      <c r="X122" s="105"/>
      <c r="Y122" s="105"/>
      <c r="Z122" s="105"/>
      <c r="AA122" s="105"/>
      <c r="AB122" s="105"/>
      <c r="AC122" s="105"/>
    </row>
    <row r="123" spans="1:29" ht="12.75">
      <c r="A123" s="34"/>
      <c r="B123" s="34"/>
      <c r="C123" s="34"/>
      <c r="D123" s="34"/>
      <c r="E123" s="188"/>
      <c r="F123" s="34"/>
      <c r="G123" s="34"/>
      <c r="H123" s="34"/>
      <c r="I123" s="34"/>
      <c r="J123" s="34"/>
      <c r="K123" s="105"/>
      <c r="L123" s="34"/>
      <c r="M123" s="34"/>
      <c r="N123" s="34"/>
      <c r="O123" s="105"/>
      <c r="P123" s="105"/>
      <c r="Q123" s="105"/>
      <c r="R123" s="105"/>
      <c r="S123" s="105"/>
      <c r="T123" s="105"/>
      <c r="U123" s="105"/>
      <c r="V123" s="105"/>
      <c r="W123" s="105"/>
      <c r="X123" s="105"/>
      <c r="Y123" s="105"/>
      <c r="Z123" s="105"/>
      <c r="AA123" s="105"/>
      <c r="AB123" s="105"/>
      <c r="AC123" s="105"/>
    </row>
    <row r="124" spans="1:29" ht="12.75">
      <c r="A124" s="34"/>
      <c r="B124" s="34"/>
      <c r="C124" s="34"/>
      <c r="D124" s="34"/>
      <c r="E124" s="188"/>
      <c r="F124" s="34"/>
      <c r="G124" s="34"/>
      <c r="H124" s="34"/>
      <c r="I124" s="34"/>
      <c r="J124" s="34"/>
      <c r="K124" s="105"/>
      <c r="L124" s="34"/>
      <c r="M124" s="34"/>
      <c r="N124" s="34"/>
      <c r="O124" s="105"/>
      <c r="P124" s="105"/>
      <c r="Q124" s="105"/>
      <c r="R124" s="105"/>
      <c r="S124" s="105"/>
      <c r="T124" s="105"/>
      <c r="U124" s="105"/>
      <c r="V124" s="105"/>
      <c r="W124" s="105"/>
      <c r="X124" s="105"/>
      <c r="Y124" s="105"/>
      <c r="Z124" s="105"/>
      <c r="AA124" s="105"/>
      <c r="AB124" s="105"/>
      <c r="AC124" s="105"/>
    </row>
    <row r="125" spans="1:29" ht="12.75">
      <c r="A125" s="34"/>
      <c r="B125" s="34"/>
      <c r="C125" s="34"/>
      <c r="D125" s="34"/>
      <c r="E125" s="188"/>
      <c r="F125" s="34"/>
      <c r="G125" s="34"/>
      <c r="H125" s="34"/>
      <c r="I125" s="34"/>
      <c r="J125" s="34"/>
      <c r="K125" s="105"/>
      <c r="L125" s="34"/>
      <c r="M125" s="34"/>
      <c r="N125" s="34"/>
      <c r="O125" s="105"/>
      <c r="P125" s="105"/>
      <c r="Q125" s="105"/>
      <c r="R125" s="105"/>
      <c r="S125" s="105"/>
      <c r="T125" s="105"/>
      <c r="U125" s="105"/>
      <c r="V125" s="105"/>
      <c r="W125" s="105"/>
      <c r="X125" s="105"/>
      <c r="Y125" s="105"/>
      <c r="Z125" s="105"/>
      <c r="AA125" s="105"/>
      <c r="AB125" s="105"/>
      <c r="AC125" s="105"/>
    </row>
    <row r="126" spans="1:29" ht="12.75">
      <c r="A126" s="34"/>
      <c r="B126" s="34"/>
      <c r="C126" s="34"/>
      <c r="D126" s="34"/>
      <c r="E126" s="188"/>
      <c r="F126" s="34"/>
      <c r="G126" s="34"/>
      <c r="H126" s="34"/>
      <c r="I126" s="34"/>
      <c r="J126" s="34"/>
      <c r="K126" s="105"/>
      <c r="L126" s="34"/>
      <c r="M126" s="34"/>
      <c r="N126" s="34"/>
      <c r="O126" s="105"/>
      <c r="P126" s="105"/>
      <c r="Q126" s="105"/>
      <c r="R126" s="105"/>
      <c r="S126" s="105"/>
      <c r="T126" s="105"/>
      <c r="U126" s="105"/>
      <c r="V126" s="105"/>
      <c r="W126" s="105"/>
      <c r="X126" s="105"/>
      <c r="Y126" s="105"/>
      <c r="Z126" s="105"/>
      <c r="AA126" s="105"/>
      <c r="AB126" s="105"/>
      <c r="AC126" s="105"/>
    </row>
    <row r="127" spans="1:29" ht="12.75">
      <c r="A127" s="34"/>
      <c r="B127" s="34"/>
      <c r="C127" s="34"/>
      <c r="D127" s="34"/>
      <c r="E127" s="188"/>
      <c r="F127" s="34"/>
      <c r="G127" s="34"/>
      <c r="H127" s="34"/>
      <c r="I127" s="34"/>
      <c r="J127" s="34"/>
      <c r="K127" s="105"/>
      <c r="L127" s="34"/>
      <c r="M127" s="34"/>
      <c r="N127" s="34"/>
      <c r="O127" s="105"/>
      <c r="P127" s="105"/>
      <c r="Q127" s="105"/>
      <c r="R127" s="105"/>
      <c r="S127" s="105"/>
      <c r="T127" s="105"/>
      <c r="U127" s="105"/>
      <c r="V127" s="105"/>
      <c r="W127" s="105"/>
      <c r="X127" s="105"/>
      <c r="Y127" s="105"/>
      <c r="Z127" s="105"/>
      <c r="AA127" s="105"/>
      <c r="AB127" s="105"/>
      <c r="AC127" s="105"/>
    </row>
    <row r="128" spans="1:29" ht="12.75">
      <c r="A128" s="34"/>
      <c r="B128" s="34"/>
      <c r="C128" s="34"/>
      <c r="D128" s="34"/>
      <c r="E128" s="188"/>
      <c r="F128" s="34"/>
      <c r="G128" s="34"/>
      <c r="H128" s="34"/>
      <c r="I128" s="34"/>
      <c r="J128" s="34"/>
      <c r="K128" s="105"/>
      <c r="L128" s="34"/>
      <c r="M128" s="34"/>
      <c r="N128" s="34"/>
      <c r="O128" s="105"/>
      <c r="P128" s="105"/>
      <c r="Q128" s="105"/>
      <c r="R128" s="105"/>
      <c r="S128" s="105"/>
      <c r="T128" s="105"/>
      <c r="U128" s="105"/>
      <c r="V128" s="105"/>
      <c r="W128" s="105"/>
      <c r="X128" s="105"/>
      <c r="Y128" s="105"/>
      <c r="Z128" s="105"/>
      <c r="AA128" s="105"/>
      <c r="AB128" s="105"/>
      <c r="AC128" s="105"/>
    </row>
    <row r="129" spans="1:29" ht="12.75">
      <c r="A129" s="34"/>
      <c r="B129" s="34"/>
      <c r="C129" s="34"/>
      <c r="D129" s="34"/>
      <c r="E129" s="188"/>
      <c r="F129" s="34"/>
      <c r="G129" s="34"/>
      <c r="H129" s="34"/>
      <c r="I129" s="34"/>
      <c r="J129" s="34"/>
      <c r="K129" s="105"/>
      <c r="L129" s="34"/>
      <c r="M129" s="34"/>
      <c r="N129" s="34"/>
      <c r="O129" s="105"/>
      <c r="P129" s="105"/>
      <c r="Q129" s="105"/>
      <c r="R129" s="105"/>
      <c r="S129" s="105"/>
      <c r="T129" s="105"/>
      <c r="U129" s="105"/>
      <c r="V129" s="105"/>
      <c r="W129" s="105"/>
      <c r="X129" s="105"/>
      <c r="Y129" s="105"/>
      <c r="Z129" s="105"/>
      <c r="AA129" s="105"/>
      <c r="AB129" s="105"/>
      <c r="AC129" s="105"/>
    </row>
    <row r="130" spans="1:29" ht="12.75">
      <c r="A130" s="34"/>
      <c r="B130" s="34"/>
      <c r="C130" s="34"/>
      <c r="D130" s="34"/>
      <c r="E130" s="188"/>
      <c r="F130" s="34"/>
      <c r="G130" s="34"/>
      <c r="H130" s="34"/>
      <c r="I130" s="34"/>
      <c r="J130" s="34"/>
      <c r="K130" s="105"/>
      <c r="L130" s="34"/>
      <c r="M130" s="34"/>
      <c r="N130" s="34"/>
      <c r="O130" s="105"/>
      <c r="P130" s="105"/>
      <c r="Q130" s="105"/>
      <c r="R130" s="105"/>
      <c r="S130" s="105"/>
      <c r="T130" s="105"/>
      <c r="U130" s="105"/>
      <c r="V130" s="105"/>
      <c r="W130" s="105"/>
      <c r="X130" s="105"/>
      <c r="Y130" s="105"/>
      <c r="Z130" s="105"/>
      <c r="AA130" s="105"/>
      <c r="AB130" s="105"/>
      <c r="AC130" s="105"/>
    </row>
    <row r="131" spans="1:29" ht="12.75">
      <c r="A131" s="34"/>
      <c r="B131" s="34"/>
      <c r="C131" s="34"/>
      <c r="D131" s="34"/>
      <c r="E131" s="188"/>
      <c r="F131" s="34"/>
      <c r="G131" s="34"/>
      <c r="H131" s="34"/>
      <c r="I131" s="34"/>
      <c r="J131" s="34"/>
      <c r="K131" s="105"/>
      <c r="L131" s="34"/>
      <c r="M131" s="34"/>
      <c r="N131" s="34"/>
      <c r="O131" s="105"/>
      <c r="P131" s="105"/>
      <c r="Q131" s="105"/>
      <c r="R131" s="105"/>
      <c r="S131" s="105"/>
      <c r="T131" s="105"/>
      <c r="U131" s="105"/>
      <c r="V131" s="105"/>
      <c r="W131" s="105"/>
      <c r="X131" s="105"/>
      <c r="Y131" s="105"/>
      <c r="Z131" s="105"/>
      <c r="AA131" s="105"/>
      <c r="AB131" s="105"/>
      <c r="AC131" s="105"/>
    </row>
    <row r="132" spans="1:29" ht="12.75">
      <c r="A132" s="34"/>
      <c r="B132" s="34"/>
      <c r="C132" s="34"/>
      <c r="D132" s="34"/>
      <c r="E132" s="188"/>
      <c r="F132" s="34"/>
      <c r="G132" s="34"/>
      <c r="H132" s="34"/>
      <c r="I132" s="34"/>
      <c r="J132" s="34"/>
      <c r="K132" s="105"/>
      <c r="L132" s="34"/>
      <c r="M132" s="34"/>
      <c r="N132" s="34"/>
      <c r="O132" s="105"/>
      <c r="P132" s="105"/>
      <c r="Q132" s="105"/>
      <c r="R132" s="105"/>
      <c r="S132" s="105"/>
      <c r="T132" s="105"/>
      <c r="U132" s="105"/>
      <c r="V132" s="105"/>
      <c r="W132" s="105"/>
      <c r="X132" s="105"/>
      <c r="Y132" s="105"/>
      <c r="Z132" s="105"/>
      <c r="AA132" s="105"/>
      <c r="AB132" s="105"/>
      <c r="AC132" s="105"/>
    </row>
    <row r="133" spans="1:29" ht="12.75">
      <c r="A133" s="34"/>
      <c r="B133" s="34"/>
      <c r="C133" s="34"/>
      <c r="D133" s="34"/>
      <c r="E133" s="188"/>
      <c r="F133" s="34"/>
      <c r="G133" s="34"/>
      <c r="H133" s="34"/>
      <c r="I133" s="34"/>
      <c r="J133" s="34"/>
      <c r="K133" s="105"/>
      <c r="L133" s="34"/>
      <c r="M133" s="34"/>
      <c r="N133" s="34"/>
      <c r="O133" s="105"/>
      <c r="P133" s="105"/>
      <c r="Q133" s="105"/>
      <c r="R133" s="105"/>
      <c r="S133" s="105"/>
      <c r="T133" s="105"/>
      <c r="U133" s="105"/>
      <c r="V133" s="105"/>
      <c r="W133" s="105"/>
      <c r="X133" s="105"/>
      <c r="Y133" s="105"/>
      <c r="Z133" s="105"/>
      <c r="AA133" s="105"/>
      <c r="AB133" s="105"/>
      <c r="AC133" s="105"/>
    </row>
    <row r="134" spans="1:29" ht="12.75">
      <c r="A134" s="34"/>
      <c r="B134" s="34"/>
      <c r="C134" s="34"/>
      <c r="D134" s="34"/>
      <c r="E134" s="188"/>
      <c r="F134" s="34"/>
      <c r="G134" s="34"/>
      <c r="H134" s="34"/>
      <c r="I134" s="34"/>
      <c r="J134" s="34"/>
      <c r="K134" s="105"/>
      <c r="L134" s="34"/>
      <c r="M134" s="34"/>
      <c r="N134" s="34"/>
      <c r="O134" s="105"/>
      <c r="P134" s="105"/>
      <c r="Q134" s="105"/>
      <c r="R134" s="105"/>
      <c r="S134" s="105"/>
      <c r="T134" s="105"/>
      <c r="U134" s="105"/>
      <c r="V134" s="105"/>
      <c r="W134" s="105"/>
      <c r="X134" s="105"/>
      <c r="Y134" s="105"/>
      <c r="Z134" s="105"/>
      <c r="AA134" s="105"/>
      <c r="AB134" s="105"/>
      <c r="AC134" s="105"/>
    </row>
    <row r="135" spans="1:29" ht="12.75">
      <c r="A135" s="34"/>
      <c r="B135" s="34"/>
      <c r="C135" s="34"/>
      <c r="D135" s="34"/>
      <c r="E135" s="188"/>
      <c r="F135" s="34"/>
      <c r="G135" s="34"/>
      <c r="H135" s="34"/>
      <c r="I135" s="34"/>
      <c r="J135" s="34"/>
      <c r="K135" s="105"/>
      <c r="L135" s="34"/>
      <c r="M135" s="34"/>
      <c r="N135" s="34"/>
      <c r="O135" s="105"/>
      <c r="P135" s="105"/>
      <c r="Q135" s="105"/>
      <c r="R135" s="105"/>
      <c r="S135" s="105"/>
      <c r="T135" s="105"/>
      <c r="U135" s="105"/>
      <c r="V135" s="105"/>
      <c r="W135" s="105"/>
      <c r="X135" s="105"/>
      <c r="Y135" s="105"/>
      <c r="Z135" s="105"/>
      <c r="AA135" s="105"/>
      <c r="AB135" s="105"/>
      <c r="AC135" s="105"/>
    </row>
    <row r="136" spans="1:29" ht="12.75">
      <c r="A136" s="34"/>
      <c r="B136" s="34"/>
      <c r="C136" s="34"/>
      <c r="D136" s="34"/>
      <c r="E136" s="188"/>
      <c r="F136" s="34"/>
      <c r="G136" s="34"/>
      <c r="H136" s="34"/>
      <c r="I136" s="34"/>
      <c r="J136" s="34"/>
      <c r="K136" s="105"/>
      <c r="L136" s="34"/>
      <c r="M136" s="34"/>
      <c r="N136" s="34"/>
      <c r="O136" s="105"/>
      <c r="P136" s="105"/>
      <c r="Q136" s="105"/>
      <c r="R136" s="105"/>
      <c r="S136" s="105"/>
      <c r="T136" s="105"/>
      <c r="U136" s="105"/>
      <c r="V136" s="105"/>
      <c r="W136" s="105"/>
      <c r="X136" s="105"/>
      <c r="Y136" s="105"/>
      <c r="Z136" s="105"/>
      <c r="AA136" s="105"/>
      <c r="AB136" s="105"/>
      <c r="AC136" s="105"/>
    </row>
    <row r="137" spans="1:29" ht="12.75">
      <c r="A137" s="34"/>
      <c r="B137" s="34"/>
      <c r="C137" s="34"/>
      <c r="D137" s="34"/>
      <c r="E137" s="188"/>
      <c r="F137" s="34"/>
      <c r="G137" s="34"/>
      <c r="H137" s="34"/>
      <c r="I137" s="34"/>
      <c r="J137" s="34"/>
      <c r="K137" s="105"/>
      <c r="L137" s="34"/>
      <c r="M137" s="34"/>
      <c r="N137" s="34"/>
      <c r="O137" s="105"/>
      <c r="P137" s="105"/>
      <c r="Q137" s="105"/>
      <c r="R137" s="105"/>
      <c r="S137" s="105"/>
      <c r="T137" s="105"/>
      <c r="U137" s="105"/>
      <c r="V137" s="105"/>
      <c r="W137" s="105"/>
      <c r="X137" s="105"/>
      <c r="Y137" s="105"/>
      <c r="Z137" s="105"/>
      <c r="AA137" s="105"/>
      <c r="AB137" s="105"/>
      <c r="AC137" s="105"/>
    </row>
    <row r="138" spans="1:29" ht="12.75">
      <c r="A138" s="34"/>
      <c r="B138" s="34"/>
      <c r="C138" s="34"/>
      <c r="D138" s="34"/>
      <c r="E138" s="188"/>
      <c r="F138" s="34"/>
      <c r="G138" s="34"/>
      <c r="H138" s="34"/>
      <c r="I138" s="34"/>
      <c r="J138" s="34"/>
      <c r="K138" s="105"/>
      <c r="L138" s="34"/>
      <c r="M138" s="34"/>
      <c r="N138" s="34"/>
      <c r="O138" s="105"/>
      <c r="P138" s="105"/>
      <c r="Q138" s="105"/>
      <c r="R138" s="105"/>
      <c r="S138" s="105"/>
      <c r="T138" s="105"/>
      <c r="U138" s="105"/>
      <c r="V138" s="105"/>
      <c r="W138" s="105"/>
      <c r="X138" s="105"/>
      <c r="Y138" s="105"/>
      <c r="Z138" s="105"/>
      <c r="AA138" s="105"/>
      <c r="AB138" s="105"/>
      <c r="AC138" s="105"/>
    </row>
    <row r="139" spans="1:29" ht="12.75">
      <c r="A139" s="34"/>
      <c r="B139" s="34"/>
      <c r="C139" s="34"/>
      <c r="D139" s="34"/>
      <c r="E139" s="188"/>
      <c r="F139" s="34"/>
      <c r="G139" s="34"/>
      <c r="H139" s="34"/>
      <c r="I139" s="34"/>
      <c r="J139" s="34"/>
      <c r="K139" s="105"/>
      <c r="L139" s="34"/>
      <c r="M139" s="34"/>
      <c r="N139" s="34"/>
      <c r="O139" s="105"/>
      <c r="P139" s="105"/>
      <c r="Q139" s="105"/>
      <c r="R139" s="105"/>
      <c r="S139" s="105"/>
      <c r="T139" s="105"/>
      <c r="U139" s="105"/>
      <c r="V139" s="105"/>
      <c r="W139" s="105"/>
      <c r="X139" s="105"/>
      <c r="Y139" s="105"/>
      <c r="Z139" s="105"/>
      <c r="AA139" s="105"/>
      <c r="AB139" s="105"/>
      <c r="AC139" s="105"/>
    </row>
    <row r="140" spans="1:29" ht="12.75">
      <c r="A140" s="34"/>
      <c r="B140" s="34"/>
      <c r="C140" s="34"/>
      <c r="D140" s="34"/>
      <c r="E140" s="188"/>
      <c r="F140" s="34"/>
      <c r="G140" s="34"/>
      <c r="H140" s="34"/>
      <c r="I140" s="34"/>
      <c r="J140" s="34"/>
      <c r="K140" s="105"/>
      <c r="L140" s="34"/>
      <c r="M140" s="34"/>
      <c r="N140" s="34"/>
      <c r="O140" s="105"/>
      <c r="P140" s="105"/>
      <c r="Q140" s="105"/>
      <c r="R140" s="105"/>
      <c r="S140" s="105"/>
      <c r="T140" s="105"/>
      <c r="U140" s="105"/>
      <c r="V140" s="105"/>
      <c r="W140" s="105"/>
      <c r="X140" s="105"/>
      <c r="Y140" s="105"/>
      <c r="Z140" s="105"/>
      <c r="AA140" s="105"/>
      <c r="AB140" s="105"/>
      <c r="AC140" s="105"/>
    </row>
    <row r="141" spans="1:29" ht="12.75">
      <c r="A141" s="34"/>
      <c r="B141" s="34"/>
      <c r="C141" s="34"/>
      <c r="D141" s="34"/>
      <c r="E141" s="188"/>
      <c r="F141" s="34"/>
      <c r="G141" s="34"/>
      <c r="H141" s="34"/>
      <c r="I141" s="34"/>
      <c r="J141" s="34"/>
      <c r="K141" s="105"/>
      <c r="L141" s="34"/>
      <c r="M141" s="34"/>
      <c r="N141" s="34"/>
      <c r="O141" s="105"/>
      <c r="P141" s="105"/>
      <c r="Q141" s="105"/>
      <c r="R141" s="105"/>
      <c r="S141" s="105"/>
      <c r="T141" s="105"/>
      <c r="U141" s="105"/>
      <c r="V141" s="105"/>
      <c r="W141" s="105"/>
      <c r="X141" s="105"/>
      <c r="Y141" s="105"/>
      <c r="Z141" s="105"/>
      <c r="AA141" s="105"/>
      <c r="AB141" s="105"/>
      <c r="AC141" s="105"/>
    </row>
    <row r="142" spans="1:29" ht="12.75">
      <c r="A142" s="34"/>
      <c r="B142" s="34"/>
      <c r="C142" s="34"/>
      <c r="D142" s="34"/>
      <c r="E142" s="188"/>
      <c r="F142" s="34"/>
      <c r="G142" s="34"/>
      <c r="H142" s="34"/>
      <c r="I142" s="34"/>
      <c r="J142" s="34"/>
      <c r="K142" s="105"/>
      <c r="L142" s="34"/>
      <c r="M142" s="34"/>
      <c r="N142" s="34"/>
      <c r="O142" s="105"/>
      <c r="P142" s="105"/>
      <c r="Q142" s="105"/>
      <c r="R142" s="105"/>
      <c r="S142" s="105"/>
      <c r="T142" s="105"/>
      <c r="U142" s="105"/>
      <c r="V142" s="105"/>
      <c r="W142" s="105"/>
      <c r="X142" s="105"/>
      <c r="Y142" s="105"/>
      <c r="Z142" s="105"/>
      <c r="AA142" s="105"/>
      <c r="AB142" s="105"/>
      <c r="AC142" s="105"/>
    </row>
    <row r="143" spans="1:29" ht="12.75">
      <c r="A143" s="34"/>
      <c r="B143" s="34"/>
      <c r="C143" s="34"/>
      <c r="D143" s="34"/>
      <c r="E143" s="188"/>
      <c r="F143" s="34"/>
      <c r="G143" s="34"/>
      <c r="H143" s="34"/>
      <c r="I143" s="34"/>
      <c r="J143" s="34"/>
      <c r="K143" s="105"/>
      <c r="L143" s="34"/>
      <c r="M143" s="34"/>
      <c r="N143" s="34"/>
      <c r="O143" s="105"/>
      <c r="P143" s="105"/>
      <c r="Q143" s="105"/>
      <c r="R143" s="105"/>
      <c r="S143" s="105"/>
      <c r="T143" s="105"/>
      <c r="U143" s="105"/>
      <c r="V143" s="105"/>
      <c r="W143" s="105"/>
      <c r="X143" s="105"/>
      <c r="Y143" s="105"/>
      <c r="Z143" s="105"/>
      <c r="AA143" s="105"/>
      <c r="AB143" s="105"/>
      <c r="AC143" s="105"/>
    </row>
    <row r="144" spans="1:29" ht="12.75">
      <c r="A144" s="34"/>
      <c r="B144" s="34"/>
      <c r="C144" s="34"/>
      <c r="D144" s="34"/>
      <c r="E144" s="188"/>
      <c r="F144" s="34"/>
      <c r="G144" s="34"/>
      <c r="H144" s="34"/>
      <c r="I144" s="34"/>
      <c r="J144" s="34"/>
      <c r="K144" s="105"/>
      <c r="L144" s="34"/>
      <c r="M144" s="34"/>
      <c r="N144" s="34"/>
      <c r="O144" s="105"/>
      <c r="P144" s="105"/>
      <c r="Q144" s="105"/>
      <c r="R144" s="105"/>
      <c r="S144" s="105"/>
      <c r="T144" s="105"/>
      <c r="U144" s="105"/>
      <c r="V144" s="105"/>
      <c r="W144" s="105"/>
      <c r="X144" s="105"/>
      <c r="Y144" s="105"/>
      <c r="Z144" s="105"/>
      <c r="AA144" s="105"/>
      <c r="AB144" s="105"/>
      <c r="AC144" s="105"/>
    </row>
    <row r="145" spans="1:29" ht="12.75">
      <c r="A145" s="34"/>
      <c r="B145" s="34"/>
      <c r="C145" s="34"/>
      <c r="D145" s="34"/>
      <c r="E145" s="188"/>
      <c r="F145" s="34"/>
      <c r="G145" s="34"/>
      <c r="H145" s="34"/>
      <c r="I145" s="34"/>
      <c r="J145" s="34"/>
      <c r="K145" s="105"/>
      <c r="L145" s="34"/>
      <c r="M145" s="34"/>
      <c r="N145" s="34"/>
      <c r="O145" s="105"/>
      <c r="P145" s="105"/>
      <c r="Q145" s="105"/>
      <c r="R145" s="105"/>
      <c r="S145" s="105"/>
      <c r="T145" s="105"/>
      <c r="U145" s="105"/>
      <c r="V145" s="105"/>
      <c r="W145" s="105"/>
      <c r="X145" s="105"/>
      <c r="Y145" s="105"/>
      <c r="Z145" s="105"/>
      <c r="AA145" s="105"/>
      <c r="AB145" s="105"/>
      <c r="AC145" s="105"/>
    </row>
    <row r="146" spans="1:29" ht="12.75">
      <c r="A146" s="34"/>
      <c r="B146" s="34"/>
      <c r="C146" s="34"/>
      <c r="D146" s="34"/>
      <c r="E146" s="188"/>
      <c r="F146" s="34"/>
      <c r="G146" s="34"/>
      <c r="H146" s="34"/>
      <c r="I146" s="34"/>
      <c r="J146" s="34"/>
      <c r="K146" s="105"/>
      <c r="L146" s="34"/>
      <c r="M146" s="34"/>
      <c r="N146" s="34"/>
      <c r="O146" s="105"/>
      <c r="P146" s="105"/>
      <c r="Q146" s="105"/>
      <c r="R146" s="105"/>
      <c r="S146" s="105"/>
      <c r="T146" s="105"/>
      <c r="U146" s="105"/>
      <c r="V146" s="105"/>
      <c r="W146" s="105"/>
      <c r="X146" s="105"/>
      <c r="Y146" s="105"/>
      <c r="Z146" s="105"/>
      <c r="AA146" s="105"/>
      <c r="AB146" s="105"/>
      <c r="AC146" s="105"/>
    </row>
    <row r="147" spans="1:29" ht="12.75">
      <c r="A147" s="34"/>
      <c r="B147" s="34"/>
      <c r="C147" s="34"/>
      <c r="D147" s="34"/>
      <c r="E147" s="188"/>
      <c r="F147" s="34"/>
      <c r="G147" s="34"/>
      <c r="H147" s="34"/>
      <c r="I147" s="34"/>
      <c r="J147" s="34"/>
      <c r="K147" s="105"/>
      <c r="L147" s="34"/>
      <c r="M147" s="34"/>
      <c r="N147" s="34"/>
      <c r="O147" s="105"/>
      <c r="P147" s="105"/>
      <c r="Q147" s="105"/>
      <c r="R147" s="105"/>
      <c r="S147" s="105"/>
      <c r="T147" s="105"/>
      <c r="U147" s="105"/>
      <c r="V147" s="105"/>
      <c r="W147" s="105"/>
      <c r="X147" s="105"/>
      <c r="Y147" s="105"/>
      <c r="Z147" s="105"/>
      <c r="AA147" s="105"/>
      <c r="AB147" s="105"/>
      <c r="AC147" s="105"/>
    </row>
    <row r="148" spans="1:29" ht="12.75">
      <c r="A148" s="34"/>
      <c r="B148" s="34"/>
      <c r="C148" s="34"/>
      <c r="D148" s="34"/>
      <c r="E148" s="188"/>
      <c r="F148" s="34"/>
      <c r="G148" s="34"/>
      <c r="H148" s="34"/>
      <c r="I148" s="34"/>
      <c r="J148" s="34"/>
      <c r="K148" s="105"/>
      <c r="L148" s="34"/>
      <c r="M148" s="34"/>
      <c r="N148" s="34"/>
      <c r="O148" s="105"/>
      <c r="P148" s="105"/>
      <c r="Q148" s="105"/>
      <c r="R148" s="105"/>
      <c r="S148" s="105"/>
      <c r="T148" s="105"/>
      <c r="U148" s="105"/>
      <c r="V148" s="105"/>
      <c r="W148" s="105"/>
      <c r="X148" s="105"/>
      <c r="Y148" s="105"/>
      <c r="Z148" s="105"/>
      <c r="AA148" s="105"/>
      <c r="AB148" s="105"/>
      <c r="AC148" s="105"/>
    </row>
    <row r="149" spans="1:29" ht="12.75">
      <c r="A149" s="34"/>
      <c r="B149" s="34"/>
      <c r="C149" s="34"/>
      <c r="D149" s="34"/>
      <c r="E149" s="188"/>
      <c r="F149" s="34"/>
      <c r="G149" s="34"/>
      <c r="H149" s="34"/>
      <c r="I149" s="34"/>
      <c r="J149" s="34"/>
      <c r="K149" s="105"/>
      <c r="L149" s="34"/>
      <c r="M149" s="34"/>
      <c r="N149" s="34"/>
      <c r="O149" s="105"/>
      <c r="P149" s="105"/>
      <c r="Q149" s="105"/>
      <c r="R149" s="105"/>
      <c r="S149" s="105"/>
      <c r="T149" s="105"/>
      <c r="U149" s="105"/>
      <c r="V149" s="105"/>
      <c r="W149" s="105"/>
      <c r="X149" s="105"/>
      <c r="Y149" s="105"/>
      <c r="Z149" s="105"/>
      <c r="AA149" s="105"/>
      <c r="AB149" s="105"/>
      <c r="AC149" s="105"/>
    </row>
    <row r="150" spans="1:29" ht="12.75">
      <c r="A150" s="34"/>
      <c r="B150" s="34"/>
      <c r="C150" s="34"/>
      <c r="D150" s="34"/>
      <c r="E150" s="188"/>
      <c r="F150" s="34"/>
      <c r="G150" s="34"/>
      <c r="H150" s="34"/>
      <c r="I150" s="34"/>
      <c r="J150" s="34"/>
      <c r="K150" s="105"/>
      <c r="L150" s="34"/>
      <c r="M150" s="34"/>
      <c r="N150" s="34"/>
      <c r="O150" s="105"/>
      <c r="P150" s="105"/>
      <c r="Q150" s="105"/>
      <c r="R150" s="105"/>
      <c r="S150" s="105"/>
      <c r="T150" s="105"/>
      <c r="U150" s="105"/>
      <c r="V150" s="105"/>
      <c r="W150" s="105"/>
      <c r="X150" s="105"/>
      <c r="Y150" s="105"/>
      <c r="Z150" s="105"/>
      <c r="AA150" s="105"/>
      <c r="AB150" s="105"/>
      <c r="AC150" s="105"/>
    </row>
    <row r="151" spans="1:29" ht="12.75">
      <c r="A151" s="34"/>
      <c r="B151" s="34"/>
      <c r="C151" s="34"/>
      <c r="D151" s="34"/>
      <c r="E151" s="188"/>
      <c r="F151" s="34"/>
      <c r="G151" s="34"/>
      <c r="H151" s="34"/>
      <c r="I151" s="34"/>
      <c r="J151" s="34"/>
      <c r="K151" s="105"/>
      <c r="L151" s="34"/>
      <c r="M151" s="34"/>
      <c r="N151" s="34"/>
      <c r="O151" s="105"/>
      <c r="P151" s="105"/>
      <c r="Q151" s="105"/>
      <c r="R151" s="105"/>
      <c r="S151" s="105"/>
      <c r="T151" s="105"/>
      <c r="U151" s="105"/>
      <c r="V151" s="105"/>
      <c r="W151" s="105"/>
      <c r="X151" s="105"/>
      <c r="Y151" s="105"/>
      <c r="Z151" s="105"/>
      <c r="AA151" s="105"/>
      <c r="AB151" s="105"/>
      <c r="AC151" s="105"/>
    </row>
    <row r="152" spans="1:29" ht="12.75">
      <c r="A152" s="34"/>
      <c r="B152" s="34"/>
      <c r="C152" s="34"/>
      <c r="D152" s="34"/>
      <c r="E152" s="188"/>
      <c r="F152" s="34"/>
      <c r="G152" s="34"/>
      <c r="H152" s="34"/>
      <c r="I152" s="34"/>
      <c r="J152" s="34"/>
      <c r="K152" s="105"/>
      <c r="L152" s="34"/>
      <c r="M152" s="34"/>
      <c r="N152" s="34"/>
      <c r="O152" s="105"/>
      <c r="P152" s="105"/>
      <c r="Q152" s="105"/>
      <c r="R152" s="105"/>
      <c r="S152" s="105"/>
      <c r="T152" s="105"/>
      <c r="U152" s="105"/>
      <c r="V152" s="105"/>
      <c r="W152" s="105"/>
      <c r="X152" s="105"/>
      <c r="Y152" s="105"/>
      <c r="Z152" s="105"/>
      <c r="AA152" s="105"/>
      <c r="AB152" s="105"/>
      <c r="AC152" s="105"/>
    </row>
    <row r="153" spans="1:29" ht="12.75">
      <c r="A153" s="34"/>
      <c r="B153" s="34"/>
      <c r="C153" s="34"/>
      <c r="D153" s="34"/>
      <c r="E153" s="188"/>
      <c r="F153" s="34"/>
      <c r="G153" s="34"/>
      <c r="H153" s="34"/>
      <c r="I153" s="34"/>
      <c r="J153" s="34"/>
      <c r="K153" s="105"/>
      <c r="L153" s="34"/>
      <c r="M153" s="34"/>
      <c r="N153" s="34"/>
      <c r="O153" s="105"/>
      <c r="P153" s="105"/>
      <c r="Q153" s="105"/>
      <c r="R153" s="105"/>
      <c r="S153" s="105"/>
      <c r="T153" s="105"/>
      <c r="U153" s="105"/>
      <c r="V153" s="105"/>
      <c r="W153" s="105"/>
      <c r="X153" s="105"/>
      <c r="Y153" s="105"/>
      <c r="Z153" s="105"/>
      <c r="AA153" s="105"/>
      <c r="AB153" s="105"/>
      <c r="AC153" s="105"/>
    </row>
    <row r="154" spans="1:29" ht="12.75">
      <c r="A154" s="34"/>
      <c r="B154" s="34"/>
      <c r="C154" s="34"/>
      <c r="D154" s="34"/>
      <c r="E154" s="188"/>
      <c r="F154" s="34"/>
      <c r="G154" s="34"/>
      <c r="H154" s="34"/>
      <c r="I154" s="34"/>
      <c r="J154" s="34"/>
      <c r="K154" s="105"/>
      <c r="L154" s="34"/>
      <c r="M154" s="34"/>
      <c r="N154" s="34"/>
      <c r="O154" s="105"/>
      <c r="P154" s="105"/>
      <c r="Q154" s="105"/>
      <c r="R154" s="105"/>
      <c r="S154" s="105"/>
      <c r="T154" s="105"/>
      <c r="U154" s="105"/>
      <c r="V154" s="105"/>
      <c r="W154" s="105"/>
      <c r="X154" s="105"/>
      <c r="Y154" s="105"/>
      <c r="Z154" s="105"/>
      <c r="AA154" s="105"/>
      <c r="AB154" s="105"/>
      <c r="AC154" s="105"/>
    </row>
    <row r="155" spans="1:29" ht="12.75">
      <c r="A155" s="34"/>
      <c r="B155" s="34"/>
      <c r="C155" s="34"/>
      <c r="D155" s="34"/>
      <c r="E155" s="188"/>
      <c r="F155" s="34"/>
      <c r="G155" s="34"/>
      <c r="H155" s="34"/>
      <c r="I155" s="34"/>
      <c r="J155" s="34"/>
      <c r="K155" s="105"/>
      <c r="L155" s="34"/>
      <c r="M155" s="34"/>
      <c r="N155" s="34"/>
      <c r="O155" s="105"/>
      <c r="P155" s="105"/>
      <c r="Q155" s="105"/>
      <c r="R155" s="105"/>
      <c r="S155" s="105"/>
      <c r="T155" s="105"/>
      <c r="U155" s="105"/>
      <c r="V155" s="105"/>
      <c r="W155" s="105"/>
      <c r="X155" s="105"/>
      <c r="Y155" s="105"/>
      <c r="Z155" s="105"/>
      <c r="AA155" s="105"/>
      <c r="AB155" s="105"/>
      <c r="AC155" s="105"/>
    </row>
    <row r="156" spans="1:29" ht="12.75">
      <c r="A156" s="34"/>
      <c r="B156" s="34"/>
      <c r="C156" s="34"/>
      <c r="D156" s="34"/>
      <c r="E156" s="188"/>
      <c r="F156" s="34"/>
      <c r="G156" s="34"/>
      <c r="H156" s="34"/>
      <c r="I156" s="34"/>
      <c r="J156" s="34"/>
      <c r="K156" s="105"/>
      <c r="L156" s="34"/>
      <c r="M156" s="34"/>
      <c r="N156" s="34"/>
      <c r="O156" s="105"/>
      <c r="P156" s="105"/>
      <c r="Q156" s="105"/>
      <c r="R156" s="105"/>
      <c r="S156" s="105"/>
      <c r="T156" s="105"/>
      <c r="U156" s="105"/>
      <c r="V156" s="105"/>
      <c r="W156" s="105"/>
      <c r="X156" s="105"/>
      <c r="Y156" s="105"/>
      <c r="Z156" s="105"/>
      <c r="AA156" s="105"/>
      <c r="AB156" s="105"/>
      <c r="AC156" s="105"/>
    </row>
    <row r="157" spans="1:29" ht="12.75">
      <c r="A157" s="34"/>
      <c r="B157" s="34"/>
      <c r="C157" s="34"/>
      <c r="D157" s="34"/>
      <c r="E157" s="188"/>
      <c r="F157" s="34"/>
      <c r="G157" s="34"/>
      <c r="H157" s="34"/>
      <c r="I157" s="34"/>
      <c r="J157" s="34"/>
      <c r="K157" s="105"/>
      <c r="L157" s="34"/>
      <c r="M157" s="34"/>
      <c r="N157" s="34"/>
      <c r="O157" s="105"/>
      <c r="P157" s="105"/>
      <c r="Q157" s="105"/>
      <c r="R157" s="105"/>
      <c r="S157" s="105"/>
      <c r="T157" s="105"/>
      <c r="U157" s="105"/>
      <c r="V157" s="105"/>
      <c r="W157" s="105"/>
      <c r="X157" s="105"/>
      <c r="Y157" s="105"/>
      <c r="Z157" s="105"/>
      <c r="AA157" s="105"/>
      <c r="AB157" s="105"/>
      <c r="AC157" s="105"/>
    </row>
    <row r="158" spans="1:29" ht="12.75">
      <c r="A158" s="34"/>
      <c r="B158" s="34"/>
      <c r="C158" s="34"/>
      <c r="D158" s="34"/>
      <c r="E158" s="188"/>
      <c r="F158" s="34"/>
      <c r="G158" s="34"/>
      <c r="H158" s="34"/>
      <c r="I158" s="34"/>
      <c r="J158" s="34"/>
      <c r="K158" s="105"/>
      <c r="L158" s="34"/>
      <c r="M158" s="34"/>
      <c r="N158" s="34"/>
      <c r="O158" s="105"/>
      <c r="P158" s="105"/>
      <c r="Q158" s="105"/>
      <c r="R158" s="105"/>
      <c r="S158" s="105"/>
      <c r="T158" s="105"/>
      <c r="U158" s="105"/>
      <c r="V158" s="105"/>
      <c r="W158" s="105"/>
      <c r="X158" s="105"/>
      <c r="Y158" s="105"/>
      <c r="Z158" s="105"/>
      <c r="AA158" s="105"/>
      <c r="AB158" s="105"/>
      <c r="AC158" s="105"/>
    </row>
    <row r="159" spans="1:29" ht="12.75">
      <c r="A159" s="34"/>
      <c r="B159" s="34"/>
      <c r="C159" s="34"/>
      <c r="D159" s="34"/>
      <c r="E159" s="188"/>
      <c r="F159" s="34"/>
      <c r="G159" s="34"/>
      <c r="H159" s="34"/>
      <c r="I159" s="34"/>
      <c r="J159" s="34"/>
      <c r="K159" s="105"/>
      <c r="L159" s="34"/>
      <c r="M159" s="34"/>
      <c r="N159" s="34"/>
      <c r="O159" s="105"/>
      <c r="P159" s="105"/>
      <c r="Q159" s="105"/>
      <c r="R159" s="105"/>
      <c r="S159" s="105"/>
      <c r="T159" s="105"/>
      <c r="U159" s="105"/>
      <c r="V159" s="105"/>
      <c r="W159" s="105"/>
      <c r="X159" s="105"/>
      <c r="Y159" s="105"/>
      <c r="Z159" s="105"/>
      <c r="AA159" s="105"/>
      <c r="AB159" s="105"/>
      <c r="AC159" s="105"/>
    </row>
    <row r="160" spans="1:29" ht="12.75">
      <c r="A160" s="34"/>
      <c r="B160" s="34"/>
      <c r="C160" s="34"/>
      <c r="D160" s="34"/>
      <c r="E160" s="188"/>
      <c r="F160" s="34"/>
      <c r="G160" s="34"/>
      <c r="H160" s="34"/>
      <c r="I160" s="34"/>
      <c r="J160" s="34"/>
      <c r="K160" s="105"/>
      <c r="L160" s="34"/>
      <c r="M160" s="34"/>
      <c r="N160" s="34"/>
      <c r="O160" s="105"/>
      <c r="P160" s="105"/>
      <c r="Q160" s="105"/>
      <c r="R160" s="105"/>
      <c r="S160" s="105"/>
      <c r="T160" s="105"/>
      <c r="U160" s="105"/>
      <c r="V160" s="105"/>
      <c r="W160" s="105"/>
      <c r="X160" s="105"/>
      <c r="Y160" s="105"/>
      <c r="Z160" s="105"/>
      <c r="AA160" s="105"/>
      <c r="AB160" s="105"/>
      <c r="AC160" s="105"/>
    </row>
    <row r="161" spans="1:29" ht="12.75">
      <c r="A161" s="34"/>
      <c r="B161" s="34"/>
      <c r="C161" s="34"/>
      <c r="D161" s="34"/>
      <c r="E161" s="188"/>
      <c r="F161" s="34"/>
      <c r="G161" s="34"/>
      <c r="H161" s="34"/>
      <c r="I161" s="34"/>
      <c r="J161" s="34"/>
      <c r="K161" s="105"/>
      <c r="L161" s="34"/>
      <c r="M161" s="34"/>
      <c r="N161" s="34"/>
      <c r="O161" s="105"/>
      <c r="P161" s="105"/>
      <c r="Q161" s="105"/>
      <c r="R161" s="105"/>
      <c r="S161" s="105"/>
      <c r="T161" s="105"/>
      <c r="U161" s="105"/>
      <c r="V161" s="105"/>
      <c r="W161" s="105"/>
      <c r="X161" s="105"/>
      <c r="Y161" s="105"/>
      <c r="Z161" s="105"/>
      <c r="AA161" s="105"/>
      <c r="AB161" s="105"/>
      <c r="AC161" s="105"/>
    </row>
    <row r="162" spans="1:29" ht="12.75">
      <c r="A162" s="34"/>
      <c r="B162" s="34"/>
      <c r="C162" s="34"/>
      <c r="D162" s="34"/>
      <c r="E162" s="188"/>
      <c r="F162" s="34"/>
      <c r="G162" s="34"/>
      <c r="H162" s="34"/>
      <c r="I162" s="34"/>
      <c r="J162" s="34"/>
      <c r="K162" s="105"/>
      <c r="L162" s="34"/>
      <c r="M162" s="34"/>
      <c r="N162" s="34"/>
      <c r="O162" s="105"/>
      <c r="P162" s="105"/>
      <c r="Q162" s="105"/>
      <c r="R162" s="105"/>
      <c r="S162" s="105"/>
      <c r="T162" s="105"/>
      <c r="U162" s="105"/>
      <c r="V162" s="105"/>
      <c r="W162" s="105"/>
      <c r="X162" s="105"/>
      <c r="Y162" s="105"/>
      <c r="Z162" s="105"/>
      <c r="AA162" s="105"/>
      <c r="AB162" s="105"/>
      <c r="AC162" s="105"/>
    </row>
    <row r="163" spans="1:29" ht="12.75">
      <c r="A163" s="34"/>
      <c r="B163" s="34"/>
      <c r="C163" s="34"/>
      <c r="D163" s="34"/>
      <c r="E163" s="188"/>
      <c r="F163" s="34"/>
      <c r="G163" s="34"/>
      <c r="H163" s="34"/>
      <c r="I163" s="34"/>
      <c r="J163" s="34"/>
      <c r="K163" s="105"/>
      <c r="L163" s="34"/>
      <c r="M163" s="34"/>
      <c r="N163" s="34"/>
      <c r="O163" s="105"/>
      <c r="P163" s="105"/>
      <c r="Q163" s="105"/>
      <c r="R163" s="105"/>
      <c r="S163" s="105"/>
      <c r="T163" s="105"/>
      <c r="U163" s="105"/>
      <c r="V163" s="105"/>
      <c r="W163" s="105"/>
      <c r="X163" s="105"/>
      <c r="Y163" s="105"/>
      <c r="Z163" s="105"/>
      <c r="AA163" s="105"/>
      <c r="AB163" s="105"/>
      <c r="AC163" s="105"/>
    </row>
    <row r="164" spans="1:29" ht="12.75">
      <c r="A164" s="34"/>
      <c r="B164" s="34"/>
      <c r="C164" s="34"/>
      <c r="D164" s="34"/>
      <c r="E164" s="188"/>
      <c r="F164" s="34"/>
      <c r="G164" s="34"/>
      <c r="H164" s="34"/>
      <c r="I164" s="34"/>
      <c r="J164" s="34"/>
      <c r="K164" s="105"/>
      <c r="L164" s="34"/>
      <c r="M164" s="34"/>
      <c r="N164" s="34"/>
      <c r="O164" s="105"/>
      <c r="P164" s="105"/>
      <c r="Q164" s="105"/>
      <c r="R164" s="105"/>
      <c r="S164" s="105"/>
      <c r="T164" s="105"/>
      <c r="U164" s="105"/>
      <c r="V164" s="105"/>
      <c r="W164" s="105"/>
      <c r="X164" s="105"/>
      <c r="Y164" s="105"/>
      <c r="Z164" s="105"/>
      <c r="AA164" s="105"/>
      <c r="AB164" s="105"/>
      <c r="AC164" s="105"/>
    </row>
    <row r="165" spans="1:29" ht="12.75">
      <c r="A165" s="34"/>
      <c r="B165" s="34"/>
      <c r="C165" s="34"/>
      <c r="D165" s="34"/>
      <c r="E165" s="188"/>
      <c r="F165" s="34"/>
      <c r="G165" s="34"/>
      <c r="H165" s="34"/>
      <c r="I165" s="34"/>
      <c r="J165" s="34"/>
      <c r="K165" s="105"/>
      <c r="L165" s="34"/>
      <c r="M165" s="34"/>
      <c r="N165" s="34"/>
      <c r="O165" s="105"/>
      <c r="P165" s="105"/>
      <c r="Q165" s="105"/>
      <c r="R165" s="105"/>
      <c r="S165" s="105"/>
      <c r="T165" s="105"/>
      <c r="U165" s="105"/>
      <c r="V165" s="105"/>
      <c r="W165" s="105"/>
      <c r="X165" s="105"/>
      <c r="Y165" s="105"/>
      <c r="Z165" s="105"/>
      <c r="AA165" s="105"/>
      <c r="AB165" s="105"/>
      <c r="AC165" s="105"/>
    </row>
    <row r="166" spans="1:29" ht="12.75">
      <c r="A166" s="34"/>
      <c r="B166" s="34"/>
      <c r="C166" s="34"/>
      <c r="D166" s="34"/>
      <c r="E166" s="188"/>
      <c r="F166" s="34"/>
      <c r="G166" s="34"/>
      <c r="H166" s="34"/>
      <c r="I166" s="34"/>
      <c r="J166" s="34"/>
      <c r="K166" s="105"/>
      <c r="L166" s="34"/>
      <c r="M166" s="34"/>
      <c r="N166" s="34"/>
      <c r="O166" s="105"/>
      <c r="P166" s="105"/>
      <c r="Q166" s="105"/>
      <c r="R166" s="105"/>
      <c r="S166" s="105"/>
      <c r="T166" s="105"/>
      <c r="U166" s="105"/>
      <c r="V166" s="105"/>
      <c r="W166" s="105"/>
      <c r="X166" s="105"/>
      <c r="Y166" s="105"/>
      <c r="Z166" s="105"/>
      <c r="AA166" s="105"/>
      <c r="AB166" s="105"/>
      <c r="AC166" s="105"/>
    </row>
    <row r="167" spans="1:29" ht="12.75">
      <c r="A167" s="34"/>
      <c r="B167" s="34"/>
      <c r="C167" s="34"/>
      <c r="D167" s="34"/>
      <c r="E167" s="188"/>
      <c r="F167" s="34"/>
      <c r="G167" s="34"/>
      <c r="H167" s="34"/>
      <c r="I167" s="34"/>
      <c r="J167" s="34"/>
      <c r="K167" s="105"/>
      <c r="L167" s="34"/>
      <c r="M167" s="34"/>
      <c r="N167" s="34"/>
      <c r="O167" s="105"/>
      <c r="P167" s="105"/>
      <c r="Q167" s="105"/>
      <c r="R167" s="105"/>
      <c r="S167" s="105"/>
      <c r="T167" s="105"/>
      <c r="U167" s="105"/>
      <c r="V167" s="105"/>
      <c r="W167" s="105"/>
      <c r="X167" s="105"/>
      <c r="Y167" s="105"/>
      <c r="Z167" s="105"/>
      <c r="AA167" s="105"/>
      <c r="AB167" s="105"/>
      <c r="AC167" s="105"/>
    </row>
    <row r="168" spans="1:29" ht="12.75">
      <c r="A168" s="34"/>
      <c r="B168" s="34"/>
      <c r="C168" s="34"/>
      <c r="D168" s="34"/>
      <c r="E168" s="188"/>
      <c r="F168" s="34"/>
      <c r="G168" s="34"/>
      <c r="H168" s="34"/>
      <c r="I168" s="34"/>
      <c r="J168" s="34"/>
      <c r="K168" s="105"/>
      <c r="L168" s="34"/>
      <c r="M168" s="34"/>
      <c r="N168" s="34"/>
      <c r="O168" s="105"/>
      <c r="P168" s="105"/>
      <c r="Q168" s="105"/>
      <c r="R168" s="105"/>
      <c r="S168" s="105"/>
      <c r="T168" s="105"/>
      <c r="U168" s="105"/>
      <c r="V168" s="105"/>
      <c r="W168" s="105"/>
      <c r="X168" s="105"/>
      <c r="Y168" s="105"/>
      <c r="Z168" s="105"/>
      <c r="AA168" s="105"/>
      <c r="AB168" s="105"/>
      <c r="AC168" s="105"/>
    </row>
    <row r="169" spans="1:29" ht="12.75">
      <c r="A169" s="34"/>
      <c r="B169" s="34"/>
      <c r="C169" s="34"/>
      <c r="D169" s="34"/>
      <c r="E169" s="188"/>
      <c r="F169" s="34"/>
      <c r="G169" s="34"/>
      <c r="H169" s="34"/>
      <c r="I169" s="34"/>
      <c r="J169" s="34"/>
      <c r="K169" s="105"/>
      <c r="L169" s="34"/>
      <c r="M169" s="34"/>
      <c r="N169" s="34"/>
      <c r="O169" s="105"/>
      <c r="P169" s="105"/>
      <c r="Q169" s="105"/>
      <c r="R169" s="105"/>
      <c r="S169" s="105"/>
      <c r="T169" s="105"/>
      <c r="U169" s="105"/>
      <c r="V169" s="105"/>
      <c r="W169" s="105"/>
      <c r="X169" s="105"/>
      <c r="Y169" s="105"/>
      <c r="Z169" s="105"/>
      <c r="AA169" s="105"/>
      <c r="AB169" s="105"/>
      <c r="AC169" s="105"/>
    </row>
    <row r="170" spans="1:29" ht="12.75">
      <c r="A170" s="34"/>
      <c r="B170" s="34"/>
      <c r="C170" s="34"/>
      <c r="D170" s="34"/>
      <c r="E170" s="188"/>
      <c r="F170" s="34"/>
      <c r="G170" s="34"/>
      <c r="H170" s="34"/>
      <c r="I170" s="34"/>
      <c r="J170" s="34"/>
      <c r="K170" s="105"/>
      <c r="L170" s="34"/>
      <c r="M170" s="34"/>
      <c r="N170" s="34"/>
      <c r="O170" s="105"/>
      <c r="P170" s="105"/>
      <c r="Q170" s="105"/>
      <c r="R170" s="105"/>
      <c r="S170" s="105"/>
      <c r="T170" s="105"/>
      <c r="U170" s="105"/>
      <c r="V170" s="105"/>
      <c r="W170" s="105"/>
      <c r="X170" s="105"/>
      <c r="Y170" s="105"/>
      <c r="Z170" s="105"/>
      <c r="AA170" s="105"/>
      <c r="AB170" s="105"/>
      <c r="AC170" s="105"/>
    </row>
    <row r="171" spans="1:29" ht="12.75">
      <c r="A171" s="34"/>
      <c r="B171" s="34"/>
      <c r="C171" s="34"/>
      <c r="D171" s="34"/>
      <c r="E171" s="188"/>
      <c r="F171" s="34"/>
      <c r="G171" s="34"/>
      <c r="H171" s="34"/>
      <c r="I171" s="34"/>
      <c r="J171" s="34"/>
      <c r="K171" s="105"/>
      <c r="L171" s="34"/>
      <c r="M171" s="34"/>
      <c r="N171" s="34"/>
      <c r="O171" s="105"/>
      <c r="P171" s="105"/>
      <c r="Q171" s="105"/>
      <c r="R171" s="105"/>
      <c r="S171" s="105"/>
      <c r="T171" s="105"/>
      <c r="U171" s="105"/>
      <c r="V171" s="105"/>
      <c r="W171" s="105"/>
      <c r="X171" s="105"/>
      <c r="Y171" s="105"/>
      <c r="Z171" s="105"/>
      <c r="AA171" s="105"/>
      <c r="AB171" s="105"/>
      <c r="AC171" s="105"/>
    </row>
    <row r="172" spans="1:29" ht="12.75">
      <c r="A172" s="34"/>
      <c r="B172" s="34"/>
      <c r="C172" s="34"/>
      <c r="D172" s="34"/>
      <c r="E172" s="188"/>
      <c r="F172" s="34"/>
      <c r="G172" s="34"/>
      <c r="H172" s="34"/>
      <c r="I172" s="34"/>
      <c r="J172" s="34"/>
      <c r="K172" s="105"/>
      <c r="L172" s="34"/>
      <c r="M172" s="34"/>
      <c r="N172" s="34"/>
      <c r="O172" s="105"/>
      <c r="P172" s="105"/>
      <c r="Q172" s="105"/>
      <c r="R172" s="105"/>
      <c r="S172" s="105"/>
      <c r="T172" s="105"/>
      <c r="U172" s="105"/>
      <c r="V172" s="105"/>
      <c r="W172" s="105"/>
      <c r="X172" s="105"/>
      <c r="Y172" s="105"/>
      <c r="Z172" s="105"/>
      <c r="AA172" s="105"/>
      <c r="AB172" s="105"/>
      <c r="AC172" s="105"/>
    </row>
    <row r="173" spans="1:29" ht="12.75">
      <c r="A173" s="34"/>
      <c r="B173" s="34"/>
      <c r="C173" s="34"/>
      <c r="D173" s="34"/>
      <c r="E173" s="188"/>
      <c r="F173" s="34"/>
      <c r="G173" s="34"/>
      <c r="H173" s="34"/>
      <c r="I173" s="34"/>
      <c r="J173" s="34"/>
      <c r="K173" s="105"/>
      <c r="L173" s="34"/>
      <c r="M173" s="34"/>
      <c r="N173" s="34"/>
      <c r="O173" s="105"/>
      <c r="P173" s="105"/>
      <c r="Q173" s="105"/>
      <c r="R173" s="105"/>
      <c r="S173" s="105"/>
      <c r="T173" s="105"/>
      <c r="U173" s="105"/>
      <c r="V173" s="105"/>
      <c r="W173" s="105"/>
      <c r="X173" s="105"/>
      <c r="Y173" s="105"/>
      <c r="Z173" s="105"/>
      <c r="AA173" s="105"/>
      <c r="AB173" s="105"/>
      <c r="AC173" s="105"/>
    </row>
    <row r="174" spans="1:29" ht="12.75">
      <c r="A174" s="34"/>
      <c r="B174" s="34"/>
      <c r="C174" s="34"/>
      <c r="D174" s="34"/>
      <c r="E174" s="188"/>
      <c r="F174" s="34"/>
      <c r="G174" s="34"/>
      <c r="H174" s="34"/>
      <c r="I174" s="34"/>
      <c r="J174" s="34"/>
      <c r="K174" s="105"/>
      <c r="L174" s="34"/>
      <c r="M174" s="34"/>
      <c r="N174" s="34"/>
      <c r="O174" s="105"/>
      <c r="P174" s="105"/>
      <c r="Q174" s="105"/>
      <c r="R174" s="105"/>
      <c r="S174" s="105"/>
      <c r="T174" s="105"/>
      <c r="U174" s="105"/>
      <c r="V174" s="105"/>
      <c r="W174" s="105"/>
      <c r="X174" s="105"/>
      <c r="Y174" s="105"/>
      <c r="Z174" s="105"/>
      <c r="AA174" s="105"/>
      <c r="AB174" s="105"/>
      <c r="AC174" s="105"/>
    </row>
    <row r="175" spans="1:29" ht="12.75">
      <c r="A175" s="34"/>
      <c r="B175" s="34"/>
      <c r="C175" s="34"/>
      <c r="D175" s="34"/>
      <c r="E175" s="188"/>
      <c r="F175" s="34"/>
      <c r="G175" s="34"/>
      <c r="H175" s="34"/>
      <c r="I175" s="34"/>
      <c r="J175" s="34"/>
      <c r="K175" s="105"/>
      <c r="L175" s="34"/>
      <c r="M175" s="34"/>
      <c r="N175" s="34"/>
      <c r="O175" s="105"/>
      <c r="P175" s="105"/>
      <c r="Q175" s="105"/>
      <c r="R175" s="105"/>
      <c r="S175" s="105"/>
      <c r="T175" s="105"/>
      <c r="U175" s="105"/>
      <c r="V175" s="105"/>
      <c r="W175" s="105"/>
      <c r="X175" s="105"/>
      <c r="Y175" s="105"/>
      <c r="Z175" s="105"/>
      <c r="AA175" s="105"/>
      <c r="AB175" s="105"/>
      <c r="AC175" s="105"/>
    </row>
    <row r="176" spans="1:29" ht="12.75">
      <c r="A176" s="34"/>
      <c r="B176" s="34"/>
      <c r="C176" s="34"/>
      <c r="D176" s="34"/>
      <c r="E176" s="188"/>
      <c r="F176" s="34"/>
      <c r="G176" s="34"/>
      <c r="H176" s="34"/>
      <c r="I176" s="34"/>
      <c r="J176" s="34"/>
      <c r="K176" s="105"/>
      <c r="L176" s="34"/>
      <c r="M176" s="34"/>
      <c r="N176" s="34"/>
      <c r="O176" s="105"/>
      <c r="P176" s="105"/>
      <c r="Q176" s="105"/>
      <c r="R176" s="105"/>
      <c r="S176" s="105"/>
      <c r="T176" s="105"/>
      <c r="U176" s="105"/>
      <c r="V176" s="105"/>
      <c r="W176" s="105"/>
      <c r="X176" s="105"/>
      <c r="Y176" s="105"/>
      <c r="Z176" s="105"/>
      <c r="AA176" s="105"/>
      <c r="AB176" s="105"/>
      <c r="AC176" s="105"/>
    </row>
    <row r="177" spans="1:29" ht="12.75">
      <c r="A177" s="34"/>
      <c r="B177" s="34"/>
      <c r="C177" s="34"/>
      <c r="D177" s="34"/>
      <c r="E177" s="188"/>
      <c r="F177" s="34"/>
      <c r="G177" s="34"/>
      <c r="H177" s="34"/>
      <c r="I177" s="34"/>
      <c r="J177" s="34"/>
      <c r="K177" s="105"/>
      <c r="L177" s="34"/>
      <c r="M177" s="34"/>
      <c r="N177" s="34"/>
      <c r="O177" s="105"/>
      <c r="P177" s="105"/>
      <c r="Q177" s="105"/>
      <c r="R177" s="105"/>
      <c r="S177" s="105"/>
      <c r="T177" s="105"/>
      <c r="U177" s="105"/>
      <c r="V177" s="105"/>
      <c r="W177" s="105"/>
      <c r="X177" s="105"/>
      <c r="Y177" s="105"/>
      <c r="Z177" s="105"/>
      <c r="AA177" s="105"/>
      <c r="AB177" s="105"/>
      <c r="AC177" s="105"/>
    </row>
    <row r="178" spans="1:29" ht="12.75">
      <c r="A178" s="34"/>
      <c r="B178" s="34"/>
      <c r="C178" s="34"/>
      <c r="D178" s="34"/>
      <c r="E178" s="188"/>
      <c r="F178" s="34"/>
      <c r="G178" s="34"/>
      <c r="H178" s="34"/>
      <c r="I178" s="34"/>
      <c r="J178" s="34"/>
      <c r="K178" s="105"/>
      <c r="L178" s="34"/>
      <c r="M178" s="34"/>
      <c r="N178" s="34"/>
      <c r="O178" s="105"/>
      <c r="P178" s="105"/>
      <c r="Q178" s="105"/>
      <c r="R178" s="105"/>
      <c r="S178" s="105"/>
      <c r="T178" s="105"/>
      <c r="U178" s="105"/>
      <c r="V178" s="105"/>
      <c r="W178" s="105"/>
      <c r="X178" s="105"/>
      <c r="Y178" s="105"/>
      <c r="Z178" s="105"/>
      <c r="AA178" s="105"/>
      <c r="AB178" s="105"/>
      <c r="AC178" s="105"/>
    </row>
    <row r="179" spans="1:29" ht="12.75">
      <c r="A179" s="34"/>
      <c r="B179" s="34"/>
      <c r="C179" s="34"/>
      <c r="D179" s="34"/>
      <c r="E179" s="188"/>
      <c r="F179" s="34"/>
      <c r="G179" s="34"/>
      <c r="H179" s="34"/>
      <c r="I179" s="34"/>
      <c r="J179" s="34"/>
      <c r="K179" s="105"/>
      <c r="L179" s="34"/>
      <c r="M179" s="34"/>
      <c r="N179" s="34"/>
      <c r="O179" s="105"/>
      <c r="P179" s="105"/>
      <c r="Q179" s="105"/>
      <c r="R179" s="105"/>
      <c r="S179" s="105"/>
      <c r="T179" s="105"/>
      <c r="U179" s="105"/>
      <c r="V179" s="105"/>
      <c r="W179" s="105"/>
      <c r="X179" s="105"/>
      <c r="Y179" s="105"/>
      <c r="Z179" s="105"/>
      <c r="AA179" s="105"/>
      <c r="AB179" s="105"/>
      <c r="AC179" s="105"/>
    </row>
    <row r="180" spans="1:29" ht="12.75">
      <c r="A180" s="34"/>
      <c r="B180" s="34"/>
      <c r="C180" s="34"/>
      <c r="D180" s="34"/>
      <c r="E180" s="188"/>
      <c r="F180" s="34"/>
      <c r="G180" s="34"/>
      <c r="H180" s="34"/>
      <c r="I180" s="34"/>
      <c r="J180" s="34"/>
      <c r="K180" s="105"/>
      <c r="L180" s="34"/>
      <c r="M180" s="34"/>
      <c r="N180" s="34"/>
      <c r="O180" s="105"/>
      <c r="P180" s="105"/>
      <c r="Q180" s="105"/>
      <c r="R180" s="105"/>
      <c r="S180" s="105"/>
      <c r="T180" s="105"/>
      <c r="U180" s="105"/>
      <c r="V180" s="105"/>
      <c r="W180" s="105"/>
      <c r="X180" s="105"/>
      <c r="Y180" s="105"/>
      <c r="Z180" s="105"/>
      <c r="AA180" s="105"/>
      <c r="AB180" s="105"/>
      <c r="AC180" s="105"/>
    </row>
    <row r="181" spans="1:29" ht="12.75">
      <c r="A181" s="34"/>
      <c r="B181" s="34"/>
      <c r="C181" s="34"/>
      <c r="D181" s="34"/>
      <c r="E181" s="188"/>
      <c r="F181" s="34"/>
      <c r="G181" s="34"/>
      <c r="H181" s="34"/>
      <c r="I181" s="34"/>
      <c r="J181" s="34"/>
      <c r="K181" s="105"/>
      <c r="L181" s="34"/>
      <c r="M181" s="34"/>
      <c r="N181" s="34"/>
      <c r="O181" s="105"/>
      <c r="P181" s="105"/>
      <c r="Q181" s="105"/>
      <c r="R181" s="105"/>
      <c r="S181" s="105"/>
      <c r="T181" s="105"/>
      <c r="U181" s="105"/>
      <c r="V181" s="105"/>
      <c r="W181" s="105"/>
      <c r="X181" s="105"/>
      <c r="Y181" s="105"/>
      <c r="Z181" s="105"/>
      <c r="AA181" s="105"/>
      <c r="AB181" s="105"/>
      <c r="AC181" s="105"/>
    </row>
    <row r="182" spans="1:29" ht="12.75">
      <c r="A182" s="34"/>
      <c r="B182" s="34"/>
      <c r="C182" s="34"/>
      <c r="D182" s="34"/>
      <c r="E182" s="188"/>
      <c r="F182" s="34"/>
      <c r="G182" s="34"/>
      <c r="H182" s="34"/>
      <c r="I182" s="34"/>
      <c r="J182" s="34"/>
      <c r="K182" s="105"/>
      <c r="L182" s="34"/>
      <c r="M182" s="34"/>
      <c r="N182" s="34"/>
      <c r="O182" s="105"/>
      <c r="P182" s="105"/>
      <c r="Q182" s="105"/>
      <c r="R182" s="105"/>
      <c r="S182" s="105"/>
      <c r="T182" s="105"/>
      <c r="U182" s="105"/>
      <c r="V182" s="105"/>
      <c r="W182" s="105"/>
      <c r="X182" s="105"/>
      <c r="Y182" s="105"/>
      <c r="Z182" s="105"/>
      <c r="AA182" s="105"/>
      <c r="AB182" s="105"/>
      <c r="AC182" s="105"/>
    </row>
    <row r="183" spans="1:29" ht="12.75">
      <c r="A183" s="34"/>
      <c r="B183" s="34"/>
      <c r="C183" s="34"/>
      <c r="D183" s="34"/>
      <c r="E183" s="188"/>
      <c r="F183" s="34"/>
      <c r="G183" s="34"/>
      <c r="H183" s="34"/>
      <c r="I183" s="34"/>
      <c r="J183" s="34"/>
      <c r="K183" s="105"/>
      <c r="L183" s="34"/>
      <c r="M183" s="34"/>
      <c r="N183" s="34"/>
      <c r="O183" s="105"/>
      <c r="P183" s="105"/>
      <c r="Q183" s="105"/>
      <c r="R183" s="105"/>
      <c r="S183" s="105"/>
      <c r="T183" s="105"/>
      <c r="U183" s="105"/>
      <c r="V183" s="105"/>
      <c r="W183" s="105"/>
      <c r="X183" s="105"/>
      <c r="Y183" s="105"/>
      <c r="Z183" s="105"/>
      <c r="AA183" s="105"/>
      <c r="AB183" s="105"/>
      <c r="AC183" s="105"/>
    </row>
    <row r="184" spans="1:29" ht="12.75">
      <c r="A184" s="34"/>
      <c r="B184" s="34"/>
      <c r="C184" s="34"/>
      <c r="D184" s="34"/>
      <c r="E184" s="188"/>
      <c r="F184" s="34"/>
      <c r="G184" s="34"/>
      <c r="H184" s="34"/>
      <c r="I184" s="34"/>
      <c r="J184" s="34"/>
      <c r="K184" s="105"/>
      <c r="L184" s="34"/>
      <c r="M184" s="34"/>
      <c r="N184" s="34"/>
      <c r="O184" s="105"/>
      <c r="P184" s="105"/>
      <c r="Q184" s="105"/>
      <c r="R184" s="105"/>
      <c r="S184" s="105"/>
      <c r="T184" s="105"/>
      <c r="U184" s="105"/>
      <c r="V184" s="105"/>
      <c r="W184" s="105"/>
      <c r="X184" s="105"/>
      <c r="Y184" s="105"/>
      <c r="Z184" s="105"/>
      <c r="AA184" s="105"/>
      <c r="AB184" s="105"/>
      <c r="AC184" s="105"/>
    </row>
    <row r="185" spans="1:29" ht="12.75">
      <c r="A185" s="34"/>
      <c r="B185" s="34"/>
      <c r="C185" s="34"/>
      <c r="D185" s="34"/>
      <c r="E185" s="188"/>
      <c r="F185" s="34"/>
      <c r="G185" s="34"/>
      <c r="H185" s="34"/>
      <c r="I185" s="34"/>
      <c r="J185" s="34"/>
      <c r="K185" s="105"/>
      <c r="L185" s="34"/>
      <c r="M185" s="34"/>
      <c r="N185" s="34"/>
      <c r="O185" s="105"/>
      <c r="P185" s="105"/>
      <c r="Q185" s="105"/>
      <c r="R185" s="105"/>
      <c r="S185" s="105"/>
      <c r="T185" s="105"/>
      <c r="U185" s="105"/>
      <c r="V185" s="105"/>
      <c r="W185" s="105"/>
      <c r="X185" s="105"/>
      <c r="Y185" s="105"/>
      <c r="Z185" s="105"/>
      <c r="AA185" s="105"/>
      <c r="AB185" s="105"/>
      <c r="AC185" s="105"/>
    </row>
    <row r="186" spans="1:29" ht="12.75">
      <c r="A186" s="34"/>
      <c r="B186" s="34"/>
      <c r="C186" s="34"/>
      <c r="D186" s="34"/>
      <c r="E186" s="188"/>
      <c r="F186" s="34"/>
      <c r="G186" s="34"/>
      <c r="H186" s="34"/>
      <c r="I186" s="34"/>
      <c r="J186" s="34"/>
      <c r="K186" s="105"/>
      <c r="L186" s="34"/>
      <c r="M186" s="34"/>
      <c r="N186" s="34"/>
      <c r="O186" s="105"/>
      <c r="P186" s="105"/>
      <c r="Q186" s="105"/>
      <c r="R186" s="105"/>
      <c r="S186" s="105"/>
      <c r="T186" s="105"/>
      <c r="U186" s="105"/>
      <c r="V186" s="105"/>
      <c r="W186" s="105"/>
      <c r="X186" s="105"/>
      <c r="Y186" s="105"/>
      <c r="Z186" s="105"/>
      <c r="AA186" s="105"/>
      <c r="AB186" s="105"/>
      <c r="AC186" s="105"/>
    </row>
    <row r="187" spans="1:29" ht="12.75">
      <c r="A187" s="34"/>
      <c r="B187" s="34"/>
      <c r="C187" s="34"/>
      <c r="D187" s="34"/>
      <c r="E187" s="188"/>
      <c r="F187" s="34"/>
      <c r="G187" s="34"/>
      <c r="H187" s="34"/>
      <c r="I187" s="34"/>
      <c r="J187" s="34"/>
      <c r="K187" s="105"/>
      <c r="L187" s="34"/>
      <c r="M187" s="34"/>
      <c r="N187" s="34"/>
      <c r="O187" s="105"/>
      <c r="P187" s="105"/>
      <c r="Q187" s="105"/>
      <c r="R187" s="105"/>
      <c r="S187" s="105"/>
      <c r="T187" s="105"/>
      <c r="U187" s="105"/>
      <c r="V187" s="105"/>
      <c r="W187" s="105"/>
      <c r="X187" s="105"/>
      <c r="Y187" s="105"/>
      <c r="Z187" s="105"/>
      <c r="AA187" s="105"/>
      <c r="AB187" s="105"/>
      <c r="AC187" s="105"/>
    </row>
    <row r="188" spans="1:29" ht="12.75">
      <c r="A188" s="34"/>
      <c r="B188" s="34"/>
      <c r="C188" s="34"/>
      <c r="D188" s="34"/>
      <c r="E188" s="188"/>
      <c r="F188" s="34"/>
      <c r="G188" s="34"/>
      <c r="H188" s="34"/>
      <c r="I188" s="34"/>
      <c r="J188" s="34"/>
      <c r="K188" s="105"/>
      <c r="L188" s="34"/>
      <c r="M188" s="34"/>
      <c r="N188" s="34"/>
      <c r="O188" s="105"/>
      <c r="P188" s="105"/>
      <c r="Q188" s="105"/>
      <c r="R188" s="105"/>
      <c r="S188" s="105"/>
      <c r="T188" s="105"/>
      <c r="U188" s="105"/>
      <c r="V188" s="105"/>
      <c r="W188" s="105"/>
      <c r="X188" s="105"/>
      <c r="Y188" s="105"/>
      <c r="Z188" s="105"/>
      <c r="AA188" s="105"/>
      <c r="AB188" s="105"/>
      <c r="AC188" s="105"/>
    </row>
    <row r="189" spans="1:29" ht="12.75">
      <c r="A189" s="34"/>
      <c r="B189" s="34"/>
      <c r="C189" s="34"/>
      <c r="D189" s="34"/>
      <c r="E189" s="188"/>
      <c r="F189" s="34"/>
      <c r="G189" s="34"/>
      <c r="H189" s="34"/>
      <c r="I189" s="34"/>
      <c r="J189" s="34"/>
      <c r="K189" s="105"/>
      <c r="L189" s="34"/>
      <c r="M189" s="34"/>
      <c r="N189" s="34"/>
      <c r="O189" s="105"/>
      <c r="P189" s="105"/>
      <c r="Q189" s="105"/>
      <c r="R189" s="105"/>
      <c r="S189" s="105"/>
      <c r="T189" s="105"/>
      <c r="U189" s="105"/>
      <c r="V189" s="105"/>
      <c r="W189" s="105"/>
      <c r="X189" s="105"/>
      <c r="Y189" s="105"/>
      <c r="Z189" s="105"/>
      <c r="AA189" s="105"/>
      <c r="AB189" s="105"/>
      <c r="AC189" s="105"/>
    </row>
    <row r="190" spans="1:29" ht="12.75">
      <c r="A190" s="34"/>
      <c r="B190" s="34"/>
      <c r="C190" s="34"/>
      <c r="D190" s="34"/>
      <c r="E190" s="188"/>
      <c r="F190" s="34"/>
      <c r="G190" s="34"/>
      <c r="H190" s="34"/>
      <c r="I190" s="34"/>
      <c r="J190" s="34"/>
      <c r="K190" s="105"/>
      <c r="L190" s="34"/>
      <c r="M190" s="34"/>
      <c r="N190" s="34"/>
      <c r="O190" s="105"/>
      <c r="P190" s="105"/>
      <c r="Q190" s="105"/>
      <c r="R190" s="105"/>
      <c r="S190" s="105"/>
      <c r="T190" s="105"/>
      <c r="U190" s="105"/>
      <c r="V190" s="105"/>
      <c r="W190" s="105"/>
      <c r="X190" s="105"/>
      <c r="Y190" s="105"/>
      <c r="Z190" s="105"/>
      <c r="AA190" s="105"/>
      <c r="AB190" s="105"/>
      <c r="AC190" s="105"/>
    </row>
    <row r="191" spans="1:29" ht="12.75">
      <c r="A191" s="34"/>
      <c r="B191" s="34"/>
      <c r="C191" s="34"/>
      <c r="D191" s="34"/>
      <c r="E191" s="188"/>
      <c r="F191" s="34"/>
      <c r="G191" s="34"/>
      <c r="H191" s="34"/>
      <c r="I191" s="34"/>
      <c r="J191" s="34"/>
      <c r="K191" s="105"/>
      <c r="L191" s="34"/>
      <c r="M191" s="34"/>
      <c r="N191" s="34"/>
      <c r="O191" s="105"/>
      <c r="P191" s="105"/>
      <c r="Q191" s="105"/>
      <c r="R191" s="105"/>
      <c r="S191" s="105"/>
      <c r="T191" s="105"/>
      <c r="U191" s="105"/>
      <c r="V191" s="105"/>
      <c r="W191" s="105"/>
      <c r="X191" s="105"/>
      <c r="Y191" s="105"/>
      <c r="Z191" s="105"/>
      <c r="AA191" s="105"/>
      <c r="AB191" s="105"/>
      <c r="AC191" s="105"/>
    </row>
    <row r="192" spans="1:29" ht="12.75">
      <c r="A192" s="34"/>
      <c r="B192" s="34"/>
      <c r="C192" s="34"/>
      <c r="D192" s="34"/>
      <c r="E192" s="188"/>
      <c r="F192" s="34"/>
      <c r="G192" s="34"/>
      <c r="H192" s="34"/>
      <c r="I192" s="34"/>
      <c r="J192" s="34"/>
      <c r="K192" s="105"/>
      <c r="L192" s="34"/>
      <c r="M192" s="34"/>
      <c r="N192" s="34"/>
      <c r="O192" s="105"/>
      <c r="P192" s="105"/>
      <c r="Q192" s="105"/>
      <c r="R192" s="105"/>
      <c r="S192" s="105"/>
      <c r="T192" s="105"/>
      <c r="U192" s="105"/>
      <c r="V192" s="105"/>
      <c r="W192" s="105"/>
      <c r="X192" s="105"/>
      <c r="Y192" s="105"/>
      <c r="Z192" s="105"/>
      <c r="AA192" s="105"/>
      <c r="AB192" s="105"/>
      <c r="AC192" s="105"/>
    </row>
    <row r="193" spans="1:29" ht="12.75">
      <c r="A193" s="34"/>
      <c r="B193" s="34"/>
      <c r="C193" s="34"/>
      <c r="D193" s="34"/>
      <c r="E193" s="188"/>
      <c r="F193" s="34"/>
      <c r="G193" s="34"/>
      <c r="H193" s="34"/>
      <c r="I193" s="34"/>
      <c r="J193" s="34"/>
      <c r="K193" s="105"/>
      <c r="L193" s="34"/>
      <c r="M193" s="34"/>
      <c r="N193" s="34"/>
      <c r="O193" s="105"/>
      <c r="P193" s="105"/>
      <c r="Q193" s="105"/>
      <c r="R193" s="105"/>
      <c r="S193" s="105"/>
      <c r="T193" s="105"/>
      <c r="U193" s="105"/>
      <c r="V193" s="105"/>
      <c r="W193" s="105"/>
      <c r="X193" s="105"/>
      <c r="Y193" s="105"/>
      <c r="Z193" s="105"/>
      <c r="AA193" s="105"/>
      <c r="AB193" s="105"/>
      <c r="AC193" s="105"/>
    </row>
    <row r="194" spans="1:29" ht="12.75">
      <c r="A194" s="34"/>
      <c r="B194" s="34"/>
      <c r="C194" s="34"/>
      <c r="D194" s="34"/>
      <c r="E194" s="188"/>
      <c r="F194" s="34"/>
      <c r="G194" s="34"/>
      <c r="H194" s="34"/>
      <c r="I194" s="34"/>
      <c r="J194" s="34"/>
      <c r="K194" s="105"/>
      <c r="L194" s="34"/>
      <c r="M194" s="34"/>
      <c r="N194" s="34"/>
      <c r="O194" s="105"/>
      <c r="P194" s="105"/>
      <c r="Q194" s="105"/>
      <c r="R194" s="105"/>
      <c r="S194" s="105"/>
      <c r="T194" s="105"/>
      <c r="U194" s="105"/>
      <c r="V194" s="105"/>
      <c r="W194" s="105"/>
      <c r="X194" s="105"/>
      <c r="Y194" s="105"/>
      <c r="Z194" s="105"/>
      <c r="AA194" s="105"/>
      <c r="AB194" s="105"/>
      <c r="AC194" s="105"/>
    </row>
    <row r="195" spans="1:29" ht="12.75">
      <c r="A195" s="34"/>
      <c r="B195" s="34"/>
      <c r="C195" s="34"/>
      <c r="D195" s="34"/>
      <c r="E195" s="188"/>
      <c r="F195" s="34"/>
      <c r="G195" s="34"/>
      <c r="H195" s="34"/>
      <c r="I195" s="34"/>
      <c r="J195" s="34"/>
      <c r="K195" s="105"/>
      <c r="L195" s="34"/>
      <c r="M195" s="34"/>
      <c r="N195" s="34"/>
      <c r="O195" s="105"/>
      <c r="P195" s="105"/>
      <c r="Q195" s="105"/>
      <c r="R195" s="105"/>
      <c r="S195" s="105"/>
      <c r="T195" s="105"/>
      <c r="U195" s="105"/>
      <c r="V195" s="105"/>
      <c r="W195" s="105"/>
      <c r="X195" s="105"/>
      <c r="Y195" s="105"/>
      <c r="Z195" s="105"/>
      <c r="AA195" s="105"/>
      <c r="AB195" s="105"/>
      <c r="AC195" s="105"/>
    </row>
    <row r="196" spans="1:29" ht="12.75">
      <c r="A196" s="34"/>
      <c r="B196" s="34"/>
      <c r="C196" s="34"/>
      <c r="D196" s="34"/>
      <c r="E196" s="188"/>
      <c r="F196" s="34"/>
      <c r="G196" s="34"/>
      <c r="H196" s="34"/>
      <c r="I196" s="34"/>
      <c r="J196" s="34"/>
      <c r="K196" s="105"/>
      <c r="L196" s="34"/>
      <c r="M196" s="34"/>
      <c r="N196" s="34"/>
      <c r="O196" s="105"/>
      <c r="P196" s="105"/>
      <c r="Q196" s="105"/>
      <c r="R196" s="105"/>
      <c r="S196" s="105"/>
      <c r="T196" s="105"/>
      <c r="U196" s="105"/>
      <c r="V196" s="105"/>
      <c r="W196" s="105"/>
      <c r="X196" s="105"/>
      <c r="Y196" s="105"/>
      <c r="Z196" s="105"/>
      <c r="AA196" s="105"/>
      <c r="AB196" s="105"/>
      <c r="AC196" s="105"/>
    </row>
    <row r="197" spans="1:29" ht="12.75">
      <c r="A197" s="34"/>
      <c r="B197" s="34"/>
      <c r="C197" s="34"/>
      <c r="D197" s="34"/>
      <c r="E197" s="188"/>
      <c r="F197" s="34"/>
      <c r="G197" s="34"/>
      <c r="H197" s="34"/>
      <c r="I197" s="34"/>
      <c r="J197" s="34"/>
      <c r="K197" s="105"/>
      <c r="L197" s="34"/>
      <c r="M197" s="34"/>
      <c r="N197" s="34"/>
      <c r="O197" s="105"/>
      <c r="P197" s="105"/>
      <c r="Q197" s="105"/>
      <c r="R197" s="105"/>
      <c r="S197" s="105"/>
      <c r="T197" s="105"/>
      <c r="U197" s="105"/>
      <c r="V197" s="105"/>
      <c r="W197" s="105"/>
      <c r="X197" s="105"/>
      <c r="Y197" s="105"/>
      <c r="Z197" s="105"/>
      <c r="AA197" s="105"/>
      <c r="AB197" s="105"/>
      <c r="AC197" s="105"/>
    </row>
    <row r="198" spans="1:29" ht="12.75">
      <c r="A198" s="34"/>
      <c r="B198" s="34"/>
      <c r="C198" s="34"/>
      <c r="D198" s="34"/>
      <c r="E198" s="188"/>
      <c r="F198" s="34"/>
      <c r="G198" s="34"/>
      <c r="H198" s="34"/>
      <c r="I198" s="34"/>
      <c r="J198" s="34"/>
      <c r="K198" s="105"/>
      <c r="L198" s="34"/>
      <c r="M198" s="34"/>
      <c r="N198" s="34"/>
      <c r="O198" s="105"/>
      <c r="P198" s="105"/>
      <c r="Q198" s="105"/>
      <c r="R198" s="105"/>
      <c r="S198" s="105"/>
      <c r="T198" s="105"/>
      <c r="U198" s="105"/>
      <c r="V198" s="105"/>
      <c r="W198" s="105"/>
      <c r="X198" s="105"/>
      <c r="Y198" s="105"/>
      <c r="Z198" s="105"/>
      <c r="AA198" s="105"/>
      <c r="AB198" s="105"/>
      <c r="AC198" s="105"/>
    </row>
    <row r="199" spans="1:29" ht="12.75">
      <c r="A199" s="34"/>
      <c r="B199" s="34"/>
      <c r="C199" s="34"/>
      <c r="D199" s="34"/>
      <c r="E199" s="188"/>
      <c r="F199" s="34"/>
      <c r="G199" s="34"/>
      <c r="H199" s="34"/>
      <c r="I199" s="34"/>
      <c r="J199" s="34"/>
      <c r="K199" s="105"/>
      <c r="L199" s="34"/>
      <c r="M199" s="34"/>
      <c r="N199" s="34"/>
      <c r="O199" s="105"/>
      <c r="P199" s="105"/>
      <c r="Q199" s="105"/>
      <c r="R199" s="105"/>
      <c r="S199" s="105"/>
      <c r="T199" s="105"/>
      <c r="U199" s="105"/>
      <c r="V199" s="105"/>
      <c r="W199" s="105"/>
      <c r="X199" s="105"/>
      <c r="Y199" s="105"/>
      <c r="Z199" s="105"/>
      <c r="AA199" s="105"/>
      <c r="AB199" s="105"/>
      <c r="AC199" s="105"/>
    </row>
    <row r="200" spans="1:29" ht="12.75">
      <c r="A200" s="34"/>
      <c r="B200" s="34"/>
      <c r="C200" s="34"/>
      <c r="D200" s="34"/>
      <c r="E200" s="188"/>
      <c r="F200" s="34"/>
      <c r="G200" s="34"/>
      <c r="H200" s="34"/>
      <c r="I200" s="34"/>
      <c r="J200" s="34"/>
      <c r="K200" s="105"/>
      <c r="L200" s="34"/>
      <c r="M200" s="34"/>
      <c r="N200" s="34"/>
      <c r="O200" s="105"/>
      <c r="P200" s="105"/>
      <c r="Q200" s="105"/>
      <c r="R200" s="105"/>
      <c r="S200" s="105"/>
      <c r="T200" s="105"/>
      <c r="U200" s="105"/>
      <c r="V200" s="105"/>
      <c r="W200" s="105"/>
      <c r="X200" s="105"/>
      <c r="Y200" s="105"/>
      <c r="Z200" s="105"/>
      <c r="AA200" s="105"/>
      <c r="AB200" s="105"/>
      <c r="AC200" s="105"/>
    </row>
    <row r="201" spans="1:29" ht="12.75">
      <c r="A201" s="34"/>
      <c r="B201" s="34"/>
      <c r="C201" s="34"/>
      <c r="D201" s="34"/>
      <c r="E201" s="188"/>
      <c r="F201" s="34"/>
      <c r="G201" s="34"/>
      <c r="H201" s="34"/>
      <c r="I201" s="34"/>
      <c r="J201" s="34"/>
      <c r="K201" s="105"/>
      <c r="L201" s="34"/>
      <c r="M201" s="34"/>
      <c r="N201" s="34"/>
      <c r="O201" s="105"/>
      <c r="P201" s="105"/>
      <c r="Q201" s="105"/>
      <c r="R201" s="105"/>
      <c r="S201" s="105"/>
      <c r="T201" s="105"/>
      <c r="U201" s="105"/>
      <c r="V201" s="105"/>
      <c r="W201" s="105"/>
      <c r="X201" s="105"/>
      <c r="Y201" s="105"/>
      <c r="Z201" s="105"/>
      <c r="AA201" s="105"/>
      <c r="AB201" s="105"/>
      <c r="AC201" s="105"/>
    </row>
    <row r="202" spans="1:29" ht="12.75">
      <c r="A202" s="34"/>
      <c r="B202" s="34"/>
      <c r="C202" s="34"/>
      <c r="D202" s="34"/>
      <c r="E202" s="188"/>
      <c r="F202" s="34"/>
      <c r="G202" s="34"/>
      <c r="H202" s="34"/>
      <c r="I202" s="34"/>
      <c r="J202" s="34"/>
      <c r="K202" s="105"/>
      <c r="L202" s="34"/>
      <c r="M202" s="34"/>
      <c r="N202" s="34"/>
      <c r="O202" s="105"/>
      <c r="P202" s="105"/>
      <c r="Q202" s="105"/>
      <c r="R202" s="105"/>
      <c r="S202" s="105"/>
      <c r="T202" s="105"/>
      <c r="U202" s="105"/>
      <c r="V202" s="105"/>
      <c r="W202" s="105"/>
      <c r="X202" s="105"/>
      <c r="Y202" s="105"/>
      <c r="Z202" s="105"/>
      <c r="AA202" s="105"/>
      <c r="AB202" s="105"/>
      <c r="AC202" s="105"/>
    </row>
    <row r="203" spans="1:29" ht="12.75">
      <c r="A203" s="34"/>
      <c r="B203" s="34"/>
      <c r="C203" s="34"/>
      <c r="D203" s="34"/>
      <c r="E203" s="188"/>
      <c r="F203" s="34"/>
      <c r="G203" s="34"/>
      <c r="H203" s="34"/>
      <c r="I203" s="34"/>
      <c r="J203" s="34"/>
      <c r="K203" s="105"/>
      <c r="L203" s="34"/>
      <c r="M203" s="34"/>
      <c r="N203" s="34"/>
      <c r="O203" s="105"/>
      <c r="P203" s="105"/>
      <c r="Q203" s="105"/>
      <c r="R203" s="105"/>
      <c r="S203" s="105"/>
      <c r="T203" s="105"/>
      <c r="U203" s="105"/>
      <c r="V203" s="105"/>
      <c r="W203" s="105"/>
      <c r="X203" s="105"/>
      <c r="Y203" s="105"/>
      <c r="Z203" s="105"/>
      <c r="AA203" s="105"/>
      <c r="AB203" s="105"/>
      <c r="AC203" s="105"/>
    </row>
    <row r="204" spans="1:29" ht="12.75">
      <c r="A204" s="34"/>
      <c r="B204" s="34"/>
      <c r="C204" s="34"/>
      <c r="D204" s="34"/>
      <c r="E204" s="188"/>
      <c r="F204" s="34"/>
      <c r="G204" s="34"/>
      <c r="H204" s="34"/>
      <c r="I204" s="34"/>
      <c r="J204" s="34"/>
      <c r="K204" s="105"/>
      <c r="L204" s="34"/>
      <c r="M204" s="34"/>
      <c r="N204" s="34"/>
      <c r="O204" s="105"/>
      <c r="P204" s="105"/>
      <c r="Q204" s="105"/>
      <c r="R204" s="105"/>
      <c r="S204" s="105"/>
      <c r="T204" s="105"/>
      <c r="U204" s="105"/>
      <c r="V204" s="105"/>
      <c r="W204" s="105"/>
      <c r="X204" s="105"/>
      <c r="Y204" s="105"/>
      <c r="Z204" s="105"/>
      <c r="AA204" s="105"/>
      <c r="AB204" s="105"/>
      <c r="AC204" s="105"/>
    </row>
    <row r="205" spans="1:29" ht="12.75">
      <c r="A205" s="34"/>
      <c r="B205" s="34"/>
      <c r="C205" s="34"/>
      <c r="D205" s="34"/>
      <c r="E205" s="188"/>
      <c r="F205" s="34"/>
      <c r="G205" s="34"/>
      <c r="H205" s="34"/>
      <c r="I205" s="34"/>
      <c r="J205" s="34"/>
      <c r="K205" s="105"/>
      <c r="L205" s="34"/>
      <c r="M205" s="34"/>
      <c r="N205" s="34"/>
      <c r="O205" s="105"/>
      <c r="P205" s="105"/>
      <c r="Q205" s="105"/>
      <c r="R205" s="105"/>
      <c r="S205" s="105"/>
      <c r="T205" s="105"/>
      <c r="U205" s="105"/>
      <c r="V205" s="105"/>
      <c r="W205" s="105"/>
      <c r="X205" s="105"/>
      <c r="Y205" s="105"/>
      <c r="Z205" s="105"/>
      <c r="AA205" s="105"/>
      <c r="AB205" s="105"/>
      <c r="AC205" s="105"/>
    </row>
    <row r="206" spans="1:29" ht="12.75">
      <c r="A206" s="34"/>
      <c r="B206" s="34"/>
      <c r="C206" s="34"/>
      <c r="D206" s="34"/>
      <c r="E206" s="188"/>
      <c r="F206" s="34"/>
      <c r="G206" s="34"/>
      <c r="H206" s="34"/>
      <c r="I206" s="34"/>
      <c r="J206" s="34"/>
      <c r="K206" s="105"/>
      <c r="L206" s="34"/>
      <c r="M206" s="34"/>
      <c r="N206" s="34"/>
      <c r="O206" s="105"/>
      <c r="P206" s="105"/>
      <c r="Q206" s="105"/>
      <c r="R206" s="105"/>
      <c r="S206" s="105"/>
      <c r="T206" s="105"/>
      <c r="U206" s="105"/>
      <c r="V206" s="105"/>
      <c r="W206" s="105"/>
      <c r="X206" s="105"/>
      <c r="Y206" s="105"/>
      <c r="Z206" s="105"/>
      <c r="AA206" s="105"/>
      <c r="AB206" s="105"/>
      <c r="AC206" s="105"/>
    </row>
    <row r="207" spans="1:29" ht="12.75">
      <c r="A207" s="34"/>
      <c r="B207" s="34"/>
      <c r="C207" s="34"/>
      <c r="D207" s="34"/>
      <c r="E207" s="188"/>
      <c r="F207" s="34"/>
      <c r="G207" s="34"/>
      <c r="H207" s="34"/>
      <c r="I207" s="34"/>
      <c r="J207" s="34"/>
      <c r="K207" s="105"/>
      <c r="L207" s="34"/>
      <c r="M207" s="34"/>
      <c r="N207" s="34"/>
      <c r="O207" s="105"/>
      <c r="P207" s="105"/>
      <c r="Q207" s="105"/>
      <c r="R207" s="105"/>
      <c r="S207" s="105"/>
      <c r="T207" s="105"/>
      <c r="U207" s="105"/>
      <c r="V207" s="105"/>
      <c r="W207" s="105"/>
      <c r="X207" s="105"/>
      <c r="Y207" s="105"/>
      <c r="Z207" s="105"/>
      <c r="AA207" s="105"/>
      <c r="AB207" s="105"/>
      <c r="AC207" s="105"/>
    </row>
    <row r="208" spans="1:29" ht="12.75">
      <c r="A208" s="34"/>
      <c r="B208" s="34"/>
      <c r="C208" s="34"/>
      <c r="D208" s="34"/>
      <c r="E208" s="188"/>
      <c r="F208" s="34"/>
      <c r="G208" s="34"/>
      <c r="H208" s="34"/>
      <c r="I208" s="34"/>
      <c r="J208" s="34"/>
      <c r="K208" s="105"/>
      <c r="L208" s="34"/>
      <c r="M208" s="34"/>
      <c r="N208" s="34"/>
      <c r="O208" s="105"/>
      <c r="P208" s="105"/>
      <c r="Q208" s="105"/>
      <c r="R208" s="105"/>
      <c r="S208" s="105"/>
      <c r="T208" s="105"/>
      <c r="U208" s="105"/>
      <c r="V208" s="105"/>
      <c r="W208" s="105"/>
      <c r="X208" s="105"/>
      <c r="Y208" s="105"/>
      <c r="Z208" s="105"/>
      <c r="AA208" s="105"/>
      <c r="AB208" s="105"/>
      <c r="AC208" s="105"/>
    </row>
    <row r="209" spans="1:29" ht="12.75">
      <c r="A209" s="34"/>
      <c r="B209" s="34"/>
      <c r="C209" s="34"/>
      <c r="D209" s="34"/>
      <c r="E209" s="188"/>
      <c r="F209" s="34"/>
      <c r="G209" s="34"/>
      <c r="H209" s="34"/>
      <c r="I209" s="34"/>
      <c r="J209" s="34"/>
      <c r="K209" s="105"/>
      <c r="L209" s="34"/>
      <c r="M209" s="34"/>
      <c r="N209" s="34"/>
      <c r="O209" s="105"/>
      <c r="P209" s="105"/>
      <c r="Q209" s="105"/>
      <c r="R209" s="105"/>
      <c r="S209" s="105"/>
      <c r="T209" s="105"/>
      <c r="U209" s="105"/>
      <c r="V209" s="105"/>
      <c r="W209" s="105"/>
      <c r="X209" s="105"/>
      <c r="Y209" s="105"/>
      <c r="Z209" s="105"/>
      <c r="AA209" s="105"/>
      <c r="AB209" s="105"/>
      <c r="AC209" s="105"/>
    </row>
    <row r="210" spans="1:29" ht="12.75">
      <c r="A210" s="34"/>
      <c r="B210" s="34"/>
      <c r="C210" s="34"/>
      <c r="D210" s="34"/>
      <c r="E210" s="188"/>
      <c r="F210" s="34"/>
      <c r="G210" s="34"/>
      <c r="H210" s="34"/>
      <c r="I210" s="34"/>
      <c r="J210" s="34"/>
      <c r="K210" s="105"/>
      <c r="L210" s="34"/>
      <c r="M210" s="34"/>
      <c r="N210" s="34"/>
      <c r="O210" s="105"/>
      <c r="P210" s="105"/>
      <c r="Q210" s="105"/>
      <c r="R210" s="105"/>
      <c r="S210" s="105"/>
      <c r="T210" s="105"/>
      <c r="U210" s="105"/>
      <c r="V210" s="105"/>
      <c r="W210" s="105"/>
      <c r="X210" s="105"/>
      <c r="Y210" s="105"/>
      <c r="Z210" s="105"/>
      <c r="AA210" s="105"/>
      <c r="AB210" s="105"/>
      <c r="AC210" s="105"/>
    </row>
    <row r="211" spans="1:29" ht="12.75">
      <c r="A211" s="34"/>
      <c r="B211" s="34"/>
      <c r="C211" s="34"/>
      <c r="D211" s="34"/>
      <c r="E211" s="188"/>
      <c r="F211" s="34"/>
      <c r="G211" s="34"/>
      <c r="H211" s="34"/>
      <c r="I211" s="34"/>
      <c r="J211" s="34"/>
      <c r="K211" s="105"/>
      <c r="L211" s="34"/>
      <c r="M211" s="34"/>
      <c r="N211" s="34"/>
      <c r="O211" s="105"/>
      <c r="P211" s="105"/>
      <c r="Q211" s="105"/>
      <c r="R211" s="105"/>
      <c r="S211" s="105"/>
      <c r="T211" s="105"/>
      <c r="U211" s="105"/>
      <c r="V211" s="105"/>
      <c r="W211" s="105"/>
      <c r="X211" s="105"/>
      <c r="Y211" s="105"/>
      <c r="Z211" s="105"/>
      <c r="AA211" s="105"/>
      <c r="AB211" s="105"/>
      <c r="AC211" s="105"/>
    </row>
    <row r="212" spans="1:29" ht="12.75">
      <c r="A212" s="34"/>
      <c r="B212" s="34"/>
      <c r="C212" s="34"/>
      <c r="D212" s="34"/>
      <c r="E212" s="188"/>
      <c r="F212" s="34"/>
      <c r="G212" s="34"/>
      <c r="H212" s="34"/>
      <c r="I212" s="34"/>
      <c r="J212" s="34"/>
      <c r="K212" s="105"/>
      <c r="L212" s="34"/>
      <c r="M212" s="34"/>
      <c r="N212" s="34"/>
      <c r="O212" s="105"/>
      <c r="P212" s="105"/>
      <c r="Q212" s="105"/>
      <c r="R212" s="105"/>
      <c r="S212" s="105"/>
      <c r="T212" s="105"/>
      <c r="U212" s="105"/>
      <c r="V212" s="105"/>
      <c r="W212" s="105"/>
      <c r="X212" s="105"/>
      <c r="Y212" s="105"/>
      <c r="Z212" s="105"/>
      <c r="AA212" s="105"/>
      <c r="AB212" s="105"/>
      <c r="AC212" s="105"/>
    </row>
    <row r="213" spans="1:29" ht="12.75">
      <c r="A213" s="34"/>
      <c r="B213" s="34"/>
      <c r="C213" s="34"/>
      <c r="D213" s="34"/>
      <c r="E213" s="188"/>
      <c r="F213" s="34"/>
      <c r="G213" s="34"/>
      <c r="H213" s="34"/>
      <c r="I213" s="34"/>
      <c r="J213" s="34"/>
      <c r="K213" s="105"/>
      <c r="L213" s="34"/>
      <c r="M213" s="34"/>
      <c r="N213" s="34"/>
      <c r="O213" s="105"/>
      <c r="P213" s="105"/>
      <c r="Q213" s="105"/>
      <c r="R213" s="105"/>
      <c r="S213" s="105"/>
      <c r="T213" s="105"/>
      <c r="U213" s="105"/>
      <c r="V213" s="105"/>
      <c r="W213" s="105"/>
      <c r="X213" s="105"/>
      <c r="Y213" s="105"/>
      <c r="Z213" s="105"/>
      <c r="AA213" s="105"/>
      <c r="AB213" s="105"/>
      <c r="AC213" s="105"/>
    </row>
    <row r="214" spans="1:29" ht="12.75">
      <c r="A214" s="34"/>
      <c r="B214" s="34"/>
      <c r="C214" s="34"/>
      <c r="D214" s="34"/>
      <c r="E214" s="188"/>
      <c r="F214" s="34"/>
      <c r="G214" s="34"/>
      <c r="H214" s="34"/>
      <c r="I214" s="34"/>
      <c r="J214" s="34"/>
      <c r="K214" s="105"/>
      <c r="L214" s="34"/>
      <c r="M214" s="34"/>
      <c r="N214" s="34"/>
      <c r="O214" s="105"/>
      <c r="P214" s="105"/>
      <c r="Q214" s="105"/>
      <c r="R214" s="105"/>
      <c r="S214" s="105"/>
      <c r="T214" s="105"/>
      <c r="U214" s="105"/>
      <c r="V214" s="105"/>
      <c r="W214" s="105"/>
      <c r="X214" s="105"/>
      <c r="Y214" s="105"/>
      <c r="Z214" s="105"/>
      <c r="AA214" s="105"/>
      <c r="AB214" s="105"/>
      <c r="AC214" s="105"/>
    </row>
    <row r="215" spans="1:29" ht="12.75">
      <c r="A215" s="34"/>
      <c r="B215" s="34"/>
      <c r="C215" s="34"/>
      <c r="D215" s="34"/>
      <c r="E215" s="188"/>
      <c r="F215" s="34"/>
      <c r="G215" s="34"/>
      <c r="H215" s="34"/>
      <c r="I215" s="34"/>
      <c r="J215" s="34"/>
      <c r="K215" s="105"/>
      <c r="L215" s="34"/>
      <c r="M215" s="34"/>
      <c r="N215" s="34"/>
      <c r="O215" s="105"/>
      <c r="P215" s="105"/>
      <c r="Q215" s="105"/>
      <c r="R215" s="105"/>
      <c r="S215" s="105"/>
      <c r="T215" s="105"/>
      <c r="U215" s="105"/>
      <c r="V215" s="105"/>
      <c r="W215" s="105"/>
      <c r="X215" s="105"/>
      <c r="Y215" s="105"/>
      <c r="Z215" s="105"/>
      <c r="AA215" s="105"/>
      <c r="AB215" s="105"/>
      <c r="AC215" s="105"/>
    </row>
    <row r="216" spans="1:29" ht="12.75">
      <c r="A216" s="34"/>
      <c r="B216" s="34"/>
      <c r="C216" s="34"/>
      <c r="D216" s="34"/>
      <c r="E216" s="188"/>
      <c r="F216" s="34"/>
      <c r="G216" s="34"/>
      <c r="H216" s="34"/>
      <c r="I216" s="34"/>
      <c r="J216" s="34"/>
      <c r="K216" s="105"/>
      <c r="L216" s="34"/>
      <c r="M216" s="34"/>
      <c r="N216" s="34"/>
      <c r="O216" s="105"/>
      <c r="P216" s="105"/>
      <c r="Q216" s="105"/>
      <c r="R216" s="105"/>
      <c r="S216" s="105"/>
      <c r="T216" s="105"/>
      <c r="U216" s="105"/>
      <c r="V216" s="105"/>
      <c r="W216" s="105"/>
      <c r="X216" s="105"/>
      <c r="Y216" s="105"/>
      <c r="Z216" s="105"/>
      <c r="AA216" s="105"/>
      <c r="AB216" s="105"/>
      <c r="AC216" s="105"/>
    </row>
    <row r="217" spans="1:29" ht="12.75">
      <c r="A217" s="34"/>
      <c r="B217" s="34"/>
      <c r="C217" s="34"/>
      <c r="D217" s="34"/>
      <c r="E217" s="188"/>
      <c r="F217" s="34"/>
      <c r="G217" s="34"/>
      <c r="H217" s="34"/>
      <c r="I217" s="34"/>
      <c r="J217" s="34"/>
      <c r="K217" s="105"/>
      <c r="L217" s="34"/>
      <c r="M217" s="34"/>
      <c r="N217" s="34"/>
      <c r="O217" s="105"/>
      <c r="P217" s="105"/>
      <c r="Q217" s="105"/>
      <c r="R217" s="105"/>
      <c r="S217" s="105"/>
      <c r="T217" s="105"/>
      <c r="U217" s="105"/>
      <c r="V217" s="105"/>
      <c r="W217" s="105"/>
      <c r="X217" s="105"/>
      <c r="Y217" s="105"/>
      <c r="Z217" s="105"/>
      <c r="AA217" s="105"/>
      <c r="AB217" s="105"/>
      <c r="AC217" s="105"/>
    </row>
    <row r="218" spans="1:29" ht="12.75">
      <c r="A218" s="34"/>
      <c r="B218" s="34"/>
      <c r="C218" s="34"/>
      <c r="D218" s="34"/>
      <c r="E218" s="188"/>
      <c r="F218" s="34"/>
      <c r="G218" s="34"/>
      <c r="H218" s="34"/>
      <c r="I218" s="34"/>
      <c r="J218" s="34"/>
      <c r="K218" s="105"/>
      <c r="L218" s="34"/>
      <c r="M218" s="34"/>
      <c r="N218" s="34"/>
      <c r="O218" s="105"/>
      <c r="P218" s="105"/>
      <c r="Q218" s="105"/>
      <c r="R218" s="105"/>
      <c r="S218" s="105"/>
      <c r="T218" s="105"/>
      <c r="U218" s="105"/>
      <c r="V218" s="105"/>
      <c r="W218" s="105"/>
      <c r="X218" s="105"/>
      <c r="Y218" s="105"/>
      <c r="Z218" s="105"/>
      <c r="AA218" s="105"/>
      <c r="AB218" s="105"/>
      <c r="AC218" s="105"/>
    </row>
    <row r="219" spans="1:29" ht="12.75">
      <c r="A219" s="34"/>
      <c r="B219" s="34"/>
      <c r="C219" s="34"/>
      <c r="D219" s="34"/>
      <c r="E219" s="188"/>
      <c r="F219" s="34"/>
      <c r="G219" s="34"/>
      <c r="H219" s="34"/>
      <c r="I219" s="34"/>
      <c r="J219" s="34"/>
      <c r="K219" s="105"/>
      <c r="L219" s="34"/>
      <c r="M219" s="34"/>
      <c r="N219" s="34"/>
      <c r="O219" s="105"/>
      <c r="P219" s="105"/>
      <c r="Q219" s="105"/>
      <c r="R219" s="105"/>
      <c r="S219" s="105"/>
      <c r="T219" s="105"/>
      <c r="U219" s="105"/>
      <c r="V219" s="105"/>
      <c r="W219" s="105"/>
      <c r="X219" s="105"/>
      <c r="Y219" s="105"/>
      <c r="Z219" s="105"/>
      <c r="AA219" s="105"/>
      <c r="AB219" s="105"/>
      <c r="AC219" s="105"/>
    </row>
    <row r="220" spans="1:29" ht="12.75">
      <c r="A220" s="34"/>
      <c r="B220" s="34"/>
      <c r="C220" s="34"/>
      <c r="D220" s="34"/>
      <c r="E220" s="188"/>
      <c r="F220" s="34"/>
      <c r="G220" s="34"/>
      <c r="H220" s="34"/>
      <c r="I220" s="34"/>
      <c r="J220" s="34"/>
      <c r="K220" s="105"/>
      <c r="L220" s="34"/>
      <c r="M220" s="34"/>
      <c r="N220" s="34"/>
      <c r="O220" s="105"/>
      <c r="P220" s="105"/>
      <c r="Q220" s="105"/>
      <c r="R220" s="105"/>
      <c r="S220" s="105"/>
      <c r="T220" s="105"/>
      <c r="U220" s="105"/>
      <c r="V220" s="105"/>
      <c r="W220" s="105"/>
      <c r="X220" s="105"/>
      <c r="Y220" s="105"/>
      <c r="Z220" s="105"/>
      <c r="AA220" s="105"/>
      <c r="AB220" s="105"/>
      <c r="AC220" s="105"/>
    </row>
    <row r="221" spans="1:29" ht="12.75">
      <c r="A221" s="34"/>
      <c r="B221" s="34"/>
      <c r="C221" s="34"/>
      <c r="D221" s="34"/>
      <c r="E221" s="188"/>
      <c r="F221" s="34"/>
      <c r="G221" s="34"/>
      <c r="H221" s="34"/>
      <c r="I221" s="34"/>
      <c r="J221" s="34"/>
      <c r="K221" s="105"/>
      <c r="L221" s="34"/>
      <c r="M221" s="34"/>
      <c r="N221" s="34"/>
      <c r="O221" s="105"/>
      <c r="P221" s="105"/>
      <c r="Q221" s="105"/>
      <c r="R221" s="105"/>
      <c r="S221" s="105"/>
      <c r="T221" s="105"/>
      <c r="U221" s="105"/>
      <c r="V221" s="105"/>
      <c r="W221" s="105"/>
      <c r="X221" s="105"/>
      <c r="Y221" s="105"/>
      <c r="Z221" s="105"/>
      <c r="AA221" s="105"/>
      <c r="AB221" s="105"/>
      <c r="AC221" s="105"/>
    </row>
    <row r="222" spans="1:29" ht="12.75">
      <c r="A222" s="34"/>
      <c r="B222" s="34"/>
      <c r="C222" s="34"/>
      <c r="D222" s="34"/>
      <c r="E222" s="188"/>
      <c r="F222" s="34"/>
      <c r="G222" s="34"/>
      <c r="H222" s="34"/>
      <c r="I222" s="34"/>
      <c r="J222" s="34"/>
      <c r="K222" s="105"/>
      <c r="L222" s="34"/>
      <c r="M222" s="34"/>
      <c r="N222" s="34"/>
      <c r="O222" s="105"/>
      <c r="P222" s="105"/>
      <c r="Q222" s="105"/>
      <c r="R222" s="105"/>
      <c r="S222" s="105"/>
      <c r="T222" s="105"/>
      <c r="U222" s="105"/>
      <c r="V222" s="105"/>
      <c r="W222" s="105"/>
      <c r="X222" s="105"/>
      <c r="Y222" s="105"/>
      <c r="Z222" s="105"/>
      <c r="AA222" s="105"/>
      <c r="AB222" s="105"/>
      <c r="AC222" s="105"/>
    </row>
    <row r="223" spans="1:29" ht="12.75">
      <c r="A223" s="34"/>
      <c r="B223" s="34"/>
      <c r="C223" s="34"/>
      <c r="D223" s="34"/>
      <c r="E223" s="188"/>
      <c r="F223" s="34"/>
      <c r="G223" s="34"/>
      <c r="H223" s="34"/>
      <c r="I223" s="34"/>
      <c r="J223" s="34"/>
      <c r="K223" s="105"/>
      <c r="L223" s="34"/>
      <c r="M223" s="34"/>
      <c r="N223" s="34"/>
      <c r="O223" s="105"/>
      <c r="P223" s="105"/>
      <c r="Q223" s="105"/>
      <c r="R223" s="105"/>
      <c r="S223" s="105"/>
      <c r="T223" s="105"/>
      <c r="U223" s="105"/>
      <c r="V223" s="105"/>
      <c r="W223" s="105"/>
      <c r="X223" s="105"/>
      <c r="Y223" s="105"/>
      <c r="Z223" s="105"/>
      <c r="AA223" s="105"/>
      <c r="AB223" s="105"/>
      <c r="AC223" s="105"/>
    </row>
    <row r="224" spans="1:29" ht="12.75">
      <c r="A224" s="34"/>
      <c r="B224" s="34"/>
      <c r="C224" s="34"/>
      <c r="D224" s="34"/>
      <c r="E224" s="188"/>
      <c r="F224" s="34"/>
      <c r="G224" s="34"/>
      <c r="H224" s="34"/>
      <c r="I224" s="34"/>
      <c r="J224" s="34"/>
      <c r="K224" s="105"/>
      <c r="L224" s="34"/>
      <c r="M224" s="34"/>
      <c r="N224" s="34"/>
      <c r="O224" s="105"/>
      <c r="P224" s="105"/>
      <c r="Q224" s="105"/>
      <c r="R224" s="105"/>
      <c r="S224" s="105"/>
      <c r="T224" s="105"/>
      <c r="U224" s="105"/>
      <c r="V224" s="105"/>
      <c r="W224" s="105"/>
      <c r="X224" s="105"/>
      <c r="Y224" s="105"/>
      <c r="Z224" s="105"/>
      <c r="AA224" s="105"/>
      <c r="AB224" s="105"/>
      <c r="AC224" s="105"/>
    </row>
    <row r="225" spans="1:29" ht="12.75">
      <c r="A225" s="34"/>
      <c r="B225" s="34"/>
      <c r="C225" s="34"/>
      <c r="D225" s="34"/>
      <c r="E225" s="188"/>
      <c r="F225" s="34"/>
      <c r="G225" s="34"/>
      <c r="H225" s="34"/>
      <c r="I225" s="34"/>
      <c r="J225" s="34"/>
      <c r="K225" s="105"/>
      <c r="L225" s="34"/>
      <c r="M225" s="34"/>
      <c r="N225" s="34"/>
      <c r="O225" s="105"/>
      <c r="P225" s="105"/>
      <c r="Q225" s="105"/>
      <c r="R225" s="105"/>
      <c r="S225" s="105"/>
      <c r="T225" s="105"/>
      <c r="U225" s="105"/>
      <c r="V225" s="105"/>
      <c r="W225" s="105"/>
      <c r="X225" s="105"/>
      <c r="Y225" s="105"/>
      <c r="Z225" s="105"/>
      <c r="AA225" s="105"/>
      <c r="AB225" s="105"/>
      <c r="AC225" s="105"/>
    </row>
    <row r="226" spans="1:29" ht="12.75">
      <c r="A226" s="34"/>
      <c r="B226" s="34"/>
      <c r="C226" s="34"/>
      <c r="D226" s="34"/>
      <c r="E226" s="188"/>
      <c r="F226" s="34"/>
      <c r="G226" s="34"/>
      <c r="H226" s="34"/>
      <c r="I226" s="34"/>
      <c r="J226" s="34"/>
      <c r="K226" s="105"/>
      <c r="L226" s="34"/>
      <c r="M226" s="34"/>
      <c r="N226" s="34"/>
      <c r="O226" s="105"/>
      <c r="P226" s="105"/>
      <c r="Q226" s="105"/>
      <c r="R226" s="105"/>
      <c r="S226" s="105"/>
      <c r="T226" s="105"/>
      <c r="U226" s="105"/>
      <c r="V226" s="105"/>
      <c r="W226" s="105"/>
      <c r="X226" s="105"/>
      <c r="Y226" s="105"/>
      <c r="Z226" s="105"/>
      <c r="AA226" s="105"/>
      <c r="AB226" s="105"/>
      <c r="AC226" s="105"/>
    </row>
    <row r="227" spans="1:29" ht="12.75">
      <c r="A227" s="34"/>
      <c r="B227" s="34"/>
      <c r="C227" s="34"/>
      <c r="D227" s="34"/>
      <c r="E227" s="188"/>
      <c r="F227" s="34"/>
      <c r="G227" s="34"/>
      <c r="H227" s="34"/>
      <c r="I227" s="34"/>
      <c r="J227" s="34"/>
      <c r="K227" s="105"/>
      <c r="L227" s="34"/>
      <c r="M227" s="34"/>
      <c r="N227" s="34"/>
      <c r="O227" s="105"/>
      <c r="P227" s="105"/>
      <c r="Q227" s="105"/>
      <c r="R227" s="105"/>
      <c r="S227" s="105"/>
      <c r="T227" s="105"/>
      <c r="U227" s="105"/>
      <c r="V227" s="105"/>
      <c r="W227" s="105"/>
      <c r="X227" s="105"/>
      <c r="Y227" s="105"/>
      <c r="Z227" s="105"/>
      <c r="AA227" s="105"/>
      <c r="AB227" s="105"/>
      <c r="AC227" s="105"/>
    </row>
    <row r="228" spans="1:29" ht="12.75">
      <c r="A228" s="34"/>
      <c r="B228" s="34"/>
      <c r="C228" s="34"/>
      <c r="D228" s="34"/>
      <c r="E228" s="188"/>
      <c r="F228" s="34"/>
      <c r="G228" s="34"/>
      <c r="H228" s="34"/>
      <c r="I228" s="34"/>
      <c r="J228" s="34"/>
      <c r="K228" s="105"/>
      <c r="L228" s="34"/>
      <c r="M228" s="34"/>
      <c r="N228" s="34"/>
      <c r="O228" s="105"/>
      <c r="P228" s="105"/>
      <c r="Q228" s="105"/>
      <c r="R228" s="105"/>
      <c r="S228" s="105"/>
      <c r="T228" s="105"/>
      <c r="U228" s="105"/>
      <c r="V228" s="105"/>
      <c r="W228" s="105"/>
      <c r="X228" s="105"/>
      <c r="Y228" s="105"/>
      <c r="Z228" s="105"/>
      <c r="AA228" s="105"/>
      <c r="AB228" s="105"/>
      <c r="AC228" s="105"/>
    </row>
    <row r="229" spans="1:29" ht="12.75">
      <c r="A229" s="34"/>
      <c r="B229" s="34"/>
      <c r="C229" s="34"/>
      <c r="D229" s="34"/>
      <c r="E229" s="188"/>
      <c r="F229" s="34"/>
      <c r="G229" s="34"/>
      <c r="H229" s="34"/>
      <c r="I229" s="34"/>
      <c r="J229" s="34"/>
      <c r="K229" s="105"/>
      <c r="L229" s="34"/>
      <c r="M229" s="34"/>
      <c r="N229" s="34"/>
      <c r="O229" s="105"/>
      <c r="P229" s="105"/>
      <c r="Q229" s="105"/>
      <c r="R229" s="105"/>
      <c r="S229" s="105"/>
      <c r="T229" s="105"/>
      <c r="U229" s="105"/>
      <c r="V229" s="105"/>
      <c r="W229" s="105"/>
      <c r="X229" s="105"/>
      <c r="Y229" s="105"/>
      <c r="Z229" s="105"/>
      <c r="AA229" s="105"/>
      <c r="AB229" s="105"/>
      <c r="AC229" s="105"/>
    </row>
    <row r="230" spans="1:29" ht="12.75">
      <c r="A230" s="34"/>
      <c r="B230" s="34"/>
      <c r="C230" s="34"/>
      <c r="D230" s="34"/>
      <c r="E230" s="188"/>
      <c r="F230" s="34"/>
      <c r="G230" s="34"/>
      <c r="H230" s="34"/>
      <c r="I230" s="34"/>
      <c r="J230" s="34"/>
      <c r="K230" s="105"/>
      <c r="L230" s="34"/>
      <c r="M230" s="34"/>
      <c r="N230" s="34"/>
      <c r="O230" s="105"/>
      <c r="P230" s="105"/>
      <c r="Q230" s="105"/>
      <c r="R230" s="105"/>
      <c r="S230" s="105"/>
      <c r="T230" s="105"/>
      <c r="U230" s="105"/>
      <c r="V230" s="105"/>
      <c r="W230" s="105"/>
      <c r="X230" s="105"/>
      <c r="Y230" s="105"/>
      <c r="Z230" s="105"/>
      <c r="AA230" s="105"/>
      <c r="AB230" s="105"/>
      <c r="AC230" s="105"/>
    </row>
    <row r="231" spans="1:29" ht="12.75">
      <c r="A231" s="34"/>
      <c r="B231" s="34"/>
      <c r="C231" s="34"/>
      <c r="D231" s="34"/>
      <c r="E231" s="188"/>
      <c r="F231" s="34"/>
      <c r="G231" s="34"/>
      <c r="H231" s="34"/>
      <c r="I231" s="34"/>
      <c r="J231" s="34"/>
      <c r="K231" s="105"/>
      <c r="L231" s="34"/>
      <c r="M231" s="34"/>
      <c r="N231" s="34"/>
      <c r="O231" s="105"/>
      <c r="P231" s="105"/>
      <c r="Q231" s="105"/>
      <c r="R231" s="105"/>
      <c r="S231" s="105"/>
      <c r="T231" s="105"/>
      <c r="U231" s="105"/>
      <c r="V231" s="105"/>
      <c r="W231" s="105"/>
      <c r="X231" s="105"/>
      <c r="Y231" s="105"/>
      <c r="Z231" s="105"/>
      <c r="AA231" s="105"/>
      <c r="AB231" s="105"/>
      <c r="AC231" s="105"/>
    </row>
    <row r="232" spans="1:29" ht="12.75">
      <c r="A232" s="34"/>
      <c r="B232" s="34"/>
      <c r="C232" s="34"/>
      <c r="D232" s="34"/>
      <c r="E232" s="188"/>
      <c r="F232" s="34"/>
      <c r="G232" s="34"/>
      <c r="H232" s="34"/>
      <c r="I232" s="34"/>
      <c r="J232" s="34"/>
      <c r="K232" s="105"/>
      <c r="L232" s="34"/>
      <c r="M232" s="34"/>
      <c r="N232" s="34"/>
      <c r="O232" s="105"/>
      <c r="P232" s="105"/>
      <c r="Q232" s="105"/>
      <c r="R232" s="105"/>
      <c r="S232" s="105"/>
      <c r="T232" s="105"/>
      <c r="U232" s="105"/>
      <c r="V232" s="105"/>
      <c r="W232" s="105"/>
      <c r="X232" s="105"/>
      <c r="Y232" s="105"/>
      <c r="Z232" s="105"/>
      <c r="AA232" s="105"/>
      <c r="AB232" s="105"/>
      <c r="AC232" s="105"/>
    </row>
    <row r="233" spans="1:29" ht="12.75">
      <c r="A233" s="34"/>
      <c r="B233" s="34"/>
      <c r="C233" s="34"/>
      <c r="D233" s="34"/>
      <c r="E233" s="188"/>
      <c r="F233" s="34"/>
      <c r="G233" s="34"/>
      <c r="H233" s="34"/>
      <c r="I233" s="34"/>
      <c r="J233" s="34"/>
      <c r="K233" s="105"/>
      <c r="L233" s="34"/>
      <c r="M233" s="34"/>
      <c r="N233" s="34"/>
      <c r="O233" s="105"/>
      <c r="P233" s="105"/>
      <c r="Q233" s="105"/>
      <c r="R233" s="105"/>
      <c r="S233" s="105"/>
      <c r="T233" s="105"/>
      <c r="U233" s="105"/>
      <c r="V233" s="105"/>
      <c r="W233" s="105"/>
      <c r="X233" s="105"/>
      <c r="Y233" s="105"/>
      <c r="Z233" s="105"/>
      <c r="AA233" s="105"/>
      <c r="AB233" s="105"/>
      <c r="AC233" s="105"/>
    </row>
    <row r="234" spans="1:29" ht="12.75">
      <c r="A234" s="34"/>
      <c r="B234" s="34"/>
      <c r="C234" s="34"/>
      <c r="D234" s="34"/>
      <c r="E234" s="188"/>
      <c r="F234" s="34"/>
      <c r="G234" s="34"/>
      <c r="H234" s="34"/>
      <c r="I234" s="34"/>
      <c r="J234" s="34"/>
      <c r="K234" s="105"/>
      <c r="L234" s="34"/>
      <c r="M234" s="34"/>
      <c r="N234" s="34"/>
      <c r="O234" s="105"/>
      <c r="P234" s="105"/>
      <c r="Q234" s="105"/>
      <c r="R234" s="105"/>
      <c r="S234" s="105"/>
      <c r="T234" s="105"/>
      <c r="U234" s="105"/>
      <c r="V234" s="105"/>
      <c r="W234" s="105"/>
      <c r="X234" s="105"/>
      <c r="Y234" s="105"/>
      <c r="Z234" s="105"/>
      <c r="AA234" s="105"/>
      <c r="AB234" s="105"/>
      <c r="AC234" s="105"/>
    </row>
    <row r="235" spans="1:29" ht="12.75">
      <c r="A235" s="34"/>
      <c r="B235" s="34"/>
      <c r="C235" s="34"/>
      <c r="D235" s="34"/>
      <c r="E235" s="188"/>
      <c r="F235" s="34"/>
      <c r="G235" s="34"/>
      <c r="H235" s="34"/>
      <c r="I235" s="34"/>
      <c r="J235" s="34"/>
      <c r="K235" s="105"/>
      <c r="L235" s="34"/>
      <c r="M235" s="34"/>
      <c r="N235" s="34"/>
      <c r="O235" s="105"/>
      <c r="P235" s="105"/>
      <c r="Q235" s="105"/>
      <c r="R235" s="105"/>
      <c r="S235" s="105"/>
      <c r="T235" s="105"/>
      <c r="U235" s="105"/>
      <c r="V235" s="105"/>
      <c r="W235" s="105"/>
      <c r="X235" s="105"/>
      <c r="Y235" s="105"/>
      <c r="Z235" s="105"/>
      <c r="AA235" s="105"/>
      <c r="AB235" s="105"/>
      <c r="AC235" s="105"/>
    </row>
    <row r="236" spans="1:29" ht="12.75">
      <c r="A236" s="34"/>
      <c r="B236" s="34"/>
      <c r="C236" s="34"/>
      <c r="D236" s="34"/>
      <c r="E236" s="188"/>
      <c r="F236" s="34"/>
      <c r="G236" s="34"/>
      <c r="H236" s="34"/>
      <c r="I236" s="34"/>
      <c r="J236" s="34"/>
      <c r="K236" s="105"/>
      <c r="L236" s="34"/>
      <c r="M236" s="34"/>
      <c r="N236" s="34"/>
      <c r="O236" s="105"/>
      <c r="P236" s="105"/>
      <c r="Q236" s="105"/>
      <c r="R236" s="105"/>
      <c r="S236" s="105"/>
      <c r="T236" s="105"/>
      <c r="U236" s="105"/>
      <c r="V236" s="105"/>
      <c r="W236" s="105"/>
      <c r="X236" s="105"/>
      <c r="Y236" s="105"/>
      <c r="Z236" s="105"/>
      <c r="AA236" s="105"/>
      <c r="AB236" s="105"/>
      <c r="AC236" s="105"/>
    </row>
    <row r="237" spans="1:29" ht="12.75">
      <c r="A237" s="34"/>
      <c r="B237" s="34"/>
      <c r="C237" s="34"/>
      <c r="D237" s="34"/>
      <c r="E237" s="188"/>
      <c r="F237" s="34"/>
      <c r="G237" s="34"/>
      <c r="H237" s="34"/>
      <c r="I237" s="34"/>
      <c r="J237" s="34"/>
      <c r="K237" s="105"/>
      <c r="L237" s="34"/>
      <c r="M237" s="34"/>
      <c r="N237" s="34"/>
      <c r="O237" s="105"/>
      <c r="P237" s="105"/>
      <c r="Q237" s="105"/>
      <c r="R237" s="105"/>
      <c r="S237" s="105"/>
      <c r="T237" s="105"/>
      <c r="U237" s="105"/>
      <c r="V237" s="105"/>
      <c r="W237" s="105"/>
      <c r="X237" s="105"/>
      <c r="Y237" s="105"/>
      <c r="Z237" s="105"/>
      <c r="AA237" s="105"/>
      <c r="AB237" s="105"/>
      <c r="AC237" s="105"/>
    </row>
    <row r="238" spans="1:29" ht="12.75">
      <c r="A238" s="34"/>
      <c r="B238" s="34"/>
      <c r="C238" s="34"/>
      <c r="D238" s="34"/>
      <c r="E238" s="188"/>
      <c r="F238" s="34"/>
      <c r="G238" s="34"/>
      <c r="H238" s="34"/>
      <c r="I238" s="34"/>
      <c r="J238" s="34"/>
      <c r="K238" s="105"/>
      <c r="L238" s="34"/>
      <c r="M238" s="34"/>
      <c r="N238" s="34"/>
      <c r="O238" s="105"/>
      <c r="P238" s="105"/>
      <c r="Q238" s="105"/>
      <c r="R238" s="105"/>
      <c r="S238" s="105"/>
      <c r="T238" s="105"/>
      <c r="U238" s="105"/>
      <c r="V238" s="105"/>
      <c r="W238" s="105"/>
      <c r="X238" s="105"/>
      <c r="Y238" s="105"/>
      <c r="Z238" s="105"/>
      <c r="AA238" s="105"/>
      <c r="AB238" s="105"/>
      <c r="AC238" s="105"/>
    </row>
    <row r="239" spans="1:29" ht="12.75">
      <c r="A239" s="34"/>
      <c r="B239" s="34"/>
      <c r="C239" s="34"/>
      <c r="D239" s="34"/>
      <c r="E239" s="188"/>
      <c r="F239" s="34"/>
      <c r="G239" s="34"/>
      <c r="H239" s="34"/>
      <c r="I239" s="34"/>
      <c r="J239" s="34"/>
      <c r="K239" s="105"/>
      <c r="L239" s="34"/>
      <c r="M239" s="34"/>
      <c r="N239" s="34"/>
      <c r="O239" s="105"/>
      <c r="P239" s="105"/>
      <c r="Q239" s="105"/>
      <c r="R239" s="105"/>
      <c r="S239" s="105"/>
      <c r="T239" s="105"/>
      <c r="U239" s="105"/>
      <c r="V239" s="105"/>
      <c r="W239" s="105"/>
      <c r="X239" s="105"/>
      <c r="Y239" s="105"/>
      <c r="Z239" s="105"/>
      <c r="AA239" s="105"/>
      <c r="AB239" s="105"/>
      <c r="AC239" s="105"/>
    </row>
    <row r="240" spans="1:29" ht="12.75">
      <c r="A240" s="34"/>
      <c r="B240" s="34"/>
      <c r="C240" s="34"/>
      <c r="D240" s="34"/>
      <c r="E240" s="188"/>
      <c r="F240" s="34"/>
      <c r="G240" s="34"/>
      <c r="H240" s="34"/>
      <c r="I240" s="34"/>
      <c r="J240" s="34"/>
      <c r="K240" s="105"/>
      <c r="L240" s="34"/>
      <c r="M240" s="34"/>
      <c r="N240" s="34"/>
      <c r="O240" s="105"/>
      <c r="P240" s="105"/>
      <c r="Q240" s="105"/>
      <c r="R240" s="105"/>
      <c r="S240" s="105"/>
      <c r="T240" s="105"/>
      <c r="U240" s="105"/>
      <c r="V240" s="105"/>
      <c r="W240" s="105"/>
      <c r="X240" s="105"/>
      <c r="Y240" s="105"/>
      <c r="Z240" s="105"/>
      <c r="AA240" s="105"/>
      <c r="AB240" s="105"/>
      <c r="AC240" s="105"/>
    </row>
    <row r="241" spans="1:29" ht="12.75">
      <c r="A241" s="34"/>
      <c r="B241" s="34"/>
      <c r="C241" s="34"/>
      <c r="D241" s="34"/>
      <c r="E241" s="188"/>
      <c r="F241" s="34"/>
      <c r="G241" s="34"/>
      <c r="H241" s="34"/>
      <c r="I241" s="34"/>
      <c r="J241" s="34"/>
      <c r="K241" s="105"/>
      <c r="L241" s="34"/>
      <c r="M241" s="34"/>
      <c r="N241" s="34"/>
      <c r="O241" s="105"/>
      <c r="P241" s="105"/>
      <c r="Q241" s="105"/>
      <c r="R241" s="105"/>
      <c r="S241" s="105"/>
      <c r="T241" s="105"/>
      <c r="U241" s="105"/>
      <c r="V241" s="105"/>
      <c r="W241" s="105"/>
      <c r="X241" s="105"/>
      <c r="Y241" s="105"/>
      <c r="Z241" s="105"/>
      <c r="AA241" s="105"/>
      <c r="AB241" s="105"/>
      <c r="AC241" s="105"/>
    </row>
    <row r="242" spans="1:29" ht="12.75">
      <c r="A242" s="34"/>
      <c r="B242" s="34"/>
      <c r="C242" s="34"/>
      <c r="D242" s="34"/>
      <c r="E242" s="188"/>
      <c r="F242" s="34"/>
      <c r="G242" s="34"/>
      <c r="H242" s="34"/>
      <c r="I242" s="34"/>
      <c r="J242" s="34"/>
      <c r="K242" s="105"/>
      <c r="L242" s="34"/>
      <c r="M242" s="34"/>
      <c r="N242" s="34"/>
      <c r="O242" s="105"/>
      <c r="P242" s="105"/>
      <c r="Q242" s="105"/>
      <c r="R242" s="105"/>
      <c r="S242" s="105"/>
      <c r="T242" s="105"/>
      <c r="U242" s="105"/>
      <c r="V242" s="105"/>
      <c r="W242" s="105"/>
      <c r="X242" s="105"/>
      <c r="Y242" s="105"/>
      <c r="Z242" s="105"/>
      <c r="AA242" s="105"/>
      <c r="AB242" s="105"/>
      <c r="AC242" s="105"/>
    </row>
    <row r="243" spans="1:29" ht="12.75">
      <c r="A243" s="34"/>
      <c r="B243" s="34"/>
      <c r="C243" s="34"/>
      <c r="D243" s="34"/>
      <c r="E243" s="188"/>
      <c r="F243" s="34"/>
      <c r="G243" s="34"/>
      <c r="H243" s="34"/>
      <c r="I243" s="34"/>
      <c r="J243" s="34"/>
      <c r="K243" s="105"/>
      <c r="L243" s="34"/>
      <c r="M243" s="34"/>
      <c r="N243" s="34"/>
      <c r="O243" s="105"/>
      <c r="P243" s="105"/>
      <c r="Q243" s="105"/>
      <c r="R243" s="105"/>
      <c r="S243" s="105"/>
      <c r="T243" s="105"/>
      <c r="U243" s="105"/>
      <c r="V243" s="105"/>
      <c r="W243" s="105"/>
      <c r="X243" s="105"/>
      <c r="Y243" s="105"/>
      <c r="Z243" s="105"/>
      <c r="AA243" s="105"/>
      <c r="AB243" s="105"/>
      <c r="AC243" s="105"/>
    </row>
    <row r="244" spans="1:29" ht="12.75">
      <c r="A244" s="34"/>
      <c r="B244" s="34"/>
      <c r="C244" s="34"/>
      <c r="D244" s="34"/>
      <c r="E244" s="188"/>
      <c r="F244" s="34"/>
      <c r="G244" s="34"/>
      <c r="H244" s="34"/>
      <c r="I244" s="34"/>
      <c r="J244" s="34"/>
      <c r="K244" s="105"/>
      <c r="L244" s="34"/>
      <c r="M244" s="34"/>
      <c r="N244" s="34"/>
      <c r="O244" s="105"/>
      <c r="P244" s="105"/>
      <c r="Q244" s="105"/>
      <c r="R244" s="105"/>
      <c r="S244" s="105"/>
      <c r="T244" s="105"/>
      <c r="U244" s="105"/>
      <c r="V244" s="105"/>
      <c r="W244" s="105"/>
      <c r="X244" s="105"/>
      <c r="Y244" s="105"/>
      <c r="Z244" s="105"/>
      <c r="AA244" s="105"/>
      <c r="AB244" s="105"/>
      <c r="AC244" s="105"/>
    </row>
    <row r="245" spans="1:29" ht="12.75">
      <c r="A245" s="34"/>
      <c r="B245" s="34"/>
      <c r="C245" s="34"/>
      <c r="D245" s="34"/>
      <c r="E245" s="188"/>
      <c r="F245" s="34"/>
      <c r="G245" s="34"/>
      <c r="H245" s="34"/>
      <c r="I245" s="34"/>
      <c r="J245" s="34"/>
      <c r="K245" s="105"/>
      <c r="L245" s="34"/>
      <c r="M245" s="34"/>
      <c r="N245" s="34"/>
      <c r="O245" s="105"/>
      <c r="P245" s="105"/>
      <c r="Q245" s="105"/>
      <c r="R245" s="105"/>
      <c r="S245" s="105"/>
      <c r="T245" s="105"/>
      <c r="U245" s="105"/>
      <c r="V245" s="105"/>
      <c r="W245" s="105"/>
      <c r="X245" s="105"/>
      <c r="Y245" s="105"/>
      <c r="Z245" s="105"/>
      <c r="AA245" s="105"/>
      <c r="AB245" s="105"/>
      <c r="AC245" s="105"/>
    </row>
    <row r="246" spans="1:29" ht="12.75">
      <c r="A246" s="34"/>
      <c r="B246" s="34"/>
      <c r="C246" s="34"/>
      <c r="D246" s="34"/>
      <c r="E246" s="188"/>
      <c r="F246" s="34"/>
      <c r="G246" s="34"/>
      <c r="H246" s="34"/>
      <c r="I246" s="34"/>
      <c r="J246" s="34"/>
      <c r="K246" s="105"/>
      <c r="L246" s="34"/>
      <c r="M246" s="34"/>
      <c r="N246" s="34"/>
      <c r="O246" s="105"/>
      <c r="P246" s="105"/>
      <c r="Q246" s="105"/>
      <c r="R246" s="105"/>
      <c r="S246" s="105"/>
      <c r="T246" s="105"/>
      <c r="U246" s="105"/>
      <c r="V246" s="105"/>
      <c r="W246" s="105"/>
      <c r="X246" s="105"/>
      <c r="Y246" s="105"/>
      <c r="Z246" s="105"/>
      <c r="AA246" s="105"/>
      <c r="AB246" s="105"/>
      <c r="AC246" s="105"/>
    </row>
    <row r="247" spans="1:29" ht="12.75">
      <c r="A247" s="34"/>
      <c r="B247" s="34"/>
      <c r="C247" s="34"/>
      <c r="D247" s="34"/>
      <c r="E247" s="188"/>
      <c r="F247" s="34"/>
      <c r="G247" s="34"/>
      <c r="H247" s="34"/>
      <c r="I247" s="34"/>
      <c r="J247" s="34"/>
      <c r="K247" s="105"/>
      <c r="L247" s="34"/>
      <c r="M247" s="34"/>
      <c r="N247" s="34"/>
      <c r="O247" s="105"/>
      <c r="P247" s="105"/>
      <c r="Q247" s="105"/>
      <c r="R247" s="105"/>
      <c r="S247" s="105"/>
      <c r="T247" s="105"/>
      <c r="U247" s="105"/>
      <c r="V247" s="105"/>
      <c r="W247" s="105"/>
      <c r="X247" s="105"/>
      <c r="Y247" s="105"/>
      <c r="Z247" s="105"/>
      <c r="AA247" s="105"/>
      <c r="AB247" s="105"/>
      <c r="AC247" s="105"/>
    </row>
    <row r="248" spans="1:29" ht="12.75">
      <c r="A248" s="34"/>
      <c r="B248" s="34"/>
      <c r="C248" s="34"/>
      <c r="D248" s="34"/>
      <c r="E248" s="188"/>
      <c r="F248" s="34"/>
      <c r="G248" s="34"/>
      <c r="H248" s="34"/>
      <c r="I248" s="34"/>
      <c r="J248" s="34"/>
      <c r="K248" s="105"/>
      <c r="L248" s="34"/>
      <c r="M248" s="34"/>
      <c r="N248" s="34"/>
      <c r="O248" s="105"/>
      <c r="P248" s="105"/>
      <c r="Q248" s="105"/>
      <c r="R248" s="105"/>
      <c r="S248" s="105"/>
      <c r="T248" s="105"/>
      <c r="U248" s="105"/>
      <c r="V248" s="105"/>
      <c r="W248" s="105"/>
      <c r="X248" s="105"/>
      <c r="Y248" s="105"/>
      <c r="Z248" s="105"/>
      <c r="AA248" s="105"/>
      <c r="AB248" s="105"/>
      <c r="AC248" s="105"/>
    </row>
    <row r="249" spans="1:29" ht="12.75">
      <c r="A249" s="34"/>
      <c r="B249" s="34"/>
      <c r="C249" s="34"/>
      <c r="D249" s="34"/>
      <c r="E249" s="188"/>
      <c r="F249" s="34"/>
      <c r="G249" s="34"/>
      <c r="H249" s="34"/>
      <c r="I249" s="34"/>
      <c r="J249" s="34"/>
      <c r="K249" s="105"/>
      <c r="L249" s="34"/>
      <c r="M249" s="34"/>
      <c r="N249" s="34"/>
      <c r="O249" s="105"/>
      <c r="P249" s="105"/>
      <c r="Q249" s="105"/>
      <c r="R249" s="105"/>
      <c r="S249" s="105"/>
      <c r="T249" s="105"/>
      <c r="U249" s="105"/>
      <c r="V249" s="105"/>
      <c r="W249" s="105"/>
      <c r="X249" s="105"/>
      <c r="Y249" s="105"/>
      <c r="Z249" s="105"/>
      <c r="AA249" s="105"/>
      <c r="AB249" s="105"/>
      <c r="AC249" s="105"/>
    </row>
    <row r="250" spans="1:29" ht="12.75">
      <c r="A250" s="34"/>
      <c r="B250" s="34"/>
      <c r="C250" s="34"/>
      <c r="D250" s="34"/>
      <c r="E250" s="188"/>
      <c r="F250" s="34"/>
      <c r="G250" s="34"/>
      <c r="H250" s="34"/>
      <c r="I250" s="34"/>
      <c r="J250" s="34"/>
      <c r="K250" s="105"/>
      <c r="L250" s="34"/>
      <c r="M250" s="34"/>
      <c r="N250" s="34"/>
      <c r="O250" s="105"/>
      <c r="P250" s="105"/>
      <c r="Q250" s="105"/>
      <c r="R250" s="105"/>
      <c r="S250" s="105"/>
      <c r="T250" s="105"/>
      <c r="U250" s="105"/>
      <c r="V250" s="105"/>
      <c r="W250" s="105"/>
      <c r="X250" s="105"/>
      <c r="Y250" s="105"/>
      <c r="Z250" s="105"/>
      <c r="AA250" s="105"/>
      <c r="AB250" s="105"/>
      <c r="AC250" s="105"/>
    </row>
    <row r="251" spans="1:29" ht="12.75">
      <c r="A251" s="34"/>
      <c r="B251" s="34"/>
      <c r="C251" s="34"/>
      <c r="D251" s="34"/>
      <c r="E251" s="188"/>
      <c r="F251" s="34"/>
      <c r="G251" s="34"/>
      <c r="H251" s="34"/>
      <c r="I251" s="34"/>
      <c r="J251" s="34"/>
      <c r="K251" s="105"/>
      <c r="L251" s="34"/>
      <c r="M251" s="34"/>
      <c r="N251" s="34"/>
      <c r="O251" s="105"/>
      <c r="P251" s="105"/>
      <c r="Q251" s="105"/>
      <c r="R251" s="105"/>
      <c r="S251" s="105"/>
      <c r="T251" s="105"/>
      <c r="U251" s="105"/>
      <c r="V251" s="105"/>
      <c r="W251" s="105"/>
      <c r="X251" s="105"/>
      <c r="Y251" s="105"/>
      <c r="Z251" s="105"/>
      <c r="AA251" s="105"/>
      <c r="AB251" s="105"/>
      <c r="AC251" s="105"/>
    </row>
    <row r="252" spans="1:29" ht="12.75">
      <c r="A252" s="34"/>
      <c r="B252" s="34"/>
      <c r="C252" s="34"/>
      <c r="D252" s="34"/>
      <c r="E252" s="188"/>
      <c r="F252" s="34"/>
      <c r="G252" s="34"/>
      <c r="H252" s="34"/>
      <c r="I252" s="34"/>
      <c r="J252" s="34"/>
      <c r="K252" s="105"/>
      <c r="L252" s="34"/>
      <c r="M252" s="34"/>
      <c r="N252" s="34"/>
      <c r="O252" s="105"/>
      <c r="P252" s="105"/>
      <c r="Q252" s="105"/>
      <c r="R252" s="105"/>
      <c r="S252" s="105"/>
      <c r="T252" s="105"/>
      <c r="U252" s="105"/>
      <c r="V252" s="105"/>
      <c r="W252" s="105"/>
      <c r="X252" s="105"/>
      <c r="Y252" s="105"/>
      <c r="Z252" s="105"/>
      <c r="AA252" s="105"/>
      <c r="AB252" s="105"/>
      <c r="AC252" s="105"/>
    </row>
    <row r="253" spans="1:29" ht="12.75">
      <c r="A253" s="34"/>
      <c r="B253" s="34"/>
      <c r="C253" s="34"/>
      <c r="D253" s="34"/>
      <c r="E253" s="188"/>
      <c r="F253" s="34"/>
      <c r="G253" s="34"/>
      <c r="H253" s="34"/>
      <c r="I253" s="34"/>
      <c r="J253" s="34"/>
      <c r="K253" s="105"/>
      <c r="L253" s="34"/>
      <c r="M253" s="34"/>
      <c r="N253" s="34"/>
      <c r="O253" s="105"/>
      <c r="P253" s="105"/>
      <c r="Q253" s="105"/>
      <c r="R253" s="105"/>
      <c r="S253" s="105"/>
      <c r="T253" s="105"/>
      <c r="U253" s="105"/>
      <c r="V253" s="105"/>
      <c r="W253" s="105"/>
      <c r="X253" s="105"/>
      <c r="Y253" s="105"/>
      <c r="Z253" s="105"/>
      <c r="AA253" s="105"/>
      <c r="AB253" s="105"/>
      <c r="AC253" s="105"/>
    </row>
    <row r="254" spans="1:29" ht="12.75">
      <c r="A254" s="34"/>
      <c r="B254" s="34"/>
      <c r="C254" s="34"/>
      <c r="D254" s="34"/>
      <c r="E254" s="188"/>
      <c r="F254" s="34"/>
      <c r="G254" s="34"/>
      <c r="H254" s="34"/>
      <c r="I254" s="34"/>
      <c r="J254" s="34"/>
      <c r="K254" s="105"/>
      <c r="L254" s="34"/>
      <c r="M254" s="34"/>
      <c r="N254" s="34"/>
      <c r="O254" s="105"/>
      <c r="P254" s="105"/>
      <c r="Q254" s="105"/>
      <c r="R254" s="105"/>
      <c r="S254" s="105"/>
      <c r="T254" s="105"/>
      <c r="U254" s="105"/>
      <c r="V254" s="105"/>
      <c r="W254" s="105"/>
      <c r="X254" s="105"/>
      <c r="Y254" s="105"/>
      <c r="Z254" s="105"/>
      <c r="AA254" s="105"/>
      <c r="AB254" s="105"/>
      <c r="AC254" s="105"/>
    </row>
    <row r="255" spans="1:29" ht="12.75">
      <c r="A255" s="34"/>
      <c r="B255" s="34"/>
      <c r="C255" s="34"/>
      <c r="D255" s="34"/>
      <c r="E255" s="188"/>
      <c r="F255" s="34"/>
      <c r="G255" s="34"/>
      <c r="H255" s="34"/>
      <c r="I255" s="34"/>
      <c r="J255" s="34"/>
      <c r="K255" s="105"/>
      <c r="L255" s="34"/>
      <c r="M255" s="34"/>
      <c r="N255" s="34"/>
      <c r="O255" s="105"/>
      <c r="P255" s="105"/>
      <c r="Q255" s="105"/>
      <c r="R255" s="105"/>
      <c r="S255" s="105"/>
      <c r="T255" s="105"/>
      <c r="U255" s="105"/>
      <c r="V255" s="105"/>
      <c r="W255" s="105"/>
      <c r="X255" s="105"/>
      <c r="Y255" s="105"/>
      <c r="Z255" s="105"/>
      <c r="AA255" s="105"/>
      <c r="AB255" s="105"/>
      <c r="AC255" s="105"/>
    </row>
    <row r="256" spans="1:29" ht="12.75">
      <c r="A256" s="34"/>
      <c r="B256" s="34"/>
      <c r="C256" s="34"/>
      <c r="D256" s="34"/>
      <c r="E256" s="188"/>
      <c r="F256" s="34"/>
      <c r="G256" s="34"/>
      <c r="H256" s="34"/>
      <c r="I256" s="34"/>
      <c r="J256" s="34"/>
      <c r="K256" s="105"/>
      <c r="L256" s="34"/>
      <c r="M256" s="34"/>
      <c r="N256" s="34"/>
      <c r="O256" s="105"/>
      <c r="P256" s="105"/>
      <c r="Q256" s="105"/>
      <c r="R256" s="105"/>
      <c r="S256" s="105"/>
      <c r="T256" s="105"/>
      <c r="U256" s="105"/>
      <c r="V256" s="105"/>
      <c r="W256" s="105"/>
      <c r="X256" s="105"/>
      <c r="Y256" s="105"/>
      <c r="Z256" s="105"/>
      <c r="AA256" s="105"/>
      <c r="AB256" s="105"/>
      <c r="AC256" s="105"/>
    </row>
    <row r="257" spans="1:29" ht="12.75">
      <c r="A257" s="34"/>
      <c r="B257" s="34"/>
      <c r="C257" s="34"/>
      <c r="D257" s="34"/>
      <c r="E257" s="188"/>
      <c r="F257" s="34"/>
      <c r="G257" s="34"/>
      <c r="H257" s="34"/>
      <c r="I257" s="34"/>
      <c r="J257" s="34"/>
      <c r="K257" s="105"/>
      <c r="L257" s="34"/>
      <c r="M257" s="34"/>
      <c r="N257" s="34"/>
      <c r="O257" s="105"/>
      <c r="P257" s="105"/>
      <c r="Q257" s="105"/>
      <c r="R257" s="105"/>
      <c r="S257" s="105"/>
      <c r="T257" s="105"/>
      <c r="U257" s="105"/>
      <c r="V257" s="105"/>
      <c r="W257" s="105"/>
      <c r="X257" s="105"/>
      <c r="Y257" s="105"/>
      <c r="Z257" s="105"/>
      <c r="AA257" s="105"/>
      <c r="AB257" s="105"/>
      <c r="AC257" s="105"/>
    </row>
    <row r="258" spans="1:29" ht="12.75">
      <c r="A258" s="34"/>
      <c r="B258" s="34"/>
      <c r="C258" s="34"/>
      <c r="D258" s="34"/>
      <c r="E258" s="188"/>
      <c r="F258" s="34"/>
      <c r="G258" s="34"/>
      <c r="H258" s="34"/>
      <c r="I258" s="34"/>
      <c r="J258" s="34"/>
      <c r="K258" s="105"/>
      <c r="L258" s="34"/>
      <c r="M258" s="34"/>
      <c r="N258" s="34"/>
      <c r="O258" s="105"/>
      <c r="P258" s="105"/>
      <c r="Q258" s="105"/>
      <c r="R258" s="105"/>
      <c r="S258" s="105"/>
      <c r="T258" s="105"/>
      <c r="U258" s="105"/>
      <c r="V258" s="105"/>
      <c r="W258" s="105"/>
      <c r="X258" s="105"/>
      <c r="Y258" s="105"/>
      <c r="Z258" s="105"/>
      <c r="AA258" s="105"/>
      <c r="AB258" s="105"/>
      <c r="AC258" s="105"/>
    </row>
    <row r="259" spans="1:29" ht="12.75">
      <c r="A259" s="34"/>
      <c r="B259" s="34"/>
      <c r="C259" s="34"/>
      <c r="D259" s="34"/>
      <c r="E259" s="188"/>
      <c r="F259" s="34"/>
      <c r="G259" s="34"/>
      <c r="H259" s="34"/>
      <c r="I259" s="34"/>
      <c r="J259" s="34"/>
      <c r="K259" s="105"/>
      <c r="L259" s="34"/>
      <c r="M259" s="34"/>
      <c r="N259" s="34"/>
      <c r="O259" s="105"/>
      <c r="P259" s="105"/>
      <c r="Q259" s="105"/>
      <c r="R259" s="105"/>
      <c r="S259" s="105"/>
      <c r="T259" s="105"/>
      <c r="U259" s="105"/>
      <c r="V259" s="105"/>
      <c r="W259" s="105"/>
      <c r="X259" s="105"/>
      <c r="Y259" s="105"/>
      <c r="Z259" s="105"/>
      <c r="AA259" s="105"/>
      <c r="AB259" s="105"/>
      <c r="AC259" s="105"/>
    </row>
    <row r="260" spans="1:29" ht="12.75">
      <c r="A260" s="34"/>
      <c r="B260" s="34"/>
      <c r="C260" s="34"/>
      <c r="D260" s="34"/>
      <c r="E260" s="188"/>
      <c r="F260" s="34"/>
      <c r="G260" s="34"/>
      <c r="H260" s="34"/>
      <c r="I260" s="34"/>
      <c r="J260" s="34"/>
      <c r="K260" s="105"/>
      <c r="L260" s="34"/>
      <c r="M260" s="34"/>
      <c r="N260" s="34"/>
      <c r="O260" s="105"/>
      <c r="P260" s="105"/>
      <c r="Q260" s="105"/>
      <c r="R260" s="105"/>
      <c r="S260" s="105"/>
      <c r="T260" s="105"/>
      <c r="U260" s="105"/>
      <c r="V260" s="105"/>
      <c r="W260" s="105"/>
      <c r="X260" s="105"/>
      <c r="Y260" s="105"/>
      <c r="Z260" s="105"/>
      <c r="AA260" s="105"/>
      <c r="AB260" s="105"/>
      <c r="AC260" s="105"/>
    </row>
    <row r="261" spans="1:29" ht="12.75">
      <c r="A261" s="34"/>
      <c r="B261" s="34"/>
      <c r="C261" s="34"/>
      <c r="D261" s="34"/>
      <c r="E261" s="188"/>
      <c r="F261" s="34"/>
      <c r="G261" s="34"/>
      <c r="H261" s="34"/>
      <c r="I261" s="34"/>
      <c r="J261" s="34"/>
      <c r="K261" s="105"/>
      <c r="L261" s="34"/>
      <c r="M261" s="34"/>
      <c r="N261" s="34"/>
      <c r="O261" s="105"/>
      <c r="P261" s="105"/>
      <c r="Q261" s="105"/>
      <c r="R261" s="105"/>
      <c r="S261" s="105"/>
      <c r="T261" s="105"/>
      <c r="U261" s="105"/>
      <c r="V261" s="105"/>
      <c r="W261" s="105"/>
      <c r="X261" s="105"/>
      <c r="Y261" s="105"/>
      <c r="Z261" s="105"/>
      <c r="AA261" s="105"/>
      <c r="AB261" s="105"/>
      <c r="AC261" s="105"/>
    </row>
    <row r="262" spans="1:29" ht="12.75">
      <c r="A262" s="34"/>
      <c r="B262" s="34"/>
      <c r="C262" s="34"/>
      <c r="D262" s="34"/>
      <c r="E262" s="188"/>
      <c r="F262" s="34"/>
      <c r="G262" s="34"/>
      <c r="H262" s="34"/>
      <c r="I262" s="34"/>
      <c r="J262" s="34"/>
      <c r="K262" s="105"/>
      <c r="L262" s="34"/>
      <c r="M262" s="34"/>
      <c r="N262" s="34"/>
      <c r="O262" s="105"/>
      <c r="P262" s="105"/>
      <c r="Q262" s="105"/>
      <c r="R262" s="105"/>
      <c r="S262" s="105"/>
      <c r="T262" s="105"/>
      <c r="U262" s="105"/>
      <c r="V262" s="105"/>
      <c r="W262" s="105"/>
      <c r="X262" s="105"/>
      <c r="Y262" s="105"/>
      <c r="Z262" s="105"/>
      <c r="AA262" s="105"/>
      <c r="AB262" s="105"/>
      <c r="AC262" s="105"/>
    </row>
    <row r="263" spans="1:29" ht="12.75">
      <c r="A263" s="34"/>
      <c r="B263" s="34"/>
      <c r="C263" s="34"/>
      <c r="D263" s="34"/>
      <c r="E263" s="188"/>
      <c r="F263" s="34"/>
      <c r="G263" s="34"/>
      <c r="H263" s="34"/>
      <c r="I263" s="34"/>
      <c r="J263" s="34"/>
      <c r="K263" s="105"/>
      <c r="L263" s="34"/>
      <c r="M263" s="34"/>
      <c r="N263" s="34"/>
      <c r="O263" s="105"/>
      <c r="P263" s="105"/>
      <c r="Q263" s="105"/>
      <c r="R263" s="105"/>
      <c r="S263" s="105"/>
      <c r="T263" s="105"/>
      <c r="U263" s="105"/>
      <c r="V263" s="105"/>
      <c r="W263" s="105"/>
      <c r="X263" s="105"/>
      <c r="Y263" s="105"/>
      <c r="Z263" s="105"/>
      <c r="AA263" s="105"/>
      <c r="AB263" s="105"/>
      <c r="AC263" s="105"/>
    </row>
    <row r="264" spans="1:29" ht="12.75">
      <c r="A264" s="34"/>
      <c r="B264" s="34"/>
      <c r="C264" s="34"/>
      <c r="D264" s="34"/>
      <c r="E264" s="188"/>
      <c r="F264" s="34"/>
      <c r="G264" s="34"/>
      <c r="H264" s="34"/>
      <c r="I264" s="34"/>
      <c r="J264" s="34"/>
      <c r="K264" s="105"/>
      <c r="L264" s="34"/>
      <c r="M264" s="34"/>
      <c r="N264" s="34"/>
      <c r="O264" s="105"/>
      <c r="P264" s="105"/>
      <c r="Q264" s="105"/>
      <c r="R264" s="105"/>
      <c r="S264" s="105"/>
      <c r="T264" s="105"/>
      <c r="U264" s="105"/>
      <c r="V264" s="105"/>
      <c r="W264" s="105"/>
      <c r="X264" s="105"/>
      <c r="Y264" s="105"/>
      <c r="Z264" s="105"/>
      <c r="AA264" s="105"/>
      <c r="AB264" s="105"/>
      <c r="AC264" s="105"/>
    </row>
    <row r="265" spans="1:29" ht="12.75">
      <c r="A265" s="34"/>
      <c r="B265" s="34"/>
      <c r="C265" s="34"/>
      <c r="D265" s="34"/>
      <c r="E265" s="188"/>
      <c r="F265" s="34"/>
      <c r="G265" s="34"/>
      <c r="H265" s="34"/>
      <c r="I265" s="34"/>
      <c r="J265" s="34"/>
      <c r="K265" s="105"/>
      <c r="L265" s="34"/>
      <c r="M265" s="34"/>
      <c r="N265" s="34"/>
      <c r="O265" s="105"/>
      <c r="P265" s="105"/>
      <c r="Q265" s="105"/>
      <c r="R265" s="105"/>
      <c r="S265" s="105"/>
      <c r="T265" s="105"/>
      <c r="U265" s="105"/>
      <c r="V265" s="105"/>
      <c r="W265" s="105"/>
      <c r="X265" s="105"/>
      <c r="Y265" s="105"/>
      <c r="Z265" s="105"/>
      <c r="AA265" s="105"/>
      <c r="AB265" s="105"/>
      <c r="AC265" s="105"/>
    </row>
    <row r="266" spans="1:29" ht="12.75">
      <c r="A266" s="34"/>
      <c r="B266" s="34"/>
      <c r="C266" s="34"/>
      <c r="D266" s="34"/>
      <c r="E266" s="188"/>
      <c r="F266" s="34"/>
      <c r="G266" s="34"/>
      <c r="H266" s="34"/>
      <c r="I266" s="34"/>
      <c r="J266" s="34"/>
      <c r="K266" s="105"/>
      <c r="L266" s="34"/>
      <c r="M266" s="34"/>
      <c r="N266" s="34"/>
      <c r="O266" s="105"/>
      <c r="P266" s="105"/>
      <c r="Q266" s="105"/>
      <c r="R266" s="105"/>
      <c r="S266" s="105"/>
      <c r="T266" s="105"/>
      <c r="U266" s="105"/>
      <c r="V266" s="105"/>
      <c r="W266" s="105"/>
      <c r="X266" s="105"/>
      <c r="Y266" s="105"/>
      <c r="Z266" s="105"/>
      <c r="AA266" s="105"/>
      <c r="AB266" s="105"/>
      <c r="AC266" s="105"/>
    </row>
    <row r="267" spans="1:29" ht="12.75">
      <c r="A267" s="34"/>
      <c r="B267" s="34"/>
      <c r="C267" s="34"/>
      <c r="D267" s="34"/>
      <c r="E267" s="188"/>
      <c r="F267" s="34"/>
      <c r="G267" s="34"/>
      <c r="H267" s="34"/>
      <c r="I267" s="34"/>
      <c r="J267" s="34"/>
      <c r="K267" s="105"/>
      <c r="L267" s="34"/>
      <c r="M267" s="34"/>
      <c r="N267" s="34"/>
      <c r="O267" s="105"/>
      <c r="P267" s="105"/>
      <c r="Q267" s="105"/>
      <c r="R267" s="105"/>
      <c r="S267" s="105"/>
      <c r="T267" s="105"/>
      <c r="U267" s="105"/>
      <c r="V267" s="105"/>
      <c r="W267" s="105"/>
      <c r="X267" s="105"/>
      <c r="Y267" s="105"/>
      <c r="Z267" s="105"/>
      <c r="AA267" s="105"/>
      <c r="AB267" s="105"/>
      <c r="AC267" s="105"/>
    </row>
    <row r="268" spans="1:29" ht="12.75">
      <c r="A268" s="34"/>
      <c r="B268" s="34"/>
      <c r="C268" s="34"/>
      <c r="D268" s="34"/>
      <c r="E268" s="188"/>
      <c r="F268" s="34"/>
      <c r="G268" s="34"/>
      <c r="H268" s="34"/>
      <c r="I268" s="34"/>
      <c r="J268" s="34"/>
      <c r="K268" s="105"/>
      <c r="L268" s="34"/>
      <c r="M268" s="34"/>
      <c r="N268" s="34"/>
      <c r="O268" s="105"/>
      <c r="P268" s="105"/>
      <c r="Q268" s="105"/>
      <c r="R268" s="105"/>
      <c r="S268" s="105"/>
      <c r="T268" s="105"/>
      <c r="U268" s="105"/>
      <c r="V268" s="105"/>
      <c r="W268" s="105"/>
      <c r="X268" s="105"/>
      <c r="Y268" s="105"/>
      <c r="Z268" s="105"/>
      <c r="AA268" s="105"/>
      <c r="AB268" s="105"/>
      <c r="AC268" s="105"/>
    </row>
    <row r="269" spans="1:29" ht="12.75">
      <c r="A269" s="34"/>
      <c r="B269" s="34"/>
      <c r="C269" s="34"/>
      <c r="D269" s="34"/>
      <c r="E269" s="188"/>
      <c r="F269" s="34"/>
      <c r="G269" s="34"/>
      <c r="H269" s="34"/>
      <c r="I269" s="34"/>
      <c r="J269" s="34"/>
      <c r="K269" s="105"/>
      <c r="L269" s="34"/>
      <c r="M269" s="34"/>
      <c r="N269" s="34"/>
      <c r="O269" s="105"/>
      <c r="P269" s="105"/>
      <c r="Q269" s="105"/>
      <c r="R269" s="105"/>
      <c r="S269" s="105"/>
      <c r="T269" s="105"/>
      <c r="U269" s="105"/>
      <c r="V269" s="105"/>
      <c r="W269" s="105"/>
      <c r="X269" s="105"/>
      <c r="Y269" s="105"/>
      <c r="Z269" s="105"/>
      <c r="AA269" s="105"/>
      <c r="AB269" s="105"/>
      <c r="AC269" s="105"/>
    </row>
    <row r="270" spans="1:29" ht="12.75">
      <c r="A270" s="34"/>
      <c r="B270" s="34"/>
      <c r="C270" s="34"/>
      <c r="D270" s="34"/>
      <c r="E270" s="188"/>
      <c r="F270" s="34"/>
      <c r="G270" s="34"/>
      <c r="H270" s="34"/>
      <c r="I270" s="34"/>
      <c r="J270" s="34"/>
      <c r="K270" s="105"/>
      <c r="L270" s="34"/>
      <c r="M270" s="34"/>
      <c r="N270" s="34"/>
      <c r="O270" s="105"/>
      <c r="P270" s="105"/>
      <c r="Q270" s="105"/>
      <c r="R270" s="105"/>
      <c r="S270" s="105"/>
      <c r="T270" s="105"/>
      <c r="U270" s="105"/>
      <c r="V270" s="105"/>
      <c r="W270" s="105"/>
      <c r="X270" s="105"/>
      <c r="Y270" s="105"/>
      <c r="Z270" s="105"/>
      <c r="AA270" s="105"/>
      <c r="AB270" s="105"/>
      <c r="AC270" s="105"/>
    </row>
    <row r="271" spans="1:29" ht="12.75">
      <c r="A271" s="34"/>
      <c r="B271" s="34"/>
      <c r="C271" s="34"/>
      <c r="D271" s="34"/>
      <c r="E271" s="188"/>
      <c r="F271" s="34"/>
      <c r="G271" s="34"/>
      <c r="H271" s="34"/>
      <c r="I271" s="34"/>
      <c r="J271" s="34"/>
      <c r="K271" s="105"/>
      <c r="L271" s="34"/>
      <c r="M271" s="34"/>
      <c r="N271" s="34"/>
      <c r="O271" s="105"/>
      <c r="P271" s="105"/>
      <c r="Q271" s="105"/>
      <c r="R271" s="105"/>
      <c r="S271" s="105"/>
      <c r="T271" s="105"/>
      <c r="U271" s="105"/>
      <c r="V271" s="105"/>
      <c r="W271" s="105"/>
      <c r="X271" s="105"/>
      <c r="Y271" s="105"/>
      <c r="Z271" s="105"/>
      <c r="AA271" s="105"/>
      <c r="AB271" s="105"/>
      <c r="AC271" s="105"/>
    </row>
    <row r="272" spans="1:29" ht="12.75">
      <c r="A272" s="34"/>
      <c r="B272" s="34"/>
      <c r="C272" s="34"/>
      <c r="D272" s="34"/>
      <c r="E272" s="188"/>
      <c r="F272" s="34"/>
      <c r="G272" s="34"/>
      <c r="H272" s="34"/>
      <c r="I272" s="34"/>
      <c r="J272" s="34"/>
      <c r="K272" s="105"/>
      <c r="L272" s="34"/>
      <c r="M272" s="34"/>
      <c r="N272" s="34"/>
      <c r="O272" s="105"/>
      <c r="P272" s="105"/>
      <c r="Q272" s="105"/>
      <c r="R272" s="105"/>
      <c r="S272" s="105"/>
      <c r="T272" s="105"/>
      <c r="U272" s="105"/>
      <c r="V272" s="105"/>
      <c r="W272" s="105"/>
      <c r="X272" s="105"/>
      <c r="Y272" s="105"/>
      <c r="Z272" s="105"/>
      <c r="AA272" s="105"/>
      <c r="AB272" s="105"/>
      <c r="AC272" s="105"/>
    </row>
    <row r="273" spans="1:29" ht="12.75">
      <c r="A273" s="34"/>
      <c r="B273" s="34"/>
      <c r="C273" s="34"/>
      <c r="D273" s="34"/>
      <c r="E273" s="188"/>
      <c r="F273" s="34"/>
      <c r="G273" s="34"/>
      <c r="H273" s="34"/>
      <c r="I273" s="34"/>
      <c r="J273" s="34"/>
      <c r="K273" s="105"/>
      <c r="L273" s="34"/>
      <c r="M273" s="34"/>
      <c r="N273" s="34"/>
      <c r="O273" s="105"/>
      <c r="P273" s="105"/>
      <c r="Q273" s="105"/>
      <c r="R273" s="105"/>
      <c r="S273" s="105"/>
      <c r="T273" s="105"/>
      <c r="U273" s="105"/>
      <c r="V273" s="105"/>
      <c r="W273" s="105"/>
      <c r="X273" s="105"/>
      <c r="Y273" s="105"/>
      <c r="Z273" s="105"/>
      <c r="AA273" s="105"/>
      <c r="AB273" s="105"/>
      <c r="AC273" s="105"/>
    </row>
    <row r="274" spans="1:29" ht="12.75">
      <c r="A274" s="34"/>
      <c r="B274" s="34"/>
      <c r="C274" s="34"/>
      <c r="D274" s="34"/>
      <c r="E274" s="188"/>
      <c r="F274" s="34"/>
      <c r="G274" s="34"/>
      <c r="H274" s="34"/>
      <c r="I274" s="34"/>
      <c r="J274" s="34"/>
      <c r="K274" s="105"/>
      <c r="L274" s="34"/>
      <c r="M274" s="34"/>
      <c r="N274" s="34"/>
      <c r="O274" s="105"/>
      <c r="P274" s="105"/>
      <c r="Q274" s="105"/>
      <c r="R274" s="105"/>
      <c r="S274" s="105"/>
      <c r="T274" s="105"/>
      <c r="U274" s="105"/>
      <c r="V274" s="105"/>
      <c r="W274" s="105"/>
      <c r="X274" s="105"/>
      <c r="Y274" s="105"/>
      <c r="Z274" s="105"/>
      <c r="AA274" s="105"/>
      <c r="AB274" s="105"/>
      <c r="AC274" s="105"/>
    </row>
    <row r="275" spans="1:29" ht="12.75">
      <c r="A275" s="34"/>
      <c r="B275" s="34"/>
      <c r="C275" s="34"/>
      <c r="D275" s="34"/>
      <c r="E275" s="188"/>
      <c r="F275" s="34"/>
      <c r="G275" s="34"/>
      <c r="H275" s="34"/>
      <c r="I275" s="34"/>
      <c r="J275" s="34"/>
      <c r="K275" s="105"/>
      <c r="L275" s="34"/>
      <c r="M275" s="34"/>
      <c r="N275" s="34"/>
      <c r="O275" s="105"/>
      <c r="P275" s="105"/>
      <c r="Q275" s="105"/>
      <c r="R275" s="105"/>
      <c r="S275" s="105"/>
      <c r="T275" s="105"/>
      <c r="U275" s="105"/>
      <c r="V275" s="105"/>
      <c r="W275" s="105"/>
      <c r="X275" s="105"/>
      <c r="Y275" s="105"/>
      <c r="Z275" s="105"/>
      <c r="AA275" s="105"/>
      <c r="AB275" s="105"/>
      <c r="AC275" s="105"/>
    </row>
    <row r="276" spans="1:29" ht="12.75">
      <c r="A276" s="34"/>
      <c r="B276" s="34"/>
      <c r="C276" s="34"/>
      <c r="D276" s="34"/>
      <c r="E276" s="188"/>
      <c r="F276" s="34"/>
      <c r="G276" s="34"/>
      <c r="H276" s="34"/>
      <c r="I276" s="34"/>
      <c r="J276" s="34"/>
      <c r="K276" s="105"/>
      <c r="L276" s="34"/>
      <c r="M276" s="34"/>
      <c r="N276" s="34"/>
      <c r="O276" s="105"/>
      <c r="P276" s="105"/>
      <c r="Q276" s="105"/>
      <c r="R276" s="105"/>
      <c r="S276" s="105"/>
      <c r="T276" s="105"/>
      <c r="U276" s="105"/>
      <c r="V276" s="105"/>
      <c r="W276" s="105"/>
      <c r="X276" s="105"/>
      <c r="Y276" s="105"/>
      <c r="Z276" s="105"/>
      <c r="AA276" s="105"/>
      <c r="AB276" s="105"/>
      <c r="AC276" s="105"/>
    </row>
    <row r="277" spans="1:29" ht="12.75">
      <c r="A277" s="34"/>
      <c r="B277" s="34"/>
      <c r="C277" s="34"/>
      <c r="D277" s="34"/>
      <c r="E277" s="188"/>
      <c r="F277" s="34"/>
      <c r="G277" s="34"/>
      <c r="H277" s="34"/>
      <c r="I277" s="34"/>
      <c r="J277" s="34"/>
      <c r="K277" s="105"/>
      <c r="L277" s="34"/>
      <c r="M277" s="34"/>
      <c r="N277" s="34"/>
      <c r="O277" s="105"/>
      <c r="P277" s="105"/>
      <c r="Q277" s="105"/>
      <c r="R277" s="105"/>
      <c r="S277" s="105"/>
      <c r="T277" s="105"/>
      <c r="U277" s="105"/>
      <c r="V277" s="105"/>
      <c r="W277" s="105"/>
      <c r="X277" s="105"/>
      <c r="Y277" s="105"/>
      <c r="Z277" s="105"/>
      <c r="AA277" s="105"/>
      <c r="AB277" s="105"/>
      <c r="AC277" s="105"/>
    </row>
    <row r="278" spans="1:29" ht="12.75">
      <c r="A278" s="34"/>
      <c r="B278" s="34"/>
      <c r="C278" s="34"/>
      <c r="D278" s="34"/>
      <c r="E278" s="188"/>
      <c r="F278" s="34"/>
      <c r="G278" s="34"/>
      <c r="H278" s="34"/>
      <c r="I278" s="34"/>
      <c r="J278" s="34"/>
      <c r="K278" s="105"/>
      <c r="L278" s="34"/>
      <c r="M278" s="34"/>
      <c r="N278" s="34"/>
      <c r="O278" s="105"/>
      <c r="P278" s="105"/>
      <c r="Q278" s="105"/>
      <c r="R278" s="105"/>
      <c r="S278" s="105"/>
      <c r="T278" s="105"/>
      <c r="U278" s="105"/>
      <c r="V278" s="105"/>
      <c r="W278" s="105"/>
      <c r="X278" s="105"/>
      <c r="Y278" s="105"/>
      <c r="Z278" s="105"/>
      <c r="AA278" s="105"/>
      <c r="AB278" s="105"/>
      <c r="AC278" s="105"/>
    </row>
    <row r="279" spans="1:29" ht="12.75">
      <c r="A279" s="34"/>
      <c r="B279" s="34"/>
      <c r="C279" s="34"/>
      <c r="D279" s="34"/>
      <c r="E279" s="188"/>
      <c r="F279" s="34"/>
      <c r="G279" s="34"/>
      <c r="H279" s="34"/>
      <c r="I279" s="34"/>
      <c r="J279" s="34"/>
      <c r="K279" s="105"/>
      <c r="L279" s="34"/>
      <c r="M279" s="34"/>
      <c r="N279" s="34"/>
      <c r="O279" s="105"/>
      <c r="P279" s="105"/>
      <c r="Q279" s="105"/>
      <c r="R279" s="105"/>
      <c r="S279" s="105"/>
      <c r="T279" s="105"/>
      <c r="U279" s="105"/>
      <c r="V279" s="105"/>
      <c r="W279" s="105"/>
      <c r="X279" s="105"/>
      <c r="Y279" s="105"/>
      <c r="Z279" s="105"/>
      <c r="AA279" s="105"/>
      <c r="AB279" s="105"/>
      <c r="AC279" s="105"/>
    </row>
    <row r="280" spans="1:29" ht="12.75">
      <c r="A280" s="34"/>
      <c r="B280" s="34"/>
      <c r="C280" s="34"/>
      <c r="D280" s="34"/>
      <c r="E280" s="188"/>
      <c r="F280" s="34"/>
      <c r="G280" s="34"/>
      <c r="H280" s="34"/>
      <c r="I280" s="34"/>
      <c r="J280" s="34"/>
      <c r="K280" s="105"/>
      <c r="L280" s="34"/>
      <c r="M280" s="34"/>
      <c r="N280" s="34"/>
      <c r="O280" s="105"/>
      <c r="P280" s="105"/>
      <c r="Q280" s="105"/>
      <c r="R280" s="105"/>
      <c r="S280" s="105"/>
      <c r="T280" s="105"/>
      <c r="U280" s="105"/>
      <c r="V280" s="105"/>
      <c r="W280" s="105"/>
      <c r="X280" s="105"/>
      <c r="Y280" s="105"/>
      <c r="Z280" s="105"/>
      <c r="AA280" s="105"/>
      <c r="AB280" s="105"/>
      <c r="AC280" s="105"/>
    </row>
    <row r="281" spans="1:29" ht="12.75">
      <c r="A281" s="34"/>
      <c r="B281" s="34"/>
      <c r="C281" s="34"/>
      <c r="D281" s="34"/>
      <c r="E281" s="188"/>
      <c r="F281" s="34"/>
      <c r="G281" s="34"/>
      <c r="H281" s="34"/>
      <c r="I281" s="34"/>
      <c r="J281" s="34"/>
      <c r="K281" s="105"/>
      <c r="L281" s="34"/>
      <c r="M281" s="34"/>
      <c r="N281" s="34"/>
      <c r="O281" s="105"/>
      <c r="P281" s="105"/>
      <c r="Q281" s="105"/>
      <c r="R281" s="105"/>
      <c r="S281" s="105"/>
      <c r="T281" s="105"/>
      <c r="U281" s="105"/>
      <c r="V281" s="105"/>
      <c r="W281" s="105"/>
      <c r="X281" s="105"/>
      <c r="Y281" s="105"/>
      <c r="Z281" s="105"/>
      <c r="AA281" s="105"/>
      <c r="AB281" s="105"/>
      <c r="AC281" s="105"/>
    </row>
    <row r="282" spans="1:29" ht="12.75">
      <c r="A282" s="34"/>
      <c r="B282" s="34"/>
      <c r="C282" s="34"/>
      <c r="D282" s="34"/>
      <c r="E282" s="188"/>
      <c r="F282" s="34"/>
      <c r="G282" s="34"/>
      <c r="H282" s="34"/>
      <c r="I282" s="34"/>
      <c r="J282" s="34"/>
      <c r="K282" s="105"/>
      <c r="L282" s="34"/>
      <c r="M282" s="34"/>
      <c r="N282" s="34"/>
      <c r="O282" s="105"/>
      <c r="P282" s="105"/>
      <c r="Q282" s="105"/>
      <c r="R282" s="105"/>
      <c r="S282" s="105"/>
      <c r="T282" s="105"/>
      <c r="U282" s="105"/>
      <c r="V282" s="105"/>
      <c r="W282" s="105"/>
      <c r="X282" s="105"/>
      <c r="Y282" s="105"/>
      <c r="Z282" s="105"/>
      <c r="AA282" s="105"/>
      <c r="AB282" s="105"/>
      <c r="AC282" s="105"/>
    </row>
    <row r="283" spans="1:29" ht="12.75">
      <c r="A283" s="34"/>
      <c r="B283" s="34"/>
      <c r="C283" s="34"/>
      <c r="D283" s="34"/>
      <c r="E283" s="188"/>
      <c r="F283" s="34"/>
      <c r="G283" s="34"/>
      <c r="H283" s="34"/>
      <c r="I283" s="34"/>
      <c r="J283" s="34"/>
      <c r="K283" s="105"/>
      <c r="L283" s="34"/>
      <c r="M283" s="34"/>
      <c r="N283" s="34"/>
      <c r="O283" s="105"/>
      <c r="P283" s="105"/>
      <c r="Q283" s="105"/>
      <c r="R283" s="105"/>
      <c r="S283" s="105"/>
      <c r="T283" s="105"/>
      <c r="U283" s="105"/>
      <c r="V283" s="105"/>
      <c r="W283" s="105"/>
      <c r="X283" s="105"/>
      <c r="Y283" s="105"/>
      <c r="Z283" s="105"/>
      <c r="AA283" s="105"/>
      <c r="AB283" s="105"/>
      <c r="AC283" s="105"/>
    </row>
    <row r="284" spans="1:29" ht="12.75">
      <c r="A284" s="34"/>
      <c r="B284" s="34"/>
      <c r="C284" s="34"/>
      <c r="D284" s="34"/>
      <c r="E284" s="188"/>
      <c r="F284" s="34"/>
      <c r="G284" s="34"/>
      <c r="H284" s="34"/>
      <c r="I284" s="34"/>
      <c r="J284" s="34"/>
      <c r="K284" s="105"/>
      <c r="L284" s="34"/>
      <c r="M284" s="34"/>
      <c r="N284" s="34"/>
      <c r="O284" s="105"/>
      <c r="P284" s="105"/>
      <c r="Q284" s="105"/>
      <c r="R284" s="105"/>
      <c r="S284" s="105"/>
      <c r="T284" s="105"/>
      <c r="U284" s="105"/>
      <c r="V284" s="105"/>
      <c r="W284" s="105"/>
      <c r="X284" s="105"/>
      <c r="Y284" s="105"/>
      <c r="Z284" s="105"/>
      <c r="AA284" s="105"/>
      <c r="AB284" s="105"/>
      <c r="AC284" s="105"/>
    </row>
    <row r="285" spans="1:29" ht="12.75">
      <c r="A285" s="34"/>
      <c r="B285" s="34"/>
      <c r="C285" s="34"/>
      <c r="D285" s="34"/>
      <c r="E285" s="188"/>
      <c r="F285" s="34"/>
      <c r="G285" s="34"/>
      <c r="H285" s="34"/>
      <c r="I285" s="34"/>
      <c r="J285" s="34"/>
      <c r="K285" s="105"/>
      <c r="L285" s="34"/>
      <c r="M285" s="34"/>
      <c r="N285" s="34"/>
      <c r="O285" s="105"/>
      <c r="P285" s="105"/>
      <c r="Q285" s="105"/>
      <c r="R285" s="105"/>
      <c r="S285" s="105"/>
      <c r="T285" s="105"/>
      <c r="U285" s="105"/>
      <c r="V285" s="105"/>
      <c r="W285" s="105"/>
      <c r="X285" s="105"/>
      <c r="Y285" s="105"/>
      <c r="Z285" s="105"/>
      <c r="AA285" s="105"/>
      <c r="AB285" s="105"/>
      <c r="AC285" s="105"/>
    </row>
    <row r="286" spans="1:29" ht="12.75">
      <c r="A286" s="34"/>
      <c r="B286" s="34"/>
      <c r="C286" s="34"/>
      <c r="D286" s="34"/>
      <c r="E286" s="188"/>
      <c r="F286" s="34"/>
      <c r="G286" s="34"/>
      <c r="H286" s="34"/>
      <c r="I286" s="34"/>
      <c r="J286" s="34"/>
      <c r="K286" s="105"/>
      <c r="L286" s="34"/>
      <c r="M286" s="34"/>
      <c r="N286" s="34"/>
      <c r="O286" s="105"/>
      <c r="P286" s="105"/>
      <c r="Q286" s="105"/>
      <c r="R286" s="105"/>
      <c r="S286" s="105"/>
      <c r="T286" s="105"/>
      <c r="U286" s="105"/>
      <c r="V286" s="105"/>
      <c r="W286" s="105"/>
      <c r="X286" s="105"/>
      <c r="Y286" s="105"/>
      <c r="Z286" s="105"/>
      <c r="AA286" s="105"/>
      <c r="AB286" s="105"/>
      <c r="AC286" s="105"/>
    </row>
    <row r="287" spans="1:29" ht="12.75">
      <c r="A287" s="34"/>
      <c r="B287" s="34"/>
      <c r="C287" s="34"/>
      <c r="D287" s="34"/>
      <c r="E287" s="188"/>
      <c r="F287" s="34"/>
      <c r="G287" s="34"/>
      <c r="H287" s="34"/>
      <c r="I287" s="34"/>
      <c r="J287" s="34"/>
      <c r="K287" s="105"/>
      <c r="L287" s="34"/>
      <c r="M287" s="34"/>
      <c r="N287" s="34"/>
      <c r="O287" s="105"/>
      <c r="P287" s="105"/>
      <c r="Q287" s="105"/>
      <c r="R287" s="105"/>
      <c r="S287" s="105"/>
      <c r="T287" s="105"/>
      <c r="U287" s="105"/>
      <c r="V287" s="105"/>
      <c r="W287" s="105"/>
      <c r="X287" s="105"/>
      <c r="Y287" s="105"/>
      <c r="Z287" s="105"/>
      <c r="AA287" s="105"/>
      <c r="AB287" s="105"/>
      <c r="AC287" s="105"/>
    </row>
    <row r="288" spans="1:29" ht="12.75">
      <c r="A288" s="34"/>
      <c r="B288" s="34"/>
      <c r="C288" s="34"/>
      <c r="D288" s="34"/>
      <c r="E288" s="188"/>
      <c r="F288" s="34"/>
      <c r="G288" s="34"/>
      <c r="H288" s="34"/>
      <c r="I288" s="34"/>
      <c r="J288" s="34"/>
      <c r="K288" s="105"/>
      <c r="L288" s="34"/>
      <c r="M288" s="34"/>
      <c r="N288" s="34"/>
      <c r="O288" s="105"/>
      <c r="P288" s="105"/>
      <c r="Q288" s="105"/>
      <c r="R288" s="105"/>
      <c r="S288" s="105"/>
      <c r="T288" s="105"/>
      <c r="U288" s="105"/>
      <c r="V288" s="105"/>
      <c r="W288" s="105"/>
      <c r="X288" s="105"/>
      <c r="Y288" s="105"/>
      <c r="Z288" s="105"/>
      <c r="AA288" s="105"/>
      <c r="AB288" s="105"/>
      <c r="AC288" s="105"/>
    </row>
    <row r="289" spans="1:29" ht="12.75">
      <c r="A289" s="34"/>
      <c r="B289" s="34"/>
      <c r="C289" s="34"/>
      <c r="D289" s="34"/>
      <c r="E289" s="188"/>
      <c r="F289" s="34"/>
      <c r="G289" s="34"/>
      <c r="H289" s="34"/>
      <c r="I289" s="34"/>
      <c r="J289" s="34"/>
      <c r="K289" s="105"/>
      <c r="L289" s="34"/>
      <c r="M289" s="34"/>
      <c r="N289" s="34"/>
      <c r="O289" s="105"/>
      <c r="P289" s="105"/>
      <c r="Q289" s="105"/>
      <c r="R289" s="105"/>
      <c r="S289" s="105"/>
      <c r="T289" s="105"/>
      <c r="U289" s="105"/>
      <c r="V289" s="105"/>
      <c r="W289" s="105"/>
      <c r="X289" s="105"/>
      <c r="Y289" s="105"/>
      <c r="Z289" s="105"/>
      <c r="AA289" s="105"/>
      <c r="AB289" s="105"/>
      <c r="AC289" s="105"/>
    </row>
    <row r="290" spans="1:29" ht="12.75">
      <c r="A290" s="34"/>
      <c r="B290" s="34"/>
      <c r="C290" s="34"/>
      <c r="D290" s="34"/>
      <c r="E290" s="188"/>
      <c r="F290" s="34"/>
      <c r="G290" s="34"/>
      <c r="H290" s="34"/>
      <c r="I290" s="34"/>
      <c r="J290" s="34"/>
      <c r="K290" s="105"/>
      <c r="L290" s="34"/>
      <c r="M290" s="34"/>
      <c r="N290" s="34"/>
      <c r="O290" s="105"/>
      <c r="P290" s="105"/>
      <c r="Q290" s="105"/>
      <c r="R290" s="105"/>
      <c r="S290" s="105"/>
      <c r="T290" s="105"/>
      <c r="U290" s="105"/>
      <c r="V290" s="105"/>
      <c r="W290" s="105"/>
      <c r="X290" s="105"/>
      <c r="Y290" s="105"/>
      <c r="Z290" s="105"/>
      <c r="AA290" s="105"/>
      <c r="AB290" s="105"/>
      <c r="AC290" s="105"/>
    </row>
    <row r="291" spans="1:29" ht="12.75">
      <c r="A291" s="34"/>
      <c r="B291" s="34"/>
      <c r="C291" s="34"/>
      <c r="D291" s="34"/>
      <c r="E291" s="188"/>
      <c r="F291" s="34"/>
      <c r="G291" s="34"/>
      <c r="H291" s="34"/>
      <c r="I291" s="34"/>
      <c r="J291" s="34"/>
      <c r="K291" s="105"/>
      <c r="L291" s="34"/>
      <c r="M291" s="34"/>
      <c r="N291" s="34"/>
      <c r="O291" s="105"/>
      <c r="P291" s="105"/>
      <c r="Q291" s="105"/>
      <c r="R291" s="105"/>
      <c r="S291" s="105"/>
      <c r="T291" s="105"/>
      <c r="U291" s="105"/>
      <c r="V291" s="105"/>
      <c r="W291" s="105"/>
      <c r="X291" s="105"/>
      <c r="Y291" s="105"/>
      <c r="Z291" s="105"/>
      <c r="AA291" s="105"/>
      <c r="AB291" s="105"/>
      <c r="AC291" s="105"/>
    </row>
    <row r="292" spans="1:29" ht="12.75">
      <c r="A292" s="34"/>
      <c r="B292" s="34"/>
      <c r="C292" s="34"/>
      <c r="D292" s="34"/>
      <c r="E292" s="188"/>
      <c r="F292" s="34"/>
      <c r="G292" s="34"/>
      <c r="H292" s="34"/>
      <c r="I292" s="34"/>
      <c r="J292" s="34"/>
      <c r="K292" s="105"/>
      <c r="L292" s="34"/>
      <c r="M292" s="34"/>
      <c r="N292" s="34"/>
      <c r="O292" s="105"/>
      <c r="P292" s="105"/>
      <c r="Q292" s="105"/>
      <c r="R292" s="105"/>
      <c r="S292" s="105"/>
      <c r="T292" s="105"/>
      <c r="U292" s="105"/>
      <c r="V292" s="105"/>
      <c r="W292" s="105"/>
      <c r="X292" s="105"/>
      <c r="Y292" s="105"/>
      <c r="Z292" s="105"/>
      <c r="AA292" s="105"/>
      <c r="AB292" s="105"/>
      <c r="AC292" s="105"/>
    </row>
    <row r="293" spans="1:29" ht="12.75">
      <c r="A293" s="34"/>
      <c r="B293" s="34"/>
      <c r="C293" s="34"/>
      <c r="D293" s="34"/>
      <c r="E293" s="188"/>
      <c r="F293" s="34"/>
      <c r="G293" s="34"/>
      <c r="H293" s="34"/>
      <c r="I293" s="34"/>
      <c r="J293" s="34"/>
      <c r="K293" s="105"/>
      <c r="L293" s="34"/>
      <c r="M293" s="34"/>
      <c r="N293" s="34"/>
      <c r="O293" s="105"/>
      <c r="P293" s="105"/>
      <c r="Q293" s="105"/>
      <c r="R293" s="105"/>
      <c r="S293" s="105"/>
      <c r="T293" s="105"/>
      <c r="U293" s="105"/>
      <c r="V293" s="105"/>
      <c r="W293" s="105"/>
      <c r="X293" s="105"/>
      <c r="Y293" s="105"/>
      <c r="Z293" s="105"/>
      <c r="AA293" s="105"/>
      <c r="AB293" s="105"/>
      <c r="AC293" s="105"/>
    </row>
    <row r="294" spans="1:29" ht="12.75">
      <c r="A294" s="34"/>
      <c r="B294" s="34"/>
      <c r="C294" s="34"/>
      <c r="D294" s="34"/>
      <c r="E294" s="188"/>
      <c r="F294" s="34"/>
      <c r="G294" s="34"/>
      <c r="H294" s="34"/>
      <c r="I294" s="34"/>
      <c r="J294" s="34"/>
      <c r="K294" s="105"/>
      <c r="L294" s="34"/>
      <c r="M294" s="34"/>
      <c r="N294" s="34"/>
      <c r="O294" s="105"/>
      <c r="P294" s="105"/>
      <c r="Q294" s="105"/>
      <c r="R294" s="105"/>
      <c r="S294" s="105"/>
      <c r="T294" s="105"/>
      <c r="U294" s="105"/>
      <c r="V294" s="105"/>
      <c r="W294" s="105"/>
      <c r="X294" s="105"/>
      <c r="Y294" s="105"/>
      <c r="Z294" s="105"/>
      <c r="AA294" s="105"/>
      <c r="AB294" s="105"/>
      <c r="AC294" s="105"/>
    </row>
    <row r="295" spans="1:29" ht="12.75">
      <c r="A295" s="34"/>
      <c r="B295" s="34"/>
      <c r="C295" s="34"/>
      <c r="D295" s="34"/>
      <c r="E295" s="188"/>
      <c r="F295" s="34"/>
      <c r="G295" s="34"/>
      <c r="H295" s="34"/>
      <c r="I295" s="34"/>
      <c r="J295" s="34"/>
      <c r="K295" s="105"/>
      <c r="L295" s="34"/>
      <c r="M295" s="34"/>
      <c r="N295" s="34"/>
      <c r="O295" s="105"/>
      <c r="P295" s="105"/>
      <c r="Q295" s="105"/>
      <c r="R295" s="105"/>
      <c r="S295" s="105"/>
      <c r="T295" s="105"/>
      <c r="U295" s="105"/>
      <c r="V295" s="105"/>
      <c r="W295" s="105"/>
      <c r="X295" s="105"/>
      <c r="Y295" s="105"/>
      <c r="Z295" s="105"/>
      <c r="AA295" s="105"/>
      <c r="AB295" s="105"/>
      <c r="AC295" s="105"/>
    </row>
    <row r="296" spans="1:29" ht="12.75">
      <c r="A296" s="34"/>
      <c r="B296" s="34"/>
      <c r="C296" s="34"/>
      <c r="D296" s="34"/>
      <c r="E296" s="188"/>
      <c r="F296" s="34"/>
      <c r="G296" s="34"/>
      <c r="H296" s="34"/>
      <c r="I296" s="34"/>
      <c r="J296" s="34"/>
      <c r="K296" s="105"/>
      <c r="L296" s="34"/>
      <c r="M296" s="34"/>
      <c r="N296" s="34"/>
      <c r="O296" s="105"/>
      <c r="P296" s="105"/>
      <c r="Q296" s="105"/>
      <c r="R296" s="105"/>
      <c r="S296" s="105"/>
      <c r="T296" s="105"/>
      <c r="U296" s="105"/>
      <c r="V296" s="105"/>
      <c r="W296" s="105"/>
      <c r="X296" s="105"/>
      <c r="Y296" s="105"/>
      <c r="Z296" s="105"/>
      <c r="AA296" s="105"/>
      <c r="AB296" s="105"/>
      <c r="AC296" s="105"/>
    </row>
    <row r="297" spans="1:29" ht="12.75">
      <c r="A297" s="34"/>
      <c r="B297" s="34"/>
      <c r="C297" s="34"/>
      <c r="D297" s="34"/>
      <c r="E297" s="188"/>
      <c r="F297" s="34"/>
      <c r="G297" s="34"/>
      <c r="H297" s="34"/>
      <c r="I297" s="34"/>
      <c r="J297" s="34"/>
      <c r="K297" s="105"/>
      <c r="L297" s="34"/>
      <c r="M297" s="34"/>
      <c r="N297" s="34"/>
      <c r="O297" s="105"/>
      <c r="P297" s="105"/>
      <c r="Q297" s="105"/>
      <c r="R297" s="105"/>
      <c r="S297" s="105"/>
      <c r="T297" s="105"/>
      <c r="U297" s="105"/>
      <c r="V297" s="105"/>
      <c r="W297" s="105"/>
      <c r="X297" s="105"/>
      <c r="Y297" s="105"/>
      <c r="Z297" s="105"/>
      <c r="AA297" s="105"/>
      <c r="AB297" s="105"/>
      <c r="AC297" s="105"/>
    </row>
    <row r="298" spans="1:29" ht="12.75">
      <c r="A298" s="34"/>
      <c r="B298" s="34"/>
      <c r="C298" s="34"/>
      <c r="D298" s="34"/>
      <c r="E298" s="188"/>
      <c r="F298" s="34"/>
      <c r="G298" s="34"/>
      <c r="H298" s="34"/>
      <c r="I298" s="34"/>
      <c r="J298" s="34"/>
      <c r="K298" s="105"/>
      <c r="L298" s="34"/>
      <c r="M298" s="34"/>
      <c r="N298" s="34"/>
      <c r="O298" s="105"/>
      <c r="P298" s="105"/>
      <c r="Q298" s="105"/>
      <c r="R298" s="105"/>
      <c r="S298" s="105"/>
      <c r="T298" s="105"/>
      <c r="U298" s="105"/>
      <c r="V298" s="105"/>
      <c r="W298" s="105"/>
      <c r="X298" s="105"/>
      <c r="Y298" s="105"/>
      <c r="Z298" s="105"/>
      <c r="AA298" s="105"/>
      <c r="AB298" s="105"/>
      <c r="AC298" s="105"/>
    </row>
    <row r="299" spans="1:29" ht="12.75">
      <c r="A299" s="34"/>
      <c r="B299" s="34"/>
      <c r="C299" s="34"/>
      <c r="D299" s="34"/>
      <c r="E299" s="188"/>
      <c r="F299" s="34"/>
      <c r="G299" s="34"/>
      <c r="H299" s="34"/>
      <c r="I299" s="34"/>
      <c r="J299" s="34"/>
      <c r="K299" s="105"/>
      <c r="L299" s="34"/>
      <c r="M299" s="34"/>
      <c r="N299" s="34"/>
      <c r="O299" s="105"/>
      <c r="P299" s="105"/>
      <c r="Q299" s="105"/>
      <c r="R299" s="105"/>
      <c r="S299" s="105"/>
      <c r="T299" s="105"/>
      <c r="U299" s="105"/>
      <c r="V299" s="105"/>
      <c r="W299" s="105"/>
      <c r="X299" s="105"/>
      <c r="Y299" s="105"/>
      <c r="Z299" s="105"/>
      <c r="AA299" s="105"/>
      <c r="AB299" s="105"/>
      <c r="AC299" s="105"/>
    </row>
    <row r="300" spans="1:29" ht="12.75">
      <c r="A300" s="34"/>
      <c r="B300" s="34"/>
      <c r="C300" s="34"/>
      <c r="D300" s="34"/>
      <c r="E300" s="188"/>
      <c r="F300" s="34"/>
      <c r="G300" s="34"/>
      <c r="H300" s="34"/>
      <c r="I300" s="34"/>
      <c r="J300" s="34"/>
      <c r="K300" s="105"/>
      <c r="L300" s="34"/>
      <c r="M300" s="34"/>
      <c r="N300" s="34"/>
      <c r="O300" s="105"/>
      <c r="P300" s="105"/>
      <c r="Q300" s="105"/>
      <c r="R300" s="105"/>
      <c r="S300" s="105"/>
      <c r="T300" s="105"/>
      <c r="U300" s="105"/>
      <c r="V300" s="105"/>
      <c r="W300" s="105"/>
      <c r="X300" s="105"/>
      <c r="Y300" s="105"/>
      <c r="Z300" s="105"/>
      <c r="AA300" s="105"/>
      <c r="AB300" s="105"/>
      <c r="AC300" s="105"/>
    </row>
    <row r="301" spans="1:29" ht="12.75">
      <c r="A301" s="34"/>
      <c r="B301" s="34"/>
      <c r="C301" s="34"/>
      <c r="D301" s="34"/>
      <c r="E301" s="188"/>
      <c r="F301" s="34"/>
      <c r="G301" s="34"/>
      <c r="H301" s="34"/>
      <c r="I301" s="34"/>
      <c r="J301" s="34"/>
      <c r="K301" s="105"/>
      <c r="L301" s="34"/>
      <c r="M301" s="34"/>
      <c r="N301" s="34"/>
      <c r="O301" s="105"/>
      <c r="P301" s="105"/>
      <c r="Q301" s="105"/>
      <c r="R301" s="105"/>
      <c r="S301" s="105"/>
      <c r="T301" s="105"/>
      <c r="U301" s="105"/>
      <c r="V301" s="105"/>
      <c r="W301" s="105"/>
      <c r="X301" s="105"/>
      <c r="Y301" s="105"/>
      <c r="Z301" s="105"/>
      <c r="AA301" s="105"/>
      <c r="AB301" s="105"/>
      <c r="AC301" s="105"/>
    </row>
    <row r="302" spans="1:29" ht="12.75">
      <c r="A302" s="34"/>
      <c r="B302" s="34"/>
      <c r="C302" s="34"/>
      <c r="D302" s="34"/>
      <c r="E302" s="188"/>
      <c r="F302" s="34"/>
      <c r="G302" s="34"/>
      <c r="H302" s="34"/>
      <c r="I302" s="34"/>
      <c r="J302" s="34"/>
      <c r="K302" s="105"/>
      <c r="L302" s="34"/>
      <c r="M302" s="34"/>
      <c r="N302" s="34"/>
      <c r="O302" s="105"/>
      <c r="P302" s="105"/>
      <c r="Q302" s="105"/>
      <c r="R302" s="105"/>
      <c r="S302" s="105"/>
      <c r="T302" s="105"/>
      <c r="U302" s="105"/>
      <c r="V302" s="105"/>
      <c r="W302" s="105"/>
      <c r="X302" s="105"/>
      <c r="Y302" s="105"/>
      <c r="Z302" s="105"/>
      <c r="AA302" s="105"/>
      <c r="AB302" s="105"/>
      <c r="AC302" s="105"/>
    </row>
    <row r="303" spans="1:29" ht="12.75">
      <c r="A303" s="34"/>
      <c r="B303" s="34"/>
      <c r="C303" s="34"/>
      <c r="D303" s="34"/>
      <c r="E303" s="188"/>
      <c r="F303" s="34"/>
      <c r="G303" s="34"/>
      <c r="H303" s="34"/>
      <c r="I303" s="34"/>
      <c r="J303" s="34"/>
      <c r="K303" s="105"/>
      <c r="L303" s="34"/>
      <c r="M303" s="34"/>
      <c r="N303" s="34"/>
      <c r="O303" s="105"/>
      <c r="P303" s="105"/>
      <c r="Q303" s="105"/>
      <c r="R303" s="105"/>
      <c r="S303" s="105"/>
      <c r="T303" s="105"/>
      <c r="U303" s="105"/>
      <c r="V303" s="105"/>
      <c r="W303" s="105"/>
      <c r="X303" s="105"/>
      <c r="Y303" s="105"/>
      <c r="Z303" s="105"/>
      <c r="AA303" s="105"/>
      <c r="AB303" s="105"/>
      <c r="AC303" s="105"/>
    </row>
    <row r="304" spans="1:29" ht="12.75">
      <c r="A304" s="34"/>
      <c r="B304" s="34"/>
      <c r="C304" s="34"/>
      <c r="D304" s="34"/>
      <c r="E304" s="188"/>
      <c r="F304" s="34"/>
      <c r="G304" s="34"/>
      <c r="H304" s="34"/>
      <c r="I304" s="34"/>
      <c r="J304" s="34"/>
      <c r="K304" s="105"/>
      <c r="L304" s="34"/>
      <c r="M304" s="34"/>
      <c r="N304" s="34"/>
      <c r="O304" s="105"/>
      <c r="P304" s="105"/>
      <c r="Q304" s="105"/>
      <c r="R304" s="105"/>
      <c r="S304" s="105"/>
      <c r="T304" s="105"/>
      <c r="U304" s="105"/>
      <c r="V304" s="105"/>
      <c r="W304" s="105"/>
      <c r="X304" s="105"/>
      <c r="Y304" s="105"/>
      <c r="Z304" s="105"/>
      <c r="AA304" s="105"/>
      <c r="AB304" s="105"/>
      <c r="AC304" s="105"/>
    </row>
    <row r="305" spans="1:29" ht="12.75">
      <c r="A305" s="34"/>
      <c r="B305" s="34"/>
      <c r="C305" s="34"/>
      <c r="D305" s="34"/>
      <c r="E305" s="188"/>
      <c r="F305" s="34"/>
      <c r="G305" s="34"/>
      <c r="H305" s="34"/>
      <c r="I305" s="34"/>
      <c r="J305" s="34"/>
      <c r="K305" s="105"/>
      <c r="L305" s="34"/>
      <c r="M305" s="34"/>
      <c r="N305" s="34"/>
      <c r="O305" s="105"/>
      <c r="P305" s="105"/>
      <c r="Q305" s="105"/>
      <c r="R305" s="105"/>
      <c r="S305" s="105"/>
      <c r="T305" s="105"/>
      <c r="U305" s="105"/>
      <c r="V305" s="105"/>
      <c r="W305" s="105"/>
      <c r="X305" s="105"/>
      <c r="Y305" s="105"/>
      <c r="Z305" s="105"/>
      <c r="AA305" s="105"/>
      <c r="AB305" s="105"/>
      <c r="AC305" s="105"/>
    </row>
    <row r="306" spans="1:29" ht="12.75">
      <c r="A306" s="34"/>
      <c r="B306" s="34"/>
      <c r="C306" s="34"/>
      <c r="D306" s="34"/>
      <c r="E306" s="188"/>
      <c r="F306" s="34"/>
      <c r="G306" s="34"/>
      <c r="H306" s="34"/>
      <c r="I306" s="34"/>
      <c r="J306" s="34"/>
      <c r="K306" s="105"/>
      <c r="L306" s="34"/>
      <c r="M306" s="34"/>
      <c r="N306" s="34"/>
      <c r="O306" s="105"/>
      <c r="P306" s="105"/>
      <c r="Q306" s="105"/>
      <c r="R306" s="105"/>
      <c r="S306" s="105"/>
      <c r="T306" s="105"/>
      <c r="U306" s="105"/>
      <c r="V306" s="105"/>
      <c r="W306" s="105"/>
      <c r="X306" s="105"/>
      <c r="Y306" s="105"/>
      <c r="Z306" s="105"/>
      <c r="AA306" s="105"/>
      <c r="AB306" s="105"/>
      <c r="AC306" s="105"/>
    </row>
    <row r="307" spans="1:29" ht="12.75">
      <c r="A307" s="34"/>
      <c r="B307" s="34"/>
      <c r="C307" s="34"/>
      <c r="D307" s="34"/>
      <c r="E307" s="188"/>
      <c r="F307" s="34"/>
      <c r="G307" s="34"/>
      <c r="H307" s="34"/>
      <c r="I307" s="34"/>
      <c r="J307" s="34"/>
      <c r="K307" s="105"/>
      <c r="L307" s="34"/>
      <c r="M307" s="34"/>
      <c r="N307" s="34"/>
      <c r="O307" s="105"/>
      <c r="P307" s="105"/>
      <c r="Q307" s="105"/>
      <c r="R307" s="105"/>
      <c r="S307" s="105"/>
      <c r="T307" s="105"/>
      <c r="U307" s="105"/>
      <c r="V307" s="105"/>
      <c r="W307" s="105"/>
      <c r="X307" s="105"/>
      <c r="Y307" s="105"/>
      <c r="Z307" s="105"/>
      <c r="AA307" s="105"/>
      <c r="AB307" s="105"/>
      <c r="AC307" s="105"/>
    </row>
    <row r="308" spans="1:29" ht="12.75">
      <c r="A308" s="34"/>
      <c r="B308" s="34"/>
      <c r="C308" s="34"/>
      <c r="D308" s="34"/>
      <c r="E308" s="188"/>
      <c r="F308" s="34"/>
      <c r="G308" s="34"/>
      <c r="H308" s="34"/>
      <c r="I308" s="34"/>
      <c r="J308" s="34"/>
      <c r="K308" s="105"/>
      <c r="L308" s="34"/>
      <c r="M308" s="34"/>
      <c r="N308" s="34"/>
      <c r="O308" s="105"/>
      <c r="P308" s="105"/>
      <c r="Q308" s="105"/>
      <c r="R308" s="105"/>
      <c r="S308" s="105"/>
      <c r="T308" s="105"/>
      <c r="U308" s="105"/>
      <c r="V308" s="105"/>
      <c r="W308" s="105"/>
      <c r="X308" s="105"/>
      <c r="Y308" s="105"/>
      <c r="Z308" s="105"/>
      <c r="AA308" s="105"/>
      <c r="AB308" s="105"/>
      <c r="AC308" s="105"/>
    </row>
    <row r="309" spans="1:29" ht="12.75">
      <c r="A309" s="34"/>
      <c r="B309" s="34"/>
      <c r="C309" s="34"/>
      <c r="D309" s="34"/>
      <c r="E309" s="188"/>
      <c r="F309" s="34"/>
      <c r="G309" s="34"/>
      <c r="H309" s="34"/>
      <c r="I309" s="34"/>
      <c r="J309" s="34"/>
      <c r="K309" s="105"/>
      <c r="L309" s="34"/>
      <c r="M309" s="34"/>
      <c r="N309" s="34"/>
      <c r="O309" s="105"/>
      <c r="P309" s="105"/>
      <c r="Q309" s="105"/>
      <c r="R309" s="105"/>
      <c r="S309" s="105"/>
      <c r="T309" s="105"/>
      <c r="U309" s="105"/>
      <c r="V309" s="105"/>
      <c r="W309" s="105"/>
      <c r="X309" s="105"/>
      <c r="Y309" s="105"/>
      <c r="Z309" s="105"/>
      <c r="AA309" s="105"/>
      <c r="AB309" s="105"/>
      <c r="AC309" s="105"/>
    </row>
    <row r="310" spans="1:29" ht="12.75">
      <c r="A310" s="34"/>
      <c r="B310" s="34"/>
      <c r="C310" s="34"/>
      <c r="D310" s="34"/>
      <c r="E310" s="188"/>
      <c r="F310" s="34"/>
      <c r="G310" s="34"/>
      <c r="H310" s="34"/>
      <c r="I310" s="34"/>
      <c r="J310" s="34"/>
      <c r="K310" s="105"/>
      <c r="L310" s="34"/>
      <c r="M310" s="34"/>
      <c r="N310" s="34"/>
      <c r="O310" s="105"/>
      <c r="P310" s="105"/>
      <c r="Q310" s="105"/>
      <c r="R310" s="105"/>
      <c r="S310" s="105"/>
      <c r="T310" s="105"/>
      <c r="U310" s="105"/>
      <c r="V310" s="105"/>
      <c r="W310" s="105"/>
      <c r="X310" s="105"/>
      <c r="Y310" s="105"/>
      <c r="Z310" s="105"/>
      <c r="AA310" s="105"/>
      <c r="AB310" s="105"/>
      <c r="AC310" s="105"/>
    </row>
    <row r="311" spans="1:29" ht="12.75">
      <c r="A311" s="34"/>
      <c r="B311" s="34"/>
      <c r="C311" s="34"/>
      <c r="D311" s="34"/>
      <c r="E311" s="188"/>
      <c r="F311" s="34"/>
      <c r="G311" s="34"/>
      <c r="H311" s="34"/>
      <c r="I311" s="34"/>
      <c r="J311" s="34"/>
      <c r="K311" s="105"/>
      <c r="L311" s="34"/>
      <c r="M311" s="34"/>
      <c r="N311" s="34"/>
      <c r="O311" s="105"/>
      <c r="P311" s="105"/>
      <c r="Q311" s="105"/>
      <c r="R311" s="105"/>
      <c r="S311" s="105"/>
      <c r="T311" s="105"/>
      <c r="U311" s="105"/>
      <c r="V311" s="105"/>
      <c r="W311" s="105"/>
      <c r="X311" s="105"/>
      <c r="Y311" s="105"/>
      <c r="Z311" s="105"/>
      <c r="AA311" s="105"/>
      <c r="AB311" s="105"/>
      <c r="AC311" s="105"/>
    </row>
    <row r="312" spans="1:29" ht="12.75">
      <c r="A312" s="34"/>
      <c r="B312" s="34"/>
      <c r="C312" s="34"/>
      <c r="D312" s="34"/>
      <c r="E312" s="188"/>
      <c r="F312" s="34"/>
      <c r="G312" s="34"/>
      <c r="H312" s="34"/>
      <c r="I312" s="34"/>
      <c r="J312" s="34"/>
      <c r="K312" s="105"/>
      <c r="L312" s="34"/>
      <c r="M312" s="34"/>
      <c r="N312" s="34"/>
      <c r="O312" s="105"/>
      <c r="P312" s="105"/>
      <c r="Q312" s="105"/>
      <c r="R312" s="105"/>
      <c r="S312" s="105"/>
      <c r="T312" s="105"/>
      <c r="U312" s="105"/>
      <c r="V312" s="105"/>
      <c r="W312" s="105"/>
      <c r="X312" s="105"/>
      <c r="Y312" s="105"/>
      <c r="Z312" s="105"/>
      <c r="AA312" s="105"/>
      <c r="AB312" s="105"/>
      <c r="AC312" s="105"/>
    </row>
    <row r="313" spans="1:29" ht="12.75">
      <c r="A313" s="34"/>
      <c r="B313" s="34"/>
      <c r="C313" s="34"/>
      <c r="D313" s="34"/>
      <c r="E313" s="188"/>
      <c r="F313" s="34"/>
      <c r="G313" s="34"/>
      <c r="H313" s="34"/>
      <c r="I313" s="34"/>
      <c r="J313" s="34"/>
      <c r="K313" s="105"/>
      <c r="L313" s="34"/>
      <c r="M313" s="34"/>
      <c r="N313" s="34"/>
      <c r="O313" s="105"/>
      <c r="P313" s="105"/>
      <c r="Q313" s="105"/>
      <c r="R313" s="105"/>
      <c r="S313" s="105"/>
      <c r="T313" s="105"/>
      <c r="U313" s="105"/>
      <c r="V313" s="105"/>
      <c r="W313" s="105"/>
      <c r="X313" s="105"/>
      <c r="Y313" s="105"/>
      <c r="Z313" s="105"/>
      <c r="AA313" s="105"/>
      <c r="AB313" s="105"/>
      <c r="AC313" s="105"/>
    </row>
    <row r="314" spans="1:29" ht="12.75">
      <c r="A314" s="34"/>
      <c r="B314" s="34"/>
      <c r="C314" s="34"/>
      <c r="D314" s="34"/>
      <c r="E314" s="188"/>
      <c r="F314" s="34"/>
      <c r="G314" s="34"/>
      <c r="H314" s="34"/>
      <c r="I314" s="34"/>
      <c r="J314" s="34"/>
      <c r="K314" s="105"/>
      <c r="L314" s="34"/>
      <c r="M314" s="34"/>
      <c r="N314" s="34"/>
      <c r="O314" s="105"/>
      <c r="P314" s="105"/>
      <c r="Q314" s="105"/>
      <c r="R314" s="105"/>
      <c r="S314" s="105"/>
      <c r="T314" s="105"/>
      <c r="U314" s="105"/>
      <c r="V314" s="105"/>
      <c r="W314" s="105"/>
      <c r="X314" s="105"/>
      <c r="Y314" s="105"/>
      <c r="Z314" s="105"/>
      <c r="AA314" s="105"/>
      <c r="AB314" s="105"/>
      <c r="AC314" s="105"/>
    </row>
    <row r="315" spans="1:29" ht="12.75">
      <c r="A315" s="34"/>
      <c r="B315" s="34"/>
      <c r="C315" s="34"/>
      <c r="D315" s="34"/>
      <c r="E315" s="188"/>
      <c r="F315" s="34"/>
      <c r="G315" s="34"/>
      <c r="H315" s="34"/>
      <c r="I315" s="34"/>
      <c r="J315" s="34"/>
      <c r="K315" s="105"/>
      <c r="L315" s="34"/>
      <c r="M315" s="34"/>
      <c r="N315" s="34"/>
      <c r="O315" s="105"/>
      <c r="P315" s="105"/>
      <c r="Q315" s="105"/>
      <c r="R315" s="105"/>
      <c r="S315" s="105"/>
      <c r="T315" s="105"/>
      <c r="U315" s="105"/>
      <c r="V315" s="105"/>
      <c r="W315" s="105"/>
      <c r="X315" s="105"/>
      <c r="Y315" s="105"/>
      <c r="Z315" s="105"/>
      <c r="AA315" s="105"/>
      <c r="AB315" s="105"/>
      <c r="AC315" s="105"/>
    </row>
    <row r="316" spans="1:29" ht="12.75">
      <c r="A316" s="34"/>
      <c r="B316" s="34"/>
      <c r="C316" s="34"/>
      <c r="D316" s="34"/>
      <c r="E316" s="188"/>
      <c r="F316" s="34"/>
      <c r="G316" s="34"/>
      <c r="H316" s="34"/>
      <c r="I316" s="34"/>
      <c r="J316" s="34"/>
      <c r="K316" s="105"/>
      <c r="L316" s="34"/>
      <c r="M316" s="34"/>
      <c r="N316" s="34"/>
      <c r="O316" s="105"/>
      <c r="P316" s="105"/>
      <c r="Q316" s="105"/>
      <c r="R316" s="105"/>
      <c r="S316" s="105"/>
      <c r="T316" s="105"/>
      <c r="U316" s="105"/>
      <c r="V316" s="105"/>
      <c r="W316" s="105"/>
      <c r="X316" s="105"/>
      <c r="Y316" s="105"/>
      <c r="Z316" s="105"/>
      <c r="AA316" s="105"/>
      <c r="AB316" s="105"/>
      <c r="AC316" s="105"/>
    </row>
    <row r="317" spans="1:29" ht="12.75">
      <c r="A317" s="34"/>
      <c r="B317" s="34"/>
      <c r="C317" s="34"/>
      <c r="D317" s="34"/>
      <c r="E317" s="188"/>
      <c r="F317" s="34"/>
      <c r="G317" s="34"/>
      <c r="H317" s="34"/>
      <c r="I317" s="34"/>
      <c r="J317" s="34"/>
      <c r="K317" s="105"/>
      <c r="L317" s="34"/>
      <c r="M317" s="34"/>
      <c r="N317" s="34"/>
      <c r="O317" s="105"/>
      <c r="P317" s="105"/>
      <c r="Q317" s="105"/>
      <c r="R317" s="105"/>
      <c r="S317" s="105"/>
      <c r="T317" s="105"/>
      <c r="U317" s="105"/>
      <c r="V317" s="105"/>
      <c r="W317" s="105"/>
      <c r="X317" s="105"/>
      <c r="Y317" s="105"/>
      <c r="Z317" s="105"/>
      <c r="AA317" s="105"/>
      <c r="AB317" s="105"/>
      <c r="AC317" s="105"/>
    </row>
    <row r="318" spans="1:29" ht="12.75">
      <c r="A318" s="34"/>
      <c r="B318" s="34"/>
      <c r="C318" s="34"/>
      <c r="D318" s="34"/>
      <c r="E318" s="188"/>
      <c r="F318" s="34"/>
      <c r="G318" s="34"/>
      <c r="H318" s="34"/>
      <c r="I318" s="34"/>
      <c r="J318" s="34"/>
      <c r="K318" s="105"/>
      <c r="L318" s="34"/>
      <c r="M318" s="34"/>
      <c r="N318" s="34"/>
      <c r="O318" s="105"/>
      <c r="P318" s="105"/>
      <c r="Q318" s="105"/>
      <c r="R318" s="105"/>
      <c r="S318" s="105"/>
      <c r="T318" s="105"/>
      <c r="U318" s="105"/>
      <c r="V318" s="105"/>
      <c r="W318" s="105"/>
      <c r="X318" s="105"/>
      <c r="Y318" s="105"/>
      <c r="Z318" s="105"/>
      <c r="AA318" s="105"/>
      <c r="AB318" s="105"/>
      <c r="AC318" s="105"/>
    </row>
    <row r="319" spans="1:29" ht="12.75">
      <c r="A319" s="34"/>
      <c r="B319" s="34"/>
      <c r="C319" s="34"/>
      <c r="D319" s="34"/>
      <c r="E319" s="188"/>
      <c r="F319" s="34"/>
      <c r="G319" s="34"/>
      <c r="H319" s="34"/>
      <c r="I319" s="34"/>
      <c r="J319" s="34"/>
      <c r="K319" s="105"/>
      <c r="L319" s="34"/>
      <c r="M319" s="34"/>
      <c r="N319" s="34"/>
      <c r="O319" s="105"/>
      <c r="P319" s="105"/>
      <c r="Q319" s="105"/>
      <c r="R319" s="105"/>
      <c r="S319" s="105"/>
      <c r="T319" s="105"/>
      <c r="U319" s="105"/>
      <c r="V319" s="105"/>
      <c r="W319" s="105"/>
      <c r="X319" s="105"/>
      <c r="Y319" s="105"/>
      <c r="Z319" s="105"/>
      <c r="AA319" s="105"/>
      <c r="AB319" s="105"/>
      <c r="AC319" s="105"/>
    </row>
    <row r="320" spans="1:29" ht="12.75">
      <c r="A320" s="34"/>
      <c r="B320" s="34"/>
      <c r="C320" s="34"/>
      <c r="D320" s="34"/>
      <c r="E320" s="188"/>
      <c r="F320" s="34"/>
      <c r="G320" s="34"/>
      <c r="H320" s="34"/>
      <c r="I320" s="34"/>
      <c r="J320" s="34"/>
      <c r="K320" s="105"/>
      <c r="L320" s="34"/>
      <c r="M320" s="34"/>
      <c r="N320" s="34"/>
      <c r="O320" s="105"/>
      <c r="P320" s="105"/>
      <c r="Q320" s="105"/>
      <c r="R320" s="105"/>
      <c r="S320" s="105"/>
      <c r="T320" s="105"/>
      <c r="U320" s="105"/>
      <c r="V320" s="105"/>
      <c r="W320" s="105"/>
      <c r="X320" s="105"/>
      <c r="Y320" s="105"/>
      <c r="Z320" s="105"/>
      <c r="AA320" s="105"/>
      <c r="AB320" s="105"/>
      <c r="AC320" s="105"/>
    </row>
    <row r="321" spans="1:29" ht="12.75">
      <c r="A321" s="34"/>
      <c r="B321" s="34"/>
      <c r="C321" s="34"/>
      <c r="D321" s="34"/>
      <c r="E321" s="188"/>
      <c r="F321" s="34"/>
      <c r="G321" s="34"/>
      <c r="H321" s="34"/>
      <c r="I321" s="34"/>
      <c r="J321" s="34"/>
      <c r="K321" s="105"/>
      <c r="L321" s="34"/>
      <c r="M321" s="34"/>
      <c r="N321" s="34"/>
      <c r="O321" s="105"/>
      <c r="P321" s="105"/>
      <c r="Q321" s="105"/>
      <c r="R321" s="105"/>
      <c r="S321" s="105"/>
      <c r="T321" s="105"/>
      <c r="U321" s="105"/>
      <c r="V321" s="105"/>
      <c r="W321" s="105"/>
      <c r="X321" s="105"/>
      <c r="Y321" s="105"/>
      <c r="Z321" s="105"/>
      <c r="AA321" s="105"/>
      <c r="AB321" s="105"/>
      <c r="AC321" s="105"/>
    </row>
    <row r="322" spans="1:29" ht="12.75">
      <c r="A322" s="34"/>
      <c r="B322" s="34"/>
      <c r="C322" s="34"/>
      <c r="D322" s="34"/>
      <c r="E322" s="188"/>
      <c r="F322" s="34"/>
      <c r="G322" s="34"/>
      <c r="H322" s="34"/>
      <c r="I322" s="34"/>
      <c r="J322" s="34"/>
      <c r="K322" s="105"/>
      <c r="L322" s="34"/>
      <c r="M322" s="34"/>
      <c r="N322" s="34"/>
      <c r="O322" s="105"/>
      <c r="P322" s="105"/>
      <c r="Q322" s="105"/>
      <c r="R322" s="105"/>
      <c r="S322" s="105"/>
      <c r="T322" s="105"/>
      <c r="U322" s="105"/>
      <c r="V322" s="105"/>
      <c r="W322" s="105"/>
      <c r="X322" s="105"/>
      <c r="Y322" s="105"/>
      <c r="Z322" s="105"/>
      <c r="AA322" s="105"/>
      <c r="AB322" s="105"/>
      <c r="AC322" s="105"/>
    </row>
    <row r="323" spans="1:29" ht="12.75">
      <c r="A323" s="34"/>
      <c r="B323" s="34"/>
      <c r="C323" s="34"/>
      <c r="D323" s="34"/>
      <c r="E323" s="188"/>
      <c r="F323" s="34"/>
      <c r="G323" s="34"/>
      <c r="H323" s="34"/>
      <c r="I323" s="34"/>
      <c r="J323" s="34"/>
      <c r="K323" s="105"/>
      <c r="L323" s="34"/>
      <c r="M323" s="34"/>
      <c r="N323" s="34"/>
      <c r="O323" s="105"/>
      <c r="P323" s="105"/>
      <c r="Q323" s="105"/>
      <c r="R323" s="105"/>
      <c r="S323" s="105"/>
      <c r="T323" s="105"/>
      <c r="U323" s="105"/>
      <c r="V323" s="105"/>
      <c r="W323" s="105"/>
      <c r="X323" s="105"/>
      <c r="Y323" s="105"/>
      <c r="Z323" s="105"/>
      <c r="AA323" s="105"/>
      <c r="AB323" s="105"/>
      <c r="AC323" s="105"/>
    </row>
    <row r="324" spans="1:29" ht="12.75">
      <c r="A324" s="34"/>
      <c r="B324" s="34"/>
      <c r="C324" s="34"/>
      <c r="D324" s="34"/>
      <c r="E324" s="188"/>
      <c r="F324" s="34"/>
      <c r="G324" s="34"/>
      <c r="H324" s="34"/>
      <c r="I324" s="34"/>
      <c r="J324" s="34"/>
      <c r="K324" s="105"/>
      <c r="L324" s="34"/>
      <c r="M324" s="34"/>
      <c r="N324" s="34"/>
      <c r="O324" s="105"/>
      <c r="P324" s="105"/>
      <c r="Q324" s="105"/>
      <c r="R324" s="105"/>
      <c r="S324" s="105"/>
      <c r="T324" s="105"/>
      <c r="U324" s="105"/>
      <c r="V324" s="105"/>
      <c r="W324" s="105"/>
      <c r="X324" s="105"/>
      <c r="Y324" s="105"/>
      <c r="Z324" s="105"/>
      <c r="AA324" s="105"/>
      <c r="AB324" s="105"/>
      <c r="AC324" s="105"/>
    </row>
    <row r="325" spans="1:29" ht="12.75">
      <c r="A325" s="34"/>
      <c r="B325" s="34"/>
      <c r="C325" s="34"/>
      <c r="D325" s="34"/>
      <c r="E325" s="188"/>
      <c r="F325" s="34"/>
      <c r="G325" s="34"/>
      <c r="H325" s="34"/>
      <c r="I325" s="34"/>
      <c r="J325" s="34"/>
      <c r="K325" s="105"/>
      <c r="L325" s="34"/>
      <c r="M325" s="34"/>
      <c r="N325" s="34"/>
      <c r="O325" s="105"/>
      <c r="P325" s="105"/>
      <c r="Q325" s="105"/>
      <c r="R325" s="105"/>
      <c r="S325" s="105"/>
      <c r="T325" s="105"/>
      <c r="U325" s="105"/>
      <c r="V325" s="105"/>
      <c r="W325" s="105"/>
      <c r="X325" s="105"/>
      <c r="Y325" s="105"/>
      <c r="Z325" s="105"/>
      <c r="AA325" s="105"/>
      <c r="AB325" s="105"/>
      <c r="AC325" s="105"/>
    </row>
    <row r="326" spans="1:29" ht="12.75">
      <c r="A326" s="34"/>
      <c r="B326" s="34"/>
      <c r="C326" s="34"/>
      <c r="D326" s="34"/>
      <c r="E326" s="188"/>
      <c r="F326" s="34"/>
      <c r="G326" s="34"/>
      <c r="H326" s="34"/>
      <c r="I326" s="34"/>
      <c r="J326" s="34"/>
      <c r="K326" s="105"/>
      <c r="L326" s="34"/>
      <c r="M326" s="34"/>
      <c r="N326" s="34"/>
      <c r="O326" s="105"/>
      <c r="P326" s="105"/>
      <c r="Q326" s="105"/>
      <c r="R326" s="105"/>
      <c r="S326" s="105"/>
      <c r="T326" s="105"/>
      <c r="U326" s="105"/>
      <c r="V326" s="105"/>
      <c r="W326" s="105"/>
      <c r="X326" s="105"/>
      <c r="Y326" s="105"/>
      <c r="Z326" s="105"/>
      <c r="AA326" s="105"/>
      <c r="AB326" s="105"/>
      <c r="AC326" s="105"/>
    </row>
    <row r="327" spans="1:29" ht="12.75">
      <c r="A327" s="34"/>
      <c r="B327" s="34"/>
      <c r="C327" s="34"/>
      <c r="D327" s="34"/>
      <c r="E327" s="188"/>
      <c r="F327" s="34"/>
      <c r="G327" s="34"/>
      <c r="H327" s="34"/>
      <c r="I327" s="34"/>
      <c r="J327" s="34"/>
      <c r="K327" s="105"/>
      <c r="L327" s="34"/>
      <c r="M327" s="34"/>
      <c r="N327" s="34"/>
      <c r="O327" s="105"/>
      <c r="P327" s="105"/>
      <c r="Q327" s="105"/>
      <c r="R327" s="105"/>
      <c r="S327" s="105"/>
      <c r="T327" s="105"/>
      <c r="U327" s="105"/>
      <c r="V327" s="105"/>
      <c r="W327" s="105"/>
      <c r="X327" s="105"/>
      <c r="Y327" s="105"/>
      <c r="Z327" s="105"/>
      <c r="AA327" s="105"/>
      <c r="AB327" s="105"/>
      <c r="AC327" s="105"/>
    </row>
    <row r="328" spans="1:29" ht="12.75">
      <c r="A328" s="34"/>
      <c r="B328" s="34"/>
      <c r="C328" s="34"/>
      <c r="D328" s="34"/>
      <c r="E328" s="188"/>
      <c r="F328" s="34"/>
      <c r="G328" s="34"/>
      <c r="H328" s="34"/>
      <c r="I328" s="34"/>
      <c r="J328" s="34"/>
      <c r="K328" s="105"/>
      <c r="L328" s="34"/>
      <c r="M328" s="34"/>
      <c r="N328" s="34"/>
      <c r="O328" s="105"/>
      <c r="P328" s="105"/>
      <c r="Q328" s="105"/>
      <c r="R328" s="105"/>
      <c r="S328" s="105"/>
      <c r="T328" s="105"/>
      <c r="U328" s="105"/>
      <c r="V328" s="105"/>
      <c r="W328" s="105"/>
      <c r="X328" s="105"/>
      <c r="Y328" s="105"/>
      <c r="Z328" s="105"/>
      <c r="AA328" s="105"/>
      <c r="AB328" s="105"/>
      <c r="AC328" s="105"/>
    </row>
    <row r="329" spans="1:29" ht="12.75">
      <c r="A329" s="34"/>
      <c r="B329" s="34"/>
      <c r="C329" s="34"/>
      <c r="D329" s="34"/>
      <c r="E329" s="188"/>
      <c r="F329" s="34"/>
      <c r="G329" s="34"/>
      <c r="H329" s="34"/>
      <c r="I329" s="34"/>
      <c r="J329" s="34"/>
      <c r="K329" s="105"/>
      <c r="L329" s="34"/>
      <c r="M329" s="34"/>
      <c r="N329" s="34"/>
      <c r="O329" s="105"/>
      <c r="P329" s="105"/>
      <c r="Q329" s="105"/>
      <c r="R329" s="105"/>
      <c r="S329" s="105"/>
      <c r="T329" s="105"/>
      <c r="U329" s="105"/>
      <c r="V329" s="105"/>
      <c r="W329" s="105"/>
      <c r="X329" s="105"/>
      <c r="Y329" s="105"/>
      <c r="Z329" s="105"/>
      <c r="AA329" s="105"/>
      <c r="AB329" s="105"/>
      <c r="AC329" s="105"/>
    </row>
    <row r="330" spans="1:29" ht="12.75">
      <c r="A330" s="34"/>
      <c r="B330" s="34"/>
      <c r="C330" s="34"/>
      <c r="D330" s="34"/>
      <c r="E330" s="188"/>
      <c r="F330" s="34"/>
      <c r="G330" s="34"/>
      <c r="H330" s="34"/>
      <c r="I330" s="34"/>
      <c r="J330" s="34"/>
      <c r="K330" s="105"/>
      <c r="L330" s="34"/>
      <c r="M330" s="34"/>
      <c r="N330" s="34"/>
      <c r="O330" s="105"/>
      <c r="P330" s="105"/>
      <c r="Q330" s="105"/>
      <c r="R330" s="105"/>
      <c r="S330" s="105"/>
      <c r="T330" s="105"/>
      <c r="U330" s="105"/>
      <c r="V330" s="105"/>
      <c r="W330" s="105"/>
      <c r="X330" s="105"/>
      <c r="Y330" s="105"/>
      <c r="Z330" s="105"/>
      <c r="AA330" s="105"/>
      <c r="AB330" s="105"/>
      <c r="AC330" s="105"/>
    </row>
    <row r="331" spans="1:29" ht="12.75">
      <c r="A331" s="34"/>
      <c r="B331" s="34"/>
      <c r="C331" s="34"/>
      <c r="D331" s="34"/>
      <c r="E331" s="188"/>
      <c r="F331" s="34"/>
      <c r="G331" s="34"/>
      <c r="H331" s="34"/>
      <c r="I331" s="34"/>
      <c r="J331" s="34"/>
      <c r="K331" s="105"/>
      <c r="L331" s="34"/>
      <c r="M331" s="34"/>
      <c r="N331" s="34"/>
      <c r="O331" s="105"/>
      <c r="P331" s="105"/>
      <c r="Q331" s="105"/>
      <c r="R331" s="105"/>
      <c r="S331" s="105"/>
      <c r="T331" s="105"/>
      <c r="U331" s="105"/>
      <c r="V331" s="105"/>
      <c r="W331" s="105"/>
      <c r="X331" s="105"/>
      <c r="Y331" s="105"/>
      <c r="Z331" s="105"/>
      <c r="AA331" s="105"/>
      <c r="AB331" s="105"/>
      <c r="AC331" s="105"/>
    </row>
    <row r="332" spans="1:29" ht="12.75">
      <c r="A332" s="34"/>
      <c r="B332" s="34"/>
      <c r="C332" s="34"/>
      <c r="D332" s="34"/>
      <c r="E332" s="188"/>
      <c r="F332" s="34"/>
      <c r="G332" s="34"/>
      <c r="H332" s="34"/>
      <c r="I332" s="34"/>
      <c r="J332" s="34"/>
      <c r="K332" s="105"/>
      <c r="L332" s="34"/>
      <c r="M332" s="34"/>
      <c r="N332" s="34"/>
      <c r="O332" s="105"/>
      <c r="P332" s="105"/>
      <c r="Q332" s="105"/>
      <c r="R332" s="105"/>
      <c r="S332" s="105"/>
      <c r="T332" s="105"/>
      <c r="U332" s="105"/>
      <c r="V332" s="105"/>
      <c r="W332" s="105"/>
      <c r="X332" s="105"/>
      <c r="Y332" s="105"/>
      <c r="Z332" s="105"/>
      <c r="AA332" s="105"/>
      <c r="AB332" s="105"/>
      <c r="AC332" s="105"/>
    </row>
    <row r="333" spans="1:29" ht="12.75">
      <c r="A333" s="34"/>
      <c r="B333" s="34"/>
      <c r="C333" s="34"/>
      <c r="D333" s="34"/>
      <c r="E333" s="188"/>
      <c r="F333" s="34"/>
      <c r="G333" s="34"/>
      <c r="H333" s="34"/>
      <c r="I333" s="34"/>
      <c r="J333" s="34"/>
      <c r="K333" s="105"/>
      <c r="L333" s="34"/>
      <c r="M333" s="34"/>
      <c r="N333" s="34"/>
      <c r="O333" s="105"/>
      <c r="P333" s="105"/>
      <c r="Q333" s="105"/>
      <c r="R333" s="105"/>
      <c r="S333" s="105"/>
      <c r="T333" s="105"/>
      <c r="U333" s="105"/>
      <c r="V333" s="105"/>
      <c r="W333" s="105"/>
      <c r="X333" s="105"/>
      <c r="Y333" s="105"/>
      <c r="Z333" s="105"/>
      <c r="AA333" s="105"/>
      <c r="AB333" s="105"/>
      <c r="AC333" s="105"/>
    </row>
    <row r="334" spans="1:29" ht="12.75">
      <c r="A334" s="34"/>
      <c r="B334" s="34"/>
      <c r="C334" s="34"/>
      <c r="D334" s="34"/>
      <c r="E334" s="188"/>
      <c r="F334" s="34"/>
      <c r="G334" s="34"/>
      <c r="H334" s="34"/>
      <c r="I334" s="34"/>
      <c r="J334" s="34"/>
      <c r="K334" s="105"/>
      <c r="L334" s="34"/>
      <c r="M334" s="34"/>
      <c r="N334" s="34"/>
      <c r="O334" s="105"/>
      <c r="P334" s="105"/>
      <c r="Q334" s="105"/>
      <c r="R334" s="105"/>
      <c r="S334" s="105"/>
      <c r="T334" s="105"/>
      <c r="U334" s="105"/>
      <c r="V334" s="105"/>
      <c r="W334" s="105"/>
      <c r="X334" s="105"/>
      <c r="Y334" s="105"/>
      <c r="Z334" s="105"/>
      <c r="AA334" s="105"/>
      <c r="AB334" s="105"/>
      <c r="AC334" s="105"/>
    </row>
    <row r="335" spans="1:29" ht="12.75">
      <c r="A335" s="34"/>
      <c r="B335" s="34"/>
      <c r="C335" s="34"/>
      <c r="D335" s="34"/>
      <c r="E335" s="188"/>
      <c r="F335" s="34"/>
      <c r="G335" s="34"/>
      <c r="H335" s="34"/>
      <c r="I335" s="34"/>
      <c r="J335" s="34"/>
      <c r="K335" s="105"/>
      <c r="L335" s="34"/>
      <c r="M335" s="34"/>
      <c r="N335" s="34"/>
      <c r="O335" s="105"/>
      <c r="P335" s="105"/>
      <c r="Q335" s="105"/>
      <c r="R335" s="105"/>
      <c r="S335" s="105"/>
      <c r="T335" s="105"/>
      <c r="U335" s="105"/>
      <c r="V335" s="105"/>
      <c r="W335" s="105"/>
      <c r="X335" s="105"/>
      <c r="Y335" s="105"/>
      <c r="Z335" s="105"/>
      <c r="AA335" s="105"/>
      <c r="AB335" s="105"/>
      <c r="AC335" s="105"/>
    </row>
    <row r="336" spans="1:29" ht="12.75">
      <c r="A336" s="34"/>
      <c r="B336" s="34"/>
      <c r="C336" s="34"/>
      <c r="D336" s="34"/>
      <c r="E336" s="188"/>
      <c r="F336" s="34"/>
      <c r="G336" s="34"/>
      <c r="H336" s="34"/>
      <c r="I336" s="34"/>
      <c r="J336" s="34"/>
      <c r="K336" s="105"/>
      <c r="L336" s="34"/>
      <c r="M336" s="34"/>
      <c r="N336" s="34"/>
      <c r="O336" s="105"/>
      <c r="P336" s="105"/>
      <c r="Q336" s="105"/>
      <c r="R336" s="105"/>
      <c r="S336" s="105"/>
      <c r="T336" s="105"/>
      <c r="U336" s="105"/>
      <c r="V336" s="105"/>
      <c r="W336" s="105"/>
      <c r="X336" s="105"/>
      <c r="Y336" s="105"/>
      <c r="Z336" s="105"/>
      <c r="AA336" s="105"/>
      <c r="AB336" s="105"/>
      <c r="AC336" s="105"/>
    </row>
    <row r="337" spans="1:29" ht="12.75">
      <c r="A337" s="34"/>
      <c r="B337" s="34"/>
      <c r="C337" s="34"/>
      <c r="D337" s="34"/>
      <c r="E337" s="188"/>
      <c r="F337" s="34"/>
      <c r="G337" s="34"/>
      <c r="H337" s="34"/>
      <c r="I337" s="34"/>
      <c r="J337" s="34"/>
      <c r="K337" s="105"/>
      <c r="L337" s="34"/>
      <c r="M337" s="34"/>
      <c r="N337" s="34"/>
      <c r="O337" s="105"/>
      <c r="P337" s="105"/>
      <c r="Q337" s="105"/>
      <c r="R337" s="105"/>
      <c r="S337" s="105"/>
      <c r="T337" s="105"/>
      <c r="U337" s="105"/>
      <c r="V337" s="105"/>
      <c r="W337" s="105"/>
      <c r="X337" s="105"/>
      <c r="Y337" s="105"/>
      <c r="Z337" s="105"/>
      <c r="AA337" s="105"/>
      <c r="AB337" s="105"/>
      <c r="AC337" s="105"/>
    </row>
    <row r="338" spans="1:29" ht="12.75">
      <c r="A338" s="34"/>
      <c r="B338" s="34"/>
      <c r="C338" s="34"/>
      <c r="D338" s="34"/>
      <c r="E338" s="188"/>
      <c r="F338" s="34"/>
      <c r="G338" s="34"/>
      <c r="H338" s="34"/>
      <c r="I338" s="34"/>
      <c r="J338" s="34"/>
      <c r="K338" s="105"/>
      <c r="L338" s="34"/>
      <c r="M338" s="34"/>
      <c r="N338" s="34"/>
      <c r="O338" s="105"/>
      <c r="P338" s="105"/>
      <c r="Q338" s="105"/>
      <c r="R338" s="105"/>
      <c r="S338" s="105"/>
      <c r="T338" s="105"/>
      <c r="U338" s="105"/>
      <c r="V338" s="105"/>
      <c r="W338" s="105"/>
      <c r="X338" s="105"/>
      <c r="Y338" s="105"/>
      <c r="Z338" s="105"/>
      <c r="AA338" s="105"/>
      <c r="AB338" s="105"/>
      <c r="AC338" s="105"/>
    </row>
    <row r="339" spans="1:29" ht="12.75">
      <c r="A339" s="34"/>
      <c r="B339" s="34"/>
      <c r="C339" s="34"/>
      <c r="D339" s="34"/>
      <c r="E339" s="188"/>
      <c r="F339" s="34"/>
      <c r="G339" s="34"/>
      <c r="H339" s="34"/>
      <c r="I339" s="34"/>
      <c r="J339" s="34"/>
      <c r="K339" s="105"/>
      <c r="L339" s="34"/>
      <c r="M339" s="34"/>
      <c r="N339" s="34"/>
      <c r="O339" s="105"/>
      <c r="P339" s="105"/>
      <c r="Q339" s="105"/>
      <c r="R339" s="105"/>
      <c r="S339" s="105"/>
      <c r="T339" s="105"/>
      <c r="U339" s="105"/>
      <c r="V339" s="105"/>
      <c r="W339" s="105"/>
      <c r="X339" s="105"/>
      <c r="Y339" s="105"/>
      <c r="Z339" s="105"/>
      <c r="AA339" s="105"/>
      <c r="AB339" s="105"/>
      <c r="AC339" s="105"/>
    </row>
    <row r="340" spans="1:29" ht="12.75">
      <c r="A340" s="34"/>
      <c r="B340" s="34"/>
      <c r="C340" s="34"/>
      <c r="D340" s="34"/>
      <c r="E340" s="188"/>
      <c r="F340" s="34"/>
      <c r="G340" s="34"/>
      <c r="H340" s="34"/>
      <c r="I340" s="34"/>
      <c r="J340" s="34"/>
      <c r="K340" s="105"/>
      <c r="L340" s="34"/>
      <c r="M340" s="34"/>
      <c r="N340" s="34"/>
      <c r="O340" s="105"/>
      <c r="P340" s="105"/>
      <c r="Q340" s="105"/>
      <c r="R340" s="105"/>
      <c r="S340" s="105"/>
      <c r="T340" s="105"/>
      <c r="U340" s="105"/>
      <c r="V340" s="105"/>
      <c r="W340" s="105"/>
      <c r="X340" s="105"/>
      <c r="Y340" s="105"/>
      <c r="Z340" s="105"/>
      <c r="AA340" s="105"/>
      <c r="AB340" s="105"/>
      <c r="AC340" s="105"/>
    </row>
    <row r="341" spans="1:29" ht="12.75">
      <c r="A341" s="34"/>
      <c r="B341" s="34"/>
      <c r="C341" s="34"/>
      <c r="D341" s="34"/>
      <c r="E341" s="188"/>
      <c r="F341" s="34"/>
      <c r="G341" s="34"/>
      <c r="H341" s="34"/>
      <c r="I341" s="34"/>
      <c r="J341" s="34"/>
      <c r="K341" s="105"/>
      <c r="L341" s="34"/>
      <c r="M341" s="34"/>
      <c r="N341" s="34"/>
      <c r="O341" s="105"/>
      <c r="P341" s="105"/>
      <c r="Q341" s="105"/>
      <c r="R341" s="105"/>
      <c r="S341" s="105"/>
      <c r="T341" s="105"/>
      <c r="U341" s="105"/>
      <c r="V341" s="105"/>
      <c r="W341" s="105"/>
      <c r="X341" s="105"/>
      <c r="Y341" s="105"/>
      <c r="Z341" s="105"/>
      <c r="AA341" s="105"/>
      <c r="AB341" s="105"/>
      <c r="AC341" s="105"/>
    </row>
    <row r="342" spans="1:29" ht="12.75">
      <c r="A342" s="34"/>
      <c r="B342" s="34"/>
      <c r="C342" s="34"/>
      <c r="D342" s="34"/>
      <c r="E342" s="188"/>
      <c r="F342" s="34"/>
      <c r="G342" s="34"/>
      <c r="H342" s="34"/>
      <c r="I342" s="34"/>
      <c r="J342" s="34"/>
      <c r="K342" s="105"/>
      <c r="L342" s="34"/>
      <c r="M342" s="34"/>
      <c r="N342" s="34"/>
      <c r="O342" s="105"/>
      <c r="P342" s="105"/>
      <c r="Q342" s="105"/>
      <c r="R342" s="105"/>
      <c r="S342" s="105"/>
      <c r="T342" s="105"/>
      <c r="U342" s="105"/>
      <c r="V342" s="105"/>
      <c r="W342" s="105"/>
      <c r="X342" s="105"/>
      <c r="Y342" s="105"/>
      <c r="Z342" s="105"/>
      <c r="AA342" s="105"/>
      <c r="AB342" s="105"/>
      <c r="AC342" s="105"/>
    </row>
    <row r="343" spans="1:29" ht="12.75">
      <c r="A343" s="34"/>
      <c r="B343" s="34"/>
      <c r="C343" s="34"/>
      <c r="D343" s="34"/>
      <c r="E343" s="188"/>
      <c r="F343" s="34"/>
      <c r="G343" s="34"/>
      <c r="H343" s="34"/>
      <c r="I343" s="34"/>
      <c r="J343" s="34"/>
      <c r="K343" s="105"/>
      <c r="L343" s="34"/>
      <c r="M343" s="34"/>
      <c r="N343" s="34"/>
      <c r="O343" s="105"/>
      <c r="P343" s="105"/>
      <c r="Q343" s="105"/>
      <c r="R343" s="105"/>
      <c r="S343" s="105"/>
      <c r="T343" s="105"/>
      <c r="U343" s="105"/>
      <c r="V343" s="105"/>
      <c r="W343" s="105"/>
      <c r="X343" s="105"/>
      <c r="Y343" s="105"/>
      <c r="Z343" s="105"/>
      <c r="AA343" s="105"/>
      <c r="AB343" s="105"/>
      <c r="AC343" s="105"/>
    </row>
    <row r="344" spans="1:29" ht="12.75">
      <c r="A344" s="34"/>
      <c r="B344" s="34"/>
      <c r="C344" s="34"/>
      <c r="D344" s="34"/>
      <c r="E344" s="188"/>
      <c r="F344" s="34"/>
      <c r="G344" s="34"/>
      <c r="H344" s="34"/>
      <c r="I344" s="34"/>
      <c r="J344" s="34"/>
      <c r="K344" s="105"/>
      <c r="L344" s="34"/>
      <c r="M344" s="34"/>
      <c r="N344" s="34"/>
      <c r="O344" s="105"/>
      <c r="P344" s="105"/>
      <c r="Q344" s="105"/>
      <c r="R344" s="105"/>
      <c r="S344" s="105"/>
      <c r="T344" s="105"/>
      <c r="U344" s="105"/>
      <c r="V344" s="105"/>
      <c r="W344" s="105"/>
      <c r="X344" s="105"/>
      <c r="Y344" s="105"/>
      <c r="Z344" s="105"/>
      <c r="AA344" s="105"/>
      <c r="AB344" s="105"/>
      <c r="AC344" s="105"/>
    </row>
    <row r="345" spans="1:29" ht="12.75">
      <c r="A345" s="34"/>
      <c r="B345" s="34"/>
      <c r="C345" s="34"/>
      <c r="D345" s="34"/>
      <c r="E345" s="188"/>
      <c r="F345" s="34"/>
      <c r="G345" s="34"/>
      <c r="H345" s="34"/>
      <c r="I345" s="34"/>
      <c r="J345" s="34"/>
      <c r="K345" s="105"/>
      <c r="L345" s="34"/>
      <c r="M345" s="34"/>
      <c r="N345" s="34"/>
      <c r="O345" s="105"/>
      <c r="P345" s="105"/>
      <c r="Q345" s="105"/>
      <c r="R345" s="105"/>
      <c r="S345" s="105"/>
      <c r="T345" s="105"/>
      <c r="U345" s="105"/>
      <c r="V345" s="105"/>
      <c r="W345" s="105"/>
      <c r="X345" s="105"/>
      <c r="Y345" s="105"/>
      <c r="Z345" s="105"/>
      <c r="AA345" s="105"/>
      <c r="AB345" s="105"/>
      <c r="AC345" s="105"/>
    </row>
    <row r="346" spans="1:29" ht="12.75">
      <c r="A346" s="34"/>
      <c r="B346" s="34"/>
      <c r="C346" s="34"/>
      <c r="D346" s="34"/>
      <c r="E346" s="188"/>
      <c r="F346" s="34"/>
      <c r="G346" s="34"/>
      <c r="H346" s="34"/>
      <c r="I346" s="34"/>
      <c r="J346" s="34"/>
      <c r="K346" s="105"/>
      <c r="L346" s="34"/>
      <c r="M346" s="34"/>
      <c r="N346" s="34"/>
      <c r="O346" s="105"/>
      <c r="P346" s="105"/>
      <c r="Q346" s="105"/>
      <c r="R346" s="105"/>
      <c r="S346" s="105"/>
      <c r="T346" s="105"/>
      <c r="U346" s="105"/>
      <c r="V346" s="105"/>
      <c r="W346" s="105"/>
      <c r="X346" s="105"/>
      <c r="Y346" s="105"/>
      <c r="Z346" s="105"/>
      <c r="AA346" s="105"/>
      <c r="AB346" s="105"/>
      <c r="AC346" s="105"/>
    </row>
    <row r="347" spans="1:29" ht="12.75">
      <c r="A347" s="34"/>
      <c r="B347" s="34"/>
      <c r="C347" s="34"/>
      <c r="D347" s="34"/>
      <c r="E347" s="188"/>
      <c r="F347" s="34"/>
      <c r="G347" s="34"/>
      <c r="H347" s="34"/>
      <c r="I347" s="34"/>
      <c r="J347" s="34"/>
      <c r="K347" s="105"/>
      <c r="L347" s="34"/>
      <c r="M347" s="34"/>
      <c r="N347" s="34"/>
      <c r="O347" s="105"/>
      <c r="P347" s="105"/>
      <c r="Q347" s="105"/>
      <c r="R347" s="105"/>
      <c r="S347" s="105"/>
      <c r="T347" s="105"/>
      <c r="U347" s="105"/>
      <c r="V347" s="105"/>
      <c r="W347" s="105"/>
      <c r="X347" s="105"/>
      <c r="Y347" s="105"/>
      <c r="Z347" s="105"/>
      <c r="AA347" s="105"/>
      <c r="AB347" s="105"/>
      <c r="AC347" s="105"/>
    </row>
    <row r="348" spans="1:29" ht="12.75">
      <c r="A348" s="34"/>
      <c r="B348" s="34"/>
      <c r="C348" s="34"/>
      <c r="D348" s="34"/>
      <c r="E348" s="188"/>
      <c r="F348" s="34"/>
      <c r="G348" s="34"/>
      <c r="H348" s="34"/>
      <c r="I348" s="34"/>
      <c r="J348" s="34"/>
      <c r="K348" s="105"/>
      <c r="L348" s="34"/>
      <c r="M348" s="34"/>
      <c r="N348" s="34"/>
      <c r="O348" s="105"/>
      <c r="P348" s="105"/>
      <c r="Q348" s="105"/>
      <c r="R348" s="105"/>
      <c r="S348" s="105"/>
      <c r="T348" s="105"/>
      <c r="U348" s="105"/>
      <c r="V348" s="105"/>
      <c r="W348" s="105"/>
      <c r="X348" s="105"/>
      <c r="Y348" s="105"/>
      <c r="Z348" s="105"/>
      <c r="AA348" s="105"/>
      <c r="AB348" s="105"/>
      <c r="AC348" s="105"/>
    </row>
    <row r="349" spans="1:29" ht="12.75">
      <c r="A349" s="34"/>
      <c r="B349" s="34"/>
      <c r="C349" s="34"/>
      <c r="D349" s="34"/>
      <c r="E349" s="188"/>
      <c r="F349" s="34"/>
      <c r="G349" s="34"/>
      <c r="H349" s="34"/>
      <c r="I349" s="34"/>
      <c r="J349" s="34"/>
      <c r="K349" s="105"/>
      <c r="L349" s="34"/>
      <c r="M349" s="34"/>
      <c r="N349" s="34"/>
      <c r="O349" s="105"/>
      <c r="P349" s="105"/>
      <c r="Q349" s="105"/>
      <c r="R349" s="105"/>
      <c r="S349" s="105"/>
      <c r="T349" s="105"/>
      <c r="U349" s="105"/>
      <c r="V349" s="105"/>
      <c r="W349" s="105"/>
      <c r="X349" s="105"/>
      <c r="Y349" s="105"/>
      <c r="Z349" s="105"/>
      <c r="AA349" s="105"/>
      <c r="AB349" s="105"/>
      <c r="AC349" s="105"/>
    </row>
    <row r="350" spans="1:29" ht="12.75">
      <c r="A350" s="34"/>
      <c r="B350" s="34"/>
      <c r="C350" s="34"/>
      <c r="D350" s="34"/>
      <c r="E350" s="188"/>
      <c r="F350" s="34"/>
      <c r="G350" s="34"/>
      <c r="H350" s="34"/>
      <c r="I350" s="34"/>
      <c r="J350" s="34"/>
      <c r="K350" s="105"/>
      <c r="L350" s="34"/>
      <c r="M350" s="34"/>
      <c r="N350" s="34"/>
      <c r="O350" s="105"/>
      <c r="P350" s="105"/>
      <c r="Q350" s="105"/>
      <c r="R350" s="105"/>
      <c r="S350" s="105"/>
      <c r="T350" s="105"/>
      <c r="U350" s="105"/>
      <c r="V350" s="105"/>
      <c r="W350" s="105"/>
      <c r="X350" s="105"/>
      <c r="Y350" s="105"/>
      <c r="Z350" s="105"/>
      <c r="AA350" s="105"/>
      <c r="AB350" s="105"/>
      <c r="AC350" s="105"/>
    </row>
    <row r="351" spans="1:29" ht="12.75">
      <c r="A351" s="34"/>
      <c r="B351" s="34"/>
      <c r="C351" s="34"/>
      <c r="D351" s="34"/>
      <c r="E351" s="188"/>
      <c r="F351" s="34"/>
      <c r="G351" s="34"/>
      <c r="H351" s="34"/>
      <c r="I351" s="34"/>
      <c r="J351" s="34"/>
      <c r="K351" s="105"/>
      <c r="L351" s="34"/>
      <c r="M351" s="34"/>
      <c r="N351" s="34"/>
      <c r="O351" s="105"/>
      <c r="P351" s="105"/>
      <c r="Q351" s="105"/>
      <c r="R351" s="105"/>
      <c r="S351" s="105"/>
      <c r="T351" s="105"/>
      <c r="U351" s="105"/>
      <c r="V351" s="105"/>
      <c r="W351" s="105"/>
      <c r="X351" s="105"/>
      <c r="Y351" s="105"/>
      <c r="Z351" s="105"/>
      <c r="AA351" s="105"/>
      <c r="AB351" s="105"/>
      <c r="AC351" s="105"/>
    </row>
    <row r="352" spans="1:29" ht="12.75">
      <c r="A352" s="34"/>
      <c r="B352" s="34"/>
      <c r="C352" s="34"/>
      <c r="D352" s="34"/>
      <c r="E352" s="188"/>
      <c r="F352" s="34"/>
      <c r="G352" s="34"/>
      <c r="H352" s="34"/>
      <c r="I352" s="34"/>
      <c r="J352" s="34"/>
      <c r="K352" s="105"/>
      <c r="L352" s="34"/>
      <c r="M352" s="34"/>
      <c r="N352" s="34"/>
      <c r="O352" s="105"/>
      <c r="P352" s="105"/>
      <c r="Q352" s="105"/>
      <c r="R352" s="105"/>
      <c r="S352" s="105"/>
      <c r="T352" s="105"/>
      <c r="U352" s="105"/>
      <c r="V352" s="105"/>
      <c r="W352" s="105"/>
      <c r="X352" s="105"/>
      <c r="Y352" s="105"/>
      <c r="Z352" s="105"/>
      <c r="AA352" s="105"/>
      <c r="AB352" s="105"/>
      <c r="AC352" s="105"/>
    </row>
    <row r="353" spans="1:29" ht="12.75">
      <c r="A353" s="34"/>
      <c r="B353" s="34"/>
      <c r="C353" s="34"/>
      <c r="D353" s="34"/>
      <c r="E353" s="188"/>
      <c r="F353" s="34"/>
      <c r="G353" s="34"/>
      <c r="H353" s="34"/>
      <c r="I353" s="34"/>
      <c r="J353" s="34"/>
      <c r="K353" s="105"/>
      <c r="L353" s="34"/>
      <c r="M353" s="34"/>
      <c r="N353" s="34"/>
      <c r="O353" s="105"/>
      <c r="P353" s="105"/>
      <c r="Q353" s="105"/>
      <c r="R353" s="105"/>
      <c r="S353" s="105"/>
      <c r="T353" s="105"/>
      <c r="U353" s="105"/>
      <c r="V353" s="105"/>
      <c r="W353" s="105"/>
      <c r="X353" s="105"/>
      <c r="Y353" s="105"/>
      <c r="Z353" s="105"/>
      <c r="AA353" s="105"/>
      <c r="AB353" s="105"/>
      <c r="AC353" s="105"/>
    </row>
    <row r="354" spans="1:29" ht="12.75">
      <c r="A354" s="34"/>
      <c r="B354" s="34"/>
      <c r="C354" s="34"/>
      <c r="D354" s="34"/>
      <c r="E354" s="188"/>
      <c r="F354" s="34"/>
      <c r="G354" s="34"/>
      <c r="H354" s="34"/>
      <c r="I354" s="34"/>
      <c r="J354" s="34"/>
      <c r="K354" s="105"/>
      <c r="L354" s="34"/>
      <c r="M354" s="34"/>
      <c r="N354" s="34"/>
      <c r="O354" s="105"/>
      <c r="P354" s="105"/>
      <c r="Q354" s="105"/>
      <c r="R354" s="105"/>
      <c r="S354" s="105"/>
      <c r="T354" s="105"/>
      <c r="U354" s="105"/>
      <c r="V354" s="105"/>
      <c r="W354" s="105"/>
      <c r="X354" s="105"/>
      <c r="Y354" s="105"/>
      <c r="Z354" s="105"/>
      <c r="AA354" s="105"/>
      <c r="AB354" s="105"/>
      <c r="AC354" s="105"/>
    </row>
    <row r="355" spans="1:29" ht="12.75">
      <c r="A355" s="34"/>
      <c r="B355" s="34"/>
      <c r="C355" s="34"/>
      <c r="D355" s="34"/>
      <c r="E355" s="188"/>
      <c r="F355" s="34"/>
      <c r="G355" s="34"/>
      <c r="H355" s="34"/>
      <c r="I355" s="34"/>
      <c r="J355" s="34"/>
      <c r="K355" s="105"/>
      <c r="L355" s="34"/>
      <c r="M355" s="34"/>
      <c r="N355" s="34"/>
      <c r="O355" s="105"/>
      <c r="P355" s="105"/>
      <c r="Q355" s="105"/>
      <c r="R355" s="105"/>
      <c r="S355" s="105"/>
      <c r="T355" s="105"/>
      <c r="U355" s="105"/>
      <c r="V355" s="105"/>
      <c r="W355" s="105"/>
      <c r="X355" s="105"/>
      <c r="Y355" s="105"/>
      <c r="Z355" s="105"/>
      <c r="AA355" s="105"/>
      <c r="AB355" s="105"/>
      <c r="AC355" s="105"/>
    </row>
    <row r="356" spans="1:29" ht="12.75">
      <c r="A356" s="34"/>
      <c r="B356" s="34"/>
      <c r="C356" s="34"/>
      <c r="D356" s="34"/>
      <c r="E356" s="188"/>
      <c r="F356" s="34"/>
      <c r="G356" s="34"/>
      <c r="H356" s="34"/>
      <c r="I356" s="34"/>
      <c r="J356" s="34"/>
      <c r="K356" s="105"/>
      <c r="L356" s="34"/>
      <c r="M356" s="34"/>
      <c r="N356" s="34"/>
      <c r="O356" s="105"/>
      <c r="P356" s="105"/>
      <c r="Q356" s="105"/>
      <c r="R356" s="105"/>
      <c r="S356" s="105"/>
      <c r="T356" s="105"/>
      <c r="U356" s="105"/>
      <c r="V356" s="105"/>
      <c r="W356" s="105"/>
      <c r="X356" s="105"/>
      <c r="Y356" s="105"/>
      <c r="Z356" s="105"/>
      <c r="AA356" s="105"/>
      <c r="AB356" s="105"/>
      <c r="AC356" s="105"/>
    </row>
    <row r="357" spans="1:29" ht="12.75">
      <c r="A357" s="34"/>
      <c r="B357" s="34"/>
      <c r="C357" s="34"/>
      <c r="D357" s="34"/>
      <c r="E357" s="188"/>
      <c r="F357" s="34"/>
      <c r="G357" s="34"/>
      <c r="H357" s="34"/>
      <c r="I357" s="34"/>
      <c r="J357" s="34"/>
      <c r="K357" s="105"/>
      <c r="L357" s="34"/>
      <c r="M357" s="34"/>
      <c r="N357" s="34"/>
      <c r="O357" s="105"/>
      <c r="P357" s="105"/>
      <c r="Q357" s="105"/>
      <c r="R357" s="105"/>
      <c r="S357" s="105"/>
      <c r="T357" s="105"/>
      <c r="U357" s="105"/>
      <c r="V357" s="105"/>
      <c r="W357" s="105"/>
      <c r="X357" s="105"/>
      <c r="Y357" s="105"/>
      <c r="Z357" s="105"/>
      <c r="AA357" s="105"/>
      <c r="AB357" s="105"/>
      <c r="AC357" s="105"/>
    </row>
    <row r="358" spans="1:29" ht="12.75">
      <c r="A358" s="34"/>
      <c r="B358" s="34"/>
      <c r="C358" s="34"/>
      <c r="D358" s="34"/>
      <c r="E358" s="188"/>
      <c r="F358" s="34"/>
      <c r="G358" s="34"/>
      <c r="H358" s="34"/>
      <c r="I358" s="34"/>
      <c r="J358" s="34"/>
      <c r="K358" s="105"/>
      <c r="L358" s="34"/>
      <c r="M358" s="34"/>
      <c r="N358" s="34"/>
      <c r="O358" s="105"/>
      <c r="P358" s="105"/>
      <c r="Q358" s="105"/>
      <c r="R358" s="105"/>
      <c r="S358" s="105"/>
      <c r="T358" s="105"/>
      <c r="U358" s="105"/>
      <c r="V358" s="105"/>
      <c r="W358" s="105"/>
      <c r="X358" s="105"/>
      <c r="Y358" s="105"/>
      <c r="Z358" s="105"/>
      <c r="AA358" s="105"/>
      <c r="AB358" s="105"/>
      <c r="AC358" s="105"/>
    </row>
    <row r="359" spans="1:29" ht="12.75">
      <c r="A359" s="34"/>
      <c r="B359" s="34"/>
      <c r="C359" s="34"/>
      <c r="D359" s="34"/>
      <c r="E359" s="188"/>
      <c r="F359" s="34"/>
      <c r="G359" s="34"/>
      <c r="H359" s="34"/>
      <c r="I359" s="34"/>
      <c r="J359" s="34"/>
      <c r="K359" s="105"/>
      <c r="L359" s="34"/>
      <c r="M359" s="34"/>
      <c r="N359" s="34"/>
      <c r="O359" s="105"/>
      <c r="P359" s="105"/>
      <c r="Q359" s="105"/>
      <c r="R359" s="105"/>
      <c r="S359" s="105"/>
      <c r="T359" s="105"/>
      <c r="U359" s="105"/>
      <c r="V359" s="105"/>
      <c r="W359" s="105"/>
      <c r="X359" s="105"/>
      <c r="Y359" s="105"/>
      <c r="Z359" s="105"/>
      <c r="AA359" s="105"/>
      <c r="AB359" s="105"/>
      <c r="AC359" s="105"/>
    </row>
    <row r="360" spans="1:29" ht="12.75">
      <c r="A360" s="34"/>
      <c r="B360" s="34"/>
      <c r="C360" s="34"/>
      <c r="D360" s="34"/>
      <c r="E360" s="188"/>
      <c r="F360" s="34"/>
      <c r="G360" s="34"/>
      <c r="H360" s="34"/>
      <c r="I360" s="34"/>
      <c r="J360" s="34"/>
      <c r="K360" s="105"/>
      <c r="L360" s="34"/>
      <c r="M360" s="34"/>
      <c r="N360" s="34"/>
      <c r="O360" s="105"/>
      <c r="P360" s="105"/>
      <c r="Q360" s="105"/>
      <c r="R360" s="105"/>
      <c r="S360" s="105"/>
      <c r="T360" s="105"/>
      <c r="U360" s="105"/>
      <c r="V360" s="105"/>
      <c r="W360" s="105"/>
      <c r="X360" s="105"/>
      <c r="Y360" s="105"/>
      <c r="Z360" s="105"/>
      <c r="AA360" s="105"/>
      <c r="AB360" s="105"/>
      <c r="AC360" s="105"/>
    </row>
    <row r="361" spans="1:29" ht="12.75">
      <c r="A361" s="34"/>
      <c r="B361" s="34"/>
      <c r="C361" s="34"/>
      <c r="D361" s="34"/>
      <c r="E361" s="188"/>
      <c r="F361" s="34"/>
      <c r="G361" s="34"/>
      <c r="H361" s="34"/>
      <c r="I361" s="34"/>
      <c r="J361" s="34"/>
      <c r="K361" s="105"/>
      <c r="L361" s="34"/>
      <c r="M361" s="34"/>
      <c r="N361" s="34"/>
      <c r="O361" s="105"/>
      <c r="P361" s="105"/>
      <c r="Q361" s="105"/>
      <c r="R361" s="105"/>
      <c r="S361" s="105"/>
      <c r="T361" s="105"/>
      <c r="U361" s="105"/>
      <c r="V361" s="105"/>
      <c r="W361" s="105"/>
      <c r="X361" s="105"/>
      <c r="Y361" s="105"/>
      <c r="Z361" s="105"/>
      <c r="AA361" s="105"/>
      <c r="AB361" s="105"/>
      <c r="AC361" s="105"/>
    </row>
    <row r="362" spans="1:29" ht="12.75">
      <c r="A362" s="34"/>
      <c r="B362" s="34"/>
      <c r="C362" s="34"/>
      <c r="D362" s="34"/>
      <c r="E362" s="188"/>
      <c r="F362" s="34"/>
      <c r="G362" s="34"/>
      <c r="H362" s="34"/>
      <c r="I362" s="34"/>
      <c r="J362" s="34"/>
      <c r="K362" s="105"/>
      <c r="L362" s="34"/>
      <c r="M362" s="34"/>
      <c r="N362" s="34"/>
      <c r="O362" s="105"/>
      <c r="P362" s="105"/>
      <c r="Q362" s="105"/>
      <c r="R362" s="105"/>
      <c r="S362" s="105"/>
      <c r="T362" s="105"/>
      <c r="U362" s="105"/>
      <c r="V362" s="105"/>
      <c r="W362" s="105"/>
      <c r="X362" s="105"/>
      <c r="Y362" s="105"/>
      <c r="Z362" s="105"/>
      <c r="AA362" s="105"/>
      <c r="AB362" s="105"/>
      <c r="AC362" s="105"/>
    </row>
    <row r="363" spans="1:29" ht="12.75">
      <c r="A363" s="34"/>
      <c r="B363" s="34"/>
      <c r="C363" s="34"/>
      <c r="D363" s="34"/>
      <c r="E363" s="188"/>
      <c r="F363" s="34"/>
      <c r="G363" s="34"/>
      <c r="H363" s="34"/>
      <c r="I363" s="34"/>
      <c r="J363" s="34"/>
      <c r="K363" s="105"/>
      <c r="L363" s="34"/>
      <c r="M363" s="34"/>
      <c r="N363" s="34"/>
      <c r="O363" s="105"/>
      <c r="P363" s="105"/>
      <c r="Q363" s="105"/>
      <c r="R363" s="105"/>
      <c r="S363" s="105"/>
      <c r="T363" s="105"/>
      <c r="U363" s="105"/>
      <c r="V363" s="105"/>
      <c r="W363" s="105"/>
      <c r="X363" s="105"/>
      <c r="Y363" s="105"/>
      <c r="Z363" s="105"/>
      <c r="AA363" s="105"/>
      <c r="AB363" s="105"/>
      <c r="AC363" s="105"/>
    </row>
    <row r="364" spans="1:29" ht="12.75">
      <c r="A364" s="34"/>
      <c r="B364" s="34"/>
      <c r="C364" s="34"/>
      <c r="D364" s="34"/>
      <c r="E364" s="188"/>
      <c r="F364" s="34"/>
      <c r="G364" s="34"/>
      <c r="H364" s="34"/>
      <c r="I364" s="34"/>
      <c r="J364" s="34"/>
      <c r="K364" s="105"/>
      <c r="L364" s="34"/>
      <c r="M364" s="34"/>
      <c r="N364" s="34"/>
      <c r="O364" s="105"/>
      <c r="P364" s="105"/>
      <c r="Q364" s="105"/>
      <c r="R364" s="105"/>
      <c r="S364" s="105"/>
      <c r="T364" s="105"/>
      <c r="U364" s="105"/>
      <c r="V364" s="105"/>
      <c r="W364" s="105"/>
      <c r="X364" s="105"/>
      <c r="Y364" s="105"/>
      <c r="Z364" s="105"/>
      <c r="AA364" s="105"/>
      <c r="AB364" s="105"/>
      <c r="AC364" s="105"/>
    </row>
    <row r="365" spans="1:29" ht="12.75">
      <c r="A365" s="34"/>
      <c r="B365" s="34"/>
      <c r="C365" s="34"/>
      <c r="D365" s="34"/>
      <c r="E365" s="188"/>
      <c r="F365" s="34"/>
      <c r="G365" s="34"/>
      <c r="H365" s="34"/>
      <c r="I365" s="34"/>
      <c r="J365" s="34"/>
      <c r="K365" s="105"/>
      <c r="L365" s="34"/>
      <c r="M365" s="34"/>
      <c r="N365" s="34"/>
      <c r="O365" s="105"/>
      <c r="P365" s="105"/>
      <c r="Q365" s="105"/>
      <c r="R365" s="105"/>
      <c r="S365" s="105"/>
      <c r="T365" s="105"/>
      <c r="U365" s="105"/>
      <c r="V365" s="105"/>
      <c r="W365" s="105"/>
      <c r="X365" s="105"/>
      <c r="Y365" s="105"/>
      <c r="Z365" s="105"/>
      <c r="AA365" s="105"/>
      <c r="AB365" s="105"/>
      <c r="AC365" s="105"/>
    </row>
    <row r="366" spans="1:29" ht="12.75">
      <c r="A366" s="34"/>
      <c r="B366" s="34"/>
      <c r="C366" s="34"/>
      <c r="D366" s="34"/>
      <c r="E366" s="188"/>
      <c r="F366" s="34"/>
      <c r="G366" s="34"/>
      <c r="H366" s="34"/>
      <c r="I366" s="34"/>
      <c r="J366" s="34"/>
      <c r="K366" s="105"/>
      <c r="L366" s="34"/>
      <c r="M366" s="34"/>
      <c r="N366" s="34"/>
      <c r="O366" s="105"/>
      <c r="P366" s="105"/>
      <c r="Q366" s="105"/>
      <c r="R366" s="105"/>
      <c r="S366" s="105"/>
      <c r="T366" s="105"/>
      <c r="U366" s="105"/>
      <c r="V366" s="105"/>
      <c r="W366" s="105"/>
      <c r="X366" s="105"/>
      <c r="Y366" s="105"/>
      <c r="Z366" s="105"/>
      <c r="AA366" s="105"/>
      <c r="AB366" s="105"/>
      <c r="AC366" s="105"/>
    </row>
    <row r="367" spans="1:29" ht="12.75">
      <c r="A367" s="34"/>
      <c r="B367" s="34"/>
      <c r="C367" s="34"/>
      <c r="D367" s="34"/>
      <c r="E367" s="188"/>
      <c r="F367" s="34"/>
      <c r="G367" s="34"/>
      <c r="H367" s="34"/>
      <c r="I367" s="34"/>
      <c r="J367" s="34"/>
      <c r="K367" s="105"/>
      <c r="L367" s="34"/>
      <c r="M367" s="34"/>
      <c r="N367" s="34"/>
      <c r="O367" s="105"/>
      <c r="P367" s="105"/>
      <c r="Q367" s="105"/>
      <c r="R367" s="105"/>
      <c r="S367" s="105"/>
      <c r="T367" s="105"/>
      <c r="U367" s="105"/>
      <c r="V367" s="105"/>
      <c r="W367" s="105"/>
      <c r="X367" s="105"/>
      <c r="Y367" s="105"/>
      <c r="Z367" s="105"/>
      <c r="AA367" s="105"/>
      <c r="AB367" s="105"/>
      <c r="AC367" s="105"/>
    </row>
    <row r="368" spans="1:29" ht="12.75">
      <c r="A368" s="34"/>
      <c r="B368" s="34"/>
      <c r="C368" s="34"/>
      <c r="D368" s="34"/>
      <c r="E368" s="188"/>
      <c r="F368" s="34"/>
      <c r="G368" s="34"/>
      <c r="H368" s="34"/>
      <c r="I368" s="34"/>
      <c r="J368" s="34"/>
      <c r="K368" s="105"/>
      <c r="L368" s="34"/>
      <c r="M368" s="34"/>
      <c r="N368" s="34"/>
      <c r="O368" s="105"/>
      <c r="P368" s="105"/>
      <c r="Q368" s="105"/>
      <c r="R368" s="105"/>
      <c r="S368" s="105"/>
      <c r="T368" s="105"/>
      <c r="U368" s="105"/>
      <c r="V368" s="105"/>
      <c r="W368" s="105"/>
      <c r="X368" s="105"/>
      <c r="Y368" s="105"/>
      <c r="Z368" s="105"/>
      <c r="AA368" s="105"/>
      <c r="AB368" s="105"/>
      <c r="AC368" s="105"/>
    </row>
    <row r="369" spans="1:29" ht="12.75">
      <c r="A369" s="34"/>
      <c r="B369" s="34"/>
      <c r="C369" s="34"/>
      <c r="D369" s="34"/>
      <c r="E369" s="188"/>
      <c r="F369" s="34"/>
      <c r="G369" s="34"/>
      <c r="H369" s="34"/>
      <c r="I369" s="34"/>
      <c r="J369" s="34"/>
      <c r="K369" s="105"/>
      <c r="L369" s="34"/>
      <c r="M369" s="34"/>
      <c r="N369" s="34"/>
      <c r="O369" s="105"/>
      <c r="P369" s="105"/>
      <c r="Q369" s="105"/>
      <c r="R369" s="105"/>
      <c r="S369" s="105"/>
      <c r="T369" s="105"/>
      <c r="U369" s="105"/>
      <c r="V369" s="105"/>
      <c r="W369" s="105"/>
      <c r="X369" s="105"/>
      <c r="Y369" s="105"/>
      <c r="Z369" s="105"/>
      <c r="AA369" s="105"/>
      <c r="AB369" s="105"/>
      <c r="AC369" s="105"/>
    </row>
    <row r="370" spans="1:29" ht="12.75">
      <c r="A370" s="34"/>
      <c r="B370" s="34"/>
      <c r="C370" s="34"/>
      <c r="D370" s="34"/>
      <c r="E370" s="188"/>
      <c r="F370" s="34"/>
      <c r="G370" s="34"/>
      <c r="H370" s="34"/>
      <c r="I370" s="34"/>
      <c r="J370" s="34"/>
      <c r="K370" s="105"/>
      <c r="L370" s="34"/>
      <c r="M370" s="34"/>
      <c r="N370" s="34"/>
      <c r="O370" s="105"/>
      <c r="P370" s="105"/>
      <c r="Q370" s="105"/>
      <c r="R370" s="105"/>
      <c r="S370" s="105"/>
      <c r="T370" s="105"/>
      <c r="U370" s="105"/>
      <c r="V370" s="105"/>
      <c r="W370" s="105"/>
      <c r="X370" s="105"/>
      <c r="Y370" s="105"/>
      <c r="Z370" s="105"/>
      <c r="AA370" s="105"/>
      <c r="AB370" s="105"/>
      <c r="AC370" s="105"/>
    </row>
    <row r="371" spans="1:29" ht="12.75">
      <c r="A371" s="34"/>
      <c r="B371" s="34"/>
      <c r="C371" s="34"/>
      <c r="D371" s="34"/>
      <c r="E371" s="188"/>
      <c r="F371" s="34"/>
      <c r="G371" s="34"/>
      <c r="H371" s="34"/>
      <c r="I371" s="34"/>
      <c r="J371" s="34"/>
      <c r="K371" s="105"/>
      <c r="L371" s="34"/>
      <c r="M371" s="34"/>
      <c r="N371" s="34"/>
      <c r="O371" s="105"/>
      <c r="P371" s="105"/>
      <c r="Q371" s="105"/>
      <c r="R371" s="105"/>
      <c r="S371" s="105"/>
      <c r="T371" s="105"/>
      <c r="U371" s="105"/>
      <c r="V371" s="105"/>
      <c r="W371" s="105"/>
      <c r="X371" s="105"/>
      <c r="Y371" s="105"/>
      <c r="Z371" s="105"/>
      <c r="AA371" s="105"/>
      <c r="AB371" s="105"/>
      <c r="AC371" s="105"/>
    </row>
    <row r="372" spans="1:29" ht="12.75">
      <c r="A372" s="34"/>
      <c r="B372" s="34"/>
      <c r="C372" s="34"/>
      <c r="D372" s="34"/>
      <c r="E372" s="188"/>
      <c r="F372" s="34"/>
      <c r="G372" s="34"/>
      <c r="H372" s="34"/>
      <c r="I372" s="34"/>
      <c r="J372" s="34"/>
      <c r="K372" s="105"/>
      <c r="L372" s="34"/>
      <c r="M372" s="34"/>
      <c r="N372" s="34"/>
      <c r="O372" s="105"/>
      <c r="P372" s="105"/>
      <c r="Q372" s="105"/>
      <c r="R372" s="105"/>
      <c r="S372" s="105"/>
      <c r="T372" s="105"/>
      <c r="U372" s="105"/>
      <c r="V372" s="105"/>
      <c r="W372" s="105"/>
      <c r="X372" s="105"/>
      <c r="Y372" s="105"/>
      <c r="Z372" s="105"/>
      <c r="AA372" s="105"/>
      <c r="AB372" s="105"/>
      <c r="AC372" s="105"/>
    </row>
    <row r="373" spans="1:29" ht="12.75">
      <c r="A373" s="34"/>
      <c r="B373" s="34"/>
      <c r="C373" s="34"/>
      <c r="D373" s="34"/>
      <c r="E373" s="188"/>
      <c r="F373" s="34"/>
      <c r="G373" s="34"/>
      <c r="H373" s="34"/>
      <c r="I373" s="34"/>
      <c r="J373" s="34"/>
      <c r="K373" s="105"/>
      <c r="L373" s="34"/>
      <c r="M373" s="34"/>
      <c r="N373" s="34"/>
      <c r="O373" s="105"/>
      <c r="P373" s="105"/>
      <c r="Q373" s="105"/>
      <c r="R373" s="105"/>
      <c r="S373" s="105"/>
      <c r="T373" s="105"/>
      <c r="U373" s="105"/>
      <c r="V373" s="105"/>
      <c r="W373" s="105"/>
      <c r="X373" s="105"/>
      <c r="Y373" s="105"/>
      <c r="Z373" s="105"/>
      <c r="AA373" s="105"/>
      <c r="AB373" s="105"/>
      <c r="AC373" s="105"/>
    </row>
    <row r="374" spans="1:29" ht="12.75">
      <c r="A374" s="34"/>
      <c r="B374" s="34"/>
      <c r="C374" s="34"/>
      <c r="D374" s="34"/>
      <c r="E374" s="188"/>
      <c r="F374" s="34"/>
      <c r="G374" s="34"/>
      <c r="H374" s="34"/>
      <c r="I374" s="34"/>
      <c r="J374" s="34"/>
      <c r="K374" s="105"/>
      <c r="L374" s="34"/>
      <c r="M374" s="34"/>
      <c r="N374" s="34"/>
      <c r="O374" s="105"/>
      <c r="P374" s="105"/>
      <c r="Q374" s="105"/>
      <c r="R374" s="105"/>
      <c r="S374" s="105"/>
      <c r="T374" s="105"/>
      <c r="U374" s="105"/>
      <c r="V374" s="105"/>
      <c r="W374" s="105"/>
      <c r="X374" s="105"/>
      <c r="Y374" s="105"/>
      <c r="Z374" s="105"/>
      <c r="AA374" s="105"/>
      <c r="AB374" s="105"/>
      <c r="AC374" s="105"/>
    </row>
    <row r="375" spans="1:29" ht="12.75">
      <c r="A375" s="34"/>
      <c r="B375" s="34"/>
      <c r="C375" s="34"/>
      <c r="D375" s="34"/>
      <c r="E375" s="188"/>
      <c r="F375" s="34"/>
      <c r="G375" s="34"/>
      <c r="H375" s="34"/>
      <c r="I375" s="34"/>
      <c r="J375" s="34"/>
      <c r="K375" s="105"/>
      <c r="L375" s="34"/>
      <c r="M375" s="34"/>
      <c r="N375" s="34"/>
      <c r="O375" s="105"/>
      <c r="P375" s="105"/>
      <c r="Q375" s="105"/>
      <c r="R375" s="105"/>
      <c r="S375" s="105"/>
      <c r="T375" s="105"/>
      <c r="U375" s="105"/>
      <c r="V375" s="105"/>
      <c r="W375" s="105"/>
      <c r="X375" s="105"/>
      <c r="Y375" s="105"/>
      <c r="Z375" s="105"/>
      <c r="AA375" s="105"/>
      <c r="AB375" s="105"/>
      <c r="AC375" s="105"/>
    </row>
    <row r="376" spans="1:29" ht="12.75">
      <c r="A376" s="34"/>
      <c r="B376" s="34"/>
      <c r="C376" s="34"/>
      <c r="D376" s="34"/>
      <c r="E376" s="188"/>
      <c r="F376" s="34"/>
      <c r="G376" s="34"/>
      <c r="H376" s="34"/>
      <c r="I376" s="34"/>
      <c r="J376" s="34"/>
      <c r="K376" s="105"/>
      <c r="L376" s="34"/>
      <c r="M376" s="34"/>
      <c r="N376" s="34"/>
      <c r="O376" s="105"/>
      <c r="P376" s="105"/>
      <c r="Q376" s="105"/>
      <c r="R376" s="105"/>
      <c r="S376" s="105"/>
      <c r="T376" s="105"/>
      <c r="U376" s="105"/>
      <c r="V376" s="105"/>
      <c r="W376" s="105"/>
      <c r="X376" s="105"/>
      <c r="Y376" s="105"/>
      <c r="Z376" s="105"/>
      <c r="AA376" s="105"/>
      <c r="AB376" s="105"/>
      <c r="AC376" s="105"/>
    </row>
    <row r="377" spans="1:29" ht="12.75">
      <c r="A377" s="34"/>
      <c r="B377" s="34"/>
      <c r="C377" s="34"/>
      <c r="D377" s="34"/>
      <c r="E377" s="188"/>
      <c r="F377" s="34"/>
      <c r="G377" s="34"/>
      <c r="H377" s="34"/>
      <c r="I377" s="34"/>
      <c r="J377" s="34"/>
      <c r="K377" s="105"/>
      <c r="L377" s="34"/>
      <c r="M377" s="34"/>
      <c r="N377" s="34"/>
      <c r="O377" s="105"/>
      <c r="P377" s="105"/>
      <c r="Q377" s="105"/>
      <c r="R377" s="105"/>
      <c r="S377" s="105"/>
      <c r="T377" s="105"/>
      <c r="U377" s="105"/>
      <c r="V377" s="105"/>
      <c r="W377" s="105"/>
      <c r="X377" s="105"/>
      <c r="Y377" s="105"/>
      <c r="Z377" s="105"/>
      <c r="AA377" s="105"/>
      <c r="AB377" s="105"/>
      <c r="AC377" s="105"/>
    </row>
    <row r="378" spans="1:29" ht="12.75">
      <c r="A378" s="34"/>
      <c r="B378" s="34"/>
      <c r="C378" s="34"/>
      <c r="D378" s="34"/>
      <c r="E378" s="188"/>
      <c r="F378" s="34"/>
      <c r="G378" s="34"/>
      <c r="H378" s="34"/>
      <c r="I378" s="34"/>
      <c r="J378" s="34"/>
      <c r="K378" s="105"/>
      <c r="L378" s="34"/>
      <c r="M378" s="34"/>
      <c r="N378" s="34"/>
      <c r="O378" s="105"/>
      <c r="P378" s="105"/>
      <c r="Q378" s="105"/>
      <c r="R378" s="105"/>
      <c r="S378" s="105"/>
      <c r="T378" s="105"/>
      <c r="U378" s="105"/>
      <c r="V378" s="105"/>
      <c r="W378" s="105"/>
      <c r="X378" s="105"/>
      <c r="Y378" s="105"/>
      <c r="Z378" s="105"/>
      <c r="AA378" s="105"/>
      <c r="AB378" s="105"/>
      <c r="AC378" s="105"/>
    </row>
    <row r="379" spans="1:29" ht="12.75">
      <c r="A379" s="34"/>
      <c r="B379" s="34"/>
      <c r="C379" s="34"/>
      <c r="D379" s="34"/>
      <c r="E379" s="188"/>
      <c r="F379" s="34"/>
      <c r="G379" s="34"/>
      <c r="H379" s="34"/>
      <c r="I379" s="34"/>
      <c r="J379" s="34"/>
      <c r="K379" s="105"/>
      <c r="L379" s="34"/>
      <c r="M379" s="34"/>
      <c r="N379" s="34"/>
      <c r="O379" s="105"/>
      <c r="P379" s="105"/>
      <c r="Q379" s="105"/>
      <c r="R379" s="105"/>
      <c r="S379" s="105"/>
      <c r="T379" s="105"/>
      <c r="U379" s="105"/>
      <c r="V379" s="105"/>
      <c r="W379" s="105"/>
      <c r="X379" s="105"/>
      <c r="Y379" s="105"/>
      <c r="Z379" s="105"/>
      <c r="AA379" s="105"/>
      <c r="AB379" s="105"/>
      <c r="AC379" s="105"/>
    </row>
    <row r="380" spans="1:29" ht="12.75">
      <c r="A380" s="34"/>
      <c r="B380" s="34"/>
      <c r="C380" s="34"/>
      <c r="D380" s="34"/>
      <c r="E380" s="188"/>
      <c r="F380" s="34"/>
      <c r="G380" s="34"/>
      <c r="H380" s="34"/>
      <c r="I380" s="34"/>
      <c r="J380" s="34"/>
      <c r="K380" s="105"/>
      <c r="L380" s="34"/>
      <c r="M380" s="34"/>
      <c r="N380" s="34"/>
      <c r="O380" s="105"/>
      <c r="P380" s="105"/>
      <c r="Q380" s="105"/>
      <c r="R380" s="105"/>
      <c r="S380" s="105"/>
      <c r="T380" s="105"/>
      <c r="U380" s="105"/>
      <c r="V380" s="105"/>
      <c r="W380" s="105"/>
      <c r="X380" s="105"/>
      <c r="Y380" s="105"/>
      <c r="Z380" s="105"/>
      <c r="AA380" s="105"/>
      <c r="AB380" s="105"/>
      <c r="AC380" s="105"/>
    </row>
    <row r="381" spans="1:29" ht="12.75">
      <c r="A381" s="34"/>
      <c r="B381" s="34"/>
      <c r="C381" s="34"/>
      <c r="D381" s="34"/>
      <c r="E381" s="188"/>
      <c r="F381" s="34"/>
      <c r="G381" s="34"/>
      <c r="H381" s="34"/>
      <c r="I381" s="34"/>
      <c r="J381" s="34"/>
      <c r="K381" s="105"/>
      <c r="L381" s="34"/>
      <c r="M381" s="34"/>
      <c r="N381" s="34"/>
      <c r="O381" s="105"/>
      <c r="P381" s="105"/>
      <c r="Q381" s="105"/>
      <c r="R381" s="105"/>
      <c r="S381" s="105"/>
      <c r="T381" s="105"/>
      <c r="U381" s="105"/>
      <c r="V381" s="105"/>
      <c r="W381" s="105"/>
      <c r="X381" s="105"/>
      <c r="Y381" s="105"/>
      <c r="Z381" s="105"/>
      <c r="AA381" s="105"/>
      <c r="AB381" s="105"/>
      <c r="AC381" s="105"/>
    </row>
    <row r="382" spans="1:29" ht="12.75">
      <c r="A382" s="34"/>
      <c r="B382" s="34"/>
      <c r="C382" s="34"/>
      <c r="D382" s="34"/>
      <c r="E382" s="188"/>
      <c r="F382" s="34"/>
      <c r="G382" s="34"/>
      <c r="H382" s="34"/>
      <c r="I382" s="34"/>
      <c r="J382" s="34"/>
      <c r="K382" s="105"/>
      <c r="L382" s="34"/>
      <c r="M382" s="34"/>
      <c r="N382" s="34"/>
      <c r="O382" s="105"/>
      <c r="P382" s="105"/>
      <c r="Q382" s="105"/>
      <c r="R382" s="105"/>
      <c r="S382" s="105"/>
      <c r="T382" s="105"/>
      <c r="U382" s="105"/>
      <c r="V382" s="105"/>
      <c r="W382" s="105"/>
      <c r="X382" s="105"/>
      <c r="Y382" s="105"/>
      <c r="Z382" s="105"/>
      <c r="AA382" s="105"/>
      <c r="AB382" s="105"/>
      <c r="AC382" s="105"/>
    </row>
    <row r="383" spans="1:29" ht="12.75">
      <c r="A383" s="34"/>
      <c r="B383" s="34"/>
      <c r="C383" s="34"/>
      <c r="D383" s="34"/>
      <c r="E383" s="188"/>
      <c r="F383" s="34"/>
      <c r="G383" s="34"/>
      <c r="H383" s="34"/>
      <c r="I383" s="34"/>
      <c r="J383" s="34"/>
      <c r="K383" s="105"/>
      <c r="L383" s="34"/>
      <c r="M383" s="34"/>
      <c r="N383" s="34"/>
      <c r="O383" s="105"/>
      <c r="P383" s="105"/>
      <c r="Q383" s="105"/>
      <c r="R383" s="105"/>
      <c r="S383" s="105"/>
      <c r="T383" s="105"/>
      <c r="U383" s="105"/>
      <c r="V383" s="105"/>
      <c r="W383" s="105"/>
      <c r="X383" s="105"/>
      <c r="Y383" s="105"/>
      <c r="Z383" s="105"/>
      <c r="AA383" s="105"/>
      <c r="AB383" s="105"/>
      <c r="AC383" s="105"/>
    </row>
    <row r="384" spans="1:29" ht="12.75">
      <c r="A384" s="34"/>
      <c r="B384" s="34"/>
      <c r="C384" s="34"/>
      <c r="D384" s="34"/>
      <c r="E384" s="188"/>
      <c r="F384" s="34"/>
      <c r="G384" s="34"/>
      <c r="H384" s="34"/>
      <c r="I384" s="34"/>
      <c r="J384" s="34"/>
      <c r="K384" s="105"/>
      <c r="L384" s="34"/>
      <c r="M384" s="34"/>
      <c r="N384" s="34"/>
      <c r="O384" s="105"/>
      <c r="P384" s="105"/>
      <c r="Q384" s="105"/>
      <c r="R384" s="105"/>
      <c r="S384" s="105"/>
      <c r="T384" s="105"/>
      <c r="U384" s="105"/>
      <c r="V384" s="105"/>
      <c r="W384" s="105"/>
      <c r="X384" s="105"/>
      <c r="Y384" s="105"/>
      <c r="Z384" s="105"/>
      <c r="AA384" s="105"/>
      <c r="AB384" s="105"/>
      <c r="AC384" s="105"/>
    </row>
    <row r="385" spans="1:29" ht="12.75">
      <c r="A385" s="34"/>
      <c r="B385" s="34"/>
      <c r="C385" s="34"/>
      <c r="D385" s="34"/>
      <c r="E385" s="188"/>
      <c r="F385" s="34"/>
      <c r="G385" s="34"/>
      <c r="H385" s="34"/>
      <c r="I385" s="34"/>
      <c r="J385" s="34"/>
      <c r="K385" s="105"/>
      <c r="L385" s="34"/>
      <c r="M385" s="34"/>
      <c r="N385" s="34"/>
      <c r="O385" s="105"/>
      <c r="P385" s="105"/>
      <c r="Q385" s="105"/>
      <c r="R385" s="105"/>
      <c r="S385" s="105"/>
      <c r="T385" s="105"/>
      <c r="U385" s="105"/>
      <c r="V385" s="105"/>
      <c r="W385" s="105"/>
      <c r="X385" s="105"/>
      <c r="Y385" s="105"/>
      <c r="Z385" s="105"/>
      <c r="AA385" s="105"/>
      <c r="AB385" s="105"/>
      <c r="AC385" s="105"/>
    </row>
    <row r="386" spans="1:29" ht="12.75">
      <c r="A386" s="34"/>
      <c r="B386" s="34"/>
      <c r="C386" s="34"/>
      <c r="D386" s="34"/>
      <c r="E386" s="188"/>
      <c r="F386" s="34"/>
      <c r="G386" s="34"/>
      <c r="H386" s="34"/>
      <c r="I386" s="34"/>
      <c r="J386" s="34"/>
      <c r="K386" s="105"/>
      <c r="L386" s="34"/>
      <c r="M386" s="34"/>
      <c r="N386" s="34"/>
      <c r="O386" s="105"/>
      <c r="P386" s="105"/>
      <c r="Q386" s="105"/>
      <c r="R386" s="105"/>
      <c r="S386" s="105"/>
      <c r="T386" s="105"/>
      <c r="U386" s="105"/>
      <c r="V386" s="105"/>
      <c r="W386" s="105"/>
      <c r="X386" s="105"/>
      <c r="Y386" s="105"/>
      <c r="Z386" s="105"/>
      <c r="AA386" s="105"/>
      <c r="AB386" s="105"/>
      <c r="AC386" s="105"/>
    </row>
    <row r="387" spans="1:29" ht="12.75">
      <c r="A387" s="34"/>
      <c r="B387" s="34"/>
      <c r="C387" s="34"/>
      <c r="D387" s="34"/>
      <c r="E387" s="188"/>
      <c r="F387" s="34"/>
      <c r="G387" s="34"/>
      <c r="H387" s="34"/>
      <c r="I387" s="34"/>
      <c r="J387" s="34"/>
      <c r="K387" s="105"/>
      <c r="L387" s="34"/>
      <c r="M387" s="34"/>
      <c r="N387" s="34"/>
      <c r="O387" s="105"/>
      <c r="P387" s="105"/>
      <c r="Q387" s="105"/>
      <c r="R387" s="105"/>
      <c r="S387" s="105"/>
      <c r="T387" s="105"/>
      <c r="U387" s="105"/>
      <c r="V387" s="105"/>
      <c r="W387" s="105"/>
      <c r="X387" s="105"/>
      <c r="Y387" s="105"/>
      <c r="Z387" s="105"/>
      <c r="AA387" s="105"/>
      <c r="AB387" s="105"/>
      <c r="AC387" s="105"/>
    </row>
    <row r="388" spans="1:29" ht="12.75">
      <c r="A388" s="34"/>
      <c r="B388" s="34"/>
      <c r="C388" s="34"/>
      <c r="D388" s="34"/>
      <c r="E388" s="188"/>
      <c r="F388" s="34"/>
      <c r="G388" s="34"/>
      <c r="H388" s="34"/>
      <c r="I388" s="34"/>
      <c r="J388" s="34"/>
      <c r="K388" s="105"/>
      <c r="L388" s="34"/>
      <c r="M388" s="34"/>
      <c r="N388" s="34"/>
      <c r="O388" s="105"/>
      <c r="P388" s="105"/>
      <c r="Q388" s="105"/>
      <c r="R388" s="105"/>
      <c r="S388" s="105"/>
      <c r="T388" s="105"/>
      <c r="U388" s="105"/>
      <c r="V388" s="105"/>
      <c r="W388" s="105"/>
      <c r="X388" s="105"/>
      <c r="Y388" s="105"/>
      <c r="Z388" s="105"/>
      <c r="AA388" s="105"/>
      <c r="AB388" s="105"/>
      <c r="AC388" s="105"/>
    </row>
    <row r="389" spans="1:29" ht="12.75">
      <c r="A389" s="34"/>
      <c r="B389" s="34"/>
      <c r="C389" s="34"/>
      <c r="D389" s="34"/>
      <c r="E389" s="188"/>
      <c r="F389" s="34"/>
      <c r="G389" s="34"/>
      <c r="H389" s="34"/>
      <c r="I389" s="34"/>
      <c r="J389" s="34"/>
      <c r="K389" s="105"/>
      <c r="L389" s="34"/>
      <c r="M389" s="34"/>
      <c r="N389" s="34"/>
      <c r="O389" s="105"/>
      <c r="P389" s="105"/>
      <c r="Q389" s="105"/>
      <c r="R389" s="105"/>
      <c r="S389" s="105"/>
      <c r="T389" s="105"/>
      <c r="U389" s="105"/>
      <c r="V389" s="105"/>
      <c r="W389" s="105"/>
      <c r="X389" s="105"/>
      <c r="Y389" s="105"/>
      <c r="Z389" s="105"/>
      <c r="AA389" s="105"/>
      <c r="AB389" s="105"/>
      <c r="AC389" s="105"/>
    </row>
    <row r="390" spans="1:29" ht="12.75">
      <c r="A390" s="34"/>
      <c r="B390" s="34"/>
      <c r="C390" s="34"/>
      <c r="D390" s="34"/>
      <c r="E390" s="188"/>
      <c r="F390" s="34"/>
      <c r="G390" s="34"/>
      <c r="H390" s="34"/>
      <c r="I390" s="34"/>
      <c r="J390" s="34"/>
      <c r="K390" s="105"/>
      <c r="L390" s="34"/>
      <c r="M390" s="34"/>
      <c r="N390" s="34"/>
      <c r="O390" s="105"/>
      <c r="P390" s="105"/>
      <c r="Q390" s="105"/>
      <c r="R390" s="105"/>
      <c r="S390" s="105"/>
      <c r="T390" s="105"/>
      <c r="U390" s="105"/>
      <c r="V390" s="105"/>
      <c r="W390" s="105"/>
      <c r="X390" s="105"/>
      <c r="Y390" s="105"/>
      <c r="Z390" s="105"/>
      <c r="AA390" s="105"/>
      <c r="AB390" s="105"/>
      <c r="AC390" s="105"/>
    </row>
    <row r="391" spans="1:29" ht="12.75">
      <c r="A391" s="34"/>
      <c r="B391" s="34"/>
      <c r="C391" s="34"/>
      <c r="D391" s="34"/>
      <c r="E391" s="188"/>
      <c r="F391" s="34"/>
      <c r="G391" s="34"/>
      <c r="H391" s="34"/>
      <c r="I391" s="34"/>
      <c r="J391" s="34"/>
      <c r="K391" s="105"/>
      <c r="L391" s="34"/>
      <c r="M391" s="34"/>
      <c r="N391" s="34"/>
      <c r="O391" s="105"/>
      <c r="P391" s="105"/>
      <c r="Q391" s="105"/>
      <c r="R391" s="105"/>
      <c r="S391" s="105"/>
      <c r="T391" s="105"/>
      <c r="U391" s="105"/>
      <c r="V391" s="105"/>
      <c r="W391" s="105"/>
      <c r="X391" s="105"/>
      <c r="Y391" s="105"/>
      <c r="Z391" s="105"/>
      <c r="AA391" s="105"/>
      <c r="AB391" s="105"/>
      <c r="AC391" s="105"/>
    </row>
    <row r="392" spans="1:29" ht="12.75">
      <c r="A392" s="34"/>
      <c r="B392" s="34"/>
      <c r="C392" s="34"/>
      <c r="D392" s="34"/>
      <c r="E392" s="188"/>
      <c r="F392" s="34"/>
      <c r="G392" s="34"/>
      <c r="H392" s="34"/>
      <c r="I392" s="34"/>
      <c r="J392" s="34"/>
      <c r="K392" s="105"/>
      <c r="L392" s="34"/>
      <c r="M392" s="34"/>
      <c r="N392" s="34"/>
      <c r="O392" s="105"/>
      <c r="P392" s="105"/>
      <c r="Q392" s="105"/>
      <c r="R392" s="105"/>
      <c r="S392" s="105"/>
      <c r="T392" s="105"/>
      <c r="U392" s="105"/>
      <c r="V392" s="105"/>
      <c r="W392" s="105"/>
      <c r="X392" s="105"/>
      <c r="Y392" s="105"/>
      <c r="Z392" s="105"/>
      <c r="AA392" s="105"/>
      <c r="AB392" s="105"/>
      <c r="AC392" s="105"/>
    </row>
    <row r="393" spans="1:29" ht="12.75">
      <c r="A393" s="34"/>
      <c r="B393" s="34"/>
      <c r="C393" s="34"/>
      <c r="D393" s="34"/>
      <c r="E393" s="188"/>
      <c r="F393" s="34"/>
      <c r="G393" s="34"/>
      <c r="H393" s="34"/>
      <c r="I393" s="34"/>
      <c r="J393" s="34"/>
      <c r="K393" s="105"/>
      <c r="L393" s="34"/>
      <c r="M393" s="34"/>
      <c r="N393" s="34"/>
      <c r="O393" s="105"/>
      <c r="P393" s="105"/>
      <c r="Q393" s="105"/>
      <c r="R393" s="105"/>
      <c r="S393" s="105"/>
      <c r="T393" s="105"/>
      <c r="U393" s="105"/>
      <c r="V393" s="105"/>
      <c r="W393" s="105"/>
      <c r="X393" s="105"/>
      <c r="Y393" s="105"/>
      <c r="Z393" s="105"/>
      <c r="AA393" s="105"/>
      <c r="AB393" s="105"/>
      <c r="AC393" s="105"/>
    </row>
    <row r="394" spans="1:29" ht="12.75">
      <c r="A394" s="34"/>
      <c r="B394" s="34"/>
      <c r="C394" s="34"/>
      <c r="D394" s="34"/>
      <c r="E394" s="188"/>
      <c r="F394" s="34"/>
      <c r="G394" s="34"/>
      <c r="H394" s="34"/>
      <c r="I394" s="34"/>
      <c r="J394" s="34"/>
      <c r="K394" s="105"/>
      <c r="L394" s="34"/>
      <c r="M394" s="34"/>
      <c r="N394" s="34"/>
      <c r="O394" s="105"/>
      <c r="P394" s="105"/>
      <c r="Q394" s="105"/>
      <c r="R394" s="105"/>
      <c r="S394" s="105"/>
      <c r="T394" s="105"/>
      <c r="U394" s="105"/>
      <c r="V394" s="105"/>
      <c r="W394" s="105"/>
      <c r="X394" s="105"/>
      <c r="Y394" s="105"/>
      <c r="Z394" s="105"/>
      <c r="AA394" s="105"/>
      <c r="AB394" s="105"/>
      <c r="AC394" s="105"/>
    </row>
    <row r="395" spans="1:29" ht="12.75">
      <c r="A395" s="34"/>
      <c r="B395" s="34"/>
      <c r="C395" s="34"/>
      <c r="D395" s="34"/>
      <c r="E395" s="188"/>
      <c r="F395" s="34"/>
      <c r="G395" s="34"/>
      <c r="H395" s="34"/>
      <c r="I395" s="34"/>
      <c r="J395" s="34"/>
      <c r="K395" s="105"/>
      <c r="L395" s="34"/>
      <c r="M395" s="34"/>
      <c r="N395" s="34"/>
      <c r="O395" s="105"/>
      <c r="P395" s="105"/>
      <c r="Q395" s="105"/>
      <c r="R395" s="105"/>
      <c r="S395" s="105"/>
      <c r="T395" s="105"/>
      <c r="U395" s="105"/>
      <c r="V395" s="105"/>
      <c r="W395" s="105"/>
      <c r="X395" s="105"/>
      <c r="Y395" s="105"/>
      <c r="Z395" s="105"/>
      <c r="AA395" s="105"/>
      <c r="AB395" s="105"/>
      <c r="AC395" s="105"/>
    </row>
    <row r="396" spans="1:29" ht="12.75">
      <c r="A396" s="34"/>
      <c r="B396" s="34"/>
      <c r="C396" s="34"/>
      <c r="D396" s="34"/>
      <c r="E396" s="188"/>
      <c r="F396" s="34"/>
      <c r="G396" s="34"/>
      <c r="H396" s="34"/>
      <c r="I396" s="34"/>
      <c r="J396" s="34"/>
      <c r="K396" s="105"/>
      <c r="L396" s="34"/>
      <c r="M396" s="34"/>
      <c r="N396" s="34"/>
      <c r="O396" s="105"/>
      <c r="P396" s="105"/>
      <c r="Q396" s="105"/>
      <c r="R396" s="105"/>
      <c r="S396" s="105"/>
      <c r="T396" s="105"/>
      <c r="U396" s="105"/>
      <c r="V396" s="105"/>
      <c r="W396" s="105"/>
      <c r="X396" s="105"/>
      <c r="Y396" s="105"/>
      <c r="Z396" s="105"/>
      <c r="AA396" s="105"/>
      <c r="AB396" s="105"/>
      <c r="AC396" s="105"/>
    </row>
    <row r="397" spans="1:29" ht="12.75">
      <c r="A397" s="34"/>
      <c r="B397" s="34"/>
      <c r="C397" s="34"/>
      <c r="D397" s="34"/>
      <c r="E397" s="188"/>
      <c r="F397" s="34"/>
      <c r="G397" s="34"/>
      <c r="H397" s="34"/>
      <c r="I397" s="34"/>
      <c r="J397" s="34"/>
      <c r="K397" s="105"/>
      <c r="L397" s="34"/>
      <c r="M397" s="34"/>
      <c r="N397" s="34"/>
      <c r="O397" s="105"/>
      <c r="P397" s="105"/>
      <c r="Q397" s="105"/>
      <c r="R397" s="105"/>
      <c r="S397" s="105"/>
      <c r="T397" s="105"/>
      <c r="U397" s="105"/>
      <c r="V397" s="105"/>
      <c r="W397" s="105"/>
      <c r="X397" s="105"/>
      <c r="Y397" s="105"/>
      <c r="Z397" s="105"/>
      <c r="AA397" s="105"/>
      <c r="AB397" s="105"/>
      <c r="AC397" s="105"/>
    </row>
    <row r="398" spans="1:29" ht="12.75">
      <c r="A398" s="34"/>
      <c r="B398" s="34"/>
      <c r="C398" s="34"/>
      <c r="D398" s="34"/>
      <c r="E398" s="188"/>
      <c r="F398" s="34"/>
      <c r="G398" s="34"/>
      <c r="H398" s="34"/>
      <c r="I398" s="34"/>
      <c r="J398" s="34"/>
      <c r="K398" s="105"/>
      <c r="L398" s="34"/>
      <c r="M398" s="34"/>
      <c r="N398" s="34"/>
      <c r="O398" s="105"/>
      <c r="P398" s="105"/>
      <c r="Q398" s="105"/>
      <c r="R398" s="105"/>
      <c r="S398" s="105"/>
      <c r="T398" s="105"/>
      <c r="U398" s="105"/>
      <c r="V398" s="105"/>
      <c r="W398" s="105"/>
      <c r="X398" s="105"/>
      <c r="Y398" s="105"/>
      <c r="Z398" s="105"/>
      <c r="AA398" s="105"/>
      <c r="AB398" s="105"/>
      <c r="AC398" s="105"/>
    </row>
    <row r="399" spans="1:29" ht="12.75">
      <c r="A399" s="34"/>
      <c r="B399" s="34"/>
      <c r="C399" s="34"/>
      <c r="D399" s="34"/>
      <c r="E399" s="188"/>
      <c r="F399" s="34"/>
      <c r="G399" s="34"/>
      <c r="H399" s="34"/>
      <c r="I399" s="34"/>
      <c r="J399" s="34"/>
      <c r="K399" s="105"/>
      <c r="L399" s="34"/>
      <c r="M399" s="34"/>
      <c r="N399" s="34"/>
      <c r="O399" s="105"/>
      <c r="P399" s="105"/>
      <c r="Q399" s="105"/>
      <c r="R399" s="105"/>
      <c r="S399" s="105"/>
      <c r="T399" s="105"/>
      <c r="U399" s="105"/>
      <c r="V399" s="105"/>
      <c r="W399" s="105"/>
      <c r="X399" s="105"/>
      <c r="Y399" s="105"/>
      <c r="Z399" s="105"/>
      <c r="AA399" s="105"/>
      <c r="AB399" s="105"/>
      <c r="AC399" s="105"/>
    </row>
    <row r="400" spans="1:29" ht="12.75">
      <c r="A400" s="34"/>
      <c r="B400" s="34"/>
      <c r="C400" s="34"/>
      <c r="D400" s="34"/>
      <c r="E400" s="188"/>
      <c r="F400" s="34"/>
      <c r="G400" s="34"/>
      <c r="H400" s="34"/>
      <c r="I400" s="34"/>
      <c r="J400" s="34"/>
      <c r="K400" s="105"/>
      <c r="L400" s="34"/>
      <c r="M400" s="34"/>
      <c r="N400" s="34"/>
      <c r="O400" s="105"/>
      <c r="P400" s="105"/>
      <c r="Q400" s="105"/>
      <c r="R400" s="105"/>
      <c r="S400" s="105"/>
      <c r="T400" s="105"/>
      <c r="U400" s="105"/>
      <c r="V400" s="105"/>
      <c r="W400" s="105"/>
      <c r="X400" s="105"/>
      <c r="Y400" s="105"/>
      <c r="Z400" s="105"/>
      <c r="AA400" s="105"/>
      <c r="AB400" s="105"/>
      <c r="AC400" s="105"/>
    </row>
    <row r="401" spans="1:29" ht="12.75">
      <c r="A401" s="34"/>
      <c r="B401" s="34"/>
      <c r="C401" s="34"/>
      <c r="D401" s="34"/>
      <c r="E401" s="188"/>
      <c r="F401" s="34"/>
      <c r="G401" s="34"/>
      <c r="H401" s="34"/>
      <c r="I401" s="34"/>
      <c r="J401" s="34"/>
      <c r="K401" s="105"/>
      <c r="L401" s="34"/>
      <c r="M401" s="34"/>
      <c r="N401" s="34"/>
      <c r="O401" s="105"/>
      <c r="P401" s="105"/>
      <c r="Q401" s="105"/>
      <c r="R401" s="105"/>
      <c r="S401" s="105"/>
      <c r="T401" s="105"/>
      <c r="U401" s="105"/>
      <c r="V401" s="105"/>
      <c r="W401" s="105"/>
      <c r="X401" s="105"/>
      <c r="Y401" s="105"/>
      <c r="Z401" s="105"/>
      <c r="AA401" s="105"/>
      <c r="AB401" s="105"/>
      <c r="AC401" s="105"/>
    </row>
    <row r="402" spans="1:29" ht="12.75">
      <c r="A402" s="34"/>
      <c r="B402" s="34"/>
      <c r="C402" s="34"/>
      <c r="D402" s="34"/>
      <c r="E402" s="188"/>
      <c r="F402" s="34"/>
      <c r="G402" s="34"/>
      <c r="H402" s="34"/>
      <c r="I402" s="34"/>
      <c r="J402" s="34"/>
      <c r="K402" s="105"/>
      <c r="L402" s="34"/>
      <c r="M402" s="34"/>
      <c r="N402" s="34"/>
      <c r="O402" s="105"/>
      <c r="P402" s="105"/>
      <c r="Q402" s="105"/>
      <c r="R402" s="105"/>
      <c r="S402" s="105"/>
      <c r="T402" s="105"/>
      <c r="U402" s="105"/>
      <c r="V402" s="105"/>
      <c r="W402" s="105"/>
      <c r="X402" s="105"/>
      <c r="Y402" s="105"/>
      <c r="Z402" s="105"/>
      <c r="AA402" s="105"/>
      <c r="AB402" s="105"/>
      <c r="AC402" s="105"/>
    </row>
    <row r="403" spans="1:29" ht="12.75">
      <c r="A403" s="34"/>
      <c r="B403" s="34"/>
      <c r="C403" s="34"/>
      <c r="D403" s="34"/>
      <c r="E403" s="188"/>
      <c r="F403" s="34"/>
      <c r="G403" s="34"/>
      <c r="H403" s="34"/>
      <c r="I403" s="34"/>
      <c r="J403" s="34"/>
      <c r="K403" s="105"/>
      <c r="L403" s="34"/>
      <c r="M403" s="34"/>
      <c r="N403" s="34"/>
      <c r="O403" s="105"/>
      <c r="P403" s="105"/>
      <c r="Q403" s="105"/>
      <c r="R403" s="105"/>
      <c r="S403" s="105"/>
      <c r="T403" s="105"/>
      <c r="U403" s="105"/>
      <c r="V403" s="105"/>
      <c r="W403" s="105"/>
      <c r="X403" s="105"/>
      <c r="Y403" s="105"/>
      <c r="Z403" s="105"/>
      <c r="AA403" s="105"/>
      <c r="AB403" s="105"/>
      <c r="AC403" s="105"/>
    </row>
    <row r="404" spans="1:29" ht="12.75">
      <c r="A404" s="34"/>
      <c r="B404" s="34"/>
      <c r="C404" s="34"/>
      <c r="D404" s="34"/>
      <c r="E404" s="188"/>
      <c r="F404" s="34"/>
      <c r="G404" s="34"/>
      <c r="H404" s="34"/>
      <c r="I404" s="34"/>
      <c r="J404" s="34"/>
      <c r="K404" s="105"/>
      <c r="L404" s="34"/>
      <c r="M404" s="34"/>
      <c r="N404" s="34"/>
      <c r="O404" s="105"/>
      <c r="P404" s="105"/>
      <c r="Q404" s="105"/>
      <c r="R404" s="105"/>
      <c r="S404" s="105"/>
      <c r="T404" s="105"/>
      <c r="U404" s="105"/>
      <c r="V404" s="105"/>
      <c r="W404" s="105"/>
      <c r="X404" s="105"/>
      <c r="Y404" s="105"/>
      <c r="Z404" s="105"/>
      <c r="AA404" s="105"/>
      <c r="AB404" s="105"/>
      <c r="AC404" s="105"/>
    </row>
    <row r="405" spans="1:29" ht="12.75">
      <c r="A405" s="34"/>
      <c r="B405" s="34"/>
      <c r="C405" s="34"/>
      <c r="D405" s="34"/>
      <c r="E405" s="188"/>
      <c r="F405" s="34"/>
      <c r="G405" s="34"/>
      <c r="H405" s="34"/>
      <c r="I405" s="34"/>
      <c r="J405" s="34"/>
      <c r="K405" s="105"/>
      <c r="L405" s="34"/>
      <c r="M405" s="34"/>
      <c r="N405" s="34"/>
      <c r="O405" s="105"/>
      <c r="P405" s="105"/>
      <c r="Q405" s="105"/>
      <c r="R405" s="105"/>
      <c r="S405" s="105"/>
      <c r="T405" s="105"/>
      <c r="U405" s="105"/>
      <c r="V405" s="105"/>
      <c r="W405" s="105"/>
      <c r="X405" s="105"/>
      <c r="Y405" s="105"/>
      <c r="Z405" s="105"/>
      <c r="AA405" s="105"/>
      <c r="AB405" s="105"/>
      <c r="AC405" s="105"/>
    </row>
    <row r="406" spans="1:29" ht="12.75">
      <c r="A406" s="34"/>
      <c r="B406" s="34"/>
      <c r="C406" s="34"/>
      <c r="D406" s="34"/>
      <c r="E406" s="188"/>
      <c r="F406" s="34"/>
      <c r="G406" s="34"/>
      <c r="H406" s="34"/>
      <c r="I406" s="34"/>
      <c r="J406" s="34"/>
      <c r="K406" s="105"/>
      <c r="L406" s="34"/>
      <c r="M406" s="34"/>
      <c r="N406" s="34"/>
      <c r="O406" s="105"/>
      <c r="P406" s="105"/>
      <c r="Q406" s="105"/>
      <c r="R406" s="105"/>
      <c r="S406" s="105"/>
      <c r="T406" s="105"/>
      <c r="U406" s="105"/>
      <c r="V406" s="105"/>
      <c r="W406" s="105"/>
      <c r="X406" s="105"/>
      <c r="Y406" s="105"/>
      <c r="Z406" s="105"/>
      <c r="AA406" s="105"/>
      <c r="AB406" s="105"/>
      <c r="AC406" s="105"/>
    </row>
    <row r="407" spans="1:29" ht="12.75">
      <c r="A407" s="34"/>
      <c r="B407" s="34"/>
      <c r="C407" s="34"/>
      <c r="D407" s="34"/>
      <c r="E407" s="188"/>
      <c r="F407" s="34"/>
      <c r="G407" s="34"/>
      <c r="H407" s="34"/>
      <c r="I407" s="34"/>
      <c r="J407" s="34"/>
      <c r="K407" s="105"/>
      <c r="L407" s="34"/>
      <c r="M407" s="34"/>
      <c r="N407" s="34"/>
      <c r="O407" s="105"/>
      <c r="P407" s="105"/>
      <c r="Q407" s="105"/>
      <c r="R407" s="105"/>
      <c r="S407" s="105"/>
      <c r="T407" s="105"/>
      <c r="U407" s="105"/>
      <c r="V407" s="105"/>
      <c r="W407" s="105"/>
      <c r="X407" s="105"/>
      <c r="Y407" s="105"/>
      <c r="Z407" s="105"/>
      <c r="AA407" s="105"/>
      <c r="AB407" s="105"/>
      <c r="AC407" s="105"/>
    </row>
    <row r="408" spans="1:29" ht="12.75">
      <c r="A408" s="34"/>
      <c r="B408" s="34"/>
      <c r="C408" s="34"/>
      <c r="D408" s="34"/>
      <c r="E408" s="188"/>
      <c r="F408" s="34"/>
      <c r="G408" s="34"/>
      <c r="H408" s="34"/>
      <c r="I408" s="34"/>
      <c r="J408" s="34"/>
      <c r="K408" s="105"/>
      <c r="L408" s="34"/>
      <c r="M408" s="34"/>
      <c r="N408" s="34"/>
      <c r="O408" s="105"/>
      <c r="P408" s="105"/>
      <c r="Q408" s="105"/>
      <c r="R408" s="105"/>
      <c r="S408" s="105"/>
      <c r="T408" s="105"/>
      <c r="U408" s="105"/>
      <c r="V408" s="105"/>
      <c r="W408" s="105"/>
      <c r="X408" s="105"/>
      <c r="Y408" s="105"/>
      <c r="Z408" s="105"/>
      <c r="AA408" s="105"/>
      <c r="AB408" s="105"/>
      <c r="AC408" s="105"/>
    </row>
    <row r="409" spans="1:29" ht="12.75">
      <c r="A409" s="34"/>
      <c r="B409" s="34"/>
      <c r="C409" s="34"/>
      <c r="D409" s="34"/>
      <c r="E409" s="188"/>
      <c r="F409" s="34"/>
      <c r="G409" s="34"/>
      <c r="H409" s="34"/>
      <c r="I409" s="34"/>
      <c r="J409" s="34"/>
      <c r="K409" s="105"/>
      <c r="L409" s="34"/>
      <c r="M409" s="34"/>
      <c r="N409" s="34"/>
      <c r="O409" s="105"/>
      <c r="P409" s="105"/>
      <c r="Q409" s="105"/>
      <c r="R409" s="105"/>
      <c r="S409" s="105"/>
      <c r="T409" s="105"/>
      <c r="U409" s="105"/>
      <c r="V409" s="105"/>
      <c r="W409" s="105"/>
      <c r="X409" s="105"/>
      <c r="Y409" s="105"/>
      <c r="Z409" s="105"/>
      <c r="AA409" s="105"/>
      <c r="AB409" s="105"/>
      <c r="AC409" s="105"/>
    </row>
    <row r="410" spans="1:29" ht="12.75">
      <c r="A410" s="34"/>
      <c r="B410" s="34"/>
      <c r="C410" s="34"/>
      <c r="D410" s="34"/>
      <c r="E410" s="188"/>
      <c r="F410" s="34"/>
      <c r="G410" s="34"/>
      <c r="H410" s="34"/>
      <c r="I410" s="34"/>
      <c r="J410" s="34"/>
      <c r="K410" s="105"/>
      <c r="L410" s="34"/>
      <c r="M410" s="34"/>
      <c r="N410" s="34"/>
      <c r="O410" s="105"/>
      <c r="P410" s="105"/>
      <c r="Q410" s="105"/>
      <c r="R410" s="105"/>
      <c r="S410" s="105"/>
      <c r="T410" s="105"/>
      <c r="U410" s="105"/>
      <c r="V410" s="105"/>
      <c r="W410" s="105"/>
      <c r="X410" s="105"/>
      <c r="Y410" s="105"/>
      <c r="Z410" s="105"/>
      <c r="AA410" s="105"/>
      <c r="AB410" s="105"/>
      <c r="AC410" s="105"/>
    </row>
    <row r="411" spans="1:29" ht="12.75">
      <c r="A411" s="34"/>
      <c r="B411" s="34"/>
      <c r="C411" s="34"/>
      <c r="D411" s="34"/>
      <c r="E411" s="188"/>
      <c r="F411" s="34"/>
      <c r="G411" s="34"/>
      <c r="H411" s="34"/>
      <c r="I411" s="34"/>
      <c r="J411" s="34"/>
      <c r="K411" s="105"/>
      <c r="L411" s="34"/>
      <c r="M411" s="34"/>
      <c r="N411" s="34"/>
      <c r="O411" s="105"/>
      <c r="P411" s="105"/>
      <c r="Q411" s="105"/>
      <c r="R411" s="105"/>
      <c r="S411" s="105"/>
      <c r="T411" s="105"/>
      <c r="U411" s="105"/>
      <c r="V411" s="105"/>
      <c r="W411" s="105"/>
      <c r="X411" s="105"/>
      <c r="Y411" s="105"/>
      <c r="Z411" s="105"/>
      <c r="AA411" s="105"/>
      <c r="AB411" s="105"/>
      <c r="AC411" s="105"/>
    </row>
    <row r="412" spans="1:29" ht="12.75">
      <c r="A412" s="34"/>
      <c r="B412" s="34"/>
      <c r="C412" s="34"/>
      <c r="D412" s="34"/>
      <c r="E412" s="188"/>
      <c r="F412" s="34"/>
      <c r="G412" s="34"/>
      <c r="H412" s="34"/>
      <c r="I412" s="34"/>
      <c r="J412" s="34"/>
      <c r="K412" s="105"/>
      <c r="L412" s="34"/>
      <c r="M412" s="34"/>
      <c r="N412" s="34"/>
      <c r="O412" s="105"/>
      <c r="P412" s="105"/>
      <c r="Q412" s="105"/>
      <c r="R412" s="105"/>
      <c r="S412" s="105"/>
      <c r="T412" s="105"/>
      <c r="U412" s="105"/>
      <c r="V412" s="105"/>
      <c r="W412" s="105"/>
      <c r="X412" s="105"/>
      <c r="Y412" s="105"/>
      <c r="Z412" s="105"/>
      <c r="AA412" s="105"/>
      <c r="AB412" s="105"/>
      <c r="AC412" s="105"/>
    </row>
    <row r="413" spans="1:29" ht="12.75">
      <c r="A413" s="34"/>
      <c r="B413" s="34"/>
      <c r="C413" s="34"/>
      <c r="D413" s="34"/>
      <c r="E413" s="188"/>
      <c r="F413" s="34"/>
      <c r="G413" s="34"/>
      <c r="H413" s="34"/>
      <c r="I413" s="34"/>
      <c r="J413" s="34"/>
      <c r="K413" s="105"/>
      <c r="L413" s="34"/>
      <c r="M413" s="34"/>
      <c r="N413" s="34"/>
      <c r="O413" s="105"/>
      <c r="P413" s="105"/>
      <c r="Q413" s="105"/>
      <c r="R413" s="105"/>
      <c r="S413" s="105"/>
      <c r="T413" s="105"/>
      <c r="U413" s="105"/>
      <c r="V413" s="105"/>
      <c r="W413" s="105"/>
      <c r="X413" s="105"/>
      <c r="Y413" s="105"/>
      <c r="Z413" s="105"/>
      <c r="AA413" s="105"/>
      <c r="AB413" s="105"/>
      <c r="AC413" s="105"/>
    </row>
    <row r="414" spans="1:29" ht="12.75">
      <c r="A414" s="34"/>
      <c r="B414" s="34"/>
      <c r="C414" s="34"/>
      <c r="D414" s="34"/>
      <c r="E414" s="188"/>
      <c r="F414" s="34"/>
      <c r="G414" s="34"/>
      <c r="H414" s="34"/>
      <c r="I414" s="34"/>
      <c r="J414" s="34"/>
      <c r="K414" s="105"/>
      <c r="L414" s="34"/>
      <c r="M414" s="34"/>
      <c r="N414" s="34"/>
      <c r="O414" s="105"/>
      <c r="P414" s="105"/>
      <c r="Q414" s="105"/>
      <c r="R414" s="105"/>
      <c r="S414" s="105"/>
      <c r="T414" s="105"/>
      <c r="U414" s="105"/>
      <c r="V414" s="105"/>
      <c r="W414" s="105"/>
      <c r="X414" s="105"/>
      <c r="Y414" s="105"/>
      <c r="Z414" s="105"/>
      <c r="AA414" s="105"/>
      <c r="AB414" s="105"/>
      <c r="AC414" s="105"/>
    </row>
    <row r="415" spans="1:29" ht="12.75">
      <c r="A415" s="34"/>
      <c r="B415" s="34"/>
      <c r="C415" s="34"/>
      <c r="D415" s="34"/>
      <c r="E415" s="188"/>
      <c r="F415" s="34"/>
      <c r="G415" s="34"/>
      <c r="H415" s="34"/>
      <c r="I415" s="34"/>
      <c r="J415" s="34"/>
      <c r="K415" s="105"/>
      <c r="L415" s="34"/>
      <c r="M415" s="34"/>
      <c r="N415" s="34"/>
      <c r="O415" s="105"/>
      <c r="P415" s="105"/>
      <c r="Q415" s="105"/>
      <c r="R415" s="105"/>
      <c r="S415" s="105"/>
      <c r="T415" s="105"/>
      <c r="U415" s="105"/>
      <c r="V415" s="105"/>
      <c r="W415" s="105"/>
      <c r="X415" s="105"/>
      <c r="Y415" s="105"/>
      <c r="Z415" s="105"/>
      <c r="AA415" s="105"/>
      <c r="AB415" s="105"/>
      <c r="AC415" s="105"/>
    </row>
    <row r="416" spans="1:29" ht="12.75">
      <c r="A416" s="34"/>
      <c r="B416" s="34"/>
      <c r="C416" s="34"/>
      <c r="D416" s="34"/>
      <c r="E416" s="188"/>
      <c r="F416" s="34"/>
      <c r="G416" s="34"/>
      <c r="H416" s="34"/>
      <c r="I416" s="34"/>
      <c r="J416" s="34"/>
      <c r="K416" s="105"/>
      <c r="L416" s="34"/>
      <c r="M416" s="34"/>
      <c r="N416" s="34"/>
      <c r="O416" s="105"/>
      <c r="P416" s="105"/>
      <c r="Q416" s="105"/>
      <c r="R416" s="105"/>
      <c r="S416" s="105"/>
      <c r="T416" s="105"/>
      <c r="U416" s="105"/>
      <c r="V416" s="105"/>
      <c r="W416" s="105"/>
      <c r="X416" s="105"/>
      <c r="Y416" s="105"/>
      <c r="Z416" s="105"/>
      <c r="AA416" s="105"/>
      <c r="AB416" s="105"/>
      <c r="AC416" s="105"/>
    </row>
    <row r="417" spans="1:29" ht="12.75">
      <c r="A417" s="34"/>
      <c r="B417" s="34"/>
      <c r="C417" s="34"/>
      <c r="D417" s="34"/>
      <c r="E417" s="188"/>
      <c r="F417" s="34"/>
      <c r="G417" s="34"/>
      <c r="H417" s="34"/>
      <c r="I417" s="34"/>
      <c r="J417" s="34"/>
      <c r="K417" s="105"/>
      <c r="L417" s="34"/>
      <c r="M417" s="34"/>
      <c r="N417" s="34"/>
      <c r="O417" s="105"/>
      <c r="P417" s="105"/>
      <c r="Q417" s="105"/>
      <c r="R417" s="105"/>
      <c r="S417" s="105"/>
      <c r="T417" s="105"/>
      <c r="U417" s="105"/>
      <c r="V417" s="105"/>
      <c r="W417" s="105"/>
      <c r="X417" s="105"/>
      <c r="Y417" s="105"/>
      <c r="Z417" s="105"/>
      <c r="AA417" s="105"/>
      <c r="AB417" s="105"/>
      <c r="AC417" s="105"/>
    </row>
    <row r="418" spans="1:29" ht="12.75">
      <c r="A418" s="34"/>
      <c r="B418" s="34"/>
      <c r="C418" s="34"/>
      <c r="D418" s="34"/>
      <c r="E418" s="188"/>
      <c r="F418" s="34"/>
      <c r="G418" s="34"/>
      <c r="H418" s="34"/>
      <c r="I418" s="34"/>
      <c r="J418" s="34"/>
      <c r="K418" s="105"/>
      <c r="L418" s="34"/>
      <c r="M418" s="34"/>
      <c r="N418" s="34"/>
      <c r="O418" s="105"/>
      <c r="P418" s="105"/>
      <c r="Q418" s="105"/>
      <c r="R418" s="105"/>
      <c r="S418" s="105"/>
      <c r="T418" s="105"/>
      <c r="U418" s="105"/>
      <c r="V418" s="105"/>
      <c r="W418" s="105"/>
      <c r="X418" s="105"/>
      <c r="Y418" s="105"/>
      <c r="Z418" s="105"/>
      <c r="AA418" s="105"/>
      <c r="AB418" s="105"/>
      <c r="AC418" s="105"/>
    </row>
    <row r="419" spans="1:29" ht="12.75">
      <c r="A419" s="34"/>
      <c r="B419" s="34"/>
      <c r="C419" s="34"/>
      <c r="D419" s="34"/>
      <c r="E419" s="188"/>
      <c r="F419" s="34"/>
      <c r="G419" s="34"/>
      <c r="H419" s="34"/>
      <c r="I419" s="34"/>
      <c r="J419" s="34"/>
      <c r="K419" s="105"/>
      <c r="L419" s="34"/>
      <c r="M419" s="34"/>
      <c r="N419" s="34"/>
      <c r="O419" s="105"/>
      <c r="P419" s="105"/>
      <c r="Q419" s="105"/>
      <c r="R419" s="105"/>
      <c r="S419" s="105"/>
      <c r="T419" s="105"/>
      <c r="U419" s="105"/>
      <c r="V419" s="105"/>
      <c r="W419" s="105"/>
      <c r="X419" s="105"/>
      <c r="Y419" s="105"/>
      <c r="Z419" s="105"/>
      <c r="AA419" s="105"/>
      <c r="AB419" s="105"/>
      <c r="AC419" s="105"/>
    </row>
    <row r="420" spans="1:29" ht="12.75">
      <c r="A420" s="34"/>
      <c r="B420" s="34"/>
      <c r="C420" s="34"/>
      <c r="D420" s="34"/>
      <c r="E420" s="188"/>
      <c r="F420" s="34"/>
      <c r="G420" s="34"/>
      <c r="H420" s="34"/>
      <c r="I420" s="34"/>
      <c r="J420" s="34"/>
      <c r="K420" s="105"/>
      <c r="L420" s="34"/>
      <c r="M420" s="34"/>
      <c r="N420" s="34"/>
      <c r="O420" s="105"/>
      <c r="P420" s="105"/>
      <c r="Q420" s="105"/>
      <c r="R420" s="105"/>
      <c r="S420" s="105"/>
      <c r="T420" s="105"/>
      <c r="U420" s="105"/>
      <c r="V420" s="105"/>
      <c r="W420" s="105"/>
      <c r="X420" s="105"/>
      <c r="Y420" s="105"/>
      <c r="Z420" s="105"/>
      <c r="AA420" s="105"/>
      <c r="AB420" s="105"/>
      <c r="AC420" s="105"/>
    </row>
    <row r="421" spans="1:29" ht="12.75">
      <c r="A421" s="34"/>
      <c r="B421" s="34"/>
      <c r="C421" s="34"/>
      <c r="D421" s="34"/>
      <c r="E421" s="188"/>
      <c r="F421" s="34"/>
      <c r="G421" s="34"/>
      <c r="H421" s="34"/>
      <c r="I421" s="34"/>
      <c r="J421" s="34"/>
      <c r="K421" s="105"/>
      <c r="L421" s="34"/>
      <c r="M421" s="34"/>
      <c r="N421" s="34"/>
      <c r="O421" s="105"/>
      <c r="P421" s="105"/>
      <c r="Q421" s="105"/>
      <c r="R421" s="105"/>
      <c r="S421" s="105"/>
      <c r="T421" s="105"/>
      <c r="U421" s="105"/>
      <c r="V421" s="105"/>
      <c r="W421" s="105"/>
      <c r="X421" s="105"/>
      <c r="Y421" s="105"/>
      <c r="Z421" s="105"/>
      <c r="AA421" s="105"/>
      <c r="AB421" s="105"/>
      <c r="AC421" s="105"/>
    </row>
    <row r="422" spans="1:29" ht="12.75">
      <c r="A422" s="34"/>
      <c r="B422" s="34"/>
      <c r="C422" s="34"/>
      <c r="D422" s="34"/>
      <c r="E422" s="188"/>
      <c r="F422" s="34"/>
      <c r="G422" s="34"/>
      <c r="H422" s="34"/>
      <c r="I422" s="34"/>
      <c r="J422" s="34"/>
      <c r="K422" s="105"/>
      <c r="L422" s="34"/>
      <c r="M422" s="34"/>
      <c r="N422" s="34"/>
      <c r="O422" s="105"/>
      <c r="P422" s="105"/>
      <c r="Q422" s="105"/>
      <c r="R422" s="105"/>
      <c r="S422" s="105"/>
      <c r="T422" s="105"/>
      <c r="U422" s="105"/>
      <c r="V422" s="105"/>
      <c r="W422" s="105"/>
      <c r="X422" s="105"/>
      <c r="Y422" s="105"/>
      <c r="Z422" s="105"/>
      <c r="AA422" s="105"/>
      <c r="AB422" s="105"/>
      <c r="AC422" s="105"/>
    </row>
    <row r="423" spans="1:29" ht="12.75">
      <c r="A423" s="34"/>
      <c r="B423" s="34"/>
      <c r="C423" s="34"/>
      <c r="D423" s="34"/>
      <c r="E423" s="188"/>
      <c r="F423" s="34"/>
      <c r="G423" s="34"/>
      <c r="H423" s="34"/>
      <c r="I423" s="34"/>
      <c r="J423" s="34"/>
      <c r="K423" s="105"/>
      <c r="L423" s="34"/>
      <c r="M423" s="34"/>
      <c r="N423" s="34"/>
      <c r="O423" s="105"/>
      <c r="P423" s="105"/>
      <c r="Q423" s="105"/>
      <c r="R423" s="105"/>
      <c r="S423" s="105"/>
      <c r="T423" s="105"/>
      <c r="U423" s="105"/>
      <c r="V423" s="105"/>
      <c r="W423" s="105"/>
      <c r="X423" s="105"/>
      <c r="Y423" s="105"/>
      <c r="Z423" s="105"/>
      <c r="AA423" s="105"/>
      <c r="AB423" s="105"/>
      <c r="AC423" s="105"/>
    </row>
    <row r="424" spans="1:29" ht="12.75">
      <c r="A424" s="34"/>
      <c r="B424" s="34"/>
      <c r="C424" s="34"/>
      <c r="D424" s="34"/>
      <c r="E424" s="188"/>
      <c r="F424" s="34"/>
      <c r="G424" s="34"/>
      <c r="H424" s="34"/>
      <c r="I424" s="34"/>
      <c r="J424" s="34"/>
      <c r="K424" s="105"/>
      <c r="L424" s="34"/>
      <c r="M424" s="34"/>
      <c r="N424" s="34"/>
      <c r="O424" s="105"/>
      <c r="P424" s="105"/>
      <c r="Q424" s="105"/>
      <c r="R424" s="105"/>
      <c r="S424" s="105"/>
      <c r="T424" s="105"/>
      <c r="U424" s="105"/>
      <c r="V424" s="105"/>
      <c r="W424" s="105"/>
      <c r="X424" s="105"/>
      <c r="Y424" s="105"/>
      <c r="Z424" s="105"/>
      <c r="AA424" s="105"/>
      <c r="AB424" s="105"/>
      <c r="AC424" s="105"/>
    </row>
    <row r="425" spans="1:29" ht="12.75">
      <c r="A425" s="34"/>
      <c r="B425" s="34"/>
      <c r="C425" s="34"/>
      <c r="D425" s="34"/>
      <c r="E425" s="188"/>
      <c r="F425" s="34"/>
      <c r="G425" s="34"/>
      <c r="H425" s="34"/>
      <c r="I425" s="34"/>
      <c r="J425" s="34"/>
      <c r="K425" s="105"/>
      <c r="L425" s="34"/>
      <c r="M425" s="34"/>
      <c r="N425" s="34"/>
      <c r="O425" s="105"/>
      <c r="P425" s="105"/>
      <c r="Q425" s="105"/>
      <c r="R425" s="105"/>
      <c r="S425" s="105"/>
      <c r="T425" s="105"/>
      <c r="U425" s="105"/>
      <c r="V425" s="105"/>
      <c r="W425" s="105"/>
      <c r="X425" s="105"/>
      <c r="Y425" s="105"/>
      <c r="Z425" s="105"/>
      <c r="AA425" s="105"/>
      <c r="AB425" s="105"/>
      <c r="AC425" s="105"/>
    </row>
    <row r="426" spans="1:29" ht="12.75">
      <c r="A426" s="34"/>
      <c r="B426" s="34"/>
      <c r="C426" s="34"/>
      <c r="D426" s="34"/>
      <c r="E426" s="188"/>
      <c r="F426" s="34"/>
      <c r="G426" s="34"/>
      <c r="H426" s="34"/>
      <c r="I426" s="34"/>
      <c r="J426" s="34"/>
      <c r="K426" s="105"/>
      <c r="L426" s="34"/>
      <c r="M426" s="34"/>
      <c r="N426" s="34"/>
      <c r="O426" s="105"/>
      <c r="P426" s="105"/>
      <c r="Q426" s="105"/>
      <c r="R426" s="105"/>
      <c r="S426" s="105"/>
      <c r="T426" s="105"/>
      <c r="U426" s="105"/>
      <c r="V426" s="105"/>
      <c r="W426" s="105"/>
      <c r="X426" s="105"/>
      <c r="Y426" s="105"/>
      <c r="Z426" s="105"/>
      <c r="AA426" s="105"/>
      <c r="AB426" s="105"/>
      <c r="AC426" s="105"/>
    </row>
    <row r="427" spans="1:29" ht="12.75">
      <c r="A427" s="34"/>
      <c r="B427" s="34"/>
      <c r="C427" s="34"/>
      <c r="D427" s="34"/>
      <c r="E427" s="188"/>
      <c r="F427" s="34"/>
      <c r="G427" s="34"/>
      <c r="H427" s="34"/>
      <c r="I427" s="34"/>
      <c r="J427" s="34"/>
      <c r="K427" s="105"/>
      <c r="L427" s="34"/>
      <c r="M427" s="34"/>
      <c r="N427" s="34"/>
      <c r="O427" s="105"/>
      <c r="P427" s="105"/>
      <c r="Q427" s="105"/>
      <c r="R427" s="105"/>
      <c r="S427" s="105"/>
      <c r="T427" s="105"/>
      <c r="U427" s="105"/>
      <c r="V427" s="105"/>
      <c r="W427" s="105"/>
      <c r="X427" s="105"/>
      <c r="Y427" s="105"/>
      <c r="Z427" s="105"/>
      <c r="AA427" s="105"/>
      <c r="AB427" s="105"/>
      <c r="AC427" s="105"/>
    </row>
    <row r="428" spans="1:29" ht="12.75">
      <c r="A428" s="34"/>
      <c r="B428" s="34"/>
      <c r="C428" s="34"/>
      <c r="D428" s="34"/>
      <c r="E428" s="188"/>
      <c r="F428" s="34"/>
      <c r="G428" s="34"/>
      <c r="H428" s="34"/>
      <c r="I428" s="34"/>
      <c r="J428" s="34"/>
      <c r="K428" s="105"/>
      <c r="L428" s="34"/>
      <c r="M428" s="34"/>
      <c r="N428" s="34"/>
      <c r="O428" s="105"/>
      <c r="P428" s="105"/>
      <c r="Q428" s="105"/>
      <c r="R428" s="105"/>
      <c r="S428" s="105"/>
      <c r="T428" s="105"/>
      <c r="U428" s="105"/>
      <c r="V428" s="105"/>
      <c r="W428" s="105"/>
      <c r="X428" s="105"/>
      <c r="Y428" s="105"/>
      <c r="Z428" s="105"/>
      <c r="AA428" s="105"/>
      <c r="AB428" s="105"/>
      <c r="AC428" s="105"/>
    </row>
    <row r="429" spans="1:29" ht="12.75">
      <c r="A429" s="34"/>
      <c r="B429" s="34"/>
      <c r="C429" s="34"/>
      <c r="D429" s="34"/>
      <c r="E429" s="188"/>
      <c r="F429" s="34"/>
      <c r="G429" s="34"/>
      <c r="H429" s="34"/>
      <c r="I429" s="34"/>
      <c r="J429" s="34"/>
      <c r="K429" s="105"/>
      <c r="L429" s="34"/>
      <c r="M429" s="34"/>
      <c r="N429" s="34"/>
      <c r="O429" s="105"/>
      <c r="P429" s="105"/>
      <c r="Q429" s="105"/>
      <c r="R429" s="105"/>
      <c r="S429" s="105"/>
      <c r="T429" s="105"/>
      <c r="U429" s="105"/>
      <c r="V429" s="105"/>
      <c r="W429" s="105"/>
      <c r="X429" s="105"/>
      <c r="Y429" s="105"/>
      <c r="Z429" s="105"/>
      <c r="AA429" s="105"/>
      <c r="AB429" s="105"/>
      <c r="AC429" s="105"/>
    </row>
    <row r="430" spans="1:29" ht="12.75">
      <c r="A430" s="34"/>
      <c r="B430" s="34"/>
      <c r="C430" s="34"/>
      <c r="D430" s="34"/>
      <c r="E430" s="188"/>
      <c r="F430" s="34"/>
      <c r="G430" s="34"/>
      <c r="H430" s="34"/>
      <c r="I430" s="34"/>
      <c r="J430" s="34"/>
      <c r="K430" s="105"/>
      <c r="L430" s="34"/>
      <c r="M430" s="34"/>
      <c r="N430" s="34"/>
      <c r="O430" s="105"/>
      <c r="P430" s="105"/>
      <c r="Q430" s="105"/>
      <c r="R430" s="105"/>
      <c r="S430" s="105"/>
      <c r="T430" s="105"/>
      <c r="U430" s="105"/>
      <c r="V430" s="105"/>
      <c r="W430" s="105"/>
      <c r="X430" s="105"/>
      <c r="Y430" s="105"/>
      <c r="Z430" s="105"/>
      <c r="AA430" s="105"/>
      <c r="AB430" s="105"/>
      <c r="AC430" s="105"/>
    </row>
    <row r="431" spans="1:29" ht="12.75">
      <c r="A431" s="34"/>
      <c r="B431" s="34"/>
      <c r="C431" s="34"/>
      <c r="D431" s="34"/>
      <c r="E431" s="188"/>
      <c r="F431" s="34"/>
      <c r="G431" s="34"/>
      <c r="H431" s="34"/>
      <c r="I431" s="34"/>
      <c r="J431" s="34"/>
      <c r="K431" s="105"/>
      <c r="L431" s="34"/>
      <c r="M431" s="34"/>
      <c r="N431" s="34"/>
      <c r="O431" s="105"/>
      <c r="P431" s="105"/>
      <c r="Q431" s="105"/>
      <c r="R431" s="105"/>
      <c r="S431" s="105"/>
      <c r="T431" s="105"/>
      <c r="U431" s="105"/>
      <c r="V431" s="105"/>
      <c r="W431" s="105"/>
      <c r="X431" s="105"/>
      <c r="Y431" s="105"/>
      <c r="Z431" s="105"/>
      <c r="AA431" s="105"/>
      <c r="AB431" s="105"/>
      <c r="AC431" s="105"/>
    </row>
    <row r="432" spans="1:29" ht="12.75">
      <c r="A432" s="34"/>
      <c r="B432" s="34"/>
      <c r="C432" s="34"/>
      <c r="D432" s="34"/>
      <c r="E432" s="188"/>
      <c r="F432" s="34"/>
      <c r="G432" s="34"/>
      <c r="H432" s="34"/>
      <c r="I432" s="34"/>
      <c r="J432" s="34"/>
      <c r="K432" s="105"/>
      <c r="L432" s="34"/>
      <c r="M432" s="34"/>
      <c r="N432" s="34"/>
      <c r="O432" s="105"/>
      <c r="P432" s="105"/>
      <c r="Q432" s="105"/>
      <c r="R432" s="105"/>
      <c r="S432" s="105"/>
      <c r="T432" s="105"/>
      <c r="U432" s="105"/>
      <c r="V432" s="105"/>
      <c r="W432" s="105"/>
      <c r="X432" s="105"/>
      <c r="Y432" s="105"/>
      <c r="Z432" s="105"/>
      <c r="AA432" s="105"/>
      <c r="AB432" s="105"/>
      <c r="AC432" s="105"/>
    </row>
    <row r="433" spans="1:29" ht="12.75">
      <c r="A433" s="34"/>
      <c r="B433" s="34"/>
      <c r="C433" s="34"/>
      <c r="D433" s="34"/>
      <c r="E433" s="188"/>
      <c r="F433" s="34"/>
      <c r="G433" s="34"/>
      <c r="H433" s="34"/>
      <c r="I433" s="34"/>
      <c r="J433" s="34"/>
      <c r="K433" s="105"/>
      <c r="L433" s="34"/>
      <c r="M433" s="34"/>
      <c r="N433" s="34"/>
      <c r="O433" s="105"/>
      <c r="P433" s="105"/>
      <c r="Q433" s="105"/>
      <c r="R433" s="105"/>
      <c r="S433" s="105"/>
      <c r="T433" s="105"/>
      <c r="U433" s="105"/>
      <c r="V433" s="105"/>
      <c r="W433" s="105"/>
      <c r="X433" s="105"/>
      <c r="Y433" s="105"/>
      <c r="Z433" s="105"/>
      <c r="AA433" s="105"/>
      <c r="AB433" s="105"/>
      <c r="AC433" s="105"/>
    </row>
    <row r="434" spans="1:29" ht="12.75">
      <c r="A434" s="34"/>
      <c r="B434" s="34"/>
      <c r="C434" s="34"/>
      <c r="D434" s="34"/>
      <c r="E434" s="188"/>
      <c r="F434" s="34"/>
      <c r="G434" s="34"/>
      <c r="H434" s="34"/>
      <c r="I434" s="34"/>
      <c r="J434" s="34"/>
      <c r="K434" s="105"/>
      <c r="L434" s="34"/>
      <c r="M434" s="34"/>
      <c r="N434" s="34"/>
      <c r="O434" s="105"/>
      <c r="P434" s="105"/>
      <c r="Q434" s="105"/>
      <c r="R434" s="105"/>
      <c r="S434" s="105"/>
      <c r="T434" s="105"/>
      <c r="U434" s="105"/>
      <c r="V434" s="105"/>
      <c r="W434" s="105"/>
      <c r="X434" s="105"/>
      <c r="Y434" s="105"/>
      <c r="Z434" s="105"/>
      <c r="AA434" s="105"/>
      <c r="AB434" s="105"/>
      <c r="AC434" s="105"/>
    </row>
    <row r="435" spans="1:29" ht="12.75">
      <c r="A435" s="34"/>
      <c r="B435" s="34"/>
      <c r="C435" s="34"/>
      <c r="D435" s="34"/>
      <c r="E435" s="188"/>
      <c r="F435" s="34"/>
      <c r="G435" s="34"/>
      <c r="H435" s="34"/>
      <c r="I435" s="34"/>
      <c r="J435" s="34"/>
      <c r="K435" s="105"/>
      <c r="L435" s="34"/>
      <c r="M435" s="34"/>
      <c r="N435" s="34"/>
      <c r="O435" s="105"/>
      <c r="P435" s="105"/>
      <c r="Q435" s="105"/>
      <c r="R435" s="105"/>
      <c r="S435" s="105"/>
      <c r="T435" s="105"/>
      <c r="U435" s="105"/>
      <c r="V435" s="105"/>
      <c r="W435" s="105"/>
      <c r="X435" s="105"/>
      <c r="Y435" s="105"/>
      <c r="Z435" s="105"/>
      <c r="AA435" s="105"/>
      <c r="AB435" s="105"/>
      <c r="AC435" s="105"/>
    </row>
    <row r="436" spans="1:29" ht="12.75">
      <c r="A436" s="34"/>
      <c r="B436" s="34"/>
      <c r="C436" s="34"/>
      <c r="D436" s="34"/>
      <c r="E436" s="188"/>
      <c r="F436" s="34"/>
      <c r="G436" s="34"/>
      <c r="H436" s="34"/>
      <c r="I436" s="34"/>
      <c r="J436" s="34"/>
      <c r="K436" s="105"/>
      <c r="L436" s="34"/>
      <c r="M436" s="34"/>
      <c r="N436" s="34"/>
      <c r="O436" s="105"/>
      <c r="P436" s="105"/>
      <c r="Q436" s="105"/>
      <c r="R436" s="105"/>
      <c r="S436" s="105"/>
      <c r="T436" s="105"/>
      <c r="U436" s="105"/>
      <c r="V436" s="105"/>
      <c r="W436" s="105"/>
      <c r="X436" s="105"/>
      <c r="Y436" s="105"/>
      <c r="Z436" s="105"/>
      <c r="AA436" s="105"/>
      <c r="AB436" s="105"/>
      <c r="AC436" s="105"/>
    </row>
    <row r="437" spans="1:29" ht="12.75">
      <c r="A437" s="34"/>
      <c r="B437" s="34"/>
      <c r="C437" s="34"/>
      <c r="D437" s="34"/>
      <c r="E437" s="188"/>
      <c r="F437" s="34"/>
      <c r="G437" s="34"/>
      <c r="H437" s="34"/>
      <c r="I437" s="34"/>
      <c r="J437" s="34"/>
      <c r="K437" s="105"/>
      <c r="L437" s="34"/>
      <c r="M437" s="34"/>
      <c r="N437" s="34"/>
      <c r="O437" s="105"/>
      <c r="P437" s="105"/>
      <c r="Q437" s="105"/>
      <c r="R437" s="105"/>
      <c r="S437" s="105"/>
      <c r="T437" s="105"/>
      <c r="U437" s="105"/>
      <c r="V437" s="105"/>
      <c r="W437" s="105"/>
      <c r="X437" s="105"/>
      <c r="Y437" s="105"/>
      <c r="Z437" s="105"/>
      <c r="AA437" s="105"/>
      <c r="AB437" s="105"/>
      <c r="AC437" s="105"/>
    </row>
    <row r="438" spans="1:29" ht="12.75">
      <c r="A438" s="34"/>
      <c r="B438" s="34"/>
      <c r="C438" s="34"/>
      <c r="D438" s="34"/>
      <c r="E438" s="188"/>
      <c r="F438" s="34"/>
      <c r="G438" s="34"/>
      <c r="H438" s="34"/>
      <c r="I438" s="34"/>
      <c r="J438" s="34"/>
      <c r="K438" s="105"/>
      <c r="L438" s="34"/>
      <c r="M438" s="34"/>
      <c r="N438" s="34"/>
      <c r="O438" s="105"/>
      <c r="P438" s="105"/>
      <c r="Q438" s="105"/>
      <c r="R438" s="105"/>
      <c r="S438" s="105"/>
      <c r="T438" s="105"/>
      <c r="U438" s="105"/>
      <c r="V438" s="105"/>
      <c r="W438" s="105"/>
      <c r="X438" s="105"/>
      <c r="Y438" s="105"/>
      <c r="Z438" s="105"/>
      <c r="AA438" s="105"/>
      <c r="AB438" s="105"/>
      <c r="AC438" s="105"/>
    </row>
    <row r="439" spans="1:29" ht="12.75">
      <c r="A439" s="34"/>
      <c r="B439" s="34"/>
      <c r="C439" s="34"/>
      <c r="D439" s="34"/>
      <c r="E439" s="188"/>
      <c r="F439" s="34"/>
      <c r="G439" s="34"/>
      <c r="H439" s="34"/>
      <c r="I439" s="34"/>
      <c r="J439" s="34"/>
      <c r="K439" s="105"/>
      <c r="L439" s="34"/>
      <c r="M439" s="34"/>
      <c r="N439" s="34"/>
      <c r="O439" s="105"/>
      <c r="P439" s="105"/>
      <c r="Q439" s="105"/>
      <c r="R439" s="105"/>
      <c r="S439" s="105"/>
      <c r="T439" s="105"/>
      <c r="U439" s="105"/>
      <c r="V439" s="105"/>
      <c r="W439" s="105"/>
      <c r="X439" s="105"/>
      <c r="Y439" s="105"/>
      <c r="Z439" s="105"/>
      <c r="AA439" s="105"/>
      <c r="AB439" s="105"/>
      <c r="AC439" s="105"/>
    </row>
    <row r="440" spans="1:29" ht="12.75">
      <c r="A440" s="34"/>
      <c r="B440" s="34"/>
      <c r="C440" s="34"/>
      <c r="D440" s="34"/>
      <c r="E440" s="188"/>
      <c r="F440" s="34"/>
      <c r="G440" s="34"/>
      <c r="H440" s="34"/>
      <c r="I440" s="34"/>
      <c r="J440" s="34"/>
      <c r="K440" s="105"/>
      <c r="L440" s="34"/>
      <c r="M440" s="34"/>
      <c r="N440" s="34"/>
      <c r="O440" s="105"/>
      <c r="P440" s="105"/>
      <c r="Q440" s="105"/>
      <c r="R440" s="105"/>
      <c r="S440" s="105"/>
      <c r="T440" s="105"/>
      <c r="U440" s="105"/>
      <c r="V440" s="105"/>
      <c r="W440" s="105"/>
      <c r="X440" s="105"/>
      <c r="Y440" s="105"/>
      <c r="Z440" s="105"/>
      <c r="AA440" s="105"/>
      <c r="AB440" s="105"/>
      <c r="AC440" s="105"/>
    </row>
    <row r="441" spans="1:29" ht="12.75">
      <c r="A441" s="34"/>
      <c r="B441" s="34"/>
      <c r="C441" s="34"/>
      <c r="D441" s="34"/>
      <c r="E441" s="188"/>
      <c r="F441" s="34"/>
      <c r="G441" s="34"/>
      <c r="H441" s="34"/>
      <c r="I441" s="34"/>
      <c r="J441" s="34"/>
      <c r="K441" s="105"/>
      <c r="L441" s="34"/>
      <c r="M441" s="34"/>
      <c r="N441" s="34"/>
      <c r="O441" s="105"/>
      <c r="P441" s="105"/>
      <c r="Q441" s="105"/>
      <c r="R441" s="105"/>
      <c r="S441" s="105"/>
      <c r="T441" s="105"/>
      <c r="U441" s="105"/>
      <c r="V441" s="105"/>
      <c r="W441" s="105"/>
      <c r="X441" s="105"/>
      <c r="Y441" s="105"/>
      <c r="Z441" s="105"/>
      <c r="AA441" s="105"/>
      <c r="AB441" s="105"/>
      <c r="AC441" s="105"/>
    </row>
    <row r="442" spans="1:29" ht="12.75">
      <c r="A442" s="34"/>
      <c r="B442" s="34"/>
      <c r="C442" s="34"/>
      <c r="D442" s="34"/>
      <c r="E442" s="188"/>
      <c r="F442" s="34"/>
      <c r="G442" s="34"/>
      <c r="H442" s="34"/>
      <c r="I442" s="34"/>
      <c r="J442" s="34"/>
      <c r="K442" s="105"/>
      <c r="L442" s="34"/>
      <c r="M442" s="34"/>
      <c r="N442" s="34"/>
      <c r="O442" s="105"/>
      <c r="P442" s="105"/>
      <c r="Q442" s="105"/>
      <c r="R442" s="105"/>
      <c r="S442" s="105"/>
      <c r="T442" s="105"/>
      <c r="U442" s="105"/>
      <c r="V442" s="105"/>
      <c r="W442" s="105"/>
      <c r="X442" s="105"/>
      <c r="Y442" s="105"/>
      <c r="Z442" s="105"/>
      <c r="AA442" s="105"/>
      <c r="AB442" s="105"/>
      <c r="AC442" s="105"/>
    </row>
    <row r="443" spans="1:29" ht="12.75">
      <c r="A443" s="34"/>
      <c r="B443" s="34"/>
      <c r="C443" s="34"/>
      <c r="D443" s="34"/>
      <c r="E443" s="188"/>
      <c r="F443" s="34"/>
      <c r="G443" s="34"/>
      <c r="H443" s="34"/>
      <c r="I443" s="34"/>
      <c r="J443" s="34"/>
      <c r="K443" s="105"/>
      <c r="L443" s="34"/>
      <c r="M443" s="34"/>
      <c r="N443" s="34"/>
      <c r="O443" s="105"/>
      <c r="P443" s="105"/>
      <c r="Q443" s="105"/>
      <c r="R443" s="105"/>
      <c r="S443" s="105"/>
      <c r="T443" s="105"/>
      <c r="U443" s="105"/>
      <c r="V443" s="105"/>
      <c r="W443" s="105"/>
      <c r="X443" s="105"/>
      <c r="Y443" s="105"/>
      <c r="Z443" s="105"/>
      <c r="AA443" s="105"/>
      <c r="AB443" s="105"/>
      <c r="AC443" s="105"/>
    </row>
    <row r="444" spans="1:29" ht="12.75">
      <c r="A444" s="34"/>
      <c r="B444" s="34"/>
      <c r="C444" s="34"/>
      <c r="D444" s="34"/>
      <c r="E444" s="188"/>
      <c r="F444" s="34"/>
      <c r="G444" s="34"/>
      <c r="H444" s="34"/>
      <c r="I444" s="34"/>
      <c r="J444" s="34"/>
      <c r="K444" s="105"/>
      <c r="L444" s="34"/>
      <c r="M444" s="34"/>
      <c r="N444" s="34"/>
      <c r="O444" s="105"/>
      <c r="P444" s="105"/>
      <c r="Q444" s="105"/>
      <c r="R444" s="105"/>
      <c r="S444" s="105"/>
      <c r="T444" s="105"/>
      <c r="U444" s="105"/>
      <c r="V444" s="105"/>
      <c r="W444" s="105"/>
      <c r="X444" s="105"/>
      <c r="Y444" s="105"/>
      <c r="Z444" s="105"/>
      <c r="AA444" s="105"/>
      <c r="AB444" s="105"/>
      <c r="AC444" s="105"/>
    </row>
    <row r="445" spans="1:29" ht="12.75">
      <c r="A445" s="34"/>
      <c r="B445" s="34"/>
      <c r="C445" s="34"/>
      <c r="D445" s="34"/>
      <c r="E445" s="188"/>
      <c r="F445" s="34"/>
      <c r="G445" s="34"/>
      <c r="H445" s="34"/>
      <c r="I445" s="34"/>
      <c r="J445" s="34"/>
      <c r="K445" s="105"/>
      <c r="L445" s="34"/>
      <c r="M445" s="34"/>
      <c r="N445" s="34"/>
      <c r="O445" s="105"/>
      <c r="P445" s="105"/>
      <c r="Q445" s="105"/>
      <c r="R445" s="105"/>
      <c r="S445" s="105"/>
      <c r="T445" s="105"/>
      <c r="U445" s="105"/>
      <c r="V445" s="105"/>
      <c r="W445" s="105"/>
      <c r="X445" s="105"/>
      <c r="Y445" s="105"/>
      <c r="Z445" s="105"/>
      <c r="AA445" s="105"/>
      <c r="AB445" s="105"/>
      <c r="AC445" s="105"/>
    </row>
    <row r="446" spans="1:29" ht="12.75">
      <c r="A446" s="34"/>
      <c r="B446" s="34"/>
      <c r="C446" s="34"/>
      <c r="D446" s="34"/>
      <c r="E446" s="188"/>
      <c r="F446" s="34"/>
      <c r="G446" s="34"/>
      <c r="H446" s="34"/>
      <c r="I446" s="34"/>
      <c r="J446" s="34"/>
      <c r="K446" s="105"/>
      <c r="L446" s="34"/>
      <c r="M446" s="34"/>
      <c r="N446" s="34"/>
      <c r="O446" s="105"/>
      <c r="P446" s="105"/>
      <c r="Q446" s="105"/>
      <c r="R446" s="105"/>
      <c r="S446" s="105"/>
      <c r="T446" s="105"/>
      <c r="U446" s="105"/>
      <c r="V446" s="105"/>
      <c r="W446" s="105"/>
      <c r="X446" s="105"/>
      <c r="Y446" s="105"/>
      <c r="Z446" s="105"/>
      <c r="AA446" s="105"/>
      <c r="AB446" s="105"/>
      <c r="AC446" s="105"/>
    </row>
    <row r="447" spans="1:29" ht="12.75">
      <c r="A447" s="34"/>
      <c r="B447" s="34"/>
      <c r="C447" s="34"/>
      <c r="D447" s="34"/>
      <c r="E447" s="188"/>
      <c r="F447" s="34"/>
      <c r="G447" s="34"/>
      <c r="H447" s="34"/>
      <c r="I447" s="34"/>
      <c r="J447" s="34"/>
      <c r="K447" s="105"/>
      <c r="L447" s="34"/>
      <c r="M447" s="34"/>
      <c r="N447" s="34"/>
      <c r="O447" s="105"/>
      <c r="P447" s="105"/>
      <c r="Q447" s="105"/>
      <c r="R447" s="105"/>
      <c r="S447" s="105"/>
      <c r="T447" s="105"/>
      <c r="U447" s="105"/>
      <c r="V447" s="105"/>
      <c r="W447" s="105"/>
      <c r="X447" s="105"/>
      <c r="Y447" s="105"/>
      <c r="Z447" s="105"/>
      <c r="AA447" s="105"/>
      <c r="AB447" s="105"/>
      <c r="AC447" s="105"/>
    </row>
    <row r="448" spans="1:29" ht="12.75">
      <c r="A448" s="34"/>
      <c r="B448" s="34"/>
      <c r="C448" s="34"/>
      <c r="D448" s="34"/>
      <c r="E448" s="188"/>
      <c r="F448" s="34"/>
      <c r="G448" s="34"/>
      <c r="H448" s="34"/>
      <c r="I448" s="34"/>
      <c r="J448" s="34"/>
      <c r="K448" s="105"/>
      <c r="L448" s="34"/>
      <c r="M448" s="34"/>
      <c r="N448" s="34"/>
      <c r="O448" s="105"/>
      <c r="P448" s="105"/>
      <c r="Q448" s="105"/>
      <c r="R448" s="105"/>
      <c r="S448" s="105"/>
      <c r="T448" s="105"/>
      <c r="U448" s="105"/>
      <c r="V448" s="105"/>
      <c r="W448" s="105"/>
      <c r="X448" s="105"/>
      <c r="Y448" s="105"/>
      <c r="Z448" s="105"/>
      <c r="AA448" s="105"/>
      <c r="AB448" s="105"/>
      <c r="AC448" s="105"/>
    </row>
    <row r="449" spans="1:29" ht="12.75">
      <c r="A449" s="34"/>
      <c r="B449" s="34"/>
      <c r="C449" s="34"/>
      <c r="D449" s="34"/>
      <c r="E449" s="188"/>
      <c r="F449" s="34"/>
      <c r="G449" s="34"/>
      <c r="H449" s="34"/>
      <c r="I449" s="34"/>
      <c r="J449" s="34"/>
      <c r="K449" s="105"/>
      <c r="L449" s="34"/>
      <c r="M449" s="34"/>
      <c r="N449" s="34"/>
      <c r="O449" s="105"/>
      <c r="P449" s="105"/>
      <c r="Q449" s="105"/>
      <c r="R449" s="105"/>
      <c r="S449" s="105"/>
      <c r="T449" s="105"/>
      <c r="U449" s="105"/>
      <c r="V449" s="105"/>
      <c r="W449" s="105"/>
      <c r="X449" s="105"/>
      <c r="Y449" s="105"/>
      <c r="Z449" s="105"/>
      <c r="AA449" s="105"/>
      <c r="AB449" s="105"/>
      <c r="AC449" s="105"/>
    </row>
    <row r="450" spans="1:29" ht="12.75">
      <c r="A450" s="34"/>
      <c r="B450" s="34"/>
      <c r="C450" s="34"/>
      <c r="D450" s="34"/>
      <c r="E450" s="188"/>
      <c r="F450" s="34"/>
      <c r="G450" s="34"/>
      <c r="H450" s="34"/>
      <c r="I450" s="34"/>
      <c r="J450" s="34"/>
      <c r="K450" s="105"/>
      <c r="L450" s="34"/>
      <c r="M450" s="34"/>
      <c r="N450" s="34"/>
      <c r="O450" s="105"/>
      <c r="P450" s="105"/>
      <c r="Q450" s="105"/>
      <c r="R450" s="105"/>
      <c r="S450" s="105"/>
      <c r="T450" s="105"/>
      <c r="U450" s="105"/>
      <c r="V450" s="105"/>
      <c r="W450" s="105"/>
      <c r="X450" s="105"/>
      <c r="Y450" s="105"/>
      <c r="Z450" s="105"/>
      <c r="AA450" s="105"/>
      <c r="AB450" s="105"/>
      <c r="AC450" s="105"/>
    </row>
    <row r="451" spans="1:29" ht="12.75">
      <c r="A451" s="34"/>
      <c r="B451" s="34"/>
      <c r="C451" s="34"/>
      <c r="D451" s="34"/>
      <c r="E451" s="188"/>
      <c r="F451" s="34"/>
      <c r="G451" s="34"/>
      <c r="H451" s="34"/>
      <c r="I451" s="34"/>
      <c r="J451" s="34"/>
      <c r="K451" s="105"/>
      <c r="L451" s="34"/>
      <c r="M451" s="34"/>
      <c r="N451" s="34"/>
      <c r="O451" s="105"/>
      <c r="P451" s="105"/>
      <c r="Q451" s="105"/>
      <c r="R451" s="105"/>
      <c r="S451" s="105"/>
      <c r="T451" s="105"/>
      <c r="U451" s="105"/>
      <c r="V451" s="105"/>
      <c r="W451" s="105"/>
      <c r="X451" s="105"/>
      <c r="Y451" s="105"/>
      <c r="Z451" s="105"/>
      <c r="AA451" s="105"/>
      <c r="AB451" s="105"/>
      <c r="AC451" s="105"/>
    </row>
    <row r="452" spans="1:29" ht="12.75">
      <c r="A452" s="34"/>
      <c r="B452" s="34"/>
      <c r="C452" s="34"/>
      <c r="D452" s="34"/>
      <c r="E452" s="188"/>
      <c r="F452" s="34"/>
      <c r="G452" s="34"/>
      <c r="H452" s="34"/>
      <c r="I452" s="34"/>
      <c r="J452" s="34"/>
      <c r="K452" s="105"/>
      <c r="L452" s="34"/>
      <c r="M452" s="34"/>
      <c r="N452" s="34"/>
      <c r="O452" s="105"/>
      <c r="P452" s="105"/>
      <c r="Q452" s="105"/>
      <c r="R452" s="105"/>
      <c r="S452" s="105"/>
      <c r="T452" s="105"/>
      <c r="U452" s="105"/>
      <c r="V452" s="105"/>
      <c r="W452" s="105"/>
      <c r="X452" s="105"/>
      <c r="Y452" s="105"/>
      <c r="Z452" s="105"/>
      <c r="AA452" s="105"/>
      <c r="AB452" s="105"/>
      <c r="AC452" s="105"/>
    </row>
    <row r="453" spans="1:29" ht="12.75">
      <c r="A453" s="34"/>
      <c r="B453" s="34"/>
      <c r="C453" s="34"/>
      <c r="D453" s="34"/>
      <c r="E453" s="188"/>
      <c r="F453" s="34"/>
      <c r="G453" s="34"/>
      <c r="H453" s="34"/>
      <c r="I453" s="34"/>
      <c r="J453" s="34"/>
      <c r="K453" s="105"/>
      <c r="L453" s="34"/>
      <c r="M453" s="34"/>
      <c r="N453" s="34"/>
      <c r="O453" s="105"/>
      <c r="P453" s="105"/>
      <c r="Q453" s="105"/>
      <c r="R453" s="105"/>
      <c r="S453" s="105"/>
      <c r="T453" s="105"/>
      <c r="U453" s="105"/>
      <c r="V453" s="105"/>
      <c r="W453" s="105"/>
      <c r="X453" s="105"/>
      <c r="Y453" s="105"/>
      <c r="Z453" s="105"/>
      <c r="AA453" s="105"/>
      <c r="AB453" s="105"/>
      <c r="AC453" s="105"/>
    </row>
    <row r="454" spans="1:29" ht="12.75">
      <c r="A454" s="34"/>
      <c r="B454" s="34"/>
      <c r="C454" s="34"/>
      <c r="D454" s="34"/>
      <c r="E454" s="188"/>
      <c r="F454" s="34"/>
      <c r="G454" s="34"/>
      <c r="H454" s="34"/>
      <c r="I454" s="34"/>
      <c r="J454" s="34"/>
      <c r="K454" s="105"/>
      <c r="L454" s="34"/>
      <c r="M454" s="34"/>
      <c r="N454" s="34"/>
      <c r="O454" s="105"/>
      <c r="P454" s="105"/>
      <c r="Q454" s="105"/>
      <c r="R454" s="105"/>
      <c r="S454" s="105"/>
      <c r="T454" s="105"/>
      <c r="U454" s="105"/>
      <c r="V454" s="105"/>
      <c r="W454" s="105"/>
      <c r="X454" s="105"/>
      <c r="Y454" s="105"/>
      <c r="Z454" s="105"/>
      <c r="AA454" s="105"/>
      <c r="AB454" s="105"/>
      <c r="AC454" s="105"/>
    </row>
    <row r="455" spans="1:29" ht="12.75">
      <c r="A455" s="34"/>
      <c r="B455" s="34"/>
      <c r="C455" s="34"/>
      <c r="D455" s="34"/>
      <c r="E455" s="188"/>
      <c r="F455" s="34"/>
      <c r="G455" s="34"/>
      <c r="H455" s="34"/>
      <c r="I455" s="34"/>
      <c r="J455" s="34"/>
      <c r="K455" s="105"/>
      <c r="L455" s="34"/>
      <c r="M455" s="34"/>
      <c r="N455" s="34"/>
      <c r="O455" s="105"/>
      <c r="P455" s="105"/>
      <c r="Q455" s="105"/>
      <c r="R455" s="105"/>
      <c r="S455" s="105"/>
      <c r="T455" s="105"/>
      <c r="U455" s="105"/>
      <c r="V455" s="105"/>
      <c r="W455" s="105"/>
      <c r="X455" s="105"/>
      <c r="Y455" s="105"/>
      <c r="Z455" s="105"/>
      <c r="AA455" s="105"/>
      <c r="AB455" s="105"/>
      <c r="AC455" s="105"/>
    </row>
    <row r="456" spans="1:29" ht="12.75">
      <c r="A456" s="34"/>
      <c r="B456" s="34"/>
      <c r="C456" s="34"/>
      <c r="D456" s="34"/>
      <c r="E456" s="188"/>
      <c r="F456" s="34"/>
      <c r="G456" s="34"/>
      <c r="H456" s="34"/>
      <c r="I456" s="34"/>
      <c r="J456" s="34"/>
      <c r="K456" s="105"/>
      <c r="L456" s="34"/>
      <c r="M456" s="34"/>
      <c r="N456" s="34"/>
      <c r="O456" s="105"/>
      <c r="P456" s="105"/>
      <c r="Q456" s="105"/>
      <c r="R456" s="105"/>
      <c r="S456" s="105"/>
      <c r="T456" s="105"/>
      <c r="U456" s="105"/>
      <c r="V456" s="105"/>
      <c r="W456" s="105"/>
      <c r="X456" s="105"/>
      <c r="Y456" s="105"/>
      <c r="Z456" s="105"/>
      <c r="AA456" s="105"/>
      <c r="AB456" s="105"/>
      <c r="AC456" s="105"/>
    </row>
    <row r="457" spans="1:29" ht="12.75">
      <c r="A457" s="34"/>
      <c r="B457" s="34"/>
      <c r="C457" s="34"/>
      <c r="D457" s="34"/>
      <c r="E457" s="188"/>
      <c r="F457" s="34"/>
      <c r="G457" s="34"/>
      <c r="H457" s="34"/>
      <c r="I457" s="34"/>
      <c r="J457" s="34"/>
      <c r="K457" s="105"/>
      <c r="L457" s="34"/>
      <c r="M457" s="34"/>
      <c r="N457" s="34"/>
      <c r="O457" s="105"/>
      <c r="P457" s="105"/>
      <c r="Q457" s="105"/>
      <c r="R457" s="105"/>
      <c r="S457" s="105"/>
      <c r="T457" s="105"/>
      <c r="U457" s="105"/>
      <c r="V457" s="105"/>
      <c r="W457" s="105"/>
      <c r="X457" s="105"/>
      <c r="Y457" s="105"/>
      <c r="Z457" s="105"/>
      <c r="AA457" s="105"/>
      <c r="AB457" s="105"/>
      <c r="AC457" s="105"/>
    </row>
    <row r="458" spans="1:29" ht="12.75">
      <c r="A458" s="34"/>
      <c r="B458" s="34"/>
      <c r="C458" s="34"/>
      <c r="D458" s="34"/>
      <c r="E458" s="188"/>
      <c r="F458" s="34"/>
      <c r="G458" s="34"/>
      <c r="H458" s="34"/>
      <c r="I458" s="34"/>
      <c r="J458" s="34"/>
      <c r="K458" s="105"/>
      <c r="L458" s="34"/>
      <c r="M458" s="34"/>
      <c r="N458" s="34"/>
      <c r="O458" s="105"/>
      <c r="P458" s="105"/>
      <c r="Q458" s="105"/>
      <c r="R458" s="105"/>
      <c r="S458" s="105"/>
      <c r="T458" s="105"/>
      <c r="U458" s="105"/>
      <c r="V458" s="105"/>
      <c r="W458" s="105"/>
      <c r="X458" s="105"/>
      <c r="Y458" s="105"/>
      <c r="Z458" s="105"/>
      <c r="AA458" s="105"/>
      <c r="AB458" s="105"/>
      <c r="AC458" s="105"/>
    </row>
    <row r="459" spans="1:29" ht="12.75">
      <c r="A459" s="34"/>
      <c r="B459" s="34"/>
      <c r="C459" s="34"/>
      <c r="D459" s="34"/>
      <c r="E459" s="188"/>
      <c r="F459" s="34"/>
      <c r="G459" s="34"/>
      <c r="H459" s="34"/>
      <c r="I459" s="34"/>
      <c r="J459" s="34"/>
      <c r="K459" s="105"/>
      <c r="L459" s="34"/>
      <c r="M459" s="34"/>
      <c r="N459" s="34"/>
      <c r="O459" s="105"/>
      <c r="P459" s="105"/>
      <c r="Q459" s="105"/>
      <c r="R459" s="105"/>
      <c r="S459" s="105"/>
      <c r="T459" s="105"/>
      <c r="U459" s="105"/>
      <c r="V459" s="105"/>
      <c r="W459" s="105"/>
      <c r="X459" s="105"/>
      <c r="Y459" s="105"/>
      <c r="Z459" s="105"/>
      <c r="AA459" s="105"/>
      <c r="AB459" s="105"/>
      <c r="AC459" s="105"/>
    </row>
    <row r="460" spans="1:29" ht="12.75">
      <c r="A460" s="34"/>
      <c r="B460" s="34"/>
      <c r="C460" s="34"/>
      <c r="D460" s="34"/>
      <c r="E460" s="188"/>
      <c r="F460" s="34"/>
      <c r="G460" s="34"/>
      <c r="H460" s="34"/>
      <c r="I460" s="34"/>
      <c r="J460" s="34"/>
      <c r="K460" s="105"/>
      <c r="L460" s="34"/>
      <c r="M460" s="34"/>
      <c r="N460" s="34"/>
      <c r="O460" s="105"/>
      <c r="P460" s="105"/>
      <c r="Q460" s="105"/>
      <c r="R460" s="105"/>
      <c r="S460" s="105"/>
      <c r="T460" s="105"/>
      <c r="U460" s="105"/>
      <c r="V460" s="105"/>
      <c r="W460" s="105"/>
      <c r="X460" s="105"/>
      <c r="Y460" s="105"/>
      <c r="Z460" s="105"/>
      <c r="AA460" s="105"/>
      <c r="AB460" s="105"/>
      <c r="AC460" s="105"/>
    </row>
    <row r="461" spans="1:29" ht="12.75">
      <c r="A461" s="34"/>
      <c r="B461" s="34"/>
      <c r="C461" s="34"/>
      <c r="D461" s="34"/>
      <c r="E461" s="188"/>
      <c r="F461" s="34"/>
      <c r="G461" s="34"/>
      <c r="H461" s="34"/>
      <c r="I461" s="34"/>
      <c r="J461" s="34"/>
      <c r="K461" s="105"/>
      <c r="L461" s="34"/>
      <c r="M461" s="34"/>
      <c r="N461" s="34"/>
      <c r="O461" s="105"/>
      <c r="P461" s="105"/>
      <c r="Q461" s="105"/>
      <c r="R461" s="105"/>
      <c r="S461" s="105"/>
      <c r="T461" s="105"/>
      <c r="U461" s="105"/>
      <c r="V461" s="105"/>
      <c r="W461" s="105"/>
      <c r="X461" s="105"/>
      <c r="Y461" s="105"/>
      <c r="Z461" s="105"/>
      <c r="AA461" s="105"/>
      <c r="AB461" s="105"/>
      <c r="AC461" s="105"/>
    </row>
    <row r="462" spans="1:29" ht="12.75">
      <c r="A462" s="34"/>
      <c r="B462" s="34"/>
      <c r="C462" s="34"/>
      <c r="D462" s="34"/>
      <c r="E462" s="188"/>
      <c r="F462" s="34"/>
      <c r="G462" s="34"/>
      <c r="H462" s="34"/>
      <c r="I462" s="34"/>
      <c r="J462" s="34"/>
      <c r="K462" s="105"/>
      <c r="L462" s="34"/>
      <c r="M462" s="34"/>
      <c r="N462" s="34"/>
      <c r="O462" s="105"/>
      <c r="P462" s="105"/>
      <c r="Q462" s="105"/>
      <c r="R462" s="105"/>
      <c r="S462" s="105"/>
      <c r="T462" s="105"/>
      <c r="U462" s="105"/>
      <c r="V462" s="105"/>
      <c r="W462" s="105"/>
      <c r="X462" s="105"/>
      <c r="Y462" s="105"/>
      <c r="Z462" s="105"/>
      <c r="AA462" s="105"/>
      <c r="AB462" s="105"/>
      <c r="AC462" s="105"/>
    </row>
    <row r="463" spans="1:29" ht="12.75">
      <c r="A463" s="34"/>
      <c r="B463" s="34"/>
      <c r="C463" s="34"/>
      <c r="D463" s="34"/>
      <c r="E463" s="188"/>
      <c r="F463" s="34"/>
      <c r="G463" s="34"/>
      <c r="H463" s="34"/>
      <c r="I463" s="34"/>
      <c r="J463" s="34"/>
      <c r="K463" s="105"/>
      <c r="L463" s="34"/>
      <c r="M463" s="34"/>
      <c r="N463" s="34"/>
      <c r="O463" s="105"/>
      <c r="P463" s="105"/>
      <c r="Q463" s="105"/>
      <c r="R463" s="105"/>
      <c r="S463" s="105"/>
      <c r="T463" s="105"/>
      <c r="U463" s="105"/>
      <c r="V463" s="105"/>
      <c r="W463" s="105"/>
      <c r="X463" s="105"/>
      <c r="Y463" s="105"/>
      <c r="Z463" s="105"/>
      <c r="AA463" s="105"/>
      <c r="AB463" s="105"/>
      <c r="AC463" s="105"/>
    </row>
    <row r="464" spans="1:29" ht="12.75">
      <c r="A464" s="34"/>
      <c r="B464" s="34"/>
      <c r="C464" s="34"/>
      <c r="D464" s="34"/>
      <c r="E464" s="188"/>
      <c r="F464" s="34"/>
      <c r="G464" s="34"/>
      <c r="H464" s="34"/>
      <c r="I464" s="34"/>
      <c r="J464" s="34"/>
      <c r="K464" s="105"/>
      <c r="L464" s="34"/>
      <c r="M464" s="34"/>
      <c r="N464" s="34"/>
      <c r="O464" s="105"/>
      <c r="P464" s="105"/>
      <c r="Q464" s="105"/>
      <c r="R464" s="105"/>
      <c r="S464" s="105"/>
      <c r="T464" s="105"/>
      <c r="U464" s="105"/>
      <c r="V464" s="105"/>
      <c r="W464" s="105"/>
      <c r="X464" s="105"/>
      <c r="Y464" s="105"/>
      <c r="Z464" s="105"/>
      <c r="AA464" s="105"/>
      <c r="AB464" s="105"/>
      <c r="AC464" s="105"/>
    </row>
    <row r="465" spans="1:29" ht="12.75">
      <c r="A465" s="34"/>
      <c r="B465" s="34"/>
      <c r="C465" s="34"/>
      <c r="D465" s="34"/>
      <c r="E465" s="188"/>
      <c r="F465" s="34"/>
      <c r="G465" s="34"/>
      <c r="H465" s="34"/>
      <c r="I465" s="34"/>
      <c r="J465" s="34"/>
      <c r="K465" s="105"/>
      <c r="L465" s="34"/>
      <c r="M465" s="34"/>
      <c r="N465" s="34"/>
      <c r="O465" s="105"/>
      <c r="P465" s="105"/>
      <c r="Q465" s="105"/>
      <c r="R465" s="105"/>
      <c r="S465" s="105"/>
      <c r="T465" s="105"/>
      <c r="U465" s="105"/>
      <c r="V465" s="105"/>
      <c r="W465" s="105"/>
      <c r="X465" s="105"/>
      <c r="Y465" s="105"/>
      <c r="Z465" s="105"/>
      <c r="AA465" s="105"/>
      <c r="AB465" s="105"/>
      <c r="AC465" s="105"/>
    </row>
    <row r="466" spans="1:29" ht="12.75">
      <c r="A466" s="34"/>
      <c r="B466" s="34"/>
      <c r="C466" s="34"/>
      <c r="D466" s="34"/>
      <c r="E466" s="188"/>
      <c r="F466" s="34"/>
      <c r="G466" s="34"/>
      <c r="H466" s="34"/>
      <c r="I466" s="34"/>
      <c r="J466" s="34"/>
      <c r="K466" s="105"/>
      <c r="L466" s="34"/>
      <c r="M466" s="34"/>
      <c r="N466" s="34"/>
      <c r="O466" s="105"/>
      <c r="P466" s="105"/>
      <c r="Q466" s="105"/>
      <c r="R466" s="105"/>
      <c r="S466" s="105"/>
      <c r="T466" s="105"/>
      <c r="U466" s="105"/>
      <c r="V466" s="105"/>
      <c r="W466" s="105"/>
      <c r="X466" s="105"/>
      <c r="Y466" s="105"/>
      <c r="Z466" s="105"/>
      <c r="AA466" s="105"/>
      <c r="AB466" s="105"/>
      <c r="AC466" s="105"/>
    </row>
    <row r="467" spans="1:29" ht="12.75">
      <c r="A467" s="34"/>
      <c r="B467" s="34"/>
      <c r="C467" s="34"/>
      <c r="D467" s="34"/>
      <c r="E467" s="188"/>
      <c r="F467" s="34"/>
      <c r="G467" s="34"/>
      <c r="H467" s="34"/>
      <c r="I467" s="34"/>
      <c r="J467" s="34"/>
      <c r="K467" s="105"/>
      <c r="L467" s="34"/>
      <c r="M467" s="34"/>
      <c r="N467" s="34"/>
      <c r="O467" s="105"/>
      <c r="P467" s="105"/>
      <c r="Q467" s="105"/>
      <c r="R467" s="105"/>
      <c r="S467" s="105"/>
      <c r="T467" s="105"/>
      <c r="U467" s="105"/>
      <c r="V467" s="105"/>
      <c r="W467" s="105"/>
      <c r="X467" s="105"/>
      <c r="Y467" s="105"/>
      <c r="Z467" s="105"/>
      <c r="AA467" s="105"/>
      <c r="AB467" s="105"/>
      <c r="AC467" s="105"/>
    </row>
    <row r="468" spans="1:29" ht="12.75">
      <c r="A468" s="34"/>
      <c r="B468" s="34"/>
      <c r="C468" s="34"/>
      <c r="D468" s="34"/>
      <c r="E468" s="188"/>
      <c r="F468" s="34"/>
      <c r="G468" s="34"/>
      <c r="H468" s="34"/>
      <c r="I468" s="34"/>
      <c r="J468" s="34"/>
      <c r="K468" s="105"/>
      <c r="L468" s="34"/>
      <c r="M468" s="34"/>
      <c r="N468" s="34"/>
      <c r="O468" s="105"/>
      <c r="P468" s="105"/>
      <c r="Q468" s="105"/>
      <c r="R468" s="105"/>
      <c r="S468" s="105"/>
      <c r="T468" s="105"/>
      <c r="U468" s="105"/>
      <c r="V468" s="105"/>
      <c r="W468" s="105"/>
      <c r="X468" s="105"/>
      <c r="Y468" s="105"/>
      <c r="Z468" s="105"/>
      <c r="AA468" s="105"/>
      <c r="AB468" s="105"/>
      <c r="AC468" s="105"/>
    </row>
    <row r="469" spans="1:29" ht="12.75">
      <c r="A469" s="34"/>
      <c r="B469" s="34"/>
      <c r="C469" s="34"/>
      <c r="D469" s="34"/>
      <c r="E469" s="188"/>
      <c r="F469" s="34"/>
      <c r="G469" s="34"/>
      <c r="H469" s="34"/>
      <c r="I469" s="34"/>
      <c r="J469" s="34"/>
      <c r="K469" s="105"/>
      <c r="L469" s="34"/>
      <c r="M469" s="34"/>
      <c r="N469" s="34"/>
      <c r="O469" s="105"/>
      <c r="P469" s="105"/>
      <c r="Q469" s="105"/>
      <c r="R469" s="105"/>
      <c r="S469" s="105"/>
      <c r="T469" s="105"/>
      <c r="U469" s="105"/>
      <c r="V469" s="105"/>
      <c r="W469" s="105"/>
      <c r="X469" s="105"/>
      <c r="Y469" s="105"/>
      <c r="Z469" s="105"/>
      <c r="AA469" s="105"/>
      <c r="AB469" s="105"/>
      <c r="AC469" s="105"/>
    </row>
    <row r="470" spans="1:29" ht="12.75">
      <c r="A470" s="34"/>
      <c r="B470" s="34"/>
      <c r="C470" s="34"/>
      <c r="D470" s="34"/>
      <c r="E470" s="188"/>
      <c r="F470" s="34"/>
      <c r="G470" s="34"/>
      <c r="H470" s="34"/>
      <c r="I470" s="34"/>
      <c r="J470" s="34"/>
      <c r="K470" s="105"/>
      <c r="L470" s="34"/>
      <c r="M470" s="34"/>
      <c r="N470" s="34"/>
      <c r="O470" s="105"/>
      <c r="P470" s="105"/>
      <c r="Q470" s="105"/>
      <c r="R470" s="105"/>
      <c r="S470" s="105"/>
      <c r="T470" s="105"/>
      <c r="U470" s="105"/>
      <c r="V470" s="105"/>
      <c r="W470" s="105"/>
      <c r="X470" s="105"/>
      <c r="Y470" s="105"/>
      <c r="Z470" s="105"/>
      <c r="AA470" s="105"/>
      <c r="AB470" s="105"/>
      <c r="AC470" s="105"/>
    </row>
    <row r="471" spans="1:29" ht="12.75">
      <c r="A471" s="34"/>
      <c r="B471" s="34"/>
      <c r="C471" s="34"/>
      <c r="D471" s="34"/>
      <c r="E471" s="188"/>
      <c r="F471" s="34"/>
      <c r="G471" s="34"/>
      <c r="H471" s="34"/>
      <c r="I471" s="34"/>
      <c r="J471" s="34"/>
      <c r="K471" s="105"/>
      <c r="L471" s="34"/>
      <c r="M471" s="34"/>
      <c r="N471" s="34"/>
      <c r="O471" s="105"/>
      <c r="P471" s="105"/>
      <c r="Q471" s="105"/>
      <c r="R471" s="105"/>
      <c r="S471" s="105"/>
      <c r="T471" s="105"/>
      <c r="U471" s="105"/>
      <c r="V471" s="105"/>
      <c r="W471" s="105"/>
      <c r="X471" s="105"/>
      <c r="Y471" s="105"/>
      <c r="Z471" s="105"/>
      <c r="AA471" s="105"/>
      <c r="AB471" s="105"/>
      <c r="AC471" s="105"/>
    </row>
    <row r="472" spans="1:29" ht="12.75">
      <c r="A472" s="34"/>
      <c r="B472" s="34"/>
      <c r="C472" s="34"/>
      <c r="D472" s="34"/>
      <c r="E472" s="188"/>
      <c r="F472" s="34"/>
      <c r="G472" s="34"/>
      <c r="H472" s="34"/>
      <c r="I472" s="34"/>
      <c r="J472" s="34"/>
      <c r="K472" s="105"/>
      <c r="L472" s="34"/>
      <c r="M472" s="34"/>
      <c r="N472" s="34"/>
      <c r="O472" s="105"/>
      <c r="P472" s="105"/>
      <c r="Q472" s="105"/>
      <c r="R472" s="105"/>
      <c r="S472" s="105"/>
      <c r="T472" s="105"/>
      <c r="U472" s="105"/>
      <c r="V472" s="105"/>
      <c r="W472" s="105"/>
      <c r="X472" s="105"/>
      <c r="Y472" s="105"/>
      <c r="Z472" s="105"/>
      <c r="AA472" s="105"/>
      <c r="AB472" s="105"/>
      <c r="AC472" s="105"/>
    </row>
    <row r="473" spans="1:29" ht="12.75">
      <c r="A473" s="34"/>
      <c r="B473" s="34"/>
      <c r="C473" s="34"/>
      <c r="D473" s="34"/>
      <c r="E473" s="188"/>
      <c r="F473" s="34"/>
      <c r="G473" s="34"/>
      <c r="H473" s="34"/>
      <c r="I473" s="34"/>
      <c r="J473" s="34"/>
      <c r="K473" s="105"/>
      <c r="L473" s="34"/>
      <c r="M473" s="34"/>
      <c r="N473" s="34"/>
      <c r="O473" s="105"/>
      <c r="P473" s="105"/>
      <c r="Q473" s="105"/>
      <c r="R473" s="105"/>
      <c r="S473" s="105"/>
      <c r="T473" s="105"/>
      <c r="U473" s="105"/>
      <c r="V473" s="105"/>
      <c r="W473" s="105"/>
      <c r="X473" s="105"/>
      <c r="Y473" s="105"/>
      <c r="Z473" s="105"/>
      <c r="AA473" s="105"/>
      <c r="AB473" s="105"/>
      <c r="AC473" s="105"/>
    </row>
    <row r="474" spans="1:29" ht="12.75">
      <c r="A474" s="34"/>
      <c r="B474" s="34"/>
      <c r="C474" s="34"/>
      <c r="D474" s="34"/>
      <c r="E474" s="188"/>
      <c r="F474" s="34"/>
      <c r="G474" s="34"/>
      <c r="H474" s="34"/>
      <c r="I474" s="34"/>
      <c r="J474" s="34"/>
      <c r="K474" s="105"/>
      <c r="L474" s="34"/>
      <c r="M474" s="34"/>
      <c r="N474" s="34"/>
      <c r="O474" s="105"/>
      <c r="P474" s="105"/>
      <c r="Q474" s="105"/>
      <c r="R474" s="105"/>
      <c r="S474" s="105"/>
      <c r="T474" s="105"/>
      <c r="U474" s="105"/>
      <c r="V474" s="105"/>
      <c r="W474" s="105"/>
      <c r="X474" s="105"/>
      <c r="Y474" s="105"/>
      <c r="Z474" s="105"/>
      <c r="AA474" s="105"/>
      <c r="AB474" s="105"/>
      <c r="AC474" s="105"/>
    </row>
    <row r="475" spans="1:29" ht="12.75">
      <c r="A475" s="34"/>
      <c r="B475" s="34"/>
      <c r="C475" s="34"/>
      <c r="D475" s="34"/>
      <c r="E475" s="188"/>
      <c r="F475" s="34"/>
      <c r="G475" s="34"/>
      <c r="H475" s="34"/>
      <c r="I475" s="34"/>
      <c r="J475" s="34"/>
      <c r="K475" s="105"/>
      <c r="L475" s="34"/>
      <c r="M475" s="34"/>
      <c r="N475" s="34"/>
      <c r="O475" s="105"/>
      <c r="P475" s="105"/>
      <c r="Q475" s="105"/>
      <c r="R475" s="105"/>
      <c r="S475" s="105"/>
      <c r="T475" s="105"/>
      <c r="U475" s="105"/>
      <c r="V475" s="105"/>
      <c r="W475" s="105"/>
      <c r="X475" s="105"/>
      <c r="Y475" s="105"/>
      <c r="Z475" s="105"/>
      <c r="AA475" s="105"/>
      <c r="AB475" s="105"/>
      <c r="AC475" s="105"/>
    </row>
    <row r="476" spans="1:29" ht="12.75">
      <c r="A476" s="34"/>
      <c r="B476" s="34"/>
      <c r="C476" s="34"/>
      <c r="D476" s="34"/>
      <c r="E476" s="188"/>
      <c r="F476" s="34"/>
      <c r="G476" s="34"/>
      <c r="H476" s="34"/>
      <c r="I476" s="34"/>
      <c r="J476" s="34"/>
      <c r="K476" s="105"/>
      <c r="L476" s="34"/>
      <c r="M476" s="34"/>
      <c r="N476" s="34"/>
      <c r="O476" s="105"/>
      <c r="P476" s="105"/>
      <c r="Q476" s="105"/>
      <c r="R476" s="105"/>
      <c r="S476" s="105"/>
      <c r="T476" s="105"/>
      <c r="U476" s="105"/>
      <c r="V476" s="105"/>
      <c r="W476" s="105"/>
      <c r="X476" s="105"/>
      <c r="Y476" s="105"/>
      <c r="Z476" s="105"/>
      <c r="AA476" s="105"/>
      <c r="AB476" s="105"/>
      <c r="AC476" s="105"/>
    </row>
    <row r="477" spans="1:29" ht="12.75">
      <c r="A477" s="34"/>
      <c r="B477" s="34"/>
      <c r="C477" s="34"/>
      <c r="D477" s="34"/>
      <c r="E477" s="188"/>
      <c r="F477" s="34"/>
      <c r="G477" s="34"/>
      <c r="H477" s="34"/>
      <c r="I477" s="34"/>
      <c r="J477" s="34"/>
      <c r="K477" s="105"/>
      <c r="L477" s="34"/>
      <c r="M477" s="34"/>
      <c r="N477" s="34"/>
      <c r="O477" s="105"/>
      <c r="P477" s="105"/>
      <c r="Q477" s="105"/>
      <c r="R477" s="105"/>
      <c r="S477" s="105"/>
      <c r="T477" s="105"/>
      <c r="U477" s="105"/>
      <c r="V477" s="105"/>
      <c r="W477" s="105"/>
      <c r="X477" s="105"/>
      <c r="Y477" s="105"/>
      <c r="Z477" s="105"/>
      <c r="AA477" s="105"/>
      <c r="AB477" s="105"/>
      <c r="AC477" s="105"/>
    </row>
    <row r="478" spans="1:29" ht="12.75">
      <c r="A478" s="34"/>
      <c r="B478" s="34"/>
      <c r="C478" s="34"/>
      <c r="D478" s="34"/>
      <c r="E478" s="188"/>
      <c r="F478" s="34"/>
      <c r="G478" s="34"/>
      <c r="H478" s="34"/>
      <c r="I478" s="34"/>
      <c r="J478" s="34"/>
      <c r="K478" s="105"/>
      <c r="L478" s="34"/>
      <c r="M478" s="34"/>
      <c r="N478" s="34"/>
      <c r="O478" s="105"/>
      <c r="P478" s="105"/>
      <c r="Q478" s="105"/>
      <c r="R478" s="105"/>
      <c r="S478" s="105"/>
      <c r="T478" s="105"/>
      <c r="U478" s="105"/>
      <c r="V478" s="105"/>
      <c r="W478" s="105"/>
      <c r="X478" s="105"/>
      <c r="Y478" s="105"/>
      <c r="Z478" s="105"/>
      <c r="AA478" s="105"/>
      <c r="AB478" s="105"/>
      <c r="AC478" s="105"/>
    </row>
    <row r="479" spans="1:29" ht="12.75">
      <c r="A479" s="34"/>
      <c r="B479" s="34"/>
      <c r="C479" s="34"/>
      <c r="D479" s="34"/>
      <c r="E479" s="188"/>
      <c r="F479" s="34"/>
      <c r="G479" s="34"/>
      <c r="H479" s="34"/>
      <c r="I479" s="34"/>
      <c r="J479" s="34"/>
      <c r="K479" s="105"/>
      <c r="L479" s="34"/>
      <c r="M479" s="34"/>
      <c r="N479" s="34"/>
      <c r="O479" s="105"/>
      <c r="P479" s="105"/>
      <c r="Q479" s="105"/>
      <c r="R479" s="105"/>
      <c r="S479" s="105"/>
      <c r="T479" s="105"/>
      <c r="U479" s="105"/>
      <c r="V479" s="105"/>
      <c r="W479" s="105"/>
      <c r="X479" s="105"/>
      <c r="Y479" s="105"/>
      <c r="Z479" s="105"/>
      <c r="AA479" s="105"/>
      <c r="AB479" s="105"/>
      <c r="AC479" s="105"/>
    </row>
    <row r="480" spans="1:29" ht="12.75">
      <c r="A480" s="34"/>
      <c r="B480" s="34"/>
      <c r="C480" s="34"/>
      <c r="D480" s="34"/>
      <c r="E480" s="188"/>
      <c r="F480" s="34"/>
      <c r="G480" s="34"/>
      <c r="H480" s="34"/>
      <c r="I480" s="34"/>
      <c r="J480" s="34"/>
      <c r="K480" s="105"/>
      <c r="L480" s="34"/>
      <c r="M480" s="34"/>
      <c r="N480" s="34"/>
      <c r="O480" s="105"/>
      <c r="P480" s="105"/>
      <c r="Q480" s="105"/>
      <c r="R480" s="105"/>
      <c r="S480" s="105"/>
      <c r="T480" s="105"/>
      <c r="U480" s="105"/>
      <c r="V480" s="105"/>
      <c r="W480" s="105"/>
      <c r="X480" s="105"/>
      <c r="Y480" s="105"/>
      <c r="Z480" s="105"/>
      <c r="AA480" s="105"/>
      <c r="AB480" s="105"/>
      <c r="AC480" s="105"/>
    </row>
    <row r="481" spans="1:29" ht="12.75">
      <c r="A481" s="34"/>
      <c r="B481" s="34"/>
      <c r="C481" s="34"/>
      <c r="D481" s="34"/>
      <c r="E481" s="188"/>
      <c r="F481" s="34"/>
      <c r="G481" s="34"/>
      <c r="H481" s="34"/>
      <c r="I481" s="34"/>
      <c r="J481" s="34"/>
      <c r="K481" s="105"/>
      <c r="L481" s="34"/>
      <c r="M481" s="34"/>
      <c r="N481" s="34"/>
      <c r="O481" s="105"/>
      <c r="P481" s="105"/>
      <c r="Q481" s="105"/>
      <c r="R481" s="105"/>
      <c r="S481" s="105"/>
      <c r="T481" s="105"/>
      <c r="U481" s="105"/>
      <c r="V481" s="105"/>
      <c r="W481" s="105"/>
      <c r="X481" s="105"/>
      <c r="Y481" s="105"/>
      <c r="Z481" s="105"/>
      <c r="AA481" s="105"/>
      <c r="AB481" s="105"/>
      <c r="AC481" s="105"/>
    </row>
    <row r="482" spans="1:29" ht="12.75">
      <c r="A482" s="34"/>
      <c r="B482" s="34"/>
      <c r="C482" s="34"/>
      <c r="D482" s="34"/>
      <c r="E482" s="188"/>
      <c r="F482" s="34"/>
      <c r="G482" s="34"/>
      <c r="H482" s="34"/>
      <c r="I482" s="34"/>
      <c r="J482" s="34"/>
      <c r="K482" s="105"/>
      <c r="L482" s="34"/>
      <c r="M482" s="34"/>
      <c r="N482" s="34"/>
      <c r="O482" s="105"/>
      <c r="P482" s="105"/>
      <c r="Q482" s="105"/>
      <c r="R482" s="105"/>
      <c r="S482" s="105"/>
      <c r="T482" s="105"/>
      <c r="U482" s="105"/>
      <c r="V482" s="105"/>
      <c r="W482" s="105"/>
      <c r="X482" s="105"/>
      <c r="Y482" s="105"/>
      <c r="Z482" s="105"/>
      <c r="AA482" s="105"/>
      <c r="AB482" s="105"/>
      <c r="AC482" s="105"/>
    </row>
    <row r="483" spans="1:29" ht="12.75">
      <c r="A483" s="34"/>
      <c r="B483" s="34"/>
      <c r="C483" s="34"/>
      <c r="D483" s="34"/>
      <c r="E483" s="188"/>
      <c r="F483" s="34"/>
      <c r="G483" s="34"/>
      <c r="H483" s="34"/>
      <c r="I483" s="34"/>
      <c r="J483" s="34"/>
      <c r="K483" s="105"/>
      <c r="L483" s="34"/>
      <c r="M483" s="34"/>
      <c r="N483" s="34"/>
      <c r="O483" s="105"/>
      <c r="P483" s="105"/>
      <c r="Q483" s="105"/>
      <c r="R483" s="105"/>
      <c r="S483" s="105"/>
      <c r="T483" s="105"/>
      <c r="U483" s="105"/>
      <c r="V483" s="105"/>
      <c r="W483" s="105"/>
      <c r="X483" s="105"/>
      <c r="Y483" s="105"/>
      <c r="Z483" s="105"/>
      <c r="AA483" s="105"/>
      <c r="AB483" s="105"/>
      <c r="AC483" s="105"/>
    </row>
    <row r="484" spans="1:29" ht="12.75">
      <c r="A484" s="34"/>
      <c r="B484" s="34"/>
      <c r="C484" s="34"/>
      <c r="D484" s="34"/>
      <c r="E484" s="188"/>
      <c r="F484" s="34"/>
      <c r="G484" s="34"/>
      <c r="H484" s="34"/>
      <c r="I484" s="34"/>
      <c r="J484" s="34"/>
      <c r="K484" s="105"/>
      <c r="L484" s="34"/>
      <c r="M484" s="34"/>
      <c r="N484" s="34"/>
      <c r="O484" s="105"/>
      <c r="P484" s="105"/>
      <c r="Q484" s="105"/>
      <c r="R484" s="105"/>
      <c r="S484" s="105"/>
      <c r="T484" s="105"/>
      <c r="U484" s="105"/>
      <c r="V484" s="105"/>
      <c r="W484" s="105"/>
      <c r="X484" s="105"/>
      <c r="Y484" s="105"/>
      <c r="Z484" s="105"/>
      <c r="AA484" s="105"/>
      <c r="AB484" s="105"/>
      <c r="AC484" s="105"/>
    </row>
    <row r="485" spans="1:29" ht="12.75">
      <c r="A485" s="34"/>
      <c r="B485" s="34"/>
      <c r="C485" s="34"/>
      <c r="D485" s="34"/>
      <c r="E485" s="188"/>
      <c r="F485" s="34"/>
      <c r="G485" s="34"/>
      <c r="H485" s="34"/>
      <c r="I485" s="34"/>
      <c r="J485" s="34"/>
      <c r="K485" s="105"/>
      <c r="L485" s="34"/>
      <c r="M485" s="34"/>
      <c r="N485" s="34"/>
      <c r="O485" s="105"/>
      <c r="P485" s="105"/>
      <c r="Q485" s="105"/>
      <c r="R485" s="105"/>
      <c r="S485" s="105"/>
      <c r="T485" s="105"/>
      <c r="U485" s="105"/>
      <c r="V485" s="105"/>
      <c r="W485" s="105"/>
      <c r="X485" s="105"/>
      <c r="Y485" s="105"/>
      <c r="Z485" s="105"/>
      <c r="AA485" s="105"/>
      <c r="AB485" s="105"/>
      <c r="AC485" s="105"/>
    </row>
    <row r="486" spans="1:29" ht="12.75">
      <c r="A486" s="34"/>
      <c r="B486" s="34"/>
      <c r="C486" s="34"/>
      <c r="D486" s="34"/>
      <c r="E486" s="188"/>
      <c r="F486" s="34"/>
      <c r="G486" s="34"/>
      <c r="H486" s="34"/>
      <c r="I486" s="34"/>
      <c r="J486" s="34"/>
      <c r="K486" s="105"/>
      <c r="L486" s="34"/>
      <c r="M486" s="34"/>
      <c r="N486" s="34"/>
      <c r="O486" s="105"/>
      <c r="P486" s="105"/>
      <c r="Q486" s="105"/>
      <c r="R486" s="105"/>
      <c r="S486" s="105"/>
      <c r="T486" s="105"/>
      <c r="U486" s="105"/>
      <c r="V486" s="105"/>
      <c r="W486" s="105"/>
      <c r="X486" s="105"/>
      <c r="Y486" s="105"/>
      <c r="Z486" s="105"/>
      <c r="AA486" s="105"/>
      <c r="AB486" s="105"/>
      <c r="AC486" s="105"/>
    </row>
    <row r="487" spans="1:29" ht="12.75">
      <c r="A487" s="34"/>
      <c r="B487" s="34"/>
      <c r="C487" s="34"/>
      <c r="D487" s="34"/>
      <c r="E487" s="188"/>
      <c r="F487" s="34"/>
      <c r="G487" s="34"/>
      <c r="H487" s="34"/>
      <c r="I487" s="34"/>
      <c r="J487" s="34"/>
      <c r="K487" s="105"/>
      <c r="L487" s="34"/>
      <c r="M487" s="34"/>
      <c r="N487" s="34"/>
      <c r="O487" s="105"/>
      <c r="P487" s="105"/>
      <c r="Q487" s="105"/>
      <c r="R487" s="105"/>
      <c r="S487" s="105"/>
      <c r="T487" s="105"/>
      <c r="U487" s="105"/>
      <c r="V487" s="105"/>
      <c r="W487" s="105"/>
      <c r="X487" s="105"/>
      <c r="Y487" s="105"/>
      <c r="Z487" s="105"/>
      <c r="AA487" s="105"/>
      <c r="AB487" s="105"/>
      <c r="AC487" s="105"/>
    </row>
    <row r="488" spans="1:29" ht="12.75">
      <c r="A488" s="34"/>
      <c r="B488" s="34"/>
      <c r="C488" s="34"/>
      <c r="D488" s="34"/>
      <c r="E488" s="188"/>
      <c r="F488" s="34"/>
      <c r="G488" s="34"/>
      <c r="H488" s="34"/>
      <c r="I488" s="34"/>
      <c r="J488" s="34"/>
      <c r="K488" s="105"/>
      <c r="L488" s="34"/>
      <c r="M488" s="34"/>
      <c r="N488" s="34"/>
      <c r="O488" s="105"/>
      <c r="P488" s="105"/>
      <c r="Q488" s="105"/>
      <c r="R488" s="105"/>
      <c r="S488" s="105"/>
      <c r="T488" s="105"/>
      <c r="U488" s="105"/>
      <c r="V488" s="105"/>
      <c r="W488" s="105"/>
      <c r="X488" s="105"/>
      <c r="Y488" s="105"/>
      <c r="Z488" s="105"/>
      <c r="AA488" s="105"/>
      <c r="AB488" s="105"/>
      <c r="AC488" s="105"/>
    </row>
    <row r="489" spans="1:29" ht="12.75">
      <c r="A489" s="34"/>
      <c r="B489" s="34"/>
      <c r="C489" s="34"/>
      <c r="D489" s="34"/>
      <c r="E489" s="188"/>
      <c r="F489" s="34"/>
      <c r="G489" s="34"/>
      <c r="H489" s="34"/>
      <c r="I489" s="34"/>
      <c r="J489" s="34"/>
      <c r="K489" s="105"/>
      <c r="L489" s="34"/>
      <c r="M489" s="34"/>
      <c r="N489" s="34"/>
      <c r="O489" s="105"/>
      <c r="P489" s="105"/>
      <c r="Q489" s="105"/>
      <c r="R489" s="105"/>
      <c r="S489" s="105"/>
      <c r="T489" s="105"/>
      <c r="U489" s="105"/>
      <c r="V489" s="105"/>
      <c r="W489" s="105"/>
      <c r="X489" s="105"/>
      <c r="Y489" s="105"/>
      <c r="Z489" s="105"/>
      <c r="AA489" s="105"/>
      <c r="AB489" s="105"/>
      <c r="AC489" s="105"/>
    </row>
    <row r="490" spans="1:29" ht="12.75">
      <c r="A490" s="34"/>
      <c r="B490" s="34"/>
      <c r="C490" s="34"/>
      <c r="D490" s="34"/>
      <c r="E490" s="188"/>
      <c r="F490" s="34"/>
      <c r="G490" s="34"/>
      <c r="H490" s="34"/>
      <c r="I490" s="34"/>
      <c r="J490" s="34"/>
      <c r="K490" s="105"/>
      <c r="L490" s="34"/>
      <c r="M490" s="34"/>
      <c r="N490" s="34"/>
      <c r="O490" s="105"/>
      <c r="P490" s="105"/>
      <c r="Q490" s="105"/>
      <c r="R490" s="105"/>
      <c r="S490" s="105"/>
      <c r="T490" s="105"/>
      <c r="U490" s="105"/>
      <c r="V490" s="105"/>
      <c r="W490" s="105"/>
      <c r="X490" s="105"/>
      <c r="Y490" s="105"/>
      <c r="Z490" s="105"/>
      <c r="AA490" s="105"/>
      <c r="AB490" s="105"/>
      <c r="AC490" s="105"/>
    </row>
    <row r="491" spans="1:29" ht="12.75">
      <c r="A491" s="34"/>
      <c r="B491" s="34"/>
      <c r="C491" s="34"/>
      <c r="D491" s="34"/>
      <c r="E491" s="188"/>
      <c r="F491" s="34"/>
      <c r="G491" s="34"/>
      <c r="H491" s="34"/>
      <c r="I491" s="34"/>
      <c r="J491" s="34"/>
      <c r="K491" s="105"/>
      <c r="L491" s="34"/>
      <c r="M491" s="34"/>
      <c r="N491" s="34"/>
      <c r="O491" s="105"/>
      <c r="P491" s="105"/>
      <c r="Q491" s="105"/>
      <c r="R491" s="105"/>
      <c r="S491" s="105"/>
      <c r="T491" s="105"/>
      <c r="U491" s="105"/>
      <c r="V491" s="105"/>
      <c r="W491" s="105"/>
      <c r="X491" s="105"/>
      <c r="Y491" s="105"/>
      <c r="Z491" s="105"/>
      <c r="AA491" s="105"/>
      <c r="AB491" s="105"/>
      <c r="AC491" s="105"/>
    </row>
    <row r="492" spans="1:29" ht="12.75">
      <c r="A492" s="34"/>
      <c r="B492" s="34"/>
      <c r="C492" s="34"/>
      <c r="D492" s="34"/>
      <c r="E492" s="188"/>
      <c r="F492" s="34"/>
      <c r="G492" s="34"/>
      <c r="H492" s="34"/>
      <c r="I492" s="34"/>
      <c r="J492" s="34"/>
      <c r="K492" s="105"/>
      <c r="L492" s="34"/>
      <c r="M492" s="34"/>
      <c r="N492" s="34"/>
      <c r="O492" s="105"/>
      <c r="P492" s="105"/>
      <c r="Q492" s="105"/>
      <c r="R492" s="105"/>
      <c r="S492" s="105"/>
      <c r="T492" s="105"/>
      <c r="U492" s="105"/>
      <c r="V492" s="105"/>
      <c r="W492" s="105"/>
      <c r="X492" s="105"/>
      <c r="Y492" s="105"/>
      <c r="Z492" s="105"/>
      <c r="AA492" s="105"/>
      <c r="AB492" s="105"/>
      <c r="AC492" s="105"/>
    </row>
    <row r="493" spans="1:29" ht="12.75">
      <c r="A493" s="34"/>
      <c r="B493" s="34"/>
      <c r="C493" s="34"/>
      <c r="D493" s="34"/>
      <c r="E493" s="188"/>
      <c r="F493" s="34"/>
      <c r="G493" s="34"/>
      <c r="H493" s="34"/>
      <c r="I493" s="34"/>
      <c r="J493" s="34"/>
      <c r="K493" s="105"/>
      <c r="L493" s="34"/>
      <c r="M493" s="34"/>
      <c r="N493" s="34"/>
      <c r="O493" s="105"/>
      <c r="P493" s="105"/>
      <c r="Q493" s="105"/>
      <c r="R493" s="105"/>
      <c r="S493" s="105"/>
      <c r="T493" s="105"/>
      <c r="U493" s="105"/>
      <c r="V493" s="105"/>
      <c r="W493" s="105"/>
      <c r="X493" s="105"/>
      <c r="Y493" s="105"/>
      <c r="Z493" s="105"/>
      <c r="AA493" s="105"/>
      <c r="AB493" s="105"/>
      <c r="AC493" s="105"/>
    </row>
    <row r="494" spans="1:29" ht="12.75">
      <c r="A494" s="34"/>
      <c r="B494" s="34"/>
      <c r="C494" s="34"/>
      <c r="D494" s="34"/>
      <c r="E494" s="188"/>
      <c r="F494" s="34"/>
      <c r="G494" s="34"/>
      <c r="H494" s="34"/>
      <c r="I494" s="34"/>
      <c r="J494" s="34"/>
      <c r="K494" s="105"/>
      <c r="L494" s="34"/>
      <c r="M494" s="34"/>
      <c r="N494" s="34"/>
      <c r="O494" s="105"/>
      <c r="P494" s="105"/>
      <c r="Q494" s="105"/>
      <c r="R494" s="105"/>
      <c r="S494" s="105"/>
      <c r="T494" s="105"/>
      <c r="U494" s="105"/>
      <c r="V494" s="105"/>
      <c r="W494" s="105"/>
      <c r="X494" s="105"/>
      <c r="Y494" s="105"/>
      <c r="Z494" s="105"/>
      <c r="AA494" s="105"/>
      <c r="AB494" s="105"/>
      <c r="AC494" s="105"/>
    </row>
    <row r="495" spans="1:29" ht="12.75">
      <c r="A495" s="34"/>
      <c r="B495" s="34"/>
      <c r="C495" s="34"/>
      <c r="D495" s="34"/>
      <c r="E495" s="188"/>
      <c r="F495" s="34"/>
      <c r="G495" s="34"/>
      <c r="H495" s="34"/>
      <c r="I495" s="34"/>
      <c r="J495" s="34"/>
      <c r="K495" s="105"/>
      <c r="L495" s="34"/>
      <c r="M495" s="34"/>
      <c r="N495" s="34"/>
      <c r="O495" s="105"/>
      <c r="P495" s="105"/>
      <c r="Q495" s="105"/>
      <c r="R495" s="105"/>
      <c r="S495" s="105"/>
      <c r="T495" s="105"/>
      <c r="U495" s="105"/>
      <c r="V495" s="105"/>
      <c r="W495" s="105"/>
      <c r="X495" s="105"/>
      <c r="Y495" s="105"/>
      <c r="Z495" s="105"/>
      <c r="AA495" s="105"/>
      <c r="AB495" s="105"/>
      <c r="AC495" s="105"/>
    </row>
    <row r="496" spans="1:29" ht="12.75">
      <c r="A496" s="34"/>
      <c r="B496" s="34"/>
      <c r="C496" s="34"/>
      <c r="D496" s="34"/>
      <c r="E496" s="188"/>
      <c r="F496" s="34"/>
      <c r="G496" s="34"/>
      <c r="H496" s="34"/>
      <c r="I496" s="34"/>
      <c r="J496" s="34"/>
      <c r="K496" s="105"/>
      <c r="L496" s="34"/>
      <c r="M496" s="34"/>
      <c r="N496" s="34"/>
      <c r="O496" s="105"/>
      <c r="P496" s="105"/>
      <c r="Q496" s="105"/>
      <c r="R496" s="105"/>
      <c r="S496" s="105"/>
      <c r="T496" s="105"/>
      <c r="U496" s="105"/>
      <c r="V496" s="105"/>
      <c r="W496" s="105"/>
      <c r="X496" s="105"/>
      <c r="Y496" s="105"/>
      <c r="Z496" s="105"/>
      <c r="AA496" s="105"/>
      <c r="AB496" s="105"/>
      <c r="AC496" s="105"/>
    </row>
    <row r="497" spans="1:29" ht="12.75">
      <c r="A497" s="34"/>
      <c r="B497" s="34"/>
      <c r="C497" s="34"/>
      <c r="D497" s="34"/>
      <c r="E497" s="188"/>
      <c r="F497" s="34"/>
      <c r="G497" s="34"/>
      <c r="H497" s="34"/>
      <c r="I497" s="34"/>
      <c r="J497" s="34"/>
      <c r="K497" s="105"/>
      <c r="L497" s="34"/>
      <c r="M497" s="34"/>
      <c r="N497" s="34"/>
      <c r="O497" s="105"/>
      <c r="P497" s="105"/>
      <c r="Q497" s="105"/>
      <c r="R497" s="105"/>
      <c r="S497" s="105"/>
      <c r="T497" s="105"/>
      <c r="U497" s="105"/>
      <c r="V497" s="105"/>
      <c r="W497" s="105"/>
      <c r="X497" s="105"/>
      <c r="Y497" s="105"/>
      <c r="Z497" s="105"/>
      <c r="AA497" s="105"/>
      <c r="AB497" s="105"/>
      <c r="AC497" s="105"/>
    </row>
    <row r="498" spans="1:29" ht="12.75">
      <c r="A498" s="34"/>
      <c r="B498" s="34"/>
      <c r="C498" s="34"/>
      <c r="D498" s="34"/>
      <c r="E498" s="188"/>
      <c r="F498" s="34"/>
      <c r="G498" s="34"/>
      <c r="H498" s="34"/>
      <c r="I498" s="34"/>
      <c r="J498" s="34"/>
      <c r="K498" s="105"/>
      <c r="L498" s="34"/>
      <c r="M498" s="34"/>
      <c r="N498" s="34"/>
      <c r="O498" s="105"/>
      <c r="P498" s="105"/>
      <c r="Q498" s="105"/>
      <c r="R498" s="105"/>
      <c r="S498" s="105"/>
      <c r="T498" s="105"/>
      <c r="U498" s="105"/>
      <c r="V498" s="105"/>
      <c r="W498" s="105"/>
      <c r="X498" s="105"/>
      <c r="Y498" s="105"/>
      <c r="Z498" s="105"/>
      <c r="AA498" s="105"/>
      <c r="AB498" s="105"/>
      <c r="AC498" s="105"/>
    </row>
    <row r="499" spans="1:29" ht="12.75">
      <c r="A499" s="34"/>
      <c r="B499" s="34"/>
      <c r="C499" s="34"/>
      <c r="D499" s="34"/>
      <c r="E499" s="188"/>
      <c r="F499" s="34"/>
      <c r="G499" s="34"/>
      <c r="H499" s="34"/>
      <c r="I499" s="34"/>
      <c r="J499" s="34"/>
      <c r="K499" s="105"/>
      <c r="L499" s="34"/>
      <c r="M499" s="34"/>
      <c r="N499" s="34"/>
      <c r="O499" s="105"/>
      <c r="P499" s="105"/>
      <c r="Q499" s="105"/>
      <c r="R499" s="105"/>
      <c r="S499" s="105"/>
      <c r="T499" s="105"/>
      <c r="U499" s="105"/>
      <c r="V499" s="105"/>
      <c r="W499" s="105"/>
      <c r="X499" s="105"/>
      <c r="Y499" s="105"/>
      <c r="Z499" s="105"/>
      <c r="AA499" s="105"/>
      <c r="AB499" s="105"/>
      <c r="AC499" s="105"/>
    </row>
    <row r="500" spans="1:29" ht="12.75">
      <c r="A500" s="34"/>
      <c r="B500" s="34"/>
      <c r="C500" s="34"/>
      <c r="D500" s="34"/>
      <c r="E500" s="188"/>
      <c r="F500" s="34"/>
      <c r="G500" s="34"/>
      <c r="H500" s="34"/>
      <c r="I500" s="34"/>
      <c r="J500" s="34"/>
      <c r="K500" s="105"/>
      <c r="L500" s="34"/>
      <c r="M500" s="34"/>
      <c r="N500" s="34"/>
      <c r="O500" s="105"/>
      <c r="P500" s="105"/>
      <c r="Q500" s="105"/>
      <c r="R500" s="105"/>
      <c r="S500" s="105"/>
      <c r="T500" s="105"/>
      <c r="U500" s="105"/>
      <c r="V500" s="105"/>
      <c r="W500" s="105"/>
      <c r="X500" s="105"/>
      <c r="Y500" s="105"/>
      <c r="Z500" s="105"/>
      <c r="AA500" s="105"/>
      <c r="AB500" s="105"/>
      <c r="AC500" s="105"/>
    </row>
    <row r="501" spans="1:29" ht="12.75">
      <c r="A501" s="34"/>
      <c r="B501" s="34"/>
      <c r="C501" s="34"/>
      <c r="D501" s="34"/>
      <c r="E501" s="188"/>
      <c r="F501" s="34"/>
      <c r="G501" s="34"/>
      <c r="H501" s="34"/>
      <c r="I501" s="34"/>
      <c r="J501" s="34"/>
      <c r="K501" s="105"/>
      <c r="L501" s="34"/>
      <c r="M501" s="34"/>
      <c r="N501" s="34"/>
      <c r="O501" s="105"/>
      <c r="P501" s="105"/>
      <c r="Q501" s="105"/>
      <c r="R501" s="105"/>
      <c r="S501" s="105"/>
      <c r="T501" s="105"/>
      <c r="U501" s="105"/>
      <c r="V501" s="105"/>
      <c r="W501" s="105"/>
      <c r="X501" s="105"/>
      <c r="Y501" s="105"/>
      <c r="Z501" s="105"/>
      <c r="AA501" s="105"/>
      <c r="AB501" s="105"/>
      <c r="AC501" s="105"/>
    </row>
    <row r="502" spans="1:29" ht="12.75">
      <c r="A502" s="34"/>
      <c r="B502" s="34"/>
      <c r="C502" s="34"/>
      <c r="D502" s="34"/>
      <c r="E502" s="188"/>
      <c r="F502" s="34"/>
      <c r="G502" s="34"/>
      <c r="H502" s="34"/>
      <c r="I502" s="34"/>
      <c r="J502" s="34"/>
      <c r="K502" s="105"/>
      <c r="L502" s="34"/>
      <c r="M502" s="34"/>
      <c r="N502" s="34"/>
      <c r="O502" s="105"/>
      <c r="P502" s="105"/>
      <c r="Q502" s="105"/>
      <c r="R502" s="105"/>
      <c r="S502" s="105"/>
      <c r="T502" s="105"/>
      <c r="U502" s="105"/>
      <c r="V502" s="105"/>
      <c r="W502" s="105"/>
      <c r="X502" s="105"/>
      <c r="Y502" s="105"/>
      <c r="Z502" s="105"/>
      <c r="AA502" s="105"/>
      <c r="AB502" s="105"/>
      <c r="AC502" s="105"/>
    </row>
    <row r="503" spans="1:29" ht="12.75">
      <c r="A503" s="34"/>
      <c r="B503" s="34"/>
      <c r="C503" s="34"/>
      <c r="D503" s="34"/>
      <c r="E503" s="188"/>
      <c r="F503" s="34"/>
      <c r="G503" s="34"/>
      <c r="H503" s="34"/>
      <c r="I503" s="34"/>
      <c r="J503" s="34"/>
      <c r="K503" s="105"/>
      <c r="L503" s="34"/>
      <c r="M503" s="34"/>
      <c r="N503" s="34"/>
      <c r="O503" s="105"/>
      <c r="P503" s="105"/>
      <c r="Q503" s="105"/>
      <c r="R503" s="105"/>
      <c r="S503" s="105"/>
      <c r="T503" s="105"/>
      <c r="U503" s="105"/>
      <c r="V503" s="105"/>
      <c r="W503" s="105"/>
      <c r="X503" s="105"/>
      <c r="Y503" s="105"/>
      <c r="Z503" s="105"/>
      <c r="AA503" s="105"/>
      <c r="AB503" s="105"/>
      <c r="AC503" s="105"/>
    </row>
    <row r="504" spans="1:29" ht="12.75">
      <c r="A504" s="34"/>
      <c r="B504" s="34"/>
      <c r="C504" s="34"/>
      <c r="D504" s="34"/>
      <c r="E504" s="188"/>
      <c r="F504" s="34"/>
      <c r="G504" s="34"/>
      <c r="H504" s="34"/>
      <c r="I504" s="34"/>
      <c r="J504" s="34"/>
      <c r="K504" s="105"/>
      <c r="L504" s="34"/>
      <c r="M504" s="34"/>
      <c r="N504" s="34"/>
      <c r="O504" s="105"/>
      <c r="P504" s="105"/>
      <c r="Q504" s="105"/>
      <c r="R504" s="105"/>
      <c r="S504" s="105"/>
      <c r="T504" s="105"/>
      <c r="U504" s="105"/>
      <c r="V504" s="105"/>
      <c r="W504" s="105"/>
      <c r="X504" s="105"/>
      <c r="Y504" s="105"/>
      <c r="Z504" s="105"/>
      <c r="AA504" s="105"/>
      <c r="AB504" s="105"/>
      <c r="AC504" s="105"/>
    </row>
    <row r="505" spans="1:29" ht="12.75">
      <c r="A505" s="34"/>
      <c r="B505" s="34"/>
      <c r="C505" s="34"/>
      <c r="D505" s="34"/>
      <c r="E505" s="188"/>
      <c r="F505" s="34"/>
      <c r="G505" s="34"/>
      <c r="H505" s="34"/>
      <c r="I505" s="34"/>
      <c r="J505" s="34"/>
      <c r="K505" s="105"/>
      <c r="L505" s="34"/>
      <c r="M505" s="34"/>
      <c r="N505" s="34"/>
      <c r="O505" s="105"/>
      <c r="P505" s="105"/>
      <c r="Q505" s="105"/>
      <c r="R505" s="105"/>
      <c r="S505" s="105"/>
      <c r="T505" s="105"/>
      <c r="U505" s="105"/>
      <c r="V505" s="105"/>
      <c r="W505" s="105"/>
      <c r="X505" s="105"/>
      <c r="Y505" s="105"/>
      <c r="Z505" s="105"/>
      <c r="AA505" s="105"/>
      <c r="AB505" s="105"/>
      <c r="AC505" s="105"/>
    </row>
    <row r="506" spans="1:29" ht="12.75">
      <c r="A506" s="34"/>
      <c r="B506" s="34"/>
      <c r="C506" s="34"/>
      <c r="D506" s="34"/>
      <c r="E506" s="188"/>
      <c r="F506" s="34"/>
      <c r="G506" s="34"/>
      <c r="H506" s="34"/>
      <c r="I506" s="34"/>
      <c r="J506" s="34"/>
      <c r="K506" s="105"/>
      <c r="L506" s="34"/>
      <c r="M506" s="34"/>
      <c r="N506" s="34"/>
      <c r="O506" s="105"/>
      <c r="P506" s="105"/>
      <c r="Q506" s="105"/>
      <c r="R506" s="105"/>
      <c r="S506" s="105"/>
      <c r="T506" s="105"/>
      <c r="U506" s="105"/>
      <c r="V506" s="105"/>
      <c r="W506" s="105"/>
      <c r="X506" s="105"/>
      <c r="Y506" s="105"/>
      <c r="Z506" s="105"/>
      <c r="AA506" s="105"/>
      <c r="AB506" s="105"/>
      <c r="AC506" s="105"/>
    </row>
    <row r="507" spans="1:29" ht="12.75">
      <c r="A507" s="34"/>
      <c r="B507" s="34"/>
      <c r="C507" s="34"/>
      <c r="D507" s="34"/>
      <c r="E507" s="188"/>
      <c r="F507" s="34"/>
      <c r="G507" s="34"/>
      <c r="H507" s="34"/>
      <c r="I507" s="34"/>
      <c r="J507" s="34"/>
      <c r="K507" s="105"/>
      <c r="L507" s="34"/>
      <c r="M507" s="34"/>
      <c r="N507" s="34"/>
      <c r="O507" s="105"/>
      <c r="P507" s="105"/>
      <c r="Q507" s="105"/>
      <c r="R507" s="105"/>
      <c r="S507" s="105"/>
      <c r="T507" s="105"/>
      <c r="U507" s="105"/>
      <c r="V507" s="105"/>
      <c r="W507" s="105"/>
      <c r="X507" s="105"/>
      <c r="Y507" s="105"/>
      <c r="Z507" s="105"/>
      <c r="AA507" s="105"/>
      <c r="AB507" s="105"/>
      <c r="AC507" s="105"/>
    </row>
    <row r="508" spans="1:29" ht="12.75">
      <c r="A508" s="34"/>
      <c r="B508" s="34"/>
      <c r="C508" s="34"/>
      <c r="D508" s="34"/>
      <c r="E508" s="188"/>
      <c r="F508" s="34"/>
      <c r="G508" s="34"/>
      <c r="H508" s="34"/>
      <c r="I508" s="34"/>
      <c r="J508" s="34"/>
      <c r="K508" s="105"/>
      <c r="L508" s="34"/>
      <c r="M508" s="34"/>
      <c r="N508" s="34"/>
      <c r="O508" s="105"/>
      <c r="P508" s="105"/>
      <c r="Q508" s="105"/>
      <c r="R508" s="105"/>
      <c r="S508" s="105"/>
      <c r="T508" s="105"/>
      <c r="U508" s="105"/>
      <c r="V508" s="105"/>
      <c r="W508" s="105"/>
      <c r="X508" s="105"/>
      <c r="Y508" s="105"/>
      <c r="Z508" s="105"/>
      <c r="AA508" s="105"/>
      <c r="AB508" s="105"/>
      <c r="AC508" s="105"/>
    </row>
    <row r="509" spans="1:29" ht="12.75">
      <c r="A509" s="34"/>
      <c r="B509" s="34"/>
      <c r="C509" s="34"/>
      <c r="D509" s="34"/>
      <c r="E509" s="188"/>
      <c r="F509" s="34"/>
      <c r="G509" s="34"/>
      <c r="H509" s="34"/>
      <c r="I509" s="34"/>
      <c r="J509" s="34"/>
      <c r="K509" s="105"/>
      <c r="L509" s="34"/>
      <c r="M509" s="34"/>
      <c r="N509" s="34"/>
      <c r="O509" s="105"/>
      <c r="P509" s="105"/>
      <c r="Q509" s="105"/>
      <c r="R509" s="105"/>
      <c r="S509" s="105"/>
      <c r="T509" s="105"/>
      <c r="U509" s="105"/>
      <c r="V509" s="105"/>
      <c r="W509" s="105"/>
      <c r="X509" s="105"/>
      <c r="Y509" s="105"/>
      <c r="Z509" s="105"/>
      <c r="AA509" s="105"/>
      <c r="AB509" s="105"/>
      <c r="AC509" s="105"/>
    </row>
    <row r="510" spans="1:29" ht="12.75">
      <c r="A510" s="34"/>
      <c r="B510" s="34"/>
      <c r="C510" s="34"/>
      <c r="D510" s="34"/>
      <c r="E510" s="188"/>
      <c r="F510" s="34"/>
      <c r="G510" s="34"/>
      <c r="H510" s="34"/>
      <c r="I510" s="34"/>
      <c r="J510" s="34"/>
      <c r="K510" s="105"/>
      <c r="L510" s="34"/>
      <c r="M510" s="34"/>
      <c r="N510" s="34"/>
      <c r="O510" s="105"/>
      <c r="P510" s="105"/>
      <c r="Q510" s="105"/>
      <c r="R510" s="105"/>
      <c r="S510" s="105"/>
      <c r="T510" s="105"/>
      <c r="U510" s="105"/>
      <c r="V510" s="105"/>
      <c r="W510" s="105"/>
      <c r="X510" s="105"/>
      <c r="Y510" s="105"/>
      <c r="Z510" s="105"/>
      <c r="AA510" s="105"/>
      <c r="AB510" s="105"/>
      <c r="AC510" s="105"/>
    </row>
    <row r="511" spans="1:29" ht="12.75">
      <c r="A511" s="34"/>
      <c r="B511" s="34"/>
      <c r="C511" s="34"/>
      <c r="D511" s="34"/>
      <c r="E511" s="188"/>
      <c r="F511" s="34"/>
      <c r="G511" s="34"/>
      <c r="H511" s="34"/>
      <c r="I511" s="34"/>
      <c r="J511" s="34"/>
      <c r="K511" s="105"/>
      <c r="L511" s="34"/>
      <c r="M511" s="34"/>
      <c r="N511" s="34"/>
      <c r="O511" s="105"/>
      <c r="P511" s="105"/>
      <c r="Q511" s="105"/>
      <c r="R511" s="105"/>
      <c r="S511" s="105"/>
      <c r="T511" s="105"/>
      <c r="U511" s="105"/>
      <c r="V511" s="105"/>
      <c r="W511" s="105"/>
      <c r="X511" s="105"/>
      <c r="Y511" s="105"/>
      <c r="Z511" s="105"/>
      <c r="AA511" s="105"/>
      <c r="AB511" s="105"/>
      <c r="AC511" s="105"/>
    </row>
    <row r="512" spans="1:29" ht="12.75">
      <c r="A512" s="34"/>
      <c r="B512" s="34"/>
      <c r="C512" s="34"/>
      <c r="D512" s="34"/>
      <c r="E512" s="188"/>
      <c r="F512" s="34"/>
      <c r="G512" s="34"/>
      <c r="H512" s="34"/>
      <c r="I512" s="34"/>
      <c r="J512" s="34"/>
      <c r="K512" s="105"/>
      <c r="L512" s="34"/>
      <c r="M512" s="34"/>
      <c r="N512" s="34"/>
      <c r="O512" s="105"/>
      <c r="P512" s="105"/>
      <c r="Q512" s="105"/>
      <c r="R512" s="105"/>
      <c r="S512" s="105"/>
      <c r="T512" s="105"/>
      <c r="U512" s="105"/>
      <c r="V512" s="105"/>
      <c r="W512" s="105"/>
      <c r="X512" s="105"/>
      <c r="Y512" s="105"/>
      <c r="Z512" s="105"/>
      <c r="AA512" s="105"/>
      <c r="AB512" s="105"/>
      <c r="AC512" s="105"/>
    </row>
    <row r="513" spans="1:29" ht="12.75">
      <c r="A513" s="34"/>
      <c r="B513" s="34"/>
      <c r="C513" s="34"/>
      <c r="D513" s="34"/>
      <c r="E513" s="188"/>
      <c r="F513" s="34"/>
      <c r="G513" s="34"/>
      <c r="H513" s="34"/>
      <c r="I513" s="34"/>
      <c r="J513" s="34"/>
      <c r="K513" s="105"/>
      <c r="L513" s="34"/>
      <c r="M513" s="34"/>
      <c r="N513" s="34"/>
      <c r="O513" s="105"/>
      <c r="P513" s="105"/>
      <c r="Q513" s="105"/>
      <c r="R513" s="105"/>
      <c r="S513" s="105"/>
      <c r="T513" s="105"/>
      <c r="U513" s="105"/>
      <c r="V513" s="105"/>
      <c r="W513" s="105"/>
      <c r="X513" s="105"/>
      <c r="Y513" s="105"/>
      <c r="Z513" s="105"/>
      <c r="AA513" s="105"/>
      <c r="AB513" s="105"/>
      <c r="AC513" s="105"/>
    </row>
    <row r="514" spans="1:29" ht="12.75">
      <c r="A514" s="34"/>
      <c r="B514" s="34"/>
      <c r="C514" s="34"/>
      <c r="D514" s="34"/>
      <c r="E514" s="188"/>
      <c r="F514" s="34"/>
      <c r="G514" s="34"/>
      <c r="H514" s="34"/>
      <c r="I514" s="34"/>
      <c r="J514" s="34"/>
      <c r="K514" s="105"/>
      <c r="L514" s="34"/>
      <c r="M514" s="34"/>
      <c r="N514" s="34"/>
      <c r="O514" s="105"/>
      <c r="P514" s="105"/>
      <c r="Q514" s="105"/>
      <c r="R514" s="105"/>
      <c r="S514" s="105"/>
      <c r="T514" s="105"/>
      <c r="U514" s="105"/>
      <c r="V514" s="105"/>
      <c r="W514" s="105"/>
      <c r="X514" s="105"/>
      <c r="Y514" s="105"/>
      <c r="Z514" s="105"/>
      <c r="AA514" s="105"/>
      <c r="AB514" s="105"/>
      <c r="AC514" s="105"/>
    </row>
    <row r="515" spans="1:29" ht="12.75">
      <c r="A515" s="34"/>
      <c r="B515" s="34"/>
      <c r="C515" s="34"/>
      <c r="D515" s="34"/>
      <c r="E515" s="188"/>
      <c r="F515" s="34"/>
      <c r="G515" s="34"/>
      <c r="H515" s="34"/>
      <c r="I515" s="34"/>
      <c r="J515" s="34"/>
      <c r="K515" s="105"/>
      <c r="L515" s="34"/>
      <c r="M515" s="34"/>
      <c r="N515" s="34"/>
      <c r="O515" s="105"/>
      <c r="P515" s="105"/>
      <c r="Q515" s="105"/>
      <c r="R515" s="105"/>
      <c r="S515" s="105"/>
      <c r="T515" s="105"/>
      <c r="U515" s="105"/>
      <c r="V515" s="105"/>
      <c r="W515" s="105"/>
      <c r="X515" s="105"/>
      <c r="Y515" s="105"/>
      <c r="Z515" s="105"/>
      <c r="AA515" s="105"/>
      <c r="AB515" s="105"/>
      <c r="AC515" s="105"/>
    </row>
    <row r="516" spans="1:29" ht="12.75">
      <c r="A516" s="34"/>
      <c r="B516" s="34"/>
      <c r="C516" s="34"/>
      <c r="D516" s="34"/>
      <c r="E516" s="188"/>
      <c r="F516" s="34"/>
      <c r="G516" s="34"/>
      <c r="H516" s="34"/>
      <c r="I516" s="34"/>
      <c r="J516" s="34"/>
      <c r="K516" s="105"/>
      <c r="L516" s="34"/>
      <c r="M516" s="34"/>
      <c r="N516" s="34"/>
      <c r="O516" s="105"/>
      <c r="P516" s="105"/>
      <c r="Q516" s="105"/>
      <c r="R516" s="105"/>
      <c r="S516" s="105"/>
      <c r="T516" s="105"/>
      <c r="U516" s="105"/>
      <c r="V516" s="105"/>
      <c r="W516" s="105"/>
      <c r="X516" s="105"/>
      <c r="Y516" s="105"/>
      <c r="Z516" s="105"/>
      <c r="AA516" s="105"/>
      <c r="AB516" s="105"/>
      <c r="AC516" s="105"/>
    </row>
    <row r="517" spans="1:29" ht="12.75">
      <c r="A517" s="34"/>
      <c r="B517" s="34"/>
      <c r="C517" s="34"/>
      <c r="D517" s="34"/>
      <c r="E517" s="188"/>
      <c r="F517" s="34"/>
      <c r="G517" s="34"/>
      <c r="H517" s="34"/>
      <c r="I517" s="34"/>
      <c r="J517" s="34"/>
      <c r="K517" s="105"/>
      <c r="L517" s="34"/>
      <c r="M517" s="34"/>
      <c r="N517" s="34"/>
      <c r="O517" s="105"/>
      <c r="P517" s="105"/>
      <c r="Q517" s="105"/>
      <c r="R517" s="105"/>
      <c r="S517" s="105"/>
      <c r="T517" s="105"/>
      <c r="U517" s="105"/>
      <c r="V517" s="105"/>
      <c r="W517" s="105"/>
      <c r="X517" s="105"/>
      <c r="Y517" s="105"/>
      <c r="Z517" s="105"/>
      <c r="AA517" s="105"/>
      <c r="AB517" s="105"/>
      <c r="AC517" s="105"/>
    </row>
    <row r="518" spans="1:29" ht="12.75">
      <c r="A518" s="34"/>
      <c r="B518" s="34"/>
      <c r="C518" s="34"/>
      <c r="D518" s="34"/>
      <c r="E518" s="188"/>
      <c r="F518" s="34"/>
      <c r="G518" s="34"/>
      <c r="H518" s="34"/>
      <c r="I518" s="34"/>
      <c r="J518" s="34"/>
      <c r="K518" s="105"/>
      <c r="L518" s="34"/>
      <c r="M518" s="34"/>
      <c r="N518" s="34"/>
      <c r="O518" s="105"/>
      <c r="P518" s="105"/>
      <c r="Q518" s="105"/>
      <c r="R518" s="105"/>
      <c r="S518" s="105"/>
      <c r="T518" s="105"/>
      <c r="U518" s="105"/>
      <c r="V518" s="105"/>
      <c r="W518" s="105"/>
      <c r="X518" s="105"/>
      <c r="Y518" s="105"/>
      <c r="Z518" s="105"/>
      <c r="AA518" s="105"/>
      <c r="AB518" s="105"/>
      <c r="AC518" s="105"/>
    </row>
    <row r="519" spans="1:29" ht="12.75">
      <c r="A519" s="34"/>
      <c r="B519" s="34"/>
      <c r="C519" s="34"/>
      <c r="D519" s="34"/>
      <c r="E519" s="188"/>
      <c r="F519" s="34"/>
      <c r="G519" s="34"/>
      <c r="H519" s="34"/>
      <c r="I519" s="34"/>
      <c r="J519" s="34"/>
      <c r="K519" s="105"/>
      <c r="L519" s="34"/>
      <c r="M519" s="34"/>
      <c r="N519" s="34"/>
      <c r="O519" s="105"/>
      <c r="P519" s="105"/>
      <c r="Q519" s="105"/>
      <c r="R519" s="105"/>
      <c r="S519" s="105"/>
      <c r="T519" s="105"/>
      <c r="U519" s="105"/>
      <c r="V519" s="105"/>
      <c r="W519" s="105"/>
      <c r="X519" s="105"/>
      <c r="Y519" s="105"/>
      <c r="Z519" s="105"/>
      <c r="AA519" s="105"/>
      <c r="AB519" s="105"/>
      <c r="AC519" s="105"/>
    </row>
    <row r="520" spans="1:29" ht="12.75">
      <c r="A520" s="34"/>
      <c r="B520" s="34"/>
      <c r="C520" s="34"/>
      <c r="D520" s="34"/>
      <c r="E520" s="188"/>
      <c r="F520" s="34"/>
      <c r="G520" s="34"/>
      <c r="H520" s="34"/>
      <c r="I520" s="34"/>
      <c r="J520" s="34"/>
      <c r="K520" s="105"/>
      <c r="L520" s="34"/>
      <c r="M520" s="34"/>
      <c r="N520" s="34"/>
      <c r="O520" s="105"/>
      <c r="P520" s="105"/>
      <c r="Q520" s="105"/>
      <c r="R520" s="105"/>
      <c r="S520" s="105"/>
      <c r="T520" s="105"/>
      <c r="U520" s="105"/>
      <c r="V520" s="105"/>
      <c r="W520" s="105"/>
      <c r="X520" s="105"/>
      <c r="Y520" s="105"/>
      <c r="Z520" s="105"/>
      <c r="AA520" s="105"/>
      <c r="AB520" s="105"/>
      <c r="AC520" s="105"/>
    </row>
    <row r="521" spans="1:29" ht="12.75">
      <c r="A521" s="34"/>
      <c r="B521" s="34"/>
      <c r="C521" s="34"/>
      <c r="D521" s="34"/>
      <c r="E521" s="188"/>
      <c r="F521" s="34"/>
      <c r="G521" s="34"/>
      <c r="H521" s="34"/>
      <c r="I521" s="34"/>
      <c r="J521" s="34"/>
      <c r="K521" s="105"/>
      <c r="L521" s="34"/>
      <c r="M521" s="34"/>
      <c r="N521" s="34"/>
      <c r="O521" s="105"/>
      <c r="P521" s="105"/>
      <c r="Q521" s="105"/>
      <c r="R521" s="105"/>
      <c r="S521" s="105"/>
      <c r="T521" s="105"/>
      <c r="U521" s="105"/>
      <c r="V521" s="105"/>
      <c r="W521" s="105"/>
      <c r="X521" s="105"/>
      <c r="Y521" s="105"/>
      <c r="Z521" s="105"/>
      <c r="AA521" s="105"/>
      <c r="AB521" s="105"/>
      <c r="AC521" s="105"/>
    </row>
    <row r="522" spans="1:29" ht="12.75">
      <c r="A522" s="34"/>
      <c r="B522" s="34"/>
      <c r="C522" s="34"/>
      <c r="D522" s="34"/>
      <c r="E522" s="188"/>
      <c r="F522" s="34"/>
      <c r="G522" s="34"/>
      <c r="H522" s="34"/>
      <c r="I522" s="34"/>
      <c r="J522" s="34"/>
      <c r="K522" s="105"/>
      <c r="L522" s="34"/>
      <c r="M522" s="34"/>
      <c r="N522" s="34"/>
      <c r="O522" s="105"/>
      <c r="P522" s="105"/>
      <c r="Q522" s="105"/>
      <c r="R522" s="105"/>
      <c r="S522" s="105"/>
      <c r="T522" s="105"/>
      <c r="U522" s="105"/>
      <c r="V522" s="105"/>
      <c r="W522" s="105"/>
      <c r="X522" s="105"/>
      <c r="Y522" s="105"/>
      <c r="Z522" s="105"/>
      <c r="AA522" s="105"/>
      <c r="AB522" s="105"/>
      <c r="AC522" s="105"/>
    </row>
    <row r="523" spans="1:29" ht="12.75">
      <c r="A523" s="34"/>
      <c r="B523" s="34"/>
      <c r="C523" s="34"/>
      <c r="D523" s="34"/>
      <c r="E523" s="188"/>
      <c r="F523" s="34"/>
      <c r="G523" s="34"/>
      <c r="H523" s="34"/>
      <c r="I523" s="34"/>
      <c r="J523" s="34"/>
      <c r="K523" s="105"/>
      <c r="L523" s="34"/>
      <c r="M523" s="34"/>
      <c r="N523" s="34"/>
      <c r="O523" s="105"/>
      <c r="P523" s="105"/>
      <c r="Q523" s="105"/>
      <c r="R523" s="105"/>
      <c r="S523" s="105"/>
      <c r="T523" s="105"/>
      <c r="U523" s="105"/>
      <c r="V523" s="105"/>
      <c r="W523" s="105"/>
      <c r="X523" s="105"/>
      <c r="Y523" s="105"/>
      <c r="Z523" s="105"/>
      <c r="AA523" s="105"/>
      <c r="AB523" s="105"/>
      <c r="AC523" s="105"/>
    </row>
    <row r="524" spans="1:29" ht="12.75">
      <c r="A524" s="34"/>
      <c r="B524" s="34"/>
      <c r="C524" s="34"/>
      <c r="D524" s="34"/>
      <c r="E524" s="188"/>
      <c r="F524" s="34"/>
      <c r="G524" s="34"/>
      <c r="H524" s="34"/>
      <c r="I524" s="34"/>
      <c r="J524" s="34"/>
      <c r="K524" s="105"/>
      <c r="L524" s="34"/>
      <c r="M524" s="34"/>
      <c r="N524" s="34"/>
      <c r="O524" s="105"/>
      <c r="P524" s="105"/>
      <c r="Q524" s="105"/>
      <c r="R524" s="105"/>
      <c r="S524" s="105"/>
      <c r="T524" s="105"/>
      <c r="U524" s="105"/>
      <c r="V524" s="105"/>
      <c r="W524" s="105"/>
      <c r="X524" s="105"/>
      <c r="Y524" s="105"/>
      <c r="Z524" s="105"/>
      <c r="AA524" s="105"/>
      <c r="AB524" s="105"/>
      <c r="AC524" s="105"/>
    </row>
    <row r="525" spans="1:29" ht="12.75">
      <c r="A525" s="34"/>
      <c r="B525" s="34"/>
      <c r="C525" s="34"/>
      <c r="D525" s="34"/>
      <c r="E525" s="188"/>
      <c r="F525" s="34"/>
      <c r="G525" s="34"/>
      <c r="H525" s="34"/>
      <c r="I525" s="34"/>
      <c r="J525" s="34"/>
      <c r="K525" s="105"/>
      <c r="L525" s="34"/>
      <c r="M525" s="34"/>
      <c r="N525" s="34"/>
      <c r="O525" s="105"/>
      <c r="P525" s="105"/>
      <c r="Q525" s="105"/>
      <c r="R525" s="105"/>
      <c r="S525" s="105"/>
      <c r="T525" s="105"/>
      <c r="U525" s="105"/>
      <c r="V525" s="105"/>
      <c r="W525" s="105"/>
      <c r="X525" s="105"/>
      <c r="Y525" s="105"/>
      <c r="Z525" s="105"/>
      <c r="AA525" s="105"/>
      <c r="AB525" s="105"/>
      <c r="AC525" s="105"/>
    </row>
    <row r="526" spans="1:29" ht="12.75">
      <c r="A526" s="34"/>
      <c r="B526" s="34"/>
      <c r="C526" s="34"/>
      <c r="D526" s="34"/>
      <c r="E526" s="188"/>
      <c r="F526" s="34"/>
      <c r="G526" s="34"/>
      <c r="H526" s="34"/>
      <c r="I526" s="34"/>
      <c r="J526" s="34"/>
      <c r="K526" s="105"/>
      <c r="L526" s="34"/>
      <c r="M526" s="34"/>
      <c r="N526" s="34"/>
      <c r="O526" s="105"/>
      <c r="P526" s="105"/>
      <c r="Q526" s="105"/>
      <c r="R526" s="105"/>
      <c r="S526" s="105"/>
      <c r="T526" s="105"/>
      <c r="U526" s="105"/>
      <c r="V526" s="105"/>
      <c r="W526" s="105"/>
      <c r="X526" s="105"/>
      <c r="Y526" s="105"/>
      <c r="Z526" s="105"/>
      <c r="AA526" s="105"/>
      <c r="AB526" s="105"/>
      <c r="AC526" s="105"/>
    </row>
    <row r="527" spans="1:29" ht="12.75">
      <c r="A527" s="34"/>
      <c r="B527" s="34"/>
      <c r="C527" s="34"/>
      <c r="D527" s="34"/>
      <c r="E527" s="188"/>
      <c r="F527" s="34"/>
      <c r="G527" s="34"/>
      <c r="H527" s="34"/>
      <c r="I527" s="34"/>
      <c r="J527" s="34"/>
      <c r="K527" s="105"/>
      <c r="L527" s="34"/>
      <c r="M527" s="34"/>
      <c r="N527" s="34"/>
      <c r="O527" s="105"/>
      <c r="P527" s="105"/>
      <c r="Q527" s="105"/>
      <c r="R527" s="105"/>
      <c r="S527" s="105"/>
      <c r="T527" s="105"/>
      <c r="U527" s="105"/>
      <c r="V527" s="105"/>
      <c r="W527" s="105"/>
      <c r="X527" s="105"/>
      <c r="Y527" s="105"/>
      <c r="Z527" s="105"/>
      <c r="AA527" s="105"/>
      <c r="AB527" s="105"/>
      <c r="AC527" s="105"/>
    </row>
    <row r="528" spans="1:29" ht="12.75">
      <c r="A528" s="34"/>
      <c r="B528" s="34"/>
      <c r="C528" s="34"/>
      <c r="D528" s="34"/>
      <c r="E528" s="188"/>
      <c r="F528" s="34"/>
      <c r="G528" s="34"/>
      <c r="H528" s="34"/>
      <c r="I528" s="34"/>
      <c r="J528" s="34"/>
      <c r="K528" s="105"/>
      <c r="L528" s="34"/>
      <c r="M528" s="34"/>
      <c r="N528" s="34"/>
      <c r="O528" s="105"/>
      <c r="P528" s="105"/>
      <c r="Q528" s="105"/>
      <c r="R528" s="105"/>
      <c r="S528" s="105"/>
      <c r="T528" s="105"/>
      <c r="U528" s="105"/>
      <c r="V528" s="105"/>
      <c r="W528" s="105"/>
      <c r="X528" s="105"/>
      <c r="Y528" s="105"/>
      <c r="Z528" s="105"/>
      <c r="AA528" s="105"/>
      <c r="AB528" s="105"/>
      <c r="AC528" s="105"/>
    </row>
    <row r="529" spans="1:29" ht="12.75">
      <c r="A529" s="34"/>
      <c r="B529" s="34"/>
      <c r="C529" s="34"/>
      <c r="D529" s="34"/>
      <c r="E529" s="188"/>
      <c r="F529" s="34"/>
      <c r="G529" s="34"/>
      <c r="H529" s="34"/>
      <c r="I529" s="34"/>
      <c r="J529" s="34"/>
      <c r="K529" s="105"/>
      <c r="L529" s="34"/>
      <c r="M529" s="34"/>
      <c r="N529" s="34"/>
      <c r="O529" s="105"/>
      <c r="P529" s="105"/>
      <c r="Q529" s="105"/>
      <c r="R529" s="105"/>
      <c r="S529" s="105"/>
      <c r="T529" s="105"/>
      <c r="U529" s="105"/>
      <c r="V529" s="105"/>
      <c r="W529" s="105"/>
      <c r="X529" s="105"/>
      <c r="Y529" s="105"/>
      <c r="Z529" s="105"/>
      <c r="AA529" s="105"/>
      <c r="AB529" s="105"/>
      <c r="AC529" s="105"/>
    </row>
    <row r="530" spans="1:29" ht="12.75">
      <c r="A530" s="34"/>
      <c r="B530" s="34"/>
      <c r="C530" s="34"/>
      <c r="D530" s="34"/>
      <c r="E530" s="188"/>
      <c r="F530" s="34"/>
      <c r="G530" s="34"/>
      <c r="H530" s="34"/>
      <c r="I530" s="34"/>
      <c r="J530" s="34"/>
      <c r="K530" s="105"/>
      <c r="L530" s="34"/>
      <c r="M530" s="34"/>
      <c r="N530" s="34"/>
      <c r="O530" s="105"/>
      <c r="P530" s="105"/>
      <c r="Q530" s="105"/>
      <c r="R530" s="105"/>
      <c r="S530" s="105"/>
      <c r="T530" s="105"/>
      <c r="U530" s="105"/>
      <c r="V530" s="105"/>
      <c r="W530" s="105"/>
      <c r="X530" s="105"/>
      <c r="Y530" s="105"/>
      <c r="Z530" s="105"/>
      <c r="AA530" s="105"/>
      <c r="AB530" s="105"/>
      <c r="AC530" s="105"/>
    </row>
    <row r="531" spans="1:29" ht="12.75">
      <c r="A531" s="34"/>
      <c r="B531" s="34"/>
      <c r="C531" s="34"/>
      <c r="D531" s="34"/>
      <c r="E531" s="188"/>
      <c r="F531" s="34"/>
      <c r="G531" s="34"/>
      <c r="H531" s="34"/>
      <c r="I531" s="34"/>
      <c r="J531" s="34"/>
      <c r="K531" s="105"/>
      <c r="L531" s="34"/>
      <c r="M531" s="34"/>
      <c r="N531" s="34"/>
      <c r="O531" s="105"/>
      <c r="P531" s="105"/>
      <c r="Q531" s="105"/>
      <c r="R531" s="105"/>
      <c r="S531" s="105"/>
      <c r="T531" s="105"/>
      <c r="U531" s="105"/>
      <c r="V531" s="105"/>
      <c r="W531" s="105"/>
      <c r="X531" s="105"/>
      <c r="Y531" s="105"/>
      <c r="Z531" s="105"/>
      <c r="AA531" s="105"/>
      <c r="AB531" s="105"/>
      <c r="AC531" s="105"/>
    </row>
    <row r="532" spans="1:29" ht="12.75">
      <c r="A532" s="34"/>
      <c r="B532" s="34"/>
      <c r="C532" s="34"/>
      <c r="D532" s="34"/>
      <c r="E532" s="188"/>
      <c r="F532" s="34"/>
      <c r="G532" s="34"/>
      <c r="H532" s="34"/>
      <c r="I532" s="34"/>
      <c r="J532" s="34"/>
      <c r="K532" s="105"/>
      <c r="L532" s="34"/>
      <c r="M532" s="34"/>
      <c r="N532" s="34"/>
      <c r="O532" s="105"/>
      <c r="P532" s="105"/>
      <c r="Q532" s="105"/>
      <c r="R532" s="105"/>
      <c r="S532" s="105"/>
      <c r="T532" s="105"/>
      <c r="U532" s="105"/>
      <c r="V532" s="105"/>
      <c r="W532" s="105"/>
      <c r="X532" s="105"/>
      <c r="Y532" s="105"/>
      <c r="Z532" s="105"/>
      <c r="AA532" s="105"/>
      <c r="AB532" s="105"/>
      <c r="AC532" s="105"/>
    </row>
    <row r="533" spans="1:29" ht="12.75">
      <c r="A533" s="34"/>
      <c r="B533" s="34"/>
      <c r="C533" s="34"/>
      <c r="D533" s="34"/>
      <c r="E533" s="188"/>
      <c r="F533" s="34"/>
      <c r="G533" s="34"/>
      <c r="H533" s="34"/>
      <c r="I533" s="34"/>
      <c r="J533" s="34"/>
      <c r="K533" s="105"/>
      <c r="L533" s="34"/>
      <c r="M533" s="34"/>
      <c r="N533" s="34"/>
      <c r="O533" s="105"/>
      <c r="P533" s="105"/>
      <c r="Q533" s="105"/>
      <c r="R533" s="105"/>
      <c r="S533" s="105"/>
      <c r="T533" s="105"/>
      <c r="U533" s="105"/>
      <c r="V533" s="105"/>
      <c r="W533" s="105"/>
      <c r="X533" s="105"/>
      <c r="Y533" s="105"/>
      <c r="Z533" s="105"/>
      <c r="AA533" s="105"/>
      <c r="AB533" s="105"/>
      <c r="AC533" s="105"/>
    </row>
    <row r="534" spans="1:29" ht="12.75">
      <c r="A534" s="34"/>
      <c r="B534" s="34"/>
      <c r="C534" s="34"/>
      <c r="D534" s="34"/>
      <c r="E534" s="188"/>
      <c r="F534" s="34"/>
      <c r="G534" s="34"/>
      <c r="H534" s="34"/>
      <c r="I534" s="34"/>
      <c r="J534" s="34"/>
      <c r="K534" s="105"/>
      <c r="L534" s="34"/>
      <c r="M534" s="34"/>
      <c r="N534" s="34"/>
      <c r="O534" s="105"/>
      <c r="P534" s="105"/>
      <c r="Q534" s="105"/>
      <c r="R534" s="105"/>
      <c r="S534" s="105"/>
      <c r="T534" s="105"/>
      <c r="U534" s="105"/>
      <c r="V534" s="105"/>
      <c r="W534" s="105"/>
      <c r="X534" s="105"/>
      <c r="Y534" s="105"/>
      <c r="Z534" s="105"/>
      <c r="AA534" s="105"/>
      <c r="AB534" s="105"/>
      <c r="AC534" s="105"/>
    </row>
    <row r="535" spans="1:29" ht="12.75">
      <c r="A535" s="34"/>
      <c r="B535" s="34"/>
      <c r="C535" s="34"/>
      <c r="D535" s="34"/>
      <c r="E535" s="188"/>
      <c r="F535" s="34"/>
      <c r="G535" s="34"/>
      <c r="H535" s="34"/>
      <c r="I535" s="34"/>
      <c r="J535" s="34"/>
      <c r="K535" s="105"/>
      <c r="L535" s="34"/>
      <c r="M535" s="34"/>
      <c r="N535" s="34"/>
      <c r="O535" s="105"/>
      <c r="P535" s="105"/>
      <c r="Q535" s="105"/>
      <c r="R535" s="105"/>
      <c r="S535" s="105"/>
      <c r="T535" s="105"/>
      <c r="U535" s="105"/>
      <c r="V535" s="105"/>
      <c r="W535" s="105"/>
      <c r="X535" s="105"/>
      <c r="Y535" s="105"/>
      <c r="Z535" s="105"/>
      <c r="AA535" s="105"/>
      <c r="AB535" s="105"/>
      <c r="AC535" s="105"/>
    </row>
    <row r="536" spans="1:29" ht="12.75">
      <c r="A536" s="34"/>
      <c r="B536" s="34"/>
      <c r="C536" s="34"/>
      <c r="D536" s="34"/>
      <c r="E536" s="188"/>
      <c r="F536" s="34"/>
      <c r="G536" s="34"/>
      <c r="H536" s="34"/>
      <c r="I536" s="34"/>
      <c r="J536" s="34"/>
      <c r="K536" s="105"/>
      <c r="L536" s="34"/>
      <c r="M536" s="34"/>
      <c r="N536" s="34"/>
      <c r="O536" s="105"/>
      <c r="P536" s="105"/>
      <c r="Q536" s="105"/>
      <c r="R536" s="105"/>
      <c r="S536" s="105"/>
      <c r="T536" s="105"/>
      <c r="U536" s="105"/>
      <c r="V536" s="105"/>
      <c r="W536" s="105"/>
      <c r="X536" s="105"/>
      <c r="Y536" s="105"/>
      <c r="Z536" s="105"/>
      <c r="AA536" s="105"/>
      <c r="AB536" s="105"/>
      <c r="AC536" s="105"/>
    </row>
    <row r="537" spans="1:29" ht="12.75">
      <c r="A537" s="34"/>
      <c r="B537" s="34"/>
      <c r="C537" s="34"/>
      <c r="D537" s="34"/>
      <c r="E537" s="188"/>
      <c r="F537" s="34"/>
      <c r="G537" s="34"/>
      <c r="H537" s="34"/>
      <c r="I537" s="34"/>
      <c r="J537" s="34"/>
      <c r="K537" s="105"/>
      <c r="L537" s="34"/>
      <c r="M537" s="34"/>
      <c r="N537" s="34"/>
      <c r="O537" s="105"/>
      <c r="P537" s="105"/>
      <c r="Q537" s="105"/>
      <c r="R537" s="105"/>
      <c r="S537" s="105"/>
      <c r="T537" s="105"/>
      <c r="U537" s="105"/>
      <c r="V537" s="105"/>
      <c r="W537" s="105"/>
      <c r="X537" s="105"/>
      <c r="Y537" s="105"/>
      <c r="Z537" s="105"/>
      <c r="AA537" s="105"/>
      <c r="AB537" s="105"/>
      <c r="AC537" s="105"/>
    </row>
    <row r="538" spans="1:29" ht="12.75">
      <c r="A538" s="34"/>
      <c r="B538" s="34"/>
      <c r="C538" s="34"/>
      <c r="D538" s="34"/>
      <c r="E538" s="188"/>
      <c r="F538" s="34"/>
      <c r="G538" s="34"/>
      <c r="H538" s="34"/>
      <c r="I538" s="34"/>
      <c r="J538" s="34"/>
      <c r="K538" s="105"/>
      <c r="L538" s="34"/>
      <c r="M538" s="34"/>
      <c r="N538" s="34"/>
      <c r="O538" s="105"/>
      <c r="P538" s="105"/>
      <c r="Q538" s="105"/>
      <c r="R538" s="105"/>
      <c r="S538" s="105"/>
      <c r="T538" s="105"/>
      <c r="U538" s="105"/>
      <c r="V538" s="105"/>
      <c r="W538" s="105"/>
      <c r="X538" s="105"/>
      <c r="Y538" s="105"/>
      <c r="Z538" s="105"/>
      <c r="AA538" s="105"/>
      <c r="AB538" s="105"/>
      <c r="AC538" s="105"/>
    </row>
    <row r="539" spans="1:29" ht="12.75">
      <c r="A539" s="34"/>
      <c r="B539" s="34"/>
      <c r="C539" s="34"/>
      <c r="D539" s="34"/>
      <c r="E539" s="188"/>
      <c r="F539" s="34"/>
      <c r="G539" s="34"/>
      <c r="H539" s="34"/>
      <c r="I539" s="34"/>
      <c r="J539" s="34"/>
      <c r="K539" s="105"/>
      <c r="L539" s="34"/>
      <c r="M539" s="34"/>
      <c r="N539" s="34"/>
      <c r="O539" s="105"/>
      <c r="P539" s="105"/>
      <c r="Q539" s="105"/>
      <c r="R539" s="105"/>
      <c r="S539" s="105"/>
      <c r="T539" s="105"/>
      <c r="U539" s="105"/>
      <c r="V539" s="105"/>
      <c r="W539" s="105"/>
      <c r="X539" s="105"/>
      <c r="Y539" s="105"/>
      <c r="Z539" s="105"/>
      <c r="AA539" s="105"/>
      <c r="AB539" s="105"/>
      <c r="AC539" s="105"/>
    </row>
    <row r="540" spans="1:29" ht="12.75">
      <c r="A540" s="34"/>
      <c r="B540" s="34"/>
      <c r="C540" s="34"/>
      <c r="D540" s="34"/>
      <c r="E540" s="188"/>
      <c r="F540" s="34"/>
      <c r="G540" s="34"/>
      <c r="H540" s="34"/>
      <c r="I540" s="34"/>
      <c r="J540" s="34"/>
      <c r="K540" s="105"/>
      <c r="L540" s="34"/>
      <c r="M540" s="34"/>
      <c r="N540" s="34"/>
      <c r="O540" s="105"/>
      <c r="P540" s="105"/>
      <c r="Q540" s="105"/>
      <c r="R540" s="105"/>
      <c r="S540" s="105"/>
      <c r="T540" s="105"/>
      <c r="U540" s="105"/>
      <c r="V540" s="105"/>
      <c r="W540" s="105"/>
      <c r="X540" s="105"/>
      <c r="Y540" s="105"/>
      <c r="Z540" s="105"/>
      <c r="AA540" s="105"/>
      <c r="AB540" s="105"/>
      <c r="AC540" s="105"/>
    </row>
    <row r="541" spans="1:29" ht="12.75">
      <c r="A541" s="34"/>
      <c r="B541" s="34"/>
      <c r="C541" s="34"/>
      <c r="D541" s="34"/>
      <c r="E541" s="188"/>
      <c r="F541" s="34"/>
      <c r="G541" s="34"/>
      <c r="H541" s="34"/>
      <c r="I541" s="34"/>
      <c r="J541" s="34"/>
      <c r="K541" s="105"/>
      <c r="L541" s="34"/>
      <c r="M541" s="34"/>
      <c r="N541" s="34"/>
      <c r="O541" s="105"/>
      <c r="P541" s="105"/>
      <c r="Q541" s="105"/>
      <c r="R541" s="105"/>
      <c r="S541" s="105"/>
      <c r="T541" s="105"/>
      <c r="U541" s="105"/>
      <c r="V541" s="105"/>
      <c r="W541" s="105"/>
      <c r="X541" s="105"/>
      <c r="Y541" s="105"/>
      <c r="Z541" s="105"/>
      <c r="AA541" s="105"/>
      <c r="AB541" s="105"/>
      <c r="AC541" s="105"/>
    </row>
    <row r="542" spans="1:29" ht="12.75">
      <c r="A542" s="34"/>
      <c r="B542" s="34"/>
      <c r="C542" s="34"/>
      <c r="D542" s="34"/>
      <c r="E542" s="188"/>
      <c r="F542" s="34"/>
      <c r="G542" s="34"/>
      <c r="H542" s="34"/>
      <c r="I542" s="34"/>
      <c r="J542" s="34"/>
      <c r="K542" s="105"/>
      <c r="L542" s="34"/>
      <c r="M542" s="34"/>
      <c r="N542" s="34"/>
      <c r="O542" s="105"/>
      <c r="P542" s="105"/>
      <c r="Q542" s="105"/>
      <c r="R542" s="105"/>
      <c r="S542" s="105"/>
      <c r="T542" s="105"/>
      <c r="U542" s="105"/>
      <c r="V542" s="105"/>
      <c r="W542" s="105"/>
      <c r="X542" s="105"/>
      <c r="Y542" s="105"/>
      <c r="Z542" s="105"/>
      <c r="AA542" s="105"/>
      <c r="AB542" s="105"/>
      <c r="AC542" s="105"/>
    </row>
    <row r="543" spans="1:29" ht="12.75">
      <c r="A543" s="34"/>
      <c r="B543" s="34"/>
      <c r="C543" s="34"/>
      <c r="D543" s="34"/>
      <c r="E543" s="188"/>
      <c r="F543" s="34"/>
      <c r="G543" s="34"/>
      <c r="H543" s="34"/>
      <c r="I543" s="34"/>
      <c r="J543" s="34"/>
      <c r="K543" s="105"/>
      <c r="L543" s="34"/>
      <c r="M543" s="34"/>
      <c r="N543" s="34"/>
      <c r="O543" s="105"/>
      <c r="P543" s="105"/>
      <c r="Q543" s="105"/>
      <c r="R543" s="105"/>
      <c r="S543" s="105"/>
      <c r="T543" s="105"/>
      <c r="U543" s="105"/>
      <c r="V543" s="105"/>
      <c r="W543" s="105"/>
      <c r="X543" s="105"/>
      <c r="Y543" s="105"/>
      <c r="Z543" s="105"/>
      <c r="AA543" s="105"/>
      <c r="AB543" s="105"/>
      <c r="AC543" s="105"/>
    </row>
    <row r="544" spans="1:29" ht="12.75">
      <c r="A544" s="34"/>
      <c r="B544" s="34"/>
      <c r="C544" s="34"/>
      <c r="D544" s="34"/>
      <c r="E544" s="188"/>
      <c r="F544" s="34"/>
      <c r="G544" s="34"/>
      <c r="H544" s="34"/>
      <c r="I544" s="34"/>
      <c r="J544" s="34"/>
      <c r="K544" s="105"/>
      <c r="L544" s="34"/>
      <c r="M544" s="34"/>
      <c r="N544" s="34"/>
      <c r="O544" s="105"/>
      <c r="P544" s="105"/>
      <c r="Q544" s="105"/>
      <c r="R544" s="105"/>
      <c r="S544" s="105"/>
      <c r="T544" s="105"/>
      <c r="U544" s="105"/>
      <c r="V544" s="105"/>
      <c r="W544" s="105"/>
      <c r="X544" s="105"/>
      <c r="Y544" s="105"/>
      <c r="Z544" s="105"/>
      <c r="AA544" s="105"/>
      <c r="AB544" s="105"/>
      <c r="AC544" s="105"/>
    </row>
    <row r="545" spans="1:29" ht="12.75">
      <c r="A545" s="34"/>
      <c r="B545" s="34"/>
      <c r="C545" s="34"/>
      <c r="D545" s="34"/>
      <c r="E545" s="188"/>
      <c r="F545" s="34"/>
      <c r="G545" s="34"/>
      <c r="H545" s="34"/>
      <c r="I545" s="34"/>
      <c r="J545" s="34"/>
      <c r="K545" s="105"/>
      <c r="L545" s="34"/>
      <c r="M545" s="34"/>
      <c r="N545" s="34"/>
      <c r="O545" s="105"/>
      <c r="P545" s="105"/>
      <c r="Q545" s="105"/>
      <c r="R545" s="105"/>
      <c r="S545" s="105"/>
      <c r="T545" s="105"/>
      <c r="U545" s="105"/>
      <c r="V545" s="105"/>
      <c r="W545" s="105"/>
      <c r="X545" s="105"/>
      <c r="Y545" s="105"/>
      <c r="Z545" s="105"/>
      <c r="AA545" s="105"/>
      <c r="AB545" s="105"/>
      <c r="AC545" s="105"/>
    </row>
    <row r="546" spans="1:29" ht="12.75">
      <c r="A546" s="34"/>
      <c r="B546" s="34"/>
      <c r="C546" s="34"/>
      <c r="D546" s="34"/>
      <c r="E546" s="188"/>
      <c r="F546" s="34"/>
      <c r="G546" s="34"/>
      <c r="H546" s="34"/>
      <c r="I546" s="34"/>
      <c r="J546" s="34"/>
      <c r="K546" s="105"/>
      <c r="L546" s="34"/>
      <c r="M546" s="34"/>
      <c r="N546" s="34"/>
      <c r="O546" s="105"/>
      <c r="P546" s="105"/>
      <c r="Q546" s="105"/>
      <c r="R546" s="105"/>
      <c r="S546" s="105"/>
      <c r="T546" s="105"/>
      <c r="U546" s="105"/>
      <c r="V546" s="105"/>
      <c r="W546" s="105"/>
      <c r="X546" s="105"/>
      <c r="Y546" s="105"/>
      <c r="Z546" s="105"/>
      <c r="AA546" s="105"/>
      <c r="AB546" s="105"/>
      <c r="AC546" s="105"/>
    </row>
    <row r="547" spans="1:29" ht="12.75">
      <c r="A547" s="34"/>
      <c r="B547" s="34"/>
      <c r="C547" s="34"/>
      <c r="D547" s="34"/>
      <c r="E547" s="188"/>
      <c r="F547" s="34"/>
      <c r="G547" s="34"/>
      <c r="H547" s="34"/>
      <c r="I547" s="34"/>
      <c r="J547" s="34"/>
      <c r="K547" s="105"/>
      <c r="L547" s="34"/>
      <c r="M547" s="34"/>
      <c r="N547" s="34"/>
      <c r="O547" s="105"/>
      <c r="P547" s="105"/>
      <c r="Q547" s="105"/>
      <c r="R547" s="105"/>
      <c r="S547" s="105"/>
      <c r="T547" s="105"/>
      <c r="U547" s="105"/>
      <c r="V547" s="105"/>
      <c r="W547" s="105"/>
      <c r="X547" s="105"/>
      <c r="Y547" s="105"/>
      <c r="Z547" s="105"/>
      <c r="AA547" s="105"/>
      <c r="AB547" s="105"/>
      <c r="AC547" s="105"/>
    </row>
    <row r="548" spans="1:29" ht="12.75">
      <c r="A548" s="34"/>
      <c r="B548" s="34"/>
      <c r="C548" s="34"/>
      <c r="D548" s="34"/>
      <c r="E548" s="188"/>
      <c r="F548" s="34"/>
      <c r="G548" s="34"/>
      <c r="H548" s="34"/>
      <c r="I548" s="34"/>
      <c r="J548" s="34"/>
      <c r="K548" s="105"/>
      <c r="L548" s="34"/>
      <c r="M548" s="34"/>
      <c r="N548" s="34"/>
      <c r="O548" s="105"/>
      <c r="P548" s="105"/>
      <c r="Q548" s="105"/>
      <c r="R548" s="105"/>
      <c r="S548" s="105"/>
      <c r="T548" s="105"/>
      <c r="U548" s="105"/>
      <c r="V548" s="105"/>
      <c r="W548" s="105"/>
      <c r="X548" s="105"/>
      <c r="Y548" s="105"/>
      <c r="Z548" s="105"/>
      <c r="AA548" s="105"/>
      <c r="AB548" s="105"/>
      <c r="AC548" s="105"/>
    </row>
    <row r="549" spans="1:29" ht="12.75">
      <c r="A549" s="34"/>
      <c r="B549" s="34"/>
      <c r="C549" s="34"/>
      <c r="D549" s="34"/>
      <c r="E549" s="188"/>
      <c r="F549" s="34"/>
      <c r="G549" s="34"/>
      <c r="H549" s="34"/>
      <c r="I549" s="34"/>
      <c r="J549" s="34"/>
      <c r="K549" s="105"/>
      <c r="L549" s="34"/>
      <c r="M549" s="34"/>
      <c r="N549" s="34"/>
      <c r="O549" s="105"/>
      <c r="P549" s="105"/>
      <c r="Q549" s="105"/>
      <c r="R549" s="105"/>
      <c r="S549" s="105"/>
      <c r="T549" s="105"/>
      <c r="U549" s="105"/>
      <c r="V549" s="105"/>
      <c r="W549" s="105"/>
      <c r="X549" s="105"/>
      <c r="Y549" s="105"/>
      <c r="Z549" s="105"/>
      <c r="AA549" s="105"/>
      <c r="AB549" s="105"/>
      <c r="AC549" s="105"/>
    </row>
    <row r="550" spans="1:29" ht="12.75">
      <c r="A550" s="34"/>
      <c r="B550" s="34"/>
      <c r="C550" s="34"/>
      <c r="D550" s="34"/>
      <c r="E550" s="188"/>
      <c r="F550" s="34"/>
      <c r="G550" s="34"/>
      <c r="H550" s="34"/>
      <c r="I550" s="34"/>
      <c r="J550" s="34"/>
      <c r="K550" s="105"/>
      <c r="L550" s="34"/>
      <c r="M550" s="34"/>
      <c r="N550" s="34"/>
      <c r="O550" s="105"/>
      <c r="P550" s="105"/>
      <c r="Q550" s="105"/>
      <c r="R550" s="105"/>
      <c r="S550" s="105"/>
      <c r="T550" s="105"/>
      <c r="U550" s="105"/>
      <c r="V550" s="105"/>
      <c r="W550" s="105"/>
      <c r="X550" s="105"/>
      <c r="Y550" s="105"/>
      <c r="Z550" s="105"/>
      <c r="AA550" s="105"/>
      <c r="AB550" s="105"/>
      <c r="AC550" s="105"/>
    </row>
    <row r="551" spans="1:29" ht="12.75">
      <c r="A551" s="34"/>
      <c r="B551" s="34"/>
      <c r="C551" s="34"/>
      <c r="D551" s="34"/>
      <c r="E551" s="188"/>
      <c r="F551" s="34"/>
      <c r="G551" s="34"/>
      <c r="H551" s="34"/>
      <c r="I551" s="34"/>
      <c r="J551" s="34"/>
      <c r="K551" s="105"/>
      <c r="L551" s="34"/>
      <c r="M551" s="34"/>
      <c r="N551" s="34"/>
      <c r="O551" s="105"/>
      <c r="P551" s="105"/>
      <c r="Q551" s="105"/>
      <c r="R551" s="105"/>
      <c r="S551" s="105"/>
      <c r="T551" s="105"/>
      <c r="U551" s="105"/>
      <c r="V551" s="105"/>
      <c r="W551" s="105"/>
      <c r="X551" s="105"/>
      <c r="Y551" s="105"/>
      <c r="Z551" s="105"/>
      <c r="AA551" s="105"/>
      <c r="AB551" s="105"/>
      <c r="AC551" s="105"/>
    </row>
    <row r="552" spans="1:29" ht="12.75">
      <c r="A552" s="34"/>
      <c r="B552" s="34"/>
      <c r="C552" s="34"/>
      <c r="D552" s="34"/>
      <c r="E552" s="188"/>
      <c r="F552" s="34"/>
      <c r="G552" s="34"/>
      <c r="H552" s="34"/>
      <c r="I552" s="34"/>
      <c r="J552" s="34"/>
      <c r="K552" s="105"/>
      <c r="L552" s="34"/>
      <c r="M552" s="34"/>
      <c r="N552" s="34"/>
      <c r="O552" s="105"/>
      <c r="P552" s="105"/>
      <c r="Q552" s="105"/>
      <c r="R552" s="105"/>
      <c r="S552" s="105"/>
      <c r="T552" s="105"/>
      <c r="U552" s="105"/>
      <c r="V552" s="105"/>
      <c r="W552" s="105"/>
      <c r="X552" s="105"/>
      <c r="Y552" s="105"/>
      <c r="Z552" s="105"/>
      <c r="AA552" s="105"/>
      <c r="AB552" s="105"/>
      <c r="AC552" s="105"/>
    </row>
    <row r="553" spans="1:29" ht="12.75">
      <c r="A553" s="34"/>
      <c r="B553" s="34"/>
      <c r="C553" s="34"/>
      <c r="D553" s="34"/>
      <c r="E553" s="188"/>
      <c r="F553" s="34"/>
      <c r="G553" s="34"/>
      <c r="H553" s="34"/>
      <c r="I553" s="34"/>
      <c r="J553" s="34"/>
      <c r="K553" s="105"/>
      <c r="L553" s="34"/>
      <c r="M553" s="34"/>
      <c r="N553" s="34"/>
      <c r="O553" s="105"/>
      <c r="P553" s="105"/>
      <c r="Q553" s="105"/>
      <c r="R553" s="105"/>
      <c r="S553" s="105"/>
      <c r="T553" s="105"/>
      <c r="U553" s="105"/>
      <c r="V553" s="105"/>
      <c r="W553" s="105"/>
      <c r="X553" s="105"/>
      <c r="Y553" s="105"/>
      <c r="Z553" s="105"/>
      <c r="AA553" s="105"/>
      <c r="AB553" s="105"/>
      <c r="AC553" s="105"/>
    </row>
    <row r="554" spans="1:29" ht="12.75">
      <c r="A554" s="34"/>
      <c r="B554" s="34"/>
      <c r="C554" s="34"/>
      <c r="D554" s="34"/>
      <c r="E554" s="188"/>
      <c r="F554" s="34"/>
      <c r="G554" s="34"/>
      <c r="H554" s="34"/>
      <c r="I554" s="34"/>
      <c r="J554" s="34"/>
      <c r="K554" s="105"/>
      <c r="L554" s="34"/>
      <c r="M554" s="34"/>
      <c r="N554" s="34"/>
      <c r="O554" s="105"/>
      <c r="P554" s="105"/>
      <c r="Q554" s="105"/>
      <c r="R554" s="105"/>
      <c r="S554" s="105"/>
      <c r="T554" s="105"/>
      <c r="U554" s="105"/>
      <c r="V554" s="105"/>
      <c r="W554" s="105"/>
      <c r="X554" s="105"/>
      <c r="Y554" s="105"/>
      <c r="Z554" s="105"/>
      <c r="AA554" s="105"/>
      <c r="AB554" s="105"/>
      <c r="AC554" s="105"/>
    </row>
    <row r="555" spans="1:29" ht="12.75">
      <c r="A555" s="34"/>
      <c r="B555" s="34"/>
      <c r="C555" s="34"/>
      <c r="D555" s="34"/>
      <c r="E555" s="188"/>
      <c r="F555" s="34"/>
      <c r="G555" s="34"/>
      <c r="H555" s="34"/>
      <c r="I555" s="34"/>
      <c r="J555" s="34"/>
      <c r="K555" s="105"/>
      <c r="L555" s="34"/>
      <c r="M555" s="34"/>
      <c r="N555" s="34"/>
      <c r="O555" s="105"/>
      <c r="P555" s="105"/>
      <c r="Q555" s="105"/>
      <c r="R555" s="105"/>
      <c r="S555" s="105"/>
      <c r="T555" s="105"/>
      <c r="U555" s="105"/>
      <c r="V555" s="105"/>
      <c r="W555" s="105"/>
      <c r="X555" s="105"/>
      <c r="Y555" s="105"/>
      <c r="Z555" s="105"/>
      <c r="AA555" s="105"/>
      <c r="AB555" s="105"/>
      <c r="AC555" s="105"/>
    </row>
    <row r="556" spans="1:29" ht="12.75">
      <c r="A556" s="34"/>
      <c r="B556" s="34"/>
      <c r="C556" s="34"/>
      <c r="D556" s="34"/>
      <c r="E556" s="188"/>
      <c r="F556" s="34"/>
      <c r="G556" s="34"/>
      <c r="H556" s="34"/>
      <c r="I556" s="34"/>
      <c r="J556" s="34"/>
      <c r="K556" s="105"/>
      <c r="L556" s="34"/>
      <c r="M556" s="34"/>
      <c r="N556" s="34"/>
      <c r="O556" s="105"/>
      <c r="P556" s="105"/>
      <c r="Q556" s="105"/>
      <c r="R556" s="105"/>
      <c r="S556" s="105"/>
      <c r="T556" s="105"/>
      <c r="U556" s="105"/>
      <c r="V556" s="105"/>
      <c r="W556" s="105"/>
      <c r="X556" s="105"/>
      <c r="Y556" s="105"/>
      <c r="Z556" s="105"/>
      <c r="AA556" s="105"/>
      <c r="AB556" s="105"/>
      <c r="AC556" s="105"/>
    </row>
    <row r="557" spans="1:29" ht="12.75">
      <c r="A557" s="34"/>
      <c r="B557" s="34"/>
      <c r="C557" s="34"/>
      <c r="D557" s="34"/>
      <c r="E557" s="188"/>
      <c r="F557" s="34"/>
      <c r="G557" s="34"/>
      <c r="H557" s="34"/>
      <c r="I557" s="34"/>
      <c r="J557" s="34"/>
      <c r="K557" s="105"/>
      <c r="L557" s="34"/>
      <c r="M557" s="34"/>
      <c r="N557" s="34"/>
      <c r="O557" s="105"/>
      <c r="P557" s="105"/>
      <c r="Q557" s="105"/>
      <c r="R557" s="105"/>
      <c r="S557" s="105"/>
      <c r="T557" s="105"/>
      <c r="U557" s="105"/>
      <c r="V557" s="105"/>
      <c r="W557" s="105"/>
      <c r="X557" s="105"/>
      <c r="Y557" s="105"/>
      <c r="Z557" s="105"/>
      <c r="AA557" s="105"/>
      <c r="AB557" s="105"/>
      <c r="AC557" s="105"/>
    </row>
    <row r="558" spans="1:29" ht="12.75">
      <c r="A558" s="34"/>
      <c r="B558" s="34"/>
      <c r="C558" s="34"/>
      <c r="D558" s="34"/>
      <c r="E558" s="188"/>
      <c r="F558" s="34"/>
      <c r="G558" s="34"/>
      <c r="H558" s="34"/>
      <c r="I558" s="34"/>
      <c r="J558" s="34"/>
      <c r="K558" s="105"/>
      <c r="L558" s="34"/>
      <c r="M558" s="34"/>
      <c r="N558" s="34"/>
      <c r="O558" s="105"/>
      <c r="P558" s="105"/>
      <c r="Q558" s="105"/>
      <c r="R558" s="105"/>
      <c r="S558" s="105"/>
      <c r="T558" s="105"/>
      <c r="U558" s="105"/>
      <c r="V558" s="105"/>
      <c r="W558" s="105"/>
      <c r="X558" s="105"/>
      <c r="Y558" s="105"/>
      <c r="Z558" s="105"/>
      <c r="AA558" s="105"/>
      <c r="AB558" s="105"/>
      <c r="AC558" s="105"/>
    </row>
    <row r="559" spans="1:29" ht="12.75">
      <c r="A559" s="34"/>
      <c r="B559" s="34"/>
      <c r="C559" s="34"/>
      <c r="D559" s="34"/>
      <c r="E559" s="188"/>
      <c r="F559" s="34"/>
      <c r="G559" s="34"/>
      <c r="H559" s="34"/>
      <c r="I559" s="34"/>
      <c r="J559" s="34"/>
      <c r="K559" s="105"/>
      <c r="L559" s="34"/>
      <c r="M559" s="34"/>
      <c r="N559" s="34"/>
      <c r="O559" s="105"/>
      <c r="P559" s="105"/>
      <c r="Q559" s="105"/>
      <c r="R559" s="105"/>
      <c r="S559" s="105"/>
      <c r="T559" s="105"/>
      <c r="U559" s="105"/>
      <c r="V559" s="105"/>
      <c r="W559" s="105"/>
      <c r="X559" s="105"/>
      <c r="Y559" s="105"/>
      <c r="Z559" s="105"/>
      <c r="AA559" s="105"/>
      <c r="AB559" s="105"/>
      <c r="AC559" s="105"/>
    </row>
    <row r="560" spans="1:29" ht="12.75">
      <c r="A560" s="34"/>
      <c r="B560" s="34"/>
      <c r="C560" s="34"/>
      <c r="D560" s="34"/>
      <c r="E560" s="188"/>
      <c r="F560" s="34"/>
      <c r="G560" s="34"/>
      <c r="H560" s="34"/>
      <c r="I560" s="34"/>
      <c r="J560" s="34"/>
      <c r="K560" s="105"/>
      <c r="L560" s="34"/>
      <c r="M560" s="34"/>
      <c r="N560" s="34"/>
      <c r="O560" s="105"/>
      <c r="P560" s="105"/>
      <c r="Q560" s="105"/>
      <c r="R560" s="105"/>
      <c r="S560" s="105"/>
      <c r="T560" s="105"/>
      <c r="U560" s="105"/>
      <c r="V560" s="105"/>
      <c r="W560" s="105"/>
      <c r="X560" s="105"/>
      <c r="Y560" s="105"/>
      <c r="Z560" s="105"/>
      <c r="AA560" s="105"/>
      <c r="AB560" s="105"/>
      <c r="AC560" s="105"/>
    </row>
    <row r="561" spans="1:29" ht="12.75">
      <c r="A561" s="34"/>
      <c r="B561" s="34"/>
      <c r="C561" s="34"/>
      <c r="D561" s="34"/>
      <c r="E561" s="188"/>
      <c r="F561" s="34"/>
      <c r="G561" s="34"/>
      <c r="H561" s="34"/>
      <c r="I561" s="34"/>
      <c r="J561" s="34"/>
      <c r="K561" s="105"/>
      <c r="L561" s="34"/>
      <c r="M561" s="34"/>
      <c r="N561" s="34"/>
      <c r="O561" s="105"/>
      <c r="P561" s="105"/>
      <c r="Q561" s="105"/>
      <c r="R561" s="105"/>
      <c r="S561" s="105"/>
      <c r="T561" s="105"/>
      <c r="U561" s="105"/>
      <c r="V561" s="105"/>
      <c r="W561" s="105"/>
      <c r="X561" s="105"/>
      <c r="Y561" s="105"/>
      <c r="Z561" s="105"/>
      <c r="AA561" s="105"/>
      <c r="AB561" s="105"/>
      <c r="AC561" s="105"/>
    </row>
    <row r="562" spans="1:29" ht="12.75">
      <c r="A562" s="34"/>
      <c r="B562" s="34"/>
      <c r="C562" s="34"/>
      <c r="D562" s="34"/>
      <c r="E562" s="188"/>
      <c r="F562" s="34"/>
      <c r="G562" s="34"/>
      <c r="H562" s="34"/>
      <c r="I562" s="34"/>
      <c r="J562" s="34"/>
      <c r="K562" s="105"/>
      <c r="L562" s="34"/>
      <c r="M562" s="34"/>
      <c r="N562" s="34"/>
      <c r="O562" s="105"/>
      <c r="P562" s="105"/>
      <c r="Q562" s="105"/>
      <c r="R562" s="105"/>
      <c r="S562" s="105"/>
      <c r="T562" s="105"/>
      <c r="U562" s="105"/>
      <c r="V562" s="105"/>
      <c r="W562" s="105"/>
      <c r="X562" s="105"/>
      <c r="Y562" s="105"/>
      <c r="Z562" s="105"/>
      <c r="AA562" s="105"/>
      <c r="AB562" s="105"/>
      <c r="AC562" s="105"/>
    </row>
    <row r="563" spans="1:29" ht="12.75">
      <c r="A563" s="34"/>
      <c r="B563" s="34"/>
      <c r="C563" s="34"/>
      <c r="D563" s="34"/>
      <c r="E563" s="188"/>
      <c r="F563" s="34"/>
      <c r="G563" s="34"/>
      <c r="H563" s="34"/>
      <c r="I563" s="34"/>
      <c r="J563" s="34"/>
      <c r="K563" s="105"/>
      <c r="L563" s="34"/>
      <c r="M563" s="34"/>
      <c r="N563" s="34"/>
      <c r="O563" s="105"/>
      <c r="P563" s="105"/>
      <c r="Q563" s="105"/>
      <c r="R563" s="105"/>
      <c r="S563" s="105"/>
      <c r="T563" s="105"/>
      <c r="U563" s="105"/>
      <c r="V563" s="105"/>
      <c r="W563" s="105"/>
      <c r="X563" s="105"/>
      <c r="Y563" s="105"/>
      <c r="Z563" s="105"/>
      <c r="AA563" s="105"/>
      <c r="AB563" s="105"/>
      <c r="AC563" s="105"/>
    </row>
    <row r="564" spans="1:29" ht="12.75">
      <c r="A564" s="34"/>
      <c r="B564" s="34"/>
      <c r="C564" s="34"/>
      <c r="D564" s="34"/>
      <c r="E564" s="188"/>
      <c r="F564" s="34"/>
      <c r="G564" s="34"/>
      <c r="H564" s="34"/>
      <c r="I564" s="34"/>
      <c r="J564" s="34"/>
      <c r="K564" s="105"/>
      <c r="L564" s="34"/>
      <c r="M564" s="34"/>
      <c r="N564" s="34"/>
      <c r="O564" s="105"/>
      <c r="P564" s="105"/>
      <c r="Q564" s="105"/>
      <c r="R564" s="105"/>
      <c r="S564" s="105"/>
      <c r="T564" s="105"/>
      <c r="U564" s="105"/>
      <c r="V564" s="105"/>
      <c r="W564" s="105"/>
      <c r="X564" s="105"/>
      <c r="Y564" s="105"/>
      <c r="Z564" s="105"/>
      <c r="AA564" s="105"/>
      <c r="AB564" s="105"/>
      <c r="AC564" s="105"/>
    </row>
    <row r="565" spans="1:29" ht="12.75">
      <c r="A565" s="34"/>
      <c r="B565" s="34"/>
      <c r="C565" s="34"/>
      <c r="D565" s="34"/>
      <c r="E565" s="188"/>
      <c r="F565" s="34"/>
      <c r="G565" s="34"/>
      <c r="H565" s="34"/>
      <c r="I565" s="34"/>
      <c r="J565" s="34"/>
      <c r="K565" s="105"/>
      <c r="L565" s="34"/>
      <c r="M565" s="34"/>
      <c r="N565" s="34"/>
      <c r="O565" s="105"/>
      <c r="P565" s="105"/>
      <c r="Q565" s="105"/>
      <c r="R565" s="105"/>
      <c r="S565" s="105"/>
      <c r="T565" s="105"/>
      <c r="U565" s="105"/>
      <c r="V565" s="105"/>
      <c r="W565" s="105"/>
      <c r="X565" s="105"/>
      <c r="Y565" s="105"/>
      <c r="Z565" s="105"/>
      <c r="AA565" s="105"/>
      <c r="AB565" s="105"/>
      <c r="AC565" s="105"/>
    </row>
    <row r="566" spans="1:29" ht="12.75">
      <c r="A566" s="34"/>
      <c r="B566" s="34"/>
      <c r="C566" s="34"/>
      <c r="D566" s="34"/>
      <c r="E566" s="188"/>
      <c r="F566" s="34"/>
      <c r="G566" s="34"/>
      <c r="H566" s="34"/>
      <c r="I566" s="34"/>
      <c r="J566" s="34"/>
      <c r="K566" s="105"/>
      <c r="L566" s="34"/>
      <c r="M566" s="34"/>
      <c r="N566" s="34"/>
      <c r="O566" s="105"/>
      <c r="P566" s="105"/>
      <c r="Q566" s="105"/>
      <c r="R566" s="105"/>
      <c r="S566" s="105"/>
      <c r="T566" s="105"/>
      <c r="U566" s="105"/>
      <c r="V566" s="105"/>
      <c r="W566" s="105"/>
      <c r="X566" s="105"/>
      <c r="Y566" s="105"/>
      <c r="Z566" s="105"/>
      <c r="AA566" s="105"/>
      <c r="AB566" s="105"/>
      <c r="AC566" s="105"/>
    </row>
    <row r="567" spans="1:29" ht="12.75">
      <c r="A567" s="34"/>
      <c r="B567" s="34"/>
      <c r="C567" s="34"/>
      <c r="D567" s="34"/>
      <c r="E567" s="188"/>
      <c r="F567" s="34"/>
      <c r="G567" s="34"/>
      <c r="H567" s="34"/>
      <c r="I567" s="34"/>
      <c r="J567" s="34"/>
      <c r="K567" s="105"/>
      <c r="L567" s="34"/>
      <c r="M567" s="34"/>
      <c r="N567" s="34"/>
      <c r="O567" s="105"/>
      <c r="P567" s="105"/>
      <c r="Q567" s="105"/>
      <c r="R567" s="105"/>
      <c r="S567" s="105"/>
      <c r="T567" s="105"/>
      <c r="U567" s="105"/>
      <c r="V567" s="105"/>
      <c r="W567" s="105"/>
      <c r="X567" s="105"/>
      <c r="Y567" s="105"/>
      <c r="Z567" s="105"/>
      <c r="AA567" s="105"/>
      <c r="AB567" s="105"/>
      <c r="AC567" s="105"/>
    </row>
    <row r="568" spans="1:29" ht="12.75">
      <c r="A568" s="34"/>
      <c r="B568" s="34"/>
      <c r="C568" s="34"/>
      <c r="D568" s="34"/>
      <c r="E568" s="188"/>
      <c r="F568" s="34"/>
      <c r="G568" s="34"/>
      <c r="H568" s="34"/>
      <c r="I568" s="34"/>
      <c r="J568" s="34"/>
      <c r="K568" s="105"/>
      <c r="L568" s="34"/>
      <c r="M568" s="34"/>
      <c r="N568" s="34"/>
      <c r="O568" s="105"/>
      <c r="P568" s="105"/>
      <c r="Q568" s="105"/>
      <c r="R568" s="105"/>
      <c r="S568" s="105"/>
      <c r="T568" s="105"/>
      <c r="U568" s="105"/>
      <c r="V568" s="105"/>
      <c r="W568" s="105"/>
      <c r="X568" s="105"/>
      <c r="Y568" s="105"/>
      <c r="Z568" s="105"/>
      <c r="AA568" s="105"/>
      <c r="AB568" s="105"/>
      <c r="AC568" s="105"/>
    </row>
    <row r="569" spans="1:29" ht="12.75">
      <c r="A569" s="34"/>
      <c r="B569" s="34"/>
      <c r="C569" s="34"/>
      <c r="D569" s="34"/>
      <c r="E569" s="188"/>
      <c r="F569" s="34"/>
      <c r="G569" s="34"/>
      <c r="H569" s="34"/>
      <c r="I569" s="34"/>
      <c r="J569" s="34"/>
      <c r="K569" s="105"/>
      <c r="L569" s="34"/>
      <c r="M569" s="34"/>
      <c r="N569" s="34"/>
      <c r="O569" s="105"/>
      <c r="P569" s="105"/>
      <c r="Q569" s="105"/>
      <c r="R569" s="105"/>
      <c r="S569" s="105"/>
      <c r="T569" s="105"/>
      <c r="U569" s="105"/>
      <c r="V569" s="105"/>
      <c r="W569" s="105"/>
      <c r="X569" s="105"/>
      <c r="Y569" s="105"/>
      <c r="Z569" s="105"/>
      <c r="AA569" s="105"/>
      <c r="AB569" s="105"/>
      <c r="AC569" s="105"/>
    </row>
    <row r="570" spans="1:29" ht="12.75">
      <c r="A570" s="34"/>
      <c r="B570" s="34"/>
      <c r="C570" s="34"/>
      <c r="D570" s="34"/>
      <c r="E570" s="188"/>
      <c r="F570" s="34"/>
      <c r="G570" s="34"/>
      <c r="H570" s="34"/>
      <c r="I570" s="34"/>
      <c r="J570" s="34"/>
      <c r="K570" s="105"/>
      <c r="L570" s="34"/>
      <c r="M570" s="34"/>
      <c r="N570" s="34"/>
      <c r="O570" s="105"/>
      <c r="P570" s="105"/>
      <c r="Q570" s="105"/>
      <c r="R570" s="105"/>
      <c r="S570" s="105"/>
      <c r="T570" s="105"/>
      <c r="U570" s="105"/>
      <c r="V570" s="105"/>
      <c r="W570" s="105"/>
      <c r="X570" s="105"/>
      <c r="Y570" s="105"/>
      <c r="Z570" s="105"/>
      <c r="AA570" s="105"/>
      <c r="AB570" s="105"/>
      <c r="AC570" s="105"/>
    </row>
    <row r="571" spans="1:29" ht="12.75">
      <c r="A571" s="34"/>
      <c r="B571" s="34"/>
      <c r="C571" s="34"/>
      <c r="D571" s="34"/>
      <c r="E571" s="188"/>
      <c r="F571" s="34"/>
      <c r="G571" s="34"/>
      <c r="H571" s="34"/>
      <c r="I571" s="34"/>
      <c r="J571" s="34"/>
      <c r="K571" s="105"/>
      <c r="L571" s="34"/>
      <c r="M571" s="34"/>
      <c r="N571" s="34"/>
      <c r="O571" s="105"/>
      <c r="P571" s="105"/>
      <c r="Q571" s="105"/>
      <c r="R571" s="105"/>
      <c r="S571" s="105"/>
      <c r="T571" s="105"/>
      <c r="U571" s="105"/>
      <c r="V571" s="105"/>
      <c r="W571" s="105"/>
      <c r="X571" s="105"/>
      <c r="Y571" s="105"/>
      <c r="Z571" s="105"/>
      <c r="AA571" s="105"/>
      <c r="AB571" s="105"/>
      <c r="AC571" s="105"/>
    </row>
    <row r="572" spans="1:29" ht="12.75">
      <c r="A572" s="34"/>
      <c r="B572" s="34"/>
      <c r="C572" s="34"/>
      <c r="D572" s="34"/>
      <c r="E572" s="188"/>
      <c r="F572" s="34"/>
      <c r="G572" s="34"/>
      <c r="H572" s="34"/>
      <c r="I572" s="34"/>
      <c r="J572" s="34"/>
      <c r="K572" s="105"/>
      <c r="L572" s="34"/>
      <c r="M572" s="34"/>
      <c r="N572" s="34"/>
      <c r="O572" s="105"/>
      <c r="P572" s="105"/>
      <c r="Q572" s="105"/>
      <c r="R572" s="105"/>
      <c r="S572" s="105"/>
      <c r="T572" s="105"/>
      <c r="U572" s="105"/>
      <c r="V572" s="105"/>
      <c r="W572" s="105"/>
      <c r="X572" s="105"/>
      <c r="Y572" s="105"/>
      <c r="Z572" s="105"/>
      <c r="AA572" s="105"/>
      <c r="AB572" s="105"/>
      <c r="AC572" s="105"/>
    </row>
    <row r="573" spans="1:29" ht="12.75">
      <c r="A573" s="34"/>
      <c r="B573" s="34"/>
      <c r="C573" s="34"/>
      <c r="D573" s="34"/>
      <c r="E573" s="188"/>
      <c r="F573" s="34"/>
      <c r="G573" s="34"/>
      <c r="H573" s="34"/>
      <c r="I573" s="34"/>
      <c r="J573" s="34"/>
      <c r="K573" s="105"/>
      <c r="L573" s="34"/>
      <c r="M573" s="34"/>
      <c r="N573" s="34"/>
      <c r="O573" s="105"/>
      <c r="P573" s="105"/>
      <c r="Q573" s="105"/>
      <c r="R573" s="105"/>
      <c r="S573" s="105"/>
      <c r="T573" s="105"/>
      <c r="U573" s="105"/>
      <c r="V573" s="105"/>
      <c r="W573" s="105"/>
      <c r="X573" s="105"/>
      <c r="Y573" s="105"/>
      <c r="Z573" s="105"/>
      <c r="AA573" s="105"/>
      <c r="AB573" s="105"/>
      <c r="AC573" s="105"/>
    </row>
    <row r="574" spans="1:29" ht="12.75">
      <c r="A574" s="34"/>
      <c r="B574" s="34"/>
      <c r="C574" s="34"/>
      <c r="D574" s="34"/>
      <c r="E574" s="188"/>
      <c r="F574" s="34"/>
      <c r="G574" s="34"/>
      <c r="H574" s="34"/>
      <c r="I574" s="34"/>
      <c r="J574" s="34"/>
      <c r="K574" s="105"/>
      <c r="L574" s="34"/>
      <c r="M574" s="34"/>
      <c r="N574" s="34"/>
      <c r="O574" s="105"/>
      <c r="P574" s="105"/>
      <c r="Q574" s="105"/>
      <c r="R574" s="105"/>
      <c r="S574" s="105"/>
      <c r="T574" s="105"/>
      <c r="U574" s="105"/>
      <c r="V574" s="105"/>
      <c r="W574" s="105"/>
      <c r="X574" s="105"/>
      <c r="Y574" s="105"/>
      <c r="Z574" s="105"/>
      <c r="AA574" s="105"/>
      <c r="AB574" s="105"/>
      <c r="AC574" s="105"/>
    </row>
    <row r="575" spans="1:29" ht="12.75">
      <c r="A575" s="34"/>
      <c r="B575" s="34"/>
      <c r="C575" s="34"/>
      <c r="D575" s="34"/>
      <c r="E575" s="188"/>
      <c r="F575" s="34"/>
      <c r="G575" s="34"/>
      <c r="H575" s="34"/>
      <c r="I575" s="34"/>
      <c r="J575" s="34"/>
      <c r="K575" s="105"/>
      <c r="L575" s="34"/>
      <c r="M575" s="34"/>
      <c r="N575" s="34"/>
      <c r="O575" s="105"/>
      <c r="P575" s="105"/>
      <c r="Q575" s="105"/>
      <c r="R575" s="105"/>
      <c r="S575" s="105"/>
      <c r="T575" s="105"/>
      <c r="U575" s="105"/>
      <c r="V575" s="105"/>
      <c r="W575" s="105"/>
      <c r="X575" s="105"/>
      <c r="Y575" s="105"/>
      <c r="Z575" s="105"/>
      <c r="AA575" s="105"/>
      <c r="AB575" s="105"/>
      <c r="AC575" s="105"/>
    </row>
    <row r="576" spans="1:29" ht="12.75">
      <c r="A576" s="34"/>
      <c r="B576" s="34"/>
      <c r="C576" s="34"/>
      <c r="D576" s="34"/>
      <c r="E576" s="188"/>
      <c r="F576" s="34"/>
      <c r="G576" s="34"/>
      <c r="H576" s="34"/>
      <c r="I576" s="34"/>
      <c r="J576" s="34"/>
      <c r="K576" s="105"/>
      <c r="L576" s="34"/>
      <c r="M576" s="34"/>
      <c r="N576" s="34"/>
      <c r="O576" s="105"/>
      <c r="P576" s="105"/>
      <c r="Q576" s="105"/>
      <c r="R576" s="105"/>
      <c r="S576" s="105"/>
      <c r="T576" s="105"/>
      <c r="U576" s="105"/>
      <c r="V576" s="105"/>
      <c r="W576" s="105"/>
      <c r="X576" s="105"/>
      <c r="Y576" s="105"/>
      <c r="Z576" s="105"/>
      <c r="AA576" s="105"/>
      <c r="AB576" s="105"/>
      <c r="AC576" s="105"/>
    </row>
    <row r="577" spans="1:29" ht="12.75">
      <c r="A577" s="34"/>
      <c r="B577" s="34"/>
      <c r="C577" s="34"/>
      <c r="D577" s="34"/>
      <c r="E577" s="188"/>
      <c r="F577" s="34"/>
      <c r="G577" s="34"/>
      <c r="H577" s="34"/>
      <c r="I577" s="34"/>
      <c r="J577" s="34"/>
      <c r="K577" s="105"/>
      <c r="L577" s="34"/>
      <c r="M577" s="34"/>
      <c r="N577" s="34"/>
      <c r="O577" s="105"/>
      <c r="P577" s="105"/>
      <c r="Q577" s="105"/>
      <c r="R577" s="105"/>
      <c r="S577" s="105"/>
      <c r="T577" s="105"/>
      <c r="U577" s="105"/>
      <c r="V577" s="105"/>
      <c r="W577" s="105"/>
      <c r="X577" s="105"/>
      <c r="Y577" s="105"/>
      <c r="Z577" s="105"/>
      <c r="AA577" s="105"/>
      <c r="AB577" s="105"/>
      <c r="AC577" s="105"/>
    </row>
    <row r="578" spans="1:29" ht="12.75">
      <c r="A578" s="34"/>
      <c r="B578" s="34"/>
      <c r="C578" s="34"/>
      <c r="D578" s="34"/>
      <c r="E578" s="188"/>
      <c r="F578" s="34"/>
      <c r="G578" s="34"/>
      <c r="H578" s="34"/>
      <c r="I578" s="34"/>
      <c r="J578" s="34"/>
      <c r="K578" s="105"/>
      <c r="L578" s="34"/>
      <c r="M578" s="34"/>
      <c r="N578" s="34"/>
      <c r="O578" s="105"/>
      <c r="P578" s="105"/>
      <c r="Q578" s="105"/>
      <c r="R578" s="105"/>
      <c r="S578" s="105"/>
      <c r="T578" s="105"/>
      <c r="U578" s="105"/>
      <c r="V578" s="105"/>
      <c r="W578" s="105"/>
      <c r="X578" s="105"/>
      <c r="Y578" s="105"/>
      <c r="Z578" s="105"/>
      <c r="AA578" s="105"/>
      <c r="AB578" s="105"/>
      <c r="AC578" s="105"/>
    </row>
    <row r="579" spans="1:29" ht="12.75">
      <c r="A579" s="34"/>
      <c r="B579" s="34"/>
      <c r="C579" s="34"/>
      <c r="D579" s="34"/>
      <c r="E579" s="188"/>
      <c r="F579" s="34"/>
      <c r="G579" s="34"/>
      <c r="H579" s="34"/>
      <c r="I579" s="34"/>
      <c r="J579" s="34"/>
      <c r="K579" s="105"/>
      <c r="L579" s="34"/>
      <c r="M579" s="34"/>
      <c r="N579" s="34"/>
      <c r="O579" s="105"/>
      <c r="P579" s="105"/>
      <c r="Q579" s="105"/>
      <c r="R579" s="105"/>
      <c r="S579" s="105"/>
      <c r="T579" s="105"/>
      <c r="U579" s="105"/>
      <c r="V579" s="105"/>
      <c r="W579" s="105"/>
      <c r="X579" s="105"/>
      <c r="Y579" s="105"/>
      <c r="Z579" s="105"/>
      <c r="AA579" s="105"/>
      <c r="AB579" s="105"/>
      <c r="AC579" s="105"/>
    </row>
    <row r="580" spans="1:29" ht="12.75">
      <c r="A580" s="34"/>
      <c r="B580" s="34"/>
      <c r="C580" s="34"/>
      <c r="D580" s="34"/>
      <c r="E580" s="188"/>
      <c r="F580" s="34"/>
      <c r="G580" s="34"/>
      <c r="H580" s="34"/>
      <c r="I580" s="34"/>
      <c r="J580" s="34"/>
      <c r="K580" s="105"/>
      <c r="L580" s="34"/>
      <c r="M580" s="34"/>
      <c r="N580" s="34"/>
      <c r="O580" s="105"/>
      <c r="P580" s="105"/>
      <c r="Q580" s="105"/>
      <c r="R580" s="105"/>
      <c r="S580" s="105"/>
      <c r="T580" s="105"/>
      <c r="U580" s="105"/>
      <c r="V580" s="105"/>
      <c r="W580" s="105"/>
      <c r="X580" s="105"/>
      <c r="Y580" s="105"/>
      <c r="Z580" s="105"/>
      <c r="AA580" s="105"/>
      <c r="AB580" s="105"/>
      <c r="AC580" s="105"/>
    </row>
    <row r="581" spans="1:29" ht="12.75">
      <c r="A581" s="34"/>
      <c r="B581" s="34"/>
      <c r="C581" s="34"/>
      <c r="D581" s="34"/>
      <c r="E581" s="188"/>
      <c r="F581" s="34"/>
      <c r="G581" s="34"/>
      <c r="H581" s="34"/>
      <c r="I581" s="34"/>
      <c r="J581" s="34"/>
      <c r="K581" s="105"/>
      <c r="L581" s="34"/>
      <c r="M581" s="34"/>
      <c r="N581" s="34"/>
      <c r="O581" s="105"/>
      <c r="P581" s="105"/>
      <c r="Q581" s="105"/>
      <c r="R581" s="105"/>
      <c r="S581" s="105"/>
      <c r="T581" s="105"/>
      <c r="U581" s="105"/>
      <c r="V581" s="105"/>
      <c r="W581" s="105"/>
      <c r="X581" s="105"/>
      <c r="Y581" s="105"/>
      <c r="Z581" s="105"/>
      <c r="AA581" s="105"/>
      <c r="AB581" s="105"/>
      <c r="AC581" s="105"/>
    </row>
    <row r="582" spans="1:29" ht="12.75">
      <c r="A582" s="34"/>
      <c r="B582" s="34"/>
      <c r="C582" s="34"/>
      <c r="D582" s="34"/>
      <c r="E582" s="188"/>
      <c r="F582" s="34"/>
      <c r="G582" s="34"/>
      <c r="H582" s="34"/>
      <c r="I582" s="34"/>
      <c r="J582" s="34"/>
      <c r="K582" s="105"/>
      <c r="L582" s="34"/>
      <c r="M582" s="34"/>
      <c r="N582" s="34"/>
      <c r="O582" s="105"/>
      <c r="P582" s="105"/>
      <c r="Q582" s="105"/>
      <c r="R582" s="105"/>
      <c r="S582" s="105"/>
      <c r="T582" s="105"/>
      <c r="U582" s="105"/>
      <c r="V582" s="105"/>
      <c r="W582" s="105"/>
      <c r="X582" s="105"/>
      <c r="Y582" s="105"/>
      <c r="Z582" s="105"/>
      <c r="AA582" s="105"/>
      <c r="AB582" s="105"/>
      <c r="AC582" s="105"/>
    </row>
    <row r="583" spans="1:29" ht="12.75">
      <c r="A583" s="34"/>
      <c r="B583" s="34"/>
      <c r="C583" s="34"/>
      <c r="D583" s="34"/>
      <c r="E583" s="188"/>
      <c r="F583" s="34"/>
      <c r="G583" s="34"/>
      <c r="H583" s="34"/>
      <c r="I583" s="34"/>
      <c r="J583" s="34"/>
      <c r="K583" s="105"/>
      <c r="L583" s="34"/>
      <c r="M583" s="34"/>
      <c r="N583" s="34"/>
      <c r="O583" s="105"/>
      <c r="P583" s="105"/>
      <c r="Q583" s="105"/>
      <c r="R583" s="105"/>
      <c r="S583" s="105"/>
      <c r="T583" s="105"/>
      <c r="U583" s="105"/>
      <c r="V583" s="105"/>
      <c r="W583" s="105"/>
      <c r="X583" s="105"/>
      <c r="Y583" s="105"/>
      <c r="Z583" s="105"/>
      <c r="AA583" s="105"/>
      <c r="AB583" s="105"/>
      <c r="AC583" s="105"/>
    </row>
    <row r="584" spans="1:29" ht="12.75">
      <c r="A584" s="34"/>
      <c r="B584" s="34"/>
      <c r="C584" s="34"/>
      <c r="D584" s="34"/>
      <c r="E584" s="188"/>
      <c r="F584" s="34"/>
      <c r="G584" s="34"/>
      <c r="H584" s="34"/>
      <c r="I584" s="34"/>
      <c r="J584" s="34"/>
      <c r="K584" s="105"/>
      <c r="L584" s="34"/>
      <c r="M584" s="34"/>
      <c r="N584" s="34"/>
      <c r="O584" s="105"/>
      <c r="P584" s="105"/>
      <c r="Q584" s="105"/>
      <c r="R584" s="105"/>
      <c r="S584" s="105"/>
      <c r="T584" s="105"/>
      <c r="U584" s="105"/>
      <c r="V584" s="105"/>
      <c r="W584" s="105"/>
      <c r="X584" s="105"/>
      <c r="Y584" s="105"/>
      <c r="Z584" s="105"/>
      <c r="AA584" s="105"/>
      <c r="AB584" s="105"/>
      <c r="AC584" s="105"/>
    </row>
    <row r="585" spans="1:29" ht="12.75">
      <c r="A585" s="34"/>
      <c r="B585" s="34"/>
      <c r="C585" s="34"/>
      <c r="D585" s="34"/>
      <c r="E585" s="188"/>
      <c r="F585" s="34"/>
      <c r="G585" s="34"/>
      <c r="H585" s="34"/>
      <c r="I585" s="34"/>
      <c r="J585" s="34"/>
      <c r="K585" s="105"/>
      <c r="L585" s="34"/>
      <c r="M585" s="34"/>
      <c r="N585" s="34"/>
      <c r="O585" s="105"/>
      <c r="P585" s="105"/>
      <c r="Q585" s="105"/>
      <c r="R585" s="105"/>
      <c r="S585" s="105"/>
      <c r="T585" s="105"/>
      <c r="U585" s="105"/>
      <c r="V585" s="105"/>
      <c r="W585" s="105"/>
      <c r="X585" s="105"/>
      <c r="Y585" s="105"/>
      <c r="Z585" s="105"/>
      <c r="AA585" s="105"/>
      <c r="AB585" s="105"/>
      <c r="AC585" s="105"/>
    </row>
    <row r="586" spans="1:29" ht="12.75">
      <c r="A586" s="34"/>
      <c r="B586" s="34"/>
      <c r="C586" s="34"/>
      <c r="D586" s="34"/>
      <c r="E586" s="188"/>
      <c r="F586" s="34"/>
      <c r="G586" s="34"/>
      <c r="H586" s="34"/>
      <c r="I586" s="34"/>
      <c r="J586" s="34"/>
      <c r="K586" s="105"/>
      <c r="L586" s="34"/>
      <c r="M586" s="34"/>
      <c r="N586" s="34"/>
      <c r="O586" s="105"/>
      <c r="P586" s="105"/>
      <c r="Q586" s="105"/>
      <c r="R586" s="105"/>
      <c r="S586" s="105"/>
      <c r="T586" s="105"/>
      <c r="U586" s="105"/>
      <c r="V586" s="105"/>
      <c r="W586" s="105"/>
      <c r="X586" s="105"/>
      <c r="Y586" s="105"/>
      <c r="Z586" s="105"/>
      <c r="AA586" s="105"/>
      <c r="AB586" s="105"/>
      <c r="AC586" s="105"/>
    </row>
    <row r="587" spans="1:29" ht="12.75">
      <c r="A587" s="34"/>
      <c r="B587" s="34"/>
      <c r="C587" s="34"/>
      <c r="D587" s="34"/>
      <c r="E587" s="188"/>
      <c r="F587" s="34"/>
      <c r="G587" s="34"/>
      <c r="H587" s="34"/>
      <c r="I587" s="34"/>
      <c r="J587" s="34"/>
      <c r="K587" s="105"/>
      <c r="L587" s="34"/>
      <c r="M587" s="34"/>
      <c r="N587" s="34"/>
      <c r="O587" s="105"/>
      <c r="P587" s="105"/>
      <c r="Q587" s="105"/>
      <c r="R587" s="105"/>
      <c r="S587" s="105"/>
      <c r="T587" s="105"/>
      <c r="U587" s="105"/>
      <c r="V587" s="105"/>
      <c r="W587" s="105"/>
      <c r="X587" s="105"/>
      <c r="Y587" s="105"/>
      <c r="Z587" s="105"/>
      <c r="AA587" s="105"/>
      <c r="AB587" s="105"/>
      <c r="AC587" s="105"/>
    </row>
    <row r="588" spans="1:29" ht="12.75">
      <c r="A588" s="34"/>
      <c r="B588" s="34"/>
      <c r="C588" s="34"/>
      <c r="D588" s="34"/>
      <c r="E588" s="188"/>
      <c r="F588" s="34"/>
      <c r="G588" s="34"/>
      <c r="H588" s="34"/>
      <c r="I588" s="34"/>
      <c r="J588" s="34"/>
      <c r="K588" s="105"/>
      <c r="L588" s="34"/>
      <c r="M588" s="34"/>
      <c r="N588" s="34"/>
      <c r="O588" s="105"/>
      <c r="P588" s="105"/>
      <c r="Q588" s="105"/>
      <c r="R588" s="105"/>
      <c r="S588" s="105"/>
      <c r="T588" s="105"/>
      <c r="U588" s="105"/>
      <c r="V588" s="105"/>
      <c r="W588" s="105"/>
      <c r="X588" s="105"/>
      <c r="Y588" s="105"/>
      <c r="Z588" s="105"/>
      <c r="AA588" s="105"/>
      <c r="AB588" s="105"/>
      <c r="AC588" s="105"/>
    </row>
    <row r="589" spans="1:29" ht="12.75">
      <c r="A589" s="34"/>
      <c r="B589" s="34"/>
      <c r="C589" s="34"/>
      <c r="D589" s="34"/>
      <c r="E589" s="188"/>
      <c r="F589" s="34"/>
      <c r="G589" s="34"/>
      <c r="H589" s="34"/>
      <c r="I589" s="34"/>
      <c r="J589" s="34"/>
      <c r="K589" s="105"/>
      <c r="L589" s="34"/>
      <c r="M589" s="34"/>
      <c r="N589" s="34"/>
      <c r="O589" s="105"/>
      <c r="P589" s="105"/>
      <c r="Q589" s="105"/>
      <c r="R589" s="105"/>
      <c r="S589" s="105"/>
      <c r="T589" s="105"/>
      <c r="U589" s="105"/>
      <c r="V589" s="105"/>
      <c r="W589" s="105"/>
      <c r="X589" s="105"/>
      <c r="Y589" s="105"/>
      <c r="Z589" s="105"/>
      <c r="AA589" s="105"/>
      <c r="AB589" s="105"/>
      <c r="AC589" s="105"/>
    </row>
    <row r="590" spans="1:29" ht="12.75">
      <c r="A590" s="34"/>
      <c r="B590" s="34"/>
      <c r="C590" s="34"/>
      <c r="D590" s="34"/>
      <c r="E590" s="188"/>
      <c r="F590" s="34"/>
      <c r="G590" s="34"/>
      <c r="H590" s="34"/>
      <c r="I590" s="34"/>
      <c r="J590" s="34"/>
      <c r="K590" s="105"/>
      <c r="L590" s="34"/>
      <c r="M590" s="34"/>
      <c r="N590" s="34"/>
      <c r="O590" s="105"/>
      <c r="P590" s="105"/>
      <c r="Q590" s="105"/>
      <c r="R590" s="105"/>
      <c r="S590" s="105"/>
      <c r="T590" s="105"/>
      <c r="U590" s="105"/>
      <c r="V590" s="105"/>
      <c r="W590" s="105"/>
      <c r="X590" s="105"/>
      <c r="Y590" s="105"/>
      <c r="Z590" s="105"/>
      <c r="AA590" s="105"/>
      <c r="AB590" s="105"/>
      <c r="AC590" s="105"/>
    </row>
    <row r="591" spans="1:29" ht="12.75">
      <c r="A591" s="34"/>
      <c r="B591" s="34"/>
      <c r="C591" s="34"/>
      <c r="D591" s="34"/>
      <c r="E591" s="188"/>
      <c r="F591" s="34"/>
      <c r="G591" s="34"/>
      <c r="H591" s="34"/>
      <c r="I591" s="34"/>
      <c r="J591" s="34"/>
      <c r="K591" s="105"/>
      <c r="L591" s="34"/>
      <c r="M591" s="34"/>
      <c r="N591" s="34"/>
      <c r="O591" s="105"/>
      <c r="P591" s="105"/>
      <c r="Q591" s="105"/>
      <c r="R591" s="105"/>
      <c r="S591" s="105"/>
      <c r="T591" s="105"/>
      <c r="U591" s="105"/>
      <c r="V591" s="105"/>
      <c r="W591" s="105"/>
      <c r="X591" s="105"/>
      <c r="Y591" s="105"/>
      <c r="Z591" s="105"/>
      <c r="AA591" s="105"/>
      <c r="AB591" s="105"/>
      <c r="AC591" s="105"/>
    </row>
    <row r="592" spans="1:29" ht="12.75">
      <c r="A592" s="34"/>
      <c r="B592" s="34"/>
      <c r="C592" s="34"/>
      <c r="D592" s="34"/>
      <c r="E592" s="188"/>
      <c r="F592" s="34"/>
      <c r="G592" s="34"/>
      <c r="H592" s="34"/>
      <c r="I592" s="34"/>
      <c r="J592" s="34"/>
      <c r="K592" s="105"/>
      <c r="L592" s="34"/>
      <c r="M592" s="34"/>
      <c r="N592" s="34"/>
      <c r="O592" s="105"/>
      <c r="P592" s="105"/>
      <c r="Q592" s="105"/>
      <c r="R592" s="105"/>
      <c r="S592" s="105"/>
      <c r="T592" s="105"/>
      <c r="U592" s="105"/>
      <c r="V592" s="105"/>
      <c r="W592" s="105"/>
      <c r="X592" s="105"/>
      <c r="Y592" s="105"/>
      <c r="Z592" s="105"/>
      <c r="AA592" s="105"/>
      <c r="AB592" s="105"/>
      <c r="AC592" s="105"/>
    </row>
    <row r="593" spans="1:29" ht="12.75">
      <c r="A593" s="34"/>
      <c r="B593" s="34"/>
      <c r="C593" s="34"/>
      <c r="D593" s="34"/>
      <c r="E593" s="188"/>
      <c r="F593" s="34"/>
      <c r="G593" s="34"/>
      <c r="H593" s="34"/>
      <c r="I593" s="34"/>
      <c r="J593" s="34"/>
      <c r="K593" s="105"/>
      <c r="L593" s="34"/>
      <c r="M593" s="34"/>
      <c r="N593" s="34"/>
      <c r="O593" s="105"/>
      <c r="P593" s="105"/>
      <c r="Q593" s="105"/>
      <c r="R593" s="105"/>
      <c r="S593" s="105"/>
      <c r="T593" s="105"/>
      <c r="U593" s="105"/>
      <c r="V593" s="105"/>
      <c r="W593" s="105"/>
      <c r="X593" s="105"/>
      <c r="Y593" s="105"/>
      <c r="Z593" s="105"/>
      <c r="AA593" s="105"/>
      <c r="AB593" s="105"/>
      <c r="AC593" s="105"/>
    </row>
    <row r="594" spans="1:29" ht="12.75">
      <c r="A594" s="34"/>
      <c r="B594" s="34"/>
      <c r="C594" s="34"/>
      <c r="D594" s="34"/>
      <c r="E594" s="188"/>
      <c r="F594" s="34"/>
      <c r="G594" s="34"/>
      <c r="H594" s="34"/>
      <c r="I594" s="34"/>
      <c r="J594" s="34"/>
      <c r="K594" s="105"/>
      <c r="L594" s="34"/>
      <c r="M594" s="34"/>
      <c r="N594" s="34"/>
      <c r="O594" s="105"/>
      <c r="P594" s="105"/>
      <c r="Q594" s="105"/>
      <c r="R594" s="105"/>
      <c r="S594" s="105"/>
      <c r="T594" s="105"/>
      <c r="U594" s="105"/>
      <c r="V594" s="105"/>
      <c r="W594" s="105"/>
      <c r="X594" s="105"/>
      <c r="Y594" s="105"/>
      <c r="Z594" s="105"/>
      <c r="AA594" s="105"/>
      <c r="AB594" s="105"/>
      <c r="AC594" s="105"/>
    </row>
    <row r="595" spans="1:29" ht="12.75">
      <c r="A595" s="34"/>
      <c r="B595" s="34"/>
      <c r="C595" s="34"/>
      <c r="D595" s="34"/>
      <c r="E595" s="188"/>
      <c r="F595" s="34"/>
      <c r="G595" s="34"/>
      <c r="H595" s="34"/>
      <c r="I595" s="34"/>
      <c r="J595" s="34"/>
      <c r="K595" s="105"/>
      <c r="L595" s="34"/>
      <c r="M595" s="34"/>
      <c r="N595" s="34"/>
      <c r="O595" s="105"/>
      <c r="P595" s="105"/>
      <c r="Q595" s="105"/>
      <c r="R595" s="105"/>
      <c r="S595" s="105"/>
      <c r="T595" s="105"/>
      <c r="U595" s="105"/>
      <c r="V595" s="105"/>
      <c r="W595" s="105"/>
      <c r="X595" s="105"/>
      <c r="Y595" s="105"/>
      <c r="Z595" s="105"/>
      <c r="AA595" s="105"/>
      <c r="AB595" s="105"/>
      <c r="AC595" s="105"/>
    </row>
    <row r="596" spans="1:29" ht="12.75">
      <c r="A596" s="34"/>
      <c r="B596" s="34"/>
      <c r="C596" s="34"/>
      <c r="D596" s="34"/>
      <c r="E596" s="188"/>
      <c r="F596" s="34"/>
      <c r="G596" s="34"/>
      <c r="H596" s="34"/>
      <c r="I596" s="34"/>
      <c r="J596" s="34"/>
      <c r="K596" s="105"/>
      <c r="L596" s="34"/>
      <c r="M596" s="34"/>
      <c r="N596" s="34"/>
      <c r="O596" s="105"/>
      <c r="P596" s="105"/>
      <c r="Q596" s="105"/>
      <c r="R596" s="105"/>
      <c r="S596" s="105"/>
      <c r="T596" s="105"/>
      <c r="U596" s="105"/>
      <c r="V596" s="105"/>
      <c r="W596" s="105"/>
      <c r="X596" s="105"/>
      <c r="Y596" s="105"/>
      <c r="Z596" s="105"/>
      <c r="AA596" s="105"/>
      <c r="AB596" s="105"/>
      <c r="AC596" s="105"/>
    </row>
    <row r="597" spans="1:29" ht="12.75">
      <c r="A597" s="34"/>
      <c r="B597" s="34"/>
      <c r="C597" s="34"/>
      <c r="D597" s="34"/>
      <c r="E597" s="188"/>
      <c r="F597" s="34"/>
      <c r="G597" s="34"/>
      <c r="H597" s="34"/>
      <c r="I597" s="34"/>
      <c r="J597" s="34"/>
      <c r="K597" s="105"/>
      <c r="L597" s="34"/>
      <c r="M597" s="34"/>
      <c r="N597" s="34"/>
      <c r="O597" s="105"/>
      <c r="P597" s="105"/>
      <c r="Q597" s="105"/>
      <c r="R597" s="105"/>
      <c r="S597" s="105"/>
      <c r="T597" s="105"/>
      <c r="U597" s="105"/>
      <c r="V597" s="105"/>
      <c r="W597" s="105"/>
      <c r="X597" s="105"/>
      <c r="Y597" s="105"/>
      <c r="Z597" s="105"/>
      <c r="AA597" s="105"/>
      <c r="AB597" s="105"/>
      <c r="AC597" s="105"/>
    </row>
    <row r="598" spans="1:29" ht="12.75">
      <c r="A598" s="34"/>
      <c r="B598" s="34"/>
      <c r="C598" s="34"/>
      <c r="D598" s="34"/>
      <c r="E598" s="188"/>
      <c r="F598" s="34"/>
      <c r="G598" s="34"/>
      <c r="H598" s="34"/>
      <c r="I598" s="34"/>
      <c r="J598" s="34"/>
      <c r="K598" s="105"/>
      <c r="L598" s="34"/>
      <c r="M598" s="34"/>
      <c r="N598" s="34"/>
      <c r="O598" s="105"/>
      <c r="P598" s="105"/>
      <c r="Q598" s="105"/>
      <c r="R598" s="105"/>
      <c r="S598" s="105"/>
      <c r="T598" s="105"/>
      <c r="U598" s="105"/>
      <c r="V598" s="105"/>
      <c r="W598" s="105"/>
      <c r="X598" s="105"/>
      <c r="Y598" s="105"/>
      <c r="Z598" s="105"/>
      <c r="AA598" s="105"/>
      <c r="AB598" s="105"/>
      <c r="AC598" s="105"/>
    </row>
    <row r="599" spans="1:29" ht="12.75">
      <c r="A599" s="34"/>
      <c r="B599" s="34"/>
      <c r="C599" s="34"/>
      <c r="D599" s="34"/>
      <c r="E599" s="188"/>
      <c r="F599" s="34"/>
      <c r="G599" s="34"/>
      <c r="H599" s="34"/>
      <c r="I599" s="34"/>
      <c r="J599" s="34"/>
      <c r="K599" s="105"/>
      <c r="L599" s="34"/>
      <c r="M599" s="34"/>
      <c r="N599" s="34"/>
      <c r="O599" s="105"/>
      <c r="P599" s="105"/>
      <c r="Q599" s="105"/>
      <c r="R599" s="105"/>
      <c r="S599" s="105"/>
      <c r="T599" s="105"/>
      <c r="U599" s="105"/>
      <c r="V599" s="105"/>
      <c r="W599" s="105"/>
      <c r="X599" s="105"/>
      <c r="Y599" s="105"/>
      <c r="Z599" s="105"/>
      <c r="AA599" s="105"/>
      <c r="AB599" s="105"/>
      <c r="AC599" s="105"/>
    </row>
    <row r="600" spans="1:29" ht="12.75">
      <c r="A600" s="34"/>
      <c r="B600" s="34"/>
      <c r="C600" s="34"/>
      <c r="D600" s="34"/>
      <c r="E600" s="188"/>
      <c r="F600" s="34"/>
      <c r="G600" s="34"/>
      <c r="H600" s="34"/>
      <c r="I600" s="34"/>
      <c r="J600" s="34"/>
      <c r="K600" s="105"/>
      <c r="L600" s="34"/>
      <c r="M600" s="34"/>
      <c r="N600" s="34"/>
      <c r="O600" s="105"/>
      <c r="P600" s="105"/>
      <c r="Q600" s="105"/>
      <c r="R600" s="105"/>
      <c r="S600" s="105"/>
      <c r="T600" s="105"/>
      <c r="U600" s="105"/>
      <c r="V600" s="105"/>
      <c r="W600" s="105"/>
      <c r="X600" s="105"/>
      <c r="Y600" s="105"/>
      <c r="Z600" s="105"/>
      <c r="AA600" s="105"/>
      <c r="AB600" s="105"/>
      <c r="AC600" s="105"/>
    </row>
    <row r="601" spans="1:29" ht="12.75">
      <c r="A601" s="34"/>
      <c r="B601" s="34"/>
      <c r="C601" s="34"/>
      <c r="D601" s="34"/>
      <c r="E601" s="188"/>
      <c r="F601" s="34"/>
      <c r="G601" s="34"/>
      <c r="H601" s="34"/>
      <c r="I601" s="34"/>
      <c r="J601" s="34"/>
      <c r="K601" s="105"/>
      <c r="L601" s="34"/>
      <c r="M601" s="34"/>
      <c r="N601" s="34"/>
      <c r="O601" s="105"/>
      <c r="P601" s="105"/>
      <c r="Q601" s="105"/>
      <c r="R601" s="105"/>
      <c r="S601" s="105"/>
      <c r="T601" s="105"/>
      <c r="U601" s="105"/>
      <c r="V601" s="105"/>
      <c r="W601" s="105"/>
      <c r="X601" s="105"/>
      <c r="Y601" s="105"/>
      <c r="Z601" s="105"/>
      <c r="AA601" s="105"/>
      <c r="AB601" s="105"/>
      <c r="AC601" s="105"/>
    </row>
    <row r="602" spans="1:29" ht="12.75">
      <c r="A602" s="34"/>
      <c r="B602" s="34"/>
      <c r="C602" s="34"/>
      <c r="D602" s="34"/>
      <c r="E602" s="188"/>
      <c r="F602" s="34"/>
      <c r="G602" s="34"/>
      <c r="H602" s="34"/>
      <c r="I602" s="34"/>
      <c r="J602" s="34"/>
      <c r="K602" s="105"/>
      <c r="L602" s="34"/>
      <c r="M602" s="34"/>
      <c r="N602" s="34"/>
      <c r="O602" s="105"/>
      <c r="P602" s="105"/>
      <c r="Q602" s="105"/>
      <c r="R602" s="105"/>
      <c r="S602" s="105"/>
      <c r="T602" s="105"/>
      <c r="U602" s="105"/>
      <c r="V602" s="105"/>
      <c r="W602" s="105"/>
      <c r="X602" s="105"/>
      <c r="Y602" s="105"/>
      <c r="Z602" s="105"/>
      <c r="AA602" s="105"/>
      <c r="AB602" s="105"/>
      <c r="AC602" s="105"/>
    </row>
    <row r="603" spans="1:29" ht="12.75">
      <c r="A603" s="34"/>
      <c r="B603" s="34"/>
      <c r="C603" s="34"/>
      <c r="D603" s="34"/>
      <c r="E603" s="188"/>
      <c r="F603" s="34"/>
      <c r="G603" s="34"/>
      <c r="H603" s="34"/>
      <c r="I603" s="34"/>
      <c r="J603" s="34"/>
      <c r="K603" s="105"/>
      <c r="L603" s="34"/>
      <c r="M603" s="34"/>
      <c r="N603" s="34"/>
      <c r="O603" s="105"/>
      <c r="P603" s="105"/>
      <c r="Q603" s="105"/>
      <c r="R603" s="105"/>
      <c r="S603" s="105"/>
      <c r="T603" s="105"/>
      <c r="U603" s="105"/>
      <c r="V603" s="105"/>
      <c r="W603" s="105"/>
      <c r="X603" s="105"/>
      <c r="Y603" s="105"/>
      <c r="Z603" s="105"/>
      <c r="AA603" s="105"/>
      <c r="AB603" s="105"/>
      <c r="AC603" s="105"/>
    </row>
    <row r="604" spans="1:29" ht="12.75">
      <c r="A604" s="34"/>
      <c r="B604" s="34"/>
      <c r="C604" s="34"/>
      <c r="D604" s="34"/>
      <c r="E604" s="188"/>
      <c r="F604" s="34"/>
      <c r="G604" s="34"/>
      <c r="H604" s="34"/>
      <c r="I604" s="34"/>
      <c r="J604" s="34"/>
      <c r="K604" s="105"/>
      <c r="L604" s="34"/>
      <c r="M604" s="34"/>
      <c r="N604" s="34"/>
      <c r="O604" s="105"/>
      <c r="P604" s="105"/>
      <c r="Q604" s="105"/>
      <c r="R604" s="105"/>
      <c r="S604" s="105"/>
      <c r="T604" s="105"/>
      <c r="U604" s="105"/>
      <c r="V604" s="105"/>
      <c r="W604" s="105"/>
      <c r="X604" s="105"/>
      <c r="Y604" s="105"/>
      <c r="Z604" s="105"/>
      <c r="AA604" s="105"/>
      <c r="AB604" s="105"/>
      <c r="AC604" s="105"/>
    </row>
    <row r="605" spans="1:29" ht="12.75">
      <c r="A605" s="34"/>
      <c r="B605" s="34"/>
      <c r="C605" s="34"/>
      <c r="D605" s="34"/>
      <c r="E605" s="188"/>
      <c r="F605" s="34"/>
      <c r="G605" s="34"/>
      <c r="H605" s="34"/>
      <c r="I605" s="34"/>
      <c r="J605" s="34"/>
      <c r="K605" s="105"/>
      <c r="L605" s="34"/>
      <c r="M605" s="34"/>
      <c r="N605" s="34"/>
      <c r="O605" s="105"/>
      <c r="P605" s="105"/>
      <c r="Q605" s="105"/>
      <c r="R605" s="105"/>
      <c r="S605" s="105"/>
      <c r="T605" s="105"/>
      <c r="U605" s="105"/>
      <c r="V605" s="105"/>
      <c r="W605" s="105"/>
      <c r="X605" s="105"/>
      <c r="Y605" s="105"/>
      <c r="Z605" s="105"/>
      <c r="AA605" s="105"/>
      <c r="AB605" s="105"/>
      <c r="AC605" s="105"/>
    </row>
    <row r="606" spans="1:29" ht="12.75">
      <c r="A606" s="34"/>
      <c r="B606" s="34"/>
      <c r="C606" s="34"/>
      <c r="D606" s="34"/>
      <c r="E606" s="188"/>
      <c r="F606" s="34"/>
      <c r="G606" s="34"/>
      <c r="H606" s="34"/>
      <c r="I606" s="34"/>
      <c r="J606" s="34"/>
      <c r="K606" s="105"/>
      <c r="L606" s="34"/>
      <c r="M606" s="34"/>
      <c r="N606" s="34"/>
      <c r="O606" s="105"/>
      <c r="P606" s="105"/>
      <c r="Q606" s="105"/>
      <c r="R606" s="105"/>
      <c r="S606" s="105"/>
      <c r="T606" s="105"/>
      <c r="U606" s="105"/>
      <c r="V606" s="105"/>
      <c r="W606" s="105"/>
      <c r="X606" s="105"/>
      <c r="Y606" s="105"/>
      <c r="Z606" s="105"/>
      <c r="AA606" s="105"/>
      <c r="AB606" s="105"/>
      <c r="AC606" s="105"/>
    </row>
    <row r="607" spans="1:29" ht="12.75">
      <c r="A607" s="34"/>
      <c r="B607" s="34"/>
      <c r="C607" s="34"/>
      <c r="D607" s="34"/>
      <c r="E607" s="188"/>
      <c r="F607" s="34"/>
      <c r="G607" s="34"/>
      <c r="H607" s="34"/>
      <c r="I607" s="34"/>
      <c r="J607" s="34"/>
      <c r="K607" s="105"/>
      <c r="L607" s="34"/>
      <c r="M607" s="34"/>
      <c r="N607" s="34"/>
      <c r="O607" s="105"/>
      <c r="P607" s="105"/>
      <c r="Q607" s="105"/>
      <c r="R607" s="105"/>
      <c r="S607" s="105"/>
      <c r="T607" s="105"/>
      <c r="U607" s="105"/>
      <c r="V607" s="105"/>
      <c r="W607" s="105"/>
      <c r="X607" s="105"/>
      <c r="Y607" s="105"/>
      <c r="Z607" s="105"/>
      <c r="AA607" s="105"/>
      <c r="AB607" s="105"/>
      <c r="AC607" s="105"/>
    </row>
    <row r="608" spans="1:29" ht="12.75">
      <c r="A608" s="34"/>
      <c r="B608" s="34"/>
      <c r="C608" s="34"/>
      <c r="D608" s="34"/>
      <c r="E608" s="188"/>
      <c r="F608" s="34"/>
      <c r="G608" s="34"/>
      <c r="H608" s="34"/>
      <c r="I608" s="34"/>
      <c r="J608" s="34"/>
      <c r="K608" s="105"/>
      <c r="L608" s="34"/>
      <c r="M608" s="34"/>
      <c r="N608" s="34"/>
      <c r="O608" s="105"/>
      <c r="P608" s="105"/>
      <c r="Q608" s="105"/>
      <c r="R608" s="105"/>
      <c r="S608" s="105"/>
      <c r="T608" s="105"/>
      <c r="U608" s="105"/>
      <c r="V608" s="105"/>
      <c r="W608" s="105"/>
      <c r="X608" s="105"/>
      <c r="Y608" s="105"/>
      <c r="Z608" s="105"/>
      <c r="AA608" s="105"/>
      <c r="AB608" s="105"/>
      <c r="AC608" s="105"/>
    </row>
    <row r="609" spans="1:29" ht="12.75">
      <c r="A609" s="34"/>
      <c r="B609" s="34"/>
      <c r="C609" s="34"/>
      <c r="D609" s="34"/>
      <c r="E609" s="188"/>
      <c r="F609" s="34"/>
      <c r="G609" s="34"/>
      <c r="H609" s="34"/>
      <c r="I609" s="34"/>
      <c r="J609" s="34"/>
      <c r="K609" s="105"/>
      <c r="L609" s="34"/>
      <c r="M609" s="34"/>
      <c r="N609" s="34"/>
      <c r="O609" s="105"/>
      <c r="P609" s="105"/>
      <c r="Q609" s="105"/>
      <c r="R609" s="105"/>
      <c r="S609" s="105"/>
      <c r="T609" s="105"/>
      <c r="U609" s="105"/>
      <c r="V609" s="105"/>
      <c r="W609" s="105"/>
      <c r="X609" s="105"/>
      <c r="Y609" s="105"/>
      <c r="Z609" s="105"/>
      <c r="AA609" s="105"/>
      <c r="AB609" s="105"/>
      <c r="AC609" s="105"/>
    </row>
    <row r="610" spans="1:29" ht="12.75">
      <c r="A610" s="34"/>
      <c r="B610" s="34"/>
      <c r="C610" s="34"/>
      <c r="D610" s="34"/>
      <c r="E610" s="188"/>
      <c r="F610" s="34"/>
      <c r="G610" s="34"/>
      <c r="H610" s="34"/>
      <c r="I610" s="34"/>
      <c r="J610" s="34"/>
      <c r="K610" s="105"/>
      <c r="L610" s="34"/>
      <c r="M610" s="34"/>
      <c r="N610" s="34"/>
      <c r="O610" s="105"/>
      <c r="P610" s="105"/>
      <c r="Q610" s="105"/>
      <c r="R610" s="105"/>
      <c r="S610" s="105"/>
      <c r="T610" s="105"/>
      <c r="U610" s="105"/>
      <c r="V610" s="105"/>
      <c r="W610" s="105"/>
      <c r="X610" s="105"/>
      <c r="Y610" s="105"/>
      <c r="Z610" s="105"/>
      <c r="AA610" s="105"/>
      <c r="AB610" s="105"/>
      <c r="AC610" s="105"/>
    </row>
    <row r="611" spans="1:29" ht="12.75">
      <c r="A611" s="34"/>
      <c r="B611" s="34"/>
      <c r="C611" s="34"/>
      <c r="D611" s="34"/>
      <c r="E611" s="188"/>
      <c r="F611" s="34"/>
      <c r="G611" s="34"/>
      <c r="H611" s="34"/>
      <c r="I611" s="34"/>
      <c r="J611" s="34"/>
      <c r="K611" s="105"/>
      <c r="L611" s="34"/>
      <c r="M611" s="34"/>
      <c r="N611" s="34"/>
      <c r="O611" s="105"/>
      <c r="P611" s="105"/>
      <c r="Q611" s="105"/>
      <c r="R611" s="105"/>
      <c r="S611" s="105"/>
      <c r="T611" s="105"/>
      <c r="U611" s="105"/>
      <c r="V611" s="105"/>
      <c r="W611" s="105"/>
      <c r="X611" s="105"/>
      <c r="Y611" s="105"/>
      <c r="Z611" s="105"/>
      <c r="AA611" s="105"/>
      <c r="AB611" s="105"/>
      <c r="AC611" s="105"/>
    </row>
    <row r="612" spans="1:29" ht="12.75">
      <c r="A612" s="34"/>
      <c r="B612" s="34"/>
      <c r="C612" s="34"/>
      <c r="D612" s="34"/>
      <c r="E612" s="188"/>
      <c r="F612" s="34"/>
      <c r="G612" s="34"/>
      <c r="H612" s="34"/>
      <c r="I612" s="34"/>
      <c r="J612" s="34"/>
      <c r="K612" s="105"/>
      <c r="L612" s="34"/>
      <c r="M612" s="34"/>
      <c r="N612" s="34"/>
      <c r="O612" s="105"/>
      <c r="P612" s="105"/>
      <c r="Q612" s="105"/>
      <c r="R612" s="105"/>
      <c r="S612" s="105"/>
      <c r="T612" s="105"/>
      <c r="U612" s="105"/>
      <c r="V612" s="105"/>
      <c r="W612" s="105"/>
      <c r="X612" s="105"/>
      <c r="Y612" s="105"/>
      <c r="Z612" s="105"/>
      <c r="AA612" s="105"/>
      <c r="AB612" s="105"/>
      <c r="AC612" s="105"/>
    </row>
    <row r="613" spans="1:29" ht="12.75">
      <c r="A613" s="34"/>
      <c r="B613" s="34"/>
      <c r="C613" s="34"/>
      <c r="D613" s="34"/>
      <c r="E613" s="188"/>
      <c r="F613" s="34"/>
      <c r="G613" s="34"/>
      <c r="H613" s="34"/>
      <c r="I613" s="34"/>
      <c r="J613" s="34"/>
      <c r="K613" s="105"/>
      <c r="L613" s="34"/>
      <c r="M613" s="34"/>
      <c r="N613" s="34"/>
      <c r="O613" s="105"/>
      <c r="P613" s="105"/>
      <c r="Q613" s="105"/>
      <c r="R613" s="105"/>
      <c r="S613" s="105"/>
      <c r="T613" s="105"/>
      <c r="U613" s="105"/>
      <c r="V613" s="105"/>
      <c r="W613" s="105"/>
      <c r="X613" s="105"/>
      <c r="Y613" s="105"/>
      <c r="Z613" s="105"/>
      <c r="AA613" s="105"/>
      <c r="AB613" s="105"/>
      <c r="AC613" s="105"/>
    </row>
    <row r="614" spans="1:29" ht="12.75">
      <c r="A614" s="34"/>
      <c r="B614" s="34"/>
      <c r="C614" s="34"/>
      <c r="D614" s="34"/>
      <c r="E614" s="188"/>
      <c r="F614" s="34"/>
      <c r="G614" s="34"/>
      <c r="H614" s="34"/>
      <c r="I614" s="34"/>
      <c r="J614" s="34"/>
      <c r="K614" s="105"/>
      <c r="L614" s="34"/>
      <c r="M614" s="34"/>
      <c r="N614" s="34"/>
      <c r="O614" s="105"/>
      <c r="P614" s="105"/>
      <c r="Q614" s="105"/>
      <c r="R614" s="105"/>
      <c r="S614" s="105"/>
      <c r="T614" s="105"/>
      <c r="U614" s="105"/>
      <c r="V614" s="105"/>
      <c r="W614" s="105"/>
      <c r="X614" s="105"/>
      <c r="Y614" s="105"/>
      <c r="Z614" s="105"/>
      <c r="AA614" s="105"/>
      <c r="AB614" s="105"/>
      <c r="AC614" s="105"/>
    </row>
    <row r="615" spans="1:29" ht="12.75">
      <c r="A615" s="34"/>
      <c r="B615" s="34"/>
      <c r="C615" s="34"/>
      <c r="D615" s="34"/>
      <c r="E615" s="188"/>
      <c r="F615" s="34"/>
      <c r="G615" s="34"/>
      <c r="H615" s="34"/>
      <c r="I615" s="34"/>
      <c r="J615" s="34"/>
      <c r="K615" s="105"/>
      <c r="L615" s="34"/>
      <c r="M615" s="34"/>
      <c r="N615" s="34"/>
      <c r="O615" s="105"/>
      <c r="P615" s="105"/>
      <c r="Q615" s="105"/>
      <c r="R615" s="105"/>
      <c r="S615" s="105"/>
      <c r="T615" s="105"/>
      <c r="U615" s="105"/>
      <c r="V615" s="105"/>
      <c r="W615" s="105"/>
      <c r="X615" s="105"/>
      <c r="Y615" s="105"/>
      <c r="Z615" s="105"/>
      <c r="AA615" s="105"/>
      <c r="AB615" s="105"/>
      <c r="AC615" s="105"/>
    </row>
    <row r="616" spans="1:29" ht="12.75">
      <c r="A616" s="34"/>
      <c r="B616" s="34"/>
      <c r="C616" s="34"/>
      <c r="D616" s="34"/>
      <c r="E616" s="188"/>
      <c r="F616" s="34"/>
      <c r="G616" s="34"/>
      <c r="H616" s="34"/>
      <c r="I616" s="34"/>
      <c r="J616" s="34"/>
      <c r="K616" s="105"/>
      <c r="L616" s="34"/>
      <c r="M616" s="34"/>
      <c r="N616" s="34"/>
      <c r="O616" s="105"/>
      <c r="P616" s="105"/>
      <c r="Q616" s="105"/>
      <c r="R616" s="105"/>
      <c r="S616" s="105"/>
      <c r="T616" s="105"/>
      <c r="U616" s="105"/>
      <c r="V616" s="105"/>
      <c r="W616" s="105"/>
      <c r="X616" s="105"/>
      <c r="Y616" s="105"/>
      <c r="Z616" s="105"/>
      <c r="AA616" s="105"/>
      <c r="AB616" s="105"/>
      <c r="AC616" s="105"/>
    </row>
    <row r="617" spans="1:29" ht="12.75">
      <c r="A617" s="34"/>
      <c r="B617" s="34"/>
      <c r="C617" s="34"/>
      <c r="D617" s="34"/>
      <c r="E617" s="188"/>
      <c r="F617" s="34"/>
      <c r="G617" s="34"/>
      <c r="H617" s="34"/>
      <c r="I617" s="34"/>
      <c r="J617" s="34"/>
      <c r="K617" s="105"/>
      <c r="L617" s="34"/>
      <c r="M617" s="34"/>
      <c r="N617" s="34"/>
      <c r="O617" s="105"/>
      <c r="P617" s="105"/>
      <c r="Q617" s="105"/>
      <c r="R617" s="105"/>
      <c r="S617" s="105"/>
      <c r="T617" s="105"/>
      <c r="U617" s="105"/>
      <c r="V617" s="105"/>
      <c r="W617" s="105"/>
      <c r="X617" s="105"/>
      <c r="Y617" s="105"/>
      <c r="Z617" s="105"/>
      <c r="AA617" s="105"/>
      <c r="AB617" s="105"/>
      <c r="AC617" s="105"/>
    </row>
    <row r="618" spans="1:29" ht="12.75">
      <c r="A618" s="34"/>
      <c r="B618" s="34"/>
      <c r="C618" s="34"/>
      <c r="D618" s="34"/>
      <c r="E618" s="188"/>
      <c r="F618" s="34"/>
      <c r="G618" s="34"/>
      <c r="H618" s="34"/>
      <c r="I618" s="34"/>
      <c r="J618" s="34"/>
      <c r="K618" s="105"/>
      <c r="L618" s="34"/>
      <c r="M618" s="34"/>
      <c r="N618" s="34"/>
      <c r="O618" s="105"/>
      <c r="P618" s="105"/>
      <c r="Q618" s="105"/>
      <c r="R618" s="105"/>
      <c r="S618" s="105"/>
      <c r="T618" s="105"/>
      <c r="U618" s="105"/>
      <c r="V618" s="105"/>
      <c r="W618" s="105"/>
      <c r="X618" s="105"/>
      <c r="Y618" s="105"/>
      <c r="Z618" s="105"/>
      <c r="AA618" s="105"/>
      <c r="AB618" s="105"/>
      <c r="AC618" s="105"/>
    </row>
    <row r="619" spans="1:29" ht="12.75">
      <c r="A619" s="34"/>
      <c r="B619" s="34"/>
      <c r="C619" s="34"/>
      <c r="D619" s="34"/>
      <c r="E619" s="188"/>
      <c r="F619" s="34"/>
      <c r="G619" s="34"/>
      <c r="H619" s="34"/>
      <c r="I619" s="34"/>
      <c r="J619" s="34"/>
      <c r="K619" s="105"/>
      <c r="L619" s="34"/>
      <c r="M619" s="34"/>
      <c r="N619" s="34"/>
      <c r="O619" s="105"/>
      <c r="P619" s="105"/>
      <c r="Q619" s="105"/>
      <c r="R619" s="105"/>
      <c r="S619" s="105"/>
      <c r="T619" s="105"/>
      <c r="U619" s="105"/>
      <c r="V619" s="105"/>
      <c r="W619" s="105"/>
      <c r="X619" s="105"/>
      <c r="Y619" s="105"/>
      <c r="Z619" s="105"/>
      <c r="AA619" s="105"/>
      <c r="AB619" s="105"/>
      <c r="AC619" s="105"/>
    </row>
    <row r="620" spans="1:29" ht="12.75">
      <c r="A620" s="34"/>
      <c r="B620" s="34"/>
      <c r="C620" s="34"/>
      <c r="D620" s="34"/>
      <c r="E620" s="188"/>
      <c r="F620" s="34"/>
      <c r="G620" s="34"/>
      <c r="H620" s="34"/>
      <c r="I620" s="34"/>
      <c r="J620" s="34"/>
      <c r="K620" s="105"/>
      <c r="L620" s="34"/>
      <c r="M620" s="34"/>
      <c r="N620" s="34"/>
      <c r="O620" s="105"/>
      <c r="P620" s="105"/>
      <c r="Q620" s="105"/>
      <c r="R620" s="105"/>
      <c r="S620" s="105"/>
      <c r="T620" s="105"/>
      <c r="U620" s="105"/>
      <c r="V620" s="105"/>
      <c r="W620" s="105"/>
      <c r="X620" s="105"/>
      <c r="Y620" s="105"/>
      <c r="Z620" s="105"/>
      <c r="AA620" s="105"/>
      <c r="AB620" s="105"/>
      <c r="AC620" s="105"/>
    </row>
    <row r="621" spans="1:29" ht="12.75">
      <c r="A621" s="34"/>
      <c r="B621" s="34"/>
      <c r="C621" s="34"/>
      <c r="D621" s="34"/>
      <c r="E621" s="188"/>
      <c r="F621" s="34"/>
      <c r="G621" s="34"/>
      <c r="H621" s="34"/>
      <c r="I621" s="34"/>
      <c r="J621" s="34"/>
      <c r="K621" s="105"/>
      <c r="L621" s="34"/>
      <c r="M621" s="34"/>
      <c r="N621" s="34"/>
      <c r="O621" s="105"/>
      <c r="P621" s="105"/>
      <c r="Q621" s="105"/>
      <c r="R621" s="105"/>
      <c r="S621" s="105"/>
      <c r="T621" s="105"/>
      <c r="U621" s="105"/>
      <c r="V621" s="105"/>
      <c r="W621" s="105"/>
      <c r="X621" s="105"/>
      <c r="Y621" s="105"/>
      <c r="Z621" s="105"/>
      <c r="AA621" s="105"/>
      <c r="AB621" s="105"/>
      <c r="AC621" s="105"/>
    </row>
    <row r="622" spans="1:29" ht="12.75">
      <c r="A622" s="34"/>
      <c r="B622" s="34"/>
      <c r="C622" s="34"/>
      <c r="D622" s="34"/>
      <c r="E622" s="188"/>
      <c r="F622" s="34"/>
      <c r="G622" s="34"/>
      <c r="H622" s="34"/>
      <c r="I622" s="34"/>
      <c r="J622" s="34"/>
      <c r="K622" s="105"/>
      <c r="L622" s="34"/>
      <c r="M622" s="34"/>
      <c r="N622" s="34"/>
      <c r="O622" s="105"/>
      <c r="P622" s="105"/>
      <c r="Q622" s="105"/>
      <c r="R622" s="105"/>
      <c r="S622" s="105"/>
      <c r="T622" s="105"/>
      <c r="U622" s="105"/>
      <c r="V622" s="105"/>
      <c r="W622" s="105"/>
      <c r="X622" s="105"/>
      <c r="Y622" s="105"/>
      <c r="Z622" s="105"/>
      <c r="AA622" s="105"/>
      <c r="AB622" s="105"/>
      <c r="AC622" s="105"/>
    </row>
    <row r="623" spans="1:29" ht="12.75">
      <c r="A623" s="34"/>
      <c r="B623" s="34"/>
      <c r="C623" s="34"/>
      <c r="D623" s="34"/>
      <c r="E623" s="188"/>
      <c r="F623" s="34"/>
      <c r="G623" s="34"/>
      <c r="H623" s="34"/>
      <c r="I623" s="34"/>
      <c r="J623" s="34"/>
      <c r="K623" s="105"/>
      <c r="L623" s="34"/>
      <c r="M623" s="34"/>
      <c r="N623" s="34"/>
      <c r="O623" s="105"/>
      <c r="P623" s="105"/>
      <c r="Q623" s="105"/>
      <c r="R623" s="105"/>
      <c r="S623" s="105"/>
      <c r="T623" s="105"/>
      <c r="U623" s="105"/>
      <c r="V623" s="105"/>
      <c r="W623" s="105"/>
      <c r="X623" s="105"/>
      <c r="Y623" s="105"/>
      <c r="Z623" s="105"/>
      <c r="AA623" s="105"/>
      <c r="AB623" s="105"/>
      <c r="AC623" s="105"/>
    </row>
    <row r="624" spans="1:29" ht="12.75">
      <c r="A624" s="34"/>
      <c r="B624" s="34"/>
      <c r="C624" s="34"/>
      <c r="D624" s="34"/>
      <c r="E624" s="188"/>
      <c r="F624" s="34"/>
      <c r="G624" s="34"/>
      <c r="H624" s="34"/>
      <c r="I624" s="34"/>
      <c r="J624" s="34"/>
      <c r="K624" s="105"/>
      <c r="L624" s="34"/>
      <c r="M624" s="34"/>
      <c r="N624" s="34"/>
      <c r="O624" s="105"/>
      <c r="P624" s="105"/>
      <c r="Q624" s="105"/>
      <c r="R624" s="105"/>
      <c r="S624" s="105"/>
      <c r="T624" s="105"/>
      <c r="U624" s="105"/>
      <c r="V624" s="105"/>
      <c r="W624" s="105"/>
      <c r="X624" s="105"/>
      <c r="Y624" s="105"/>
      <c r="Z624" s="105"/>
      <c r="AA624" s="105"/>
      <c r="AB624" s="105"/>
      <c r="AC624" s="105"/>
    </row>
    <row r="625" spans="1:29" ht="12.75">
      <c r="A625" s="34"/>
      <c r="B625" s="34"/>
      <c r="C625" s="34"/>
      <c r="D625" s="34"/>
      <c r="E625" s="188"/>
      <c r="F625" s="34"/>
      <c r="G625" s="34"/>
      <c r="H625" s="34"/>
      <c r="I625" s="34"/>
      <c r="J625" s="34"/>
      <c r="K625" s="105"/>
      <c r="L625" s="34"/>
      <c r="M625" s="34"/>
      <c r="N625" s="34"/>
      <c r="O625" s="105"/>
      <c r="P625" s="105"/>
      <c r="Q625" s="105"/>
      <c r="R625" s="105"/>
      <c r="S625" s="105"/>
      <c r="T625" s="105"/>
      <c r="U625" s="105"/>
      <c r="V625" s="105"/>
      <c r="W625" s="105"/>
      <c r="X625" s="105"/>
      <c r="Y625" s="105"/>
      <c r="Z625" s="105"/>
      <c r="AA625" s="105"/>
      <c r="AB625" s="105"/>
      <c r="AC625" s="105"/>
    </row>
    <row r="626" spans="1:29" ht="12.75">
      <c r="A626" s="34"/>
      <c r="B626" s="34"/>
      <c r="C626" s="34"/>
      <c r="D626" s="34"/>
      <c r="E626" s="188"/>
      <c r="F626" s="34"/>
      <c r="G626" s="34"/>
      <c r="H626" s="34"/>
      <c r="I626" s="34"/>
      <c r="J626" s="34"/>
      <c r="K626" s="105"/>
      <c r="L626" s="34"/>
      <c r="M626" s="34"/>
      <c r="N626" s="34"/>
      <c r="O626" s="105"/>
      <c r="P626" s="105"/>
      <c r="Q626" s="105"/>
      <c r="R626" s="105"/>
      <c r="S626" s="105"/>
      <c r="T626" s="105"/>
      <c r="U626" s="105"/>
      <c r="V626" s="105"/>
      <c r="W626" s="105"/>
      <c r="X626" s="105"/>
      <c r="Y626" s="105"/>
      <c r="Z626" s="105"/>
      <c r="AA626" s="105"/>
      <c r="AB626" s="105"/>
      <c r="AC626" s="105"/>
    </row>
    <row r="627" spans="1:29" ht="12.75">
      <c r="A627" s="34"/>
      <c r="B627" s="34"/>
      <c r="C627" s="34"/>
      <c r="D627" s="34"/>
      <c r="E627" s="188"/>
      <c r="F627" s="34"/>
      <c r="G627" s="34"/>
      <c r="H627" s="34"/>
      <c r="I627" s="34"/>
      <c r="J627" s="34"/>
      <c r="K627" s="105"/>
      <c r="L627" s="34"/>
      <c r="M627" s="34"/>
      <c r="N627" s="34"/>
      <c r="O627" s="105"/>
      <c r="P627" s="105"/>
      <c r="Q627" s="105"/>
      <c r="R627" s="105"/>
      <c r="S627" s="105"/>
      <c r="T627" s="105"/>
      <c r="U627" s="105"/>
      <c r="V627" s="105"/>
      <c r="W627" s="105"/>
      <c r="X627" s="105"/>
      <c r="Y627" s="105"/>
      <c r="Z627" s="105"/>
      <c r="AA627" s="105"/>
      <c r="AB627" s="105"/>
      <c r="AC627" s="105"/>
    </row>
    <row r="628" spans="1:29" ht="12.75">
      <c r="A628" s="34"/>
      <c r="B628" s="34"/>
      <c r="C628" s="34"/>
      <c r="D628" s="34"/>
      <c r="E628" s="188"/>
      <c r="F628" s="34"/>
      <c r="G628" s="34"/>
      <c r="H628" s="34"/>
      <c r="I628" s="34"/>
      <c r="J628" s="34"/>
      <c r="K628" s="105"/>
      <c r="L628" s="34"/>
      <c r="M628" s="34"/>
      <c r="N628" s="34"/>
      <c r="O628" s="105"/>
      <c r="P628" s="105"/>
      <c r="Q628" s="105"/>
      <c r="R628" s="105"/>
      <c r="S628" s="105"/>
      <c r="T628" s="105"/>
      <c r="U628" s="105"/>
      <c r="V628" s="105"/>
      <c r="W628" s="105"/>
      <c r="X628" s="105"/>
      <c r="Y628" s="105"/>
      <c r="Z628" s="105"/>
      <c r="AA628" s="105"/>
      <c r="AB628" s="105"/>
      <c r="AC628" s="105"/>
    </row>
    <row r="629" spans="1:29" ht="12.75">
      <c r="A629" s="34"/>
      <c r="B629" s="34"/>
      <c r="C629" s="34"/>
      <c r="D629" s="34"/>
      <c r="E629" s="188"/>
      <c r="F629" s="34"/>
      <c r="G629" s="34"/>
      <c r="H629" s="34"/>
      <c r="I629" s="34"/>
      <c r="J629" s="34"/>
      <c r="K629" s="105"/>
      <c r="L629" s="34"/>
      <c r="M629" s="34"/>
      <c r="N629" s="34"/>
      <c r="O629" s="105"/>
      <c r="P629" s="105"/>
      <c r="Q629" s="105"/>
      <c r="R629" s="105"/>
      <c r="S629" s="105"/>
      <c r="T629" s="105"/>
      <c r="U629" s="105"/>
      <c r="V629" s="105"/>
      <c r="W629" s="105"/>
      <c r="X629" s="105"/>
      <c r="Y629" s="105"/>
      <c r="Z629" s="105"/>
      <c r="AA629" s="105"/>
      <c r="AB629" s="105"/>
      <c r="AC629" s="105"/>
    </row>
    <row r="630" spans="1:29" ht="12.75">
      <c r="A630" s="34"/>
      <c r="B630" s="34"/>
      <c r="C630" s="34"/>
      <c r="D630" s="34"/>
      <c r="E630" s="188"/>
      <c r="F630" s="34"/>
      <c r="G630" s="34"/>
      <c r="H630" s="34"/>
      <c r="I630" s="34"/>
      <c r="J630" s="34"/>
      <c r="K630" s="105"/>
      <c r="L630" s="34"/>
      <c r="M630" s="34"/>
      <c r="N630" s="34"/>
      <c r="O630" s="105"/>
      <c r="P630" s="105"/>
      <c r="Q630" s="105"/>
      <c r="R630" s="105"/>
      <c r="S630" s="105"/>
      <c r="T630" s="105"/>
      <c r="U630" s="105"/>
      <c r="V630" s="105"/>
      <c r="W630" s="105"/>
      <c r="X630" s="105"/>
      <c r="Y630" s="105"/>
      <c r="Z630" s="105"/>
      <c r="AA630" s="105"/>
      <c r="AB630" s="105"/>
      <c r="AC630" s="105"/>
    </row>
    <row r="631" spans="1:29" ht="12.75">
      <c r="A631" s="34"/>
      <c r="B631" s="34"/>
      <c r="C631" s="34"/>
      <c r="D631" s="34"/>
      <c r="E631" s="188"/>
      <c r="F631" s="34"/>
      <c r="G631" s="34"/>
      <c r="H631" s="34"/>
      <c r="I631" s="34"/>
      <c r="J631" s="34"/>
      <c r="K631" s="105"/>
      <c r="L631" s="34"/>
      <c r="M631" s="34"/>
      <c r="N631" s="34"/>
      <c r="O631" s="105"/>
      <c r="P631" s="105"/>
      <c r="Q631" s="105"/>
      <c r="R631" s="105"/>
      <c r="S631" s="105"/>
      <c r="T631" s="105"/>
      <c r="U631" s="105"/>
      <c r="V631" s="105"/>
      <c r="W631" s="105"/>
      <c r="X631" s="105"/>
      <c r="Y631" s="105"/>
      <c r="Z631" s="105"/>
      <c r="AA631" s="105"/>
      <c r="AB631" s="105"/>
      <c r="AC631" s="105"/>
    </row>
    <row r="632" spans="1:29" ht="12.75">
      <c r="A632" s="34"/>
      <c r="B632" s="34"/>
      <c r="C632" s="34"/>
      <c r="D632" s="34"/>
      <c r="E632" s="188"/>
      <c r="F632" s="34"/>
      <c r="G632" s="34"/>
      <c r="H632" s="34"/>
      <c r="I632" s="34"/>
      <c r="J632" s="34"/>
      <c r="K632" s="105"/>
      <c r="L632" s="34"/>
      <c r="M632" s="34"/>
      <c r="N632" s="34"/>
      <c r="O632" s="105"/>
      <c r="P632" s="105"/>
      <c r="Q632" s="105"/>
      <c r="R632" s="105"/>
      <c r="S632" s="105"/>
      <c r="T632" s="105"/>
      <c r="U632" s="105"/>
      <c r="V632" s="105"/>
      <c r="W632" s="105"/>
      <c r="X632" s="105"/>
      <c r="Y632" s="105"/>
      <c r="Z632" s="105"/>
      <c r="AA632" s="105"/>
      <c r="AB632" s="105"/>
      <c r="AC632" s="105"/>
    </row>
    <row r="633" spans="1:29" ht="12.75">
      <c r="A633" s="34"/>
      <c r="B633" s="34"/>
      <c r="C633" s="34"/>
      <c r="D633" s="34"/>
      <c r="E633" s="188"/>
      <c r="F633" s="34"/>
      <c r="G633" s="34"/>
      <c r="H633" s="34"/>
      <c r="I633" s="34"/>
      <c r="J633" s="34"/>
      <c r="K633" s="105"/>
      <c r="L633" s="34"/>
      <c r="M633" s="34"/>
      <c r="N633" s="34"/>
      <c r="O633" s="105"/>
      <c r="P633" s="105"/>
      <c r="Q633" s="105"/>
      <c r="R633" s="105"/>
      <c r="S633" s="105"/>
      <c r="T633" s="105"/>
      <c r="U633" s="105"/>
      <c r="V633" s="105"/>
      <c r="W633" s="105"/>
      <c r="X633" s="105"/>
      <c r="Y633" s="105"/>
      <c r="Z633" s="105"/>
      <c r="AA633" s="105"/>
      <c r="AB633" s="105"/>
      <c r="AC633" s="105"/>
    </row>
    <row r="634" spans="1:29" ht="12.75">
      <c r="A634" s="34"/>
      <c r="B634" s="34"/>
      <c r="C634" s="34"/>
      <c r="D634" s="34"/>
      <c r="E634" s="188"/>
      <c r="F634" s="34"/>
      <c r="G634" s="34"/>
      <c r="H634" s="34"/>
      <c r="I634" s="34"/>
      <c r="J634" s="34"/>
      <c r="K634" s="105"/>
      <c r="L634" s="34"/>
      <c r="M634" s="34"/>
      <c r="N634" s="34"/>
      <c r="O634" s="105"/>
      <c r="P634" s="105"/>
      <c r="Q634" s="105"/>
      <c r="R634" s="105"/>
      <c r="S634" s="105"/>
      <c r="T634" s="105"/>
      <c r="U634" s="105"/>
      <c r="V634" s="105"/>
      <c r="W634" s="105"/>
      <c r="X634" s="105"/>
      <c r="Y634" s="105"/>
      <c r="Z634" s="105"/>
      <c r="AA634" s="105"/>
      <c r="AB634" s="105"/>
      <c r="AC634" s="105"/>
    </row>
    <row r="635" spans="1:29" ht="12.75">
      <c r="A635" s="34"/>
      <c r="B635" s="34"/>
      <c r="C635" s="34"/>
      <c r="D635" s="34"/>
      <c r="E635" s="188"/>
      <c r="F635" s="34"/>
      <c r="G635" s="34"/>
      <c r="H635" s="34"/>
      <c r="I635" s="34"/>
      <c r="J635" s="34"/>
      <c r="K635" s="105"/>
      <c r="L635" s="34"/>
      <c r="M635" s="34"/>
      <c r="N635" s="34"/>
      <c r="O635" s="105"/>
      <c r="P635" s="105"/>
      <c r="Q635" s="105"/>
      <c r="R635" s="105"/>
      <c r="S635" s="105"/>
      <c r="T635" s="105"/>
      <c r="U635" s="105"/>
      <c r="V635" s="105"/>
      <c r="W635" s="105"/>
      <c r="X635" s="105"/>
      <c r="Y635" s="105"/>
      <c r="Z635" s="105"/>
      <c r="AA635" s="105"/>
      <c r="AB635" s="105"/>
      <c r="AC635" s="105"/>
    </row>
    <row r="636" spans="1:29" ht="12.75">
      <c r="A636" s="34"/>
      <c r="B636" s="34"/>
      <c r="C636" s="34"/>
      <c r="D636" s="34"/>
      <c r="E636" s="188"/>
      <c r="F636" s="34"/>
      <c r="G636" s="34"/>
      <c r="H636" s="34"/>
      <c r="I636" s="34"/>
      <c r="J636" s="34"/>
      <c r="K636" s="105"/>
      <c r="L636" s="34"/>
      <c r="M636" s="34"/>
      <c r="N636" s="34"/>
      <c r="O636" s="105"/>
      <c r="P636" s="105"/>
      <c r="Q636" s="105"/>
      <c r="R636" s="105"/>
      <c r="S636" s="105"/>
      <c r="T636" s="105"/>
      <c r="U636" s="105"/>
      <c r="V636" s="105"/>
      <c r="W636" s="105"/>
      <c r="X636" s="105"/>
      <c r="Y636" s="105"/>
      <c r="Z636" s="105"/>
      <c r="AA636" s="105"/>
      <c r="AB636" s="105"/>
      <c r="AC636" s="105"/>
    </row>
    <row r="637" spans="1:29" ht="12.75">
      <c r="A637" s="34"/>
      <c r="B637" s="34"/>
      <c r="C637" s="34"/>
      <c r="D637" s="34"/>
      <c r="E637" s="188"/>
      <c r="F637" s="34"/>
      <c r="G637" s="34"/>
      <c r="H637" s="34"/>
      <c r="I637" s="34"/>
      <c r="J637" s="34"/>
      <c r="K637" s="105"/>
      <c r="L637" s="34"/>
      <c r="M637" s="34"/>
      <c r="N637" s="34"/>
      <c r="O637" s="105"/>
      <c r="P637" s="105"/>
      <c r="Q637" s="105"/>
      <c r="R637" s="105"/>
      <c r="S637" s="105"/>
      <c r="T637" s="105"/>
      <c r="U637" s="105"/>
      <c r="V637" s="105"/>
      <c r="W637" s="105"/>
      <c r="X637" s="105"/>
      <c r="Y637" s="105"/>
      <c r="Z637" s="105"/>
      <c r="AA637" s="105"/>
      <c r="AB637" s="105"/>
      <c r="AC637" s="105"/>
    </row>
    <row r="638" spans="1:29" ht="12.75">
      <c r="A638" s="34"/>
      <c r="B638" s="34"/>
      <c r="C638" s="34"/>
      <c r="D638" s="34"/>
      <c r="E638" s="188"/>
      <c r="F638" s="34"/>
      <c r="G638" s="34"/>
      <c r="H638" s="34"/>
      <c r="I638" s="34"/>
      <c r="J638" s="34"/>
      <c r="K638" s="105"/>
      <c r="L638" s="34"/>
      <c r="M638" s="34"/>
      <c r="N638" s="34"/>
      <c r="O638" s="105"/>
      <c r="P638" s="105"/>
      <c r="Q638" s="105"/>
      <c r="R638" s="105"/>
      <c r="S638" s="105"/>
      <c r="T638" s="105"/>
      <c r="U638" s="105"/>
      <c r="V638" s="105"/>
      <c r="W638" s="105"/>
      <c r="X638" s="105"/>
      <c r="Y638" s="105"/>
      <c r="Z638" s="105"/>
      <c r="AA638" s="105"/>
      <c r="AB638" s="105"/>
      <c r="AC638" s="105"/>
    </row>
    <row r="639" spans="1:29" ht="12.75">
      <c r="A639" s="34"/>
      <c r="B639" s="34"/>
      <c r="C639" s="34"/>
      <c r="D639" s="34"/>
      <c r="E639" s="188"/>
      <c r="F639" s="34"/>
      <c r="G639" s="34"/>
      <c r="H639" s="34"/>
      <c r="I639" s="34"/>
      <c r="J639" s="34"/>
      <c r="K639" s="105"/>
      <c r="L639" s="34"/>
      <c r="M639" s="34"/>
      <c r="N639" s="34"/>
      <c r="O639" s="105"/>
      <c r="P639" s="105"/>
      <c r="Q639" s="105"/>
      <c r="R639" s="105"/>
      <c r="S639" s="105"/>
      <c r="T639" s="105"/>
      <c r="U639" s="105"/>
      <c r="V639" s="105"/>
      <c r="W639" s="105"/>
      <c r="X639" s="105"/>
      <c r="Y639" s="105"/>
      <c r="Z639" s="105"/>
      <c r="AA639" s="105"/>
      <c r="AB639" s="105"/>
      <c r="AC639" s="105"/>
    </row>
    <row r="640" spans="1:29" ht="12.75">
      <c r="A640" s="34"/>
      <c r="B640" s="34"/>
      <c r="C640" s="34"/>
      <c r="D640" s="34"/>
      <c r="E640" s="188"/>
      <c r="F640" s="34"/>
      <c r="G640" s="34"/>
      <c r="H640" s="34"/>
      <c r="I640" s="34"/>
      <c r="J640" s="34"/>
      <c r="K640" s="105"/>
      <c r="L640" s="34"/>
      <c r="M640" s="34"/>
      <c r="N640" s="34"/>
      <c r="O640" s="105"/>
      <c r="P640" s="105"/>
      <c r="Q640" s="105"/>
      <c r="R640" s="105"/>
      <c r="S640" s="105"/>
      <c r="T640" s="105"/>
      <c r="U640" s="105"/>
      <c r="V640" s="105"/>
      <c r="W640" s="105"/>
      <c r="X640" s="105"/>
      <c r="Y640" s="105"/>
      <c r="Z640" s="105"/>
      <c r="AA640" s="105"/>
      <c r="AB640" s="105"/>
      <c r="AC640" s="105"/>
    </row>
    <row r="641" spans="1:29" ht="12.75">
      <c r="A641" s="34"/>
      <c r="B641" s="34"/>
      <c r="C641" s="34"/>
      <c r="D641" s="34"/>
      <c r="E641" s="188"/>
      <c r="F641" s="34"/>
      <c r="G641" s="34"/>
      <c r="H641" s="34"/>
      <c r="I641" s="34"/>
      <c r="J641" s="34"/>
      <c r="K641" s="105"/>
      <c r="L641" s="34"/>
      <c r="M641" s="34"/>
      <c r="N641" s="34"/>
      <c r="O641" s="105"/>
      <c r="P641" s="105"/>
      <c r="Q641" s="105"/>
      <c r="R641" s="105"/>
      <c r="S641" s="105"/>
      <c r="T641" s="105"/>
      <c r="U641" s="105"/>
      <c r="V641" s="105"/>
      <c r="W641" s="105"/>
      <c r="X641" s="105"/>
      <c r="Y641" s="105"/>
      <c r="Z641" s="105"/>
      <c r="AA641" s="105"/>
      <c r="AB641" s="105"/>
      <c r="AC641" s="105"/>
    </row>
    <row r="642" spans="1:29" ht="12.75">
      <c r="A642" s="34"/>
      <c r="B642" s="34"/>
      <c r="C642" s="34"/>
      <c r="D642" s="34"/>
      <c r="E642" s="188"/>
      <c r="F642" s="34"/>
      <c r="G642" s="34"/>
      <c r="H642" s="34"/>
      <c r="I642" s="34"/>
      <c r="J642" s="34"/>
      <c r="K642" s="105"/>
      <c r="L642" s="34"/>
      <c r="M642" s="34"/>
      <c r="N642" s="34"/>
      <c r="O642" s="105"/>
      <c r="P642" s="105"/>
      <c r="Q642" s="105"/>
      <c r="R642" s="105"/>
      <c r="S642" s="105"/>
      <c r="T642" s="105"/>
      <c r="U642" s="105"/>
      <c r="V642" s="105"/>
      <c r="W642" s="105"/>
      <c r="X642" s="105"/>
      <c r="Y642" s="105"/>
      <c r="Z642" s="105"/>
      <c r="AA642" s="105"/>
      <c r="AB642" s="105"/>
      <c r="AC642" s="105"/>
    </row>
    <row r="643" spans="1:29" ht="12.75">
      <c r="A643" s="34"/>
      <c r="B643" s="34"/>
      <c r="C643" s="34"/>
      <c r="D643" s="34"/>
      <c r="E643" s="188"/>
      <c r="F643" s="34"/>
      <c r="G643" s="34"/>
      <c r="H643" s="34"/>
      <c r="I643" s="34"/>
      <c r="J643" s="34"/>
      <c r="K643" s="105"/>
      <c r="L643" s="34"/>
      <c r="M643" s="34"/>
      <c r="N643" s="34"/>
      <c r="O643" s="105"/>
      <c r="P643" s="105"/>
      <c r="Q643" s="105"/>
      <c r="R643" s="105"/>
      <c r="S643" s="105"/>
      <c r="T643" s="105"/>
      <c r="U643" s="105"/>
      <c r="V643" s="105"/>
      <c r="W643" s="105"/>
      <c r="X643" s="105"/>
      <c r="Y643" s="105"/>
      <c r="Z643" s="105"/>
      <c r="AA643" s="105"/>
      <c r="AB643" s="105"/>
      <c r="AC643" s="105"/>
    </row>
    <row r="644" spans="1:29" ht="12.75">
      <c r="A644" s="34"/>
      <c r="B644" s="34"/>
      <c r="C644" s="34"/>
      <c r="D644" s="34"/>
      <c r="E644" s="188"/>
      <c r="F644" s="34"/>
      <c r="G644" s="34"/>
      <c r="H644" s="34"/>
      <c r="I644" s="34"/>
      <c r="J644" s="34"/>
      <c r="K644" s="105"/>
      <c r="L644" s="34"/>
      <c r="M644" s="34"/>
      <c r="N644" s="34"/>
      <c r="O644" s="105"/>
      <c r="P644" s="105"/>
      <c r="Q644" s="105"/>
      <c r="R644" s="105"/>
      <c r="S644" s="105"/>
      <c r="T644" s="105"/>
      <c r="U644" s="105"/>
      <c r="V644" s="105"/>
      <c r="W644" s="105"/>
      <c r="X644" s="105"/>
      <c r="Y644" s="105"/>
      <c r="Z644" s="105"/>
      <c r="AA644" s="105"/>
      <c r="AB644" s="105"/>
      <c r="AC644" s="105"/>
    </row>
    <row r="645" spans="1:29" ht="12.75">
      <c r="A645" s="34"/>
      <c r="B645" s="34"/>
      <c r="C645" s="34"/>
      <c r="D645" s="34"/>
      <c r="E645" s="188"/>
      <c r="F645" s="34"/>
      <c r="G645" s="34"/>
      <c r="H645" s="34"/>
      <c r="I645" s="34"/>
      <c r="J645" s="34"/>
      <c r="K645" s="105"/>
      <c r="L645" s="34"/>
      <c r="M645" s="34"/>
      <c r="N645" s="34"/>
      <c r="O645" s="105"/>
      <c r="P645" s="105"/>
      <c r="Q645" s="105"/>
      <c r="R645" s="105"/>
      <c r="S645" s="105"/>
      <c r="T645" s="105"/>
      <c r="U645" s="105"/>
      <c r="V645" s="105"/>
      <c r="W645" s="105"/>
      <c r="X645" s="105"/>
      <c r="Y645" s="105"/>
      <c r="Z645" s="105"/>
      <c r="AA645" s="105"/>
      <c r="AB645" s="105"/>
      <c r="AC645" s="105"/>
    </row>
    <row r="646" spans="1:29" ht="12.75">
      <c r="A646" s="34"/>
      <c r="B646" s="34"/>
      <c r="C646" s="34"/>
      <c r="D646" s="34"/>
      <c r="E646" s="188"/>
      <c r="F646" s="34"/>
      <c r="G646" s="34"/>
      <c r="H646" s="34"/>
      <c r="I646" s="34"/>
      <c r="J646" s="34"/>
      <c r="K646" s="105"/>
      <c r="L646" s="34"/>
      <c r="M646" s="34"/>
      <c r="N646" s="34"/>
      <c r="O646" s="105"/>
      <c r="P646" s="105"/>
      <c r="Q646" s="105"/>
      <c r="R646" s="105"/>
      <c r="S646" s="105"/>
      <c r="T646" s="105"/>
      <c r="U646" s="105"/>
      <c r="V646" s="105"/>
      <c r="W646" s="105"/>
      <c r="X646" s="105"/>
      <c r="Y646" s="105"/>
      <c r="Z646" s="105"/>
      <c r="AA646" s="105"/>
      <c r="AB646" s="105"/>
      <c r="AC646" s="105"/>
    </row>
    <row r="647" spans="1:29" ht="12.75">
      <c r="A647" s="34"/>
      <c r="B647" s="34"/>
      <c r="C647" s="34"/>
      <c r="D647" s="34"/>
      <c r="E647" s="188"/>
      <c r="F647" s="34"/>
      <c r="G647" s="34"/>
      <c r="H647" s="34"/>
      <c r="I647" s="34"/>
      <c r="J647" s="34"/>
      <c r="K647" s="105"/>
      <c r="L647" s="34"/>
      <c r="M647" s="34"/>
      <c r="N647" s="34"/>
      <c r="O647" s="105"/>
      <c r="P647" s="105"/>
      <c r="Q647" s="105"/>
      <c r="R647" s="105"/>
      <c r="S647" s="105"/>
      <c r="T647" s="105"/>
      <c r="U647" s="105"/>
      <c r="V647" s="105"/>
      <c r="W647" s="105"/>
      <c r="X647" s="105"/>
      <c r="Y647" s="105"/>
      <c r="Z647" s="105"/>
      <c r="AA647" s="105"/>
      <c r="AB647" s="105"/>
      <c r="AC647" s="105"/>
    </row>
    <row r="648" spans="1:29" ht="12.75">
      <c r="A648" s="34"/>
      <c r="B648" s="34"/>
      <c r="C648" s="34"/>
      <c r="D648" s="34"/>
      <c r="E648" s="188"/>
      <c r="F648" s="34"/>
      <c r="G648" s="34"/>
      <c r="H648" s="34"/>
      <c r="I648" s="34"/>
      <c r="J648" s="34"/>
      <c r="K648" s="105"/>
      <c r="L648" s="34"/>
      <c r="M648" s="34"/>
      <c r="N648" s="34"/>
      <c r="O648" s="105"/>
      <c r="P648" s="105"/>
      <c r="Q648" s="105"/>
      <c r="R648" s="105"/>
      <c r="S648" s="105"/>
      <c r="T648" s="105"/>
      <c r="U648" s="105"/>
      <c r="V648" s="105"/>
      <c r="W648" s="105"/>
      <c r="X648" s="105"/>
      <c r="Y648" s="105"/>
      <c r="Z648" s="105"/>
      <c r="AA648" s="105"/>
      <c r="AB648" s="105"/>
      <c r="AC648" s="105"/>
    </row>
    <row r="649" spans="1:29" ht="12.75">
      <c r="A649" s="34"/>
      <c r="B649" s="34"/>
      <c r="C649" s="34"/>
      <c r="D649" s="34"/>
      <c r="E649" s="188"/>
      <c r="F649" s="34"/>
      <c r="G649" s="34"/>
      <c r="H649" s="34"/>
      <c r="I649" s="34"/>
      <c r="J649" s="34"/>
      <c r="K649" s="105"/>
      <c r="L649" s="34"/>
      <c r="M649" s="34"/>
      <c r="N649" s="34"/>
      <c r="O649" s="105"/>
      <c r="P649" s="105"/>
      <c r="Q649" s="105"/>
      <c r="R649" s="105"/>
      <c r="S649" s="105"/>
      <c r="T649" s="105"/>
      <c r="U649" s="105"/>
      <c r="V649" s="105"/>
      <c r="W649" s="105"/>
      <c r="X649" s="105"/>
      <c r="Y649" s="105"/>
      <c r="Z649" s="105"/>
      <c r="AA649" s="105"/>
      <c r="AB649" s="105"/>
      <c r="AC649" s="105"/>
    </row>
    <row r="650" spans="1:29" ht="12.75">
      <c r="A650" s="34"/>
      <c r="B650" s="34"/>
      <c r="C650" s="34"/>
      <c r="D650" s="34"/>
      <c r="E650" s="188"/>
      <c r="F650" s="34"/>
      <c r="G650" s="34"/>
      <c r="H650" s="34"/>
      <c r="I650" s="34"/>
      <c r="J650" s="34"/>
      <c r="K650" s="105"/>
      <c r="L650" s="34"/>
      <c r="M650" s="34"/>
      <c r="N650" s="34"/>
      <c r="O650" s="105"/>
      <c r="P650" s="105"/>
      <c r="Q650" s="105"/>
      <c r="R650" s="105"/>
      <c r="S650" s="105"/>
      <c r="T650" s="105"/>
      <c r="U650" s="105"/>
      <c r="V650" s="105"/>
      <c r="W650" s="105"/>
      <c r="X650" s="105"/>
      <c r="Y650" s="105"/>
      <c r="Z650" s="105"/>
      <c r="AA650" s="105"/>
      <c r="AB650" s="105"/>
      <c r="AC650" s="105"/>
    </row>
    <row r="651" spans="1:29" ht="12.75">
      <c r="A651" s="34"/>
      <c r="B651" s="34"/>
      <c r="C651" s="34"/>
      <c r="D651" s="34"/>
      <c r="E651" s="188"/>
      <c r="F651" s="34"/>
      <c r="G651" s="34"/>
      <c r="H651" s="34"/>
      <c r="I651" s="34"/>
      <c r="J651" s="34"/>
      <c r="K651" s="105"/>
      <c r="L651" s="34"/>
      <c r="M651" s="34"/>
      <c r="N651" s="34"/>
      <c r="O651" s="105"/>
      <c r="P651" s="105"/>
      <c r="Q651" s="105"/>
      <c r="R651" s="105"/>
      <c r="S651" s="105"/>
      <c r="T651" s="105"/>
      <c r="U651" s="105"/>
      <c r="V651" s="105"/>
      <c r="W651" s="105"/>
      <c r="X651" s="105"/>
      <c r="Y651" s="105"/>
      <c r="Z651" s="105"/>
      <c r="AA651" s="105"/>
      <c r="AB651" s="105"/>
      <c r="AC651" s="105"/>
    </row>
    <row r="652" spans="1:29" ht="12.75">
      <c r="A652" s="34"/>
      <c r="B652" s="34"/>
      <c r="C652" s="34"/>
      <c r="D652" s="34"/>
      <c r="E652" s="188"/>
      <c r="F652" s="34"/>
      <c r="G652" s="34"/>
      <c r="H652" s="34"/>
      <c r="I652" s="34"/>
      <c r="J652" s="34"/>
      <c r="K652" s="105"/>
      <c r="L652" s="34"/>
      <c r="M652" s="34"/>
      <c r="N652" s="34"/>
      <c r="O652" s="105"/>
      <c r="P652" s="105"/>
      <c r="Q652" s="105"/>
      <c r="R652" s="105"/>
      <c r="S652" s="105"/>
      <c r="T652" s="105"/>
      <c r="U652" s="105"/>
      <c r="V652" s="105"/>
      <c r="W652" s="105"/>
      <c r="X652" s="105"/>
      <c r="Y652" s="105"/>
      <c r="Z652" s="105"/>
      <c r="AA652" s="105"/>
      <c r="AB652" s="105"/>
      <c r="AC652" s="105"/>
    </row>
    <row r="653" spans="1:29" ht="12.75">
      <c r="A653" s="34"/>
      <c r="B653" s="34"/>
      <c r="C653" s="34"/>
      <c r="D653" s="34"/>
      <c r="E653" s="188"/>
      <c r="F653" s="34"/>
      <c r="G653" s="34"/>
      <c r="H653" s="34"/>
      <c r="I653" s="34"/>
      <c r="J653" s="34"/>
      <c r="K653" s="105"/>
      <c r="L653" s="34"/>
      <c r="M653" s="34"/>
      <c r="N653" s="34"/>
      <c r="O653" s="105"/>
      <c r="P653" s="105"/>
      <c r="Q653" s="105"/>
      <c r="R653" s="105"/>
      <c r="S653" s="105"/>
      <c r="T653" s="105"/>
      <c r="U653" s="105"/>
      <c r="V653" s="105"/>
      <c r="W653" s="105"/>
      <c r="X653" s="105"/>
      <c r="Y653" s="105"/>
      <c r="Z653" s="105"/>
      <c r="AA653" s="105"/>
      <c r="AB653" s="105"/>
      <c r="AC653" s="105"/>
    </row>
    <row r="654" spans="1:29" ht="12.75">
      <c r="A654" s="34"/>
      <c r="B654" s="34"/>
      <c r="C654" s="34"/>
      <c r="D654" s="34"/>
      <c r="E654" s="188"/>
      <c r="F654" s="34"/>
      <c r="G654" s="34"/>
      <c r="H654" s="34"/>
      <c r="I654" s="34"/>
      <c r="J654" s="34"/>
      <c r="K654" s="105"/>
      <c r="L654" s="34"/>
      <c r="M654" s="34"/>
      <c r="N654" s="34"/>
      <c r="O654" s="105"/>
      <c r="P654" s="105"/>
      <c r="Q654" s="105"/>
      <c r="R654" s="105"/>
      <c r="S654" s="105"/>
      <c r="T654" s="105"/>
      <c r="U654" s="105"/>
      <c r="V654" s="105"/>
      <c r="W654" s="105"/>
      <c r="X654" s="105"/>
      <c r="Y654" s="105"/>
      <c r="Z654" s="105"/>
      <c r="AA654" s="105"/>
      <c r="AB654" s="105"/>
      <c r="AC654" s="105"/>
    </row>
    <row r="655" spans="1:29" ht="12.75">
      <c r="A655" s="34"/>
      <c r="B655" s="34"/>
      <c r="C655" s="34"/>
      <c r="D655" s="34"/>
      <c r="E655" s="188"/>
      <c r="F655" s="34"/>
      <c r="G655" s="34"/>
      <c r="H655" s="34"/>
      <c r="I655" s="34"/>
      <c r="J655" s="34"/>
      <c r="K655" s="105"/>
      <c r="L655" s="34"/>
      <c r="M655" s="34"/>
      <c r="N655" s="34"/>
      <c r="O655" s="105"/>
      <c r="P655" s="105"/>
      <c r="Q655" s="105"/>
      <c r="R655" s="105"/>
      <c r="S655" s="105"/>
      <c r="T655" s="105"/>
      <c r="U655" s="105"/>
      <c r="V655" s="105"/>
      <c r="W655" s="105"/>
      <c r="X655" s="105"/>
      <c r="Y655" s="105"/>
      <c r="Z655" s="105"/>
      <c r="AA655" s="105"/>
      <c r="AB655" s="105"/>
      <c r="AC655" s="105"/>
    </row>
    <row r="656" spans="1:29" ht="12.75">
      <c r="A656" s="34"/>
      <c r="B656" s="34"/>
      <c r="C656" s="34"/>
      <c r="D656" s="34"/>
      <c r="E656" s="188"/>
      <c r="F656" s="34"/>
      <c r="G656" s="34"/>
      <c r="H656" s="34"/>
      <c r="I656" s="34"/>
      <c r="J656" s="34"/>
      <c r="K656" s="105"/>
      <c r="L656" s="34"/>
      <c r="M656" s="34"/>
      <c r="N656" s="34"/>
      <c r="O656" s="105"/>
      <c r="P656" s="105"/>
      <c r="Q656" s="105"/>
      <c r="R656" s="105"/>
      <c r="S656" s="105"/>
      <c r="T656" s="105"/>
      <c r="U656" s="105"/>
      <c r="V656" s="105"/>
      <c r="W656" s="105"/>
      <c r="X656" s="105"/>
      <c r="Y656" s="105"/>
      <c r="Z656" s="105"/>
      <c r="AA656" s="105"/>
      <c r="AB656" s="105"/>
      <c r="AC656" s="105"/>
    </row>
    <row r="657" spans="1:29" ht="12.75">
      <c r="A657" s="34"/>
      <c r="B657" s="34"/>
      <c r="C657" s="34"/>
      <c r="D657" s="34"/>
      <c r="E657" s="188"/>
      <c r="F657" s="34"/>
      <c r="G657" s="34"/>
      <c r="H657" s="34"/>
      <c r="I657" s="34"/>
      <c r="J657" s="34"/>
      <c r="K657" s="105"/>
      <c r="L657" s="34"/>
      <c r="M657" s="34"/>
      <c r="N657" s="34"/>
      <c r="O657" s="105"/>
      <c r="P657" s="105"/>
      <c r="Q657" s="105"/>
      <c r="R657" s="105"/>
      <c r="S657" s="105"/>
      <c r="T657" s="105"/>
      <c r="U657" s="105"/>
      <c r="V657" s="105"/>
      <c r="W657" s="105"/>
      <c r="X657" s="105"/>
      <c r="Y657" s="105"/>
      <c r="Z657" s="105"/>
      <c r="AA657" s="105"/>
      <c r="AB657" s="105"/>
      <c r="AC657" s="105"/>
    </row>
    <row r="658" spans="1:29" ht="12.75">
      <c r="A658" s="34"/>
      <c r="B658" s="34"/>
      <c r="C658" s="34"/>
      <c r="D658" s="34"/>
      <c r="E658" s="188"/>
      <c r="F658" s="34"/>
      <c r="G658" s="34"/>
      <c r="H658" s="34"/>
      <c r="I658" s="34"/>
      <c r="J658" s="34"/>
      <c r="K658" s="105"/>
      <c r="L658" s="34"/>
      <c r="M658" s="34"/>
      <c r="N658" s="34"/>
      <c r="O658" s="105"/>
      <c r="P658" s="105"/>
      <c r="Q658" s="105"/>
      <c r="R658" s="105"/>
      <c r="S658" s="105"/>
      <c r="T658" s="105"/>
      <c r="U658" s="105"/>
      <c r="V658" s="105"/>
      <c r="W658" s="105"/>
      <c r="X658" s="105"/>
      <c r="Y658" s="105"/>
      <c r="Z658" s="105"/>
      <c r="AA658" s="105"/>
      <c r="AB658" s="105"/>
      <c r="AC658" s="105"/>
    </row>
    <row r="659" spans="1:29" ht="12.75">
      <c r="A659" s="34"/>
      <c r="B659" s="34"/>
      <c r="C659" s="34"/>
      <c r="D659" s="34"/>
      <c r="E659" s="188"/>
      <c r="F659" s="34"/>
      <c r="G659" s="34"/>
      <c r="H659" s="34"/>
      <c r="I659" s="34"/>
      <c r="J659" s="34"/>
      <c r="K659" s="105"/>
      <c r="L659" s="34"/>
      <c r="M659" s="34"/>
      <c r="N659" s="34"/>
      <c r="O659" s="105"/>
      <c r="P659" s="105"/>
      <c r="Q659" s="105"/>
      <c r="R659" s="105"/>
      <c r="S659" s="105"/>
      <c r="T659" s="105"/>
      <c r="U659" s="105"/>
      <c r="V659" s="105"/>
      <c r="W659" s="105"/>
      <c r="X659" s="105"/>
      <c r="Y659" s="105"/>
      <c r="Z659" s="105"/>
      <c r="AA659" s="105"/>
      <c r="AB659" s="105"/>
      <c r="AC659" s="105"/>
    </row>
    <row r="660" spans="1:29" ht="12.75">
      <c r="A660" s="34"/>
      <c r="B660" s="34"/>
      <c r="C660" s="34"/>
      <c r="D660" s="34"/>
      <c r="E660" s="188"/>
      <c r="F660" s="34"/>
      <c r="G660" s="34"/>
      <c r="H660" s="34"/>
      <c r="I660" s="34"/>
      <c r="J660" s="34"/>
      <c r="K660" s="105"/>
      <c r="L660" s="34"/>
      <c r="M660" s="34"/>
      <c r="N660" s="34"/>
      <c r="O660" s="105"/>
      <c r="P660" s="105"/>
      <c r="Q660" s="105"/>
      <c r="R660" s="105"/>
      <c r="S660" s="105"/>
      <c r="T660" s="105"/>
      <c r="U660" s="105"/>
      <c r="V660" s="105"/>
      <c r="W660" s="105"/>
      <c r="X660" s="105"/>
      <c r="Y660" s="105"/>
      <c r="Z660" s="105"/>
      <c r="AA660" s="105"/>
      <c r="AB660" s="105"/>
      <c r="AC660" s="105"/>
    </row>
    <row r="661" spans="1:29" ht="12.75">
      <c r="A661" s="34"/>
      <c r="B661" s="34"/>
      <c r="C661" s="34"/>
      <c r="D661" s="34"/>
      <c r="E661" s="188"/>
      <c r="F661" s="34"/>
      <c r="G661" s="34"/>
      <c r="H661" s="34"/>
      <c r="I661" s="34"/>
      <c r="J661" s="34"/>
      <c r="K661" s="105"/>
      <c r="L661" s="34"/>
      <c r="M661" s="34"/>
      <c r="N661" s="34"/>
      <c r="O661" s="105"/>
      <c r="P661" s="105"/>
      <c r="Q661" s="105"/>
      <c r="R661" s="105"/>
      <c r="S661" s="105"/>
      <c r="T661" s="105"/>
      <c r="U661" s="105"/>
      <c r="V661" s="105"/>
      <c r="W661" s="105"/>
      <c r="X661" s="105"/>
      <c r="Y661" s="105"/>
      <c r="Z661" s="105"/>
      <c r="AA661" s="105"/>
      <c r="AB661" s="105"/>
      <c r="AC661" s="105"/>
    </row>
    <row r="662" spans="1:29" ht="12.75">
      <c r="A662" s="34"/>
      <c r="B662" s="34"/>
      <c r="C662" s="34"/>
      <c r="D662" s="34"/>
      <c r="E662" s="188"/>
      <c r="F662" s="34"/>
      <c r="G662" s="34"/>
      <c r="H662" s="34"/>
      <c r="I662" s="34"/>
      <c r="J662" s="34"/>
      <c r="K662" s="105"/>
      <c r="L662" s="34"/>
      <c r="M662" s="34"/>
      <c r="N662" s="34"/>
      <c r="O662" s="105"/>
      <c r="P662" s="105"/>
      <c r="Q662" s="105"/>
      <c r="R662" s="105"/>
      <c r="S662" s="105"/>
      <c r="T662" s="105"/>
      <c r="U662" s="105"/>
      <c r="V662" s="105"/>
      <c r="W662" s="105"/>
      <c r="X662" s="105"/>
      <c r="Y662" s="105"/>
      <c r="Z662" s="105"/>
      <c r="AA662" s="105"/>
      <c r="AB662" s="105"/>
      <c r="AC662" s="105"/>
    </row>
    <row r="663" spans="1:29" ht="12.75">
      <c r="A663" s="34"/>
      <c r="B663" s="34"/>
      <c r="C663" s="34"/>
      <c r="D663" s="34"/>
      <c r="E663" s="188"/>
      <c r="F663" s="34"/>
      <c r="G663" s="34"/>
      <c r="H663" s="34"/>
      <c r="I663" s="34"/>
      <c r="J663" s="34"/>
      <c r="K663" s="105"/>
      <c r="L663" s="34"/>
      <c r="M663" s="34"/>
      <c r="N663" s="34"/>
      <c r="O663" s="105"/>
      <c r="P663" s="105"/>
      <c r="Q663" s="105"/>
      <c r="R663" s="105"/>
      <c r="S663" s="105"/>
      <c r="T663" s="105"/>
      <c r="U663" s="105"/>
      <c r="V663" s="105"/>
      <c r="W663" s="105"/>
      <c r="X663" s="105"/>
      <c r="Y663" s="105"/>
      <c r="Z663" s="105"/>
      <c r="AA663" s="105"/>
      <c r="AB663" s="105"/>
      <c r="AC663" s="105"/>
    </row>
    <row r="664" spans="1:29" ht="12.75">
      <c r="A664" s="34"/>
      <c r="B664" s="34"/>
      <c r="C664" s="34"/>
      <c r="D664" s="34"/>
      <c r="E664" s="188"/>
      <c r="F664" s="34"/>
      <c r="G664" s="34"/>
      <c r="H664" s="34"/>
      <c r="I664" s="34"/>
      <c r="J664" s="34"/>
      <c r="K664" s="105"/>
      <c r="L664" s="34"/>
      <c r="M664" s="34"/>
      <c r="N664" s="34"/>
      <c r="O664" s="105"/>
      <c r="P664" s="105"/>
      <c r="Q664" s="105"/>
      <c r="R664" s="105"/>
      <c r="S664" s="105"/>
      <c r="T664" s="105"/>
      <c r="U664" s="105"/>
      <c r="V664" s="105"/>
      <c r="W664" s="105"/>
      <c r="X664" s="105"/>
      <c r="Y664" s="105"/>
      <c r="Z664" s="105"/>
      <c r="AA664" s="105"/>
      <c r="AB664" s="105"/>
      <c r="AC664" s="105"/>
    </row>
    <row r="665" spans="1:29" ht="12.75">
      <c r="A665" s="34"/>
      <c r="B665" s="34"/>
      <c r="C665" s="34"/>
      <c r="D665" s="34"/>
      <c r="E665" s="188"/>
      <c r="F665" s="34"/>
      <c r="G665" s="34"/>
      <c r="H665" s="34"/>
      <c r="I665" s="34"/>
      <c r="J665" s="34"/>
      <c r="K665" s="105"/>
      <c r="L665" s="34"/>
      <c r="M665" s="34"/>
      <c r="N665" s="34"/>
      <c r="O665" s="105"/>
      <c r="P665" s="105"/>
      <c r="Q665" s="105"/>
      <c r="R665" s="105"/>
      <c r="S665" s="105"/>
      <c r="T665" s="105"/>
      <c r="U665" s="105"/>
      <c r="V665" s="105"/>
      <c r="W665" s="105"/>
      <c r="X665" s="105"/>
      <c r="Y665" s="105"/>
      <c r="Z665" s="105"/>
      <c r="AA665" s="105"/>
      <c r="AB665" s="105"/>
      <c r="AC665" s="105"/>
    </row>
    <row r="666" spans="1:29" ht="12.75">
      <c r="A666" s="34"/>
      <c r="B666" s="34"/>
      <c r="C666" s="34"/>
      <c r="D666" s="34"/>
      <c r="E666" s="188"/>
      <c r="F666" s="34"/>
      <c r="G666" s="34"/>
      <c r="H666" s="34"/>
      <c r="I666" s="34"/>
      <c r="J666" s="34"/>
      <c r="K666" s="105"/>
      <c r="L666" s="34"/>
      <c r="M666" s="34"/>
      <c r="N666" s="34"/>
      <c r="O666" s="105"/>
      <c r="P666" s="105"/>
      <c r="Q666" s="105"/>
      <c r="R666" s="105"/>
      <c r="S666" s="105"/>
      <c r="T666" s="105"/>
      <c r="U666" s="105"/>
      <c r="V666" s="105"/>
      <c r="W666" s="105"/>
      <c r="X666" s="105"/>
      <c r="Y666" s="105"/>
      <c r="Z666" s="105"/>
      <c r="AA666" s="105"/>
      <c r="AB666" s="105"/>
      <c r="AC666" s="105"/>
    </row>
    <row r="667" spans="1:29" ht="12.75">
      <c r="A667" s="34"/>
      <c r="B667" s="34"/>
      <c r="C667" s="34"/>
      <c r="D667" s="34"/>
      <c r="E667" s="188"/>
      <c r="F667" s="34"/>
      <c r="G667" s="34"/>
      <c r="H667" s="34"/>
      <c r="I667" s="34"/>
      <c r="J667" s="34"/>
      <c r="K667" s="105"/>
      <c r="L667" s="34"/>
      <c r="M667" s="34"/>
      <c r="N667" s="34"/>
      <c r="O667" s="105"/>
      <c r="P667" s="105"/>
      <c r="Q667" s="105"/>
      <c r="R667" s="105"/>
      <c r="S667" s="105"/>
      <c r="T667" s="105"/>
      <c r="U667" s="105"/>
      <c r="V667" s="105"/>
      <c r="W667" s="105"/>
      <c r="X667" s="105"/>
      <c r="Y667" s="105"/>
      <c r="Z667" s="105"/>
      <c r="AA667" s="105"/>
      <c r="AB667" s="105"/>
      <c r="AC667" s="105"/>
    </row>
    <row r="668" spans="1:29" ht="12.75">
      <c r="A668" s="34"/>
      <c r="B668" s="34"/>
      <c r="C668" s="34"/>
      <c r="D668" s="34"/>
      <c r="E668" s="188"/>
      <c r="F668" s="34"/>
      <c r="G668" s="34"/>
      <c r="H668" s="34"/>
      <c r="I668" s="34"/>
      <c r="J668" s="34"/>
      <c r="K668" s="105"/>
      <c r="L668" s="34"/>
      <c r="M668" s="34"/>
      <c r="N668" s="34"/>
      <c r="O668" s="105"/>
      <c r="P668" s="105"/>
      <c r="Q668" s="105"/>
      <c r="R668" s="105"/>
      <c r="S668" s="105"/>
      <c r="T668" s="105"/>
      <c r="U668" s="105"/>
      <c r="V668" s="105"/>
      <c r="W668" s="105"/>
      <c r="X668" s="105"/>
      <c r="Y668" s="105"/>
      <c r="Z668" s="105"/>
      <c r="AA668" s="105"/>
      <c r="AB668" s="105"/>
      <c r="AC668" s="105"/>
    </row>
    <row r="669" spans="1:29" ht="12.75">
      <c r="A669" s="34"/>
      <c r="B669" s="34"/>
      <c r="C669" s="34"/>
      <c r="D669" s="34"/>
      <c r="E669" s="188"/>
      <c r="F669" s="34"/>
      <c r="G669" s="34"/>
      <c r="H669" s="34"/>
      <c r="I669" s="34"/>
      <c r="J669" s="34"/>
      <c r="K669" s="105"/>
      <c r="L669" s="34"/>
      <c r="M669" s="34"/>
      <c r="N669" s="34"/>
      <c r="O669" s="105"/>
      <c r="P669" s="105"/>
      <c r="Q669" s="105"/>
      <c r="R669" s="105"/>
      <c r="S669" s="105"/>
      <c r="T669" s="105"/>
      <c r="U669" s="105"/>
      <c r="V669" s="105"/>
      <c r="W669" s="105"/>
      <c r="X669" s="105"/>
      <c r="Y669" s="105"/>
      <c r="Z669" s="105"/>
      <c r="AA669" s="105"/>
      <c r="AB669" s="105"/>
      <c r="AC669" s="105"/>
    </row>
    <row r="670" spans="1:29" ht="12.75">
      <c r="A670" s="34"/>
      <c r="B670" s="34"/>
      <c r="C670" s="34"/>
      <c r="D670" s="34"/>
      <c r="E670" s="188"/>
      <c r="F670" s="34"/>
      <c r="G670" s="34"/>
      <c r="H670" s="34"/>
      <c r="I670" s="34"/>
      <c r="J670" s="34"/>
      <c r="K670" s="105"/>
      <c r="L670" s="34"/>
      <c r="M670" s="34"/>
      <c r="N670" s="34"/>
      <c r="O670" s="105"/>
      <c r="P670" s="105"/>
      <c r="Q670" s="105"/>
      <c r="R670" s="105"/>
      <c r="S670" s="105"/>
      <c r="T670" s="105"/>
      <c r="U670" s="105"/>
      <c r="V670" s="105"/>
      <c r="W670" s="105"/>
      <c r="X670" s="105"/>
      <c r="Y670" s="105"/>
      <c r="Z670" s="105"/>
      <c r="AA670" s="105"/>
      <c r="AB670" s="105"/>
      <c r="AC670" s="105"/>
    </row>
    <row r="671" spans="1:29" ht="12.75">
      <c r="A671" s="34"/>
      <c r="B671" s="34"/>
      <c r="C671" s="34"/>
      <c r="D671" s="34"/>
      <c r="E671" s="188"/>
      <c r="F671" s="34"/>
      <c r="G671" s="34"/>
      <c r="H671" s="34"/>
      <c r="I671" s="34"/>
      <c r="J671" s="34"/>
      <c r="K671" s="105"/>
      <c r="L671" s="34"/>
      <c r="M671" s="34"/>
      <c r="N671" s="34"/>
      <c r="O671" s="105"/>
      <c r="P671" s="105"/>
      <c r="Q671" s="105"/>
      <c r="R671" s="105"/>
      <c r="S671" s="105"/>
      <c r="T671" s="105"/>
      <c r="U671" s="105"/>
      <c r="V671" s="105"/>
      <c r="W671" s="105"/>
      <c r="X671" s="105"/>
      <c r="Y671" s="105"/>
      <c r="Z671" s="105"/>
      <c r="AA671" s="105"/>
      <c r="AB671" s="105"/>
      <c r="AC671" s="105"/>
    </row>
    <row r="672" spans="1:29" ht="12.75">
      <c r="A672" s="34"/>
      <c r="B672" s="34"/>
      <c r="C672" s="34"/>
      <c r="D672" s="34"/>
      <c r="E672" s="188"/>
      <c r="F672" s="34"/>
      <c r="G672" s="34"/>
      <c r="H672" s="34"/>
      <c r="I672" s="34"/>
      <c r="J672" s="34"/>
      <c r="K672" s="105"/>
      <c r="L672" s="34"/>
      <c r="M672" s="34"/>
      <c r="N672" s="34"/>
      <c r="O672" s="105"/>
      <c r="P672" s="105"/>
      <c r="Q672" s="105"/>
      <c r="R672" s="105"/>
      <c r="S672" s="105"/>
      <c r="T672" s="105"/>
      <c r="U672" s="105"/>
      <c r="V672" s="105"/>
      <c r="W672" s="105"/>
      <c r="X672" s="105"/>
      <c r="Y672" s="105"/>
      <c r="Z672" s="105"/>
      <c r="AA672" s="105"/>
      <c r="AB672" s="105"/>
      <c r="AC672" s="105"/>
    </row>
    <row r="673" spans="1:29" ht="12.75">
      <c r="A673" s="34"/>
      <c r="B673" s="34"/>
      <c r="C673" s="34"/>
      <c r="D673" s="34"/>
      <c r="E673" s="188"/>
      <c r="F673" s="34"/>
      <c r="G673" s="34"/>
      <c r="H673" s="34"/>
      <c r="I673" s="34"/>
      <c r="J673" s="34"/>
      <c r="K673" s="105"/>
      <c r="L673" s="34"/>
      <c r="M673" s="34"/>
      <c r="N673" s="34"/>
      <c r="O673" s="105"/>
      <c r="P673" s="105"/>
      <c r="Q673" s="105"/>
      <c r="R673" s="105"/>
      <c r="S673" s="105"/>
      <c r="T673" s="105"/>
      <c r="U673" s="105"/>
      <c r="V673" s="105"/>
      <c r="W673" s="105"/>
      <c r="X673" s="105"/>
      <c r="Y673" s="105"/>
      <c r="Z673" s="105"/>
      <c r="AA673" s="105"/>
      <c r="AB673" s="105"/>
      <c r="AC673" s="105"/>
    </row>
    <row r="674" spans="1:29" ht="12.75">
      <c r="A674" s="34"/>
      <c r="B674" s="34"/>
      <c r="C674" s="34"/>
      <c r="D674" s="34"/>
      <c r="E674" s="188"/>
      <c r="F674" s="34"/>
      <c r="G674" s="34"/>
      <c r="H674" s="34"/>
      <c r="I674" s="34"/>
      <c r="J674" s="34"/>
      <c r="K674" s="105"/>
      <c r="L674" s="34"/>
      <c r="M674" s="34"/>
      <c r="N674" s="34"/>
      <c r="O674" s="105"/>
      <c r="P674" s="105"/>
      <c r="Q674" s="105"/>
      <c r="R674" s="105"/>
      <c r="S674" s="105"/>
      <c r="T674" s="105"/>
      <c r="U674" s="105"/>
      <c r="V674" s="105"/>
      <c r="W674" s="105"/>
      <c r="X674" s="105"/>
      <c r="Y674" s="105"/>
      <c r="Z674" s="105"/>
      <c r="AA674" s="105"/>
      <c r="AB674" s="105"/>
      <c r="AC674" s="105"/>
    </row>
    <row r="675" spans="1:29" ht="12.75">
      <c r="A675" s="34"/>
      <c r="B675" s="34"/>
      <c r="C675" s="34"/>
      <c r="D675" s="34"/>
      <c r="E675" s="188"/>
      <c r="F675" s="34"/>
      <c r="G675" s="34"/>
      <c r="H675" s="34"/>
      <c r="I675" s="34"/>
      <c r="J675" s="34"/>
      <c r="K675" s="105"/>
      <c r="L675" s="34"/>
      <c r="M675" s="34"/>
      <c r="N675" s="34"/>
      <c r="O675" s="105"/>
      <c r="P675" s="105"/>
      <c r="Q675" s="105"/>
      <c r="R675" s="105"/>
      <c r="S675" s="105"/>
      <c r="T675" s="105"/>
      <c r="U675" s="105"/>
      <c r="V675" s="105"/>
      <c r="W675" s="105"/>
      <c r="X675" s="105"/>
      <c r="Y675" s="105"/>
      <c r="Z675" s="105"/>
      <c r="AA675" s="105"/>
      <c r="AB675" s="105"/>
      <c r="AC675" s="105"/>
    </row>
    <row r="676" spans="1:29" ht="12.75">
      <c r="A676" s="34"/>
      <c r="B676" s="34"/>
      <c r="C676" s="34"/>
      <c r="D676" s="34"/>
      <c r="E676" s="188"/>
      <c r="F676" s="34"/>
      <c r="G676" s="34"/>
      <c r="H676" s="34"/>
      <c r="I676" s="34"/>
      <c r="J676" s="34"/>
      <c r="K676" s="105"/>
      <c r="L676" s="34"/>
      <c r="M676" s="34"/>
      <c r="N676" s="34"/>
      <c r="O676" s="105"/>
      <c r="P676" s="105"/>
      <c r="Q676" s="105"/>
      <c r="R676" s="105"/>
      <c r="S676" s="105"/>
      <c r="T676" s="105"/>
      <c r="U676" s="105"/>
      <c r="V676" s="105"/>
      <c r="W676" s="105"/>
      <c r="X676" s="105"/>
      <c r="Y676" s="105"/>
      <c r="Z676" s="105"/>
      <c r="AA676" s="105"/>
      <c r="AB676" s="105"/>
      <c r="AC676" s="105"/>
    </row>
    <row r="677" spans="1:29" ht="12.75">
      <c r="A677" s="34"/>
      <c r="B677" s="34"/>
      <c r="C677" s="34"/>
      <c r="D677" s="34"/>
      <c r="E677" s="188"/>
      <c r="F677" s="34"/>
      <c r="G677" s="34"/>
      <c r="H677" s="34"/>
      <c r="I677" s="34"/>
      <c r="J677" s="34"/>
      <c r="K677" s="105"/>
      <c r="L677" s="34"/>
      <c r="M677" s="34"/>
      <c r="N677" s="34"/>
      <c r="O677" s="105"/>
      <c r="P677" s="105"/>
      <c r="Q677" s="105"/>
      <c r="R677" s="105"/>
      <c r="S677" s="105"/>
      <c r="T677" s="105"/>
      <c r="U677" s="105"/>
      <c r="V677" s="105"/>
      <c r="W677" s="105"/>
      <c r="X677" s="105"/>
      <c r="Y677" s="105"/>
      <c r="Z677" s="105"/>
      <c r="AA677" s="105"/>
      <c r="AB677" s="105"/>
      <c r="AC677" s="105"/>
    </row>
    <row r="678" spans="1:29" ht="12.75">
      <c r="A678" s="34"/>
      <c r="B678" s="34"/>
      <c r="C678" s="34"/>
      <c r="D678" s="34"/>
      <c r="E678" s="188"/>
      <c r="F678" s="34"/>
      <c r="G678" s="34"/>
      <c r="H678" s="34"/>
      <c r="I678" s="34"/>
      <c r="J678" s="34"/>
      <c r="K678" s="105"/>
      <c r="L678" s="34"/>
      <c r="M678" s="34"/>
      <c r="N678" s="34"/>
      <c r="O678" s="105"/>
      <c r="P678" s="105"/>
      <c r="Q678" s="105"/>
      <c r="R678" s="105"/>
      <c r="S678" s="105"/>
      <c r="T678" s="105"/>
      <c r="U678" s="105"/>
      <c r="V678" s="105"/>
      <c r="W678" s="105"/>
      <c r="X678" s="105"/>
      <c r="Y678" s="105"/>
      <c r="Z678" s="105"/>
      <c r="AA678" s="105"/>
      <c r="AB678" s="105"/>
      <c r="AC678" s="105"/>
    </row>
    <row r="679" spans="1:29" ht="12.75">
      <c r="A679" s="34"/>
      <c r="B679" s="34"/>
      <c r="C679" s="34"/>
      <c r="D679" s="34"/>
      <c r="E679" s="188"/>
      <c r="F679" s="34"/>
      <c r="G679" s="34"/>
      <c r="H679" s="34"/>
      <c r="I679" s="34"/>
      <c r="J679" s="34"/>
      <c r="K679" s="105"/>
      <c r="L679" s="34"/>
      <c r="M679" s="34"/>
      <c r="N679" s="34"/>
      <c r="O679" s="105"/>
      <c r="P679" s="105"/>
      <c r="Q679" s="105"/>
      <c r="R679" s="105"/>
      <c r="S679" s="105"/>
      <c r="T679" s="105"/>
      <c r="U679" s="105"/>
      <c r="V679" s="105"/>
      <c r="W679" s="105"/>
      <c r="X679" s="105"/>
      <c r="Y679" s="105"/>
      <c r="Z679" s="105"/>
      <c r="AA679" s="105"/>
      <c r="AB679" s="105"/>
      <c r="AC679" s="105"/>
    </row>
    <row r="680" spans="1:29" ht="12.75">
      <c r="A680" s="34"/>
      <c r="B680" s="34"/>
      <c r="C680" s="34"/>
      <c r="D680" s="34"/>
      <c r="E680" s="188"/>
      <c r="F680" s="34"/>
      <c r="G680" s="34"/>
      <c r="H680" s="34"/>
      <c r="I680" s="34"/>
      <c r="J680" s="34"/>
      <c r="K680" s="105"/>
      <c r="L680" s="34"/>
      <c r="M680" s="34"/>
      <c r="N680" s="34"/>
      <c r="O680" s="105"/>
      <c r="P680" s="105"/>
      <c r="Q680" s="105"/>
      <c r="R680" s="105"/>
      <c r="S680" s="105"/>
      <c r="T680" s="105"/>
      <c r="U680" s="105"/>
      <c r="V680" s="105"/>
      <c r="W680" s="105"/>
      <c r="X680" s="105"/>
      <c r="Y680" s="105"/>
      <c r="Z680" s="105"/>
      <c r="AA680" s="105"/>
      <c r="AB680" s="105"/>
      <c r="AC680" s="105"/>
    </row>
    <row r="681" spans="1:29" ht="12.75">
      <c r="A681" s="34"/>
      <c r="B681" s="34"/>
      <c r="C681" s="34"/>
      <c r="D681" s="34"/>
      <c r="E681" s="188"/>
      <c r="F681" s="34"/>
      <c r="G681" s="34"/>
      <c r="H681" s="34"/>
      <c r="I681" s="34"/>
      <c r="J681" s="34"/>
      <c r="K681" s="105"/>
      <c r="L681" s="34"/>
      <c r="M681" s="34"/>
      <c r="N681" s="34"/>
      <c r="O681" s="105"/>
      <c r="P681" s="105"/>
      <c r="Q681" s="105"/>
      <c r="R681" s="105"/>
      <c r="S681" s="105"/>
      <c r="T681" s="105"/>
      <c r="U681" s="105"/>
      <c r="V681" s="105"/>
      <c r="W681" s="105"/>
      <c r="X681" s="105"/>
      <c r="Y681" s="105"/>
      <c r="Z681" s="105"/>
      <c r="AA681" s="105"/>
      <c r="AB681" s="105"/>
      <c r="AC681" s="105"/>
    </row>
    <row r="682" spans="1:29" ht="12.75">
      <c r="A682" s="34"/>
      <c r="B682" s="34"/>
      <c r="C682" s="34"/>
      <c r="D682" s="34"/>
      <c r="E682" s="188"/>
      <c r="F682" s="34"/>
      <c r="G682" s="34"/>
      <c r="H682" s="34"/>
      <c r="I682" s="34"/>
      <c r="J682" s="34"/>
      <c r="K682" s="105"/>
      <c r="L682" s="34"/>
      <c r="M682" s="34"/>
      <c r="N682" s="34"/>
      <c r="O682" s="105"/>
      <c r="P682" s="105"/>
      <c r="Q682" s="105"/>
      <c r="R682" s="105"/>
      <c r="S682" s="105"/>
      <c r="T682" s="105"/>
      <c r="U682" s="105"/>
      <c r="V682" s="105"/>
      <c r="W682" s="105"/>
      <c r="X682" s="105"/>
      <c r="Y682" s="105"/>
      <c r="Z682" s="105"/>
      <c r="AA682" s="105"/>
      <c r="AB682" s="105"/>
      <c r="AC682" s="105"/>
    </row>
    <row r="683" spans="1:29" ht="12.75">
      <c r="A683" s="34"/>
      <c r="B683" s="34"/>
      <c r="C683" s="34"/>
      <c r="D683" s="34"/>
      <c r="E683" s="188"/>
      <c r="F683" s="34"/>
      <c r="G683" s="34"/>
      <c r="H683" s="34"/>
      <c r="I683" s="34"/>
      <c r="J683" s="34"/>
      <c r="K683" s="105"/>
      <c r="L683" s="34"/>
      <c r="M683" s="34"/>
      <c r="N683" s="34"/>
      <c r="O683" s="105"/>
      <c r="P683" s="105"/>
      <c r="Q683" s="105"/>
      <c r="R683" s="105"/>
      <c r="S683" s="105"/>
      <c r="T683" s="105"/>
      <c r="U683" s="105"/>
      <c r="V683" s="105"/>
      <c r="W683" s="105"/>
      <c r="X683" s="105"/>
      <c r="Y683" s="105"/>
      <c r="Z683" s="105"/>
      <c r="AA683" s="105"/>
      <c r="AB683" s="105"/>
      <c r="AC683" s="105"/>
    </row>
    <row r="684" spans="1:29" ht="12.75">
      <c r="A684" s="34"/>
      <c r="B684" s="34"/>
      <c r="C684" s="34"/>
      <c r="D684" s="34"/>
      <c r="E684" s="188"/>
      <c r="F684" s="34"/>
      <c r="G684" s="34"/>
      <c r="H684" s="34"/>
      <c r="I684" s="34"/>
      <c r="J684" s="34"/>
      <c r="K684" s="105"/>
      <c r="L684" s="34"/>
      <c r="M684" s="34"/>
      <c r="N684" s="34"/>
      <c r="O684" s="105"/>
      <c r="P684" s="105"/>
      <c r="Q684" s="105"/>
      <c r="R684" s="105"/>
      <c r="S684" s="105"/>
      <c r="T684" s="105"/>
      <c r="U684" s="105"/>
      <c r="V684" s="105"/>
      <c r="W684" s="105"/>
      <c r="X684" s="105"/>
      <c r="Y684" s="105"/>
      <c r="Z684" s="105"/>
      <c r="AA684" s="105"/>
      <c r="AB684" s="105"/>
      <c r="AC684" s="105"/>
    </row>
    <row r="685" spans="1:29" ht="12.75">
      <c r="A685" s="34"/>
      <c r="B685" s="34"/>
      <c r="C685" s="34"/>
      <c r="D685" s="34"/>
      <c r="E685" s="188"/>
      <c r="F685" s="34"/>
      <c r="G685" s="34"/>
      <c r="H685" s="34"/>
      <c r="I685" s="34"/>
      <c r="J685" s="34"/>
      <c r="K685" s="105"/>
      <c r="L685" s="34"/>
      <c r="M685" s="34"/>
      <c r="N685" s="34"/>
      <c r="O685" s="105"/>
      <c r="P685" s="105"/>
      <c r="Q685" s="105"/>
      <c r="R685" s="105"/>
      <c r="S685" s="105"/>
      <c r="T685" s="105"/>
      <c r="U685" s="105"/>
      <c r="V685" s="105"/>
      <c r="W685" s="105"/>
      <c r="X685" s="105"/>
      <c r="Y685" s="105"/>
      <c r="Z685" s="105"/>
      <c r="AA685" s="105"/>
      <c r="AB685" s="105"/>
      <c r="AC685" s="105"/>
    </row>
    <row r="686" spans="1:29" ht="12.75">
      <c r="A686" s="34"/>
      <c r="B686" s="34"/>
      <c r="C686" s="34"/>
      <c r="D686" s="34"/>
      <c r="E686" s="188"/>
      <c r="F686" s="34"/>
      <c r="G686" s="34"/>
      <c r="H686" s="34"/>
      <c r="I686" s="34"/>
      <c r="J686" s="34"/>
      <c r="K686" s="105"/>
      <c r="L686" s="34"/>
      <c r="M686" s="34"/>
      <c r="N686" s="34"/>
      <c r="O686" s="105"/>
      <c r="P686" s="105"/>
      <c r="Q686" s="105"/>
      <c r="R686" s="105"/>
      <c r="S686" s="105"/>
      <c r="T686" s="105"/>
      <c r="U686" s="105"/>
      <c r="V686" s="105"/>
      <c r="W686" s="105"/>
      <c r="X686" s="105"/>
      <c r="Y686" s="105"/>
      <c r="Z686" s="105"/>
      <c r="AA686" s="105"/>
      <c r="AB686" s="105"/>
      <c r="AC686" s="105"/>
    </row>
    <row r="687" spans="1:29" ht="12.75">
      <c r="A687" s="34"/>
      <c r="B687" s="34"/>
      <c r="C687" s="34"/>
      <c r="D687" s="34"/>
      <c r="E687" s="188"/>
      <c r="F687" s="34"/>
      <c r="G687" s="34"/>
      <c r="H687" s="34"/>
      <c r="I687" s="34"/>
      <c r="J687" s="34"/>
      <c r="K687" s="105"/>
      <c r="L687" s="34"/>
      <c r="M687" s="34"/>
      <c r="N687" s="34"/>
      <c r="O687" s="105"/>
      <c r="P687" s="105"/>
      <c r="Q687" s="105"/>
      <c r="R687" s="105"/>
      <c r="S687" s="105"/>
      <c r="T687" s="105"/>
      <c r="U687" s="105"/>
      <c r="V687" s="105"/>
      <c r="W687" s="105"/>
      <c r="X687" s="105"/>
      <c r="Y687" s="105"/>
      <c r="Z687" s="105"/>
      <c r="AA687" s="105"/>
      <c r="AB687" s="105"/>
      <c r="AC687" s="105"/>
    </row>
    <row r="688" spans="1:29" ht="12.75">
      <c r="A688" s="34"/>
      <c r="B688" s="34"/>
      <c r="C688" s="34"/>
      <c r="D688" s="34"/>
      <c r="E688" s="188"/>
      <c r="F688" s="34"/>
      <c r="G688" s="34"/>
      <c r="H688" s="34"/>
      <c r="I688" s="34"/>
      <c r="J688" s="34"/>
      <c r="K688" s="105"/>
      <c r="L688" s="34"/>
      <c r="M688" s="34"/>
      <c r="N688" s="34"/>
      <c r="O688" s="105"/>
      <c r="P688" s="105"/>
      <c r="Q688" s="105"/>
      <c r="R688" s="105"/>
      <c r="S688" s="105"/>
      <c r="T688" s="105"/>
      <c r="U688" s="105"/>
      <c r="V688" s="105"/>
      <c r="W688" s="105"/>
      <c r="X688" s="105"/>
      <c r="Y688" s="105"/>
      <c r="Z688" s="105"/>
      <c r="AA688" s="105"/>
      <c r="AB688" s="105"/>
      <c r="AC688" s="105"/>
    </row>
    <row r="689" spans="1:29" ht="12.75">
      <c r="A689" s="34"/>
      <c r="B689" s="34"/>
      <c r="C689" s="34"/>
      <c r="D689" s="34"/>
      <c r="E689" s="188"/>
      <c r="F689" s="34"/>
      <c r="G689" s="34"/>
      <c r="H689" s="34"/>
      <c r="I689" s="34"/>
      <c r="J689" s="34"/>
      <c r="K689" s="105"/>
      <c r="L689" s="34"/>
      <c r="M689" s="34"/>
      <c r="N689" s="34"/>
      <c r="O689" s="105"/>
      <c r="P689" s="105"/>
      <c r="Q689" s="105"/>
      <c r="R689" s="105"/>
      <c r="S689" s="105"/>
      <c r="T689" s="105"/>
      <c r="U689" s="105"/>
      <c r="V689" s="105"/>
      <c r="W689" s="105"/>
      <c r="X689" s="105"/>
      <c r="Y689" s="105"/>
      <c r="Z689" s="105"/>
      <c r="AA689" s="105"/>
      <c r="AB689" s="105"/>
      <c r="AC689" s="105"/>
    </row>
    <row r="690" spans="1:29" ht="12.75">
      <c r="A690" s="34"/>
      <c r="B690" s="34"/>
      <c r="C690" s="34"/>
      <c r="D690" s="34"/>
      <c r="E690" s="188"/>
      <c r="F690" s="34"/>
      <c r="G690" s="34"/>
      <c r="H690" s="34"/>
      <c r="I690" s="34"/>
      <c r="J690" s="34"/>
      <c r="K690" s="105"/>
      <c r="L690" s="34"/>
      <c r="M690" s="34"/>
      <c r="N690" s="34"/>
      <c r="O690" s="105"/>
      <c r="P690" s="105"/>
      <c r="Q690" s="105"/>
      <c r="R690" s="105"/>
      <c r="S690" s="105"/>
      <c r="T690" s="105"/>
      <c r="U690" s="105"/>
      <c r="V690" s="105"/>
      <c r="W690" s="105"/>
      <c r="X690" s="105"/>
      <c r="Y690" s="105"/>
      <c r="Z690" s="105"/>
      <c r="AA690" s="105"/>
      <c r="AB690" s="105"/>
      <c r="AC690" s="105"/>
    </row>
    <row r="691" spans="1:29" ht="12.75">
      <c r="A691" s="34"/>
      <c r="B691" s="34"/>
      <c r="C691" s="34"/>
      <c r="D691" s="34"/>
      <c r="E691" s="188"/>
      <c r="F691" s="34"/>
      <c r="G691" s="34"/>
      <c r="H691" s="34"/>
      <c r="I691" s="34"/>
      <c r="J691" s="34"/>
      <c r="K691" s="105"/>
      <c r="L691" s="34"/>
      <c r="M691" s="34"/>
      <c r="N691" s="34"/>
      <c r="O691" s="105"/>
      <c r="P691" s="105"/>
      <c r="Q691" s="105"/>
      <c r="R691" s="105"/>
      <c r="S691" s="105"/>
      <c r="T691" s="105"/>
      <c r="U691" s="105"/>
      <c r="V691" s="105"/>
      <c r="W691" s="105"/>
      <c r="X691" s="105"/>
      <c r="Y691" s="105"/>
      <c r="Z691" s="105"/>
      <c r="AA691" s="105"/>
      <c r="AB691" s="105"/>
      <c r="AC691" s="105"/>
    </row>
    <row r="692" spans="1:29" ht="12.75">
      <c r="A692" s="34"/>
      <c r="B692" s="34"/>
      <c r="C692" s="34"/>
      <c r="D692" s="34"/>
      <c r="E692" s="188"/>
      <c r="F692" s="34"/>
      <c r="G692" s="34"/>
      <c r="H692" s="34"/>
      <c r="I692" s="34"/>
      <c r="J692" s="34"/>
      <c r="K692" s="105"/>
      <c r="L692" s="34"/>
      <c r="M692" s="34"/>
      <c r="N692" s="34"/>
      <c r="O692" s="105"/>
      <c r="P692" s="105"/>
      <c r="Q692" s="105"/>
      <c r="R692" s="105"/>
      <c r="S692" s="105"/>
      <c r="T692" s="105"/>
      <c r="U692" s="105"/>
      <c r="V692" s="105"/>
      <c r="W692" s="105"/>
      <c r="X692" s="105"/>
      <c r="Y692" s="105"/>
      <c r="Z692" s="105"/>
      <c r="AA692" s="105"/>
      <c r="AB692" s="105"/>
      <c r="AC692" s="105"/>
    </row>
    <row r="693" spans="1:29" ht="12.75">
      <c r="A693" s="34"/>
      <c r="B693" s="34"/>
      <c r="C693" s="34"/>
      <c r="D693" s="34"/>
      <c r="E693" s="188"/>
      <c r="F693" s="34"/>
      <c r="G693" s="34"/>
      <c r="H693" s="34"/>
      <c r="I693" s="34"/>
      <c r="J693" s="34"/>
      <c r="K693" s="105"/>
      <c r="L693" s="34"/>
      <c r="M693" s="34"/>
      <c r="N693" s="34"/>
      <c r="O693" s="105"/>
      <c r="P693" s="105"/>
      <c r="Q693" s="105"/>
      <c r="R693" s="105"/>
      <c r="S693" s="105"/>
      <c r="T693" s="105"/>
      <c r="U693" s="105"/>
      <c r="V693" s="105"/>
      <c r="W693" s="105"/>
      <c r="X693" s="105"/>
      <c r="Y693" s="105"/>
      <c r="Z693" s="105"/>
      <c r="AA693" s="105"/>
      <c r="AB693" s="105"/>
      <c r="AC693" s="105"/>
    </row>
    <row r="694" spans="1:29" ht="12.75">
      <c r="A694" s="34"/>
      <c r="B694" s="34"/>
      <c r="C694" s="34"/>
      <c r="D694" s="34"/>
      <c r="E694" s="188"/>
      <c r="F694" s="34"/>
      <c r="G694" s="34"/>
      <c r="H694" s="34"/>
      <c r="I694" s="34"/>
      <c r="J694" s="34"/>
      <c r="K694" s="105"/>
      <c r="L694" s="34"/>
      <c r="M694" s="34"/>
      <c r="N694" s="34"/>
      <c r="O694" s="105"/>
      <c r="P694" s="105"/>
      <c r="Q694" s="105"/>
      <c r="R694" s="105"/>
      <c r="S694" s="105"/>
      <c r="T694" s="105"/>
      <c r="U694" s="105"/>
      <c r="V694" s="105"/>
      <c r="W694" s="105"/>
      <c r="X694" s="105"/>
      <c r="Y694" s="105"/>
      <c r="Z694" s="105"/>
      <c r="AA694" s="105"/>
      <c r="AB694" s="105"/>
      <c r="AC694" s="105"/>
    </row>
    <row r="695" spans="1:29" ht="12.75">
      <c r="A695" s="34"/>
      <c r="B695" s="34"/>
      <c r="C695" s="34"/>
      <c r="D695" s="34"/>
      <c r="E695" s="188"/>
      <c r="F695" s="34"/>
      <c r="G695" s="34"/>
      <c r="H695" s="34"/>
      <c r="I695" s="34"/>
      <c r="J695" s="34"/>
      <c r="K695" s="105"/>
      <c r="L695" s="34"/>
      <c r="M695" s="34"/>
      <c r="N695" s="34"/>
      <c r="O695" s="105"/>
      <c r="P695" s="105"/>
      <c r="Q695" s="105"/>
      <c r="R695" s="105"/>
      <c r="S695" s="105"/>
      <c r="T695" s="105"/>
      <c r="U695" s="105"/>
      <c r="V695" s="105"/>
      <c r="W695" s="105"/>
      <c r="X695" s="105"/>
      <c r="Y695" s="105"/>
      <c r="Z695" s="105"/>
      <c r="AA695" s="105"/>
      <c r="AB695" s="105"/>
      <c r="AC695" s="105"/>
    </row>
    <row r="696" spans="1:29" ht="12.75">
      <c r="A696" s="34"/>
      <c r="B696" s="34"/>
      <c r="C696" s="34"/>
      <c r="D696" s="34"/>
      <c r="E696" s="188"/>
      <c r="F696" s="34"/>
      <c r="G696" s="34"/>
      <c r="H696" s="34"/>
      <c r="I696" s="34"/>
      <c r="J696" s="34"/>
      <c r="K696" s="105"/>
      <c r="L696" s="34"/>
      <c r="M696" s="34"/>
      <c r="N696" s="34"/>
      <c r="O696" s="105"/>
      <c r="P696" s="105"/>
      <c r="Q696" s="105"/>
      <c r="R696" s="105"/>
      <c r="S696" s="105"/>
      <c r="T696" s="105"/>
      <c r="U696" s="105"/>
      <c r="V696" s="105"/>
      <c r="W696" s="105"/>
      <c r="X696" s="105"/>
      <c r="Y696" s="105"/>
      <c r="Z696" s="105"/>
      <c r="AA696" s="105"/>
      <c r="AB696" s="105"/>
      <c r="AC696" s="105"/>
    </row>
    <row r="697" spans="1:29" ht="12.75">
      <c r="A697" s="34"/>
      <c r="B697" s="34"/>
      <c r="C697" s="34"/>
      <c r="D697" s="34"/>
      <c r="E697" s="188"/>
      <c r="F697" s="34"/>
      <c r="G697" s="34"/>
      <c r="H697" s="34"/>
      <c r="I697" s="34"/>
      <c r="J697" s="34"/>
      <c r="K697" s="105"/>
      <c r="L697" s="34"/>
      <c r="M697" s="34"/>
      <c r="N697" s="34"/>
      <c r="O697" s="105"/>
      <c r="P697" s="105"/>
      <c r="Q697" s="105"/>
      <c r="R697" s="105"/>
      <c r="S697" s="105"/>
      <c r="T697" s="105"/>
      <c r="U697" s="105"/>
      <c r="V697" s="105"/>
      <c r="W697" s="105"/>
      <c r="X697" s="105"/>
      <c r="Y697" s="105"/>
      <c r="Z697" s="105"/>
      <c r="AA697" s="105"/>
      <c r="AB697" s="105"/>
      <c r="AC697" s="105"/>
    </row>
    <row r="698" spans="1:29" ht="12.75">
      <c r="A698" s="34"/>
      <c r="B698" s="34"/>
      <c r="C698" s="34"/>
      <c r="D698" s="34"/>
      <c r="E698" s="188"/>
      <c r="F698" s="34"/>
      <c r="G698" s="34"/>
      <c r="H698" s="34"/>
      <c r="I698" s="34"/>
      <c r="J698" s="34"/>
      <c r="K698" s="105"/>
      <c r="L698" s="34"/>
      <c r="M698" s="34"/>
      <c r="N698" s="34"/>
      <c r="O698" s="105"/>
      <c r="P698" s="105"/>
      <c r="Q698" s="105"/>
      <c r="R698" s="105"/>
      <c r="S698" s="105"/>
      <c r="T698" s="105"/>
      <c r="U698" s="105"/>
      <c r="V698" s="105"/>
      <c r="W698" s="105"/>
      <c r="X698" s="105"/>
      <c r="Y698" s="105"/>
      <c r="Z698" s="105"/>
      <c r="AA698" s="105"/>
      <c r="AB698" s="105"/>
      <c r="AC698" s="105"/>
    </row>
    <row r="699" spans="1:29" ht="12.75">
      <c r="A699" s="34"/>
      <c r="B699" s="34"/>
      <c r="C699" s="34"/>
      <c r="D699" s="34"/>
      <c r="E699" s="188"/>
      <c r="F699" s="34"/>
      <c r="G699" s="34"/>
      <c r="H699" s="34"/>
      <c r="I699" s="34"/>
      <c r="J699" s="34"/>
      <c r="K699" s="105"/>
      <c r="L699" s="34"/>
      <c r="M699" s="34"/>
      <c r="N699" s="34"/>
      <c r="O699" s="105"/>
      <c r="P699" s="105"/>
      <c r="Q699" s="105"/>
      <c r="R699" s="105"/>
      <c r="S699" s="105"/>
      <c r="T699" s="105"/>
      <c r="U699" s="105"/>
      <c r="V699" s="105"/>
      <c r="W699" s="105"/>
      <c r="X699" s="105"/>
      <c r="Y699" s="105"/>
      <c r="Z699" s="105"/>
      <c r="AA699" s="105"/>
      <c r="AB699" s="105"/>
      <c r="AC699" s="105"/>
    </row>
    <row r="700" spans="1:29" ht="12.75">
      <c r="A700" s="34"/>
      <c r="B700" s="34"/>
      <c r="C700" s="34"/>
      <c r="D700" s="34"/>
      <c r="E700" s="188"/>
      <c r="F700" s="34"/>
      <c r="G700" s="34"/>
      <c r="H700" s="34"/>
      <c r="I700" s="34"/>
      <c r="J700" s="34"/>
      <c r="K700" s="105"/>
      <c r="L700" s="34"/>
      <c r="M700" s="34"/>
      <c r="N700" s="34"/>
      <c r="O700" s="105"/>
      <c r="P700" s="105"/>
      <c r="Q700" s="105"/>
      <c r="R700" s="105"/>
      <c r="S700" s="105"/>
      <c r="T700" s="105"/>
      <c r="U700" s="105"/>
      <c r="V700" s="105"/>
      <c r="W700" s="105"/>
      <c r="X700" s="105"/>
      <c r="Y700" s="105"/>
      <c r="Z700" s="105"/>
      <c r="AA700" s="105"/>
      <c r="AB700" s="105"/>
      <c r="AC700" s="105"/>
    </row>
    <row r="701" spans="1:29" ht="12.75">
      <c r="A701" s="34"/>
      <c r="B701" s="34"/>
      <c r="C701" s="34"/>
      <c r="D701" s="34"/>
      <c r="E701" s="188"/>
      <c r="F701" s="34"/>
      <c r="G701" s="34"/>
      <c r="H701" s="34"/>
      <c r="I701" s="34"/>
      <c r="J701" s="34"/>
      <c r="K701" s="105"/>
      <c r="L701" s="34"/>
      <c r="M701" s="34"/>
      <c r="N701" s="34"/>
      <c r="O701" s="105"/>
      <c r="P701" s="105"/>
      <c r="Q701" s="105"/>
      <c r="R701" s="105"/>
      <c r="S701" s="105"/>
      <c r="T701" s="105"/>
      <c r="U701" s="105"/>
      <c r="V701" s="105"/>
      <c r="W701" s="105"/>
      <c r="X701" s="105"/>
      <c r="Y701" s="105"/>
      <c r="Z701" s="105"/>
      <c r="AA701" s="105"/>
      <c r="AB701" s="105"/>
      <c r="AC701" s="105"/>
    </row>
    <row r="702" spans="1:29" ht="12.75">
      <c r="A702" s="34"/>
      <c r="B702" s="34"/>
      <c r="C702" s="34"/>
      <c r="D702" s="34"/>
      <c r="E702" s="188"/>
      <c r="F702" s="34"/>
      <c r="G702" s="34"/>
      <c r="H702" s="34"/>
      <c r="I702" s="34"/>
      <c r="J702" s="34"/>
      <c r="K702" s="105"/>
      <c r="L702" s="34"/>
      <c r="M702" s="34"/>
      <c r="N702" s="34"/>
      <c r="O702" s="105"/>
      <c r="P702" s="105"/>
      <c r="Q702" s="105"/>
      <c r="R702" s="105"/>
      <c r="S702" s="105"/>
      <c r="T702" s="105"/>
      <c r="U702" s="105"/>
      <c r="V702" s="105"/>
      <c r="W702" s="105"/>
      <c r="X702" s="105"/>
      <c r="Y702" s="105"/>
      <c r="Z702" s="105"/>
      <c r="AA702" s="105"/>
      <c r="AB702" s="105"/>
      <c r="AC702" s="105"/>
    </row>
    <row r="703" spans="1:29" ht="12.75">
      <c r="A703" s="34"/>
      <c r="B703" s="34"/>
      <c r="C703" s="34"/>
      <c r="D703" s="34"/>
      <c r="E703" s="188"/>
      <c r="F703" s="34"/>
      <c r="G703" s="34"/>
      <c r="H703" s="34"/>
      <c r="I703" s="34"/>
      <c r="J703" s="34"/>
      <c r="K703" s="105"/>
      <c r="L703" s="34"/>
      <c r="M703" s="34"/>
      <c r="N703" s="34"/>
      <c r="O703" s="105"/>
      <c r="P703" s="105"/>
      <c r="Q703" s="105"/>
      <c r="R703" s="105"/>
      <c r="S703" s="105"/>
      <c r="T703" s="105"/>
      <c r="U703" s="105"/>
      <c r="V703" s="105"/>
      <c r="W703" s="105"/>
      <c r="X703" s="105"/>
      <c r="Y703" s="105"/>
      <c r="Z703" s="105"/>
      <c r="AA703" s="105"/>
      <c r="AB703" s="105"/>
      <c r="AC703" s="105"/>
    </row>
    <row r="704" spans="1:29" ht="12.75">
      <c r="A704" s="34"/>
      <c r="B704" s="34"/>
      <c r="C704" s="34"/>
      <c r="D704" s="34"/>
      <c r="E704" s="188"/>
      <c r="F704" s="34"/>
      <c r="G704" s="34"/>
      <c r="H704" s="34"/>
      <c r="I704" s="34"/>
      <c r="J704" s="34"/>
      <c r="K704" s="105"/>
      <c r="L704" s="34"/>
      <c r="M704" s="34"/>
      <c r="N704" s="34"/>
      <c r="O704" s="105"/>
      <c r="P704" s="105"/>
      <c r="Q704" s="105"/>
      <c r="R704" s="105"/>
      <c r="S704" s="105"/>
      <c r="T704" s="105"/>
      <c r="U704" s="105"/>
      <c r="V704" s="105"/>
      <c r="W704" s="105"/>
      <c r="X704" s="105"/>
      <c r="Y704" s="105"/>
      <c r="Z704" s="105"/>
      <c r="AA704" s="105"/>
      <c r="AB704" s="105"/>
      <c r="AC704" s="105"/>
    </row>
    <row r="705" spans="1:29" ht="12.75">
      <c r="A705" s="34"/>
      <c r="B705" s="34"/>
      <c r="C705" s="34"/>
      <c r="D705" s="34"/>
      <c r="E705" s="188"/>
      <c r="F705" s="34"/>
      <c r="G705" s="34"/>
      <c r="H705" s="34"/>
      <c r="I705" s="34"/>
      <c r="J705" s="34"/>
      <c r="K705" s="105"/>
      <c r="L705" s="34"/>
      <c r="M705" s="34"/>
      <c r="N705" s="34"/>
      <c r="O705" s="105"/>
      <c r="P705" s="105"/>
      <c r="Q705" s="105"/>
      <c r="R705" s="105"/>
      <c r="S705" s="105"/>
      <c r="T705" s="105"/>
      <c r="U705" s="105"/>
      <c r="V705" s="105"/>
      <c r="W705" s="105"/>
      <c r="X705" s="105"/>
      <c r="Y705" s="105"/>
      <c r="Z705" s="105"/>
      <c r="AA705" s="105"/>
      <c r="AB705" s="105"/>
      <c r="AC705" s="105"/>
    </row>
    <row r="706" spans="1:29" ht="12.75">
      <c r="A706" s="34"/>
      <c r="B706" s="34"/>
      <c r="C706" s="34"/>
      <c r="D706" s="34"/>
      <c r="E706" s="188"/>
      <c r="F706" s="34"/>
      <c r="G706" s="34"/>
      <c r="H706" s="34"/>
      <c r="I706" s="34"/>
      <c r="J706" s="34"/>
      <c r="K706" s="105"/>
      <c r="L706" s="34"/>
      <c r="M706" s="34"/>
      <c r="N706" s="34"/>
      <c r="O706" s="105"/>
      <c r="P706" s="105"/>
      <c r="Q706" s="105"/>
      <c r="R706" s="105"/>
      <c r="S706" s="105"/>
      <c r="T706" s="105"/>
      <c r="U706" s="105"/>
      <c r="V706" s="105"/>
      <c r="W706" s="105"/>
      <c r="X706" s="105"/>
      <c r="Y706" s="105"/>
      <c r="Z706" s="105"/>
      <c r="AA706" s="105"/>
      <c r="AB706" s="105"/>
      <c r="AC706" s="105"/>
    </row>
    <row r="707" spans="1:29" ht="12.75">
      <c r="A707" s="34"/>
      <c r="B707" s="34"/>
      <c r="C707" s="34"/>
      <c r="D707" s="34"/>
      <c r="E707" s="188"/>
      <c r="F707" s="34"/>
      <c r="G707" s="34"/>
      <c r="H707" s="34"/>
      <c r="I707" s="34"/>
      <c r="J707" s="34"/>
      <c r="K707" s="105"/>
      <c r="L707" s="34"/>
      <c r="M707" s="34"/>
      <c r="N707" s="34"/>
      <c r="O707" s="105"/>
      <c r="P707" s="105"/>
      <c r="Q707" s="105"/>
      <c r="R707" s="105"/>
      <c r="S707" s="105"/>
      <c r="T707" s="105"/>
      <c r="U707" s="105"/>
      <c r="V707" s="105"/>
      <c r="W707" s="105"/>
      <c r="X707" s="105"/>
      <c r="Y707" s="105"/>
      <c r="Z707" s="105"/>
      <c r="AA707" s="105"/>
      <c r="AB707" s="105"/>
      <c r="AC707" s="105"/>
    </row>
    <row r="708" spans="1:29" ht="12.75">
      <c r="A708" s="34"/>
      <c r="B708" s="34"/>
      <c r="C708" s="34"/>
      <c r="D708" s="34"/>
      <c r="E708" s="188"/>
      <c r="F708" s="34"/>
      <c r="G708" s="34"/>
      <c r="H708" s="34"/>
      <c r="I708" s="34"/>
      <c r="J708" s="34"/>
      <c r="K708" s="105"/>
      <c r="L708" s="34"/>
      <c r="M708" s="34"/>
      <c r="N708" s="34"/>
      <c r="O708" s="105"/>
      <c r="P708" s="105"/>
      <c r="Q708" s="105"/>
      <c r="R708" s="105"/>
      <c r="S708" s="105"/>
      <c r="T708" s="105"/>
      <c r="U708" s="105"/>
      <c r="V708" s="105"/>
      <c r="W708" s="105"/>
      <c r="X708" s="105"/>
      <c r="Y708" s="105"/>
      <c r="Z708" s="105"/>
      <c r="AA708" s="105"/>
      <c r="AB708" s="105"/>
      <c r="AC708" s="105"/>
    </row>
    <row r="709" spans="1:29" ht="12.75">
      <c r="A709" s="34"/>
      <c r="B709" s="34"/>
      <c r="C709" s="34"/>
      <c r="D709" s="34"/>
      <c r="E709" s="188"/>
      <c r="F709" s="34"/>
      <c r="G709" s="34"/>
      <c r="H709" s="34"/>
      <c r="I709" s="34"/>
      <c r="J709" s="34"/>
      <c r="K709" s="105"/>
      <c r="L709" s="34"/>
      <c r="M709" s="34"/>
      <c r="N709" s="34"/>
      <c r="O709" s="105"/>
      <c r="P709" s="105"/>
      <c r="Q709" s="105"/>
      <c r="R709" s="105"/>
      <c r="S709" s="105"/>
      <c r="T709" s="105"/>
      <c r="U709" s="105"/>
      <c r="V709" s="105"/>
      <c r="W709" s="105"/>
      <c r="X709" s="105"/>
      <c r="Y709" s="105"/>
      <c r="Z709" s="105"/>
      <c r="AA709" s="105"/>
      <c r="AB709" s="105"/>
      <c r="AC709" s="105"/>
    </row>
    <row r="710" spans="1:29" ht="12.75">
      <c r="A710" s="34"/>
      <c r="B710" s="34"/>
      <c r="C710" s="34"/>
      <c r="D710" s="34"/>
      <c r="E710" s="188"/>
      <c r="F710" s="34"/>
      <c r="G710" s="34"/>
      <c r="H710" s="34"/>
      <c r="I710" s="34"/>
      <c r="J710" s="34"/>
      <c r="K710" s="105"/>
      <c r="L710" s="34"/>
      <c r="M710" s="34"/>
      <c r="N710" s="34"/>
      <c r="O710" s="105"/>
      <c r="P710" s="105"/>
      <c r="Q710" s="105"/>
      <c r="R710" s="105"/>
      <c r="S710" s="105"/>
      <c r="T710" s="105"/>
      <c r="U710" s="105"/>
      <c r="V710" s="105"/>
      <c r="W710" s="105"/>
      <c r="X710" s="105"/>
      <c r="Y710" s="105"/>
      <c r="Z710" s="105"/>
      <c r="AA710" s="105"/>
      <c r="AB710" s="105"/>
      <c r="AC710" s="105"/>
    </row>
    <row r="711" spans="1:29" ht="12.75">
      <c r="A711" s="34"/>
      <c r="B711" s="34"/>
      <c r="C711" s="34"/>
      <c r="D711" s="34"/>
      <c r="E711" s="188"/>
      <c r="F711" s="34"/>
      <c r="G711" s="34"/>
      <c r="H711" s="34"/>
      <c r="I711" s="34"/>
      <c r="J711" s="34"/>
      <c r="K711" s="105"/>
      <c r="L711" s="34"/>
      <c r="M711" s="34"/>
      <c r="N711" s="34"/>
      <c r="O711" s="105"/>
      <c r="P711" s="105"/>
      <c r="Q711" s="105"/>
      <c r="R711" s="105"/>
      <c r="S711" s="105"/>
      <c r="T711" s="105"/>
      <c r="U711" s="105"/>
      <c r="V711" s="105"/>
      <c r="W711" s="105"/>
      <c r="X711" s="105"/>
      <c r="Y711" s="105"/>
      <c r="Z711" s="105"/>
      <c r="AA711" s="105"/>
      <c r="AB711" s="105"/>
      <c r="AC711" s="105"/>
    </row>
    <row r="712" spans="1:29" ht="12.75">
      <c r="A712" s="34"/>
      <c r="B712" s="34"/>
      <c r="C712" s="34"/>
      <c r="D712" s="34"/>
      <c r="E712" s="188"/>
      <c r="F712" s="34"/>
      <c r="G712" s="34"/>
      <c r="H712" s="34"/>
      <c r="I712" s="34"/>
      <c r="J712" s="34"/>
      <c r="K712" s="105"/>
      <c r="L712" s="34"/>
      <c r="M712" s="34"/>
      <c r="N712" s="34"/>
      <c r="O712" s="105"/>
      <c r="P712" s="105"/>
      <c r="Q712" s="105"/>
      <c r="R712" s="105"/>
      <c r="S712" s="105"/>
      <c r="T712" s="105"/>
      <c r="U712" s="105"/>
      <c r="V712" s="105"/>
      <c r="W712" s="105"/>
      <c r="X712" s="105"/>
      <c r="Y712" s="105"/>
      <c r="Z712" s="105"/>
      <c r="AA712" s="105"/>
      <c r="AB712" s="105"/>
      <c r="AC712" s="105"/>
    </row>
    <row r="713" spans="1:29" ht="12.75">
      <c r="A713" s="34"/>
      <c r="B713" s="34"/>
      <c r="C713" s="34"/>
      <c r="D713" s="34"/>
      <c r="E713" s="188"/>
      <c r="F713" s="34"/>
      <c r="G713" s="34"/>
      <c r="H713" s="34"/>
      <c r="I713" s="34"/>
      <c r="J713" s="34"/>
      <c r="K713" s="105"/>
      <c r="L713" s="34"/>
      <c r="M713" s="34"/>
      <c r="N713" s="34"/>
      <c r="O713" s="105"/>
      <c r="P713" s="105"/>
      <c r="Q713" s="105"/>
      <c r="R713" s="105"/>
      <c r="S713" s="105"/>
      <c r="T713" s="105"/>
      <c r="U713" s="105"/>
      <c r="V713" s="105"/>
      <c r="W713" s="105"/>
      <c r="X713" s="105"/>
      <c r="Y713" s="105"/>
      <c r="Z713" s="105"/>
      <c r="AA713" s="105"/>
      <c r="AB713" s="105"/>
      <c r="AC713" s="105"/>
    </row>
    <row r="714" spans="1:29" ht="12.75">
      <c r="A714" s="34"/>
      <c r="B714" s="34"/>
      <c r="C714" s="34"/>
      <c r="D714" s="34"/>
      <c r="E714" s="188"/>
      <c r="F714" s="34"/>
      <c r="G714" s="34"/>
      <c r="H714" s="34"/>
      <c r="I714" s="34"/>
      <c r="J714" s="34"/>
      <c r="K714" s="105"/>
      <c r="L714" s="34"/>
      <c r="M714" s="34"/>
      <c r="N714" s="34"/>
      <c r="O714" s="105"/>
      <c r="P714" s="105"/>
      <c r="Q714" s="105"/>
      <c r="R714" s="105"/>
      <c r="S714" s="105"/>
      <c r="T714" s="105"/>
      <c r="U714" s="105"/>
      <c r="V714" s="105"/>
      <c r="W714" s="105"/>
      <c r="X714" s="105"/>
      <c r="Y714" s="105"/>
      <c r="Z714" s="105"/>
      <c r="AA714" s="105"/>
      <c r="AB714" s="105"/>
      <c r="AC714" s="105"/>
    </row>
    <row r="715" spans="1:29" ht="12.75">
      <c r="A715" s="34"/>
      <c r="B715" s="34"/>
      <c r="C715" s="34"/>
      <c r="D715" s="34"/>
      <c r="E715" s="188"/>
      <c r="F715" s="34"/>
      <c r="G715" s="34"/>
      <c r="H715" s="34"/>
      <c r="I715" s="34"/>
      <c r="J715" s="34"/>
      <c r="K715" s="105"/>
      <c r="L715" s="34"/>
      <c r="M715" s="34"/>
      <c r="N715" s="34"/>
      <c r="O715" s="105"/>
      <c r="P715" s="105"/>
      <c r="Q715" s="105"/>
      <c r="R715" s="105"/>
      <c r="S715" s="105"/>
      <c r="T715" s="105"/>
      <c r="U715" s="105"/>
      <c r="V715" s="105"/>
      <c r="W715" s="105"/>
      <c r="X715" s="105"/>
      <c r="Y715" s="105"/>
      <c r="Z715" s="105"/>
      <c r="AA715" s="105"/>
      <c r="AB715" s="105"/>
      <c r="AC715" s="105"/>
    </row>
    <row r="716" spans="1:29" ht="12.75">
      <c r="A716" s="34"/>
      <c r="B716" s="34"/>
      <c r="C716" s="34"/>
      <c r="D716" s="34"/>
      <c r="E716" s="188"/>
      <c r="F716" s="34"/>
      <c r="G716" s="34"/>
      <c r="H716" s="34"/>
      <c r="I716" s="34"/>
      <c r="J716" s="34"/>
      <c r="K716" s="105"/>
      <c r="L716" s="34"/>
      <c r="M716" s="34"/>
      <c r="N716" s="34"/>
      <c r="O716" s="105"/>
      <c r="P716" s="105"/>
      <c r="Q716" s="105"/>
      <c r="R716" s="105"/>
      <c r="S716" s="105"/>
      <c r="T716" s="105"/>
      <c r="U716" s="105"/>
      <c r="V716" s="105"/>
      <c r="W716" s="105"/>
      <c r="X716" s="105"/>
      <c r="Y716" s="105"/>
      <c r="Z716" s="105"/>
      <c r="AA716" s="105"/>
      <c r="AB716" s="105"/>
      <c r="AC716" s="105"/>
    </row>
    <row r="717" spans="1:29" ht="12.75">
      <c r="A717" s="34"/>
      <c r="B717" s="34"/>
      <c r="C717" s="34"/>
      <c r="D717" s="34"/>
      <c r="E717" s="188"/>
      <c r="F717" s="34"/>
      <c r="G717" s="34"/>
      <c r="H717" s="34"/>
      <c r="I717" s="34"/>
      <c r="J717" s="34"/>
      <c r="K717" s="105"/>
      <c r="L717" s="34"/>
      <c r="M717" s="34"/>
      <c r="N717" s="34"/>
      <c r="O717" s="105"/>
      <c r="P717" s="105"/>
      <c r="Q717" s="105"/>
      <c r="R717" s="105"/>
      <c r="S717" s="105"/>
      <c r="T717" s="105"/>
      <c r="U717" s="105"/>
      <c r="V717" s="105"/>
      <c r="W717" s="105"/>
      <c r="X717" s="105"/>
      <c r="Y717" s="105"/>
      <c r="Z717" s="105"/>
      <c r="AA717" s="105"/>
      <c r="AB717" s="105"/>
      <c r="AC717" s="105"/>
    </row>
    <row r="718" spans="1:29" ht="12.75">
      <c r="A718" s="34"/>
      <c r="B718" s="34"/>
      <c r="C718" s="34"/>
      <c r="D718" s="34"/>
      <c r="E718" s="188"/>
      <c r="F718" s="34"/>
      <c r="G718" s="34"/>
      <c r="H718" s="34"/>
      <c r="I718" s="34"/>
      <c r="J718" s="34"/>
      <c r="K718" s="105"/>
      <c r="L718" s="34"/>
      <c r="M718" s="34"/>
      <c r="N718" s="34"/>
      <c r="O718" s="105"/>
      <c r="P718" s="105"/>
      <c r="Q718" s="105"/>
      <c r="R718" s="105"/>
      <c r="S718" s="105"/>
      <c r="T718" s="105"/>
      <c r="U718" s="105"/>
      <c r="V718" s="105"/>
      <c r="W718" s="105"/>
      <c r="X718" s="105"/>
      <c r="Y718" s="105"/>
      <c r="Z718" s="105"/>
      <c r="AA718" s="105"/>
      <c r="AB718" s="105"/>
      <c r="AC718" s="105"/>
    </row>
    <row r="719" spans="1:29" ht="12.75">
      <c r="A719" s="34"/>
      <c r="B719" s="34"/>
      <c r="C719" s="34"/>
      <c r="D719" s="34"/>
      <c r="E719" s="188"/>
      <c r="F719" s="34"/>
      <c r="G719" s="34"/>
      <c r="H719" s="34"/>
      <c r="I719" s="34"/>
      <c r="J719" s="34"/>
      <c r="K719" s="105"/>
      <c r="L719" s="34"/>
      <c r="M719" s="34"/>
      <c r="N719" s="34"/>
      <c r="O719" s="105"/>
      <c r="P719" s="105"/>
      <c r="Q719" s="105"/>
      <c r="R719" s="105"/>
      <c r="S719" s="105"/>
      <c r="T719" s="105"/>
      <c r="U719" s="105"/>
      <c r="V719" s="105"/>
      <c r="W719" s="105"/>
      <c r="X719" s="105"/>
      <c r="Y719" s="105"/>
      <c r="Z719" s="105"/>
      <c r="AA719" s="105"/>
      <c r="AB719" s="105"/>
      <c r="AC719" s="105"/>
    </row>
    <row r="720" spans="1:29" ht="12.75">
      <c r="A720" s="34"/>
      <c r="B720" s="34"/>
      <c r="C720" s="34"/>
      <c r="D720" s="34"/>
      <c r="E720" s="188"/>
      <c r="F720" s="34"/>
      <c r="G720" s="34"/>
      <c r="H720" s="34"/>
      <c r="I720" s="34"/>
      <c r="J720" s="34"/>
      <c r="K720" s="105"/>
      <c r="L720" s="34"/>
      <c r="M720" s="34"/>
      <c r="N720" s="34"/>
      <c r="O720" s="105"/>
      <c r="P720" s="105"/>
      <c r="Q720" s="105"/>
      <c r="R720" s="105"/>
      <c r="S720" s="105"/>
      <c r="T720" s="105"/>
      <c r="U720" s="105"/>
      <c r="V720" s="105"/>
      <c r="W720" s="105"/>
      <c r="X720" s="105"/>
      <c r="Y720" s="105"/>
      <c r="Z720" s="105"/>
      <c r="AA720" s="105"/>
      <c r="AB720" s="105"/>
      <c r="AC720" s="105"/>
    </row>
    <row r="721" spans="1:29" ht="12.75">
      <c r="A721" s="34"/>
      <c r="B721" s="34"/>
      <c r="C721" s="34"/>
      <c r="D721" s="34"/>
      <c r="E721" s="188"/>
      <c r="F721" s="34"/>
      <c r="G721" s="34"/>
      <c r="H721" s="34"/>
      <c r="I721" s="34"/>
      <c r="J721" s="34"/>
      <c r="K721" s="105"/>
      <c r="L721" s="34"/>
      <c r="M721" s="34"/>
      <c r="N721" s="34"/>
      <c r="O721" s="105"/>
      <c r="P721" s="105"/>
      <c r="Q721" s="105"/>
      <c r="R721" s="105"/>
      <c r="S721" s="105"/>
      <c r="T721" s="105"/>
      <c r="U721" s="105"/>
      <c r="V721" s="105"/>
      <c r="W721" s="105"/>
      <c r="X721" s="105"/>
      <c r="Y721" s="105"/>
      <c r="Z721" s="105"/>
      <c r="AA721" s="105"/>
      <c r="AB721" s="105"/>
      <c r="AC721" s="105"/>
    </row>
    <row r="722" spans="1:29" ht="12.75">
      <c r="A722" s="34"/>
      <c r="B722" s="34"/>
      <c r="C722" s="34"/>
      <c r="D722" s="34"/>
      <c r="E722" s="188"/>
      <c r="F722" s="34"/>
      <c r="G722" s="34"/>
      <c r="H722" s="34"/>
      <c r="I722" s="34"/>
      <c r="J722" s="34"/>
      <c r="K722" s="105"/>
      <c r="L722" s="34"/>
      <c r="M722" s="34"/>
      <c r="N722" s="34"/>
      <c r="O722" s="105"/>
      <c r="P722" s="105"/>
      <c r="Q722" s="105"/>
      <c r="R722" s="105"/>
      <c r="S722" s="105"/>
      <c r="T722" s="105"/>
      <c r="U722" s="105"/>
      <c r="V722" s="105"/>
      <c r="W722" s="105"/>
      <c r="X722" s="105"/>
      <c r="Y722" s="105"/>
      <c r="Z722" s="105"/>
      <c r="AA722" s="105"/>
      <c r="AB722" s="105"/>
      <c r="AC722" s="105"/>
    </row>
    <row r="723" spans="1:29" ht="12.75">
      <c r="A723" s="34"/>
      <c r="B723" s="34"/>
      <c r="C723" s="34"/>
      <c r="D723" s="34"/>
      <c r="E723" s="188"/>
      <c r="F723" s="34"/>
      <c r="G723" s="34"/>
      <c r="H723" s="34"/>
      <c r="I723" s="34"/>
      <c r="J723" s="34"/>
      <c r="K723" s="105"/>
      <c r="L723" s="34"/>
      <c r="M723" s="34"/>
      <c r="N723" s="34"/>
      <c r="O723" s="105"/>
      <c r="P723" s="105"/>
      <c r="Q723" s="105"/>
      <c r="R723" s="105"/>
      <c r="S723" s="105"/>
      <c r="T723" s="105"/>
      <c r="U723" s="105"/>
      <c r="V723" s="105"/>
      <c r="W723" s="105"/>
      <c r="X723" s="105"/>
      <c r="Y723" s="105"/>
      <c r="Z723" s="105"/>
      <c r="AA723" s="105"/>
      <c r="AB723" s="105"/>
      <c r="AC723" s="105"/>
    </row>
    <row r="724" spans="1:29" ht="12.75">
      <c r="A724" s="34"/>
      <c r="B724" s="34"/>
      <c r="C724" s="34"/>
      <c r="D724" s="34"/>
      <c r="E724" s="188"/>
      <c r="F724" s="34"/>
      <c r="G724" s="34"/>
      <c r="H724" s="34"/>
      <c r="I724" s="34"/>
      <c r="J724" s="34"/>
      <c r="K724" s="105"/>
      <c r="L724" s="34"/>
      <c r="M724" s="34"/>
      <c r="N724" s="34"/>
      <c r="O724" s="105"/>
      <c r="P724" s="105"/>
      <c r="Q724" s="105"/>
      <c r="R724" s="105"/>
      <c r="S724" s="105"/>
      <c r="T724" s="105"/>
      <c r="U724" s="105"/>
      <c r="V724" s="105"/>
      <c r="W724" s="105"/>
      <c r="X724" s="105"/>
      <c r="Y724" s="105"/>
      <c r="Z724" s="105"/>
      <c r="AA724" s="105"/>
      <c r="AB724" s="105"/>
      <c r="AC724" s="105"/>
    </row>
    <row r="725" spans="1:29" ht="12.75">
      <c r="A725" s="34"/>
      <c r="B725" s="34"/>
      <c r="C725" s="34"/>
      <c r="D725" s="34"/>
      <c r="E725" s="188"/>
      <c r="F725" s="34"/>
      <c r="G725" s="34"/>
      <c r="H725" s="34"/>
      <c r="I725" s="34"/>
      <c r="J725" s="34"/>
      <c r="K725" s="105"/>
      <c r="L725" s="34"/>
      <c r="M725" s="34"/>
      <c r="N725" s="34"/>
      <c r="O725" s="105"/>
      <c r="P725" s="105"/>
      <c r="Q725" s="105"/>
      <c r="R725" s="105"/>
      <c r="S725" s="105"/>
      <c r="T725" s="105"/>
      <c r="U725" s="105"/>
      <c r="V725" s="105"/>
      <c r="W725" s="105"/>
      <c r="X725" s="105"/>
      <c r="Y725" s="105"/>
      <c r="Z725" s="105"/>
      <c r="AA725" s="105"/>
      <c r="AB725" s="105"/>
      <c r="AC725" s="105"/>
    </row>
    <row r="726" spans="1:29" ht="12.75">
      <c r="A726" s="34"/>
      <c r="B726" s="34"/>
      <c r="C726" s="34"/>
      <c r="D726" s="34"/>
      <c r="E726" s="188"/>
      <c r="F726" s="34"/>
      <c r="G726" s="34"/>
      <c r="H726" s="34"/>
      <c r="I726" s="34"/>
      <c r="J726" s="34"/>
      <c r="K726" s="105"/>
      <c r="L726" s="34"/>
      <c r="M726" s="34"/>
      <c r="N726" s="34"/>
      <c r="O726" s="105"/>
      <c r="P726" s="105"/>
      <c r="Q726" s="105"/>
      <c r="R726" s="105"/>
      <c r="S726" s="105"/>
      <c r="T726" s="105"/>
      <c r="U726" s="105"/>
      <c r="V726" s="105"/>
      <c r="W726" s="105"/>
      <c r="X726" s="105"/>
      <c r="Y726" s="105"/>
      <c r="Z726" s="105"/>
      <c r="AA726" s="105"/>
      <c r="AB726" s="105"/>
      <c r="AC726" s="105"/>
    </row>
    <row r="727" spans="1:29" ht="12.75">
      <c r="A727" s="34"/>
      <c r="B727" s="34"/>
      <c r="C727" s="34"/>
      <c r="D727" s="34"/>
      <c r="E727" s="188"/>
      <c r="F727" s="34"/>
      <c r="G727" s="34"/>
      <c r="H727" s="34"/>
      <c r="I727" s="34"/>
      <c r="J727" s="34"/>
      <c r="K727" s="105"/>
      <c r="L727" s="34"/>
      <c r="M727" s="34"/>
      <c r="N727" s="34"/>
      <c r="O727" s="105"/>
      <c r="P727" s="105"/>
      <c r="Q727" s="105"/>
      <c r="R727" s="105"/>
      <c r="S727" s="105"/>
      <c r="T727" s="105"/>
      <c r="U727" s="105"/>
      <c r="V727" s="105"/>
      <c r="W727" s="105"/>
      <c r="X727" s="105"/>
      <c r="Y727" s="105"/>
      <c r="Z727" s="105"/>
      <c r="AA727" s="105"/>
      <c r="AB727" s="105"/>
      <c r="AC727" s="105"/>
    </row>
    <row r="728" spans="1:29" ht="12.75">
      <c r="A728" s="34"/>
      <c r="B728" s="34"/>
      <c r="C728" s="34"/>
      <c r="D728" s="34"/>
      <c r="E728" s="188"/>
      <c r="F728" s="34"/>
      <c r="G728" s="34"/>
      <c r="H728" s="34"/>
      <c r="I728" s="34"/>
      <c r="J728" s="34"/>
      <c r="K728" s="105"/>
      <c r="L728" s="34"/>
      <c r="M728" s="34"/>
      <c r="N728" s="34"/>
      <c r="O728" s="105"/>
      <c r="P728" s="105"/>
      <c r="Q728" s="105"/>
      <c r="R728" s="105"/>
      <c r="S728" s="105"/>
      <c r="T728" s="105"/>
      <c r="U728" s="105"/>
      <c r="V728" s="105"/>
      <c r="W728" s="105"/>
      <c r="X728" s="105"/>
      <c r="Y728" s="105"/>
      <c r="Z728" s="105"/>
      <c r="AA728" s="105"/>
      <c r="AB728" s="105"/>
      <c r="AC728" s="105"/>
    </row>
    <row r="729" spans="1:29" ht="12.75">
      <c r="A729" s="34"/>
      <c r="B729" s="34"/>
      <c r="C729" s="34"/>
      <c r="D729" s="34"/>
      <c r="E729" s="188"/>
      <c r="F729" s="34"/>
      <c r="G729" s="34"/>
      <c r="H729" s="34"/>
      <c r="I729" s="34"/>
      <c r="J729" s="34"/>
      <c r="K729" s="105"/>
      <c r="L729" s="34"/>
      <c r="M729" s="34"/>
      <c r="N729" s="34"/>
      <c r="O729" s="105"/>
      <c r="P729" s="105"/>
      <c r="Q729" s="105"/>
      <c r="R729" s="105"/>
      <c r="S729" s="105"/>
      <c r="T729" s="105"/>
      <c r="U729" s="105"/>
      <c r="V729" s="105"/>
      <c r="W729" s="105"/>
      <c r="X729" s="105"/>
      <c r="Y729" s="105"/>
      <c r="Z729" s="105"/>
      <c r="AA729" s="105"/>
      <c r="AB729" s="105"/>
      <c r="AC729" s="105"/>
    </row>
    <row r="730" spans="1:29" ht="12.75">
      <c r="A730" s="34"/>
      <c r="B730" s="34"/>
      <c r="C730" s="34"/>
      <c r="D730" s="34"/>
      <c r="E730" s="188"/>
      <c r="F730" s="34"/>
      <c r="G730" s="34"/>
      <c r="H730" s="34"/>
      <c r="I730" s="34"/>
      <c r="J730" s="34"/>
      <c r="K730" s="105"/>
      <c r="L730" s="34"/>
      <c r="M730" s="34"/>
      <c r="N730" s="34"/>
      <c r="O730" s="105"/>
      <c r="P730" s="105"/>
      <c r="Q730" s="105"/>
      <c r="R730" s="105"/>
      <c r="S730" s="105"/>
      <c r="T730" s="105"/>
      <c r="U730" s="105"/>
      <c r="V730" s="105"/>
      <c r="W730" s="105"/>
      <c r="X730" s="105"/>
      <c r="Y730" s="105"/>
      <c r="Z730" s="105"/>
      <c r="AA730" s="105"/>
      <c r="AB730" s="105"/>
      <c r="AC730" s="105"/>
    </row>
    <row r="731" spans="1:29" ht="12.75">
      <c r="A731" s="34"/>
      <c r="B731" s="34"/>
      <c r="C731" s="34"/>
      <c r="D731" s="34"/>
      <c r="E731" s="188"/>
      <c r="F731" s="34"/>
      <c r="G731" s="34"/>
      <c r="H731" s="34"/>
      <c r="I731" s="34"/>
      <c r="J731" s="34"/>
      <c r="K731" s="105"/>
      <c r="L731" s="34"/>
      <c r="M731" s="34"/>
      <c r="N731" s="34"/>
      <c r="O731" s="105"/>
      <c r="P731" s="105"/>
      <c r="Q731" s="105"/>
      <c r="R731" s="105"/>
      <c r="S731" s="105"/>
      <c r="T731" s="105"/>
      <c r="U731" s="105"/>
      <c r="V731" s="105"/>
      <c r="W731" s="105"/>
      <c r="X731" s="105"/>
      <c r="Y731" s="105"/>
      <c r="Z731" s="105"/>
      <c r="AA731" s="105"/>
      <c r="AB731" s="105"/>
      <c r="AC731" s="105"/>
    </row>
    <row r="732" spans="1:29" ht="12.75">
      <c r="A732" s="34"/>
      <c r="B732" s="34"/>
      <c r="C732" s="34"/>
      <c r="D732" s="34"/>
      <c r="E732" s="188"/>
      <c r="F732" s="34"/>
      <c r="G732" s="34"/>
      <c r="H732" s="34"/>
      <c r="I732" s="34"/>
      <c r="J732" s="34"/>
      <c r="K732" s="105"/>
      <c r="L732" s="34"/>
      <c r="M732" s="34"/>
      <c r="N732" s="34"/>
      <c r="O732" s="105"/>
      <c r="P732" s="105"/>
      <c r="Q732" s="105"/>
      <c r="R732" s="105"/>
      <c r="S732" s="105"/>
      <c r="T732" s="105"/>
      <c r="U732" s="105"/>
      <c r="V732" s="105"/>
      <c r="W732" s="105"/>
      <c r="X732" s="105"/>
      <c r="Y732" s="105"/>
      <c r="Z732" s="105"/>
      <c r="AA732" s="105"/>
      <c r="AB732" s="105"/>
      <c r="AC732" s="105"/>
    </row>
    <row r="733" spans="1:29" ht="12.75">
      <c r="A733" s="34"/>
      <c r="B733" s="34"/>
      <c r="C733" s="34"/>
      <c r="D733" s="34"/>
      <c r="E733" s="188"/>
      <c r="F733" s="34"/>
      <c r="G733" s="34"/>
      <c r="H733" s="34"/>
      <c r="I733" s="34"/>
      <c r="J733" s="34"/>
      <c r="K733" s="105"/>
      <c r="L733" s="34"/>
      <c r="M733" s="34"/>
      <c r="N733" s="34"/>
      <c r="O733" s="105"/>
      <c r="P733" s="105"/>
      <c r="Q733" s="105"/>
      <c r="R733" s="105"/>
      <c r="S733" s="105"/>
      <c r="T733" s="105"/>
      <c r="U733" s="105"/>
      <c r="V733" s="105"/>
      <c r="W733" s="105"/>
      <c r="X733" s="105"/>
      <c r="Y733" s="105"/>
      <c r="Z733" s="105"/>
      <c r="AA733" s="105"/>
      <c r="AB733" s="105"/>
      <c r="AC733" s="105"/>
    </row>
    <row r="734" spans="1:29" ht="12.75">
      <c r="A734" s="34"/>
      <c r="B734" s="34"/>
      <c r="C734" s="34"/>
      <c r="D734" s="34"/>
      <c r="E734" s="188"/>
      <c r="F734" s="34"/>
      <c r="G734" s="34"/>
      <c r="H734" s="34"/>
      <c r="I734" s="34"/>
      <c r="J734" s="34"/>
      <c r="K734" s="105"/>
      <c r="L734" s="34"/>
      <c r="M734" s="34"/>
      <c r="N734" s="34"/>
      <c r="O734" s="105"/>
      <c r="P734" s="105"/>
      <c r="Q734" s="105"/>
      <c r="R734" s="105"/>
      <c r="S734" s="105"/>
      <c r="T734" s="105"/>
      <c r="U734" s="105"/>
      <c r="V734" s="105"/>
      <c r="W734" s="105"/>
      <c r="X734" s="105"/>
      <c r="Y734" s="105"/>
      <c r="Z734" s="105"/>
      <c r="AA734" s="105"/>
      <c r="AB734" s="105"/>
      <c r="AC734" s="105"/>
    </row>
    <row r="735" spans="1:29" ht="12.75">
      <c r="A735" s="34"/>
      <c r="B735" s="34"/>
      <c r="C735" s="34"/>
      <c r="D735" s="34"/>
      <c r="E735" s="188"/>
      <c r="F735" s="34"/>
      <c r="G735" s="34"/>
      <c r="H735" s="34"/>
      <c r="I735" s="34"/>
      <c r="J735" s="34"/>
      <c r="K735" s="105"/>
      <c r="L735" s="34"/>
      <c r="M735" s="34"/>
      <c r="N735" s="34"/>
      <c r="O735" s="105"/>
      <c r="P735" s="105"/>
      <c r="Q735" s="105"/>
      <c r="R735" s="105"/>
      <c r="S735" s="105"/>
      <c r="T735" s="105"/>
      <c r="U735" s="105"/>
      <c r="V735" s="105"/>
      <c r="W735" s="105"/>
      <c r="X735" s="105"/>
      <c r="Y735" s="105"/>
      <c r="Z735" s="105"/>
      <c r="AA735" s="105"/>
      <c r="AB735" s="105"/>
      <c r="AC735" s="105"/>
    </row>
    <row r="736" spans="1:29" ht="12.75">
      <c r="A736" s="34"/>
      <c r="B736" s="34"/>
      <c r="C736" s="34"/>
      <c r="D736" s="34"/>
      <c r="E736" s="188"/>
      <c r="F736" s="34"/>
      <c r="G736" s="34"/>
      <c r="H736" s="34"/>
      <c r="I736" s="34"/>
      <c r="J736" s="34"/>
      <c r="K736" s="105"/>
      <c r="L736" s="34"/>
      <c r="M736" s="34"/>
      <c r="N736" s="34"/>
      <c r="O736" s="105"/>
      <c r="P736" s="105"/>
      <c r="Q736" s="105"/>
      <c r="R736" s="105"/>
      <c r="S736" s="105"/>
      <c r="T736" s="105"/>
      <c r="U736" s="105"/>
      <c r="V736" s="105"/>
      <c r="W736" s="105"/>
      <c r="X736" s="105"/>
      <c r="Y736" s="105"/>
      <c r="Z736" s="105"/>
      <c r="AA736" s="105"/>
      <c r="AB736" s="105"/>
      <c r="AC736" s="105"/>
    </row>
    <row r="737" spans="1:29" ht="12.75">
      <c r="A737" s="34"/>
      <c r="B737" s="34"/>
      <c r="C737" s="34"/>
      <c r="D737" s="34"/>
      <c r="E737" s="188"/>
      <c r="F737" s="34"/>
      <c r="G737" s="34"/>
      <c r="H737" s="34"/>
      <c r="I737" s="34"/>
      <c r="J737" s="34"/>
      <c r="K737" s="105"/>
      <c r="L737" s="34"/>
      <c r="M737" s="34"/>
      <c r="N737" s="34"/>
      <c r="O737" s="105"/>
      <c r="P737" s="105"/>
      <c r="Q737" s="105"/>
      <c r="R737" s="105"/>
      <c r="S737" s="105"/>
      <c r="T737" s="105"/>
      <c r="U737" s="105"/>
      <c r="V737" s="105"/>
      <c r="W737" s="105"/>
      <c r="X737" s="105"/>
      <c r="Y737" s="105"/>
      <c r="Z737" s="105"/>
      <c r="AA737" s="105"/>
      <c r="AB737" s="105"/>
      <c r="AC737" s="105"/>
    </row>
    <row r="738" spans="1:29" ht="12.75">
      <c r="A738" s="34"/>
      <c r="B738" s="34"/>
      <c r="C738" s="34"/>
      <c r="D738" s="34"/>
      <c r="E738" s="188"/>
      <c r="F738" s="34"/>
      <c r="G738" s="34"/>
      <c r="H738" s="34"/>
      <c r="I738" s="34"/>
      <c r="J738" s="34"/>
      <c r="K738" s="105"/>
      <c r="L738" s="34"/>
      <c r="M738" s="34"/>
      <c r="N738" s="34"/>
      <c r="O738" s="105"/>
      <c r="P738" s="105"/>
      <c r="Q738" s="105"/>
      <c r="R738" s="105"/>
      <c r="S738" s="105"/>
      <c r="T738" s="105"/>
      <c r="U738" s="105"/>
      <c r="V738" s="105"/>
      <c r="W738" s="105"/>
      <c r="X738" s="105"/>
      <c r="Y738" s="105"/>
      <c r="Z738" s="105"/>
      <c r="AA738" s="105"/>
      <c r="AB738" s="105"/>
      <c r="AC738" s="105"/>
    </row>
    <row r="739" spans="1:29" ht="12.75">
      <c r="A739" s="34"/>
      <c r="B739" s="34"/>
      <c r="C739" s="34"/>
      <c r="D739" s="34"/>
      <c r="E739" s="188"/>
      <c r="F739" s="34"/>
      <c r="G739" s="34"/>
      <c r="H739" s="34"/>
      <c r="I739" s="34"/>
      <c r="J739" s="34"/>
      <c r="K739" s="105"/>
      <c r="L739" s="34"/>
      <c r="M739" s="34"/>
      <c r="N739" s="34"/>
      <c r="O739" s="105"/>
      <c r="P739" s="105"/>
      <c r="Q739" s="105"/>
      <c r="R739" s="105"/>
      <c r="S739" s="105"/>
      <c r="T739" s="105"/>
      <c r="U739" s="105"/>
      <c r="V739" s="105"/>
      <c r="W739" s="105"/>
      <c r="X739" s="105"/>
      <c r="Y739" s="105"/>
      <c r="Z739" s="105"/>
      <c r="AA739" s="105"/>
      <c r="AB739" s="105"/>
      <c r="AC739" s="105"/>
    </row>
    <row r="740" spans="1:29" ht="12.75">
      <c r="A740" s="34"/>
      <c r="B740" s="34"/>
      <c r="C740" s="34"/>
      <c r="D740" s="34"/>
      <c r="E740" s="188"/>
      <c r="F740" s="34"/>
      <c r="G740" s="34"/>
      <c r="H740" s="34"/>
      <c r="I740" s="34"/>
      <c r="J740" s="34"/>
      <c r="K740" s="105"/>
      <c r="L740" s="34"/>
      <c r="M740" s="34"/>
      <c r="N740" s="34"/>
      <c r="O740" s="105"/>
      <c r="P740" s="105"/>
      <c r="Q740" s="105"/>
      <c r="R740" s="105"/>
      <c r="S740" s="105"/>
      <c r="T740" s="105"/>
      <c r="U740" s="105"/>
      <c r="V740" s="105"/>
      <c r="W740" s="105"/>
      <c r="X740" s="105"/>
      <c r="Y740" s="105"/>
      <c r="Z740" s="105"/>
      <c r="AA740" s="105"/>
      <c r="AB740" s="105"/>
      <c r="AC740" s="105"/>
    </row>
    <row r="741" spans="1:29" ht="12.75">
      <c r="A741" s="34"/>
      <c r="B741" s="34"/>
      <c r="C741" s="34"/>
      <c r="D741" s="34"/>
      <c r="E741" s="188"/>
      <c r="F741" s="34"/>
      <c r="G741" s="34"/>
      <c r="H741" s="34"/>
      <c r="I741" s="34"/>
      <c r="J741" s="34"/>
      <c r="K741" s="105"/>
      <c r="L741" s="34"/>
      <c r="M741" s="34"/>
      <c r="N741" s="34"/>
      <c r="O741" s="105"/>
      <c r="P741" s="105"/>
      <c r="Q741" s="105"/>
      <c r="R741" s="105"/>
      <c r="S741" s="105"/>
      <c r="T741" s="105"/>
      <c r="U741" s="105"/>
      <c r="V741" s="105"/>
      <c r="W741" s="105"/>
      <c r="X741" s="105"/>
      <c r="Y741" s="105"/>
      <c r="Z741" s="105"/>
      <c r="AA741" s="105"/>
      <c r="AB741" s="105"/>
      <c r="AC741" s="105"/>
    </row>
    <row r="742" spans="1:29" ht="12.75">
      <c r="A742" s="34"/>
      <c r="B742" s="34"/>
      <c r="C742" s="34"/>
      <c r="D742" s="34"/>
      <c r="E742" s="188"/>
      <c r="F742" s="34"/>
      <c r="G742" s="34"/>
      <c r="H742" s="34"/>
      <c r="I742" s="34"/>
      <c r="J742" s="34"/>
      <c r="K742" s="105"/>
      <c r="L742" s="34"/>
      <c r="M742" s="34"/>
      <c r="N742" s="34"/>
      <c r="O742" s="105"/>
      <c r="P742" s="105"/>
      <c r="Q742" s="105"/>
      <c r="R742" s="105"/>
      <c r="S742" s="105"/>
      <c r="T742" s="105"/>
      <c r="U742" s="105"/>
      <c r="V742" s="105"/>
      <c r="W742" s="105"/>
      <c r="X742" s="105"/>
      <c r="Y742" s="105"/>
      <c r="Z742" s="105"/>
      <c r="AA742" s="105"/>
      <c r="AB742" s="105"/>
      <c r="AC742" s="105"/>
    </row>
    <row r="743" spans="1:29" ht="12.75">
      <c r="A743" s="34"/>
      <c r="B743" s="34"/>
      <c r="C743" s="34"/>
      <c r="D743" s="34"/>
      <c r="E743" s="188"/>
      <c r="F743" s="34"/>
      <c r="G743" s="34"/>
      <c r="H743" s="34"/>
      <c r="I743" s="34"/>
      <c r="J743" s="34"/>
      <c r="K743" s="105"/>
      <c r="L743" s="34"/>
      <c r="M743" s="34"/>
      <c r="N743" s="34"/>
      <c r="O743" s="105"/>
      <c r="P743" s="105"/>
      <c r="Q743" s="105"/>
      <c r="R743" s="105"/>
      <c r="S743" s="105"/>
      <c r="T743" s="105"/>
      <c r="U743" s="105"/>
      <c r="V743" s="105"/>
      <c r="W743" s="105"/>
      <c r="X743" s="105"/>
      <c r="Y743" s="105"/>
      <c r="Z743" s="105"/>
      <c r="AA743" s="105"/>
      <c r="AB743" s="105"/>
      <c r="AC743" s="105"/>
    </row>
    <row r="744" spans="1:29" ht="12.75">
      <c r="A744" s="34"/>
      <c r="B744" s="34"/>
      <c r="C744" s="34"/>
      <c r="D744" s="34"/>
      <c r="E744" s="188"/>
      <c r="F744" s="34"/>
      <c r="G744" s="34"/>
      <c r="H744" s="34"/>
      <c r="I744" s="34"/>
      <c r="J744" s="34"/>
      <c r="K744" s="105"/>
      <c r="L744" s="34"/>
      <c r="M744" s="34"/>
      <c r="N744" s="34"/>
      <c r="O744" s="105"/>
      <c r="P744" s="105"/>
      <c r="Q744" s="105"/>
      <c r="R744" s="105"/>
      <c r="S744" s="105"/>
      <c r="T744" s="105"/>
      <c r="U744" s="105"/>
      <c r="V744" s="105"/>
      <c r="W744" s="105"/>
      <c r="X744" s="105"/>
      <c r="Y744" s="105"/>
      <c r="Z744" s="105"/>
      <c r="AA744" s="105"/>
      <c r="AB744" s="105"/>
      <c r="AC744" s="105"/>
    </row>
    <row r="745" spans="1:29" ht="12.75">
      <c r="A745" s="34"/>
      <c r="B745" s="34"/>
      <c r="C745" s="34"/>
      <c r="D745" s="34"/>
      <c r="E745" s="188"/>
      <c r="F745" s="34"/>
      <c r="G745" s="34"/>
      <c r="H745" s="34"/>
      <c r="I745" s="34"/>
      <c r="J745" s="34"/>
      <c r="K745" s="105"/>
      <c r="L745" s="34"/>
      <c r="M745" s="34"/>
      <c r="N745" s="34"/>
      <c r="O745" s="105"/>
      <c r="P745" s="105"/>
      <c r="Q745" s="105"/>
      <c r="R745" s="105"/>
      <c r="S745" s="105"/>
      <c r="T745" s="105"/>
      <c r="U745" s="105"/>
      <c r="V745" s="105"/>
      <c r="W745" s="105"/>
      <c r="X745" s="105"/>
      <c r="Y745" s="105"/>
      <c r="Z745" s="105"/>
      <c r="AA745" s="105"/>
      <c r="AB745" s="105"/>
      <c r="AC745" s="105"/>
    </row>
    <row r="746" spans="1:29" ht="12.75">
      <c r="A746" s="34"/>
      <c r="B746" s="34"/>
      <c r="C746" s="34"/>
      <c r="D746" s="34"/>
      <c r="E746" s="188"/>
      <c r="F746" s="34"/>
      <c r="G746" s="34"/>
      <c r="H746" s="34"/>
      <c r="I746" s="34"/>
      <c r="J746" s="34"/>
      <c r="K746" s="105"/>
      <c r="L746" s="34"/>
      <c r="M746" s="34"/>
      <c r="N746" s="34"/>
      <c r="O746" s="105"/>
      <c r="P746" s="105"/>
      <c r="Q746" s="105"/>
      <c r="R746" s="105"/>
      <c r="S746" s="105"/>
      <c r="T746" s="105"/>
      <c r="U746" s="105"/>
      <c r="V746" s="105"/>
      <c r="W746" s="105"/>
      <c r="X746" s="105"/>
      <c r="Y746" s="105"/>
      <c r="Z746" s="105"/>
      <c r="AA746" s="105"/>
      <c r="AB746" s="105"/>
      <c r="AC746" s="105"/>
    </row>
    <row r="747" spans="1:29" ht="12.75">
      <c r="A747" s="34"/>
      <c r="B747" s="34"/>
      <c r="C747" s="34"/>
      <c r="D747" s="34"/>
      <c r="E747" s="188"/>
      <c r="F747" s="34"/>
      <c r="G747" s="34"/>
      <c r="H747" s="34"/>
      <c r="I747" s="34"/>
      <c r="J747" s="34"/>
      <c r="K747" s="105"/>
      <c r="L747" s="34"/>
      <c r="M747" s="34"/>
      <c r="N747" s="34"/>
      <c r="O747" s="105"/>
      <c r="P747" s="105"/>
      <c r="Q747" s="105"/>
      <c r="R747" s="105"/>
      <c r="S747" s="105"/>
      <c r="T747" s="105"/>
      <c r="U747" s="105"/>
      <c r="V747" s="105"/>
      <c r="W747" s="105"/>
      <c r="X747" s="105"/>
      <c r="Y747" s="105"/>
      <c r="Z747" s="105"/>
      <c r="AA747" s="105"/>
      <c r="AB747" s="105"/>
      <c r="AC747" s="105"/>
    </row>
    <row r="748" spans="1:29" ht="12.75">
      <c r="A748" s="34"/>
      <c r="B748" s="34"/>
      <c r="C748" s="34"/>
      <c r="D748" s="34"/>
      <c r="E748" s="188"/>
      <c r="F748" s="34"/>
      <c r="G748" s="34"/>
      <c r="H748" s="34"/>
      <c r="I748" s="34"/>
      <c r="J748" s="34"/>
      <c r="K748" s="105"/>
      <c r="L748" s="34"/>
      <c r="M748" s="34"/>
      <c r="N748" s="34"/>
      <c r="O748" s="105"/>
      <c r="P748" s="105"/>
      <c r="Q748" s="105"/>
      <c r="R748" s="105"/>
      <c r="S748" s="105"/>
      <c r="T748" s="105"/>
      <c r="U748" s="105"/>
      <c r="V748" s="105"/>
      <c r="W748" s="105"/>
      <c r="X748" s="105"/>
      <c r="Y748" s="105"/>
      <c r="Z748" s="105"/>
      <c r="AA748" s="105"/>
      <c r="AB748" s="105"/>
      <c r="AC748" s="105"/>
    </row>
    <row r="749" spans="1:29" ht="12.75">
      <c r="A749" s="34"/>
      <c r="B749" s="34"/>
      <c r="C749" s="34"/>
      <c r="D749" s="34"/>
      <c r="E749" s="188"/>
      <c r="F749" s="34"/>
      <c r="G749" s="34"/>
      <c r="H749" s="34"/>
      <c r="I749" s="34"/>
      <c r="J749" s="34"/>
      <c r="K749" s="105"/>
      <c r="L749" s="34"/>
      <c r="M749" s="34"/>
      <c r="N749" s="34"/>
      <c r="O749" s="105"/>
      <c r="P749" s="105"/>
      <c r="Q749" s="105"/>
      <c r="R749" s="105"/>
      <c r="S749" s="105"/>
      <c r="T749" s="105"/>
      <c r="U749" s="105"/>
      <c r="V749" s="105"/>
      <c r="W749" s="105"/>
      <c r="X749" s="105"/>
      <c r="Y749" s="105"/>
      <c r="Z749" s="105"/>
      <c r="AA749" s="105"/>
      <c r="AB749" s="105"/>
      <c r="AC749" s="105"/>
    </row>
    <row r="750" spans="1:29" ht="12.75">
      <c r="A750" s="34"/>
      <c r="B750" s="34"/>
      <c r="C750" s="34"/>
      <c r="D750" s="34"/>
      <c r="E750" s="188"/>
      <c r="F750" s="34"/>
      <c r="G750" s="34"/>
      <c r="H750" s="34"/>
      <c r="I750" s="34"/>
      <c r="J750" s="34"/>
      <c r="K750" s="105"/>
      <c r="L750" s="34"/>
      <c r="M750" s="34"/>
      <c r="N750" s="34"/>
      <c r="O750" s="105"/>
      <c r="P750" s="105"/>
      <c r="Q750" s="105"/>
      <c r="R750" s="105"/>
      <c r="S750" s="105"/>
      <c r="T750" s="105"/>
      <c r="U750" s="105"/>
      <c r="V750" s="105"/>
      <c r="W750" s="105"/>
      <c r="X750" s="105"/>
      <c r="Y750" s="105"/>
      <c r="Z750" s="105"/>
      <c r="AA750" s="105"/>
      <c r="AB750" s="105"/>
      <c r="AC750" s="105"/>
    </row>
    <row r="751" spans="1:29" ht="12.75">
      <c r="A751" s="34"/>
      <c r="B751" s="34"/>
      <c r="C751" s="34"/>
      <c r="D751" s="34"/>
      <c r="E751" s="188"/>
      <c r="F751" s="34"/>
      <c r="G751" s="34"/>
      <c r="H751" s="34"/>
      <c r="I751" s="34"/>
      <c r="J751" s="34"/>
      <c r="K751" s="105"/>
      <c r="L751" s="34"/>
      <c r="M751" s="34"/>
      <c r="N751" s="34"/>
      <c r="O751" s="105"/>
      <c r="P751" s="105"/>
      <c r="Q751" s="105"/>
      <c r="R751" s="105"/>
      <c r="S751" s="105"/>
      <c r="T751" s="105"/>
      <c r="U751" s="105"/>
      <c r="V751" s="105"/>
      <c r="W751" s="105"/>
      <c r="X751" s="105"/>
      <c r="Y751" s="105"/>
      <c r="Z751" s="105"/>
      <c r="AA751" s="105"/>
      <c r="AB751" s="105"/>
      <c r="AC751" s="105"/>
    </row>
    <row r="752" spans="1:29" ht="12.75">
      <c r="A752" s="34"/>
      <c r="B752" s="34"/>
      <c r="C752" s="34"/>
      <c r="D752" s="34"/>
      <c r="E752" s="188"/>
      <c r="F752" s="34"/>
      <c r="G752" s="34"/>
      <c r="H752" s="34"/>
      <c r="I752" s="34"/>
      <c r="J752" s="34"/>
      <c r="K752" s="105"/>
      <c r="L752" s="34"/>
      <c r="M752" s="34"/>
      <c r="N752" s="34"/>
      <c r="O752" s="105"/>
      <c r="P752" s="105"/>
      <c r="Q752" s="105"/>
      <c r="R752" s="105"/>
      <c r="S752" s="105"/>
      <c r="T752" s="105"/>
      <c r="U752" s="105"/>
      <c r="V752" s="105"/>
      <c r="W752" s="105"/>
      <c r="X752" s="105"/>
      <c r="Y752" s="105"/>
      <c r="Z752" s="105"/>
      <c r="AA752" s="105"/>
      <c r="AB752" s="105"/>
      <c r="AC752" s="105"/>
    </row>
    <row r="753" spans="1:29" ht="12.75">
      <c r="A753" s="34"/>
      <c r="B753" s="34"/>
      <c r="C753" s="34"/>
      <c r="D753" s="34"/>
      <c r="E753" s="188"/>
      <c r="F753" s="34"/>
      <c r="G753" s="34"/>
      <c r="H753" s="34"/>
      <c r="I753" s="34"/>
      <c r="J753" s="34"/>
      <c r="K753" s="105"/>
      <c r="L753" s="34"/>
      <c r="M753" s="34"/>
      <c r="N753" s="34"/>
      <c r="O753" s="105"/>
      <c r="P753" s="105"/>
      <c r="Q753" s="105"/>
      <c r="R753" s="105"/>
      <c r="S753" s="105"/>
      <c r="T753" s="105"/>
      <c r="U753" s="105"/>
      <c r="V753" s="105"/>
      <c r="W753" s="105"/>
      <c r="X753" s="105"/>
      <c r="Y753" s="105"/>
      <c r="Z753" s="105"/>
      <c r="AA753" s="105"/>
      <c r="AB753" s="105"/>
      <c r="AC753" s="105"/>
    </row>
    <row r="754" spans="1:29" ht="12.75">
      <c r="A754" s="34"/>
      <c r="B754" s="34"/>
      <c r="C754" s="34"/>
      <c r="D754" s="34"/>
      <c r="E754" s="188"/>
      <c r="F754" s="34"/>
      <c r="G754" s="34"/>
      <c r="H754" s="34"/>
      <c r="I754" s="34"/>
      <c r="J754" s="34"/>
      <c r="K754" s="105"/>
      <c r="L754" s="34"/>
      <c r="M754" s="34"/>
      <c r="N754" s="34"/>
      <c r="O754" s="105"/>
      <c r="P754" s="105"/>
      <c r="Q754" s="105"/>
      <c r="R754" s="105"/>
      <c r="S754" s="105"/>
      <c r="T754" s="105"/>
      <c r="U754" s="105"/>
      <c r="V754" s="105"/>
      <c r="W754" s="105"/>
      <c r="X754" s="105"/>
      <c r="Y754" s="105"/>
      <c r="Z754" s="105"/>
      <c r="AA754" s="105"/>
      <c r="AB754" s="105"/>
      <c r="AC754" s="105"/>
    </row>
    <row r="755" spans="1:29" ht="12.75">
      <c r="A755" s="34"/>
      <c r="B755" s="34"/>
      <c r="C755" s="34"/>
      <c r="D755" s="34"/>
      <c r="E755" s="188"/>
      <c r="F755" s="34"/>
      <c r="G755" s="34"/>
      <c r="H755" s="34"/>
      <c r="I755" s="34"/>
      <c r="J755" s="34"/>
      <c r="K755" s="105"/>
      <c r="L755" s="34"/>
      <c r="M755" s="34"/>
      <c r="N755" s="34"/>
      <c r="O755" s="105"/>
      <c r="P755" s="105"/>
      <c r="Q755" s="105"/>
      <c r="R755" s="105"/>
      <c r="S755" s="105"/>
      <c r="T755" s="105"/>
      <c r="U755" s="105"/>
      <c r="V755" s="105"/>
      <c r="W755" s="105"/>
      <c r="X755" s="105"/>
      <c r="Y755" s="105"/>
      <c r="Z755" s="105"/>
      <c r="AA755" s="105"/>
      <c r="AB755" s="105"/>
      <c r="AC755" s="105"/>
    </row>
    <row r="756" spans="1:29" ht="12.75">
      <c r="A756" s="34"/>
      <c r="B756" s="34"/>
      <c r="C756" s="34"/>
      <c r="D756" s="34"/>
      <c r="E756" s="188"/>
      <c r="F756" s="34"/>
      <c r="G756" s="34"/>
      <c r="H756" s="34"/>
      <c r="I756" s="34"/>
      <c r="J756" s="34"/>
      <c r="K756" s="105"/>
      <c r="L756" s="34"/>
      <c r="M756" s="34"/>
      <c r="N756" s="34"/>
      <c r="O756" s="105"/>
      <c r="P756" s="105"/>
      <c r="Q756" s="105"/>
      <c r="R756" s="105"/>
      <c r="S756" s="105"/>
      <c r="T756" s="105"/>
      <c r="U756" s="105"/>
      <c r="V756" s="105"/>
      <c r="W756" s="105"/>
      <c r="X756" s="105"/>
      <c r="Y756" s="105"/>
      <c r="Z756" s="105"/>
      <c r="AA756" s="105"/>
      <c r="AB756" s="105"/>
      <c r="AC756" s="105"/>
    </row>
    <row r="757" spans="1:29" ht="12.75">
      <c r="A757" s="34"/>
      <c r="B757" s="34"/>
      <c r="C757" s="34"/>
      <c r="D757" s="34"/>
      <c r="E757" s="188"/>
      <c r="F757" s="34"/>
      <c r="G757" s="34"/>
      <c r="H757" s="34"/>
      <c r="I757" s="34"/>
      <c r="J757" s="34"/>
      <c r="K757" s="105"/>
      <c r="L757" s="34"/>
      <c r="M757" s="34"/>
      <c r="N757" s="34"/>
      <c r="O757" s="105"/>
      <c r="P757" s="105"/>
      <c r="Q757" s="105"/>
      <c r="R757" s="105"/>
      <c r="S757" s="105"/>
      <c r="T757" s="105"/>
      <c r="U757" s="105"/>
      <c r="V757" s="105"/>
      <c r="W757" s="105"/>
      <c r="X757" s="105"/>
      <c r="Y757" s="105"/>
      <c r="Z757" s="105"/>
      <c r="AA757" s="105"/>
      <c r="AB757" s="105"/>
      <c r="AC757" s="105"/>
    </row>
    <row r="758" spans="1:29" ht="12.75">
      <c r="A758" s="34"/>
      <c r="B758" s="34"/>
      <c r="C758" s="34"/>
      <c r="D758" s="34"/>
      <c r="E758" s="188"/>
      <c r="F758" s="34"/>
      <c r="G758" s="34"/>
      <c r="H758" s="34"/>
      <c r="I758" s="34"/>
      <c r="J758" s="34"/>
      <c r="K758" s="105"/>
      <c r="L758" s="34"/>
      <c r="M758" s="34"/>
      <c r="N758" s="34"/>
      <c r="O758" s="105"/>
      <c r="P758" s="105"/>
      <c r="Q758" s="105"/>
      <c r="R758" s="105"/>
      <c r="S758" s="105"/>
      <c r="T758" s="105"/>
      <c r="U758" s="105"/>
      <c r="V758" s="105"/>
      <c r="W758" s="105"/>
      <c r="X758" s="105"/>
      <c r="Y758" s="105"/>
      <c r="Z758" s="105"/>
      <c r="AA758" s="105"/>
      <c r="AB758" s="105"/>
      <c r="AC758" s="105"/>
    </row>
    <row r="759" spans="1:29" ht="12.75">
      <c r="A759" s="34"/>
      <c r="B759" s="34"/>
      <c r="C759" s="34"/>
      <c r="D759" s="34"/>
      <c r="E759" s="188"/>
      <c r="F759" s="34"/>
      <c r="G759" s="34"/>
      <c r="H759" s="34"/>
      <c r="I759" s="34"/>
      <c r="J759" s="34"/>
      <c r="K759" s="105"/>
      <c r="L759" s="34"/>
      <c r="M759" s="34"/>
      <c r="N759" s="34"/>
      <c r="O759" s="105"/>
      <c r="P759" s="105"/>
      <c r="Q759" s="105"/>
      <c r="R759" s="105"/>
      <c r="S759" s="105"/>
      <c r="T759" s="105"/>
      <c r="U759" s="105"/>
      <c r="V759" s="105"/>
      <c r="W759" s="105"/>
      <c r="X759" s="105"/>
      <c r="Y759" s="105"/>
      <c r="Z759" s="105"/>
      <c r="AA759" s="105"/>
      <c r="AB759" s="105"/>
      <c r="AC759" s="105"/>
    </row>
    <row r="760" spans="1:29" ht="12.75">
      <c r="A760" s="34"/>
      <c r="B760" s="34"/>
      <c r="C760" s="34"/>
      <c r="D760" s="34"/>
      <c r="E760" s="188"/>
      <c r="F760" s="34"/>
      <c r="G760" s="34"/>
      <c r="H760" s="34"/>
      <c r="I760" s="34"/>
      <c r="J760" s="34"/>
      <c r="K760" s="105"/>
      <c r="L760" s="34"/>
      <c r="M760" s="34"/>
      <c r="N760" s="34"/>
      <c r="O760" s="105"/>
      <c r="P760" s="105"/>
      <c r="Q760" s="105"/>
      <c r="R760" s="105"/>
      <c r="S760" s="105"/>
      <c r="T760" s="105"/>
      <c r="U760" s="105"/>
      <c r="V760" s="105"/>
      <c r="W760" s="105"/>
      <c r="X760" s="105"/>
      <c r="Y760" s="105"/>
      <c r="Z760" s="105"/>
      <c r="AA760" s="105"/>
      <c r="AB760" s="105"/>
      <c r="AC760" s="105"/>
    </row>
    <row r="761" spans="1:29" ht="12.75">
      <c r="A761" s="34"/>
      <c r="B761" s="34"/>
      <c r="C761" s="34"/>
      <c r="D761" s="34"/>
      <c r="E761" s="188"/>
      <c r="F761" s="34"/>
      <c r="G761" s="34"/>
      <c r="H761" s="34"/>
      <c r="I761" s="34"/>
      <c r="J761" s="34"/>
      <c r="K761" s="105"/>
      <c r="L761" s="34"/>
      <c r="M761" s="34"/>
      <c r="N761" s="34"/>
      <c r="O761" s="105"/>
      <c r="P761" s="105"/>
      <c r="Q761" s="105"/>
      <c r="R761" s="105"/>
      <c r="S761" s="105"/>
      <c r="T761" s="105"/>
      <c r="U761" s="105"/>
      <c r="V761" s="105"/>
      <c r="W761" s="105"/>
      <c r="X761" s="105"/>
      <c r="Y761" s="105"/>
      <c r="Z761" s="105"/>
      <c r="AA761" s="105"/>
      <c r="AB761" s="105"/>
      <c r="AC761" s="105"/>
    </row>
    <row r="762" spans="1:29" ht="12.75">
      <c r="A762" s="34"/>
      <c r="B762" s="34"/>
      <c r="C762" s="34"/>
      <c r="D762" s="34"/>
      <c r="E762" s="188"/>
      <c r="F762" s="34"/>
      <c r="G762" s="34"/>
      <c r="H762" s="34"/>
      <c r="I762" s="34"/>
      <c r="J762" s="34"/>
      <c r="K762" s="105"/>
      <c r="L762" s="34"/>
      <c r="M762" s="34"/>
      <c r="N762" s="34"/>
      <c r="O762" s="105"/>
      <c r="P762" s="105"/>
      <c r="Q762" s="105"/>
      <c r="R762" s="105"/>
      <c r="S762" s="105"/>
      <c r="T762" s="105"/>
      <c r="U762" s="105"/>
      <c r="V762" s="105"/>
      <c r="W762" s="105"/>
      <c r="X762" s="105"/>
      <c r="Y762" s="105"/>
      <c r="Z762" s="105"/>
      <c r="AA762" s="105"/>
      <c r="AB762" s="105"/>
      <c r="AC762" s="105"/>
    </row>
    <row r="763" spans="1:29" ht="12.75">
      <c r="A763" s="34"/>
      <c r="B763" s="34"/>
      <c r="C763" s="34"/>
      <c r="D763" s="34"/>
      <c r="E763" s="188"/>
      <c r="F763" s="34"/>
      <c r="G763" s="34"/>
      <c r="H763" s="34"/>
      <c r="I763" s="34"/>
      <c r="J763" s="34"/>
      <c r="K763" s="105"/>
      <c r="L763" s="34"/>
      <c r="M763" s="34"/>
      <c r="N763" s="34"/>
      <c r="O763" s="105"/>
      <c r="P763" s="105"/>
      <c r="Q763" s="105"/>
      <c r="R763" s="105"/>
      <c r="S763" s="105"/>
      <c r="T763" s="105"/>
      <c r="U763" s="105"/>
      <c r="V763" s="105"/>
      <c r="W763" s="105"/>
      <c r="X763" s="105"/>
      <c r="Y763" s="105"/>
      <c r="Z763" s="105"/>
      <c r="AA763" s="105"/>
      <c r="AB763" s="105"/>
      <c r="AC763" s="105"/>
    </row>
    <row r="764" spans="1:29" ht="12.75">
      <c r="A764" s="34"/>
      <c r="B764" s="34"/>
      <c r="C764" s="34"/>
      <c r="D764" s="34"/>
      <c r="E764" s="188"/>
      <c r="F764" s="34"/>
      <c r="G764" s="34"/>
      <c r="H764" s="34"/>
      <c r="I764" s="34"/>
      <c r="J764" s="34"/>
      <c r="K764" s="105"/>
      <c r="L764" s="34"/>
      <c r="M764" s="34"/>
      <c r="N764" s="34"/>
      <c r="O764" s="105"/>
      <c r="P764" s="105"/>
      <c r="Q764" s="105"/>
      <c r="R764" s="105"/>
      <c r="S764" s="105"/>
      <c r="T764" s="105"/>
      <c r="U764" s="105"/>
      <c r="V764" s="105"/>
      <c r="W764" s="105"/>
      <c r="X764" s="105"/>
      <c r="Y764" s="105"/>
      <c r="Z764" s="105"/>
      <c r="AA764" s="105"/>
      <c r="AB764" s="105"/>
      <c r="AC764" s="105"/>
    </row>
    <row r="765" spans="1:29" ht="12.75">
      <c r="A765" s="34"/>
      <c r="B765" s="34"/>
      <c r="C765" s="34"/>
      <c r="D765" s="34"/>
      <c r="E765" s="188"/>
      <c r="F765" s="34"/>
      <c r="G765" s="34"/>
      <c r="H765" s="34"/>
      <c r="I765" s="34"/>
      <c r="J765" s="34"/>
      <c r="K765" s="105"/>
      <c r="L765" s="34"/>
      <c r="M765" s="34"/>
      <c r="N765" s="34"/>
      <c r="O765" s="105"/>
      <c r="P765" s="105"/>
      <c r="Q765" s="105"/>
      <c r="R765" s="105"/>
      <c r="S765" s="105"/>
      <c r="T765" s="105"/>
      <c r="U765" s="105"/>
      <c r="V765" s="105"/>
      <c r="W765" s="105"/>
      <c r="X765" s="105"/>
      <c r="Y765" s="105"/>
      <c r="Z765" s="105"/>
      <c r="AA765" s="105"/>
      <c r="AB765" s="105"/>
      <c r="AC765" s="105"/>
    </row>
    <row r="766" spans="1:29" ht="12.75">
      <c r="A766" s="34"/>
      <c r="B766" s="34"/>
      <c r="C766" s="34"/>
      <c r="D766" s="34"/>
      <c r="E766" s="188"/>
      <c r="F766" s="34"/>
      <c r="G766" s="34"/>
      <c r="H766" s="34"/>
      <c r="I766" s="34"/>
      <c r="J766" s="34"/>
      <c r="K766" s="105"/>
      <c r="L766" s="34"/>
      <c r="M766" s="34"/>
      <c r="N766" s="34"/>
      <c r="O766" s="105"/>
      <c r="P766" s="105"/>
      <c r="Q766" s="105"/>
      <c r="R766" s="105"/>
      <c r="S766" s="105"/>
      <c r="T766" s="105"/>
      <c r="U766" s="105"/>
      <c r="V766" s="105"/>
      <c r="W766" s="105"/>
      <c r="X766" s="105"/>
      <c r="Y766" s="105"/>
      <c r="Z766" s="105"/>
      <c r="AA766" s="105"/>
      <c r="AB766" s="105"/>
      <c r="AC766" s="105"/>
    </row>
    <row r="767" spans="1:29" ht="12.75">
      <c r="A767" s="34"/>
      <c r="B767" s="34"/>
      <c r="C767" s="34"/>
      <c r="D767" s="34"/>
      <c r="E767" s="188"/>
      <c r="F767" s="34"/>
      <c r="G767" s="34"/>
      <c r="H767" s="34"/>
      <c r="I767" s="34"/>
      <c r="J767" s="34"/>
      <c r="K767" s="105"/>
      <c r="L767" s="34"/>
      <c r="M767" s="34"/>
      <c r="N767" s="34"/>
      <c r="O767" s="105"/>
      <c r="P767" s="105"/>
      <c r="Q767" s="105"/>
      <c r="R767" s="105"/>
      <c r="S767" s="105"/>
      <c r="T767" s="105"/>
      <c r="U767" s="105"/>
      <c r="V767" s="105"/>
      <c r="W767" s="105"/>
      <c r="X767" s="105"/>
      <c r="Y767" s="105"/>
      <c r="Z767" s="105"/>
      <c r="AA767" s="105"/>
      <c r="AB767" s="105"/>
      <c r="AC767" s="105"/>
    </row>
    <row r="768" spans="1:29" ht="12.75">
      <c r="A768" s="34"/>
      <c r="B768" s="34"/>
      <c r="C768" s="34"/>
      <c r="D768" s="34"/>
      <c r="E768" s="188"/>
      <c r="F768" s="34"/>
      <c r="G768" s="34"/>
      <c r="H768" s="34"/>
      <c r="I768" s="34"/>
      <c r="J768" s="34"/>
      <c r="K768" s="105"/>
      <c r="L768" s="34"/>
      <c r="M768" s="34"/>
      <c r="N768" s="34"/>
      <c r="O768" s="105"/>
      <c r="P768" s="105"/>
      <c r="Q768" s="105"/>
      <c r="R768" s="105"/>
      <c r="S768" s="105"/>
      <c r="T768" s="105"/>
      <c r="U768" s="105"/>
      <c r="V768" s="105"/>
      <c r="W768" s="105"/>
      <c r="X768" s="105"/>
      <c r="Y768" s="105"/>
      <c r="Z768" s="105"/>
      <c r="AA768" s="105"/>
      <c r="AB768" s="105"/>
      <c r="AC768" s="105"/>
    </row>
    <row r="769" spans="1:29" ht="12.75">
      <c r="A769" s="34"/>
      <c r="B769" s="34"/>
      <c r="C769" s="34"/>
      <c r="D769" s="34"/>
      <c r="E769" s="188"/>
      <c r="F769" s="34"/>
      <c r="G769" s="34"/>
      <c r="H769" s="34"/>
      <c r="I769" s="34"/>
      <c r="J769" s="34"/>
      <c r="K769" s="105"/>
      <c r="L769" s="34"/>
      <c r="M769" s="34"/>
      <c r="N769" s="34"/>
      <c r="O769" s="105"/>
      <c r="P769" s="105"/>
      <c r="Q769" s="105"/>
      <c r="R769" s="105"/>
      <c r="S769" s="105"/>
      <c r="T769" s="105"/>
      <c r="U769" s="105"/>
      <c r="V769" s="105"/>
      <c r="W769" s="105"/>
      <c r="X769" s="105"/>
      <c r="Y769" s="105"/>
      <c r="Z769" s="105"/>
      <c r="AA769" s="105"/>
      <c r="AB769" s="105"/>
      <c r="AC769" s="105"/>
    </row>
    <row r="770" spans="1:29" ht="12.75">
      <c r="A770" s="34"/>
      <c r="B770" s="34"/>
      <c r="C770" s="34"/>
      <c r="D770" s="34"/>
      <c r="E770" s="188"/>
      <c r="F770" s="34"/>
      <c r="G770" s="34"/>
      <c r="H770" s="34"/>
      <c r="I770" s="34"/>
      <c r="J770" s="34"/>
      <c r="K770" s="105"/>
      <c r="L770" s="34"/>
      <c r="M770" s="34"/>
      <c r="N770" s="34"/>
      <c r="O770" s="105"/>
      <c r="P770" s="105"/>
      <c r="Q770" s="105"/>
      <c r="R770" s="105"/>
      <c r="S770" s="105"/>
      <c r="T770" s="105"/>
      <c r="U770" s="105"/>
      <c r="V770" s="105"/>
      <c r="W770" s="105"/>
      <c r="X770" s="105"/>
      <c r="Y770" s="105"/>
      <c r="Z770" s="105"/>
      <c r="AA770" s="105"/>
      <c r="AB770" s="105"/>
      <c r="AC770" s="105"/>
    </row>
    <row r="771" spans="1:29" ht="12.75">
      <c r="A771" s="34"/>
      <c r="B771" s="34"/>
      <c r="C771" s="34"/>
      <c r="D771" s="34"/>
      <c r="E771" s="188"/>
      <c r="F771" s="34"/>
      <c r="G771" s="34"/>
      <c r="H771" s="34"/>
      <c r="I771" s="34"/>
      <c r="J771" s="34"/>
      <c r="K771" s="105"/>
      <c r="L771" s="34"/>
      <c r="M771" s="34"/>
      <c r="N771" s="34"/>
      <c r="O771" s="105"/>
      <c r="P771" s="105"/>
      <c r="Q771" s="105"/>
      <c r="R771" s="105"/>
      <c r="S771" s="105"/>
      <c r="T771" s="105"/>
      <c r="U771" s="105"/>
      <c r="V771" s="105"/>
      <c r="W771" s="105"/>
      <c r="X771" s="105"/>
      <c r="Y771" s="105"/>
      <c r="Z771" s="105"/>
      <c r="AA771" s="105"/>
      <c r="AB771" s="105"/>
      <c r="AC771" s="105"/>
    </row>
    <row r="772" spans="1:29" ht="12.75">
      <c r="A772" s="34"/>
      <c r="B772" s="34"/>
      <c r="C772" s="34"/>
      <c r="D772" s="34"/>
      <c r="E772" s="188"/>
      <c r="F772" s="34"/>
      <c r="G772" s="34"/>
      <c r="H772" s="34"/>
      <c r="I772" s="34"/>
      <c r="J772" s="34"/>
      <c r="K772" s="105"/>
      <c r="L772" s="34"/>
      <c r="M772" s="34"/>
      <c r="N772" s="34"/>
      <c r="O772" s="105"/>
      <c r="P772" s="105"/>
      <c r="Q772" s="105"/>
      <c r="R772" s="105"/>
      <c r="S772" s="105"/>
      <c r="T772" s="105"/>
      <c r="U772" s="105"/>
      <c r="V772" s="105"/>
      <c r="W772" s="105"/>
      <c r="X772" s="105"/>
      <c r="Y772" s="105"/>
      <c r="Z772" s="105"/>
      <c r="AA772" s="105"/>
      <c r="AB772" s="105"/>
      <c r="AC772" s="105"/>
    </row>
    <row r="773" spans="1:29" ht="12.75">
      <c r="A773" s="34"/>
      <c r="B773" s="34"/>
      <c r="C773" s="34"/>
      <c r="D773" s="34"/>
      <c r="E773" s="188"/>
      <c r="F773" s="34"/>
      <c r="G773" s="34"/>
      <c r="H773" s="34"/>
      <c r="I773" s="34"/>
      <c r="J773" s="34"/>
      <c r="K773" s="105"/>
      <c r="L773" s="34"/>
      <c r="M773" s="34"/>
      <c r="N773" s="34"/>
      <c r="O773" s="105"/>
      <c r="P773" s="105"/>
      <c r="Q773" s="105"/>
      <c r="R773" s="105"/>
      <c r="S773" s="105"/>
      <c r="T773" s="105"/>
      <c r="U773" s="105"/>
      <c r="V773" s="105"/>
      <c r="W773" s="105"/>
      <c r="X773" s="105"/>
      <c r="Y773" s="105"/>
      <c r="Z773" s="105"/>
      <c r="AA773" s="105"/>
      <c r="AB773" s="105"/>
      <c r="AC773" s="105"/>
    </row>
    <row r="774" spans="1:29" ht="12.75">
      <c r="A774" s="34"/>
      <c r="B774" s="34"/>
      <c r="C774" s="34"/>
      <c r="D774" s="34"/>
      <c r="E774" s="188"/>
      <c r="F774" s="34"/>
      <c r="G774" s="34"/>
      <c r="H774" s="34"/>
      <c r="I774" s="34"/>
      <c r="J774" s="34"/>
      <c r="K774" s="105"/>
      <c r="L774" s="34"/>
      <c r="M774" s="34"/>
      <c r="N774" s="34"/>
      <c r="O774" s="105"/>
      <c r="P774" s="105"/>
      <c r="Q774" s="105"/>
      <c r="R774" s="105"/>
      <c r="S774" s="105"/>
      <c r="T774" s="105"/>
      <c r="U774" s="105"/>
      <c r="V774" s="105"/>
      <c r="W774" s="105"/>
      <c r="X774" s="105"/>
      <c r="Y774" s="105"/>
      <c r="Z774" s="105"/>
      <c r="AA774" s="105"/>
      <c r="AB774" s="105"/>
      <c r="AC774" s="105"/>
    </row>
    <row r="775" spans="1:29" ht="12.75">
      <c r="A775" s="34"/>
      <c r="B775" s="34"/>
      <c r="C775" s="34"/>
      <c r="D775" s="34"/>
      <c r="E775" s="188"/>
      <c r="F775" s="34"/>
      <c r="G775" s="34"/>
      <c r="H775" s="34"/>
      <c r="I775" s="34"/>
      <c r="J775" s="34"/>
      <c r="K775" s="105"/>
      <c r="L775" s="34"/>
      <c r="M775" s="34"/>
      <c r="N775" s="34"/>
      <c r="O775" s="105"/>
      <c r="P775" s="105"/>
      <c r="Q775" s="105"/>
      <c r="R775" s="105"/>
      <c r="S775" s="105"/>
      <c r="T775" s="105"/>
      <c r="U775" s="105"/>
      <c r="V775" s="105"/>
      <c r="W775" s="105"/>
      <c r="X775" s="105"/>
      <c r="Y775" s="105"/>
      <c r="Z775" s="105"/>
      <c r="AA775" s="105"/>
      <c r="AB775" s="105"/>
      <c r="AC775" s="105"/>
    </row>
    <row r="776" spans="1:29" ht="12.75">
      <c r="A776" s="34"/>
      <c r="B776" s="34"/>
      <c r="C776" s="34"/>
      <c r="D776" s="34"/>
      <c r="E776" s="188"/>
      <c r="F776" s="34"/>
      <c r="G776" s="34"/>
      <c r="H776" s="34"/>
      <c r="I776" s="34"/>
      <c r="J776" s="34"/>
      <c r="K776" s="105"/>
      <c r="L776" s="34"/>
      <c r="M776" s="34"/>
      <c r="N776" s="34"/>
      <c r="O776" s="105"/>
      <c r="P776" s="105"/>
      <c r="Q776" s="105"/>
      <c r="R776" s="105"/>
      <c r="S776" s="105"/>
      <c r="T776" s="105"/>
      <c r="U776" s="105"/>
      <c r="V776" s="105"/>
      <c r="W776" s="105"/>
      <c r="X776" s="105"/>
      <c r="Y776" s="105"/>
      <c r="Z776" s="105"/>
      <c r="AA776" s="105"/>
      <c r="AB776" s="105"/>
      <c r="AC776" s="105"/>
    </row>
    <row r="777" spans="1:29" ht="12.75">
      <c r="A777" s="34"/>
      <c r="B777" s="34"/>
      <c r="C777" s="34"/>
      <c r="D777" s="34"/>
      <c r="E777" s="188"/>
      <c r="F777" s="34"/>
      <c r="G777" s="34"/>
      <c r="H777" s="34"/>
      <c r="I777" s="34"/>
      <c r="J777" s="34"/>
      <c r="K777" s="105"/>
      <c r="L777" s="34"/>
      <c r="M777" s="34"/>
      <c r="N777" s="34"/>
      <c r="O777" s="105"/>
      <c r="P777" s="105"/>
      <c r="Q777" s="105"/>
      <c r="R777" s="105"/>
      <c r="S777" s="105"/>
      <c r="T777" s="105"/>
      <c r="U777" s="105"/>
      <c r="V777" s="105"/>
      <c r="W777" s="105"/>
      <c r="X777" s="105"/>
      <c r="Y777" s="105"/>
      <c r="Z777" s="105"/>
      <c r="AA777" s="105"/>
      <c r="AB777" s="105"/>
      <c r="AC777" s="105"/>
    </row>
    <row r="778" spans="1:29" ht="12.75">
      <c r="A778" s="34"/>
      <c r="B778" s="34"/>
      <c r="C778" s="34"/>
      <c r="D778" s="34"/>
      <c r="E778" s="188"/>
      <c r="F778" s="34"/>
      <c r="G778" s="34"/>
      <c r="H778" s="34"/>
      <c r="I778" s="34"/>
      <c r="J778" s="34"/>
      <c r="K778" s="105"/>
      <c r="L778" s="34"/>
      <c r="M778" s="34"/>
      <c r="N778" s="34"/>
      <c r="O778" s="105"/>
      <c r="P778" s="105"/>
      <c r="Q778" s="105"/>
      <c r="R778" s="105"/>
      <c r="S778" s="105"/>
      <c r="T778" s="105"/>
      <c r="U778" s="105"/>
      <c r="V778" s="105"/>
      <c r="W778" s="105"/>
      <c r="X778" s="105"/>
      <c r="Y778" s="105"/>
      <c r="Z778" s="105"/>
      <c r="AA778" s="105"/>
      <c r="AB778" s="105"/>
      <c r="AC778" s="105"/>
    </row>
    <row r="779" spans="1:29" ht="12.75">
      <c r="A779" s="34"/>
      <c r="B779" s="34"/>
      <c r="C779" s="34"/>
      <c r="D779" s="34"/>
      <c r="E779" s="188"/>
      <c r="F779" s="34"/>
      <c r="G779" s="34"/>
      <c r="H779" s="34"/>
      <c r="I779" s="34"/>
      <c r="J779" s="34"/>
      <c r="K779" s="105"/>
      <c r="L779" s="34"/>
      <c r="M779" s="34"/>
      <c r="N779" s="34"/>
      <c r="O779" s="105"/>
      <c r="P779" s="105"/>
      <c r="Q779" s="105"/>
      <c r="R779" s="105"/>
      <c r="S779" s="105"/>
      <c r="T779" s="105"/>
      <c r="U779" s="105"/>
      <c r="V779" s="105"/>
      <c r="W779" s="105"/>
      <c r="X779" s="105"/>
      <c r="Y779" s="105"/>
      <c r="Z779" s="105"/>
      <c r="AA779" s="105"/>
      <c r="AB779" s="105"/>
      <c r="AC779" s="105"/>
    </row>
    <row r="780" spans="1:29" ht="12.75">
      <c r="A780" s="34"/>
      <c r="B780" s="34"/>
      <c r="C780" s="34"/>
      <c r="D780" s="34"/>
      <c r="E780" s="188"/>
      <c r="F780" s="34"/>
      <c r="G780" s="34"/>
      <c r="H780" s="34"/>
      <c r="I780" s="34"/>
      <c r="J780" s="34"/>
      <c r="K780" s="105"/>
      <c r="L780" s="34"/>
      <c r="M780" s="34"/>
      <c r="N780" s="34"/>
      <c r="O780" s="105"/>
      <c r="P780" s="105"/>
      <c r="Q780" s="105"/>
      <c r="R780" s="105"/>
      <c r="S780" s="105"/>
      <c r="T780" s="105"/>
      <c r="U780" s="105"/>
      <c r="V780" s="105"/>
      <c r="W780" s="105"/>
      <c r="X780" s="105"/>
      <c r="Y780" s="105"/>
      <c r="Z780" s="105"/>
      <c r="AA780" s="105"/>
      <c r="AB780" s="105"/>
      <c r="AC780" s="105"/>
    </row>
    <row r="781" spans="1:29" ht="12.75">
      <c r="A781" s="34"/>
      <c r="B781" s="34"/>
      <c r="C781" s="34"/>
      <c r="D781" s="34"/>
      <c r="E781" s="188"/>
      <c r="F781" s="34"/>
      <c r="G781" s="34"/>
      <c r="H781" s="34"/>
      <c r="I781" s="34"/>
      <c r="J781" s="34"/>
      <c r="K781" s="105"/>
      <c r="L781" s="34"/>
      <c r="M781" s="34"/>
      <c r="N781" s="34"/>
      <c r="O781" s="105"/>
      <c r="P781" s="105"/>
      <c r="Q781" s="105"/>
      <c r="R781" s="105"/>
      <c r="S781" s="105"/>
      <c r="T781" s="105"/>
      <c r="U781" s="105"/>
      <c r="V781" s="105"/>
      <c r="W781" s="105"/>
      <c r="X781" s="105"/>
      <c r="Y781" s="105"/>
      <c r="Z781" s="105"/>
      <c r="AA781" s="105"/>
      <c r="AB781" s="105"/>
      <c r="AC781" s="105"/>
    </row>
    <row r="782" spans="1:29" ht="12.75">
      <c r="A782" s="34"/>
      <c r="B782" s="34"/>
      <c r="C782" s="34"/>
      <c r="D782" s="34"/>
      <c r="E782" s="188"/>
      <c r="F782" s="34"/>
      <c r="G782" s="34"/>
      <c r="H782" s="34"/>
      <c r="I782" s="34"/>
      <c r="J782" s="34"/>
      <c r="K782" s="105"/>
      <c r="L782" s="34"/>
      <c r="M782" s="34"/>
      <c r="N782" s="34"/>
      <c r="O782" s="105"/>
      <c r="P782" s="105"/>
      <c r="Q782" s="105"/>
      <c r="R782" s="105"/>
      <c r="S782" s="105"/>
      <c r="T782" s="105"/>
      <c r="U782" s="105"/>
      <c r="V782" s="105"/>
      <c r="W782" s="105"/>
      <c r="X782" s="105"/>
      <c r="Y782" s="105"/>
      <c r="Z782" s="105"/>
      <c r="AA782" s="105"/>
      <c r="AB782" s="105"/>
      <c r="AC782" s="105"/>
    </row>
    <row r="783" spans="1:29" ht="12.75">
      <c r="A783" s="34"/>
      <c r="B783" s="34"/>
      <c r="C783" s="34"/>
      <c r="D783" s="34"/>
      <c r="E783" s="188"/>
      <c r="F783" s="34"/>
      <c r="G783" s="34"/>
      <c r="H783" s="34"/>
      <c r="I783" s="34"/>
      <c r="J783" s="34"/>
      <c r="K783" s="105"/>
      <c r="L783" s="34"/>
      <c r="M783" s="34"/>
      <c r="N783" s="34"/>
      <c r="O783" s="105"/>
      <c r="P783" s="105"/>
      <c r="Q783" s="105"/>
      <c r="R783" s="105"/>
      <c r="S783" s="105"/>
      <c r="T783" s="105"/>
      <c r="U783" s="105"/>
      <c r="V783" s="105"/>
      <c r="W783" s="105"/>
      <c r="X783" s="105"/>
      <c r="Y783" s="105"/>
      <c r="Z783" s="105"/>
      <c r="AA783" s="105"/>
      <c r="AB783" s="105"/>
      <c r="AC783" s="105"/>
    </row>
    <row r="784" spans="1:29" ht="12.75">
      <c r="A784" s="34"/>
      <c r="B784" s="34"/>
      <c r="C784" s="34"/>
      <c r="D784" s="34"/>
      <c r="E784" s="188"/>
      <c r="F784" s="34"/>
      <c r="G784" s="34"/>
      <c r="H784" s="34"/>
      <c r="I784" s="34"/>
      <c r="J784" s="34"/>
      <c r="K784" s="105"/>
      <c r="L784" s="34"/>
      <c r="M784" s="34"/>
      <c r="N784" s="34"/>
      <c r="O784" s="105"/>
      <c r="P784" s="105"/>
      <c r="Q784" s="105"/>
      <c r="R784" s="105"/>
      <c r="S784" s="105"/>
      <c r="T784" s="105"/>
      <c r="U784" s="105"/>
      <c r="V784" s="105"/>
      <c r="W784" s="105"/>
      <c r="X784" s="105"/>
      <c r="Y784" s="105"/>
      <c r="Z784" s="105"/>
      <c r="AA784" s="105"/>
      <c r="AB784" s="105"/>
      <c r="AC784" s="105"/>
    </row>
    <row r="785" spans="1:29" ht="12.75">
      <c r="A785" s="34"/>
      <c r="B785" s="34"/>
      <c r="C785" s="34"/>
      <c r="D785" s="34"/>
      <c r="E785" s="188"/>
      <c r="F785" s="34"/>
      <c r="G785" s="34"/>
      <c r="H785" s="34"/>
      <c r="I785" s="34"/>
      <c r="J785" s="34"/>
      <c r="K785" s="105"/>
      <c r="L785" s="34"/>
      <c r="M785" s="34"/>
      <c r="N785" s="34"/>
      <c r="O785" s="105"/>
      <c r="P785" s="105"/>
      <c r="Q785" s="105"/>
      <c r="R785" s="105"/>
      <c r="S785" s="105"/>
      <c r="T785" s="105"/>
      <c r="U785" s="105"/>
      <c r="V785" s="105"/>
      <c r="W785" s="105"/>
      <c r="X785" s="105"/>
      <c r="Y785" s="105"/>
      <c r="Z785" s="105"/>
      <c r="AA785" s="105"/>
      <c r="AB785" s="105"/>
      <c r="AC785" s="105"/>
    </row>
    <row r="786" spans="1:29" ht="12.75">
      <c r="A786" s="34"/>
      <c r="B786" s="34"/>
      <c r="C786" s="34"/>
      <c r="D786" s="34"/>
      <c r="E786" s="188"/>
      <c r="F786" s="34"/>
      <c r="G786" s="34"/>
      <c r="H786" s="34"/>
      <c r="I786" s="34"/>
      <c r="J786" s="34"/>
      <c r="K786" s="105"/>
      <c r="L786" s="34"/>
      <c r="M786" s="34"/>
      <c r="N786" s="34"/>
      <c r="O786" s="105"/>
      <c r="P786" s="105"/>
      <c r="Q786" s="105"/>
      <c r="R786" s="105"/>
      <c r="S786" s="105"/>
      <c r="T786" s="105"/>
      <c r="U786" s="105"/>
      <c r="V786" s="105"/>
      <c r="W786" s="105"/>
      <c r="X786" s="105"/>
      <c r="Y786" s="105"/>
      <c r="Z786" s="105"/>
      <c r="AA786" s="105"/>
      <c r="AB786" s="105"/>
      <c r="AC786" s="105"/>
    </row>
    <row r="787" spans="1:29" ht="12.75">
      <c r="A787" s="34"/>
      <c r="B787" s="34"/>
      <c r="C787" s="34"/>
      <c r="D787" s="34"/>
      <c r="E787" s="188"/>
      <c r="F787" s="34"/>
      <c r="G787" s="34"/>
      <c r="H787" s="34"/>
      <c r="I787" s="34"/>
      <c r="J787" s="34"/>
      <c r="K787" s="105"/>
      <c r="L787" s="34"/>
      <c r="M787" s="34"/>
      <c r="N787" s="34"/>
      <c r="O787" s="105"/>
      <c r="P787" s="105"/>
      <c r="Q787" s="105"/>
      <c r="R787" s="105"/>
      <c r="S787" s="105"/>
      <c r="T787" s="105"/>
      <c r="U787" s="105"/>
      <c r="V787" s="105"/>
      <c r="W787" s="105"/>
      <c r="X787" s="105"/>
      <c r="Y787" s="105"/>
      <c r="Z787" s="105"/>
      <c r="AA787" s="105"/>
      <c r="AB787" s="105"/>
      <c r="AC787" s="105"/>
    </row>
    <row r="788" spans="1:29" ht="12.75">
      <c r="A788" s="34"/>
      <c r="B788" s="34"/>
      <c r="C788" s="34"/>
      <c r="D788" s="34"/>
      <c r="E788" s="188"/>
      <c r="F788" s="34"/>
      <c r="G788" s="34"/>
      <c r="H788" s="34"/>
      <c r="I788" s="34"/>
      <c r="J788" s="34"/>
      <c r="K788" s="105"/>
      <c r="L788" s="34"/>
      <c r="M788" s="34"/>
      <c r="N788" s="34"/>
      <c r="O788" s="105"/>
      <c r="P788" s="105"/>
      <c r="Q788" s="105"/>
      <c r="R788" s="105"/>
      <c r="S788" s="105"/>
      <c r="T788" s="105"/>
      <c r="U788" s="105"/>
      <c r="V788" s="105"/>
      <c r="W788" s="105"/>
      <c r="X788" s="105"/>
      <c r="Y788" s="105"/>
      <c r="Z788" s="105"/>
      <c r="AA788" s="105"/>
      <c r="AB788" s="105"/>
      <c r="AC788" s="105"/>
    </row>
    <row r="789" spans="1:29" ht="12.75">
      <c r="A789" s="34"/>
      <c r="B789" s="34"/>
      <c r="C789" s="34"/>
      <c r="D789" s="34"/>
      <c r="E789" s="188"/>
      <c r="F789" s="34"/>
      <c r="G789" s="34"/>
      <c r="H789" s="34"/>
      <c r="I789" s="34"/>
      <c r="J789" s="34"/>
      <c r="K789" s="105"/>
      <c r="L789" s="34"/>
      <c r="M789" s="34"/>
      <c r="N789" s="34"/>
      <c r="O789" s="105"/>
      <c r="P789" s="105"/>
      <c r="Q789" s="105"/>
      <c r="R789" s="105"/>
      <c r="S789" s="105"/>
      <c r="T789" s="105"/>
      <c r="U789" s="105"/>
      <c r="V789" s="105"/>
      <c r="W789" s="105"/>
      <c r="X789" s="105"/>
      <c r="Y789" s="105"/>
      <c r="Z789" s="105"/>
      <c r="AA789" s="105"/>
      <c r="AB789" s="105"/>
      <c r="AC789" s="105"/>
    </row>
    <row r="790" spans="1:29" ht="12.75">
      <c r="A790" s="34"/>
      <c r="B790" s="34"/>
      <c r="C790" s="34"/>
      <c r="D790" s="34"/>
      <c r="E790" s="188"/>
      <c r="F790" s="34"/>
      <c r="G790" s="34"/>
      <c r="H790" s="34"/>
      <c r="I790" s="34"/>
      <c r="J790" s="34"/>
      <c r="K790" s="105"/>
      <c r="L790" s="34"/>
      <c r="M790" s="34"/>
      <c r="N790" s="34"/>
      <c r="O790" s="105"/>
      <c r="P790" s="105"/>
      <c r="Q790" s="105"/>
      <c r="R790" s="105"/>
      <c r="S790" s="105"/>
      <c r="T790" s="105"/>
      <c r="U790" s="105"/>
      <c r="V790" s="105"/>
      <c r="W790" s="105"/>
      <c r="X790" s="105"/>
      <c r="Y790" s="105"/>
      <c r="Z790" s="105"/>
      <c r="AA790" s="105"/>
      <c r="AB790" s="105"/>
      <c r="AC790" s="105"/>
    </row>
    <row r="791" spans="1:29" ht="12.75">
      <c r="A791" s="34"/>
      <c r="B791" s="34"/>
      <c r="C791" s="34"/>
      <c r="D791" s="34"/>
      <c r="E791" s="188"/>
      <c r="F791" s="34"/>
      <c r="G791" s="34"/>
      <c r="H791" s="34"/>
      <c r="I791" s="34"/>
      <c r="J791" s="34"/>
      <c r="K791" s="105"/>
      <c r="L791" s="34"/>
      <c r="M791" s="34"/>
      <c r="N791" s="34"/>
      <c r="O791" s="105"/>
      <c r="P791" s="105"/>
      <c r="Q791" s="105"/>
      <c r="R791" s="105"/>
      <c r="S791" s="105"/>
      <c r="T791" s="105"/>
      <c r="U791" s="105"/>
      <c r="V791" s="105"/>
      <c r="W791" s="105"/>
      <c r="X791" s="105"/>
      <c r="Y791" s="105"/>
      <c r="Z791" s="105"/>
      <c r="AA791" s="105"/>
      <c r="AB791" s="105"/>
      <c r="AC791" s="105"/>
    </row>
    <row r="792" spans="1:29" ht="12.75">
      <c r="A792" s="34"/>
      <c r="B792" s="34"/>
      <c r="C792" s="34"/>
      <c r="D792" s="34"/>
      <c r="E792" s="188"/>
      <c r="F792" s="34"/>
      <c r="G792" s="34"/>
      <c r="H792" s="34"/>
      <c r="I792" s="34"/>
      <c r="J792" s="34"/>
      <c r="K792" s="105"/>
      <c r="L792" s="34"/>
      <c r="M792" s="34"/>
      <c r="N792" s="34"/>
      <c r="O792" s="105"/>
      <c r="P792" s="105"/>
      <c r="Q792" s="105"/>
      <c r="R792" s="105"/>
      <c r="S792" s="105"/>
      <c r="T792" s="105"/>
      <c r="U792" s="105"/>
      <c r="V792" s="105"/>
      <c r="W792" s="105"/>
      <c r="X792" s="105"/>
      <c r="Y792" s="105"/>
      <c r="Z792" s="105"/>
      <c r="AA792" s="105"/>
      <c r="AB792" s="105"/>
      <c r="AC792" s="105"/>
    </row>
    <row r="793" spans="1:29" ht="12.75">
      <c r="A793" s="34"/>
      <c r="B793" s="34"/>
      <c r="C793" s="34"/>
      <c r="D793" s="34"/>
      <c r="E793" s="188"/>
      <c r="F793" s="34"/>
      <c r="G793" s="34"/>
      <c r="H793" s="34"/>
      <c r="I793" s="34"/>
      <c r="J793" s="34"/>
      <c r="K793" s="105"/>
      <c r="L793" s="34"/>
      <c r="M793" s="34"/>
      <c r="N793" s="34"/>
      <c r="O793" s="105"/>
      <c r="P793" s="105"/>
      <c r="Q793" s="105"/>
      <c r="R793" s="105"/>
      <c r="S793" s="105"/>
      <c r="T793" s="105"/>
      <c r="U793" s="105"/>
      <c r="V793" s="105"/>
      <c r="W793" s="105"/>
      <c r="X793" s="105"/>
      <c r="Y793" s="105"/>
      <c r="Z793" s="105"/>
      <c r="AA793" s="105"/>
      <c r="AB793" s="105"/>
      <c r="AC793" s="105"/>
    </row>
    <row r="794" spans="1:29" ht="12.75">
      <c r="A794" s="34"/>
      <c r="B794" s="34"/>
      <c r="C794" s="34"/>
      <c r="D794" s="34"/>
      <c r="E794" s="188"/>
      <c r="F794" s="34"/>
      <c r="G794" s="34"/>
      <c r="H794" s="34"/>
      <c r="I794" s="34"/>
      <c r="J794" s="34"/>
      <c r="K794" s="105"/>
      <c r="L794" s="34"/>
      <c r="M794" s="34"/>
      <c r="N794" s="34"/>
      <c r="O794" s="105"/>
      <c r="P794" s="105"/>
      <c r="Q794" s="105"/>
      <c r="R794" s="105"/>
      <c r="S794" s="105"/>
      <c r="T794" s="105"/>
      <c r="U794" s="105"/>
      <c r="V794" s="105"/>
      <c r="W794" s="105"/>
      <c r="X794" s="105"/>
      <c r="Y794" s="105"/>
      <c r="Z794" s="105"/>
      <c r="AA794" s="105"/>
      <c r="AB794" s="105"/>
      <c r="AC794" s="105"/>
    </row>
    <row r="795" spans="1:29" ht="12.75">
      <c r="A795" s="34"/>
      <c r="B795" s="34"/>
      <c r="C795" s="34"/>
      <c r="D795" s="34"/>
      <c r="E795" s="188"/>
      <c r="F795" s="34"/>
      <c r="G795" s="34"/>
      <c r="H795" s="34"/>
      <c r="I795" s="34"/>
      <c r="J795" s="34"/>
      <c r="K795" s="105"/>
      <c r="L795" s="34"/>
      <c r="M795" s="34"/>
      <c r="N795" s="34"/>
      <c r="O795" s="105"/>
      <c r="P795" s="105"/>
      <c r="Q795" s="105"/>
      <c r="R795" s="105"/>
      <c r="S795" s="105"/>
      <c r="T795" s="105"/>
      <c r="U795" s="105"/>
      <c r="V795" s="105"/>
      <c r="W795" s="105"/>
      <c r="X795" s="105"/>
      <c r="Y795" s="105"/>
      <c r="Z795" s="105"/>
      <c r="AA795" s="105"/>
      <c r="AB795" s="105"/>
      <c r="AC795" s="105"/>
    </row>
    <row r="796" spans="1:29" ht="12.75">
      <c r="A796" s="34"/>
      <c r="B796" s="34"/>
      <c r="C796" s="34"/>
      <c r="D796" s="34"/>
      <c r="E796" s="188"/>
      <c r="F796" s="34"/>
      <c r="G796" s="34"/>
      <c r="H796" s="34"/>
      <c r="I796" s="34"/>
      <c r="J796" s="34"/>
      <c r="K796" s="105"/>
      <c r="L796" s="34"/>
      <c r="M796" s="34"/>
      <c r="N796" s="34"/>
      <c r="O796" s="105"/>
      <c r="P796" s="105"/>
      <c r="Q796" s="105"/>
      <c r="R796" s="105"/>
      <c r="S796" s="105"/>
      <c r="T796" s="105"/>
      <c r="U796" s="105"/>
      <c r="V796" s="105"/>
      <c r="W796" s="105"/>
      <c r="X796" s="105"/>
      <c r="Y796" s="105"/>
      <c r="Z796" s="105"/>
      <c r="AA796" s="105"/>
      <c r="AB796" s="105"/>
      <c r="AC796" s="105"/>
    </row>
    <row r="797" spans="1:29" ht="12.75">
      <c r="A797" s="34"/>
      <c r="B797" s="34"/>
      <c r="C797" s="34"/>
      <c r="D797" s="34"/>
      <c r="E797" s="188"/>
      <c r="F797" s="34"/>
      <c r="G797" s="34"/>
      <c r="H797" s="34"/>
      <c r="I797" s="34"/>
      <c r="J797" s="34"/>
      <c r="K797" s="105"/>
      <c r="L797" s="34"/>
      <c r="M797" s="34"/>
      <c r="N797" s="34"/>
      <c r="O797" s="105"/>
      <c r="P797" s="105"/>
      <c r="Q797" s="105"/>
      <c r="R797" s="105"/>
      <c r="S797" s="105"/>
      <c r="T797" s="105"/>
      <c r="U797" s="105"/>
      <c r="V797" s="105"/>
      <c r="W797" s="105"/>
      <c r="X797" s="105"/>
      <c r="Y797" s="105"/>
      <c r="Z797" s="105"/>
      <c r="AA797" s="105"/>
      <c r="AB797" s="105"/>
      <c r="AC797" s="105"/>
    </row>
    <row r="798" spans="1:29" ht="12.75">
      <c r="A798" s="34"/>
      <c r="B798" s="34"/>
      <c r="C798" s="34"/>
      <c r="D798" s="34"/>
      <c r="E798" s="188"/>
      <c r="F798" s="34"/>
      <c r="G798" s="34"/>
      <c r="H798" s="34"/>
      <c r="I798" s="34"/>
      <c r="J798" s="34"/>
      <c r="K798" s="105"/>
      <c r="L798" s="34"/>
      <c r="M798" s="34"/>
      <c r="N798" s="34"/>
      <c r="O798" s="105"/>
      <c r="P798" s="105"/>
      <c r="Q798" s="105"/>
      <c r="R798" s="105"/>
      <c r="S798" s="105"/>
      <c r="T798" s="105"/>
      <c r="U798" s="105"/>
      <c r="V798" s="105"/>
      <c r="W798" s="105"/>
      <c r="X798" s="105"/>
      <c r="Y798" s="105"/>
      <c r="Z798" s="105"/>
      <c r="AA798" s="105"/>
      <c r="AB798" s="105"/>
      <c r="AC798" s="105"/>
    </row>
    <row r="799" spans="1:29" ht="12.75">
      <c r="A799" s="34"/>
      <c r="B799" s="34"/>
      <c r="C799" s="34"/>
      <c r="D799" s="34"/>
      <c r="E799" s="188"/>
      <c r="F799" s="34"/>
      <c r="G799" s="34"/>
      <c r="H799" s="34"/>
      <c r="I799" s="34"/>
      <c r="J799" s="34"/>
      <c r="K799" s="105"/>
      <c r="L799" s="34"/>
      <c r="M799" s="34"/>
      <c r="N799" s="34"/>
      <c r="O799" s="105"/>
      <c r="P799" s="105"/>
      <c r="Q799" s="105"/>
      <c r="R799" s="105"/>
      <c r="S799" s="105"/>
      <c r="T799" s="105"/>
      <c r="U799" s="105"/>
      <c r="V799" s="105"/>
      <c r="W799" s="105"/>
      <c r="X799" s="105"/>
      <c r="Y799" s="105"/>
      <c r="Z799" s="105"/>
      <c r="AA799" s="105"/>
      <c r="AB799" s="105"/>
      <c r="AC799" s="105"/>
    </row>
    <row r="800" spans="1:29" ht="12.75">
      <c r="A800" s="34"/>
      <c r="B800" s="34"/>
      <c r="C800" s="34"/>
      <c r="D800" s="34"/>
      <c r="E800" s="188"/>
      <c r="F800" s="34"/>
      <c r="G800" s="34"/>
      <c r="H800" s="34"/>
      <c r="I800" s="34"/>
      <c r="J800" s="34"/>
      <c r="K800" s="105"/>
      <c r="L800" s="34"/>
      <c r="M800" s="34"/>
      <c r="N800" s="34"/>
      <c r="O800" s="105"/>
      <c r="P800" s="105"/>
      <c r="Q800" s="105"/>
      <c r="R800" s="105"/>
      <c r="S800" s="105"/>
      <c r="T800" s="105"/>
      <c r="U800" s="105"/>
      <c r="V800" s="105"/>
      <c r="W800" s="105"/>
      <c r="X800" s="105"/>
      <c r="Y800" s="105"/>
      <c r="Z800" s="105"/>
      <c r="AA800" s="105"/>
      <c r="AB800" s="105"/>
      <c r="AC800" s="105"/>
    </row>
    <row r="801" spans="1:29" ht="12.75">
      <c r="A801" s="34"/>
      <c r="B801" s="34"/>
      <c r="C801" s="34"/>
      <c r="D801" s="34"/>
      <c r="E801" s="188"/>
      <c r="F801" s="34"/>
      <c r="G801" s="34"/>
      <c r="H801" s="34"/>
      <c r="I801" s="34"/>
      <c r="J801" s="34"/>
      <c r="K801" s="105"/>
      <c r="L801" s="34"/>
      <c r="M801" s="34"/>
      <c r="N801" s="34"/>
      <c r="O801" s="105"/>
      <c r="P801" s="105"/>
      <c r="Q801" s="105"/>
      <c r="R801" s="105"/>
      <c r="S801" s="105"/>
      <c r="T801" s="105"/>
      <c r="U801" s="105"/>
      <c r="V801" s="105"/>
      <c r="W801" s="105"/>
      <c r="X801" s="105"/>
      <c r="Y801" s="105"/>
      <c r="Z801" s="105"/>
      <c r="AA801" s="105"/>
      <c r="AB801" s="105"/>
      <c r="AC801" s="105"/>
    </row>
    <row r="802" spans="1:29" ht="12.75">
      <c r="A802" s="34"/>
      <c r="B802" s="34"/>
      <c r="C802" s="34"/>
      <c r="D802" s="34"/>
      <c r="E802" s="188"/>
      <c r="F802" s="34"/>
      <c r="G802" s="34"/>
      <c r="H802" s="34"/>
      <c r="I802" s="34"/>
      <c r="J802" s="34"/>
      <c r="K802" s="105"/>
      <c r="L802" s="34"/>
      <c r="M802" s="34"/>
      <c r="N802" s="34"/>
      <c r="O802" s="105"/>
      <c r="P802" s="105"/>
      <c r="Q802" s="105"/>
      <c r="R802" s="105"/>
      <c r="S802" s="105"/>
      <c r="T802" s="105"/>
      <c r="U802" s="105"/>
      <c r="V802" s="105"/>
      <c r="W802" s="105"/>
      <c r="X802" s="105"/>
      <c r="Y802" s="105"/>
      <c r="Z802" s="105"/>
      <c r="AA802" s="105"/>
      <c r="AB802" s="105"/>
      <c r="AC802" s="105"/>
    </row>
    <row r="803" spans="1:29" ht="12.75">
      <c r="A803" s="34"/>
      <c r="B803" s="34"/>
      <c r="C803" s="34"/>
      <c r="D803" s="34"/>
      <c r="E803" s="188"/>
      <c r="F803" s="34"/>
      <c r="G803" s="34"/>
      <c r="H803" s="34"/>
      <c r="I803" s="34"/>
      <c r="J803" s="34"/>
      <c r="K803" s="105"/>
      <c r="L803" s="34"/>
      <c r="M803" s="34"/>
      <c r="N803" s="34"/>
      <c r="O803" s="105"/>
      <c r="P803" s="105"/>
      <c r="Q803" s="105"/>
      <c r="R803" s="105"/>
      <c r="S803" s="105"/>
      <c r="T803" s="105"/>
      <c r="U803" s="105"/>
      <c r="V803" s="105"/>
      <c r="W803" s="105"/>
      <c r="X803" s="105"/>
      <c r="Y803" s="105"/>
      <c r="Z803" s="105"/>
      <c r="AA803" s="105"/>
      <c r="AB803" s="105"/>
      <c r="AC803" s="105"/>
    </row>
    <row r="804" spans="1:29" ht="12.75">
      <c r="A804" s="34"/>
      <c r="B804" s="34"/>
      <c r="C804" s="34"/>
      <c r="D804" s="34"/>
      <c r="E804" s="188"/>
      <c r="F804" s="34"/>
      <c r="G804" s="34"/>
      <c r="H804" s="34"/>
      <c r="I804" s="34"/>
      <c r="J804" s="34"/>
      <c r="K804" s="105"/>
      <c r="L804" s="34"/>
      <c r="M804" s="34"/>
      <c r="N804" s="34"/>
      <c r="O804" s="105"/>
      <c r="P804" s="105"/>
      <c r="Q804" s="105"/>
      <c r="R804" s="105"/>
      <c r="S804" s="105"/>
      <c r="T804" s="105"/>
      <c r="U804" s="105"/>
      <c r="V804" s="105"/>
      <c r="W804" s="105"/>
      <c r="X804" s="105"/>
      <c r="Y804" s="105"/>
      <c r="Z804" s="105"/>
      <c r="AA804" s="105"/>
      <c r="AB804" s="105"/>
      <c r="AC804" s="105"/>
    </row>
    <row r="805" spans="1:29" ht="12.75">
      <c r="A805" s="34"/>
      <c r="B805" s="34"/>
      <c r="C805" s="34"/>
      <c r="D805" s="34"/>
      <c r="E805" s="188"/>
      <c r="F805" s="34"/>
      <c r="G805" s="34"/>
      <c r="H805" s="34"/>
      <c r="I805" s="34"/>
      <c r="J805" s="34"/>
      <c r="K805" s="105"/>
      <c r="L805" s="34"/>
      <c r="M805" s="34"/>
      <c r="N805" s="34"/>
      <c r="O805" s="105"/>
      <c r="P805" s="105"/>
      <c r="Q805" s="105"/>
      <c r="R805" s="105"/>
      <c r="S805" s="105"/>
      <c r="T805" s="105"/>
      <c r="U805" s="105"/>
      <c r="V805" s="105"/>
      <c r="W805" s="105"/>
      <c r="X805" s="105"/>
      <c r="Y805" s="105"/>
      <c r="Z805" s="105"/>
      <c r="AA805" s="105"/>
      <c r="AB805" s="105"/>
      <c r="AC805" s="105"/>
    </row>
    <row r="806" spans="1:29" ht="12.75">
      <c r="A806" s="34"/>
      <c r="B806" s="34"/>
      <c r="C806" s="34"/>
      <c r="D806" s="34"/>
      <c r="E806" s="188"/>
      <c r="F806" s="34"/>
      <c r="G806" s="34"/>
      <c r="H806" s="34"/>
      <c r="I806" s="34"/>
      <c r="J806" s="34"/>
      <c r="K806" s="105"/>
      <c r="L806" s="34"/>
      <c r="M806" s="34"/>
      <c r="N806" s="34"/>
      <c r="O806" s="105"/>
      <c r="P806" s="105"/>
      <c r="Q806" s="105"/>
      <c r="R806" s="105"/>
      <c r="S806" s="105"/>
      <c r="T806" s="105"/>
      <c r="U806" s="105"/>
      <c r="V806" s="105"/>
      <c r="W806" s="105"/>
      <c r="X806" s="105"/>
      <c r="Y806" s="105"/>
      <c r="Z806" s="105"/>
      <c r="AA806" s="105"/>
      <c r="AB806" s="105"/>
      <c r="AC806" s="105"/>
    </row>
    <row r="807" spans="1:29" ht="12.75">
      <c r="A807" s="34"/>
      <c r="B807" s="34"/>
      <c r="C807" s="34"/>
      <c r="D807" s="34"/>
      <c r="E807" s="188"/>
      <c r="F807" s="34"/>
      <c r="G807" s="34"/>
      <c r="H807" s="34"/>
      <c r="I807" s="34"/>
      <c r="J807" s="34"/>
      <c r="K807" s="105"/>
      <c r="L807" s="34"/>
      <c r="M807" s="34"/>
      <c r="N807" s="34"/>
      <c r="O807" s="105"/>
      <c r="P807" s="105"/>
      <c r="Q807" s="105"/>
      <c r="R807" s="105"/>
      <c r="S807" s="105"/>
      <c r="T807" s="105"/>
      <c r="U807" s="105"/>
      <c r="V807" s="105"/>
      <c r="W807" s="105"/>
      <c r="X807" s="105"/>
      <c r="Y807" s="105"/>
      <c r="Z807" s="105"/>
      <c r="AA807" s="105"/>
      <c r="AB807" s="105"/>
      <c r="AC807" s="105"/>
    </row>
    <row r="808" spans="1:29" ht="12.75">
      <c r="A808" s="34"/>
      <c r="B808" s="34"/>
      <c r="C808" s="34"/>
      <c r="D808" s="34"/>
      <c r="E808" s="188"/>
      <c r="F808" s="34"/>
      <c r="G808" s="34"/>
      <c r="H808" s="34"/>
      <c r="I808" s="34"/>
      <c r="J808" s="34"/>
      <c r="K808" s="105"/>
      <c r="L808" s="34"/>
      <c r="M808" s="34"/>
      <c r="N808" s="34"/>
      <c r="O808" s="105"/>
      <c r="P808" s="105"/>
      <c r="Q808" s="105"/>
      <c r="R808" s="105"/>
      <c r="S808" s="105"/>
      <c r="T808" s="105"/>
      <c r="U808" s="105"/>
      <c r="V808" s="105"/>
      <c r="W808" s="105"/>
      <c r="X808" s="105"/>
      <c r="Y808" s="105"/>
      <c r="Z808" s="105"/>
      <c r="AA808" s="105"/>
      <c r="AB808" s="105"/>
      <c r="AC808" s="105"/>
    </row>
    <row r="809" spans="1:29" ht="12.75">
      <c r="A809" s="34"/>
      <c r="B809" s="34"/>
      <c r="C809" s="34"/>
      <c r="D809" s="34"/>
      <c r="E809" s="188"/>
      <c r="F809" s="34"/>
      <c r="G809" s="34"/>
      <c r="H809" s="34"/>
      <c r="I809" s="34"/>
      <c r="J809" s="34"/>
      <c r="K809" s="105"/>
      <c r="L809" s="34"/>
      <c r="M809" s="34"/>
      <c r="N809" s="34"/>
      <c r="O809" s="105"/>
      <c r="P809" s="105"/>
      <c r="Q809" s="105"/>
      <c r="R809" s="105"/>
      <c r="S809" s="105"/>
      <c r="T809" s="105"/>
      <c r="U809" s="105"/>
      <c r="V809" s="105"/>
      <c r="W809" s="105"/>
      <c r="X809" s="105"/>
      <c r="Y809" s="105"/>
      <c r="Z809" s="105"/>
      <c r="AA809" s="105"/>
      <c r="AB809" s="105"/>
      <c r="AC809" s="105"/>
    </row>
    <row r="810" spans="1:29" ht="12.75">
      <c r="A810" s="34"/>
      <c r="B810" s="34"/>
      <c r="C810" s="34"/>
      <c r="D810" s="34"/>
      <c r="E810" s="188"/>
      <c r="F810" s="34"/>
      <c r="G810" s="34"/>
      <c r="H810" s="34"/>
      <c r="I810" s="34"/>
      <c r="J810" s="34"/>
      <c r="K810" s="105"/>
      <c r="L810" s="34"/>
      <c r="M810" s="34"/>
      <c r="N810" s="34"/>
      <c r="O810" s="105"/>
      <c r="P810" s="105"/>
      <c r="Q810" s="105"/>
      <c r="R810" s="105"/>
      <c r="S810" s="105"/>
      <c r="T810" s="105"/>
      <c r="U810" s="105"/>
      <c r="V810" s="105"/>
      <c r="W810" s="105"/>
      <c r="X810" s="105"/>
      <c r="Y810" s="105"/>
      <c r="Z810" s="105"/>
      <c r="AA810" s="105"/>
      <c r="AB810" s="105"/>
      <c r="AC810" s="105"/>
    </row>
    <row r="811" spans="1:29" ht="12.75">
      <c r="A811" s="34"/>
      <c r="B811" s="34"/>
      <c r="C811" s="34"/>
      <c r="D811" s="34"/>
      <c r="E811" s="188"/>
      <c r="F811" s="34"/>
      <c r="G811" s="34"/>
      <c r="H811" s="34"/>
      <c r="I811" s="34"/>
      <c r="J811" s="34"/>
      <c r="K811" s="105"/>
      <c r="L811" s="34"/>
      <c r="M811" s="34"/>
      <c r="N811" s="34"/>
      <c r="O811" s="105"/>
      <c r="P811" s="105"/>
      <c r="Q811" s="105"/>
      <c r="R811" s="105"/>
      <c r="S811" s="105"/>
      <c r="T811" s="105"/>
      <c r="U811" s="105"/>
      <c r="V811" s="105"/>
      <c r="W811" s="105"/>
      <c r="X811" s="105"/>
      <c r="Y811" s="105"/>
      <c r="Z811" s="105"/>
      <c r="AA811" s="105"/>
      <c r="AB811" s="105"/>
      <c r="AC811" s="105"/>
    </row>
    <row r="812" spans="1:29" ht="12.75">
      <c r="A812" s="34"/>
      <c r="B812" s="34"/>
      <c r="C812" s="34"/>
      <c r="D812" s="34"/>
      <c r="E812" s="188"/>
      <c r="F812" s="34"/>
      <c r="G812" s="34"/>
      <c r="H812" s="34"/>
      <c r="I812" s="34"/>
      <c r="J812" s="34"/>
      <c r="K812" s="105"/>
      <c r="L812" s="34"/>
      <c r="M812" s="34"/>
      <c r="N812" s="34"/>
      <c r="O812" s="105"/>
      <c r="P812" s="105"/>
      <c r="Q812" s="105"/>
      <c r="R812" s="105"/>
      <c r="S812" s="105"/>
      <c r="T812" s="105"/>
      <c r="U812" s="105"/>
      <c r="V812" s="105"/>
      <c r="W812" s="105"/>
      <c r="X812" s="105"/>
      <c r="Y812" s="105"/>
      <c r="Z812" s="105"/>
      <c r="AA812" s="105"/>
      <c r="AB812" s="105"/>
      <c r="AC812" s="105"/>
    </row>
    <row r="813" spans="1:29" ht="12.75">
      <c r="A813" s="34"/>
      <c r="B813" s="34"/>
      <c r="C813" s="34"/>
      <c r="D813" s="34"/>
      <c r="E813" s="188"/>
      <c r="F813" s="34"/>
      <c r="G813" s="34"/>
      <c r="H813" s="34"/>
      <c r="I813" s="34"/>
      <c r="J813" s="34"/>
      <c r="K813" s="105"/>
      <c r="L813" s="34"/>
      <c r="M813" s="34"/>
      <c r="N813" s="34"/>
      <c r="O813" s="105"/>
      <c r="P813" s="105"/>
      <c r="Q813" s="105"/>
      <c r="R813" s="105"/>
      <c r="S813" s="105"/>
      <c r="T813" s="105"/>
      <c r="U813" s="105"/>
      <c r="V813" s="105"/>
      <c r="W813" s="105"/>
      <c r="X813" s="105"/>
      <c r="Y813" s="105"/>
      <c r="Z813" s="105"/>
      <c r="AA813" s="105"/>
      <c r="AB813" s="105"/>
      <c r="AC813" s="105"/>
    </row>
    <row r="814" spans="1:29" ht="12.75">
      <c r="A814" s="34"/>
      <c r="B814" s="34"/>
      <c r="C814" s="34"/>
      <c r="D814" s="34"/>
      <c r="E814" s="188"/>
      <c r="F814" s="34"/>
      <c r="G814" s="34"/>
      <c r="H814" s="34"/>
      <c r="I814" s="34"/>
      <c r="J814" s="34"/>
      <c r="K814" s="105"/>
      <c r="L814" s="34"/>
      <c r="M814" s="34"/>
      <c r="N814" s="34"/>
      <c r="O814" s="105"/>
      <c r="P814" s="105"/>
      <c r="Q814" s="105"/>
      <c r="R814" s="105"/>
      <c r="S814" s="105"/>
      <c r="T814" s="105"/>
      <c r="U814" s="105"/>
      <c r="V814" s="105"/>
      <c r="W814" s="105"/>
      <c r="X814" s="105"/>
      <c r="Y814" s="105"/>
      <c r="Z814" s="105"/>
      <c r="AA814" s="105"/>
      <c r="AB814" s="105"/>
      <c r="AC814" s="105"/>
    </row>
    <row r="815" spans="1:29" ht="12.75">
      <c r="A815" s="34"/>
      <c r="B815" s="34"/>
      <c r="C815" s="34"/>
      <c r="D815" s="34"/>
      <c r="E815" s="188"/>
      <c r="F815" s="34"/>
      <c r="G815" s="34"/>
      <c r="H815" s="34"/>
      <c r="I815" s="34"/>
      <c r="J815" s="34"/>
      <c r="K815" s="105"/>
      <c r="L815" s="34"/>
      <c r="M815" s="34"/>
      <c r="N815" s="34"/>
      <c r="O815" s="105"/>
      <c r="P815" s="105"/>
      <c r="Q815" s="105"/>
      <c r="R815" s="105"/>
      <c r="S815" s="105"/>
      <c r="T815" s="105"/>
      <c r="U815" s="105"/>
      <c r="V815" s="105"/>
      <c r="W815" s="105"/>
      <c r="X815" s="105"/>
      <c r="Y815" s="105"/>
      <c r="Z815" s="105"/>
      <c r="AA815" s="105"/>
      <c r="AB815" s="105"/>
      <c r="AC815" s="105"/>
    </row>
    <row r="816" spans="1:29" ht="12.75">
      <c r="A816" s="34"/>
      <c r="B816" s="34"/>
      <c r="C816" s="34"/>
      <c r="D816" s="34"/>
      <c r="E816" s="188"/>
      <c r="F816" s="34"/>
      <c r="G816" s="34"/>
      <c r="H816" s="34"/>
      <c r="I816" s="34"/>
      <c r="J816" s="34"/>
      <c r="K816" s="105"/>
      <c r="L816" s="34"/>
      <c r="M816" s="34"/>
      <c r="N816" s="34"/>
      <c r="O816" s="105"/>
      <c r="P816" s="105"/>
      <c r="Q816" s="105"/>
      <c r="R816" s="105"/>
      <c r="S816" s="105"/>
      <c r="T816" s="105"/>
      <c r="U816" s="105"/>
      <c r="V816" s="105"/>
      <c r="W816" s="105"/>
      <c r="X816" s="105"/>
      <c r="Y816" s="105"/>
      <c r="Z816" s="105"/>
      <c r="AA816" s="105"/>
      <c r="AB816" s="105"/>
      <c r="AC816" s="105"/>
    </row>
    <row r="817" spans="1:29" ht="12.75">
      <c r="A817" s="34"/>
      <c r="B817" s="34"/>
      <c r="C817" s="34"/>
      <c r="D817" s="34"/>
      <c r="E817" s="188"/>
      <c r="F817" s="34"/>
      <c r="G817" s="34"/>
      <c r="H817" s="34"/>
      <c r="I817" s="34"/>
      <c r="J817" s="34"/>
      <c r="K817" s="105"/>
      <c r="L817" s="34"/>
      <c r="M817" s="34"/>
      <c r="N817" s="34"/>
      <c r="O817" s="105"/>
      <c r="P817" s="105"/>
      <c r="Q817" s="105"/>
      <c r="R817" s="105"/>
      <c r="S817" s="105"/>
      <c r="T817" s="105"/>
      <c r="U817" s="105"/>
      <c r="V817" s="105"/>
      <c r="W817" s="105"/>
      <c r="X817" s="105"/>
      <c r="Y817" s="105"/>
      <c r="Z817" s="105"/>
      <c r="AA817" s="105"/>
      <c r="AB817" s="105"/>
      <c r="AC817" s="105"/>
    </row>
    <row r="818" spans="1:29" ht="12.75">
      <c r="A818" s="34"/>
      <c r="B818" s="34"/>
      <c r="C818" s="34"/>
      <c r="D818" s="34"/>
      <c r="E818" s="188"/>
      <c r="F818" s="34"/>
      <c r="G818" s="34"/>
      <c r="H818" s="34"/>
      <c r="I818" s="34"/>
      <c r="J818" s="34"/>
      <c r="K818" s="105"/>
      <c r="L818" s="34"/>
      <c r="M818" s="34"/>
      <c r="N818" s="34"/>
      <c r="O818" s="105"/>
      <c r="P818" s="105"/>
      <c r="Q818" s="105"/>
      <c r="R818" s="105"/>
      <c r="S818" s="105"/>
      <c r="T818" s="105"/>
      <c r="U818" s="105"/>
      <c r="V818" s="105"/>
      <c r="W818" s="105"/>
      <c r="X818" s="105"/>
      <c r="Y818" s="105"/>
      <c r="Z818" s="105"/>
      <c r="AA818" s="105"/>
      <c r="AB818" s="105"/>
      <c r="AC818" s="105"/>
    </row>
    <row r="819" spans="1:29" ht="12.75">
      <c r="A819" s="34"/>
      <c r="B819" s="34"/>
      <c r="C819" s="34"/>
      <c r="D819" s="34"/>
      <c r="E819" s="188"/>
      <c r="F819" s="34"/>
      <c r="G819" s="34"/>
      <c r="H819" s="34"/>
      <c r="I819" s="34"/>
      <c r="J819" s="34"/>
      <c r="K819" s="105"/>
      <c r="L819" s="34"/>
      <c r="M819" s="34"/>
      <c r="N819" s="34"/>
      <c r="O819" s="105"/>
      <c r="P819" s="105"/>
      <c r="Q819" s="105"/>
      <c r="R819" s="105"/>
      <c r="S819" s="105"/>
      <c r="T819" s="105"/>
      <c r="U819" s="105"/>
      <c r="V819" s="105"/>
      <c r="W819" s="105"/>
      <c r="X819" s="105"/>
      <c r="Y819" s="105"/>
      <c r="Z819" s="105"/>
      <c r="AA819" s="105"/>
      <c r="AB819" s="105"/>
      <c r="AC819" s="105"/>
    </row>
    <row r="820" spans="1:29" ht="12.75">
      <c r="A820" s="34"/>
      <c r="B820" s="34"/>
      <c r="C820" s="34"/>
      <c r="D820" s="34"/>
      <c r="E820" s="188"/>
      <c r="F820" s="34"/>
      <c r="G820" s="34"/>
      <c r="H820" s="34"/>
      <c r="I820" s="34"/>
      <c r="J820" s="34"/>
      <c r="K820" s="105"/>
      <c r="L820" s="34"/>
      <c r="M820" s="34"/>
      <c r="N820" s="34"/>
      <c r="O820" s="105"/>
      <c r="P820" s="105"/>
      <c r="Q820" s="105"/>
      <c r="R820" s="105"/>
      <c r="S820" s="105"/>
      <c r="T820" s="105"/>
      <c r="U820" s="105"/>
      <c r="V820" s="105"/>
      <c r="W820" s="105"/>
      <c r="X820" s="105"/>
      <c r="Y820" s="105"/>
      <c r="Z820" s="105"/>
      <c r="AA820" s="105"/>
      <c r="AB820" s="105"/>
      <c r="AC820" s="105"/>
    </row>
    <row r="821" spans="1:29" ht="12.75">
      <c r="A821" s="34"/>
      <c r="B821" s="34"/>
      <c r="C821" s="34"/>
      <c r="D821" s="34"/>
      <c r="E821" s="188"/>
      <c r="F821" s="34"/>
      <c r="G821" s="34"/>
      <c r="H821" s="34"/>
      <c r="I821" s="34"/>
      <c r="J821" s="34"/>
      <c r="K821" s="105"/>
      <c r="L821" s="34"/>
      <c r="M821" s="34"/>
      <c r="N821" s="34"/>
      <c r="O821" s="105"/>
      <c r="P821" s="105"/>
      <c r="Q821" s="105"/>
      <c r="R821" s="105"/>
      <c r="S821" s="105"/>
      <c r="T821" s="105"/>
      <c r="U821" s="105"/>
      <c r="V821" s="105"/>
      <c r="W821" s="105"/>
      <c r="X821" s="105"/>
      <c r="Y821" s="105"/>
      <c r="Z821" s="105"/>
      <c r="AA821" s="105"/>
      <c r="AB821" s="105"/>
      <c r="AC821" s="105"/>
    </row>
    <row r="822" spans="1:29" ht="12.75">
      <c r="A822" s="34"/>
      <c r="B822" s="34"/>
      <c r="C822" s="34"/>
      <c r="D822" s="34"/>
      <c r="E822" s="188"/>
      <c r="F822" s="34"/>
      <c r="G822" s="34"/>
      <c r="H822" s="34"/>
      <c r="I822" s="34"/>
      <c r="J822" s="34"/>
      <c r="K822" s="105"/>
      <c r="L822" s="34"/>
      <c r="M822" s="34"/>
      <c r="N822" s="34"/>
      <c r="O822" s="105"/>
      <c r="P822" s="105"/>
      <c r="Q822" s="105"/>
      <c r="R822" s="105"/>
      <c r="S822" s="105"/>
      <c r="T822" s="105"/>
      <c r="U822" s="105"/>
      <c r="V822" s="105"/>
      <c r="W822" s="105"/>
      <c r="X822" s="105"/>
      <c r="Y822" s="105"/>
      <c r="Z822" s="105"/>
      <c r="AA822" s="105"/>
      <c r="AB822" s="105"/>
      <c r="AC822" s="105"/>
    </row>
    <row r="823" spans="1:29" ht="12.75">
      <c r="A823" s="34"/>
      <c r="B823" s="34"/>
      <c r="C823" s="34"/>
      <c r="D823" s="34"/>
      <c r="E823" s="188"/>
      <c r="F823" s="34"/>
      <c r="G823" s="34"/>
      <c r="H823" s="34"/>
      <c r="I823" s="34"/>
      <c r="J823" s="34"/>
      <c r="K823" s="105"/>
      <c r="L823" s="34"/>
      <c r="M823" s="34"/>
      <c r="N823" s="34"/>
      <c r="O823" s="105"/>
      <c r="P823" s="105"/>
      <c r="Q823" s="105"/>
      <c r="R823" s="105"/>
      <c r="S823" s="105"/>
      <c r="T823" s="105"/>
      <c r="U823" s="105"/>
      <c r="V823" s="105"/>
      <c r="W823" s="105"/>
      <c r="X823" s="105"/>
      <c r="Y823" s="105"/>
      <c r="Z823" s="105"/>
      <c r="AA823" s="105"/>
      <c r="AB823" s="105"/>
      <c r="AC823" s="105"/>
    </row>
    <row r="824" spans="1:29" ht="12.75">
      <c r="A824" s="34"/>
      <c r="B824" s="34"/>
      <c r="C824" s="34"/>
      <c r="D824" s="34"/>
      <c r="E824" s="188"/>
      <c r="F824" s="34"/>
      <c r="G824" s="34"/>
      <c r="H824" s="34"/>
      <c r="I824" s="34"/>
      <c r="J824" s="34"/>
      <c r="K824" s="105"/>
      <c r="L824" s="34"/>
      <c r="M824" s="34"/>
      <c r="N824" s="34"/>
      <c r="O824" s="105"/>
      <c r="P824" s="105"/>
      <c r="Q824" s="105"/>
      <c r="R824" s="105"/>
      <c r="S824" s="105"/>
      <c r="T824" s="105"/>
      <c r="U824" s="105"/>
      <c r="V824" s="105"/>
      <c r="W824" s="105"/>
      <c r="X824" s="105"/>
      <c r="Y824" s="105"/>
      <c r="Z824" s="105"/>
      <c r="AA824" s="105"/>
      <c r="AB824" s="105"/>
      <c r="AC824" s="105"/>
    </row>
    <row r="825" spans="1:29" ht="12.75">
      <c r="A825" s="34"/>
      <c r="B825" s="34"/>
      <c r="C825" s="34"/>
      <c r="D825" s="34"/>
      <c r="E825" s="188"/>
      <c r="F825" s="34"/>
      <c r="G825" s="34"/>
      <c r="H825" s="34"/>
      <c r="I825" s="34"/>
      <c r="J825" s="34"/>
      <c r="K825" s="105"/>
      <c r="L825" s="34"/>
      <c r="M825" s="34"/>
      <c r="N825" s="34"/>
      <c r="O825" s="105"/>
      <c r="P825" s="105"/>
      <c r="Q825" s="105"/>
      <c r="R825" s="105"/>
      <c r="S825" s="105"/>
      <c r="T825" s="105"/>
      <c r="U825" s="105"/>
      <c r="V825" s="105"/>
      <c r="W825" s="105"/>
      <c r="X825" s="105"/>
      <c r="Y825" s="105"/>
      <c r="Z825" s="105"/>
      <c r="AA825" s="105"/>
      <c r="AB825" s="105"/>
      <c r="AC825" s="105"/>
    </row>
    <row r="826" spans="1:29" ht="12.75">
      <c r="A826" s="34"/>
      <c r="B826" s="34"/>
      <c r="C826" s="34"/>
      <c r="D826" s="34"/>
      <c r="E826" s="188"/>
      <c r="F826" s="34"/>
      <c r="G826" s="34"/>
      <c r="H826" s="34"/>
      <c r="I826" s="34"/>
      <c r="J826" s="34"/>
      <c r="K826" s="105"/>
      <c r="L826" s="34"/>
      <c r="M826" s="34"/>
      <c r="N826" s="34"/>
      <c r="O826" s="105"/>
      <c r="P826" s="105"/>
      <c r="Q826" s="105"/>
      <c r="R826" s="105"/>
      <c r="S826" s="105"/>
      <c r="T826" s="105"/>
      <c r="U826" s="105"/>
      <c r="V826" s="105"/>
      <c r="W826" s="105"/>
      <c r="X826" s="105"/>
      <c r="Y826" s="105"/>
      <c r="Z826" s="105"/>
      <c r="AA826" s="105"/>
      <c r="AB826" s="105"/>
      <c r="AC826" s="105"/>
    </row>
    <row r="827" spans="1:29" ht="12.75">
      <c r="A827" s="34"/>
      <c r="B827" s="34"/>
      <c r="C827" s="34"/>
      <c r="D827" s="34"/>
      <c r="E827" s="188"/>
      <c r="F827" s="34"/>
      <c r="G827" s="34"/>
      <c r="H827" s="34"/>
      <c r="I827" s="34"/>
      <c r="J827" s="34"/>
      <c r="K827" s="105"/>
      <c r="L827" s="34"/>
      <c r="M827" s="34"/>
      <c r="N827" s="34"/>
      <c r="O827" s="105"/>
      <c r="P827" s="105"/>
      <c r="Q827" s="105"/>
      <c r="R827" s="105"/>
      <c r="S827" s="105"/>
      <c r="T827" s="105"/>
      <c r="U827" s="105"/>
      <c r="V827" s="105"/>
      <c r="W827" s="105"/>
      <c r="X827" s="105"/>
      <c r="Y827" s="105"/>
      <c r="Z827" s="105"/>
      <c r="AA827" s="105"/>
      <c r="AB827" s="105"/>
      <c r="AC827" s="105"/>
    </row>
    <row r="828" spans="1:29" ht="12.75">
      <c r="A828" s="34"/>
      <c r="B828" s="34"/>
      <c r="C828" s="34"/>
      <c r="D828" s="34"/>
      <c r="E828" s="188"/>
      <c r="F828" s="34"/>
      <c r="G828" s="34"/>
      <c r="H828" s="34"/>
      <c r="I828" s="34"/>
      <c r="J828" s="34"/>
      <c r="K828" s="105"/>
      <c r="L828" s="34"/>
      <c r="M828" s="34"/>
      <c r="N828" s="34"/>
      <c r="O828" s="105"/>
      <c r="P828" s="105"/>
      <c r="Q828" s="105"/>
      <c r="R828" s="105"/>
      <c r="S828" s="105"/>
      <c r="T828" s="105"/>
      <c r="U828" s="105"/>
      <c r="V828" s="105"/>
      <c r="W828" s="105"/>
      <c r="X828" s="105"/>
      <c r="Y828" s="105"/>
      <c r="Z828" s="105"/>
      <c r="AA828" s="105"/>
      <c r="AB828" s="105"/>
      <c r="AC828" s="105"/>
    </row>
    <row r="829" spans="1:29" ht="12.75">
      <c r="A829" s="34"/>
      <c r="B829" s="34"/>
      <c r="C829" s="34"/>
      <c r="D829" s="34"/>
      <c r="E829" s="188"/>
      <c r="F829" s="34"/>
      <c r="G829" s="34"/>
      <c r="H829" s="34"/>
      <c r="I829" s="34"/>
      <c r="J829" s="34"/>
      <c r="K829" s="105"/>
      <c r="L829" s="34"/>
      <c r="M829" s="34"/>
      <c r="N829" s="34"/>
      <c r="O829" s="105"/>
      <c r="P829" s="105"/>
      <c r="Q829" s="105"/>
      <c r="R829" s="105"/>
      <c r="S829" s="105"/>
      <c r="T829" s="105"/>
      <c r="U829" s="105"/>
      <c r="V829" s="105"/>
      <c r="W829" s="105"/>
      <c r="X829" s="105"/>
      <c r="Y829" s="105"/>
      <c r="Z829" s="105"/>
      <c r="AA829" s="105"/>
      <c r="AB829" s="105"/>
      <c r="AC829" s="105"/>
    </row>
    <row r="830" spans="1:29" ht="12.75">
      <c r="A830" s="34"/>
      <c r="B830" s="34"/>
      <c r="C830" s="34"/>
      <c r="D830" s="34"/>
      <c r="E830" s="188"/>
      <c r="F830" s="34"/>
      <c r="G830" s="34"/>
      <c r="H830" s="34"/>
      <c r="I830" s="34"/>
      <c r="J830" s="34"/>
      <c r="K830" s="105"/>
      <c r="L830" s="34"/>
      <c r="M830" s="34"/>
      <c r="N830" s="34"/>
      <c r="O830" s="105"/>
      <c r="P830" s="105"/>
      <c r="Q830" s="105"/>
      <c r="R830" s="105"/>
      <c r="S830" s="105"/>
      <c r="T830" s="105"/>
      <c r="U830" s="105"/>
      <c r="V830" s="105"/>
      <c r="W830" s="105"/>
      <c r="X830" s="105"/>
      <c r="Y830" s="105"/>
      <c r="Z830" s="105"/>
      <c r="AA830" s="105"/>
      <c r="AB830" s="105"/>
      <c r="AC830" s="105"/>
    </row>
    <row r="831" spans="1:29" ht="12.75">
      <c r="A831" s="34"/>
      <c r="B831" s="34"/>
      <c r="C831" s="34"/>
      <c r="D831" s="34"/>
      <c r="E831" s="188"/>
      <c r="F831" s="34"/>
      <c r="G831" s="34"/>
      <c r="H831" s="34"/>
      <c r="I831" s="34"/>
      <c r="J831" s="34"/>
      <c r="K831" s="105"/>
      <c r="L831" s="34"/>
      <c r="M831" s="34"/>
      <c r="N831" s="34"/>
      <c r="O831" s="105"/>
      <c r="P831" s="105"/>
      <c r="Q831" s="105"/>
      <c r="R831" s="105"/>
      <c r="S831" s="105"/>
      <c r="T831" s="105"/>
      <c r="U831" s="105"/>
      <c r="V831" s="105"/>
      <c r="W831" s="105"/>
      <c r="X831" s="105"/>
      <c r="Y831" s="105"/>
      <c r="Z831" s="105"/>
      <c r="AA831" s="105"/>
      <c r="AB831" s="105"/>
      <c r="AC831" s="105"/>
    </row>
    <row r="832" spans="1:29" ht="12.75">
      <c r="A832" s="34"/>
      <c r="B832" s="34"/>
      <c r="C832" s="34"/>
      <c r="D832" s="34"/>
      <c r="E832" s="188"/>
      <c r="F832" s="34"/>
      <c r="G832" s="34"/>
      <c r="H832" s="34"/>
      <c r="I832" s="34"/>
      <c r="J832" s="34"/>
      <c r="K832" s="105"/>
      <c r="L832" s="34"/>
      <c r="M832" s="34"/>
      <c r="N832" s="34"/>
      <c r="O832" s="105"/>
      <c r="P832" s="105"/>
      <c r="Q832" s="105"/>
      <c r="R832" s="105"/>
      <c r="S832" s="105"/>
      <c r="T832" s="105"/>
      <c r="U832" s="105"/>
      <c r="V832" s="105"/>
      <c r="W832" s="105"/>
      <c r="X832" s="105"/>
      <c r="Y832" s="105"/>
      <c r="Z832" s="105"/>
      <c r="AA832" s="105"/>
      <c r="AB832" s="105"/>
      <c r="AC832" s="105"/>
    </row>
    <row r="833" spans="1:29" ht="12.75">
      <c r="A833" s="34"/>
      <c r="B833" s="34"/>
      <c r="C833" s="34"/>
      <c r="D833" s="34"/>
      <c r="E833" s="188"/>
      <c r="F833" s="34"/>
      <c r="G833" s="34"/>
      <c r="H833" s="34"/>
      <c r="I833" s="34"/>
      <c r="J833" s="34"/>
      <c r="K833" s="105"/>
      <c r="L833" s="34"/>
      <c r="M833" s="34"/>
      <c r="N833" s="34"/>
      <c r="O833" s="105"/>
      <c r="P833" s="105"/>
      <c r="Q833" s="105"/>
      <c r="R833" s="105"/>
      <c r="S833" s="105"/>
      <c r="T833" s="105"/>
      <c r="U833" s="105"/>
      <c r="V833" s="105"/>
      <c r="W833" s="105"/>
      <c r="X833" s="105"/>
      <c r="Y833" s="105"/>
      <c r="Z833" s="105"/>
      <c r="AA833" s="105"/>
      <c r="AB833" s="105"/>
      <c r="AC833" s="105"/>
    </row>
    <row r="834" spans="1:29" ht="12.75">
      <c r="A834" s="34"/>
      <c r="B834" s="34"/>
      <c r="C834" s="34"/>
      <c r="D834" s="34"/>
      <c r="E834" s="188"/>
      <c r="F834" s="34"/>
      <c r="G834" s="34"/>
      <c r="H834" s="34"/>
      <c r="I834" s="34"/>
      <c r="J834" s="34"/>
      <c r="K834" s="105"/>
      <c r="L834" s="34"/>
      <c r="M834" s="34"/>
      <c r="N834" s="34"/>
      <c r="O834" s="105"/>
      <c r="P834" s="105"/>
      <c r="Q834" s="105"/>
      <c r="R834" s="105"/>
      <c r="S834" s="105"/>
      <c r="T834" s="105"/>
      <c r="U834" s="105"/>
      <c r="V834" s="105"/>
      <c r="W834" s="105"/>
      <c r="X834" s="105"/>
      <c r="Y834" s="105"/>
      <c r="Z834" s="105"/>
      <c r="AA834" s="105"/>
      <c r="AB834" s="105"/>
      <c r="AC834" s="105"/>
    </row>
    <row r="835" spans="1:29" ht="12.75">
      <c r="A835" s="34"/>
      <c r="B835" s="34"/>
      <c r="C835" s="34"/>
      <c r="D835" s="34"/>
      <c r="E835" s="188"/>
      <c r="F835" s="34"/>
      <c r="G835" s="34"/>
      <c r="H835" s="34"/>
      <c r="I835" s="34"/>
      <c r="J835" s="34"/>
      <c r="K835" s="105"/>
      <c r="L835" s="34"/>
      <c r="M835" s="34"/>
      <c r="N835" s="34"/>
      <c r="O835" s="105"/>
      <c r="P835" s="105"/>
      <c r="Q835" s="105"/>
      <c r="R835" s="105"/>
      <c r="S835" s="105"/>
      <c r="T835" s="105"/>
      <c r="U835" s="105"/>
      <c r="V835" s="105"/>
      <c r="W835" s="105"/>
      <c r="X835" s="105"/>
      <c r="Y835" s="105"/>
      <c r="Z835" s="105"/>
      <c r="AA835" s="105"/>
      <c r="AB835" s="105"/>
      <c r="AC835" s="105"/>
    </row>
    <row r="836" spans="1:29" ht="12.75">
      <c r="A836" s="34"/>
      <c r="B836" s="34"/>
      <c r="C836" s="34"/>
      <c r="D836" s="34"/>
      <c r="E836" s="188"/>
      <c r="F836" s="34"/>
      <c r="G836" s="34"/>
      <c r="H836" s="34"/>
      <c r="I836" s="34"/>
      <c r="J836" s="34"/>
      <c r="K836" s="105"/>
      <c r="L836" s="34"/>
      <c r="M836" s="34"/>
      <c r="N836" s="34"/>
      <c r="O836" s="105"/>
      <c r="P836" s="105"/>
      <c r="Q836" s="105"/>
      <c r="R836" s="105"/>
      <c r="S836" s="105"/>
      <c r="T836" s="105"/>
      <c r="U836" s="105"/>
      <c r="V836" s="105"/>
      <c r="W836" s="105"/>
      <c r="X836" s="105"/>
      <c r="Y836" s="105"/>
      <c r="Z836" s="105"/>
      <c r="AA836" s="105"/>
      <c r="AB836" s="105"/>
      <c r="AC836" s="105"/>
    </row>
    <row r="837" spans="1:29" ht="12.75">
      <c r="A837" s="34"/>
      <c r="B837" s="34"/>
      <c r="C837" s="34"/>
      <c r="D837" s="34"/>
      <c r="E837" s="188"/>
      <c r="F837" s="34"/>
      <c r="G837" s="34"/>
      <c r="H837" s="34"/>
      <c r="I837" s="34"/>
      <c r="J837" s="34"/>
      <c r="K837" s="105"/>
      <c r="L837" s="34"/>
      <c r="M837" s="34"/>
      <c r="N837" s="34"/>
      <c r="O837" s="105"/>
      <c r="P837" s="105"/>
      <c r="Q837" s="105"/>
      <c r="R837" s="105"/>
      <c r="S837" s="105"/>
      <c r="T837" s="105"/>
      <c r="U837" s="105"/>
      <c r="V837" s="105"/>
      <c r="W837" s="105"/>
      <c r="X837" s="105"/>
      <c r="Y837" s="105"/>
      <c r="Z837" s="105"/>
      <c r="AA837" s="105"/>
      <c r="AB837" s="105"/>
      <c r="AC837" s="105"/>
    </row>
    <row r="838" spans="1:29" ht="12.75">
      <c r="A838" s="34"/>
      <c r="B838" s="34"/>
      <c r="C838" s="34"/>
      <c r="D838" s="34"/>
      <c r="E838" s="188"/>
      <c r="F838" s="34"/>
      <c r="G838" s="34"/>
      <c r="H838" s="34"/>
      <c r="I838" s="34"/>
      <c r="J838" s="34"/>
      <c r="K838" s="105"/>
      <c r="L838" s="34"/>
      <c r="M838" s="34"/>
      <c r="N838" s="34"/>
      <c r="O838" s="105"/>
      <c r="P838" s="105"/>
      <c r="Q838" s="105"/>
      <c r="R838" s="105"/>
      <c r="S838" s="105"/>
      <c r="T838" s="105"/>
      <c r="U838" s="105"/>
      <c r="V838" s="105"/>
      <c r="W838" s="105"/>
      <c r="X838" s="105"/>
      <c r="Y838" s="105"/>
      <c r="Z838" s="105"/>
      <c r="AA838" s="105"/>
      <c r="AB838" s="105"/>
      <c r="AC838" s="105"/>
    </row>
    <row r="839" spans="1:29" ht="12.75">
      <c r="A839" s="34"/>
      <c r="B839" s="34"/>
      <c r="C839" s="34"/>
      <c r="D839" s="34"/>
      <c r="E839" s="188"/>
      <c r="F839" s="34"/>
      <c r="G839" s="34"/>
      <c r="H839" s="34"/>
      <c r="I839" s="34"/>
      <c r="J839" s="34"/>
      <c r="K839" s="105"/>
      <c r="L839" s="34"/>
      <c r="M839" s="34"/>
      <c r="N839" s="34"/>
      <c r="O839" s="105"/>
      <c r="P839" s="105"/>
      <c r="Q839" s="105"/>
      <c r="R839" s="105"/>
      <c r="S839" s="105"/>
      <c r="T839" s="105"/>
      <c r="U839" s="105"/>
      <c r="V839" s="105"/>
      <c r="W839" s="105"/>
      <c r="X839" s="105"/>
      <c r="Y839" s="105"/>
      <c r="Z839" s="105"/>
      <c r="AA839" s="105"/>
      <c r="AB839" s="105"/>
      <c r="AC839" s="105"/>
    </row>
    <row r="840" spans="1:29" ht="12.75">
      <c r="A840" s="34"/>
      <c r="B840" s="34"/>
      <c r="C840" s="34"/>
      <c r="D840" s="34"/>
      <c r="E840" s="188"/>
      <c r="F840" s="34"/>
      <c r="G840" s="34"/>
      <c r="H840" s="34"/>
      <c r="I840" s="34"/>
      <c r="J840" s="34"/>
      <c r="K840" s="105"/>
      <c r="L840" s="34"/>
      <c r="M840" s="34"/>
      <c r="N840" s="34"/>
      <c r="O840" s="105"/>
      <c r="P840" s="105"/>
      <c r="Q840" s="105"/>
      <c r="R840" s="105"/>
      <c r="S840" s="105"/>
      <c r="T840" s="105"/>
      <c r="U840" s="105"/>
      <c r="V840" s="105"/>
      <c r="W840" s="105"/>
      <c r="X840" s="105"/>
      <c r="Y840" s="105"/>
      <c r="Z840" s="105"/>
      <c r="AA840" s="105"/>
      <c r="AB840" s="105"/>
      <c r="AC840" s="105"/>
    </row>
    <row r="841" spans="1:29" ht="12.75">
      <c r="A841" s="34"/>
      <c r="B841" s="34"/>
      <c r="C841" s="34"/>
      <c r="D841" s="34"/>
      <c r="E841" s="188"/>
      <c r="F841" s="34"/>
      <c r="G841" s="34"/>
      <c r="H841" s="34"/>
      <c r="I841" s="34"/>
      <c r="J841" s="34"/>
      <c r="K841" s="105"/>
      <c r="L841" s="34"/>
      <c r="M841" s="34"/>
      <c r="N841" s="34"/>
      <c r="O841" s="105"/>
      <c r="P841" s="105"/>
      <c r="Q841" s="105"/>
      <c r="R841" s="105"/>
      <c r="S841" s="105"/>
      <c r="T841" s="105"/>
      <c r="U841" s="105"/>
      <c r="V841" s="105"/>
      <c r="W841" s="105"/>
      <c r="X841" s="105"/>
      <c r="Y841" s="105"/>
      <c r="Z841" s="105"/>
      <c r="AA841" s="105"/>
      <c r="AB841" s="105"/>
      <c r="AC841" s="105"/>
    </row>
    <row r="842" spans="1:29" ht="12.75">
      <c r="A842" s="34"/>
      <c r="B842" s="34"/>
      <c r="C842" s="34"/>
      <c r="D842" s="34"/>
      <c r="E842" s="188"/>
      <c r="F842" s="34"/>
      <c r="G842" s="34"/>
      <c r="H842" s="34"/>
      <c r="I842" s="34"/>
      <c r="J842" s="34"/>
      <c r="K842" s="105"/>
      <c r="L842" s="34"/>
      <c r="M842" s="34"/>
      <c r="N842" s="34"/>
      <c r="O842" s="105"/>
      <c r="P842" s="105"/>
      <c r="Q842" s="105"/>
      <c r="R842" s="105"/>
      <c r="S842" s="105"/>
      <c r="T842" s="105"/>
      <c r="U842" s="105"/>
      <c r="V842" s="105"/>
      <c r="W842" s="105"/>
      <c r="X842" s="105"/>
      <c r="Y842" s="105"/>
      <c r="Z842" s="105"/>
      <c r="AA842" s="105"/>
      <c r="AB842" s="105"/>
      <c r="AC842" s="105"/>
    </row>
    <row r="843" spans="1:29" ht="12.75">
      <c r="A843" s="34"/>
      <c r="B843" s="34"/>
      <c r="C843" s="34"/>
      <c r="D843" s="34"/>
      <c r="E843" s="188"/>
      <c r="F843" s="34"/>
      <c r="G843" s="34"/>
      <c r="H843" s="34"/>
      <c r="I843" s="34"/>
      <c r="J843" s="34"/>
      <c r="K843" s="105"/>
      <c r="L843" s="34"/>
      <c r="M843" s="34"/>
      <c r="N843" s="34"/>
      <c r="O843" s="105"/>
      <c r="P843" s="105"/>
      <c r="Q843" s="105"/>
      <c r="R843" s="105"/>
      <c r="S843" s="105"/>
      <c r="T843" s="105"/>
      <c r="U843" s="105"/>
      <c r="V843" s="105"/>
      <c r="W843" s="105"/>
      <c r="X843" s="105"/>
      <c r="Y843" s="105"/>
      <c r="Z843" s="105"/>
      <c r="AA843" s="105"/>
      <c r="AB843" s="105"/>
      <c r="AC843" s="105"/>
    </row>
    <row r="844" spans="1:29" ht="12.75">
      <c r="A844" s="34"/>
      <c r="B844" s="34"/>
      <c r="C844" s="34"/>
      <c r="D844" s="34"/>
      <c r="E844" s="188"/>
      <c r="F844" s="34"/>
      <c r="G844" s="34"/>
      <c r="H844" s="34"/>
      <c r="I844" s="34"/>
      <c r="J844" s="34"/>
      <c r="K844" s="105"/>
      <c r="L844" s="34"/>
      <c r="M844" s="34"/>
      <c r="N844" s="34"/>
      <c r="O844" s="105"/>
      <c r="P844" s="105"/>
      <c r="Q844" s="105"/>
      <c r="R844" s="105"/>
      <c r="S844" s="105"/>
      <c r="T844" s="105"/>
      <c r="U844" s="105"/>
      <c r="V844" s="105"/>
      <c r="W844" s="105"/>
      <c r="X844" s="105"/>
      <c r="Y844" s="105"/>
      <c r="Z844" s="105"/>
      <c r="AA844" s="105"/>
      <c r="AB844" s="105"/>
      <c r="AC844" s="105"/>
    </row>
    <row r="845" spans="1:29" ht="12.75">
      <c r="A845" s="34"/>
      <c r="B845" s="34"/>
      <c r="C845" s="34"/>
      <c r="D845" s="34"/>
      <c r="E845" s="188"/>
      <c r="F845" s="34"/>
      <c r="G845" s="34"/>
      <c r="H845" s="34"/>
      <c r="I845" s="34"/>
      <c r="J845" s="34"/>
      <c r="K845" s="105"/>
      <c r="L845" s="34"/>
      <c r="M845" s="34"/>
      <c r="N845" s="34"/>
      <c r="O845" s="105"/>
      <c r="P845" s="105"/>
      <c r="Q845" s="105"/>
      <c r="R845" s="105"/>
      <c r="S845" s="105"/>
      <c r="T845" s="105"/>
      <c r="U845" s="105"/>
      <c r="V845" s="105"/>
      <c r="W845" s="105"/>
      <c r="X845" s="105"/>
      <c r="Y845" s="105"/>
      <c r="Z845" s="105"/>
      <c r="AA845" s="105"/>
      <c r="AB845" s="105"/>
      <c r="AC845" s="105"/>
    </row>
    <row r="846" spans="1:29" ht="12.75">
      <c r="A846" s="34"/>
      <c r="B846" s="34"/>
      <c r="C846" s="34"/>
      <c r="D846" s="34"/>
      <c r="E846" s="188"/>
      <c r="F846" s="34"/>
      <c r="G846" s="34"/>
      <c r="H846" s="34"/>
      <c r="I846" s="34"/>
      <c r="J846" s="34"/>
      <c r="K846" s="105"/>
      <c r="L846" s="34"/>
      <c r="M846" s="34"/>
      <c r="N846" s="34"/>
      <c r="O846" s="105"/>
      <c r="P846" s="105"/>
      <c r="Q846" s="105"/>
      <c r="R846" s="105"/>
      <c r="S846" s="105"/>
      <c r="T846" s="105"/>
      <c r="U846" s="105"/>
      <c r="V846" s="105"/>
      <c r="W846" s="105"/>
      <c r="X846" s="105"/>
      <c r="Y846" s="105"/>
      <c r="Z846" s="105"/>
      <c r="AA846" s="105"/>
      <c r="AB846" s="105"/>
      <c r="AC846" s="105"/>
    </row>
    <row r="847" spans="1:29" ht="12.75">
      <c r="A847" s="34"/>
      <c r="B847" s="34"/>
      <c r="C847" s="34"/>
      <c r="D847" s="34"/>
      <c r="E847" s="188"/>
      <c r="F847" s="34"/>
      <c r="G847" s="34"/>
      <c r="H847" s="34"/>
      <c r="I847" s="34"/>
      <c r="J847" s="34"/>
      <c r="K847" s="105"/>
      <c r="L847" s="34"/>
      <c r="M847" s="34"/>
      <c r="N847" s="34"/>
      <c r="O847" s="105"/>
      <c r="P847" s="105"/>
      <c r="Q847" s="105"/>
      <c r="R847" s="105"/>
      <c r="S847" s="105"/>
      <c r="T847" s="105"/>
      <c r="U847" s="105"/>
      <c r="V847" s="105"/>
      <c r="W847" s="105"/>
      <c r="X847" s="105"/>
      <c r="Y847" s="105"/>
      <c r="Z847" s="105"/>
      <c r="AA847" s="105"/>
      <c r="AB847" s="105"/>
      <c r="AC847" s="105"/>
    </row>
    <row r="848" spans="1:29" ht="12.75">
      <c r="A848" s="34"/>
      <c r="B848" s="34"/>
      <c r="C848" s="34"/>
      <c r="D848" s="34"/>
      <c r="E848" s="188"/>
      <c r="F848" s="34"/>
      <c r="G848" s="34"/>
      <c r="H848" s="34"/>
      <c r="I848" s="34"/>
      <c r="J848" s="34"/>
      <c r="K848" s="105"/>
      <c r="L848" s="34"/>
      <c r="M848" s="34"/>
      <c r="N848" s="34"/>
      <c r="O848" s="105"/>
      <c r="P848" s="105"/>
      <c r="Q848" s="105"/>
      <c r="R848" s="105"/>
      <c r="S848" s="105"/>
      <c r="T848" s="105"/>
      <c r="U848" s="105"/>
      <c r="V848" s="105"/>
      <c r="W848" s="105"/>
      <c r="X848" s="105"/>
      <c r="Y848" s="105"/>
      <c r="Z848" s="105"/>
      <c r="AA848" s="105"/>
      <c r="AB848" s="105"/>
      <c r="AC848" s="105"/>
    </row>
    <row r="849" spans="1:29" ht="12.75">
      <c r="A849" s="34"/>
      <c r="B849" s="34"/>
      <c r="C849" s="34"/>
      <c r="D849" s="34"/>
      <c r="E849" s="188"/>
      <c r="F849" s="34"/>
      <c r="G849" s="34"/>
      <c r="H849" s="34"/>
      <c r="I849" s="34"/>
      <c r="J849" s="34"/>
      <c r="K849" s="105"/>
      <c r="L849" s="34"/>
      <c r="M849" s="34"/>
      <c r="N849" s="34"/>
      <c r="O849" s="105"/>
      <c r="P849" s="105"/>
      <c r="Q849" s="105"/>
      <c r="R849" s="105"/>
      <c r="S849" s="105"/>
      <c r="T849" s="105"/>
      <c r="U849" s="105"/>
      <c r="V849" s="105"/>
      <c r="W849" s="105"/>
      <c r="X849" s="105"/>
      <c r="Y849" s="105"/>
      <c r="Z849" s="105"/>
      <c r="AA849" s="105"/>
      <c r="AB849" s="105"/>
      <c r="AC849" s="105"/>
    </row>
    <row r="850" spans="1:29" ht="12.75">
      <c r="A850" s="34"/>
      <c r="B850" s="34"/>
      <c r="C850" s="34"/>
      <c r="D850" s="34"/>
      <c r="E850" s="188"/>
      <c r="F850" s="34"/>
      <c r="G850" s="34"/>
      <c r="H850" s="34"/>
      <c r="I850" s="34"/>
      <c r="J850" s="34"/>
      <c r="K850" s="105"/>
      <c r="L850" s="34"/>
      <c r="M850" s="34"/>
      <c r="N850" s="34"/>
      <c r="O850" s="105"/>
      <c r="P850" s="105"/>
      <c r="Q850" s="105"/>
      <c r="R850" s="105"/>
      <c r="S850" s="105"/>
      <c r="T850" s="105"/>
      <c r="U850" s="105"/>
      <c r="V850" s="105"/>
      <c r="W850" s="105"/>
      <c r="X850" s="105"/>
      <c r="Y850" s="105"/>
      <c r="Z850" s="105"/>
      <c r="AA850" s="105"/>
      <c r="AB850" s="105"/>
      <c r="AC850" s="105"/>
    </row>
    <row r="851" spans="1:29" ht="12.75">
      <c r="A851" s="34"/>
      <c r="B851" s="34"/>
      <c r="C851" s="34"/>
      <c r="D851" s="34"/>
      <c r="E851" s="188"/>
      <c r="F851" s="34"/>
      <c r="G851" s="34"/>
      <c r="H851" s="34"/>
      <c r="I851" s="34"/>
      <c r="J851" s="34"/>
      <c r="K851" s="105"/>
      <c r="L851" s="34"/>
      <c r="M851" s="34"/>
      <c r="N851" s="34"/>
      <c r="O851" s="105"/>
      <c r="P851" s="105"/>
      <c r="Q851" s="105"/>
      <c r="R851" s="105"/>
      <c r="S851" s="105"/>
      <c r="T851" s="105"/>
      <c r="U851" s="105"/>
      <c r="V851" s="105"/>
      <c r="W851" s="105"/>
      <c r="X851" s="105"/>
      <c r="Y851" s="105"/>
      <c r="Z851" s="105"/>
      <c r="AA851" s="105"/>
      <c r="AB851" s="105"/>
      <c r="AC851" s="105"/>
    </row>
    <row r="852" spans="1:29" ht="12.75">
      <c r="A852" s="34"/>
      <c r="B852" s="34"/>
      <c r="C852" s="34"/>
      <c r="D852" s="34"/>
      <c r="E852" s="188"/>
      <c r="F852" s="34"/>
      <c r="G852" s="34"/>
      <c r="H852" s="34"/>
      <c r="I852" s="34"/>
      <c r="J852" s="34"/>
      <c r="K852" s="105"/>
      <c r="L852" s="34"/>
      <c r="M852" s="34"/>
      <c r="N852" s="34"/>
      <c r="O852" s="105"/>
      <c r="P852" s="105"/>
      <c r="Q852" s="105"/>
      <c r="R852" s="105"/>
      <c r="S852" s="105"/>
      <c r="T852" s="105"/>
      <c r="U852" s="105"/>
      <c r="V852" s="105"/>
      <c r="W852" s="105"/>
      <c r="X852" s="105"/>
      <c r="Y852" s="105"/>
      <c r="Z852" s="105"/>
      <c r="AA852" s="105"/>
      <c r="AB852" s="105"/>
      <c r="AC852" s="105"/>
    </row>
    <row r="853" spans="1:29" ht="12.75">
      <c r="A853" s="34"/>
      <c r="B853" s="34"/>
      <c r="C853" s="34"/>
      <c r="D853" s="34"/>
      <c r="E853" s="188"/>
      <c r="F853" s="34"/>
      <c r="G853" s="34"/>
      <c r="H853" s="34"/>
      <c r="I853" s="34"/>
      <c r="J853" s="34"/>
      <c r="K853" s="105"/>
      <c r="L853" s="34"/>
      <c r="M853" s="34"/>
      <c r="N853" s="34"/>
      <c r="O853" s="105"/>
      <c r="P853" s="105"/>
      <c r="Q853" s="105"/>
      <c r="R853" s="105"/>
      <c r="S853" s="105"/>
      <c r="T853" s="105"/>
      <c r="U853" s="105"/>
      <c r="V853" s="105"/>
      <c r="W853" s="105"/>
      <c r="X853" s="105"/>
      <c r="Y853" s="105"/>
      <c r="Z853" s="105"/>
      <c r="AA853" s="105"/>
      <c r="AB853" s="105"/>
      <c r="AC853" s="105"/>
    </row>
    <row r="854" spans="1:29" ht="12.75">
      <c r="A854" s="34"/>
      <c r="B854" s="34"/>
      <c r="C854" s="34"/>
      <c r="D854" s="34"/>
      <c r="E854" s="188"/>
      <c r="F854" s="34"/>
      <c r="G854" s="34"/>
      <c r="H854" s="34"/>
      <c r="I854" s="34"/>
      <c r="J854" s="34"/>
      <c r="K854" s="105"/>
      <c r="L854" s="34"/>
      <c r="M854" s="34"/>
      <c r="N854" s="34"/>
      <c r="O854" s="105"/>
      <c r="P854" s="105"/>
      <c r="Q854" s="105"/>
      <c r="R854" s="105"/>
      <c r="S854" s="105"/>
      <c r="T854" s="105"/>
      <c r="U854" s="105"/>
      <c r="V854" s="105"/>
      <c r="W854" s="105"/>
      <c r="X854" s="105"/>
      <c r="Y854" s="105"/>
      <c r="Z854" s="105"/>
      <c r="AA854" s="105"/>
      <c r="AB854" s="105"/>
      <c r="AC854" s="105"/>
    </row>
    <row r="855" spans="1:29" ht="12.75">
      <c r="A855" s="34"/>
      <c r="B855" s="34"/>
      <c r="C855" s="34"/>
      <c r="D855" s="34"/>
      <c r="E855" s="188"/>
      <c r="F855" s="34"/>
      <c r="G855" s="34"/>
      <c r="H855" s="34"/>
      <c r="I855" s="34"/>
      <c r="J855" s="34"/>
      <c r="K855" s="105"/>
      <c r="L855" s="34"/>
      <c r="M855" s="34"/>
      <c r="N855" s="34"/>
      <c r="O855" s="105"/>
      <c r="P855" s="105"/>
      <c r="Q855" s="105"/>
      <c r="R855" s="105"/>
      <c r="S855" s="105"/>
      <c r="T855" s="105"/>
      <c r="U855" s="105"/>
      <c r="V855" s="105"/>
      <c r="W855" s="105"/>
      <c r="X855" s="105"/>
      <c r="Y855" s="105"/>
      <c r="Z855" s="105"/>
      <c r="AA855" s="105"/>
      <c r="AB855" s="105"/>
      <c r="AC855" s="105"/>
    </row>
    <row r="856" spans="1:29" ht="12.75">
      <c r="A856" s="34"/>
      <c r="B856" s="34"/>
      <c r="C856" s="34"/>
      <c r="D856" s="34"/>
      <c r="E856" s="188"/>
      <c r="F856" s="34"/>
      <c r="G856" s="34"/>
      <c r="H856" s="34"/>
      <c r="I856" s="34"/>
      <c r="J856" s="34"/>
      <c r="K856" s="105"/>
      <c r="L856" s="34"/>
      <c r="M856" s="34"/>
      <c r="N856" s="34"/>
      <c r="O856" s="105"/>
      <c r="P856" s="105"/>
      <c r="Q856" s="105"/>
      <c r="R856" s="105"/>
      <c r="S856" s="105"/>
      <c r="T856" s="105"/>
      <c r="U856" s="105"/>
      <c r="V856" s="105"/>
      <c r="W856" s="105"/>
      <c r="X856" s="105"/>
      <c r="Y856" s="105"/>
      <c r="Z856" s="105"/>
      <c r="AA856" s="105"/>
      <c r="AB856" s="105"/>
      <c r="AC856" s="105"/>
    </row>
    <row r="857" spans="1:29" ht="12.75">
      <c r="A857" s="34"/>
      <c r="B857" s="34"/>
      <c r="C857" s="34"/>
      <c r="D857" s="34"/>
      <c r="E857" s="188"/>
      <c r="F857" s="34"/>
      <c r="G857" s="34"/>
      <c r="H857" s="34"/>
      <c r="I857" s="34"/>
      <c r="J857" s="34"/>
      <c r="K857" s="105"/>
      <c r="L857" s="34"/>
      <c r="M857" s="34"/>
      <c r="N857" s="34"/>
      <c r="O857" s="105"/>
      <c r="P857" s="105"/>
      <c r="Q857" s="105"/>
      <c r="R857" s="105"/>
      <c r="S857" s="105"/>
      <c r="T857" s="105"/>
      <c r="U857" s="105"/>
      <c r="V857" s="105"/>
      <c r="W857" s="105"/>
      <c r="X857" s="105"/>
      <c r="Y857" s="105"/>
      <c r="Z857" s="105"/>
      <c r="AA857" s="105"/>
      <c r="AB857" s="105"/>
      <c r="AC857" s="105"/>
    </row>
    <row r="858" spans="1:29" ht="12.75">
      <c r="A858" s="34"/>
      <c r="B858" s="34"/>
      <c r="C858" s="34"/>
      <c r="D858" s="34"/>
      <c r="E858" s="188"/>
      <c r="F858" s="34"/>
      <c r="G858" s="34"/>
      <c r="H858" s="34"/>
      <c r="I858" s="34"/>
      <c r="J858" s="34"/>
      <c r="K858" s="105"/>
      <c r="L858" s="34"/>
      <c r="M858" s="34"/>
      <c r="N858" s="34"/>
      <c r="O858" s="105"/>
      <c r="P858" s="105"/>
      <c r="Q858" s="105"/>
      <c r="R858" s="105"/>
      <c r="S858" s="105"/>
      <c r="T858" s="105"/>
      <c r="U858" s="105"/>
      <c r="V858" s="105"/>
      <c r="W858" s="105"/>
      <c r="X858" s="105"/>
      <c r="Y858" s="105"/>
      <c r="Z858" s="105"/>
      <c r="AA858" s="105"/>
      <c r="AB858" s="105"/>
      <c r="AC858" s="105"/>
    </row>
    <row r="859" spans="1:29" ht="12.75">
      <c r="A859" s="34"/>
      <c r="B859" s="34"/>
      <c r="C859" s="34"/>
      <c r="D859" s="34"/>
      <c r="E859" s="188"/>
      <c r="F859" s="34"/>
      <c r="G859" s="34"/>
      <c r="H859" s="34"/>
      <c r="I859" s="34"/>
      <c r="J859" s="34"/>
      <c r="K859" s="105"/>
      <c r="L859" s="34"/>
      <c r="M859" s="34"/>
      <c r="N859" s="34"/>
      <c r="O859" s="105"/>
      <c r="P859" s="105"/>
      <c r="Q859" s="105"/>
      <c r="R859" s="105"/>
      <c r="S859" s="105"/>
      <c r="T859" s="105"/>
      <c r="U859" s="105"/>
      <c r="V859" s="105"/>
      <c r="W859" s="105"/>
      <c r="X859" s="105"/>
      <c r="Y859" s="105"/>
      <c r="Z859" s="105"/>
      <c r="AA859" s="105"/>
      <c r="AB859" s="105"/>
      <c r="AC859" s="105"/>
    </row>
    <row r="860" spans="1:29" ht="12.75">
      <c r="A860" s="34"/>
      <c r="B860" s="34"/>
      <c r="C860" s="34"/>
      <c r="D860" s="34"/>
      <c r="E860" s="188"/>
      <c r="F860" s="34"/>
      <c r="G860" s="34"/>
      <c r="H860" s="34"/>
      <c r="I860" s="34"/>
      <c r="J860" s="34"/>
      <c r="K860" s="105"/>
      <c r="L860" s="34"/>
      <c r="M860" s="34"/>
      <c r="N860" s="34"/>
      <c r="O860" s="105"/>
      <c r="P860" s="105"/>
      <c r="Q860" s="105"/>
      <c r="R860" s="105"/>
      <c r="S860" s="105"/>
      <c r="T860" s="105"/>
      <c r="U860" s="105"/>
      <c r="V860" s="105"/>
      <c r="W860" s="105"/>
      <c r="X860" s="105"/>
      <c r="Y860" s="105"/>
      <c r="Z860" s="105"/>
      <c r="AA860" s="105"/>
      <c r="AB860" s="105"/>
      <c r="AC860" s="105"/>
    </row>
    <row r="861" spans="1:29" ht="12.75">
      <c r="A861" s="34"/>
      <c r="B861" s="34"/>
      <c r="C861" s="34"/>
      <c r="D861" s="34"/>
      <c r="E861" s="188"/>
      <c r="F861" s="34"/>
      <c r="G861" s="34"/>
      <c r="H861" s="34"/>
      <c r="I861" s="34"/>
      <c r="J861" s="34"/>
      <c r="K861" s="105"/>
      <c r="L861" s="34"/>
      <c r="M861" s="34"/>
      <c r="N861" s="34"/>
      <c r="O861" s="105"/>
      <c r="P861" s="105"/>
      <c r="Q861" s="105"/>
      <c r="R861" s="105"/>
      <c r="S861" s="105"/>
      <c r="T861" s="105"/>
      <c r="U861" s="105"/>
      <c r="V861" s="105"/>
      <c r="W861" s="105"/>
      <c r="X861" s="105"/>
      <c r="Y861" s="105"/>
      <c r="Z861" s="105"/>
      <c r="AA861" s="105"/>
      <c r="AB861" s="105"/>
      <c r="AC861" s="105"/>
    </row>
    <row r="862" spans="1:29" ht="12.75">
      <c r="A862" s="34"/>
      <c r="B862" s="34"/>
      <c r="C862" s="34"/>
      <c r="D862" s="34"/>
      <c r="E862" s="188"/>
      <c r="F862" s="34"/>
      <c r="G862" s="34"/>
      <c r="H862" s="34"/>
      <c r="I862" s="34"/>
      <c r="J862" s="34"/>
      <c r="K862" s="105"/>
      <c r="L862" s="34"/>
      <c r="M862" s="34"/>
      <c r="N862" s="34"/>
      <c r="O862" s="105"/>
      <c r="P862" s="105"/>
      <c r="Q862" s="105"/>
      <c r="R862" s="105"/>
      <c r="S862" s="105"/>
      <c r="T862" s="105"/>
      <c r="U862" s="105"/>
      <c r="V862" s="105"/>
      <c r="W862" s="105"/>
      <c r="X862" s="105"/>
      <c r="Y862" s="105"/>
      <c r="Z862" s="105"/>
      <c r="AA862" s="105"/>
      <c r="AB862" s="105"/>
      <c r="AC862" s="105"/>
    </row>
    <row r="863" spans="1:29" ht="12.75">
      <c r="A863" s="34"/>
      <c r="B863" s="34"/>
      <c r="C863" s="34"/>
      <c r="D863" s="34"/>
      <c r="E863" s="188"/>
      <c r="F863" s="34"/>
      <c r="G863" s="34"/>
      <c r="H863" s="34"/>
      <c r="I863" s="34"/>
      <c r="J863" s="34"/>
      <c r="K863" s="105"/>
      <c r="L863" s="34"/>
      <c r="M863" s="34"/>
      <c r="N863" s="34"/>
      <c r="O863" s="105"/>
      <c r="P863" s="105"/>
      <c r="Q863" s="105"/>
      <c r="R863" s="105"/>
      <c r="S863" s="105"/>
      <c r="T863" s="105"/>
      <c r="U863" s="105"/>
      <c r="V863" s="105"/>
      <c r="W863" s="105"/>
      <c r="X863" s="105"/>
      <c r="Y863" s="105"/>
      <c r="Z863" s="105"/>
      <c r="AA863" s="105"/>
      <c r="AB863" s="105"/>
      <c r="AC863" s="105"/>
    </row>
    <row r="864" spans="1:29" ht="12.75">
      <c r="A864" s="34"/>
      <c r="B864" s="34"/>
      <c r="C864" s="34"/>
      <c r="D864" s="34"/>
      <c r="E864" s="188"/>
      <c r="F864" s="34"/>
      <c r="G864" s="34"/>
      <c r="H864" s="34"/>
      <c r="I864" s="34"/>
      <c r="J864" s="34"/>
      <c r="K864" s="105"/>
      <c r="L864" s="34"/>
      <c r="M864" s="34"/>
      <c r="N864" s="34"/>
      <c r="O864" s="105"/>
      <c r="P864" s="105"/>
      <c r="Q864" s="105"/>
      <c r="R864" s="105"/>
      <c r="S864" s="105"/>
      <c r="T864" s="105"/>
      <c r="U864" s="105"/>
      <c r="V864" s="105"/>
      <c r="W864" s="105"/>
      <c r="X864" s="105"/>
      <c r="Y864" s="105"/>
      <c r="Z864" s="105"/>
      <c r="AA864" s="105"/>
      <c r="AB864" s="105"/>
      <c r="AC864" s="105"/>
    </row>
    <row r="865" spans="1:29" ht="12.75">
      <c r="A865" s="34"/>
      <c r="B865" s="34"/>
      <c r="C865" s="34"/>
      <c r="D865" s="34"/>
      <c r="E865" s="188"/>
      <c r="F865" s="34"/>
      <c r="G865" s="34"/>
      <c r="H865" s="34"/>
      <c r="I865" s="34"/>
      <c r="J865" s="34"/>
      <c r="K865" s="105"/>
      <c r="L865" s="34"/>
      <c r="M865" s="34"/>
      <c r="N865" s="34"/>
      <c r="O865" s="105"/>
      <c r="P865" s="105"/>
      <c r="Q865" s="105"/>
      <c r="R865" s="105"/>
      <c r="S865" s="105"/>
      <c r="T865" s="105"/>
      <c r="U865" s="105"/>
      <c r="V865" s="105"/>
      <c r="W865" s="105"/>
      <c r="X865" s="105"/>
      <c r="Y865" s="105"/>
      <c r="Z865" s="105"/>
      <c r="AA865" s="105"/>
      <c r="AB865" s="105"/>
      <c r="AC865" s="105"/>
    </row>
    <row r="866" spans="1:29" ht="12.75">
      <c r="A866" s="34"/>
      <c r="B866" s="34"/>
      <c r="C866" s="34"/>
      <c r="D866" s="34"/>
      <c r="E866" s="188"/>
      <c r="F866" s="34"/>
      <c r="G866" s="34"/>
      <c r="H866" s="34"/>
      <c r="I866" s="34"/>
      <c r="J866" s="34"/>
      <c r="K866" s="105"/>
      <c r="L866" s="34"/>
      <c r="M866" s="34"/>
      <c r="N866" s="34"/>
      <c r="O866" s="105"/>
      <c r="P866" s="105"/>
      <c r="Q866" s="105"/>
      <c r="R866" s="105"/>
      <c r="S866" s="105"/>
      <c r="T866" s="105"/>
      <c r="U866" s="105"/>
      <c r="V866" s="105"/>
      <c r="W866" s="105"/>
      <c r="X866" s="105"/>
      <c r="Y866" s="105"/>
      <c r="Z866" s="105"/>
      <c r="AA866" s="105"/>
      <c r="AB866" s="105"/>
      <c r="AC866" s="105"/>
    </row>
    <row r="867" spans="1:29" ht="12.75">
      <c r="A867" s="34"/>
      <c r="B867" s="34"/>
      <c r="C867" s="34"/>
      <c r="D867" s="34"/>
      <c r="E867" s="188"/>
      <c r="F867" s="34"/>
      <c r="G867" s="34"/>
      <c r="H867" s="34"/>
      <c r="I867" s="34"/>
      <c r="J867" s="34"/>
      <c r="K867" s="105"/>
      <c r="L867" s="34"/>
      <c r="M867" s="34"/>
      <c r="N867" s="34"/>
      <c r="O867" s="105"/>
      <c r="P867" s="105"/>
      <c r="Q867" s="105"/>
      <c r="R867" s="105"/>
      <c r="S867" s="105"/>
      <c r="T867" s="105"/>
      <c r="U867" s="105"/>
      <c r="V867" s="105"/>
      <c r="W867" s="105"/>
      <c r="X867" s="105"/>
      <c r="Y867" s="105"/>
      <c r="Z867" s="105"/>
      <c r="AA867" s="105"/>
      <c r="AB867" s="105"/>
      <c r="AC867" s="105"/>
    </row>
    <row r="868" spans="1:29" ht="12.75">
      <c r="A868" s="34"/>
      <c r="B868" s="34"/>
      <c r="C868" s="34"/>
      <c r="D868" s="34"/>
      <c r="E868" s="188"/>
      <c r="F868" s="34"/>
      <c r="G868" s="34"/>
      <c r="H868" s="34"/>
      <c r="I868" s="34"/>
      <c r="J868" s="34"/>
      <c r="K868" s="105"/>
      <c r="L868" s="34"/>
      <c r="M868" s="34"/>
      <c r="N868" s="34"/>
      <c r="O868" s="105"/>
      <c r="P868" s="105"/>
      <c r="Q868" s="105"/>
      <c r="R868" s="105"/>
      <c r="S868" s="105"/>
      <c r="T868" s="105"/>
      <c r="U868" s="105"/>
      <c r="V868" s="105"/>
      <c r="W868" s="105"/>
      <c r="X868" s="105"/>
      <c r="Y868" s="105"/>
      <c r="Z868" s="105"/>
      <c r="AA868" s="105"/>
      <c r="AB868" s="105"/>
      <c r="AC868" s="105"/>
    </row>
    <row r="869" spans="1:29" ht="12.75">
      <c r="A869" s="34"/>
      <c r="B869" s="34"/>
      <c r="C869" s="34"/>
      <c r="D869" s="34"/>
      <c r="E869" s="188"/>
      <c r="F869" s="34"/>
      <c r="G869" s="34"/>
      <c r="H869" s="34"/>
      <c r="I869" s="34"/>
      <c r="J869" s="34"/>
      <c r="K869" s="105"/>
      <c r="L869" s="34"/>
      <c r="M869" s="34"/>
      <c r="N869" s="34"/>
      <c r="O869" s="105"/>
      <c r="P869" s="105"/>
      <c r="Q869" s="105"/>
      <c r="R869" s="105"/>
      <c r="S869" s="105"/>
      <c r="T869" s="105"/>
      <c r="U869" s="105"/>
      <c r="V869" s="105"/>
      <c r="W869" s="105"/>
      <c r="X869" s="105"/>
      <c r="Y869" s="105"/>
      <c r="Z869" s="105"/>
      <c r="AA869" s="105"/>
      <c r="AB869" s="105"/>
      <c r="AC869" s="105"/>
    </row>
    <row r="870" spans="1:29" ht="12.75">
      <c r="A870" s="34"/>
      <c r="B870" s="34"/>
      <c r="C870" s="34"/>
      <c r="D870" s="34"/>
      <c r="E870" s="188"/>
      <c r="F870" s="34"/>
      <c r="G870" s="34"/>
      <c r="H870" s="34"/>
      <c r="I870" s="34"/>
      <c r="J870" s="34"/>
      <c r="K870" s="105"/>
      <c r="L870" s="34"/>
      <c r="M870" s="34"/>
      <c r="N870" s="34"/>
      <c r="O870" s="105"/>
      <c r="P870" s="105"/>
      <c r="Q870" s="105"/>
      <c r="R870" s="105"/>
      <c r="S870" s="105"/>
      <c r="T870" s="105"/>
      <c r="U870" s="105"/>
      <c r="V870" s="105"/>
      <c r="W870" s="105"/>
      <c r="X870" s="105"/>
      <c r="Y870" s="105"/>
      <c r="Z870" s="105"/>
      <c r="AA870" s="105"/>
      <c r="AB870" s="105"/>
      <c r="AC870" s="105"/>
    </row>
    <row r="871" spans="1:29" ht="12.75">
      <c r="A871" s="34"/>
      <c r="B871" s="34"/>
      <c r="C871" s="34"/>
      <c r="D871" s="34"/>
      <c r="E871" s="188"/>
      <c r="F871" s="34"/>
      <c r="G871" s="34"/>
      <c r="H871" s="34"/>
      <c r="I871" s="34"/>
      <c r="J871" s="34"/>
      <c r="K871" s="105"/>
      <c r="L871" s="34"/>
      <c r="M871" s="34"/>
      <c r="N871" s="34"/>
      <c r="O871" s="105"/>
      <c r="P871" s="105"/>
      <c r="Q871" s="105"/>
      <c r="R871" s="105"/>
      <c r="S871" s="105"/>
      <c r="T871" s="105"/>
      <c r="U871" s="105"/>
      <c r="V871" s="105"/>
      <c r="W871" s="105"/>
      <c r="X871" s="105"/>
      <c r="Y871" s="105"/>
      <c r="Z871" s="105"/>
      <c r="AA871" s="105"/>
      <c r="AB871" s="105"/>
      <c r="AC871" s="105"/>
    </row>
    <row r="872" spans="1:29" ht="12.75">
      <c r="A872" s="34"/>
      <c r="B872" s="34"/>
      <c r="C872" s="34"/>
      <c r="D872" s="34"/>
      <c r="E872" s="188"/>
      <c r="F872" s="34"/>
      <c r="G872" s="34"/>
      <c r="H872" s="34"/>
      <c r="I872" s="34"/>
      <c r="J872" s="34"/>
      <c r="K872" s="105"/>
      <c r="L872" s="34"/>
      <c r="M872" s="34"/>
      <c r="N872" s="34"/>
      <c r="O872" s="105"/>
      <c r="P872" s="105"/>
      <c r="Q872" s="105"/>
      <c r="R872" s="105"/>
      <c r="S872" s="105"/>
      <c r="T872" s="105"/>
      <c r="U872" s="105"/>
      <c r="V872" s="105"/>
      <c r="W872" s="105"/>
      <c r="X872" s="105"/>
      <c r="Y872" s="105"/>
      <c r="Z872" s="105"/>
      <c r="AA872" s="105"/>
      <c r="AB872" s="105"/>
      <c r="AC872" s="105"/>
    </row>
    <row r="873" spans="1:29" ht="12.75">
      <c r="A873" s="34"/>
      <c r="B873" s="34"/>
      <c r="C873" s="34"/>
      <c r="D873" s="34"/>
      <c r="E873" s="188"/>
      <c r="F873" s="34"/>
      <c r="G873" s="34"/>
      <c r="H873" s="34"/>
      <c r="I873" s="34"/>
      <c r="J873" s="34"/>
      <c r="K873" s="105"/>
      <c r="L873" s="34"/>
      <c r="M873" s="34"/>
      <c r="N873" s="34"/>
      <c r="O873" s="105"/>
      <c r="P873" s="105"/>
      <c r="Q873" s="105"/>
      <c r="R873" s="105"/>
      <c r="S873" s="105"/>
      <c r="T873" s="105"/>
      <c r="U873" s="105"/>
      <c r="V873" s="105"/>
      <c r="W873" s="105"/>
      <c r="X873" s="105"/>
      <c r="Y873" s="105"/>
      <c r="Z873" s="105"/>
      <c r="AA873" s="105"/>
      <c r="AB873" s="105"/>
      <c r="AC873" s="105"/>
    </row>
    <row r="874" spans="1:29" ht="12.75">
      <c r="A874" s="34"/>
      <c r="B874" s="34"/>
      <c r="C874" s="34"/>
      <c r="D874" s="34"/>
      <c r="E874" s="188"/>
      <c r="F874" s="34"/>
      <c r="G874" s="34"/>
      <c r="H874" s="34"/>
      <c r="I874" s="34"/>
      <c r="J874" s="34"/>
      <c r="K874" s="105"/>
      <c r="L874" s="34"/>
      <c r="M874" s="34"/>
      <c r="N874" s="34"/>
      <c r="O874" s="105"/>
      <c r="P874" s="105"/>
      <c r="Q874" s="105"/>
      <c r="R874" s="105"/>
      <c r="S874" s="105"/>
      <c r="T874" s="105"/>
      <c r="U874" s="105"/>
      <c r="V874" s="105"/>
      <c r="W874" s="105"/>
      <c r="X874" s="105"/>
      <c r="Y874" s="105"/>
      <c r="Z874" s="105"/>
      <c r="AA874" s="105"/>
      <c r="AB874" s="105"/>
      <c r="AC874" s="105"/>
    </row>
    <row r="875" spans="1:29" ht="12.75">
      <c r="A875" s="34"/>
      <c r="B875" s="34"/>
      <c r="C875" s="34"/>
      <c r="D875" s="34"/>
      <c r="E875" s="188"/>
      <c r="F875" s="34"/>
      <c r="G875" s="34"/>
      <c r="H875" s="34"/>
      <c r="I875" s="34"/>
      <c r="J875" s="34"/>
      <c r="K875" s="105"/>
      <c r="L875" s="34"/>
      <c r="M875" s="34"/>
      <c r="N875" s="34"/>
      <c r="O875" s="105"/>
      <c r="P875" s="105"/>
      <c r="Q875" s="105"/>
      <c r="R875" s="105"/>
      <c r="S875" s="105"/>
      <c r="T875" s="105"/>
      <c r="U875" s="105"/>
      <c r="V875" s="105"/>
      <c r="W875" s="105"/>
      <c r="X875" s="105"/>
      <c r="Y875" s="105"/>
      <c r="Z875" s="105"/>
      <c r="AA875" s="105"/>
      <c r="AB875" s="105"/>
      <c r="AC875" s="105"/>
    </row>
    <row r="876" spans="1:29" ht="12.75">
      <c r="A876" s="34"/>
      <c r="B876" s="34"/>
      <c r="C876" s="34"/>
      <c r="D876" s="34"/>
      <c r="E876" s="188"/>
      <c r="F876" s="34"/>
      <c r="G876" s="34"/>
      <c r="H876" s="34"/>
      <c r="I876" s="34"/>
      <c r="J876" s="34"/>
      <c r="K876" s="105"/>
      <c r="L876" s="34"/>
      <c r="M876" s="34"/>
      <c r="N876" s="34"/>
      <c r="O876" s="105"/>
      <c r="P876" s="105"/>
      <c r="Q876" s="105"/>
      <c r="R876" s="105"/>
      <c r="S876" s="105"/>
      <c r="T876" s="105"/>
      <c r="U876" s="105"/>
      <c r="V876" s="105"/>
      <c r="W876" s="105"/>
      <c r="X876" s="105"/>
      <c r="Y876" s="105"/>
      <c r="Z876" s="105"/>
      <c r="AA876" s="105"/>
      <c r="AB876" s="105"/>
      <c r="AC876" s="105"/>
    </row>
    <row r="877" spans="1:29" ht="12.75">
      <c r="A877" s="34"/>
      <c r="B877" s="34"/>
      <c r="C877" s="34"/>
      <c r="D877" s="34"/>
      <c r="E877" s="188"/>
      <c r="F877" s="34"/>
      <c r="G877" s="34"/>
      <c r="H877" s="34"/>
      <c r="I877" s="34"/>
      <c r="J877" s="34"/>
      <c r="K877" s="105"/>
      <c r="L877" s="34"/>
      <c r="M877" s="34"/>
      <c r="N877" s="34"/>
      <c r="O877" s="105"/>
      <c r="P877" s="105"/>
      <c r="Q877" s="105"/>
      <c r="R877" s="105"/>
      <c r="S877" s="105"/>
      <c r="T877" s="105"/>
      <c r="U877" s="105"/>
      <c r="V877" s="105"/>
      <c r="W877" s="105"/>
      <c r="X877" s="105"/>
      <c r="Y877" s="105"/>
      <c r="Z877" s="105"/>
      <c r="AA877" s="105"/>
      <c r="AB877" s="105"/>
      <c r="AC877" s="105"/>
    </row>
    <row r="878" spans="1:29" ht="12.75">
      <c r="A878" s="34"/>
      <c r="B878" s="34"/>
      <c r="C878" s="34"/>
      <c r="D878" s="34"/>
      <c r="E878" s="188"/>
      <c r="F878" s="34"/>
      <c r="G878" s="34"/>
      <c r="H878" s="34"/>
      <c r="I878" s="34"/>
      <c r="J878" s="34"/>
      <c r="K878" s="105"/>
      <c r="L878" s="34"/>
      <c r="M878" s="34"/>
      <c r="N878" s="34"/>
      <c r="O878" s="105"/>
      <c r="P878" s="105"/>
      <c r="Q878" s="105"/>
      <c r="R878" s="105"/>
      <c r="S878" s="105"/>
      <c r="T878" s="105"/>
      <c r="U878" s="105"/>
      <c r="V878" s="105"/>
      <c r="W878" s="105"/>
      <c r="X878" s="105"/>
      <c r="Y878" s="105"/>
      <c r="Z878" s="105"/>
      <c r="AA878" s="105"/>
      <c r="AB878" s="105"/>
      <c r="AC878" s="105"/>
    </row>
    <row r="879" spans="1:29" ht="12.75">
      <c r="A879" s="34"/>
      <c r="B879" s="34"/>
      <c r="C879" s="34"/>
      <c r="D879" s="34"/>
      <c r="E879" s="188"/>
      <c r="F879" s="34"/>
      <c r="G879" s="34"/>
      <c r="H879" s="34"/>
      <c r="I879" s="34"/>
      <c r="J879" s="34"/>
      <c r="K879" s="105"/>
      <c r="L879" s="34"/>
      <c r="M879" s="34"/>
      <c r="N879" s="34"/>
      <c r="O879" s="105"/>
      <c r="P879" s="105"/>
      <c r="Q879" s="105"/>
      <c r="R879" s="105"/>
      <c r="S879" s="105"/>
      <c r="T879" s="105"/>
      <c r="U879" s="105"/>
      <c r="V879" s="105"/>
      <c r="W879" s="105"/>
      <c r="X879" s="105"/>
      <c r="Y879" s="105"/>
      <c r="Z879" s="105"/>
      <c r="AA879" s="105"/>
      <c r="AB879" s="105"/>
      <c r="AC879" s="105"/>
    </row>
    <row r="880" spans="1:29" ht="12.75">
      <c r="A880" s="34"/>
      <c r="B880" s="34"/>
      <c r="C880" s="34"/>
      <c r="D880" s="34"/>
      <c r="E880" s="188"/>
      <c r="F880" s="34"/>
      <c r="G880" s="34"/>
      <c r="H880" s="34"/>
      <c r="I880" s="34"/>
      <c r="J880" s="34"/>
      <c r="K880" s="105"/>
      <c r="L880" s="34"/>
      <c r="M880" s="34"/>
      <c r="N880" s="34"/>
      <c r="O880" s="105"/>
      <c r="P880" s="105"/>
      <c r="Q880" s="105"/>
      <c r="R880" s="105"/>
      <c r="S880" s="105"/>
      <c r="T880" s="105"/>
      <c r="U880" s="105"/>
      <c r="V880" s="105"/>
      <c r="W880" s="105"/>
      <c r="X880" s="105"/>
      <c r="Y880" s="105"/>
      <c r="Z880" s="105"/>
      <c r="AA880" s="105"/>
      <c r="AB880" s="105"/>
      <c r="AC880" s="105"/>
    </row>
    <row r="881" spans="1:29" ht="12.75">
      <c r="A881" s="34"/>
      <c r="B881" s="34"/>
      <c r="C881" s="34"/>
      <c r="D881" s="34"/>
      <c r="E881" s="188"/>
      <c r="F881" s="34"/>
      <c r="G881" s="34"/>
      <c r="H881" s="34"/>
      <c r="I881" s="34"/>
      <c r="J881" s="34"/>
      <c r="K881" s="105"/>
      <c r="L881" s="34"/>
      <c r="M881" s="34"/>
      <c r="N881" s="34"/>
      <c r="O881" s="105"/>
      <c r="P881" s="105"/>
      <c r="Q881" s="105"/>
      <c r="R881" s="105"/>
      <c r="S881" s="105"/>
      <c r="T881" s="105"/>
      <c r="U881" s="105"/>
      <c r="V881" s="105"/>
      <c r="W881" s="105"/>
      <c r="X881" s="105"/>
      <c r="Y881" s="105"/>
      <c r="Z881" s="105"/>
      <c r="AA881" s="105"/>
      <c r="AB881" s="105"/>
      <c r="AC881" s="105"/>
    </row>
    <row r="882" spans="1:29" ht="12.75">
      <c r="A882" s="34"/>
      <c r="B882" s="34"/>
      <c r="C882" s="34"/>
      <c r="D882" s="34"/>
      <c r="E882" s="188"/>
      <c r="F882" s="34"/>
      <c r="G882" s="34"/>
      <c r="H882" s="34"/>
      <c r="I882" s="34"/>
      <c r="J882" s="34"/>
      <c r="K882" s="105"/>
      <c r="L882" s="34"/>
      <c r="M882" s="34"/>
      <c r="N882" s="34"/>
      <c r="O882" s="105"/>
      <c r="P882" s="105"/>
      <c r="Q882" s="105"/>
      <c r="R882" s="105"/>
      <c r="S882" s="105"/>
      <c r="T882" s="105"/>
      <c r="U882" s="105"/>
      <c r="V882" s="105"/>
      <c r="W882" s="105"/>
      <c r="X882" s="105"/>
      <c r="Y882" s="105"/>
      <c r="Z882" s="105"/>
      <c r="AA882" s="105"/>
      <c r="AB882" s="105"/>
      <c r="AC882" s="105"/>
    </row>
    <row r="883" spans="1:29" ht="12.75">
      <c r="A883" s="34"/>
      <c r="B883" s="34"/>
      <c r="C883" s="34"/>
      <c r="D883" s="34"/>
      <c r="E883" s="188"/>
      <c r="F883" s="34"/>
      <c r="G883" s="34"/>
      <c r="H883" s="34"/>
      <c r="I883" s="34"/>
      <c r="J883" s="34"/>
      <c r="K883" s="105"/>
      <c r="L883" s="34"/>
      <c r="M883" s="34"/>
      <c r="N883" s="34"/>
      <c r="O883" s="105"/>
      <c r="P883" s="105"/>
      <c r="Q883" s="105"/>
      <c r="R883" s="105"/>
      <c r="S883" s="105"/>
      <c r="T883" s="105"/>
      <c r="U883" s="105"/>
      <c r="V883" s="105"/>
      <c r="W883" s="105"/>
      <c r="X883" s="105"/>
      <c r="Y883" s="105"/>
      <c r="Z883" s="105"/>
      <c r="AA883" s="105"/>
      <c r="AB883" s="105"/>
      <c r="AC883" s="105"/>
    </row>
    <row r="884" spans="1:29" ht="12.75">
      <c r="A884" s="34"/>
      <c r="B884" s="34"/>
      <c r="C884" s="34"/>
      <c r="D884" s="34"/>
      <c r="E884" s="188"/>
      <c r="F884" s="34"/>
      <c r="G884" s="34"/>
      <c r="H884" s="34"/>
      <c r="I884" s="34"/>
      <c r="J884" s="34"/>
      <c r="K884" s="105"/>
      <c r="L884" s="34"/>
      <c r="M884" s="34"/>
      <c r="N884" s="34"/>
      <c r="O884" s="105"/>
      <c r="P884" s="105"/>
      <c r="Q884" s="105"/>
      <c r="R884" s="105"/>
      <c r="S884" s="105"/>
      <c r="T884" s="105"/>
      <c r="U884" s="105"/>
      <c r="V884" s="105"/>
      <c r="W884" s="105"/>
      <c r="X884" s="105"/>
      <c r="Y884" s="105"/>
      <c r="Z884" s="105"/>
      <c r="AA884" s="105"/>
      <c r="AB884" s="105"/>
      <c r="AC884" s="105"/>
    </row>
    <row r="885" spans="1:29" ht="12.75">
      <c r="A885" s="34"/>
      <c r="B885" s="34"/>
      <c r="C885" s="34"/>
      <c r="D885" s="34"/>
      <c r="E885" s="188"/>
      <c r="F885" s="34"/>
      <c r="G885" s="34"/>
      <c r="H885" s="34"/>
      <c r="I885" s="34"/>
      <c r="J885" s="34"/>
      <c r="K885" s="105"/>
      <c r="L885" s="34"/>
      <c r="M885" s="34"/>
      <c r="N885" s="34"/>
      <c r="O885" s="105"/>
      <c r="P885" s="105"/>
      <c r="Q885" s="105"/>
      <c r="R885" s="105"/>
      <c r="S885" s="105"/>
      <c r="T885" s="105"/>
      <c r="U885" s="105"/>
      <c r="V885" s="105"/>
      <c r="W885" s="105"/>
      <c r="X885" s="105"/>
      <c r="Y885" s="105"/>
      <c r="Z885" s="105"/>
      <c r="AA885" s="105"/>
      <c r="AB885" s="105"/>
      <c r="AC885" s="105"/>
    </row>
    <row r="886" spans="1:29" ht="12.75">
      <c r="A886" s="34"/>
      <c r="B886" s="34"/>
      <c r="C886" s="34"/>
      <c r="D886" s="34"/>
      <c r="E886" s="188"/>
      <c r="F886" s="34"/>
      <c r="G886" s="34"/>
      <c r="H886" s="34"/>
      <c r="I886" s="34"/>
      <c r="J886" s="34"/>
      <c r="K886" s="105"/>
      <c r="L886" s="34"/>
      <c r="M886" s="34"/>
      <c r="N886" s="34"/>
      <c r="O886" s="105"/>
      <c r="P886" s="105"/>
      <c r="Q886" s="105"/>
      <c r="R886" s="105"/>
      <c r="S886" s="105"/>
      <c r="T886" s="105"/>
      <c r="U886" s="105"/>
      <c r="V886" s="105"/>
      <c r="W886" s="105"/>
      <c r="X886" s="105"/>
      <c r="Y886" s="105"/>
      <c r="Z886" s="105"/>
      <c r="AA886" s="105"/>
      <c r="AB886" s="105"/>
      <c r="AC886" s="105"/>
    </row>
    <row r="887" spans="1:29" ht="12.75">
      <c r="A887" s="34"/>
      <c r="B887" s="34"/>
      <c r="C887" s="34"/>
      <c r="D887" s="34"/>
      <c r="E887" s="188"/>
      <c r="F887" s="34"/>
      <c r="G887" s="34"/>
      <c r="H887" s="34"/>
      <c r="I887" s="34"/>
      <c r="J887" s="34"/>
      <c r="K887" s="105"/>
      <c r="L887" s="34"/>
      <c r="M887" s="34"/>
      <c r="N887" s="34"/>
      <c r="O887" s="105"/>
      <c r="P887" s="105"/>
      <c r="Q887" s="105"/>
      <c r="R887" s="105"/>
      <c r="S887" s="105"/>
      <c r="T887" s="105"/>
      <c r="U887" s="105"/>
      <c r="V887" s="105"/>
      <c r="W887" s="105"/>
      <c r="X887" s="105"/>
      <c r="Y887" s="105"/>
      <c r="Z887" s="105"/>
      <c r="AA887" s="105"/>
      <c r="AB887" s="105"/>
      <c r="AC887" s="105"/>
    </row>
    <row r="888" spans="1:29" ht="12.75">
      <c r="A888" s="34"/>
      <c r="B888" s="34"/>
      <c r="C888" s="34"/>
      <c r="D888" s="34"/>
      <c r="E888" s="188"/>
      <c r="F888" s="34"/>
      <c r="G888" s="34"/>
      <c r="H888" s="34"/>
      <c r="I888" s="34"/>
      <c r="J888" s="34"/>
      <c r="K888" s="105"/>
      <c r="L888" s="34"/>
      <c r="M888" s="34"/>
      <c r="N888" s="34"/>
      <c r="O888" s="105"/>
      <c r="P888" s="105"/>
      <c r="Q888" s="105"/>
      <c r="R888" s="105"/>
      <c r="S888" s="105"/>
      <c r="T888" s="105"/>
      <c r="U888" s="105"/>
      <c r="V888" s="105"/>
      <c r="W888" s="105"/>
      <c r="X888" s="105"/>
      <c r="Y888" s="105"/>
      <c r="Z888" s="105"/>
      <c r="AA888" s="105"/>
      <c r="AB888" s="105"/>
      <c r="AC888" s="105"/>
    </row>
    <row r="889" spans="1:29" ht="12.75">
      <c r="A889" s="34"/>
      <c r="B889" s="34"/>
      <c r="C889" s="34"/>
      <c r="D889" s="34"/>
      <c r="E889" s="188"/>
      <c r="F889" s="34"/>
      <c r="G889" s="34"/>
      <c r="H889" s="34"/>
      <c r="I889" s="34"/>
      <c r="J889" s="34"/>
      <c r="K889" s="105"/>
      <c r="L889" s="34"/>
      <c r="M889" s="34"/>
      <c r="N889" s="34"/>
      <c r="O889" s="105"/>
      <c r="P889" s="105"/>
      <c r="Q889" s="105"/>
      <c r="R889" s="105"/>
      <c r="S889" s="105"/>
      <c r="T889" s="105"/>
      <c r="U889" s="105"/>
      <c r="V889" s="105"/>
      <c r="W889" s="105"/>
      <c r="X889" s="105"/>
      <c r="Y889" s="105"/>
      <c r="Z889" s="105"/>
      <c r="AA889" s="105"/>
      <c r="AB889" s="105"/>
      <c r="AC889" s="105"/>
    </row>
    <row r="890" spans="1:29" ht="12.75">
      <c r="A890" s="34"/>
      <c r="B890" s="34"/>
      <c r="C890" s="34"/>
      <c r="D890" s="34"/>
      <c r="E890" s="188"/>
      <c r="F890" s="34"/>
      <c r="G890" s="34"/>
      <c r="H890" s="34"/>
      <c r="I890" s="34"/>
      <c r="J890" s="34"/>
      <c r="K890" s="105"/>
      <c r="L890" s="34"/>
      <c r="M890" s="34"/>
      <c r="N890" s="34"/>
      <c r="O890" s="105"/>
      <c r="P890" s="105"/>
      <c r="Q890" s="105"/>
      <c r="R890" s="105"/>
      <c r="S890" s="105"/>
      <c r="T890" s="105"/>
      <c r="U890" s="105"/>
      <c r="V890" s="105"/>
      <c r="W890" s="105"/>
      <c r="X890" s="105"/>
      <c r="Y890" s="105"/>
      <c r="Z890" s="105"/>
      <c r="AA890" s="105"/>
      <c r="AB890" s="105"/>
      <c r="AC890" s="105"/>
    </row>
    <row r="891" spans="1:29" ht="12.75">
      <c r="A891" s="34"/>
      <c r="B891" s="34"/>
      <c r="C891" s="34"/>
      <c r="D891" s="34"/>
      <c r="E891" s="188"/>
      <c r="F891" s="34"/>
      <c r="G891" s="34"/>
      <c r="H891" s="34"/>
      <c r="I891" s="34"/>
      <c r="J891" s="34"/>
      <c r="K891" s="105"/>
      <c r="L891" s="34"/>
      <c r="M891" s="34"/>
      <c r="N891" s="34"/>
      <c r="O891" s="105"/>
      <c r="P891" s="105"/>
      <c r="Q891" s="105"/>
      <c r="R891" s="105"/>
      <c r="S891" s="105"/>
      <c r="T891" s="105"/>
      <c r="U891" s="105"/>
      <c r="V891" s="105"/>
      <c r="W891" s="105"/>
      <c r="X891" s="105"/>
      <c r="Y891" s="105"/>
      <c r="Z891" s="105"/>
      <c r="AA891" s="105"/>
      <c r="AB891" s="105"/>
      <c r="AC891" s="105"/>
    </row>
    <row r="892" spans="1:29" ht="12.75">
      <c r="A892" s="34"/>
      <c r="B892" s="34"/>
      <c r="C892" s="34"/>
      <c r="D892" s="34"/>
      <c r="E892" s="188"/>
      <c r="F892" s="34"/>
      <c r="G892" s="34"/>
      <c r="H892" s="34"/>
      <c r="I892" s="34"/>
      <c r="J892" s="34"/>
      <c r="K892" s="105"/>
      <c r="L892" s="34"/>
      <c r="M892" s="34"/>
      <c r="N892" s="34"/>
      <c r="O892" s="105"/>
      <c r="P892" s="105"/>
      <c r="Q892" s="105"/>
      <c r="R892" s="105"/>
      <c r="S892" s="105"/>
      <c r="T892" s="105"/>
      <c r="U892" s="105"/>
      <c r="V892" s="105"/>
      <c r="W892" s="105"/>
      <c r="X892" s="105"/>
      <c r="Y892" s="105"/>
      <c r="Z892" s="105"/>
      <c r="AA892" s="105"/>
      <c r="AB892" s="105"/>
      <c r="AC892" s="105"/>
    </row>
    <row r="893" spans="1:29" ht="12.75">
      <c r="A893" s="34"/>
      <c r="B893" s="34"/>
      <c r="C893" s="34"/>
      <c r="D893" s="34"/>
      <c r="E893" s="188"/>
      <c r="F893" s="34"/>
      <c r="G893" s="34"/>
      <c r="H893" s="34"/>
      <c r="I893" s="34"/>
      <c r="J893" s="34"/>
      <c r="K893" s="105"/>
      <c r="L893" s="34"/>
      <c r="M893" s="34"/>
      <c r="N893" s="34"/>
      <c r="O893" s="105"/>
      <c r="P893" s="105"/>
      <c r="Q893" s="105"/>
      <c r="R893" s="105"/>
      <c r="S893" s="105"/>
      <c r="T893" s="105"/>
      <c r="U893" s="105"/>
      <c r="V893" s="105"/>
      <c r="W893" s="105"/>
      <c r="X893" s="105"/>
      <c r="Y893" s="105"/>
      <c r="Z893" s="105"/>
      <c r="AA893" s="105"/>
      <c r="AB893" s="105"/>
      <c r="AC893" s="105"/>
    </row>
    <row r="894" spans="1:29" ht="12.75">
      <c r="A894" s="34"/>
      <c r="B894" s="34"/>
      <c r="C894" s="34"/>
      <c r="D894" s="34"/>
      <c r="E894" s="188"/>
      <c r="F894" s="34"/>
      <c r="G894" s="34"/>
      <c r="H894" s="34"/>
      <c r="I894" s="34"/>
      <c r="J894" s="34"/>
      <c r="K894" s="105"/>
      <c r="L894" s="34"/>
      <c r="M894" s="34"/>
      <c r="N894" s="34"/>
      <c r="O894" s="105"/>
      <c r="P894" s="105"/>
      <c r="Q894" s="105"/>
      <c r="R894" s="105"/>
      <c r="S894" s="105"/>
      <c r="T894" s="105"/>
      <c r="U894" s="105"/>
      <c r="V894" s="105"/>
      <c r="W894" s="105"/>
      <c r="X894" s="105"/>
      <c r="Y894" s="105"/>
      <c r="Z894" s="105"/>
      <c r="AA894" s="105"/>
      <c r="AB894" s="105"/>
      <c r="AC894" s="105"/>
    </row>
    <row r="895" spans="1:29" ht="12.75">
      <c r="A895" s="34"/>
      <c r="B895" s="34"/>
      <c r="C895" s="34"/>
      <c r="D895" s="34"/>
      <c r="E895" s="188"/>
      <c r="F895" s="34"/>
      <c r="G895" s="34"/>
      <c r="H895" s="34"/>
      <c r="I895" s="34"/>
      <c r="J895" s="34"/>
      <c r="K895" s="105"/>
      <c r="L895" s="34"/>
      <c r="M895" s="34"/>
      <c r="N895" s="34"/>
      <c r="O895" s="105"/>
      <c r="P895" s="105"/>
      <c r="Q895" s="105"/>
      <c r="R895" s="105"/>
      <c r="S895" s="105"/>
      <c r="T895" s="105"/>
      <c r="U895" s="105"/>
      <c r="V895" s="105"/>
      <c r="W895" s="105"/>
      <c r="X895" s="105"/>
      <c r="Y895" s="105"/>
      <c r="Z895" s="105"/>
      <c r="AA895" s="105"/>
      <c r="AB895" s="105"/>
      <c r="AC895" s="105"/>
    </row>
    <row r="896" spans="1:29" ht="12.75">
      <c r="A896" s="34"/>
      <c r="B896" s="34"/>
      <c r="C896" s="34"/>
      <c r="D896" s="34"/>
      <c r="E896" s="188"/>
      <c r="F896" s="34"/>
      <c r="G896" s="34"/>
      <c r="H896" s="34"/>
      <c r="I896" s="34"/>
      <c r="J896" s="34"/>
      <c r="K896" s="105"/>
      <c r="L896" s="34"/>
      <c r="M896" s="34"/>
      <c r="N896" s="34"/>
      <c r="O896" s="105"/>
      <c r="P896" s="105"/>
      <c r="Q896" s="105"/>
      <c r="R896" s="105"/>
      <c r="S896" s="105"/>
      <c r="T896" s="105"/>
      <c r="U896" s="105"/>
      <c r="V896" s="105"/>
      <c r="W896" s="105"/>
      <c r="X896" s="105"/>
      <c r="Y896" s="105"/>
      <c r="Z896" s="105"/>
      <c r="AA896" s="105"/>
      <c r="AB896" s="105"/>
      <c r="AC896" s="105"/>
    </row>
    <row r="897" spans="1:29" ht="12.75">
      <c r="A897" s="34"/>
      <c r="B897" s="34"/>
      <c r="C897" s="34"/>
      <c r="D897" s="34"/>
      <c r="E897" s="188"/>
      <c r="F897" s="34"/>
      <c r="G897" s="34"/>
      <c r="H897" s="34"/>
      <c r="I897" s="34"/>
      <c r="J897" s="34"/>
      <c r="K897" s="105"/>
      <c r="L897" s="34"/>
      <c r="M897" s="34"/>
      <c r="N897" s="34"/>
      <c r="O897" s="105"/>
      <c r="P897" s="105"/>
      <c r="Q897" s="105"/>
      <c r="R897" s="105"/>
      <c r="S897" s="105"/>
      <c r="T897" s="105"/>
      <c r="U897" s="105"/>
      <c r="V897" s="105"/>
      <c r="W897" s="105"/>
      <c r="X897" s="105"/>
      <c r="Y897" s="105"/>
      <c r="Z897" s="105"/>
      <c r="AA897" s="105"/>
      <c r="AB897" s="105"/>
      <c r="AC897" s="105"/>
    </row>
    <row r="898" spans="1:29" ht="12.75">
      <c r="A898" s="34"/>
      <c r="B898" s="34"/>
      <c r="C898" s="34"/>
      <c r="D898" s="34"/>
      <c r="E898" s="188"/>
      <c r="F898" s="34"/>
      <c r="G898" s="34"/>
      <c r="H898" s="34"/>
      <c r="I898" s="34"/>
      <c r="J898" s="34"/>
      <c r="K898" s="105"/>
      <c r="L898" s="34"/>
      <c r="M898" s="34"/>
      <c r="N898" s="34"/>
      <c r="O898" s="105"/>
      <c r="P898" s="105"/>
      <c r="Q898" s="105"/>
      <c r="R898" s="105"/>
      <c r="S898" s="105"/>
      <c r="T898" s="105"/>
      <c r="U898" s="105"/>
      <c r="V898" s="105"/>
      <c r="W898" s="105"/>
      <c r="X898" s="105"/>
      <c r="Y898" s="105"/>
      <c r="Z898" s="105"/>
      <c r="AA898" s="105"/>
      <c r="AB898" s="105"/>
      <c r="AC898" s="105"/>
    </row>
    <row r="899" spans="1:29" ht="12.75">
      <c r="A899" s="34"/>
      <c r="B899" s="34"/>
      <c r="C899" s="34"/>
      <c r="D899" s="34"/>
      <c r="E899" s="188"/>
      <c r="F899" s="34"/>
      <c r="G899" s="34"/>
      <c r="H899" s="34"/>
      <c r="I899" s="34"/>
      <c r="J899" s="34"/>
      <c r="K899" s="105"/>
      <c r="L899" s="34"/>
      <c r="M899" s="34"/>
      <c r="N899" s="34"/>
      <c r="O899" s="105"/>
      <c r="P899" s="105"/>
      <c r="Q899" s="105"/>
      <c r="R899" s="105"/>
      <c r="S899" s="105"/>
      <c r="T899" s="105"/>
      <c r="U899" s="105"/>
      <c r="V899" s="105"/>
      <c r="W899" s="105"/>
      <c r="X899" s="105"/>
      <c r="Y899" s="105"/>
      <c r="Z899" s="105"/>
      <c r="AA899" s="105"/>
      <c r="AB899" s="105"/>
      <c r="AC899" s="105"/>
    </row>
    <row r="900" spans="1:29" ht="12.75">
      <c r="A900" s="34"/>
      <c r="B900" s="34"/>
      <c r="C900" s="34"/>
      <c r="D900" s="34"/>
      <c r="E900" s="188"/>
      <c r="F900" s="34"/>
      <c r="G900" s="34"/>
      <c r="H900" s="34"/>
      <c r="I900" s="34"/>
      <c r="J900" s="34"/>
      <c r="K900" s="105"/>
      <c r="L900" s="34"/>
      <c r="M900" s="34"/>
      <c r="N900" s="34"/>
      <c r="O900" s="105"/>
      <c r="P900" s="105"/>
      <c r="Q900" s="105"/>
      <c r="R900" s="105"/>
      <c r="S900" s="105"/>
      <c r="T900" s="105"/>
      <c r="U900" s="105"/>
      <c r="V900" s="105"/>
      <c r="W900" s="105"/>
      <c r="X900" s="105"/>
      <c r="Y900" s="105"/>
      <c r="Z900" s="105"/>
      <c r="AA900" s="105"/>
      <c r="AB900" s="105"/>
      <c r="AC900" s="105"/>
    </row>
    <row r="901" spans="1:29" ht="12.75">
      <c r="A901" s="34"/>
      <c r="B901" s="34"/>
      <c r="C901" s="34"/>
      <c r="D901" s="34"/>
      <c r="E901" s="188"/>
      <c r="F901" s="34"/>
      <c r="G901" s="34"/>
      <c r="H901" s="34"/>
      <c r="I901" s="34"/>
      <c r="J901" s="34"/>
      <c r="K901" s="105"/>
      <c r="L901" s="34"/>
      <c r="M901" s="34"/>
      <c r="N901" s="34"/>
      <c r="O901" s="105"/>
      <c r="P901" s="105"/>
      <c r="Q901" s="105"/>
      <c r="R901" s="105"/>
      <c r="S901" s="105"/>
      <c r="T901" s="105"/>
      <c r="U901" s="105"/>
      <c r="V901" s="105"/>
      <c r="W901" s="105"/>
      <c r="X901" s="105"/>
      <c r="Y901" s="105"/>
      <c r="Z901" s="105"/>
      <c r="AA901" s="105"/>
      <c r="AB901" s="105"/>
      <c r="AC901" s="105"/>
    </row>
    <row r="902" spans="1:29" ht="12.75">
      <c r="A902" s="34"/>
      <c r="B902" s="34"/>
      <c r="C902" s="34"/>
      <c r="D902" s="34"/>
      <c r="E902" s="188"/>
      <c r="F902" s="34"/>
      <c r="G902" s="34"/>
      <c r="H902" s="34"/>
      <c r="I902" s="34"/>
      <c r="J902" s="34"/>
      <c r="K902" s="105"/>
      <c r="L902" s="34"/>
      <c r="M902" s="34"/>
      <c r="N902" s="34"/>
      <c r="O902" s="105"/>
      <c r="P902" s="105"/>
      <c r="Q902" s="105"/>
      <c r="R902" s="105"/>
      <c r="S902" s="105"/>
      <c r="T902" s="105"/>
      <c r="U902" s="105"/>
      <c r="V902" s="105"/>
      <c r="W902" s="105"/>
      <c r="X902" s="105"/>
      <c r="Y902" s="105"/>
      <c r="Z902" s="105"/>
      <c r="AA902" s="105"/>
      <c r="AB902" s="105"/>
      <c r="AC902" s="105"/>
    </row>
    <row r="903" spans="1:29" ht="12.75">
      <c r="A903" s="34"/>
      <c r="B903" s="34"/>
      <c r="C903" s="34"/>
      <c r="D903" s="34"/>
      <c r="E903" s="188"/>
      <c r="F903" s="34"/>
      <c r="G903" s="34"/>
      <c r="H903" s="34"/>
      <c r="I903" s="34"/>
      <c r="J903" s="34"/>
      <c r="K903" s="105"/>
      <c r="L903" s="34"/>
      <c r="M903" s="34"/>
      <c r="N903" s="34"/>
      <c r="O903" s="105"/>
      <c r="P903" s="105"/>
      <c r="Q903" s="105"/>
      <c r="R903" s="105"/>
      <c r="S903" s="105"/>
      <c r="T903" s="105"/>
      <c r="U903" s="105"/>
      <c r="V903" s="105"/>
      <c r="W903" s="105"/>
      <c r="X903" s="105"/>
      <c r="Y903" s="105"/>
      <c r="Z903" s="105"/>
      <c r="AA903" s="105"/>
      <c r="AB903" s="105"/>
      <c r="AC903" s="105"/>
    </row>
    <row r="904" spans="1:29" ht="12.75">
      <c r="A904" s="34"/>
      <c r="B904" s="34"/>
      <c r="C904" s="34"/>
      <c r="D904" s="34"/>
      <c r="E904" s="188"/>
      <c r="F904" s="34"/>
      <c r="G904" s="34"/>
      <c r="H904" s="34"/>
      <c r="I904" s="34"/>
      <c r="J904" s="34"/>
      <c r="K904" s="105"/>
      <c r="L904" s="34"/>
      <c r="M904" s="34"/>
      <c r="N904" s="34"/>
      <c r="O904" s="105"/>
      <c r="P904" s="105"/>
      <c r="Q904" s="105"/>
      <c r="R904" s="105"/>
      <c r="S904" s="105"/>
      <c r="T904" s="105"/>
      <c r="U904" s="105"/>
      <c r="V904" s="105"/>
      <c r="W904" s="105"/>
      <c r="X904" s="105"/>
      <c r="Y904" s="105"/>
      <c r="Z904" s="105"/>
      <c r="AA904" s="105"/>
      <c r="AB904" s="105"/>
      <c r="AC904" s="105"/>
    </row>
    <row r="905" spans="1:29" ht="12.75">
      <c r="A905" s="34"/>
      <c r="B905" s="34"/>
      <c r="C905" s="34"/>
      <c r="D905" s="34"/>
      <c r="E905" s="188"/>
      <c r="F905" s="34"/>
      <c r="G905" s="34"/>
      <c r="H905" s="34"/>
      <c r="I905" s="34"/>
      <c r="J905" s="34"/>
      <c r="K905" s="105"/>
      <c r="L905" s="34"/>
      <c r="M905" s="34"/>
      <c r="N905" s="34"/>
      <c r="O905" s="105"/>
      <c r="P905" s="105"/>
      <c r="Q905" s="105"/>
      <c r="R905" s="105"/>
      <c r="S905" s="105"/>
      <c r="T905" s="105"/>
      <c r="U905" s="105"/>
      <c r="V905" s="105"/>
      <c r="W905" s="105"/>
      <c r="X905" s="105"/>
      <c r="Y905" s="105"/>
      <c r="Z905" s="105"/>
      <c r="AA905" s="105"/>
      <c r="AB905" s="105"/>
      <c r="AC905" s="105"/>
    </row>
    <row r="906" spans="1:29" ht="12.75">
      <c r="A906" s="34"/>
      <c r="B906" s="34"/>
      <c r="C906" s="34"/>
      <c r="D906" s="34"/>
      <c r="E906" s="188"/>
      <c r="F906" s="34"/>
      <c r="G906" s="34"/>
      <c r="H906" s="34"/>
      <c r="I906" s="34"/>
      <c r="J906" s="34"/>
      <c r="K906" s="105"/>
      <c r="L906" s="34"/>
      <c r="M906" s="34"/>
      <c r="N906" s="34"/>
      <c r="O906" s="105"/>
      <c r="P906" s="105"/>
      <c r="Q906" s="105"/>
      <c r="R906" s="105"/>
      <c r="S906" s="105"/>
      <c r="T906" s="105"/>
      <c r="U906" s="105"/>
      <c r="V906" s="105"/>
      <c r="W906" s="105"/>
      <c r="X906" s="105"/>
      <c r="Y906" s="105"/>
      <c r="Z906" s="105"/>
      <c r="AA906" s="105"/>
      <c r="AB906" s="105"/>
      <c r="AC906" s="105"/>
    </row>
    <row r="907" spans="1:29" ht="12.75">
      <c r="A907" s="34"/>
      <c r="B907" s="34"/>
      <c r="C907" s="34"/>
      <c r="D907" s="34"/>
      <c r="E907" s="188"/>
      <c r="F907" s="34"/>
      <c r="G907" s="34"/>
      <c r="H907" s="34"/>
      <c r="I907" s="34"/>
      <c r="J907" s="34"/>
      <c r="K907" s="105"/>
      <c r="L907" s="34"/>
      <c r="M907" s="34"/>
      <c r="N907" s="34"/>
      <c r="O907" s="105"/>
      <c r="P907" s="105"/>
      <c r="Q907" s="105"/>
      <c r="R907" s="105"/>
      <c r="S907" s="105"/>
      <c r="T907" s="105"/>
      <c r="U907" s="105"/>
      <c r="V907" s="105"/>
      <c r="W907" s="105"/>
      <c r="X907" s="105"/>
      <c r="Y907" s="105"/>
      <c r="Z907" s="105"/>
      <c r="AA907" s="105"/>
      <c r="AB907" s="105"/>
      <c r="AC907" s="105"/>
    </row>
    <row r="908" spans="1:29" ht="12.75">
      <c r="A908" s="34"/>
      <c r="B908" s="34"/>
      <c r="C908" s="34"/>
      <c r="D908" s="34"/>
      <c r="E908" s="188"/>
      <c r="F908" s="34"/>
      <c r="G908" s="34"/>
      <c r="H908" s="34"/>
      <c r="I908" s="34"/>
      <c r="J908" s="34"/>
      <c r="K908" s="105"/>
      <c r="L908" s="34"/>
      <c r="M908" s="34"/>
      <c r="N908" s="34"/>
      <c r="O908" s="105"/>
      <c r="P908" s="105"/>
      <c r="Q908" s="105"/>
      <c r="R908" s="105"/>
      <c r="S908" s="105"/>
      <c r="T908" s="105"/>
      <c r="U908" s="105"/>
      <c r="V908" s="105"/>
      <c r="W908" s="105"/>
      <c r="X908" s="105"/>
      <c r="Y908" s="105"/>
      <c r="Z908" s="105"/>
      <c r="AA908" s="105"/>
      <c r="AB908" s="105"/>
      <c r="AC908" s="105"/>
    </row>
    <row r="909" spans="1:29" ht="12.75">
      <c r="A909" s="34"/>
      <c r="B909" s="34"/>
      <c r="C909" s="34"/>
      <c r="D909" s="34"/>
      <c r="E909" s="188"/>
      <c r="F909" s="34"/>
      <c r="G909" s="34"/>
      <c r="H909" s="34"/>
      <c r="I909" s="34"/>
      <c r="J909" s="34"/>
      <c r="K909" s="105"/>
      <c r="L909" s="34"/>
      <c r="M909" s="34"/>
      <c r="N909" s="34"/>
      <c r="O909" s="105"/>
      <c r="P909" s="105"/>
      <c r="Q909" s="105"/>
      <c r="R909" s="105"/>
      <c r="S909" s="105"/>
      <c r="T909" s="105"/>
      <c r="U909" s="105"/>
      <c r="V909" s="105"/>
      <c r="W909" s="105"/>
      <c r="X909" s="105"/>
      <c r="Y909" s="105"/>
      <c r="Z909" s="105"/>
      <c r="AA909" s="105"/>
      <c r="AB909" s="105"/>
      <c r="AC909" s="105"/>
    </row>
    <row r="910" spans="1:29" ht="12.75">
      <c r="A910" s="34"/>
      <c r="B910" s="34"/>
      <c r="C910" s="34"/>
      <c r="D910" s="34"/>
      <c r="E910" s="188"/>
      <c r="F910" s="34"/>
      <c r="G910" s="34"/>
      <c r="H910" s="34"/>
      <c r="I910" s="34"/>
      <c r="J910" s="34"/>
      <c r="K910" s="105"/>
      <c r="L910" s="34"/>
      <c r="M910" s="34"/>
      <c r="N910" s="34"/>
      <c r="O910" s="105"/>
      <c r="P910" s="105"/>
      <c r="Q910" s="105"/>
      <c r="R910" s="105"/>
      <c r="S910" s="105"/>
      <c r="T910" s="105"/>
      <c r="U910" s="105"/>
      <c r="V910" s="105"/>
      <c r="W910" s="105"/>
      <c r="X910" s="105"/>
      <c r="Y910" s="105"/>
      <c r="Z910" s="105"/>
      <c r="AA910" s="105"/>
      <c r="AB910" s="105"/>
      <c r="AC910" s="105"/>
    </row>
    <row r="911" spans="1:29" ht="12.75">
      <c r="A911" s="34"/>
      <c r="B911" s="34"/>
      <c r="C911" s="34"/>
      <c r="D911" s="34"/>
      <c r="E911" s="188"/>
      <c r="F911" s="34"/>
      <c r="G911" s="34"/>
      <c r="H911" s="34"/>
      <c r="I911" s="34"/>
      <c r="J911" s="34"/>
      <c r="K911" s="105"/>
      <c r="L911" s="34"/>
      <c r="M911" s="34"/>
      <c r="N911" s="34"/>
      <c r="O911" s="105"/>
      <c r="P911" s="105"/>
      <c r="Q911" s="105"/>
      <c r="R911" s="105"/>
      <c r="S911" s="105"/>
      <c r="T911" s="105"/>
      <c r="U911" s="105"/>
      <c r="V911" s="105"/>
      <c r="W911" s="105"/>
      <c r="X911" s="105"/>
      <c r="Y911" s="105"/>
      <c r="Z911" s="105"/>
      <c r="AA911" s="105"/>
      <c r="AB911" s="105"/>
      <c r="AC911" s="105"/>
    </row>
    <row r="912" spans="1:29" ht="12.75">
      <c r="A912" s="34"/>
      <c r="B912" s="34"/>
      <c r="C912" s="34"/>
      <c r="D912" s="34"/>
      <c r="E912" s="188"/>
      <c r="F912" s="34"/>
      <c r="G912" s="34"/>
      <c r="H912" s="34"/>
      <c r="I912" s="34"/>
      <c r="J912" s="34"/>
      <c r="K912" s="105"/>
      <c r="L912" s="34"/>
      <c r="M912" s="34"/>
      <c r="N912" s="34"/>
      <c r="O912" s="105"/>
      <c r="P912" s="105"/>
      <c r="Q912" s="105"/>
      <c r="R912" s="105"/>
      <c r="S912" s="105"/>
      <c r="T912" s="105"/>
      <c r="U912" s="105"/>
      <c r="V912" s="105"/>
      <c r="W912" s="105"/>
      <c r="X912" s="105"/>
      <c r="Y912" s="105"/>
      <c r="Z912" s="105"/>
      <c r="AA912" s="105"/>
      <c r="AB912" s="105"/>
      <c r="AC912" s="105"/>
    </row>
    <row r="913" spans="1:29" ht="12.75">
      <c r="A913" s="34"/>
      <c r="B913" s="34"/>
      <c r="C913" s="34"/>
      <c r="D913" s="34"/>
      <c r="E913" s="188"/>
      <c r="F913" s="34"/>
      <c r="G913" s="34"/>
      <c r="H913" s="34"/>
      <c r="I913" s="34"/>
      <c r="J913" s="34"/>
      <c r="K913" s="105"/>
      <c r="L913" s="34"/>
      <c r="M913" s="34"/>
      <c r="N913" s="34"/>
      <c r="O913" s="105"/>
      <c r="P913" s="105"/>
      <c r="Q913" s="105"/>
      <c r="R913" s="105"/>
      <c r="S913" s="105"/>
      <c r="T913" s="105"/>
      <c r="U913" s="105"/>
      <c r="V913" s="105"/>
      <c r="W913" s="105"/>
      <c r="X913" s="105"/>
      <c r="Y913" s="105"/>
      <c r="Z913" s="105"/>
      <c r="AA913" s="105"/>
      <c r="AB913" s="105"/>
      <c r="AC913" s="105"/>
    </row>
    <row r="914" spans="1:29" ht="12.75">
      <c r="A914" s="34"/>
      <c r="B914" s="34"/>
      <c r="C914" s="34"/>
      <c r="D914" s="34"/>
      <c r="E914" s="188"/>
      <c r="F914" s="34"/>
      <c r="G914" s="34"/>
      <c r="H914" s="34"/>
      <c r="I914" s="34"/>
      <c r="J914" s="34"/>
      <c r="K914" s="105"/>
      <c r="L914" s="34"/>
      <c r="M914" s="34"/>
      <c r="N914" s="34"/>
      <c r="O914" s="105"/>
      <c r="P914" s="105"/>
      <c r="Q914" s="105"/>
      <c r="R914" s="105"/>
      <c r="S914" s="105"/>
      <c r="T914" s="105"/>
      <c r="U914" s="105"/>
      <c r="V914" s="105"/>
      <c r="W914" s="105"/>
      <c r="X914" s="105"/>
      <c r="Y914" s="105"/>
      <c r="Z914" s="105"/>
      <c r="AA914" s="105"/>
      <c r="AB914" s="105"/>
      <c r="AC914" s="105"/>
    </row>
    <row r="915" spans="1:29" ht="12.75">
      <c r="A915" s="34"/>
      <c r="B915" s="34"/>
      <c r="C915" s="34"/>
      <c r="D915" s="34"/>
      <c r="E915" s="188"/>
      <c r="F915" s="34"/>
      <c r="G915" s="34"/>
      <c r="H915" s="34"/>
      <c r="I915" s="34"/>
      <c r="J915" s="34"/>
      <c r="K915" s="105"/>
      <c r="L915" s="34"/>
      <c r="M915" s="34"/>
      <c r="N915" s="34"/>
      <c r="O915" s="105"/>
      <c r="P915" s="105"/>
      <c r="Q915" s="105"/>
      <c r="R915" s="105"/>
      <c r="S915" s="105"/>
      <c r="T915" s="105"/>
      <c r="U915" s="105"/>
      <c r="V915" s="105"/>
      <c r="W915" s="105"/>
      <c r="X915" s="105"/>
      <c r="Y915" s="105"/>
      <c r="Z915" s="105"/>
      <c r="AA915" s="105"/>
      <c r="AB915" s="105"/>
      <c r="AC915" s="105"/>
    </row>
    <row r="916" spans="1:29" ht="12.75">
      <c r="A916" s="34"/>
      <c r="B916" s="34"/>
      <c r="C916" s="34"/>
      <c r="D916" s="34"/>
      <c r="E916" s="188"/>
      <c r="F916" s="34"/>
      <c r="G916" s="34"/>
      <c r="H916" s="34"/>
      <c r="I916" s="34"/>
      <c r="J916" s="34"/>
      <c r="K916" s="105"/>
      <c r="L916" s="34"/>
      <c r="M916" s="34"/>
      <c r="N916" s="34"/>
      <c r="O916" s="105"/>
      <c r="P916" s="105"/>
      <c r="Q916" s="105"/>
      <c r="R916" s="105"/>
      <c r="S916" s="105"/>
      <c r="T916" s="105"/>
      <c r="U916" s="105"/>
      <c r="V916" s="105"/>
      <c r="W916" s="105"/>
      <c r="X916" s="105"/>
      <c r="Y916" s="105"/>
      <c r="Z916" s="105"/>
      <c r="AA916" s="105"/>
      <c r="AB916" s="105"/>
      <c r="AC916" s="105"/>
    </row>
    <row r="917" spans="1:29" ht="12.75">
      <c r="A917" s="34"/>
      <c r="B917" s="34"/>
      <c r="C917" s="34"/>
      <c r="D917" s="34"/>
      <c r="E917" s="188"/>
      <c r="F917" s="34"/>
      <c r="G917" s="34"/>
      <c r="H917" s="34"/>
      <c r="I917" s="34"/>
      <c r="J917" s="34"/>
      <c r="K917" s="105"/>
      <c r="L917" s="34"/>
      <c r="M917" s="34"/>
      <c r="N917" s="34"/>
      <c r="O917" s="105"/>
      <c r="P917" s="105"/>
      <c r="Q917" s="105"/>
      <c r="R917" s="105"/>
      <c r="S917" s="105"/>
      <c r="T917" s="105"/>
      <c r="U917" s="105"/>
      <c r="V917" s="105"/>
      <c r="W917" s="105"/>
      <c r="X917" s="105"/>
      <c r="Y917" s="105"/>
      <c r="Z917" s="105"/>
      <c r="AA917" s="105"/>
      <c r="AB917" s="105"/>
      <c r="AC917" s="105"/>
    </row>
    <row r="918" spans="1:29" ht="12.75">
      <c r="A918" s="34"/>
      <c r="B918" s="34"/>
      <c r="C918" s="34"/>
      <c r="D918" s="34"/>
      <c r="E918" s="188"/>
      <c r="F918" s="34"/>
      <c r="G918" s="34"/>
      <c r="H918" s="34"/>
      <c r="I918" s="34"/>
      <c r="J918" s="34"/>
      <c r="K918" s="105"/>
      <c r="L918" s="34"/>
      <c r="M918" s="34"/>
      <c r="N918" s="34"/>
      <c r="O918" s="105"/>
      <c r="P918" s="105"/>
      <c r="Q918" s="105"/>
      <c r="R918" s="105"/>
      <c r="S918" s="105"/>
      <c r="T918" s="105"/>
      <c r="U918" s="105"/>
      <c r="V918" s="105"/>
      <c r="W918" s="105"/>
      <c r="X918" s="105"/>
      <c r="Y918" s="105"/>
      <c r="Z918" s="105"/>
      <c r="AA918" s="105"/>
      <c r="AB918" s="105"/>
      <c r="AC918" s="105"/>
    </row>
    <row r="919" spans="1:29" ht="12.75">
      <c r="A919" s="34"/>
      <c r="B919" s="34"/>
      <c r="C919" s="34"/>
      <c r="D919" s="34"/>
      <c r="E919" s="188"/>
      <c r="F919" s="34"/>
      <c r="G919" s="34"/>
      <c r="H919" s="34"/>
      <c r="I919" s="34"/>
      <c r="J919" s="34"/>
      <c r="K919" s="105"/>
      <c r="L919" s="34"/>
      <c r="M919" s="34"/>
      <c r="N919" s="34"/>
      <c r="O919" s="105"/>
      <c r="P919" s="105"/>
      <c r="Q919" s="105"/>
      <c r="R919" s="105"/>
      <c r="S919" s="105"/>
      <c r="T919" s="105"/>
      <c r="U919" s="105"/>
      <c r="V919" s="105"/>
      <c r="W919" s="105"/>
      <c r="X919" s="105"/>
      <c r="Y919" s="105"/>
      <c r="Z919" s="105"/>
      <c r="AA919" s="105"/>
      <c r="AB919" s="105"/>
      <c r="AC919" s="105"/>
    </row>
    <row r="920" spans="1:29" ht="12.75">
      <c r="A920" s="34"/>
      <c r="B920" s="34"/>
      <c r="C920" s="34"/>
      <c r="D920" s="34"/>
      <c r="E920" s="188"/>
      <c r="F920" s="34"/>
      <c r="G920" s="34"/>
      <c r="H920" s="34"/>
      <c r="I920" s="34"/>
      <c r="J920" s="34"/>
      <c r="K920" s="105"/>
      <c r="L920" s="34"/>
      <c r="M920" s="34"/>
      <c r="N920" s="34"/>
      <c r="O920" s="105"/>
      <c r="P920" s="105"/>
      <c r="Q920" s="105"/>
      <c r="R920" s="105"/>
      <c r="S920" s="105"/>
      <c r="T920" s="105"/>
      <c r="U920" s="105"/>
      <c r="V920" s="105"/>
      <c r="W920" s="105"/>
      <c r="X920" s="105"/>
      <c r="Y920" s="105"/>
      <c r="Z920" s="105"/>
      <c r="AA920" s="105"/>
      <c r="AB920" s="105"/>
      <c r="AC920" s="105"/>
    </row>
    <row r="921" spans="1:29" ht="12.75">
      <c r="A921" s="34"/>
      <c r="B921" s="34"/>
      <c r="C921" s="34"/>
      <c r="D921" s="34"/>
      <c r="E921" s="188"/>
      <c r="F921" s="34"/>
      <c r="G921" s="34"/>
      <c r="H921" s="34"/>
      <c r="I921" s="34"/>
      <c r="J921" s="34"/>
      <c r="K921" s="105"/>
      <c r="L921" s="34"/>
      <c r="M921" s="34"/>
      <c r="N921" s="34"/>
      <c r="O921" s="105"/>
      <c r="P921" s="105"/>
      <c r="Q921" s="105"/>
      <c r="R921" s="105"/>
      <c r="S921" s="105"/>
      <c r="T921" s="105"/>
      <c r="U921" s="105"/>
      <c r="V921" s="105"/>
      <c r="W921" s="105"/>
      <c r="X921" s="105"/>
      <c r="Y921" s="105"/>
      <c r="Z921" s="105"/>
      <c r="AA921" s="105"/>
      <c r="AB921" s="105"/>
      <c r="AC921" s="105"/>
    </row>
    <row r="922" spans="1:29" ht="12.75">
      <c r="A922" s="34"/>
      <c r="B922" s="34"/>
      <c r="C922" s="34"/>
      <c r="D922" s="34"/>
      <c r="E922" s="188"/>
      <c r="F922" s="34"/>
      <c r="G922" s="34"/>
      <c r="H922" s="34"/>
      <c r="I922" s="34"/>
      <c r="J922" s="34"/>
      <c r="K922" s="105"/>
      <c r="L922" s="34"/>
      <c r="M922" s="34"/>
      <c r="N922" s="34"/>
      <c r="O922" s="105"/>
      <c r="P922" s="105"/>
      <c r="Q922" s="105"/>
      <c r="R922" s="105"/>
      <c r="S922" s="105"/>
      <c r="T922" s="105"/>
      <c r="U922" s="105"/>
      <c r="V922" s="105"/>
      <c r="W922" s="105"/>
      <c r="X922" s="105"/>
      <c r="Y922" s="105"/>
      <c r="Z922" s="105"/>
      <c r="AA922" s="105"/>
      <c r="AB922" s="105"/>
      <c r="AC922" s="105"/>
    </row>
    <row r="923" spans="1:29" ht="12.75">
      <c r="A923" s="34"/>
      <c r="B923" s="34"/>
      <c r="C923" s="34"/>
      <c r="D923" s="34"/>
      <c r="E923" s="188"/>
      <c r="F923" s="34"/>
      <c r="G923" s="34"/>
      <c r="H923" s="34"/>
      <c r="I923" s="34"/>
      <c r="J923" s="34"/>
      <c r="K923" s="105"/>
      <c r="L923" s="34"/>
      <c r="M923" s="34"/>
      <c r="N923" s="34"/>
      <c r="O923" s="105"/>
      <c r="P923" s="105"/>
      <c r="Q923" s="105"/>
      <c r="R923" s="105"/>
      <c r="S923" s="105"/>
      <c r="T923" s="105"/>
      <c r="U923" s="105"/>
      <c r="V923" s="105"/>
      <c r="W923" s="105"/>
      <c r="X923" s="105"/>
      <c r="Y923" s="105"/>
      <c r="Z923" s="105"/>
      <c r="AA923" s="105"/>
      <c r="AB923" s="105"/>
      <c r="AC923" s="105"/>
    </row>
    <row r="924" spans="1:29" ht="12.75">
      <c r="A924" s="34"/>
      <c r="B924" s="34"/>
      <c r="C924" s="34"/>
      <c r="D924" s="34"/>
      <c r="E924" s="188"/>
      <c r="F924" s="34"/>
      <c r="G924" s="34"/>
      <c r="H924" s="34"/>
      <c r="I924" s="34"/>
      <c r="J924" s="34"/>
      <c r="K924" s="105"/>
      <c r="L924" s="34"/>
      <c r="M924" s="34"/>
      <c r="N924" s="34"/>
      <c r="O924" s="105"/>
      <c r="P924" s="105"/>
      <c r="Q924" s="105"/>
      <c r="R924" s="105"/>
      <c r="S924" s="105"/>
      <c r="T924" s="105"/>
      <c r="U924" s="105"/>
      <c r="V924" s="105"/>
      <c r="W924" s="105"/>
      <c r="X924" s="105"/>
      <c r="Y924" s="105"/>
      <c r="Z924" s="105"/>
      <c r="AA924" s="105"/>
      <c r="AB924" s="105"/>
      <c r="AC924" s="105"/>
    </row>
    <row r="925" spans="1:29" ht="12.75">
      <c r="A925" s="34"/>
      <c r="B925" s="34"/>
      <c r="C925" s="34"/>
      <c r="D925" s="34"/>
      <c r="E925" s="188"/>
      <c r="F925" s="34"/>
      <c r="G925" s="34"/>
      <c r="H925" s="34"/>
      <c r="I925" s="34"/>
      <c r="J925" s="34"/>
      <c r="K925" s="105"/>
      <c r="L925" s="34"/>
      <c r="M925" s="34"/>
      <c r="N925" s="34"/>
      <c r="O925" s="105"/>
      <c r="P925" s="105"/>
      <c r="Q925" s="105"/>
      <c r="R925" s="105"/>
      <c r="S925" s="105"/>
      <c r="T925" s="105"/>
      <c r="U925" s="105"/>
      <c r="V925" s="105"/>
      <c r="W925" s="105"/>
      <c r="X925" s="105"/>
      <c r="Y925" s="105"/>
      <c r="Z925" s="105"/>
      <c r="AA925" s="105"/>
      <c r="AB925" s="105"/>
      <c r="AC925" s="105"/>
    </row>
    <row r="926" spans="1:29" ht="12.75">
      <c r="A926" s="34"/>
      <c r="B926" s="34"/>
      <c r="C926" s="34"/>
      <c r="D926" s="34"/>
      <c r="E926" s="188"/>
      <c r="F926" s="34"/>
      <c r="G926" s="34"/>
      <c r="H926" s="34"/>
      <c r="I926" s="34"/>
      <c r="J926" s="34"/>
      <c r="K926" s="105"/>
      <c r="L926" s="34"/>
      <c r="M926" s="34"/>
      <c r="N926" s="34"/>
      <c r="O926" s="105"/>
      <c r="P926" s="105"/>
      <c r="Q926" s="105"/>
      <c r="R926" s="105"/>
      <c r="S926" s="105"/>
      <c r="T926" s="105"/>
      <c r="U926" s="105"/>
      <c r="V926" s="105"/>
      <c r="W926" s="105"/>
      <c r="X926" s="105"/>
      <c r="Y926" s="105"/>
      <c r="Z926" s="105"/>
      <c r="AA926" s="105"/>
      <c r="AB926" s="105"/>
      <c r="AC926" s="105"/>
    </row>
    <row r="927" spans="1:29" ht="12.75">
      <c r="A927" s="34"/>
      <c r="B927" s="34"/>
      <c r="C927" s="34"/>
      <c r="D927" s="34"/>
      <c r="E927" s="188"/>
      <c r="F927" s="34"/>
      <c r="G927" s="34"/>
      <c r="H927" s="34"/>
      <c r="I927" s="34"/>
      <c r="J927" s="34"/>
      <c r="K927" s="105"/>
      <c r="L927" s="34"/>
      <c r="M927" s="34"/>
      <c r="N927" s="34"/>
      <c r="O927" s="105"/>
      <c r="P927" s="105"/>
      <c r="Q927" s="105"/>
      <c r="R927" s="105"/>
      <c r="S927" s="105"/>
      <c r="T927" s="105"/>
      <c r="U927" s="105"/>
      <c r="V927" s="105"/>
      <c r="W927" s="105"/>
      <c r="X927" s="105"/>
      <c r="Y927" s="105"/>
      <c r="Z927" s="105"/>
      <c r="AA927" s="105"/>
      <c r="AB927" s="105"/>
      <c r="AC927" s="105"/>
    </row>
    <row r="928" spans="1:29" ht="12.75">
      <c r="A928" s="34"/>
      <c r="B928" s="34"/>
      <c r="C928" s="34"/>
      <c r="D928" s="34"/>
      <c r="E928" s="188"/>
      <c r="F928" s="34"/>
      <c r="G928" s="34"/>
      <c r="H928" s="34"/>
      <c r="I928" s="34"/>
      <c r="J928" s="34"/>
      <c r="K928" s="105"/>
      <c r="L928" s="34"/>
      <c r="M928" s="34"/>
      <c r="N928" s="34"/>
      <c r="O928" s="105"/>
      <c r="P928" s="105"/>
      <c r="Q928" s="105"/>
      <c r="R928" s="105"/>
      <c r="S928" s="105"/>
      <c r="T928" s="105"/>
      <c r="U928" s="105"/>
      <c r="V928" s="105"/>
      <c r="W928" s="105"/>
      <c r="X928" s="105"/>
      <c r="Y928" s="105"/>
      <c r="Z928" s="105"/>
      <c r="AA928" s="105"/>
      <c r="AB928" s="105"/>
      <c r="AC928" s="105"/>
    </row>
    <row r="929" spans="1:29" ht="12.75">
      <c r="A929" s="34"/>
      <c r="B929" s="34"/>
      <c r="C929" s="34"/>
      <c r="D929" s="34"/>
      <c r="E929" s="188"/>
      <c r="F929" s="34"/>
      <c r="G929" s="34"/>
      <c r="H929" s="34"/>
      <c r="I929" s="34"/>
      <c r="J929" s="34"/>
      <c r="K929" s="105"/>
      <c r="L929" s="34"/>
      <c r="M929" s="34"/>
      <c r="N929" s="34"/>
      <c r="O929" s="105"/>
      <c r="P929" s="105"/>
      <c r="Q929" s="105"/>
      <c r="R929" s="105"/>
      <c r="S929" s="105"/>
      <c r="T929" s="105"/>
      <c r="U929" s="105"/>
      <c r="V929" s="105"/>
      <c r="W929" s="105"/>
      <c r="X929" s="105"/>
      <c r="Y929" s="105"/>
      <c r="Z929" s="105"/>
      <c r="AA929" s="105"/>
      <c r="AB929" s="105"/>
      <c r="AC929" s="105"/>
    </row>
    <row r="930" spans="1:29" ht="12.75">
      <c r="A930" s="34"/>
      <c r="B930" s="34"/>
      <c r="C930" s="34"/>
      <c r="D930" s="34"/>
      <c r="E930" s="188"/>
      <c r="F930" s="34"/>
      <c r="G930" s="34"/>
      <c r="H930" s="34"/>
      <c r="I930" s="34"/>
      <c r="J930" s="34"/>
      <c r="K930" s="105"/>
      <c r="L930" s="34"/>
      <c r="M930" s="34"/>
      <c r="N930" s="34"/>
      <c r="O930" s="105"/>
      <c r="P930" s="105"/>
      <c r="Q930" s="105"/>
      <c r="R930" s="105"/>
      <c r="S930" s="105"/>
      <c r="T930" s="105"/>
      <c r="U930" s="105"/>
      <c r="V930" s="105"/>
      <c r="W930" s="105"/>
      <c r="X930" s="105"/>
      <c r="Y930" s="105"/>
      <c r="Z930" s="105"/>
      <c r="AA930" s="105"/>
      <c r="AB930" s="105"/>
      <c r="AC930" s="105"/>
    </row>
    <row r="931" spans="1:29" ht="12.75">
      <c r="A931" s="34"/>
      <c r="B931" s="34"/>
      <c r="C931" s="34"/>
      <c r="D931" s="34"/>
      <c r="E931" s="188"/>
      <c r="F931" s="34"/>
      <c r="G931" s="34"/>
      <c r="H931" s="34"/>
      <c r="I931" s="34"/>
      <c r="J931" s="34"/>
      <c r="K931" s="105"/>
      <c r="L931" s="34"/>
      <c r="M931" s="34"/>
      <c r="N931" s="34"/>
      <c r="O931" s="105"/>
      <c r="P931" s="105"/>
      <c r="Q931" s="105"/>
      <c r="R931" s="105"/>
      <c r="S931" s="105"/>
      <c r="T931" s="105"/>
      <c r="U931" s="105"/>
      <c r="V931" s="105"/>
      <c r="W931" s="105"/>
      <c r="X931" s="105"/>
      <c r="Y931" s="105"/>
      <c r="Z931" s="105"/>
      <c r="AA931" s="105"/>
      <c r="AB931" s="105"/>
      <c r="AC931" s="105"/>
    </row>
    <row r="932" spans="1:29" ht="12.75">
      <c r="A932" s="34"/>
      <c r="B932" s="34"/>
      <c r="C932" s="34"/>
      <c r="D932" s="34"/>
      <c r="E932" s="188"/>
      <c r="F932" s="34"/>
      <c r="G932" s="34"/>
      <c r="H932" s="34"/>
      <c r="I932" s="34"/>
      <c r="J932" s="34"/>
      <c r="K932" s="105"/>
      <c r="L932" s="34"/>
      <c r="M932" s="34"/>
      <c r="N932" s="34"/>
      <c r="O932" s="105"/>
      <c r="P932" s="105"/>
      <c r="Q932" s="105"/>
      <c r="R932" s="105"/>
      <c r="S932" s="105"/>
      <c r="T932" s="105"/>
      <c r="U932" s="105"/>
      <c r="V932" s="105"/>
      <c r="W932" s="105"/>
      <c r="X932" s="105"/>
      <c r="Y932" s="105"/>
      <c r="Z932" s="105"/>
      <c r="AA932" s="105"/>
      <c r="AB932" s="105"/>
      <c r="AC932" s="105"/>
    </row>
    <row r="933" spans="1:29" ht="12.75">
      <c r="A933" s="34"/>
      <c r="B933" s="34"/>
      <c r="C933" s="34"/>
      <c r="D933" s="34"/>
      <c r="E933" s="188"/>
      <c r="F933" s="34"/>
      <c r="G933" s="34"/>
      <c r="H933" s="34"/>
      <c r="I933" s="34"/>
      <c r="J933" s="34"/>
      <c r="K933" s="105"/>
      <c r="L933" s="34"/>
      <c r="M933" s="34"/>
      <c r="N933" s="34"/>
      <c r="O933" s="105"/>
      <c r="P933" s="105"/>
      <c r="Q933" s="105"/>
      <c r="R933" s="105"/>
      <c r="S933" s="105"/>
      <c r="T933" s="105"/>
      <c r="U933" s="105"/>
      <c r="V933" s="105"/>
      <c r="W933" s="105"/>
      <c r="X933" s="105"/>
      <c r="Y933" s="105"/>
      <c r="Z933" s="105"/>
      <c r="AA933" s="105"/>
      <c r="AB933" s="105"/>
      <c r="AC933" s="105"/>
    </row>
    <row r="934" spans="1:29" ht="12.75">
      <c r="A934" s="34"/>
      <c r="B934" s="34"/>
      <c r="C934" s="34"/>
      <c r="D934" s="34"/>
      <c r="E934" s="188"/>
      <c r="F934" s="34"/>
      <c r="G934" s="34"/>
      <c r="H934" s="34"/>
      <c r="I934" s="34"/>
      <c r="J934" s="34"/>
      <c r="K934" s="105"/>
      <c r="L934" s="34"/>
      <c r="M934" s="34"/>
      <c r="N934" s="34"/>
      <c r="O934" s="105"/>
      <c r="P934" s="105"/>
      <c r="Q934" s="105"/>
      <c r="R934" s="105"/>
      <c r="S934" s="105"/>
      <c r="T934" s="105"/>
      <c r="U934" s="105"/>
      <c r="V934" s="105"/>
      <c r="W934" s="105"/>
      <c r="X934" s="105"/>
      <c r="Y934" s="105"/>
      <c r="Z934" s="105"/>
      <c r="AA934" s="105"/>
      <c r="AB934" s="105"/>
      <c r="AC934" s="105"/>
    </row>
    <row r="935" spans="1:29" ht="12.75">
      <c r="A935" s="34"/>
      <c r="B935" s="34"/>
      <c r="C935" s="34"/>
      <c r="D935" s="34"/>
      <c r="E935" s="188"/>
      <c r="F935" s="34"/>
      <c r="G935" s="34"/>
      <c r="H935" s="34"/>
      <c r="I935" s="34"/>
      <c r="J935" s="34"/>
      <c r="K935" s="105"/>
      <c r="L935" s="34"/>
      <c r="M935" s="34"/>
      <c r="N935" s="34"/>
      <c r="O935" s="105"/>
      <c r="P935" s="105"/>
      <c r="Q935" s="105"/>
      <c r="R935" s="105"/>
      <c r="S935" s="105"/>
      <c r="T935" s="105"/>
      <c r="U935" s="105"/>
      <c r="V935" s="105"/>
      <c r="W935" s="105"/>
      <c r="X935" s="105"/>
      <c r="Y935" s="105"/>
      <c r="Z935" s="105"/>
      <c r="AA935" s="105"/>
      <c r="AB935" s="105"/>
      <c r="AC935" s="105"/>
    </row>
    <row r="936" spans="1:29" ht="12.75">
      <c r="A936" s="34"/>
      <c r="B936" s="34"/>
      <c r="C936" s="34"/>
      <c r="D936" s="34"/>
      <c r="E936" s="188"/>
      <c r="F936" s="34"/>
      <c r="G936" s="34"/>
      <c r="H936" s="34"/>
      <c r="I936" s="34"/>
      <c r="J936" s="34"/>
      <c r="K936" s="105"/>
      <c r="L936" s="34"/>
      <c r="M936" s="34"/>
      <c r="N936" s="34"/>
      <c r="O936" s="105"/>
      <c r="P936" s="105"/>
      <c r="Q936" s="105"/>
      <c r="R936" s="105"/>
      <c r="S936" s="105"/>
      <c r="T936" s="105"/>
      <c r="U936" s="105"/>
      <c r="V936" s="105"/>
      <c r="W936" s="105"/>
      <c r="X936" s="105"/>
      <c r="Y936" s="105"/>
      <c r="Z936" s="105"/>
      <c r="AA936" s="105"/>
      <c r="AB936" s="105"/>
      <c r="AC936" s="105"/>
    </row>
    <row r="937" spans="1:29" ht="12.75">
      <c r="A937" s="34"/>
      <c r="B937" s="34"/>
      <c r="C937" s="34"/>
      <c r="D937" s="34"/>
      <c r="E937" s="188"/>
      <c r="F937" s="34"/>
      <c r="G937" s="34"/>
      <c r="H937" s="34"/>
      <c r="I937" s="34"/>
      <c r="J937" s="34"/>
      <c r="K937" s="105"/>
      <c r="L937" s="34"/>
      <c r="M937" s="34"/>
      <c r="N937" s="34"/>
      <c r="O937" s="105"/>
      <c r="P937" s="105"/>
      <c r="Q937" s="105"/>
      <c r="R937" s="105"/>
      <c r="S937" s="105"/>
      <c r="T937" s="105"/>
      <c r="U937" s="105"/>
      <c r="V937" s="105"/>
      <c r="W937" s="105"/>
      <c r="X937" s="105"/>
      <c r="Y937" s="105"/>
      <c r="Z937" s="105"/>
      <c r="AA937" s="105"/>
      <c r="AB937" s="105"/>
      <c r="AC937" s="105"/>
    </row>
    <row r="938" spans="1:29" ht="12.75">
      <c r="A938" s="34"/>
      <c r="B938" s="34"/>
      <c r="C938" s="34"/>
      <c r="D938" s="34"/>
      <c r="E938" s="188"/>
      <c r="F938" s="34"/>
      <c r="G938" s="34"/>
      <c r="H938" s="34"/>
      <c r="I938" s="34"/>
      <c r="J938" s="34"/>
      <c r="K938" s="105"/>
      <c r="L938" s="34"/>
      <c r="M938" s="34"/>
      <c r="N938" s="34"/>
      <c r="O938" s="105"/>
      <c r="P938" s="105"/>
      <c r="Q938" s="105"/>
      <c r="R938" s="105"/>
      <c r="S938" s="105"/>
      <c r="T938" s="105"/>
      <c r="U938" s="105"/>
      <c r="V938" s="105"/>
      <c r="W938" s="105"/>
      <c r="X938" s="105"/>
      <c r="Y938" s="105"/>
      <c r="Z938" s="105"/>
      <c r="AA938" s="105"/>
      <c r="AB938" s="105"/>
      <c r="AC938" s="105"/>
    </row>
    <row r="939" spans="1:29" ht="12.75">
      <c r="A939" s="34"/>
      <c r="B939" s="34"/>
      <c r="C939" s="34"/>
      <c r="D939" s="34"/>
      <c r="E939" s="188"/>
      <c r="F939" s="34"/>
      <c r="G939" s="34"/>
      <c r="H939" s="34"/>
      <c r="I939" s="34"/>
      <c r="J939" s="34"/>
      <c r="K939" s="105"/>
      <c r="L939" s="34"/>
      <c r="M939" s="34"/>
      <c r="N939" s="34"/>
      <c r="O939" s="105"/>
      <c r="P939" s="105"/>
      <c r="Q939" s="105"/>
      <c r="R939" s="105"/>
      <c r="S939" s="105"/>
      <c r="T939" s="105"/>
      <c r="U939" s="105"/>
      <c r="V939" s="105"/>
      <c r="W939" s="105"/>
      <c r="X939" s="105"/>
      <c r="Y939" s="105"/>
      <c r="Z939" s="105"/>
      <c r="AA939" s="105"/>
      <c r="AB939" s="105"/>
      <c r="AC939" s="105"/>
    </row>
    <row r="940" spans="1:29" ht="12.75">
      <c r="A940" s="34"/>
      <c r="B940" s="34"/>
      <c r="C940" s="34"/>
      <c r="D940" s="34"/>
      <c r="E940" s="188"/>
      <c r="F940" s="34"/>
      <c r="G940" s="34"/>
      <c r="H940" s="34"/>
      <c r="I940" s="34"/>
      <c r="J940" s="34"/>
      <c r="K940" s="105"/>
      <c r="L940" s="34"/>
      <c r="M940" s="34"/>
      <c r="N940" s="34"/>
      <c r="O940" s="105"/>
      <c r="P940" s="105"/>
      <c r="Q940" s="105"/>
      <c r="R940" s="105"/>
      <c r="S940" s="105"/>
      <c r="T940" s="105"/>
      <c r="U940" s="105"/>
      <c r="V940" s="105"/>
      <c r="W940" s="105"/>
      <c r="X940" s="105"/>
      <c r="Y940" s="105"/>
      <c r="Z940" s="105"/>
      <c r="AA940" s="105"/>
      <c r="AB940" s="105"/>
      <c r="AC940" s="105"/>
    </row>
    <row r="941" spans="1:29" ht="12.75">
      <c r="A941" s="34"/>
      <c r="B941" s="34"/>
      <c r="C941" s="34"/>
      <c r="D941" s="34"/>
      <c r="E941" s="188"/>
      <c r="F941" s="34"/>
      <c r="G941" s="34"/>
      <c r="H941" s="34"/>
      <c r="I941" s="34"/>
      <c r="J941" s="34"/>
      <c r="K941" s="105"/>
      <c r="L941" s="34"/>
      <c r="M941" s="34"/>
      <c r="N941" s="34"/>
      <c r="O941" s="105"/>
      <c r="P941" s="105"/>
      <c r="Q941" s="105"/>
      <c r="R941" s="105"/>
      <c r="S941" s="105"/>
      <c r="T941" s="105"/>
      <c r="U941" s="105"/>
      <c r="V941" s="105"/>
      <c r="W941" s="105"/>
      <c r="X941" s="105"/>
      <c r="Y941" s="105"/>
      <c r="Z941" s="105"/>
      <c r="AA941" s="105"/>
      <c r="AB941" s="105"/>
      <c r="AC941" s="105"/>
    </row>
    <row r="942" spans="1:29" ht="12.75">
      <c r="A942" s="34"/>
      <c r="B942" s="34"/>
      <c r="C942" s="34"/>
      <c r="D942" s="34"/>
      <c r="E942" s="188"/>
      <c r="F942" s="34"/>
      <c r="G942" s="34"/>
      <c r="H942" s="34"/>
      <c r="I942" s="34"/>
      <c r="J942" s="34"/>
      <c r="K942" s="105"/>
      <c r="L942" s="34"/>
      <c r="M942" s="34"/>
      <c r="N942" s="34"/>
      <c r="O942" s="105"/>
      <c r="P942" s="105"/>
      <c r="Q942" s="105"/>
      <c r="R942" s="105"/>
      <c r="S942" s="105"/>
      <c r="T942" s="105"/>
      <c r="U942" s="105"/>
      <c r="V942" s="105"/>
      <c r="W942" s="105"/>
      <c r="X942" s="105"/>
      <c r="Y942" s="105"/>
      <c r="Z942" s="105"/>
      <c r="AA942" s="105"/>
      <c r="AB942" s="105"/>
      <c r="AC942" s="105"/>
    </row>
    <row r="943" spans="1:29" ht="12.75">
      <c r="A943" s="34"/>
      <c r="B943" s="34"/>
      <c r="C943" s="34"/>
      <c r="D943" s="34"/>
      <c r="E943" s="188"/>
      <c r="F943" s="34"/>
      <c r="G943" s="34"/>
      <c r="H943" s="34"/>
      <c r="I943" s="34"/>
      <c r="J943" s="34"/>
      <c r="K943" s="105"/>
      <c r="L943" s="34"/>
      <c r="M943" s="34"/>
      <c r="N943" s="34"/>
      <c r="O943" s="105"/>
      <c r="P943" s="105"/>
      <c r="Q943" s="105"/>
      <c r="R943" s="105"/>
      <c r="S943" s="105"/>
      <c r="T943" s="105"/>
      <c r="U943" s="105"/>
      <c r="V943" s="105"/>
      <c r="W943" s="105"/>
      <c r="X943" s="105"/>
      <c r="Y943" s="105"/>
      <c r="Z943" s="105"/>
      <c r="AA943" s="105"/>
      <c r="AB943" s="105"/>
      <c r="AC943" s="105"/>
    </row>
    <row r="944" spans="1:29" ht="12.75">
      <c r="A944" s="34"/>
      <c r="B944" s="34"/>
      <c r="C944" s="34"/>
      <c r="D944" s="34"/>
      <c r="E944" s="188"/>
      <c r="F944" s="34"/>
      <c r="G944" s="34"/>
      <c r="H944" s="34"/>
      <c r="I944" s="34"/>
      <c r="J944" s="34"/>
      <c r="K944" s="105"/>
      <c r="L944" s="34"/>
      <c r="M944" s="34"/>
      <c r="N944" s="34"/>
      <c r="O944" s="105"/>
      <c r="P944" s="105"/>
      <c r="Q944" s="105"/>
      <c r="R944" s="105"/>
      <c r="S944" s="105"/>
      <c r="T944" s="105"/>
      <c r="U944" s="105"/>
      <c r="V944" s="105"/>
      <c r="W944" s="105"/>
      <c r="X944" s="105"/>
      <c r="Y944" s="105"/>
      <c r="Z944" s="105"/>
      <c r="AA944" s="105"/>
      <c r="AB944" s="105"/>
      <c r="AC944" s="105"/>
    </row>
    <row r="945" spans="1:29" ht="12.75">
      <c r="A945" s="34"/>
      <c r="B945" s="34"/>
      <c r="C945" s="34"/>
      <c r="D945" s="34"/>
      <c r="E945" s="188"/>
      <c r="F945" s="34"/>
      <c r="G945" s="34"/>
      <c r="H945" s="34"/>
      <c r="I945" s="34"/>
      <c r="J945" s="34"/>
      <c r="K945" s="105"/>
      <c r="L945" s="34"/>
      <c r="M945" s="34"/>
      <c r="N945" s="34"/>
      <c r="O945" s="105"/>
      <c r="P945" s="105"/>
      <c r="Q945" s="105"/>
      <c r="R945" s="105"/>
      <c r="S945" s="105"/>
      <c r="T945" s="105"/>
      <c r="U945" s="105"/>
      <c r="V945" s="105"/>
      <c r="W945" s="105"/>
      <c r="X945" s="105"/>
      <c r="Y945" s="105"/>
      <c r="Z945" s="105"/>
      <c r="AA945" s="105"/>
      <c r="AB945" s="105"/>
      <c r="AC945" s="105"/>
    </row>
    <row r="946" spans="1:29" ht="12.75">
      <c r="A946" s="34"/>
      <c r="B946" s="34"/>
      <c r="C946" s="34"/>
      <c r="D946" s="34"/>
      <c r="E946" s="188"/>
      <c r="F946" s="34"/>
      <c r="G946" s="34"/>
      <c r="H946" s="34"/>
      <c r="I946" s="34"/>
      <c r="J946" s="34"/>
      <c r="K946" s="105"/>
      <c r="L946" s="34"/>
      <c r="M946" s="34"/>
      <c r="N946" s="34"/>
      <c r="O946" s="105"/>
      <c r="P946" s="105"/>
      <c r="Q946" s="105"/>
      <c r="R946" s="105"/>
      <c r="S946" s="105"/>
      <c r="T946" s="105"/>
      <c r="U946" s="105"/>
      <c r="V946" s="105"/>
      <c r="W946" s="105"/>
      <c r="X946" s="105"/>
      <c r="Y946" s="105"/>
      <c r="Z946" s="105"/>
      <c r="AA946" s="105"/>
      <c r="AB946" s="105"/>
      <c r="AC946" s="105"/>
    </row>
    <row r="947" spans="1:29" ht="12.75">
      <c r="A947" s="34"/>
      <c r="B947" s="34"/>
      <c r="C947" s="34"/>
      <c r="D947" s="34"/>
      <c r="E947" s="188"/>
      <c r="F947" s="34"/>
      <c r="G947" s="34"/>
      <c r="H947" s="34"/>
      <c r="I947" s="34"/>
      <c r="J947" s="34"/>
      <c r="K947" s="105"/>
      <c r="L947" s="34"/>
      <c r="M947" s="34"/>
      <c r="N947" s="34"/>
      <c r="O947" s="105"/>
      <c r="P947" s="105"/>
      <c r="Q947" s="105"/>
      <c r="R947" s="105"/>
      <c r="S947" s="105"/>
      <c r="T947" s="105"/>
      <c r="U947" s="105"/>
      <c r="V947" s="105"/>
      <c r="W947" s="105"/>
      <c r="X947" s="105"/>
      <c r="Y947" s="105"/>
      <c r="Z947" s="105"/>
      <c r="AA947" s="105"/>
      <c r="AB947" s="105"/>
      <c r="AC947" s="105"/>
    </row>
    <row r="948" spans="1:29" ht="12.75">
      <c r="A948" s="34"/>
      <c r="B948" s="34"/>
      <c r="C948" s="34"/>
      <c r="D948" s="34"/>
      <c r="E948" s="188"/>
      <c r="F948" s="34"/>
      <c r="G948" s="34"/>
      <c r="H948" s="34"/>
      <c r="I948" s="34"/>
      <c r="J948" s="34"/>
      <c r="K948" s="105"/>
      <c r="L948" s="34"/>
      <c r="M948" s="34"/>
      <c r="N948" s="34"/>
      <c r="O948" s="105"/>
      <c r="P948" s="105"/>
      <c r="Q948" s="105"/>
      <c r="R948" s="105"/>
      <c r="S948" s="105"/>
      <c r="T948" s="105"/>
      <c r="U948" s="105"/>
      <c r="V948" s="105"/>
      <c r="W948" s="105"/>
      <c r="X948" s="105"/>
      <c r="Y948" s="105"/>
      <c r="Z948" s="105"/>
      <c r="AA948" s="105"/>
      <c r="AB948" s="105"/>
      <c r="AC948" s="105"/>
    </row>
    <row r="949" spans="1:29" ht="12.75">
      <c r="A949" s="34"/>
      <c r="B949" s="34"/>
      <c r="C949" s="34"/>
      <c r="D949" s="34"/>
      <c r="E949" s="188"/>
      <c r="F949" s="34"/>
      <c r="G949" s="34"/>
      <c r="H949" s="34"/>
      <c r="I949" s="34"/>
      <c r="J949" s="34"/>
      <c r="K949" s="105"/>
      <c r="L949" s="34"/>
      <c r="M949" s="34"/>
      <c r="N949" s="34"/>
      <c r="O949" s="105"/>
      <c r="P949" s="105"/>
      <c r="Q949" s="105"/>
      <c r="R949" s="105"/>
      <c r="S949" s="105"/>
      <c r="T949" s="105"/>
      <c r="U949" s="105"/>
      <c r="V949" s="105"/>
      <c r="W949" s="105"/>
      <c r="X949" s="105"/>
      <c r="Y949" s="105"/>
      <c r="Z949" s="105"/>
      <c r="AA949" s="105"/>
      <c r="AB949" s="105"/>
      <c r="AC949" s="105"/>
    </row>
    <row r="950" spans="1:29" ht="12.75">
      <c r="A950" s="34"/>
      <c r="B950" s="34"/>
      <c r="C950" s="34"/>
      <c r="D950" s="34"/>
      <c r="E950" s="188"/>
      <c r="F950" s="34"/>
      <c r="G950" s="34"/>
      <c r="H950" s="34"/>
      <c r="I950" s="34"/>
      <c r="J950" s="34"/>
      <c r="K950" s="105"/>
      <c r="L950" s="34"/>
      <c r="M950" s="34"/>
      <c r="N950" s="34"/>
      <c r="O950" s="105"/>
      <c r="P950" s="105"/>
      <c r="Q950" s="105"/>
      <c r="R950" s="105"/>
      <c r="S950" s="105"/>
      <c r="T950" s="105"/>
      <c r="U950" s="105"/>
      <c r="V950" s="105"/>
      <c r="W950" s="105"/>
      <c r="X950" s="105"/>
      <c r="Y950" s="105"/>
      <c r="Z950" s="105"/>
      <c r="AA950" s="105"/>
      <c r="AB950" s="105"/>
      <c r="AC950" s="105"/>
    </row>
    <row r="951" spans="1:29" ht="12.75">
      <c r="A951" s="34"/>
      <c r="B951" s="34"/>
      <c r="C951" s="34"/>
      <c r="D951" s="34"/>
      <c r="E951" s="188"/>
      <c r="F951" s="34"/>
      <c r="G951" s="34"/>
      <c r="H951" s="34"/>
      <c r="I951" s="34"/>
      <c r="J951" s="34"/>
      <c r="K951" s="105"/>
      <c r="L951" s="34"/>
      <c r="M951" s="34"/>
      <c r="N951" s="34"/>
      <c r="O951" s="105"/>
      <c r="P951" s="105"/>
      <c r="Q951" s="105"/>
      <c r="R951" s="105"/>
      <c r="S951" s="105"/>
      <c r="T951" s="105"/>
      <c r="U951" s="105"/>
      <c r="V951" s="105"/>
      <c r="W951" s="105"/>
      <c r="X951" s="105"/>
      <c r="Y951" s="105"/>
      <c r="Z951" s="105"/>
      <c r="AA951" s="105"/>
      <c r="AB951" s="105"/>
      <c r="AC951" s="105"/>
    </row>
    <row r="952" spans="1:29" ht="12.75">
      <c r="A952" s="34"/>
      <c r="B952" s="34"/>
      <c r="C952" s="34"/>
      <c r="D952" s="34"/>
      <c r="E952" s="188"/>
      <c r="F952" s="34"/>
      <c r="G952" s="34"/>
      <c r="H952" s="34"/>
      <c r="I952" s="34"/>
      <c r="J952" s="34"/>
      <c r="K952" s="105"/>
      <c r="L952" s="34"/>
      <c r="M952" s="34"/>
      <c r="N952" s="34"/>
      <c r="O952" s="105"/>
      <c r="P952" s="105"/>
      <c r="Q952" s="105"/>
      <c r="R952" s="105"/>
      <c r="S952" s="105"/>
      <c r="T952" s="105"/>
      <c r="U952" s="105"/>
      <c r="V952" s="105"/>
      <c r="W952" s="105"/>
      <c r="X952" s="105"/>
      <c r="Y952" s="105"/>
      <c r="Z952" s="105"/>
      <c r="AA952" s="105"/>
      <c r="AB952" s="105"/>
      <c r="AC952" s="105"/>
    </row>
    <row r="953" spans="1:29" ht="12.75">
      <c r="A953" s="34"/>
      <c r="B953" s="34"/>
      <c r="C953" s="34"/>
      <c r="D953" s="34"/>
      <c r="E953" s="188"/>
      <c r="F953" s="34"/>
      <c r="G953" s="34"/>
      <c r="H953" s="34"/>
      <c r="I953" s="34"/>
      <c r="J953" s="34"/>
      <c r="K953" s="105"/>
      <c r="L953" s="34"/>
      <c r="M953" s="34"/>
      <c r="N953" s="34"/>
      <c r="O953" s="105"/>
      <c r="P953" s="105"/>
      <c r="Q953" s="105"/>
      <c r="R953" s="105"/>
      <c r="S953" s="105"/>
      <c r="T953" s="105"/>
      <c r="U953" s="105"/>
      <c r="V953" s="105"/>
      <c r="W953" s="105"/>
      <c r="X953" s="105"/>
      <c r="Y953" s="105"/>
      <c r="Z953" s="105"/>
      <c r="AA953" s="105"/>
      <c r="AB953" s="105"/>
      <c r="AC953" s="105"/>
    </row>
    <row r="954" spans="1:29" ht="12.75">
      <c r="A954" s="34"/>
      <c r="B954" s="34"/>
      <c r="C954" s="34"/>
      <c r="D954" s="34"/>
      <c r="E954" s="188"/>
      <c r="F954" s="34"/>
      <c r="G954" s="34"/>
      <c r="H954" s="34"/>
      <c r="I954" s="34"/>
      <c r="J954" s="34"/>
      <c r="K954" s="105"/>
      <c r="L954" s="34"/>
      <c r="M954" s="34"/>
      <c r="N954" s="34"/>
      <c r="O954" s="105"/>
      <c r="P954" s="105"/>
      <c r="Q954" s="105"/>
      <c r="R954" s="105"/>
      <c r="S954" s="105"/>
      <c r="T954" s="105"/>
      <c r="U954" s="105"/>
      <c r="V954" s="105"/>
      <c r="W954" s="105"/>
      <c r="X954" s="105"/>
      <c r="Y954" s="105"/>
      <c r="Z954" s="105"/>
      <c r="AA954" s="105"/>
      <c r="AB954" s="105"/>
      <c r="AC954" s="105"/>
    </row>
    <row r="955" spans="1:29" ht="12.75">
      <c r="A955" s="34"/>
      <c r="B955" s="34"/>
      <c r="C955" s="34"/>
      <c r="D955" s="34"/>
      <c r="E955" s="188"/>
      <c r="F955" s="34"/>
      <c r="G955" s="34"/>
      <c r="H955" s="34"/>
      <c r="I955" s="34"/>
      <c r="J955" s="34"/>
      <c r="K955" s="105"/>
      <c r="L955" s="34"/>
      <c r="M955" s="34"/>
      <c r="N955" s="34"/>
      <c r="O955" s="105"/>
      <c r="P955" s="105"/>
      <c r="Q955" s="105"/>
      <c r="R955" s="105"/>
      <c r="S955" s="105"/>
      <c r="T955" s="105"/>
      <c r="U955" s="105"/>
      <c r="V955" s="105"/>
      <c r="W955" s="105"/>
      <c r="X955" s="105"/>
      <c r="Y955" s="105"/>
      <c r="Z955" s="105"/>
      <c r="AA955" s="105"/>
      <c r="AB955" s="105"/>
      <c r="AC955" s="105"/>
    </row>
    <row r="956" spans="1:29" ht="12.75">
      <c r="A956" s="34"/>
      <c r="B956" s="34"/>
      <c r="C956" s="34"/>
      <c r="D956" s="34"/>
      <c r="E956" s="188"/>
      <c r="F956" s="34"/>
      <c r="G956" s="34"/>
      <c r="H956" s="34"/>
      <c r="I956" s="34"/>
      <c r="J956" s="34"/>
      <c r="K956" s="105"/>
      <c r="L956" s="34"/>
      <c r="M956" s="34"/>
      <c r="N956" s="34"/>
      <c r="O956" s="105"/>
      <c r="P956" s="105"/>
      <c r="Q956" s="105"/>
      <c r="R956" s="105"/>
      <c r="S956" s="105"/>
      <c r="T956" s="105"/>
      <c r="U956" s="105"/>
      <c r="V956" s="105"/>
      <c r="W956" s="105"/>
      <c r="X956" s="105"/>
      <c r="Y956" s="105"/>
      <c r="Z956" s="105"/>
      <c r="AA956" s="105"/>
      <c r="AB956" s="105"/>
      <c r="AC956" s="105"/>
    </row>
    <row r="957" spans="1:29" ht="12.75">
      <c r="A957" s="34"/>
      <c r="B957" s="34"/>
      <c r="C957" s="34"/>
      <c r="D957" s="34"/>
      <c r="E957" s="188"/>
      <c r="F957" s="34"/>
      <c r="G957" s="34"/>
      <c r="H957" s="34"/>
      <c r="I957" s="34"/>
      <c r="J957" s="34"/>
      <c r="K957" s="105"/>
      <c r="L957" s="34"/>
      <c r="M957" s="34"/>
      <c r="N957" s="34"/>
      <c r="O957" s="105"/>
      <c r="P957" s="105"/>
      <c r="Q957" s="105"/>
      <c r="R957" s="105"/>
      <c r="S957" s="105"/>
      <c r="T957" s="105"/>
      <c r="U957" s="105"/>
      <c r="V957" s="105"/>
      <c r="W957" s="105"/>
      <c r="X957" s="105"/>
      <c r="Y957" s="105"/>
      <c r="Z957" s="105"/>
      <c r="AA957" s="105"/>
      <c r="AB957" s="105"/>
      <c r="AC957" s="105"/>
    </row>
    <row r="958" spans="1:29" ht="12.75">
      <c r="A958" s="34"/>
      <c r="B958" s="34"/>
      <c r="C958" s="34"/>
      <c r="D958" s="34"/>
      <c r="E958" s="188"/>
      <c r="F958" s="34"/>
      <c r="G958" s="34"/>
      <c r="H958" s="34"/>
      <c r="I958" s="34"/>
      <c r="J958" s="34"/>
      <c r="K958" s="105"/>
      <c r="L958" s="34"/>
      <c r="M958" s="34"/>
      <c r="N958" s="34"/>
      <c r="O958" s="105"/>
      <c r="P958" s="105"/>
      <c r="Q958" s="105"/>
      <c r="R958" s="105"/>
      <c r="S958" s="105"/>
      <c r="T958" s="105"/>
      <c r="U958" s="105"/>
      <c r="V958" s="105"/>
      <c r="W958" s="105"/>
      <c r="X958" s="105"/>
      <c r="Y958" s="105"/>
      <c r="Z958" s="105"/>
      <c r="AA958" s="105"/>
      <c r="AB958" s="105"/>
      <c r="AC958" s="105"/>
    </row>
    <row r="959" spans="1:29" ht="12.75">
      <c r="A959" s="34"/>
      <c r="B959" s="34"/>
      <c r="C959" s="34"/>
      <c r="D959" s="34"/>
      <c r="E959" s="188"/>
      <c r="F959" s="34"/>
      <c r="G959" s="34"/>
      <c r="H959" s="34"/>
      <c r="I959" s="34"/>
      <c r="J959" s="34"/>
      <c r="K959" s="105"/>
      <c r="L959" s="34"/>
      <c r="M959" s="34"/>
      <c r="N959" s="34"/>
      <c r="O959" s="105"/>
      <c r="P959" s="105"/>
      <c r="Q959" s="105"/>
      <c r="R959" s="105"/>
      <c r="S959" s="105"/>
      <c r="T959" s="105"/>
      <c r="U959" s="105"/>
      <c r="V959" s="105"/>
      <c r="W959" s="105"/>
      <c r="X959" s="105"/>
      <c r="Y959" s="105"/>
      <c r="Z959" s="105"/>
      <c r="AA959" s="105"/>
      <c r="AB959" s="105"/>
      <c r="AC959" s="105"/>
    </row>
    <row r="960" spans="1:29" ht="12.75">
      <c r="A960" s="34"/>
      <c r="B960" s="34"/>
      <c r="C960" s="34"/>
      <c r="D960" s="34"/>
      <c r="E960" s="188"/>
      <c r="F960" s="34"/>
      <c r="G960" s="34"/>
      <c r="H960" s="34"/>
      <c r="I960" s="34"/>
      <c r="J960" s="34"/>
      <c r="K960" s="105"/>
      <c r="L960" s="34"/>
      <c r="M960" s="34"/>
      <c r="N960" s="34"/>
      <c r="O960" s="105"/>
      <c r="P960" s="105"/>
      <c r="Q960" s="105"/>
      <c r="R960" s="105"/>
      <c r="S960" s="105"/>
      <c r="T960" s="105"/>
      <c r="U960" s="105"/>
      <c r="V960" s="105"/>
      <c r="W960" s="105"/>
      <c r="X960" s="105"/>
      <c r="Y960" s="105"/>
      <c r="Z960" s="105"/>
      <c r="AA960" s="105"/>
      <c r="AB960" s="105"/>
      <c r="AC960" s="105"/>
    </row>
    <row r="961" spans="1:29" ht="12.75">
      <c r="A961" s="34"/>
      <c r="B961" s="34"/>
      <c r="C961" s="34"/>
      <c r="D961" s="34"/>
      <c r="E961" s="188"/>
      <c r="F961" s="34"/>
      <c r="G961" s="34"/>
      <c r="H961" s="34"/>
      <c r="I961" s="34"/>
      <c r="J961" s="34"/>
      <c r="K961" s="105"/>
      <c r="L961" s="34"/>
      <c r="M961" s="34"/>
      <c r="N961" s="34"/>
      <c r="O961" s="105"/>
      <c r="P961" s="105"/>
      <c r="Q961" s="105"/>
      <c r="R961" s="105"/>
      <c r="S961" s="105"/>
      <c r="T961" s="105"/>
      <c r="U961" s="105"/>
      <c r="V961" s="105"/>
      <c r="W961" s="105"/>
      <c r="X961" s="105"/>
      <c r="Y961" s="105"/>
      <c r="Z961" s="105"/>
      <c r="AA961" s="105"/>
      <c r="AB961" s="105"/>
      <c r="AC961" s="105"/>
    </row>
    <row r="962" spans="1:29" ht="12.75">
      <c r="A962" s="34"/>
      <c r="B962" s="34"/>
      <c r="C962" s="34"/>
      <c r="D962" s="34"/>
      <c r="E962" s="188"/>
      <c r="F962" s="34"/>
      <c r="G962" s="34"/>
      <c r="H962" s="34"/>
      <c r="I962" s="34"/>
      <c r="J962" s="34"/>
      <c r="K962" s="105"/>
      <c r="L962" s="34"/>
      <c r="M962" s="34"/>
      <c r="N962" s="34"/>
      <c r="O962" s="105"/>
      <c r="P962" s="105"/>
      <c r="Q962" s="105"/>
      <c r="R962" s="105"/>
      <c r="S962" s="105"/>
      <c r="T962" s="105"/>
      <c r="U962" s="105"/>
      <c r="V962" s="105"/>
      <c r="W962" s="105"/>
      <c r="X962" s="105"/>
      <c r="Y962" s="105"/>
      <c r="Z962" s="105"/>
      <c r="AA962" s="105"/>
      <c r="AB962" s="105"/>
      <c r="AC962" s="105"/>
    </row>
    <row r="963" spans="1:29" ht="12.75">
      <c r="A963" s="34"/>
      <c r="B963" s="34"/>
      <c r="C963" s="34"/>
      <c r="D963" s="34"/>
      <c r="E963" s="188"/>
      <c r="F963" s="34"/>
      <c r="G963" s="34"/>
      <c r="H963" s="34"/>
      <c r="I963" s="34"/>
      <c r="J963" s="34"/>
      <c r="K963" s="105"/>
      <c r="L963" s="34"/>
      <c r="M963" s="34"/>
      <c r="N963" s="34"/>
      <c r="O963" s="105"/>
      <c r="P963" s="105"/>
      <c r="Q963" s="105"/>
      <c r="R963" s="105"/>
      <c r="S963" s="105"/>
      <c r="T963" s="105"/>
      <c r="U963" s="105"/>
      <c r="V963" s="105"/>
      <c r="W963" s="105"/>
      <c r="X963" s="105"/>
      <c r="Y963" s="105"/>
      <c r="Z963" s="105"/>
      <c r="AA963" s="105"/>
      <c r="AB963" s="105"/>
      <c r="AC963" s="105"/>
    </row>
    <row r="964" spans="1:29" ht="12.75">
      <c r="A964" s="34"/>
      <c r="B964" s="34"/>
      <c r="C964" s="34"/>
      <c r="D964" s="34"/>
      <c r="E964" s="188"/>
      <c r="F964" s="34"/>
      <c r="G964" s="34"/>
      <c r="H964" s="34"/>
      <c r="I964" s="34"/>
      <c r="J964" s="34"/>
      <c r="K964" s="105"/>
      <c r="L964" s="34"/>
      <c r="M964" s="34"/>
      <c r="N964" s="34"/>
      <c r="O964" s="105"/>
      <c r="P964" s="105"/>
      <c r="Q964" s="105"/>
      <c r="R964" s="105"/>
      <c r="S964" s="105"/>
      <c r="T964" s="105"/>
      <c r="U964" s="105"/>
      <c r="V964" s="105"/>
      <c r="W964" s="105"/>
      <c r="X964" s="105"/>
      <c r="Y964" s="105"/>
      <c r="Z964" s="105"/>
      <c r="AA964" s="105"/>
      <c r="AB964" s="105"/>
      <c r="AC964" s="105"/>
    </row>
    <row r="965" spans="1:29" ht="12.75">
      <c r="A965" s="34"/>
      <c r="B965" s="34"/>
      <c r="C965" s="34"/>
      <c r="D965" s="34"/>
      <c r="E965" s="188"/>
      <c r="F965" s="34"/>
      <c r="G965" s="34"/>
      <c r="H965" s="34"/>
      <c r="I965" s="34"/>
      <c r="J965" s="34"/>
      <c r="K965" s="105"/>
      <c r="L965" s="34"/>
      <c r="M965" s="34"/>
      <c r="N965" s="34"/>
      <c r="O965" s="105"/>
      <c r="P965" s="105"/>
      <c r="Q965" s="105"/>
      <c r="R965" s="105"/>
      <c r="S965" s="105"/>
      <c r="T965" s="105"/>
      <c r="U965" s="105"/>
      <c r="V965" s="105"/>
      <c r="W965" s="105"/>
      <c r="X965" s="105"/>
      <c r="Y965" s="105"/>
      <c r="Z965" s="105"/>
      <c r="AA965" s="105"/>
      <c r="AB965" s="105"/>
      <c r="AC965" s="105"/>
    </row>
    <row r="966" spans="1:29" ht="12.75">
      <c r="A966" s="34"/>
      <c r="B966" s="34"/>
      <c r="C966" s="34"/>
      <c r="D966" s="34"/>
      <c r="E966" s="188"/>
      <c r="F966" s="34"/>
      <c r="G966" s="34"/>
      <c r="H966" s="34"/>
      <c r="I966" s="34"/>
      <c r="J966" s="34"/>
      <c r="K966" s="105"/>
      <c r="L966" s="34"/>
      <c r="M966" s="34"/>
      <c r="N966" s="34"/>
      <c r="O966" s="105"/>
      <c r="P966" s="105"/>
      <c r="Q966" s="105"/>
      <c r="R966" s="105"/>
      <c r="S966" s="105"/>
      <c r="T966" s="105"/>
      <c r="U966" s="105"/>
      <c r="V966" s="105"/>
      <c r="W966" s="105"/>
      <c r="X966" s="105"/>
      <c r="Y966" s="105"/>
      <c r="Z966" s="105"/>
      <c r="AA966" s="105"/>
      <c r="AB966" s="105"/>
      <c r="AC966" s="105"/>
    </row>
    <row r="967" spans="1:29" ht="12.75">
      <c r="A967" s="34"/>
      <c r="B967" s="34"/>
      <c r="C967" s="34"/>
      <c r="D967" s="34"/>
      <c r="E967" s="188"/>
      <c r="F967" s="34"/>
      <c r="G967" s="34"/>
      <c r="H967" s="34"/>
      <c r="I967" s="34"/>
      <c r="J967" s="34"/>
      <c r="K967" s="105"/>
      <c r="L967" s="34"/>
      <c r="M967" s="34"/>
      <c r="N967" s="34"/>
      <c r="O967" s="105"/>
      <c r="P967" s="105"/>
      <c r="Q967" s="105"/>
      <c r="R967" s="105"/>
      <c r="S967" s="105"/>
      <c r="T967" s="105"/>
      <c r="U967" s="105"/>
      <c r="V967" s="105"/>
      <c r="W967" s="105"/>
      <c r="X967" s="105"/>
      <c r="Y967" s="105"/>
      <c r="Z967" s="105"/>
      <c r="AA967" s="105"/>
      <c r="AB967" s="105"/>
      <c r="AC967" s="105"/>
    </row>
    <row r="968" spans="1:29" ht="12.75">
      <c r="A968" s="34"/>
      <c r="B968" s="34"/>
      <c r="C968" s="34"/>
      <c r="D968" s="34"/>
      <c r="E968" s="188"/>
      <c r="F968" s="34"/>
      <c r="G968" s="34"/>
      <c r="H968" s="34"/>
      <c r="I968" s="34"/>
      <c r="J968" s="34"/>
      <c r="K968" s="105"/>
      <c r="L968" s="34"/>
      <c r="M968" s="34"/>
      <c r="N968" s="34"/>
      <c r="O968" s="105"/>
      <c r="P968" s="105"/>
      <c r="Q968" s="105"/>
      <c r="R968" s="105"/>
      <c r="S968" s="105"/>
      <c r="T968" s="105"/>
      <c r="U968" s="105"/>
      <c r="V968" s="105"/>
      <c r="W968" s="105"/>
      <c r="X968" s="105"/>
      <c r="Y968" s="105"/>
      <c r="Z968" s="105"/>
      <c r="AA968" s="105"/>
      <c r="AB968" s="105"/>
      <c r="AC968" s="105"/>
    </row>
    <row r="969" spans="1:29" ht="12.75">
      <c r="A969" s="34"/>
      <c r="B969" s="34"/>
      <c r="C969" s="34"/>
      <c r="D969" s="34"/>
      <c r="E969" s="188"/>
      <c r="F969" s="34"/>
      <c r="G969" s="34"/>
      <c r="H969" s="34"/>
      <c r="I969" s="34"/>
      <c r="J969" s="34"/>
      <c r="K969" s="105"/>
      <c r="L969" s="34"/>
      <c r="M969" s="34"/>
      <c r="N969" s="34"/>
      <c r="O969" s="105"/>
      <c r="P969" s="105"/>
      <c r="Q969" s="105"/>
      <c r="R969" s="105"/>
      <c r="S969" s="105"/>
      <c r="T969" s="105"/>
      <c r="U969" s="105"/>
      <c r="V969" s="105"/>
      <c r="W969" s="105"/>
      <c r="X969" s="105"/>
      <c r="Y969" s="105"/>
      <c r="Z969" s="105"/>
      <c r="AA969" s="105"/>
      <c r="AB969" s="105"/>
      <c r="AC969" s="105"/>
    </row>
    <row r="970" spans="1:29" ht="12.75">
      <c r="A970" s="34"/>
      <c r="B970" s="34"/>
      <c r="C970" s="34"/>
      <c r="D970" s="34"/>
      <c r="E970" s="188"/>
      <c r="F970" s="34"/>
      <c r="G970" s="34"/>
      <c r="H970" s="34"/>
      <c r="I970" s="34"/>
      <c r="J970" s="34"/>
      <c r="K970" s="105"/>
      <c r="L970" s="34"/>
      <c r="M970" s="34"/>
      <c r="N970" s="34"/>
      <c r="O970" s="105"/>
      <c r="P970" s="105"/>
      <c r="Q970" s="105"/>
      <c r="R970" s="105"/>
      <c r="S970" s="105"/>
      <c r="T970" s="105"/>
      <c r="U970" s="105"/>
      <c r="V970" s="105"/>
      <c r="W970" s="105"/>
      <c r="X970" s="105"/>
      <c r="Y970" s="105"/>
      <c r="Z970" s="105"/>
      <c r="AA970" s="105"/>
      <c r="AB970" s="105"/>
      <c r="AC970" s="105"/>
    </row>
    <row r="971" spans="1:29" ht="12.75">
      <c r="A971" s="34"/>
      <c r="B971" s="34"/>
      <c r="C971" s="34"/>
      <c r="D971" s="34"/>
      <c r="E971" s="188"/>
      <c r="F971" s="34"/>
      <c r="G971" s="34"/>
      <c r="H971" s="34"/>
      <c r="I971" s="34"/>
      <c r="J971" s="34"/>
      <c r="K971" s="105"/>
      <c r="L971" s="34"/>
      <c r="M971" s="34"/>
      <c r="N971" s="34"/>
      <c r="O971" s="105"/>
      <c r="P971" s="105"/>
      <c r="Q971" s="105"/>
      <c r="R971" s="105"/>
      <c r="S971" s="105"/>
      <c r="T971" s="105"/>
      <c r="U971" s="105"/>
      <c r="V971" s="105"/>
      <c r="W971" s="105"/>
      <c r="X971" s="105"/>
      <c r="Y971" s="105"/>
      <c r="Z971" s="105"/>
      <c r="AA971" s="105"/>
      <c r="AB971" s="105"/>
      <c r="AC971" s="105"/>
    </row>
    <row r="972" spans="1:29" ht="12.75">
      <c r="A972" s="34"/>
      <c r="B972" s="34"/>
      <c r="C972" s="34"/>
      <c r="D972" s="34"/>
      <c r="E972" s="188"/>
      <c r="F972" s="34"/>
      <c r="G972" s="34"/>
      <c r="H972" s="34"/>
      <c r="I972" s="34"/>
      <c r="J972" s="34"/>
      <c r="K972" s="105"/>
      <c r="L972" s="34"/>
      <c r="M972" s="34"/>
      <c r="N972" s="34"/>
      <c r="O972" s="105"/>
      <c r="P972" s="105"/>
      <c r="Q972" s="105"/>
      <c r="R972" s="105"/>
      <c r="S972" s="105"/>
      <c r="T972" s="105"/>
      <c r="U972" s="105"/>
      <c r="V972" s="105"/>
      <c r="W972" s="105"/>
      <c r="X972" s="105"/>
      <c r="Y972" s="105"/>
      <c r="Z972" s="105"/>
      <c r="AA972" s="105"/>
      <c r="AB972" s="105"/>
      <c r="AC972" s="105"/>
    </row>
    <row r="973" spans="1:29" ht="12.75">
      <c r="A973" s="34"/>
      <c r="B973" s="34"/>
      <c r="C973" s="34"/>
      <c r="D973" s="34"/>
      <c r="E973" s="188"/>
      <c r="F973" s="34"/>
      <c r="G973" s="34"/>
      <c r="H973" s="34"/>
      <c r="I973" s="34"/>
      <c r="J973" s="34"/>
      <c r="K973" s="105"/>
      <c r="L973" s="34"/>
      <c r="M973" s="34"/>
      <c r="N973" s="34"/>
      <c r="O973" s="105"/>
      <c r="P973" s="105"/>
      <c r="Q973" s="105"/>
      <c r="R973" s="105"/>
      <c r="S973" s="105"/>
      <c r="T973" s="105"/>
      <c r="U973" s="105"/>
      <c r="V973" s="105"/>
      <c r="W973" s="105"/>
      <c r="X973" s="105"/>
      <c r="Y973" s="105"/>
      <c r="Z973" s="105"/>
      <c r="AA973" s="105"/>
      <c r="AB973" s="105"/>
      <c r="AC973" s="105"/>
    </row>
    <row r="974" spans="1:29" ht="12.75">
      <c r="A974" s="34"/>
      <c r="B974" s="34"/>
      <c r="C974" s="34"/>
      <c r="D974" s="34"/>
      <c r="E974" s="188"/>
      <c r="F974" s="34"/>
      <c r="G974" s="34"/>
      <c r="H974" s="34"/>
      <c r="I974" s="34"/>
      <c r="J974" s="34"/>
      <c r="K974" s="105"/>
      <c r="L974" s="34"/>
      <c r="M974" s="34"/>
      <c r="N974" s="34"/>
      <c r="O974" s="105"/>
      <c r="P974" s="105"/>
      <c r="Q974" s="105"/>
      <c r="R974" s="105"/>
      <c r="S974" s="105"/>
      <c r="T974" s="105"/>
      <c r="U974" s="105"/>
      <c r="V974" s="105"/>
      <c r="W974" s="105"/>
      <c r="X974" s="105"/>
      <c r="Y974" s="105"/>
      <c r="Z974" s="105"/>
      <c r="AA974" s="105"/>
      <c r="AB974" s="105"/>
      <c r="AC974" s="105"/>
    </row>
    <row r="975" spans="1:29" ht="12.75">
      <c r="A975" s="34"/>
      <c r="B975" s="34"/>
      <c r="C975" s="34"/>
      <c r="D975" s="34"/>
      <c r="E975" s="188"/>
      <c r="F975" s="34"/>
      <c r="G975" s="34"/>
      <c r="H975" s="34"/>
      <c r="I975" s="34"/>
      <c r="J975" s="34"/>
      <c r="K975" s="105"/>
      <c r="L975" s="34"/>
      <c r="M975" s="34"/>
      <c r="N975" s="34"/>
      <c r="O975" s="105"/>
      <c r="P975" s="105"/>
      <c r="Q975" s="105"/>
      <c r="R975" s="105"/>
      <c r="S975" s="105"/>
      <c r="T975" s="105"/>
      <c r="U975" s="105"/>
      <c r="V975" s="105"/>
      <c r="W975" s="105"/>
      <c r="X975" s="105"/>
      <c r="Y975" s="105"/>
      <c r="Z975" s="105"/>
      <c r="AA975" s="105"/>
      <c r="AB975" s="105"/>
      <c r="AC975" s="105"/>
    </row>
    <row r="976" spans="1:29" ht="12.75">
      <c r="A976" s="34"/>
      <c r="B976" s="34"/>
      <c r="C976" s="34"/>
      <c r="D976" s="34"/>
      <c r="E976" s="188"/>
      <c r="F976" s="34"/>
      <c r="G976" s="34"/>
      <c r="H976" s="34"/>
      <c r="I976" s="34"/>
      <c r="J976" s="34"/>
      <c r="K976" s="105"/>
      <c r="L976" s="34"/>
      <c r="M976" s="34"/>
      <c r="N976" s="34"/>
      <c r="O976" s="105"/>
      <c r="P976" s="105"/>
      <c r="Q976" s="105"/>
      <c r="R976" s="105"/>
      <c r="S976" s="105"/>
      <c r="T976" s="105"/>
      <c r="U976" s="105"/>
      <c r="V976" s="105"/>
      <c r="W976" s="105"/>
      <c r="X976" s="105"/>
      <c r="Y976" s="105"/>
      <c r="Z976" s="105"/>
      <c r="AA976" s="105"/>
      <c r="AB976" s="105"/>
      <c r="AC976" s="105"/>
    </row>
    <row r="977" spans="1:29" ht="12.75">
      <c r="A977" s="34"/>
      <c r="B977" s="34"/>
      <c r="C977" s="34"/>
      <c r="D977" s="34"/>
      <c r="E977" s="188"/>
      <c r="F977" s="34"/>
      <c r="G977" s="34"/>
      <c r="H977" s="34"/>
      <c r="I977" s="34"/>
      <c r="J977" s="34"/>
      <c r="K977" s="105"/>
      <c r="L977" s="34"/>
      <c r="M977" s="34"/>
      <c r="N977" s="34"/>
      <c r="O977" s="105"/>
      <c r="P977" s="105"/>
      <c r="Q977" s="105"/>
      <c r="R977" s="105"/>
      <c r="S977" s="105"/>
      <c r="T977" s="105"/>
      <c r="U977" s="105"/>
      <c r="V977" s="105"/>
      <c r="W977" s="105"/>
      <c r="X977" s="105"/>
      <c r="Y977" s="105"/>
      <c r="Z977" s="105"/>
      <c r="AA977" s="105"/>
      <c r="AB977" s="105"/>
      <c r="AC977" s="105"/>
    </row>
    <row r="978" spans="1:29" ht="12.75">
      <c r="A978" s="34"/>
      <c r="B978" s="34"/>
      <c r="C978" s="34"/>
      <c r="D978" s="34"/>
      <c r="E978" s="188"/>
      <c r="F978" s="34"/>
      <c r="G978" s="34"/>
      <c r="H978" s="34"/>
      <c r="I978" s="34"/>
      <c r="J978" s="34"/>
      <c r="K978" s="105"/>
      <c r="L978" s="34"/>
      <c r="M978" s="34"/>
      <c r="N978" s="34"/>
      <c r="O978" s="105"/>
      <c r="P978" s="105"/>
      <c r="Q978" s="105"/>
      <c r="R978" s="105"/>
      <c r="S978" s="105"/>
      <c r="T978" s="105"/>
      <c r="U978" s="105"/>
      <c r="V978" s="105"/>
      <c r="W978" s="105"/>
      <c r="X978" s="105"/>
      <c r="Y978" s="105"/>
      <c r="Z978" s="105"/>
      <c r="AA978" s="105"/>
      <c r="AB978" s="105"/>
      <c r="AC978" s="105"/>
    </row>
    <row r="979" spans="1:29" ht="12.75">
      <c r="A979" s="34"/>
      <c r="B979" s="34"/>
      <c r="C979" s="34"/>
      <c r="D979" s="34"/>
      <c r="E979" s="188"/>
      <c r="F979" s="34"/>
      <c r="G979" s="34"/>
      <c r="H979" s="34"/>
      <c r="I979" s="34"/>
      <c r="J979" s="34"/>
      <c r="K979" s="105"/>
      <c r="L979" s="34"/>
      <c r="M979" s="34"/>
      <c r="N979" s="34"/>
      <c r="O979" s="105"/>
      <c r="P979" s="105"/>
      <c r="Q979" s="105"/>
      <c r="R979" s="105"/>
      <c r="S979" s="105"/>
      <c r="T979" s="105"/>
      <c r="U979" s="105"/>
      <c r="V979" s="105"/>
      <c r="W979" s="105"/>
      <c r="X979" s="105"/>
      <c r="Y979" s="105"/>
      <c r="Z979" s="105"/>
      <c r="AA979" s="105"/>
      <c r="AB979" s="105"/>
      <c r="AC979" s="105"/>
    </row>
    <row r="980" spans="1:29" ht="12.75">
      <c r="A980" s="34"/>
      <c r="B980" s="34"/>
      <c r="C980" s="34"/>
      <c r="D980" s="34"/>
      <c r="E980" s="188"/>
      <c r="F980" s="34"/>
      <c r="G980" s="34"/>
      <c r="H980" s="34"/>
      <c r="I980" s="34"/>
      <c r="J980" s="34"/>
      <c r="K980" s="105"/>
      <c r="L980" s="34"/>
      <c r="M980" s="34"/>
      <c r="N980" s="34"/>
      <c r="O980" s="105"/>
      <c r="P980" s="105"/>
      <c r="Q980" s="105"/>
      <c r="R980" s="105"/>
      <c r="S980" s="105"/>
      <c r="T980" s="105"/>
      <c r="U980" s="105"/>
      <c r="V980" s="105"/>
      <c r="W980" s="105"/>
      <c r="X980" s="105"/>
      <c r="Y980" s="105"/>
      <c r="Z980" s="105"/>
      <c r="AA980" s="105"/>
      <c r="AB980" s="105"/>
      <c r="AC980" s="105"/>
    </row>
    <row r="981" spans="1:29" ht="12.75">
      <c r="A981" s="34"/>
      <c r="B981" s="34"/>
      <c r="C981" s="34"/>
      <c r="D981" s="34"/>
      <c r="E981" s="188"/>
      <c r="F981" s="34"/>
      <c r="G981" s="34"/>
      <c r="H981" s="34"/>
      <c r="I981" s="34"/>
      <c r="J981" s="34"/>
      <c r="K981" s="105"/>
      <c r="L981" s="34"/>
      <c r="M981" s="34"/>
      <c r="N981" s="34"/>
      <c r="O981" s="105"/>
      <c r="P981" s="105"/>
      <c r="Q981" s="105"/>
      <c r="R981" s="105"/>
      <c r="S981" s="105"/>
      <c r="T981" s="105"/>
      <c r="U981" s="105"/>
      <c r="V981" s="105"/>
      <c r="W981" s="105"/>
      <c r="X981" s="105"/>
      <c r="Y981" s="105"/>
      <c r="Z981" s="105"/>
      <c r="AA981" s="105"/>
      <c r="AB981" s="105"/>
      <c r="AC981" s="105"/>
    </row>
    <row r="982" spans="1:29" ht="12.75">
      <c r="A982" s="34"/>
      <c r="B982" s="34"/>
      <c r="C982" s="34"/>
      <c r="D982" s="34"/>
      <c r="E982" s="188"/>
      <c r="F982" s="34"/>
      <c r="G982" s="34"/>
      <c r="H982" s="34"/>
      <c r="I982" s="34"/>
      <c r="J982" s="34"/>
      <c r="K982" s="105"/>
      <c r="L982" s="34"/>
      <c r="M982" s="34"/>
      <c r="N982" s="34"/>
      <c r="O982" s="105"/>
      <c r="P982" s="105"/>
      <c r="Q982" s="105"/>
      <c r="R982" s="105"/>
      <c r="S982" s="105"/>
      <c r="T982" s="105"/>
      <c r="U982" s="105"/>
      <c r="V982" s="105"/>
      <c r="W982" s="105"/>
      <c r="X982" s="105"/>
      <c r="Y982" s="105"/>
      <c r="Z982" s="105"/>
      <c r="AA982" s="105"/>
      <c r="AB982" s="105"/>
      <c r="AC982" s="105"/>
    </row>
    <row r="983" spans="1:29" ht="12.75">
      <c r="A983" s="34"/>
      <c r="B983" s="34"/>
      <c r="C983" s="34"/>
      <c r="D983" s="34"/>
      <c r="E983" s="188"/>
      <c r="F983" s="34"/>
      <c r="G983" s="34"/>
      <c r="H983" s="34"/>
      <c r="I983" s="34"/>
      <c r="J983" s="34"/>
      <c r="K983" s="105"/>
      <c r="L983" s="34"/>
      <c r="M983" s="34"/>
      <c r="N983" s="34"/>
      <c r="O983" s="105"/>
      <c r="P983" s="105"/>
      <c r="Q983" s="105"/>
      <c r="R983" s="105"/>
      <c r="S983" s="105"/>
      <c r="T983" s="105"/>
      <c r="U983" s="105"/>
      <c r="V983" s="105"/>
      <c r="W983" s="105"/>
      <c r="X983" s="105"/>
      <c r="Y983" s="105"/>
      <c r="Z983" s="105"/>
      <c r="AA983" s="105"/>
      <c r="AB983" s="105"/>
      <c r="AC983" s="105"/>
    </row>
    <row r="984" spans="1:29" ht="12.75">
      <c r="A984" s="34"/>
      <c r="B984" s="34"/>
      <c r="C984" s="34"/>
      <c r="D984" s="34"/>
      <c r="E984" s="188"/>
      <c r="F984" s="34"/>
      <c r="G984" s="34"/>
      <c r="H984" s="34"/>
      <c r="I984" s="34"/>
      <c r="J984" s="34"/>
      <c r="K984" s="105"/>
      <c r="L984" s="34"/>
      <c r="M984" s="34"/>
      <c r="N984" s="34"/>
      <c r="O984" s="105"/>
      <c r="P984" s="105"/>
      <c r="Q984" s="105"/>
      <c r="R984" s="105"/>
      <c r="S984" s="105"/>
      <c r="T984" s="105"/>
      <c r="U984" s="105"/>
      <c r="V984" s="105"/>
      <c r="W984" s="105"/>
      <c r="X984" s="105"/>
      <c r="Y984" s="105"/>
      <c r="Z984" s="105"/>
      <c r="AA984" s="105"/>
      <c r="AB984" s="105"/>
      <c r="AC984" s="105"/>
    </row>
    <row r="985" spans="1:29" ht="12.75">
      <c r="A985" s="34"/>
      <c r="B985" s="34"/>
      <c r="C985" s="34"/>
      <c r="D985" s="34"/>
      <c r="E985" s="188"/>
      <c r="F985" s="34"/>
      <c r="G985" s="34"/>
      <c r="H985" s="34"/>
      <c r="I985" s="34"/>
      <c r="J985" s="34"/>
      <c r="K985" s="105"/>
      <c r="L985" s="34"/>
      <c r="M985" s="34"/>
      <c r="N985" s="34"/>
      <c r="O985" s="105"/>
      <c r="P985" s="105"/>
      <c r="Q985" s="105"/>
      <c r="R985" s="105"/>
      <c r="S985" s="105"/>
      <c r="T985" s="105"/>
      <c r="U985" s="105"/>
      <c r="V985" s="105"/>
      <c r="W985" s="105"/>
      <c r="X985" s="105"/>
      <c r="Y985" s="105"/>
      <c r="Z985" s="105"/>
      <c r="AA985" s="105"/>
      <c r="AB985" s="105"/>
      <c r="AC985" s="105"/>
    </row>
    <row r="986" spans="1:29" ht="12.75">
      <c r="A986" s="34"/>
      <c r="B986" s="34"/>
      <c r="C986" s="34"/>
      <c r="D986" s="34"/>
      <c r="E986" s="188"/>
      <c r="F986" s="34"/>
      <c r="G986" s="34"/>
      <c r="H986" s="34"/>
      <c r="I986" s="34"/>
      <c r="J986" s="34"/>
      <c r="K986" s="105"/>
      <c r="L986" s="34"/>
      <c r="M986" s="34"/>
      <c r="N986" s="34"/>
      <c r="O986" s="105"/>
      <c r="P986" s="105"/>
      <c r="Q986" s="105"/>
      <c r="R986" s="105"/>
      <c r="S986" s="105"/>
      <c r="T986" s="105"/>
      <c r="U986" s="105"/>
      <c r="V986" s="105"/>
      <c r="W986" s="105"/>
      <c r="X986" s="105"/>
      <c r="Y986" s="105"/>
      <c r="Z986" s="105"/>
      <c r="AA986" s="105"/>
      <c r="AB986" s="105"/>
      <c r="AC986" s="105"/>
    </row>
    <row r="987" spans="1:29" ht="12.75">
      <c r="A987" s="34"/>
      <c r="B987" s="34"/>
      <c r="C987" s="34"/>
      <c r="D987" s="34"/>
      <c r="E987" s="188"/>
      <c r="F987" s="34"/>
      <c r="G987" s="34"/>
      <c r="H987" s="34"/>
      <c r="I987" s="34"/>
      <c r="J987" s="34"/>
      <c r="K987" s="105"/>
      <c r="L987" s="34"/>
      <c r="M987" s="34"/>
      <c r="N987" s="34"/>
      <c r="O987" s="105"/>
      <c r="P987" s="105"/>
      <c r="Q987" s="105"/>
      <c r="R987" s="105"/>
      <c r="S987" s="105"/>
      <c r="T987" s="105"/>
      <c r="U987" s="105"/>
      <c r="V987" s="105"/>
      <c r="W987" s="105"/>
      <c r="X987" s="105"/>
      <c r="Y987" s="105"/>
      <c r="Z987" s="105"/>
      <c r="AA987" s="105"/>
      <c r="AB987" s="105"/>
      <c r="AC987" s="105"/>
    </row>
    <row r="988" spans="1:29" ht="12.75">
      <c r="A988" s="34"/>
      <c r="B988" s="34"/>
      <c r="C988" s="34"/>
      <c r="D988" s="34"/>
      <c r="E988" s="188"/>
      <c r="F988" s="34"/>
      <c r="G988" s="34"/>
      <c r="H988" s="34"/>
      <c r="I988" s="34"/>
      <c r="J988" s="34"/>
      <c r="K988" s="105"/>
      <c r="L988" s="34"/>
      <c r="M988" s="34"/>
      <c r="N988" s="34"/>
      <c r="O988" s="105"/>
      <c r="P988" s="105"/>
      <c r="Q988" s="105"/>
      <c r="R988" s="105"/>
      <c r="S988" s="105"/>
      <c r="T988" s="105"/>
      <c r="U988" s="105"/>
      <c r="V988" s="105"/>
      <c r="W988" s="105"/>
      <c r="X988" s="105"/>
      <c r="Y988" s="105"/>
      <c r="Z988" s="105"/>
      <c r="AA988" s="105"/>
      <c r="AB988" s="105"/>
      <c r="AC988" s="105"/>
    </row>
    <row r="989" spans="1:29" ht="12.75">
      <c r="A989" s="34"/>
      <c r="B989" s="34"/>
      <c r="C989" s="34"/>
      <c r="D989" s="34"/>
      <c r="E989" s="188"/>
      <c r="F989" s="34"/>
      <c r="G989" s="34"/>
      <c r="H989" s="34"/>
      <c r="I989" s="34"/>
      <c r="J989" s="34"/>
      <c r="K989" s="105"/>
      <c r="L989" s="34"/>
      <c r="M989" s="34"/>
      <c r="N989" s="34"/>
      <c r="O989" s="105"/>
      <c r="P989" s="105"/>
      <c r="Q989" s="105"/>
      <c r="R989" s="105"/>
      <c r="S989" s="105"/>
      <c r="T989" s="105"/>
      <c r="U989" s="105"/>
      <c r="V989" s="105"/>
      <c r="W989" s="105"/>
      <c r="X989" s="105"/>
      <c r="Y989" s="105"/>
      <c r="Z989" s="105"/>
      <c r="AA989" s="105"/>
      <c r="AB989" s="105"/>
      <c r="AC989" s="105"/>
    </row>
    <row r="990" spans="1:29" ht="12.75">
      <c r="A990" s="34"/>
      <c r="B990" s="34"/>
      <c r="C990" s="34"/>
      <c r="D990" s="34"/>
      <c r="E990" s="188"/>
      <c r="F990" s="34"/>
      <c r="G990" s="34"/>
      <c r="H990" s="34"/>
      <c r="I990" s="34"/>
      <c r="J990" s="34"/>
      <c r="K990" s="105"/>
      <c r="L990" s="34"/>
      <c r="M990" s="34"/>
      <c r="N990" s="34"/>
      <c r="O990" s="105"/>
      <c r="P990" s="105"/>
      <c r="Q990" s="105"/>
      <c r="R990" s="105"/>
      <c r="S990" s="105"/>
      <c r="T990" s="105"/>
      <c r="U990" s="105"/>
      <c r="V990" s="105"/>
      <c r="W990" s="105"/>
      <c r="X990" s="105"/>
      <c r="Y990" s="105"/>
      <c r="Z990" s="105"/>
      <c r="AA990" s="105"/>
      <c r="AB990" s="105"/>
      <c r="AC990" s="105"/>
    </row>
    <row r="991" spans="1:29" ht="12.75">
      <c r="A991" s="34"/>
      <c r="B991" s="34"/>
      <c r="C991" s="34"/>
      <c r="D991" s="34"/>
      <c r="E991" s="188"/>
      <c r="F991" s="34"/>
      <c r="G991" s="34"/>
      <c r="H991" s="34"/>
      <c r="I991" s="34"/>
      <c r="J991" s="34"/>
      <c r="K991" s="105"/>
      <c r="L991" s="34"/>
      <c r="M991" s="34"/>
      <c r="N991" s="34"/>
      <c r="O991" s="105"/>
      <c r="P991" s="105"/>
      <c r="Q991" s="105"/>
      <c r="R991" s="105"/>
      <c r="S991" s="105"/>
      <c r="T991" s="105"/>
      <c r="U991" s="105"/>
      <c r="V991" s="105"/>
      <c r="W991" s="105"/>
      <c r="X991" s="105"/>
      <c r="Y991" s="105"/>
      <c r="Z991" s="105"/>
      <c r="AA991" s="105"/>
      <c r="AB991" s="105"/>
      <c r="AC991" s="105"/>
    </row>
    <row r="992" spans="1:29" ht="12.75">
      <c r="A992" s="34"/>
      <c r="B992" s="34"/>
      <c r="C992" s="34"/>
      <c r="D992" s="34"/>
      <c r="E992" s="188"/>
      <c r="F992" s="34"/>
      <c r="G992" s="34"/>
      <c r="H992" s="34"/>
      <c r="I992" s="34"/>
      <c r="J992" s="34"/>
      <c r="K992" s="105"/>
      <c r="L992" s="34"/>
      <c r="M992" s="34"/>
      <c r="N992" s="34"/>
      <c r="O992" s="105"/>
      <c r="P992" s="105"/>
      <c r="Q992" s="105"/>
      <c r="R992" s="105"/>
      <c r="S992" s="105"/>
      <c r="T992" s="105"/>
      <c r="U992" s="105"/>
      <c r="V992" s="105"/>
      <c r="W992" s="105"/>
      <c r="X992" s="105"/>
      <c r="Y992" s="105"/>
      <c r="Z992" s="105"/>
      <c r="AA992" s="105"/>
      <c r="AB992" s="105"/>
      <c r="AC992" s="105"/>
    </row>
    <row r="993" spans="1:29" ht="12.75">
      <c r="A993" s="34"/>
      <c r="B993" s="34"/>
      <c r="C993" s="34"/>
      <c r="D993" s="34"/>
      <c r="E993" s="188"/>
      <c r="F993" s="34"/>
      <c r="G993" s="34"/>
      <c r="H993" s="34"/>
      <c r="I993" s="34"/>
      <c r="J993" s="34"/>
      <c r="K993" s="105"/>
      <c r="L993" s="34"/>
      <c r="M993" s="34"/>
      <c r="N993" s="34"/>
      <c r="O993" s="105"/>
      <c r="P993" s="105"/>
      <c r="Q993" s="105"/>
      <c r="R993" s="105"/>
      <c r="S993" s="105"/>
      <c r="T993" s="105"/>
      <c r="U993" s="105"/>
      <c r="V993" s="105"/>
      <c r="W993" s="105"/>
      <c r="X993" s="105"/>
      <c r="Y993" s="105"/>
      <c r="Z993" s="105"/>
      <c r="AA993" s="105"/>
      <c r="AB993" s="105"/>
      <c r="AC993" s="105"/>
    </row>
    <row r="994" spans="1:29" ht="12.75">
      <c r="A994" s="34"/>
      <c r="B994" s="34"/>
      <c r="C994" s="34"/>
      <c r="D994" s="34"/>
      <c r="E994" s="188"/>
      <c r="F994" s="34"/>
      <c r="G994" s="34"/>
      <c r="H994" s="34"/>
      <c r="I994" s="34"/>
      <c r="J994" s="34"/>
      <c r="K994" s="105"/>
      <c r="L994" s="34"/>
      <c r="M994" s="34"/>
      <c r="N994" s="34"/>
      <c r="O994" s="105"/>
      <c r="P994" s="105"/>
      <c r="Q994" s="105"/>
      <c r="R994" s="105"/>
      <c r="S994" s="105"/>
      <c r="T994" s="105"/>
      <c r="U994" s="105"/>
      <c r="V994" s="105"/>
      <c r="W994" s="105"/>
      <c r="X994" s="105"/>
      <c r="Y994" s="105"/>
      <c r="Z994" s="105"/>
      <c r="AA994" s="105"/>
      <c r="AB994" s="105"/>
      <c r="AC994" s="105"/>
    </row>
    <row r="995" spans="1:29" ht="12.75">
      <c r="A995" s="34"/>
      <c r="B995" s="34"/>
      <c r="C995" s="34"/>
      <c r="D995" s="34"/>
      <c r="E995" s="188"/>
      <c r="F995" s="34"/>
      <c r="G995" s="34"/>
      <c r="H995" s="34"/>
      <c r="I995" s="34"/>
      <c r="J995" s="34"/>
      <c r="K995" s="105"/>
      <c r="L995" s="34"/>
      <c r="M995" s="34"/>
      <c r="N995" s="34"/>
      <c r="O995" s="105"/>
      <c r="P995" s="105"/>
      <c r="Q995" s="105"/>
      <c r="R995" s="105"/>
      <c r="S995" s="105"/>
      <c r="T995" s="105"/>
      <c r="U995" s="105"/>
      <c r="V995" s="105"/>
      <c r="W995" s="105"/>
      <c r="X995" s="105"/>
      <c r="Y995" s="105"/>
      <c r="Z995" s="105"/>
      <c r="AA995" s="105"/>
      <c r="AB995" s="105"/>
      <c r="AC995" s="105"/>
    </row>
    <row r="996" spans="1:29" ht="12.75">
      <c r="A996" s="34"/>
      <c r="B996" s="34"/>
      <c r="C996" s="34"/>
      <c r="D996" s="34"/>
      <c r="E996" s="188"/>
      <c r="F996" s="34"/>
      <c r="G996" s="34"/>
      <c r="H996" s="34"/>
      <c r="I996" s="34"/>
      <c r="J996" s="34"/>
      <c r="K996" s="105"/>
      <c r="L996" s="34"/>
      <c r="M996" s="34"/>
      <c r="N996" s="34"/>
      <c r="O996" s="105"/>
      <c r="P996" s="105"/>
      <c r="Q996" s="105"/>
      <c r="R996" s="105"/>
      <c r="S996" s="105"/>
      <c r="T996" s="105"/>
      <c r="U996" s="105"/>
      <c r="V996" s="105"/>
      <c r="W996" s="105"/>
      <c r="X996" s="105"/>
      <c r="Y996" s="105"/>
      <c r="Z996" s="105"/>
      <c r="AA996" s="105"/>
      <c r="AB996" s="105"/>
      <c r="AC996" s="105"/>
    </row>
    <row r="997" spans="1:29" ht="12.75">
      <c r="A997" s="34"/>
      <c r="B997" s="34"/>
      <c r="C997" s="34"/>
      <c r="D997" s="34"/>
      <c r="E997" s="188"/>
      <c r="F997" s="34"/>
      <c r="G997" s="34"/>
      <c r="H997" s="34"/>
      <c r="I997" s="34"/>
      <c r="J997" s="34"/>
      <c r="K997" s="105"/>
      <c r="L997" s="34"/>
      <c r="M997" s="34"/>
      <c r="N997" s="34"/>
      <c r="O997" s="105"/>
      <c r="P997" s="105"/>
      <c r="Q997" s="105"/>
      <c r="R997" s="105"/>
      <c r="S997" s="105"/>
      <c r="T997" s="105"/>
      <c r="U997" s="105"/>
      <c r="V997" s="105"/>
      <c r="W997" s="105"/>
      <c r="X997" s="105"/>
      <c r="Y997" s="105"/>
      <c r="Z997" s="105"/>
      <c r="AA997" s="105"/>
      <c r="AB997" s="105"/>
      <c r="AC997" s="105"/>
    </row>
    <row r="998" spans="1:29" ht="12.75">
      <c r="A998" s="34"/>
      <c r="B998" s="34"/>
      <c r="C998" s="34"/>
      <c r="D998" s="34"/>
      <c r="E998" s="188"/>
      <c r="F998" s="34"/>
      <c r="G998" s="34"/>
      <c r="H998" s="34"/>
      <c r="I998" s="34"/>
      <c r="J998" s="34"/>
      <c r="K998" s="105"/>
      <c r="L998" s="34"/>
      <c r="M998" s="34"/>
      <c r="N998" s="34"/>
      <c r="O998" s="105"/>
      <c r="P998" s="105"/>
      <c r="Q998" s="105"/>
      <c r="R998" s="105"/>
      <c r="S998" s="105"/>
      <c r="T998" s="105"/>
      <c r="U998" s="105"/>
      <c r="V998" s="105"/>
      <c r="W998" s="105"/>
      <c r="X998" s="105"/>
      <c r="Y998" s="105"/>
      <c r="Z998" s="105"/>
      <c r="AA998" s="105"/>
      <c r="AB998" s="105"/>
      <c r="AC998" s="105"/>
    </row>
    <row r="999" spans="1:29" ht="12.75">
      <c r="A999" s="34"/>
      <c r="B999" s="34"/>
      <c r="C999" s="34"/>
      <c r="D999" s="34"/>
      <c r="E999" s="188"/>
      <c r="F999" s="34"/>
      <c r="G999" s="34"/>
      <c r="H999" s="34"/>
      <c r="I999" s="34"/>
      <c r="J999" s="34"/>
      <c r="K999" s="105"/>
      <c r="L999" s="34"/>
      <c r="M999" s="34"/>
      <c r="N999" s="34"/>
      <c r="O999" s="105"/>
      <c r="P999" s="105"/>
      <c r="Q999" s="105"/>
      <c r="R999" s="105"/>
      <c r="S999" s="105"/>
      <c r="T999" s="105"/>
      <c r="U999" s="105"/>
      <c r="V999" s="105"/>
      <c r="W999" s="105"/>
      <c r="X999" s="105"/>
      <c r="Y999" s="105"/>
      <c r="Z999" s="105"/>
      <c r="AA999" s="105"/>
      <c r="AB999" s="105"/>
      <c r="AC999" s="105"/>
    </row>
    <row r="1000" spans="1:29" ht="12.75">
      <c r="A1000" s="34"/>
      <c r="B1000" s="34"/>
      <c r="C1000" s="34"/>
      <c r="D1000" s="34"/>
      <c r="E1000" s="188"/>
      <c r="F1000" s="34"/>
      <c r="G1000" s="34"/>
      <c r="H1000" s="34"/>
      <c r="I1000" s="34"/>
      <c r="J1000" s="34"/>
      <c r="K1000" s="105"/>
      <c r="L1000" s="34"/>
      <c r="M1000" s="34"/>
      <c r="N1000" s="34"/>
      <c r="O1000" s="105"/>
      <c r="P1000" s="105"/>
      <c r="Q1000" s="105"/>
      <c r="R1000" s="105"/>
      <c r="S1000" s="105"/>
      <c r="T1000" s="105"/>
      <c r="U1000" s="105"/>
      <c r="V1000" s="105"/>
      <c r="W1000" s="105"/>
      <c r="X1000" s="105"/>
      <c r="Y1000" s="105"/>
      <c r="Z1000" s="105"/>
      <c r="AA1000" s="105"/>
      <c r="AB1000" s="105"/>
      <c r="AC1000" s="105"/>
    </row>
    <row r="1001" spans="1:29" ht="12.75">
      <c r="A1001" s="34"/>
      <c r="B1001" s="34"/>
      <c r="C1001" s="34"/>
      <c r="D1001" s="34"/>
      <c r="E1001" s="188"/>
      <c r="F1001" s="34"/>
      <c r="G1001" s="34"/>
      <c r="H1001" s="34"/>
      <c r="I1001" s="34"/>
      <c r="J1001" s="34"/>
      <c r="K1001" s="105"/>
      <c r="L1001" s="34"/>
      <c r="M1001" s="34"/>
      <c r="N1001" s="34"/>
      <c r="O1001" s="105"/>
      <c r="P1001" s="105"/>
      <c r="Q1001" s="105"/>
      <c r="R1001" s="105"/>
      <c r="S1001" s="105"/>
      <c r="T1001" s="105"/>
      <c r="U1001" s="105"/>
      <c r="V1001" s="105"/>
      <c r="W1001" s="105"/>
      <c r="X1001" s="105"/>
      <c r="Y1001" s="105"/>
      <c r="Z1001" s="105"/>
      <c r="AA1001" s="105"/>
      <c r="AB1001" s="105"/>
      <c r="AC1001" s="105"/>
    </row>
    <row r="1002" spans="1:29" ht="12.75">
      <c r="A1002" s="34"/>
      <c r="B1002" s="34"/>
      <c r="C1002" s="34"/>
      <c r="D1002" s="34"/>
      <c r="E1002" s="188"/>
      <c r="F1002" s="34"/>
      <c r="G1002" s="34"/>
      <c r="H1002" s="34"/>
      <c r="I1002" s="34"/>
      <c r="J1002" s="34"/>
      <c r="K1002" s="105"/>
      <c r="L1002" s="34"/>
      <c r="M1002" s="34"/>
      <c r="N1002" s="34"/>
      <c r="O1002" s="105"/>
      <c r="P1002" s="105"/>
      <c r="Q1002" s="105"/>
      <c r="R1002" s="105"/>
      <c r="S1002" s="105"/>
      <c r="T1002" s="105"/>
      <c r="U1002" s="105"/>
      <c r="V1002" s="105"/>
      <c r="W1002" s="105"/>
      <c r="X1002" s="105"/>
      <c r="Y1002" s="105"/>
      <c r="Z1002" s="105"/>
      <c r="AA1002" s="105"/>
      <c r="AB1002" s="105"/>
      <c r="AC1002" s="105"/>
    </row>
    <row r="1003" spans="1:29" ht="12.75">
      <c r="A1003" s="34"/>
      <c r="B1003" s="34"/>
      <c r="C1003" s="34"/>
      <c r="D1003" s="34"/>
      <c r="E1003" s="188"/>
      <c r="F1003" s="34"/>
      <c r="G1003" s="34"/>
      <c r="H1003" s="34"/>
      <c r="I1003" s="34"/>
      <c r="J1003" s="34"/>
      <c r="K1003" s="105"/>
      <c r="L1003" s="34"/>
      <c r="M1003" s="34"/>
      <c r="N1003" s="34"/>
      <c r="O1003" s="105"/>
      <c r="P1003" s="105"/>
      <c r="Q1003" s="105"/>
      <c r="R1003" s="105"/>
      <c r="S1003" s="105"/>
      <c r="T1003" s="105"/>
      <c r="U1003" s="105"/>
      <c r="V1003" s="105"/>
      <c r="W1003" s="105"/>
      <c r="X1003" s="105"/>
      <c r="Y1003" s="105"/>
      <c r="Z1003" s="105"/>
      <c r="AA1003" s="105"/>
      <c r="AB1003" s="105"/>
      <c r="AC1003" s="105"/>
    </row>
  </sheetData>
  <autoFilter ref="A1:AC86" xr:uid="{00000000-0009-0000-0000-000025000000}"/>
  <hyperlinks>
    <hyperlink ref="C2" r:id="rId1" xr:uid="{00000000-0004-0000-2500-000000000000}"/>
    <hyperlink ref="C3" r:id="rId2" xr:uid="{00000000-0004-0000-2500-000001000000}"/>
    <hyperlink ref="C4" r:id="rId3" xr:uid="{00000000-0004-0000-2500-000002000000}"/>
    <hyperlink ref="C5" r:id="rId4" xr:uid="{00000000-0004-0000-2500-000003000000}"/>
    <hyperlink ref="C6" r:id="rId5" xr:uid="{00000000-0004-0000-2500-000004000000}"/>
    <hyperlink ref="C7" r:id="rId6" xr:uid="{00000000-0004-0000-2500-000005000000}"/>
    <hyperlink ref="C8" r:id="rId7" xr:uid="{00000000-0004-0000-2500-000006000000}"/>
    <hyperlink ref="C9" r:id="rId8" xr:uid="{00000000-0004-0000-2500-000007000000}"/>
    <hyperlink ref="C10" r:id="rId9" xr:uid="{00000000-0004-0000-2500-000008000000}"/>
    <hyperlink ref="C11" r:id="rId10" xr:uid="{00000000-0004-0000-2500-000009000000}"/>
    <hyperlink ref="C12" r:id="rId11" xr:uid="{00000000-0004-0000-2500-00000A000000}"/>
    <hyperlink ref="C13" r:id="rId12" xr:uid="{00000000-0004-0000-2500-00000B000000}"/>
    <hyperlink ref="C14" r:id="rId13" xr:uid="{00000000-0004-0000-2500-00000C000000}"/>
    <hyperlink ref="C15" r:id="rId14" xr:uid="{00000000-0004-0000-2500-00000D000000}"/>
    <hyperlink ref="C16" r:id="rId15" xr:uid="{00000000-0004-0000-2500-00000E000000}"/>
    <hyperlink ref="C17" r:id="rId16" xr:uid="{00000000-0004-0000-2500-00000F000000}"/>
    <hyperlink ref="C18" r:id="rId17" xr:uid="{00000000-0004-0000-2500-000010000000}"/>
    <hyperlink ref="C19" r:id="rId18" xr:uid="{00000000-0004-0000-2500-000011000000}"/>
    <hyperlink ref="C20" r:id="rId19" xr:uid="{00000000-0004-0000-2500-000012000000}"/>
    <hyperlink ref="C21" r:id="rId20" xr:uid="{00000000-0004-0000-2500-000013000000}"/>
    <hyperlink ref="C22" r:id="rId21" xr:uid="{00000000-0004-0000-2500-000014000000}"/>
    <hyperlink ref="C23" r:id="rId22" xr:uid="{00000000-0004-0000-2500-000015000000}"/>
    <hyperlink ref="C24" r:id="rId23" xr:uid="{00000000-0004-0000-2500-000016000000}"/>
    <hyperlink ref="C25" r:id="rId24" xr:uid="{00000000-0004-0000-2500-000017000000}"/>
    <hyperlink ref="C26" r:id="rId25" xr:uid="{00000000-0004-0000-2500-000018000000}"/>
    <hyperlink ref="C27" r:id="rId26" xr:uid="{00000000-0004-0000-2500-000019000000}"/>
    <hyperlink ref="C28" r:id="rId27" xr:uid="{00000000-0004-0000-2500-00001A000000}"/>
    <hyperlink ref="C29" r:id="rId28" xr:uid="{00000000-0004-0000-2500-00001B000000}"/>
    <hyperlink ref="C30" r:id="rId29" xr:uid="{00000000-0004-0000-2500-00001C000000}"/>
    <hyperlink ref="C31" r:id="rId30" xr:uid="{00000000-0004-0000-2500-00001D000000}"/>
    <hyperlink ref="C32" r:id="rId31" xr:uid="{00000000-0004-0000-2500-00001E000000}"/>
    <hyperlink ref="C33" r:id="rId32" xr:uid="{00000000-0004-0000-2500-00001F000000}"/>
    <hyperlink ref="C34" r:id="rId33" xr:uid="{00000000-0004-0000-2500-000020000000}"/>
    <hyperlink ref="C35" r:id="rId34" xr:uid="{00000000-0004-0000-2500-000021000000}"/>
    <hyperlink ref="C36" r:id="rId35" xr:uid="{00000000-0004-0000-2500-000022000000}"/>
    <hyperlink ref="C37" r:id="rId36" xr:uid="{00000000-0004-0000-2500-000023000000}"/>
    <hyperlink ref="C38" r:id="rId37" xr:uid="{00000000-0004-0000-2500-000024000000}"/>
    <hyperlink ref="C39" r:id="rId38" xr:uid="{00000000-0004-0000-2500-000025000000}"/>
    <hyperlink ref="C40" r:id="rId39" xr:uid="{00000000-0004-0000-2500-000026000000}"/>
    <hyperlink ref="C41" r:id="rId40" xr:uid="{00000000-0004-0000-2500-000027000000}"/>
    <hyperlink ref="C42" r:id="rId41" xr:uid="{00000000-0004-0000-2500-000028000000}"/>
    <hyperlink ref="C43" r:id="rId42" xr:uid="{00000000-0004-0000-2500-000029000000}"/>
    <hyperlink ref="C44" r:id="rId43" xr:uid="{00000000-0004-0000-2500-00002A000000}"/>
    <hyperlink ref="C45" r:id="rId44" xr:uid="{00000000-0004-0000-2500-00002B000000}"/>
    <hyperlink ref="C46" r:id="rId45" xr:uid="{00000000-0004-0000-2500-00002C000000}"/>
    <hyperlink ref="C47" r:id="rId46" xr:uid="{00000000-0004-0000-2500-00002D000000}"/>
    <hyperlink ref="C48" r:id="rId47" xr:uid="{00000000-0004-0000-2500-00002E000000}"/>
    <hyperlink ref="C49" r:id="rId48" xr:uid="{00000000-0004-0000-2500-00002F000000}"/>
    <hyperlink ref="C50" r:id="rId49" xr:uid="{00000000-0004-0000-2500-000030000000}"/>
    <hyperlink ref="C51" r:id="rId50" xr:uid="{00000000-0004-0000-2500-000031000000}"/>
    <hyperlink ref="C52" r:id="rId51" xr:uid="{00000000-0004-0000-2500-000032000000}"/>
    <hyperlink ref="C53" r:id="rId52" xr:uid="{00000000-0004-0000-2500-000033000000}"/>
    <hyperlink ref="C54" r:id="rId53" xr:uid="{00000000-0004-0000-2500-000034000000}"/>
    <hyperlink ref="C55" r:id="rId54" xr:uid="{00000000-0004-0000-2500-000035000000}"/>
    <hyperlink ref="C56" r:id="rId55" xr:uid="{00000000-0004-0000-2500-000036000000}"/>
    <hyperlink ref="C57" r:id="rId56" xr:uid="{00000000-0004-0000-2500-000037000000}"/>
    <hyperlink ref="C58" r:id="rId57" xr:uid="{00000000-0004-0000-2500-000038000000}"/>
    <hyperlink ref="C59" r:id="rId58" xr:uid="{00000000-0004-0000-2500-000039000000}"/>
    <hyperlink ref="C60" r:id="rId59" xr:uid="{00000000-0004-0000-2500-00003A000000}"/>
    <hyperlink ref="C61" r:id="rId60" xr:uid="{00000000-0004-0000-2500-00003B000000}"/>
    <hyperlink ref="C62" r:id="rId61" xr:uid="{00000000-0004-0000-2500-00003C000000}"/>
    <hyperlink ref="C63" r:id="rId62" xr:uid="{00000000-0004-0000-2500-00003D000000}"/>
    <hyperlink ref="C64" r:id="rId63" xr:uid="{00000000-0004-0000-2500-00003E000000}"/>
    <hyperlink ref="C65" r:id="rId64" xr:uid="{00000000-0004-0000-2500-00003F000000}"/>
    <hyperlink ref="C66" r:id="rId65" xr:uid="{00000000-0004-0000-2500-000040000000}"/>
    <hyperlink ref="C67" r:id="rId66" xr:uid="{00000000-0004-0000-2500-000041000000}"/>
    <hyperlink ref="C68" r:id="rId67" xr:uid="{00000000-0004-0000-2500-000042000000}"/>
    <hyperlink ref="C69" r:id="rId68" xr:uid="{00000000-0004-0000-2500-000043000000}"/>
    <hyperlink ref="C70" r:id="rId69" xr:uid="{00000000-0004-0000-2500-000044000000}"/>
    <hyperlink ref="C71" r:id="rId70" xr:uid="{00000000-0004-0000-2500-000045000000}"/>
    <hyperlink ref="C72" r:id="rId71" xr:uid="{00000000-0004-0000-2500-000046000000}"/>
    <hyperlink ref="C73" r:id="rId72" xr:uid="{00000000-0004-0000-2500-000047000000}"/>
    <hyperlink ref="C74" r:id="rId73" xr:uid="{00000000-0004-0000-2500-000048000000}"/>
    <hyperlink ref="C75" r:id="rId74" xr:uid="{00000000-0004-0000-2500-000049000000}"/>
    <hyperlink ref="C76" r:id="rId75" xr:uid="{00000000-0004-0000-2500-00004A000000}"/>
    <hyperlink ref="C77" r:id="rId76" xr:uid="{00000000-0004-0000-2500-00004B000000}"/>
    <hyperlink ref="C78" r:id="rId77" xr:uid="{00000000-0004-0000-2500-00004C000000}"/>
    <hyperlink ref="C79" r:id="rId78" xr:uid="{00000000-0004-0000-2500-00004D000000}"/>
    <hyperlink ref="C80" r:id="rId79" xr:uid="{00000000-0004-0000-2500-00004E000000}"/>
    <hyperlink ref="C81" r:id="rId80" xr:uid="{00000000-0004-0000-2500-00004F000000}"/>
    <hyperlink ref="C82" r:id="rId81" xr:uid="{00000000-0004-0000-2500-000050000000}"/>
    <hyperlink ref="C83" r:id="rId82" xr:uid="{00000000-0004-0000-2500-000051000000}"/>
    <hyperlink ref="C84" r:id="rId83" xr:uid="{00000000-0004-0000-2500-000052000000}"/>
    <hyperlink ref="C85" r:id="rId84" xr:uid="{00000000-0004-0000-2500-000053000000}"/>
    <hyperlink ref="C86" r:id="rId85" xr:uid="{00000000-0004-0000-2500-000054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AB1000"/>
  <sheetViews>
    <sheetView workbookViewId="0">
      <pane ySplit="1" topLeftCell="A2" activePane="bottomLeft" state="frozen"/>
      <selection pane="bottomLeft" activeCell="B3" sqref="B3"/>
    </sheetView>
  </sheetViews>
  <sheetFormatPr defaultColWidth="12.5703125" defaultRowHeight="15.75" customHeight="1"/>
  <cols>
    <col min="1" max="1" width="16.140625" customWidth="1"/>
    <col min="2" max="3" width="49.140625" customWidth="1"/>
    <col min="4" max="4" width="61.28515625" customWidth="1"/>
    <col min="5" max="5" width="48.7109375" customWidth="1"/>
    <col min="6" max="6" width="19.7109375" customWidth="1"/>
    <col min="7" max="7" width="40.42578125" customWidth="1"/>
    <col min="8" max="8" width="32.28515625" customWidth="1"/>
    <col min="9" max="9" width="14.28515625" customWidth="1"/>
    <col min="10" max="12" width="15.5703125" customWidth="1"/>
    <col min="13" max="13" width="17.5703125" customWidth="1"/>
  </cols>
  <sheetData>
    <row r="1" spans="1:28" ht="25.5">
      <c r="A1" s="310" t="s">
        <v>6259</v>
      </c>
      <c r="B1" s="310" t="s">
        <v>9293</v>
      </c>
      <c r="C1" s="624" t="s">
        <v>5630</v>
      </c>
      <c r="D1" s="310" t="s">
        <v>6</v>
      </c>
      <c r="E1" s="310" t="s">
        <v>7</v>
      </c>
      <c r="F1" s="310" t="s">
        <v>7388</v>
      </c>
      <c r="G1" s="310" t="s">
        <v>8</v>
      </c>
      <c r="H1" s="310" t="s">
        <v>5627</v>
      </c>
      <c r="I1" s="310" t="s">
        <v>389</v>
      </c>
      <c r="J1" s="310" t="s">
        <v>4</v>
      </c>
      <c r="K1" s="310" t="s">
        <v>6060</v>
      </c>
      <c r="L1" s="310" t="s">
        <v>6413</v>
      </c>
      <c r="M1" s="310" t="s">
        <v>1821</v>
      </c>
      <c r="N1" s="44"/>
      <c r="O1" s="44"/>
      <c r="P1" s="44"/>
      <c r="Q1" s="44"/>
      <c r="R1" s="44"/>
      <c r="S1" s="44"/>
      <c r="T1" s="44"/>
      <c r="U1" s="44"/>
      <c r="V1" s="44"/>
      <c r="W1" s="44"/>
      <c r="X1" s="44"/>
      <c r="Y1" s="44"/>
      <c r="Z1" s="44"/>
      <c r="AA1" s="44"/>
      <c r="AB1" s="44"/>
    </row>
    <row r="2" spans="1:28" ht="44.25" customHeight="1">
      <c r="A2" s="581">
        <v>36892</v>
      </c>
      <c r="B2" s="588" t="s">
        <v>11858</v>
      </c>
      <c r="C2" s="609" t="s">
        <v>11859</v>
      </c>
      <c r="D2" s="583" t="s">
        <v>11860</v>
      </c>
      <c r="E2" s="583" t="s">
        <v>11861</v>
      </c>
      <c r="F2" s="34" t="s">
        <v>6132</v>
      </c>
      <c r="G2" s="586" t="s">
        <v>11862</v>
      </c>
      <c r="H2" s="34" t="s">
        <v>11863</v>
      </c>
      <c r="I2" s="44" t="s">
        <v>6872</v>
      </c>
      <c r="J2" s="105"/>
      <c r="K2" s="34" t="s">
        <v>11864</v>
      </c>
      <c r="L2" s="34"/>
      <c r="M2" s="34" t="s">
        <v>2609</v>
      </c>
    </row>
    <row r="3" spans="1:28" ht="67.5" customHeight="1">
      <c r="A3" s="581">
        <v>36923</v>
      </c>
      <c r="B3" s="588" t="s">
        <v>11858</v>
      </c>
      <c r="C3" s="609" t="s">
        <v>11865</v>
      </c>
      <c r="D3" s="34" t="s">
        <v>11866</v>
      </c>
      <c r="E3" s="34" t="s">
        <v>11867</v>
      </c>
      <c r="F3" s="34" t="s">
        <v>6132</v>
      </c>
      <c r="G3" s="398" t="s">
        <v>11868</v>
      </c>
      <c r="H3" s="34" t="s">
        <v>11869</v>
      </c>
      <c r="I3" s="44" t="s">
        <v>6872</v>
      </c>
      <c r="J3" s="105"/>
      <c r="K3" s="34" t="s">
        <v>6092</v>
      </c>
      <c r="L3" s="34"/>
      <c r="M3" s="34" t="s">
        <v>1828</v>
      </c>
    </row>
    <row r="4" spans="1:28" ht="48" customHeight="1">
      <c r="A4" s="581">
        <v>36951</v>
      </c>
      <c r="B4" s="588" t="s">
        <v>11858</v>
      </c>
      <c r="C4" s="609" t="s">
        <v>11870</v>
      </c>
      <c r="D4" s="34" t="s">
        <v>11871</v>
      </c>
      <c r="E4" s="583" t="s">
        <v>11872</v>
      </c>
      <c r="F4" s="34" t="s">
        <v>6132</v>
      </c>
      <c r="G4" s="625" t="s">
        <v>11873</v>
      </c>
      <c r="H4" s="34" t="s">
        <v>11874</v>
      </c>
      <c r="I4" s="44" t="s">
        <v>6872</v>
      </c>
      <c r="J4" s="105"/>
      <c r="K4" s="34" t="s">
        <v>6217</v>
      </c>
      <c r="L4" s="34"/>
      <c r="M4" s="44" t="s">
        <v>1828</v>
      </c>
    </row>
    <row r="5" spans="1:28" ht="46.5" customHeight="1">
      <c r="A5" s="581">
        <v>36982</v>
      </c>
      <c r="B5" s="588" t="s">
        <v>11858</v>
      </c>
      <c r="C5" s="609" t="s">
        <v>11875</v>
      </c>
      <c r="D5" s="34" t="s">
        <v>11876</v>
      </c>
      <c r="E5" s="34" t="s">
        <v>11877</v>
      </c>
      <c r="F5" s="34" t="s">
        <v>6132</v>
      </c>
      <c r="G5" s="626" t="s">
        <v>11878</v>
      </c>
      <c r="H5" s="34" t="s">
        <v>11879</v>
      </c>
      <c r="I5" s="44" t="s">
        <v>6872</v>
      </c>
      <c r="J5" s="105"/>
      <c r="K5" s="34" t="s">
        <v>6137</v>
      </c>
      <c r="L5" s="34"/>
      <c r="M5" s="34" t="s">
        <v>1828</v>
      </c>
    </row>
    <row r="6" spans="1:28" ht="25.5">
      <c r="A6" s="581">
        <v>37012</v>
      </c>
      <c r="B6" s="588" t="s">
        <v>11858</v>
      </c>
      <c r="C6" s="609" t="s">
        <v>11880</v>
      </c>
      <c r="D6" s="34" t="s">
        <v>11881</v>
      </c>
      <c r="E6" s="398" t="s">
        <v>11882</v>
      </c>
      <c r="F6" s="509" t="s">
        <v>1808</v>
      </c>
      <c r="G6" s="586"/>
      <c r="H6" s="34" t="s">
        <v>11883</v>
      </c>
      <c r="I6" s="44" t="s">
        <v>6872</v>
      </c>
      <c r="J6" s="105"/>
      <c r="K6" s="34" t="s">
        <v>6064</v>
      </c>
      <c r="L6" s="34"/>
      <c r="M6" s="34"/>
    </row>
    <row r="7" spans="1:28" ht="38.25">
      <c r="A7" s="581">
        <v>37043</v>
      </c>
      <c r="B7" s="588" t="s">
        <v>11858</v>
      </c>
      <c r="C7" s="609" t="s">
        <v>11884</v>
      </c>
      <c r="D7" s="583" t="s">
        <v>11885</v>
      </c>
      <c r="E7" s="34" t="s">
        <v>11886</v>
      </c>
      <c r="F7" s="509" t="s">
        <v>1808</v>
      </c>
      <c r="G7" s="589" t="s">
        <v>11887</v>
      </c>
      <c r="H7" s="34" t="s">
        <v>11888</v>
      </c>
      <c r="I7" s="44" t="s">
        <v>6872</v>
      </c>
      <c r="J7" s="105"/>
      <c r="K7" s="34" t="s">
        <v>6064</v>
      </c>
      <c r="L7" s="34" t="s">
        <v>1824</v>
      </c>
      <c r="M7" s="34" t="s">
        <v>1828</v>
      </c>
    </row>
    <row r="8" spans="1:28" ht="12.75">
      <c r="A8" s="581"/>
      <c r="B8" s="588"/>
      <c r="C8" s="583"/>
      <c r="D8" s="586"/>
      <c r="E8" s="34"/>
      <c r="F8" s="34"/>
      <c r="G8" s="586"/>
      <c r="H8" s="34"/>
      <c r="I8" s="44"/>
      <c r="J8" s="105"/>
      <c r="K8" s="34"/>
      <c r="L8" s="34"/>
      <c r="M8" s="34"/>
    </row>
    <row r="9" spans="1:28" ht="12.75">
      <c r="A9" s="581"/>
      <c r="B9" s="588"/>
      <c r="C9" s="583"/>
      <c r="D9" s="583"/>
      <c r="E9" s="583"/>
      <c r="F9" s="34"/>
      <c r="G9" s="586"/>
      <c r="H9" s="583"/>
      <c r="I9" s="44"/>
      <c r="J9" s="105"/>
      <c r="K9" s="34"/>
      <c r="L9" s="34"/>
      <c r="M9" s="34"/>
    </row>
    <row r="10" spans="1:28" ht="12.75">
      <c r="A10" s="587"/>
      <c r="B10" s="588"/>
      <c r="C10" s="583"/>
      <c r="D10" s="34"/>
      <c r="E10" s="34"/>
      <c r="F10" s="34"/>
      <c r="G10" s="335"/>
      <c r="H10" s="398"/>
      <c r="I10" s="586"/>
      <c r="J10" s="105"/>
      <c r="K10" s="34"/>
      <c r="L10" s="34"/>
      <c r="M10" s="34"/>
    </row>
    <row r="11" spans="1:28" ht="12.75">
      <c r="A11" s="587"/>
      <c r="B11" s="588"/>
      <c r="C11" s="583"/>
      <c r="D11" s="34"/>
      <c r="E11" s="583"/>
      <c r="F11" s="34"/>
      <c r="G11" s="34"/>
      <c r="H11" s="65"/>
      <c r="I11" s="586"/>
      <c r="J11" s="105"/>
      <c r="K11" s="34"/>
      <c r="L11" s="34"/>
      <c r="M11" s="34"/>
    </row>
    <row r="12" spans="1:28" ht="12.75">
      <c r="A12" s="587"/>
      <c r="B12" s="588"/>
      <c r="C12" s="583"/>
      <c r="D12" s="34"/>
      <c r="E12" s="34"/>
      <c r="F12" s="34"/>
      <c r="G12" s="34"/>
      <c r="H12" s="34"/>
      <c r="I12" s="44"/>
      <c r="J12" s="105"/>
      <c r="K12" s="34"/>
      <c r="L12" s="34"/>
      <c r="M12" s="34"/>
    </row>
    <row r="13" spans="1:28" ht="12.75">
      <c r="A13" s="34"/>
      <c r="B13" s="588"/>
      <c r="C13" s="583"/>
      <c r="D13" s="34"/>
      <c r="E13" s="34"/>
      <c r="F13" s="34"/>
      <c r="G13" s="34"/>
      <c r="H13" s="34"/>
      <c r="I13" s="44"/>
      <c r="J13" s="105"/>
      <c r="K13" s="34"/>
      <c r="L13" s="34"/>
      <c r="M13" s="34"/>
    </row>
    <row r="14" spans="1:28" ht="12.75">
      <c r="A14" s="34"/>
      <c r="B14" s="588"/>
      <c r="C14" s="583"/>
      <c r="D14" s="34"/>
      <c r="E14" s="34"/>
      <c r="F14" s="34"/>
      <c r="G14" s="34"/>
      <c r="H14" s="34"/>
      <c r="I14" s="44"/>
      <c r="J14" s="105"/>
      <c r="K14" s="34"/>
      <c r="L14" s="34"/>
      <c r="M14" s="34"/>
    </row>
    <row r="15" spans="1:28" ht="12.75">
      <c r="A15" s="34"/>
      <c r="B15" s="588"/>
      <c r="C15" s="583"/>
      <c r="D15" s="583"/>
      <c r="E15" s="583"/>
      <c r="F15" s="34"/>
      <c r="G15" s="34"/>
      <c r="H15" s="34"/>
      <c r="I15" s="44"/>
      <c r="J15" s="105"/>
      <c r="K15" s="34"/>
      <c r="L15" s="34"/>
      <c r="M15" s="34"/>
    </row>
    <row r="16" spans="1:28" ht="12.75">
      <c r="A16" s="34"/>
      <c r="B16" s="588"/>
      <c r="C16" s="583"/>
      <c r="D16" s="583"/>
      <c r="E16" s="34"/>
      <c r="F16" s="34"/>
      <c r="G16" s="34"/>
      <c r="H16" s="335"/>
      <c r="I16" s="44"/>
      <c r="J16" s="105"/>
      <c r="K16" s="34"/>
      <c r="L16" s="34"/>
      <c r="M16" s="34"/>
    </row>
    <row r="17" spans="1:13" ht="12.75">
      <c r="A17" s="34"/>
      <c r="B17" s="588"/>
      <c r="C17" s="583"/>
      <c r="D17" s="34"/>
      <c r="E17" s="34"/>
      <c r="F17" s="34"/>
      <c r="G17" s="34"/>
      <c r="H17" s="34"/>
      <c r="I17" s="44"/>
      <c r="J17" s="105"/>
      <c r="K17" s="34"/>
      <c r="L17" s="34"/>
      <c r="M17" s="34"/>
    </row>
    <row r="18" spans="1:13" ht="12.75">
      <c r="A18" s="34"/>
      <c r="B18" s="588"/>
      <c r="C18" s="583"/>
      <c r="D18" s="583"/>
      <c r="E18" s="34"/>
      <c r="F18" s="34"/>
      <c r="G18" s="34"/>
      <c r="H18" s="34"/>
      <c r="I18" s="44"/>
      <c r="J18" s="105"/>
      <c r="K18" s="34"/>
      <c r="L18" s="34"/>
      <c r="M18" s="34"/>
    </row>
    <row r="19" spans="1:13" ht="12.75">
      <c r="A19" s="34"/>
      <c r="B19" s="588"/>
      <c r="C19" s="583"/>
      <c r="D19" s="34"/>
      <c r="E19" s="34"/>
      <c r="F19" s="34"/>
      <c r="G19" s="583"/>
      <c r="H19" s="34"/>
      <c r="I19" s="44"/>
      <c r="J19" s="105"/>
      <c r="K19" s="34"/>
      <c r="L19" s="34"/>
      <c r="M19" s="34"/>
    </row>
    <row r="20" spans="1:13" ht="12.75">
      <c r="A20" s="34"/>
      <c r="B20" s="588"/>
      <c r="C20" s="583"/>
      <c r="D20" s="34"/>
      <c r="E20" s="34"/>
      <c r="F20" s="34"/>
      <c r="G20" s="583"/>
      <c r="H20" s="34"/>
      <c r="I20" s="586"/>
      <c r="J20" s="105"/>
      <c r="K20" s="34"/>
      <c r="L20" s="34"/>
      <c r="M20" s="34"/>
    </row>
    <row r="21" spans="1:13" ht="12.75">
      <c r="A21" s="34"/>
      <c r="B21" s="588"/>
      <c r="C21" s="583"/>
      <c r="D21" s="34"/>
      <c r="E21" s="586"/>
      <c r="F21" s="34"/>
      <c r="G21" s="583"/>
      <c r="H21" s="34"/>
      <c r="I21" s="586"/>
      <c r="J21" s="105"/>
      <c r="K21" s="34"/>
      <c r="L21" s="34"/>
      <c r="M21" s="34"/>
    </row>
    <row r="22" spans="1:13" ht="12.75">
      <c r="A22" s="34"/>
      <c r="B22" s="588"/>
      <c r="C22" s="583"/>
      <c r="D22" s="34"/>
      <c r="E22" s="34"/>
      <c r="F22" s="34"/>
      <c r="G22" s="398"/>
      <c r="H22" s="590"/>
      <c r="I22" s="44"/>
      <c r="J22" s="105"/>
      <c r="K22" s="34"/>
      <c r="L22" s="34"/>
      <c r="M22" s="34"/>
    </row>
    <row r="23" spans="1:13" ht="12.75">
      <c r="A23" s="34"/>
      <c r="B23" s="588"/>
      <c r="C23" s="583"/>
      <c r="D23" s="34"/>
      <c r="E23" s="34"/>
      <c r="F23" s="34"/>
      <c r="G23" s="398"/>
      <c r="H23" s="34"/>
      <c r="I23" s="44"/>
      <c r="J23" s="105"/>
      <c r="K23" s="34"/>
      <c r="L23" s="34"/>
      <c r="M23" s="34"/>
    </row>
    <row r="24" spans="1:13" ht="12.75">
      <c r="A24" s="34"/>
      <c r="B24" s="588"/>
      <c r="C24" s="583"/>
      <c r="D24" s="34"/>
      <c r="E24" s="34"/>
      <c r="F24" s="34"/>
      <c r="G24" s="586"/>
      <c r="H24" s="34"/>
      <c r="I24" s="44"/>
      <c r="J24" s="105"/>
      <c r="K24" s="34"/>
      <c r="L24" s="34"/>
      <c r="M24" s="34"/>
    </row>
    <row r="25" spans="1:13" ht="12.75">
      <c r="A25" s="34"/>
      <c r="B25" s="588"/>
      <c r="C25" s="583"/>
      <c r="D25" s="398"/>
      <c r="E25" s="34"/>
      <c r="F25" s="34"/>
      <c r="G25" s="586"/>
      <c r="H25" s="34"/>
      <c r="I25" s="586"/>
      <c r="J25" s="105"/>
      <c r="K25" s="34"/>
      <c r="L25" s="34"/>
      <c r="M25" s="34"/>
    </row>
    <row r="26" spans="1:13" ht="12.75">
      <c r="A26" s="34"/>
      <c r="B26" s="588"/>
      <c r="C26" s="583"/>
      <c r="D26" s="34"/>
      <c r="E26" s="34"/>
      <c r="F26" s="34"/>
      <c r="G26" s="34"/>
      <c r="H26" s="34"/>
      <c r="I26" s="44"/>
      <c r="J26" s="105"/>
      <c r="K26" s="34"/>
      <c r="L26" s="34"/>
      <c r="M26" s="34"/>
    </row>
    <row r="27" spans="1:13" ht="12.75">
      <c r="A27" s="34"/>
      <c r="B27" s="588"/>
      <c r="C27" s="583"/>
      <c r="D27" s="34"/>
      <c r="E27" s="34"/>
      <c r="F27" s="34"/>
      <c r="G27" s="586"/>
      <c r="H27" s="34"/>
      <c r="I27" s="44"/>
      <c r="J27" s="105"/>
      <c r="K27" s="34"/>
      <c r="L27" s="34"/>
      <c r="M27" s="34"/>
    </row>
    <row r="28" spans="1:13" ht="58.5" customHeight="1">
      <c r="A28" s="34"/>
      <c r="B28" s="588"/>
      <c r="C28" s="583"/>
      <c r="D28" s="34"/>
      <c r="E28" s="34"/>
      <c r="F28" s="34"/>
      <c r="G28" s="586"/>
      <c r="H28" s="34"/>
      <c r="I28" s="44"/>
      <c r="J28" s="105"/>
      <c r="K28" s="34"/>
      <c r="L28" s="34"/>
      <c r="M28" s="34"/>
    </row>
    <row r="29" spans="1:13" ht="12.75">
      <c r="A29" s="34"/>
      <c r="B29" s="588"/>
      <c r="C29" s="583"/>
      <c r="D29" s="34"/>
      <c r="E29" s="34"/>
      <c r="F29" s="34"/>
      <c r="G29" s="586"/>
      <c r="H29" s="34"/>
      <c r="I29" s="44"/>
      <c r="J29" s="105"/>
      <c r="K29" s="34"/>
      <c r="L29" s="34"/>
      <c r="M29" s="34"/>
    </row>
    <row r="30" spans="1:13" ht="12.75">
      <c r="A30" s="34"/>
      <c r="B30" s="588"/>
      <c r="C30" s="583"/>
      <c r="D30" s="335"/>
      <c r="E30" s="34"/>
      <c r="F30" s="34"/>
      <c r="G30" s="398"/>
      <c r="H30" s="44"/>
      <c r="I30" s="44"/>
      <c r="J30" s="105"/>
      <c r="K30" s="34"/>
      <c r="L30" s="34"/>
      <c r="M30" s="34"/>
    </row>
    <row r="31" spans="1:13" ht="12.75">
      <c r="A31" s="34"/>
      <c r="B31" s="588"/>
      <c r="C31" s="583"/>
      <c r="D31" s="583"/>
      <c r="E31" s="34"/>
      <c r="F31" s="34"/>
      <c r="G31" s="34"/>
      <c r="H31" s="34"/>
      <c r="I31" s="586"/>
      <c r="J31" s="105"/>
      <c r="K31" s="34"/>
      <c r="L31" s="34"/>
      <c r="M31" s="34"/>
    </row>
    <row r="32" spans="1:13" ht="12.75">
      <c r="A32" s="34"/>
      <c r="B32" s="588"/>
      <c r="C32" s="583"/>
      <c r="D32" s="34"/>
      <c r="E32" s="34"/>
      <c r="F32" s="34"/>
      <c r="G32" s="34"/>
      <c r="H32" s="34"/>
      <c r="I32" s="44"/>
      <c r="J32" s="105"/>
      <c r="K32" s="34"/>
      <c r="L32" s="34"/>
      <c r="M32" s="34"/>
    </row>
    <row r="33" spans="1:13" ht="12.75">
      <c r="A33" s="34"/>
      <c r="B33" s="588"/>
      <c r="C33" s="583"/>
      <c r="D33" s="34"/>
      <c r="E33" s="34"/>
      <c r="F33" s="34"/>
      <c r="G33" s="34"/>
      <c r="H33" s="34"/>
      <c r="I33" s="44"/>
      <c r="K33" s="44"/>
      <c r="L33" s="34"/>
      <c r="M33" s="34"/>
    </row>
    <row r="34" spans="1:13" ht="12.75">
      <c r="A34" s="34"/>
      <c r="B34" s="588"/>
      <c r="C34" s="583"/>
      <c r="D34" s="34"/>
      <c r="E34" s="34"/>
      <c r="F34" s="34"/>
      <c r="G34" s="586"/>
      <c r="H34" s="34"/>
      <c r="I34" s="44"/>
      <c r="J34" s="105"/>
      <c r="K34" s="34"/>
      <c r="L34" s="34"/>
      <c r="M34" s="34"/>
    </row>
    <row r="35" spans="1:13" ht="12.75">
      <c r="A35" s="34"/>
      <c r="B35" s="588"/>
      <c r="C35" s="583"/>
      <c r="D35" s="34"/>
      <c r="E35" s="398"/>
      <c r="F35" s="34"/>
      <c r="G35" s="586"/>
      <c r="H35" s="34"/>
      <c r="I35" s="44"/>
      <c r="J35" s="105"/>
      <c r="K35" s="34"/>
      <c r="L35" s="34"/>
      <c r="M35" s="34"/>
    </row>
    <row r="36" spans="1:13" ht="12.75">
      <c r="A36" s="34"/>
      <c r="B36" s="588"/>
      <c r="C36" s="583"/>
      <c r="D36" s="583"/>
      <c r="E36" s="34"/>
      <c r="F36" s="34"/>
      <c r="G36" s="586"/>
      <c r="H36" s="34"/>
      <c r="I36" s="44"/>
      <c r="J36" s="105"/>
      <c r="K36" s="34"/>
      <c r="L36" s="34"/>
      <c r="M36" s="34"/>
    </row>
    <row r="37" spans="1:13" ht="12.75">
      <c r="A37" s="34"/>
      <c r="B37" s="588"/>
      <c r="C37" s="583"/>
      <c r="D37" s="583"/>
      <c r="E37" s="398"/>
      <c r="F37" s="34"/>
      <c r="G37" s="398"/>
      <c r="H37" s="34"/>
      <c r="I37" s="44"/>
      <c r="J37" s="105"/>
      <c r="K37" s="34"/>
      <c r="L37" s="34"/>
      <c r="M37" s="34"/>
    </row>
    <row r="38" spans="1:13" ht="12.75">
      <c r="A38" s="34"/>
      <c r="B38" s="588"/>
      <c r="C38" s="583"/>
      <c r="D38" s="583"/>
      <c r="E38" s="34"/>
      <c r="F38" s="34"/>
      <c r="G38" s="586"/>
      <c r="H38" s="34"/>
      <c r="I38" s="44"/>
      <c r="J38" s="105"/>
      <c r="K38" s="34"/>
      <c r="L38" s="34"/>
      <c r="M38" s="34"/>
    </row>
    <row r="39" spans="1:13" ht="12.75">
      <c r="A39" s="34"/>
      <c r="B39" s="588"/>
      <c r="C39" s="583"/>
      <c r="D39" s="34"/>
      <c r="E39" s="34"/>
      <c r="F39" s="34"/>
      <c r="G39" s="34"/>
      <c r="H39" s="34"/>
      <c r="I39" s="44"/>
      <c r="J39" s="105"/>
      <c r="K39" s="34"/>
      <c r="L39" s="34"/>
      <c r="M39" s="34"/>
    </row>
    <row r="40" spans="1:13" ht="12.75">
      <c r="A40" s="34"/>
      <c r="B40" s="588"/>
      <c r="C40" s="583"/>
      <c r="D40" s="34"/>
      <c r="E40" s="34"/>
      <c r="F40" s="34"/>
      <c r="G40" s="398"/>
      <c r="H40" s="34"/>
      <c r="I40" s="44"/>
      <c r="J40" s="105"/>
      <c r="K40" s="34"/>
      <c r="L40" s="34"/>
      <c r="M40" s="34"/>
    </row>
    <row r="41" spans="1:13" ht="12.75">
      <c r="A41" s="34"/>
      <c r="B41" s="588"/>
      <c r="C41" s="583"/>
      <c r="D41" s="583"/>
      <c r="E41" s="34"/>
      <c r="F41" s="34"/>
      <c r="G41" s="398"/>
      <c r="H41" s="34"/>
      <c r="I41" s="586"/>
      <c r="J41" s="105"/>
      <c r="K41" s="34"/>
      <c r="L41" s="34"/>
      <c r="M41" s="34"/>
    </row>
    <row r="42" spans="1:13" ht="12.75">
      <c r="A42" s="34"/>
      <c r="B42" s="588"/>
      <c r="C42" s="583"/>
      <c r="D42" s="583"/>
      <c r="E42" s="34"/>
      <c r="F42" s="34"/>
      <c r="G42" s="586"/>
      <c r="H42" s="34"/>
      <c r="I42" s="44"/>
      <c r="J42" s="105"/>
      <c r="K42" s="34"/>
      <c r="L42" s="34"/>
      <c r="M42" s="34"/>
    </row>
    <row r="43" spans="1:13" ht="12.75">
      <c r="A43" s="34"/>
      <c r="B43" s="588"/>
      <c r="C43" s="583"/>
      <c r="D43" s="583"/>
      <c r="E43" s="34"/>
      <c r="F43" s="34"/>
      <c r="G43" s="586"/>
      <c r="H43" s="34"/>
      <c r="I43" s="44"/>
      <c r="J43" s="105"/>
      <c r="K43" s="34"/>
      <c r="L43" s="34"/>
      <c r="M43" s="34"/>
    </row>
    <row r="44" spans="1:13" ht="12.75">
      <c r="A44" s="34"/>
      <c r="B44" s="588"/>
      <c r="C44" s="583"/>
      <c r="D44" s="310"/>
      <c r="E44" s="34"/>
      <c r="F44" s="34"/>
      <c r="G44" s="398"/>
      <c r="H44" s="34"/>
      <c r="I44" s="44"/>
      <c r="J44" s="105"/>
      <c r="K44" s="34"/>
      <c r="L44" s="34"/>
      <c r="M44" s="34"/>
    </row>
    <row r="45" spans="1:13" ht="12.75">
      <c r="A45" s="34"/>
      <c r="B45" s="588"/>
      <c r="C45" s="583"/>
      <c r="D45" s="34"/>
      <c r="E45" s="34"/>
      <c r="F45" s="34"/>
      <c r="G45" s="398"/>
      <c r="H45" s="34"/>
      <c r="I45" s="44"/>
      <c r="J45" s="105"/>
      <c r="K45" s="34"/>
      <c r="L45" s="34"/>
      <c r="M45" s="34"/>
    </row>
    <row r="46" spans="1:13" ht="12.75">
      <c r="A46" s="34"/>
      <c r="B46" s="588"/>
      <c r="C46" s="583"/>
      <c r="D46" s="34"/>
      <c r="E46" s="34"/>
      <c r="F46" s="34"/>
      <c r="G46" s="335"/>
      <c r="H46" s="66"/>
      <c r="I46" s="44"/>
      <c r="J46" s="105"/>
      <c r="K46" s="34"/>
      <c r="L46" s="34"/>
      <c r="M46" s="34"/>
    </row>
    <row r="47" spans="1:13" ht="12.75">
      <c r="A47" s="34"/>
      <c r="B47" s="588"/>
      <c r="C47" s="583"/>
      <c r="D47" s="583"/>
      <c r="E47" s="34"/>
      <c r="F47" s="34"/>
      <c r="G47" s="398"/>
      <c r="H47" s="34"/>
      <c r="I47" s="44"/>
      <c r="J47" s="105"/>
      <c r="K47" s="34"/>
      <c r="L47" s="34"/>
      <c r="M47" s="34"/>
    </row>
    <row r="48" spans="1:13" ht="12.75">
      <c r="A48" s="34"/>
      <c r="B48" s="588"/>
      <c r="C48" s="583"/>
      <c r="D48" s="34"/>
      <c r="E48" s="34"/>
      <c r="F48" s="34"/>
      <c r="G48" s="398"/>
      <c r="H48" s="34"/>
      <c r="I48" s="44"/>
      <c r="J48" s="105"/>
      <c r="K48" s="34"/>
      <c r="L48" s="34"/>
      <c r="M48" s="34"/>
    </row>
    <row r="49" spans="1:13" ht="12.75">
      <c r="A49" s="34"/>
      <c r="B49" s="588"/>
      <c r="C49" s="583"/>
      <c r="D49" s="34"/>
      <c r="E49" s="586"/>
      <c r="F49" s="34"/>
      <c r="G49" s="398"/>
      <c r="H49" s="616"/>
      <c r="I49" s="44"/>
      <c r="J49" s="105"/>
      <c r="K49" s="34"/>
      <c r="L49" s="34"/>
      <c r="M49" s="34"/>
    </row>
    <row r="50" spans="1:13" ht="12.75">
      <c r="A50" s="34"/>
      <c r="B50" s="588"/>
      <c r="C50" s="583"/>
      <c r="D50" s="34"/>
      <c r="E50" s="34"/>
      <c r="F50" s="34"/>
      <c r="G50" s="34"/>
      <c r="H50" s="34"/>
      <c r="I50" s="44"/>
      <c r="J50" s="105"/>
      <c r="K50" s="34"/>
      <c r="L50" s="34"/>
      <c r="M50" s="34"/>
    </row>
    <row r="51" spans="1:13" ht="12.75">
      <c r="A51" s="34"/>
      <c r="B51" s="588"/>
      <c r="C51" s="583"/>
      <c r="D51" s="34"/>
      <c r="E51" s="34"/>
      <c r="F51" s="34"/>
      <c r="G51" s="335"/>
      <c r="H51" s="34"/>
      <c r="I51" s="44"/>
      <c r="J51" s="105"/>
      <c r="K51" s="34"/>
      <c r="L51" s="34"/>
      <c r="M51" s="34"/>
    </row>
    <row r="52" spans="1:13" ht="12.75">
      <c r="A52" s="34"/>
      <c r="B52" s="588"/>
      <c r="C52" s="583"/>
      <c r="D52" s="34"/>
      <c r="E52" s="34"/>
      <c r="F52" s="34"/>
      <c r="G52" s="34"/>
      <c r="H52" s="34"/>
      <c r="I52" s="44"/>
      <c r="J52" s="105"/>
      <c r="K52" s="34"/>
      <c r="L52" s="34"/>
      <c r="M52" s="34"/>
    </row>
    <row r="53" spans="1:13" ht="12.75">
      <c r="A53" s="34"/>
      <c r="B53" s="588"/>
      <c r="C53" s="583"/>
      <c r="D53" s="34"/>
      <c r="E53" s="34"/>
      <c r="F53" s="34"/>
      <c r="G53" s="34"/>
      <c r="H53" s="34"/>
      <c r="I53" s="44"/>
      <c r="J53" s="105"/>
      <c r="K53" s="34"/>
      <c r="L53" s="34"/>
      <c r="M53" s="34"/>
    </row>
    <row r="54" spans="1:13" ht="12.75">
      <c r="A54" s="34"/>
      <c r="B54" s="588"/>
      <c r="C54" s="583"/>
      <c r="D54" s="34"/>
      <c r="E54" s="34"/>
      <c r="F54" s="34"/>
      <c r="G54" s="34"/>
      <c r="H54" s="34"/>
      <c r="I54" s="44"/>
      <c r="J54" s="105"/>
      <c r="K54" s="34"/>
      <c r="L54" s="34"/>
      <c r="M54" s="34"/>
    </row>
    <row r="55" spans="1:13" ht="12.75">
      <c r="A55" s="34"/>
      <c r="B55" s="588"/>
      <c r="C55" s="583"/>
      <c r="D55" s="34"/>
      <c r="E55" s="34"/>
      <c r="F55" s="34"/>
      <c r="G55" s="586"/>
      <c r="H55" s="34"/>
      <c r="I55" s="44"/>
      <c r="J55" s="105"/>
      <c r="K55" s="34"/>
      <c r="L55" s="34"/>
      <c r="M55" s="34"/>
    </row>
    <row r="56" spans="1:13" ht="12.75">
      <c r="A56" s="34"/>
      <c r="B56" s="588"/>
      <c r="C56" s="583"/>
      <c r="D56" s="34"/>
      <c r="E56" s="34"/>
      <c r="F56" s="34"/>
      <c r="G56" s="398"/>
      <c r="H56" s="34"/>
      <c r="I56" s="44"/>
      <c r="J56" s="105"/>
      <c r="K56" s="34"/>
      <c r="L56" s="34"/>
      <c r="M56" s="34"/>
    </row>
    <row r="57" spans="1:13" ht="12.75">
      <c r="A57" s="34"/>
      <c r="B57" s="588"/>
      <c r="C57" s="583"/>
      <c r="D57" s="34"/>
      <c r="E57" s="34"/>
      <c r="F57" s="34"/>
      <c r="G57" s="586"/>
      <c r="H57" s="34"/>
      <c r="I57" s="44"/>
      <c r="J57" s="105"/>
      <c r="K57" s="34"/>
      <c r="L57" s="34"/>
      <c r="M57" s="34"/>
    </row>
    <row r="58" spans="1:13" ht="12.75">
      <c r="A58" s="34"/>
      <c r="B58" s="588"/>
      <c r="C58" s="583"/>
      <c r="D58" s="34"/>
      <c r="E58" s="34"/>
      <c r="F58" s="34"/>
      <c r="G58" s="398"/>
      <c r="H58" s="34"/>
      <c r="I58" s="44"/>
      <c r="J58" s="105"/>
      <c r="K58" s="34"/>
      <c r="L58" s="34"/>
      <c r="M58" s="34"/>
    </row>
    <row r="59" spans="1:13" ht="12.75">
      <c r="A59" s="34"/>
      <c r="B59" s="588"/>
      <c r="C59" s="583"/>
      <c r="D59" s="34"/>
      <c r="E59" s="34"/>
      <c r="F59" s="34"/>
      <c r="G59" s="398"/>
      <c r="H59" s="34"/>
      <c r="I59" s="44"/>
      <c r="J59" s="105"/>
      <c r="K59" s="34"/>
      <c r="L59" s="34"/>
      <c r="M59" s="34"/>
    </row>
    <row r="60" spans="1:13" ht="12.75">
      <c r="A60" s="34"/>
      <c r="B60" s="588"/>
      <c r="C60" s="583"/>
      <c r="D60" s="34"/>
      <c r="E60" s="34"/>
      <c r="F60" s="34"/>
      <c r="G60" s="398"/>
      <c r="H60" s="34"/>
      <c r="I60" s="44"/>
      <c r="J60" s="105"/>
      <c r="K60" s="34"/>
      <c r="L60" s="34"/>
      <c r="M60" s="34"/>
    </row>
    <row r="61" spans="1:13" ht="12.75">
      <c r="A61" s="34"/>
      <c r="B61" s="588"/>
      <c r="C61" s="583"/>
      <c r="D61" s="34"/>
      <c r="E61" s="34"/>
      <c r="F61" s="34"/>
      <c r="G61" s="586"/>
      <c r="H61" s="34"/>
      <c r="I61" s="44"/>
      <c r="J61" s="105"/>
      <c r="K61" s="34"/>
      <c r="L61" s="34"/>
      <c r="M61" s="34"/>
    </row>
    <row r="62" spans="1:13" ht="12.75">
      <c r="A62" s="34"/>
      <c r="B62" s="588"/>
      <c r="C62" s="583"/>
      <c r="D62" s="34"/>
      <c r="E62" s="34"/>
      <c r="F62" s="34"/>
      <c r="G62" s="398"/>
      <c r="H62" s="34"/>
      <c r="I62" s="44"/>
      <c r="J62" s="105"/>
      <c r="K62" s="34"/>
      <c r="L62" s="34"/>
      <c r="M62" s="34"/>
    </row>
    <row r="63" spans="1:13" ht="12.75">
      <c r="A63" s="34"/>
      <c r="B63" s="588"/>
      <c r="C63" s="583"/>
      <c r="D63" s="44"/>
      <c r="E63" s="34"/>
      <c r="F63" s="34"/>
      <c r="G63" s="34"/>
      <c r="H63" s="34"/>
      <c r="I63" s="44"/>
      <c r="J63" s="105"/>
      <c r="K63" s="34"/>
      <c r="L63" s="34"/>
      <c r="M63" s="34"/>
    </row>
    <row r="64" spans="1:13" ht="12.75">
      <c r="A64" s="34"/>
      <c r="B64" s="588"/>
      <c r="C64" s="583"/>
      <c r="D64" s="34"/>
      <c r="E64" s="34"/>
      <c r="F64" s="34"/>
      <c r="G64" s="34"/>
      <c r="H64" s="34"/>
      <c r="I64" s="44"/>
      <c r="J64" s="105"/>
      <c r="K64" s="34"/>
      <c r="L64" s="34"/>
      <c r="M64" s="34"/>
    </row>
    <row r="65" spans="1:13" ht="12.75">
      <c r="A65" s="34"/>
      <c r="B65" s="588"/>
      <c r="C65" s="583"/>
      <c r="D65" s="34"/>
      <c r="E65" s="34"/>
      <c r="F65" s="34"/>
      <c r="G65" s="34"/>
      <c r="H65" s="34"/>
      <c r="I65" s="44"/>
      <c r="J65" s="105"/>
      <c r="K65" s="34"/>
      <c r="L65" s="34"/>
      <c r="M65" s="34"/>
    </row>
    <row r="66" spans="1:13" ht="12.75">
      <c r="A66" s="34"/>
      <c r="B66" s="588"/>
      <c r="C66" s="583"/>
      <c r="D66" s="34"/>
      <c r="E66" s="34"/>
      <c r="F66" s="34"/>
      <c r="G66" s="34"/>
      <c r="H66" s="34"/>
      <c r="I66" s="44"/>
      <c r="J66" s="105"/>
      <c r="K66" s="34"/>
      <c r="L66" s="34"/>
      <c r="M66" s="34"/>
    </row>
    <row r="67" spans="1:13" ht="12.75">
      <c r="A67" s="34"/>
      <c r="B67" s="588"/>
      <c r="C67" s="583"/>
      <c r="D67" s="34"/>
      <c r="E67" s="34"/>
      <c r="F67" s="34"/>
      <c r="G67" s="34"/>
      <c r="H67" s="34"/>
      <c r="I67" s="44"/>
      <c r="J67" s="105"/>
      <c r="K67" s="34"/>
      <c r="L67" s="34"/>
      <c r="M67" s="34"/>
    </row>
    <row r="68" spans="1:13" ht="12.75">
      <c r="A68" s="34"/>
      <c r="B68" s="588"/>
      <c r="C68" s="583"/>
      <c r="D68" s="34"/>
      <c r="E68" s="34"/>
      <c r="F68" s="34"/>
      <c r="G68" s="34"/>
      <c r="H68" s="34"/>
      <c r="I68" s="44"/>
      <c r="J68" s="105"/>
      <c r="K68" s="34"/>
      <c r="L68" s="34"/>
      <c r="M68" s="34"/>
    </row>
    <row r="69" spans="1:13" ht="12.75">
      <c r="A69" s="34"/>
      <c r="B69" s="588"/>
      <c r="C69" s="583"/>
      <c r="D69" s="34"/>
      <c r="E69" s="34"/>
      <c r="F69" s="34"/>
      <c r="G69" s="398"/>
      <c r="H69" s="34"/>
      <c r="I69" s="44"/>
      <c r="J69" s="105"/>
      <c r="K69" s="34"/>
      <c r="L69" s="34"/>
      <c r="M69" s="34"/>
    </row>
    <row r="70" spans="1:13" ht="12.75">
      <c r="A70" s="34"/>
      <c r="B70" s="588"/>
      <c r="C70" s="583"/>
      <c r="D70" s="34"/>
      <c r="E70" s="34"/>
      <c r="F70" s="34"/>
      <c r="G70" s="34"/>
      <c r="H70" s="34"/>
      <c r="I70" s="44"/>
      <c r="J70" s="105"/>
      <c r="K70" s="34"/>
      <c r="L70" s="34"/>
      <c r="M70" s="34"/>
    </row>
    <row r="71" spans="1:13" ht="12.75">
      <c r="A71" s="34"/>
      <c r="B71" s="588"/>
      <c r="C71" s="583"/>
      <c r="D71" s="34"/>
      <c r="E71" s="34"/>
      <c r="F71" s="34"/>
      <c r="G71" s="34"/>
      <c r="H71" s="34"/>
      <c r="I71" s="44"/>
      <c r="J71" s="105"/>
      <c r="K71" s="34"/>
      <c r="L71" s="34"/>
      <c r="M71" s="34"/>
    </row>
    <row r="72" spans="1:13" ht="12.75">
      <c r="A72" s="34"/>
      <c r="B72" s="588"/>
      <c r="C72" s="583"/>
      <c r="D72" s="34"/>
      <c r="E72" s="34"/>
      <c r="F72" s="34"/>
      <c r="G72" s="34"/>
      <c r="H72" s="34"/>
      <c r="I72" s="44"/>
      <c r="J72" s="105"/>
      <c r="K72" s="34"/>
      <c r="L72" s="34"/>
      <c r="M72" s="34"/>
    </row>
    <row r="73" spans="1:13" ht="12.75">
      <c r="A73" s="34"/>
      <c r="B73" s="588"/>
      <c r="C73" s="583"/>
      <c r="D73" s="34"/>
      <c r="E73" s="34"/>
      <c r="F73" s="34"/>
      <c r="G73" s="34"/>
      <c r="H73" s="34"/>
      <c r="I73" s="44"/>
      <c r="J73" s="105"/>
      <c r="K73" s="34"/>
      <c r="L73" s="34"/>
      <c r="M73" s="34"/>
    </row>
    <row r="74" spans="1:13" ht="12.75">
      <c r="A74" s="34"/>
      <c r="B74" s="588"/>
      <c r="C74" s="583"/>
      <c r="D74" s="34"/>
      <c r="E74" s="34"/>
      <c r="F74" s="34"/>
      <c r="G74" s="34"/>
      <c r="H74" s="34"/>
      <c r="I74" s="44"/>
      <c r="J74" s="105"/>
      <c r="K74" s="34"/>
      <c r="L74" s="34"/>
      <c r="M74" s="34"/>
    </row>
    <row r="75" spans="1:13" ht="12.75">
      <c r="A75" s="34"/>
      <c r="B75" s="588"/>
      <c r="C75" s="583"/>
      <c r="D75" s="34"/>
      <c r="E75" s="34"/>
      <c r="F75" s="34"/>
      <c r="G75" s="34"/>
      <c r="H75" s="34"/>
      <c r="I75" s="44"/>
      <c r="J75" s="105"/>
      <c r="K75" s="34"/>
      <c r="L75" s="34"/>
      <c r="M75" s="34"/>
    </row>
    <row r="76" spans="1:13" ht="12.75">
      <c r="A76" s="34"/>
      <c r="B76" s="588"/>
      <c r="C76" s="583"/>
      <c r="D76" s="34"/>
      <c r="E76" s="34"/>
      <c r="F76" s="34"/>
      <c r="G76" s="34"/>
      <c r="H76" s="34"/>
      <c r="I76" s="44"/>
      <c r="J76" s="105"/>
      <c r="K76" s="34"/>
      <c r="L76" s="34"/>
      <c r="M76" s="34"/>
    </row>
    <row r="77" spans="1:13" ht="12.75">
      <c r="A77" s="34"/>
      <c r="B77" s="588"/>
      <c r="C77" s="583"/>
      <c r="D77" s="34"/>
      <c r="E77" s="34"/>
      <c r="F77" s="34"/>
      <c r="G77" s="34"/>
      <c r="H77" s="34"/>
      <c r="I77" s="44"/>
      <c r="J77" s="105"/>
      <c r="K77" s="34"/>
      <c r="L77" s="34"/>
      <c r="M77" s="34"/>
    </row>
    <row r="78" spans="1:13" ht="12.75">
      <c r="A78" s="34"/>
      <c r="B78" s="588"/>
      <c r="C78" s="583"/>
      <c r="D78" s="34"/>
      <c r="E78" s="34"/>
      <c r="F78" s="34"/>
      <c r="G78" s="34"/>
      <c r="H78" s="34"/>
      <c r="I78" s="44"/>
      <c r="J78" s="105"/>
      <c r="K78" s="34"/>
      <c r="L78" s="34"/>
      <c r="M78" s="34"/>
    </row>
    <row r="79" spans="1:13" ht="12.75">
      <c r="A79" s="34"/>
      <c r="B79" s="584"/>
      <c r="C79" s="583"/>
      <c r="D79" s="34"/>
      <c r="E79" s="34"/>
      <c r="F79" s="34"/>
      <c r="G79" s="34"/>
      <c r="H79" s="34"/>
      <c r="I79" s="335"/>
      <c r="J79" s="105"/>
      <c r="K79" s="34"/>
      <c r="L79" s="34"/>
      <c r="M79" s="34"/>
    </row>
    <row r="80" spans="1:13" ht="12.75">
      <c r="A80" s="34"/>
      <c r="B80" s="588"/>
      <c r="C80" s="583"/>
      <c r="D80" s="34"/>
      <c r="E80" s="34"/>
      <c r="F80" s="34"/>
      <c r="G80" s="34"/>
      <c r="H80" s="34"/>
      <c r="I80" s="44"/>
      <c r="J80" s="105"/>
      <c r="K80" s="34"/>
      <c r="L80" s="34"/>
      <c r="M80" s="34"/>
    </row>
    <row r="81" spans="1:13" ht="12.75">
      <c r="A81" s="34"/>
      <c r="B81" s="588"/>
      <c r="C81" s="583"/>
      <c r="D81" s="34"/>
      <c r="E81" s="34"/>
      <c r="F81" s="34"/>
      <c r="G81" s="34"/>
      <c r="H81" s="34"/>
      <c r="I81" s="44"/>
      <c r="J81" s="105"/>
      <c r="K81" s="34"/>
      <c r="L81" s="34"/>
      <c r="M81" s="34"/>
    </row>
    <row r="82" spans="1:13" ht="12.75">
      <c r="A82" s="34"/>
      <c r="B82" s="588"/>
      <c r="C82" s="583"/>
      <c r="D82" s="34"/>
      <c r="E82" s="34"/>
      <c r="F82" s="34"/>
      <c r="G82" s="34"/>
      <c r="H82" s="34"/>
      <c r="I82" s="44"/>
      <c r="J82" s="105"/>
      <c r="K82" s="34"/>
      <c r="L82" s="34"/>
      <c r="M82" s="34"/>
    </row>
    <row r="83" spans="1:13" ht="12.75">
      <c r="A83" s="34"/>
      <c r="B83" s="588"/>
      <c r="C83" s="583"/>
      <c r="D83" s="34"/>
      <c r="E83" s="34"/>
      <c r="F83" s="34"/>
      <c r="G83" s="34"/>
      <c r="H83" s="34"/>
      <c r="I83" s="44"/>
      <c r="J83" s="105"/>
      <c r="K83" s="34"/>
      <c r="L83" s="34"/>
      <c r="M83" s="34"/>
    </row>
    <row r="84" spans="1:13" ht="12.75">
      <c r="A84" s="34"/>
      <c r="B84" s="588"/>
      <c r="C84" s="583"/>
      <c r="D84" s="34"/>
      <c r="E84" s="34"/>
      <c r="F84" s="34"/>
      <c r="G84" s="34"/>
      <c r="H84" s="34"/>
      <c r="I84" s="44"/>
      <c r="J84" s="105"/>
      <c r="K84" s="34"/>
      <c r="L84" s="34"/>
      <c r="M84" s="34"/>
    </row>
    <row r="85" spans="1:13" ht="12.75">
      <c r="A85" s="34"/>
      <c r="B85" s="588"/>
      <c r="C85" s="583"/>
      <c r="D85" s="34"/>
      <c r="E85" s="34"/>
      <c r="F85" s="34"/>
      <c r="G85" s="34"/>
      <c r="H85" s="34"/>
      <c r="I85" s="44"/>
      <c r="J85" s="105"/>
      <c r="K85" s="34"/>
      <c r="L85" s="34"/>
      <c r="M85" s="34"/>
    </row>
    <row r="86" spans="1:13" ht="12.75">
      <c r="A86" s="34"/>
      <c r="B86" s="588"/>
      <c r="C86" s="583"/>
      <c r="D86" s="34"/>
      <c r="E86" s="34"/>
      <c r="F86" s="34"/>
      <c r="G86" s="34"/>
      <c r="H86" s="34"/>
      <c r="I86" s="44"/>
      <c r="J86" s="105"/>
      <c r="K86" s="34"/>
      <c r="L86" s="34"/>
      <c r="M86" s="34"/>
    </row>
    <row r="87" spans="1:13" ht="12.75">
      <c r="A87" s="34"/>
      <c r="B87" s="588"/>
      <c r="C87" s="583"/>
      <c r="D87" s="34"/>
      <c r="E87" s="34"/>
      <c r="F87" s="34"/>
      <c r="G87" s="34"/>
      <c r="H87" s="34"/>
      <c r="I87" s="44"/>
      <c r="J87" s="105"/>
      <c r="K87" s="34"/>
      <c r="L87" s="34"/>
      <c r="M87" s="34"/>
    </row>
    <row r="88" spans="1:13" ht="12.75">
      <c r="A88" s="34"/>
      <c r="B88" s="588"/>
      <c r="C88" s="583"/>
      <c r="D88" s="34"/>
      <c r="E88" s="34"/>
      <c r="F88" s="34"/>
      <c r="G88" s="34"/>
      <c r="H88" s="34"/>
      <c r="I88" s="44"/>
      <c r="J88" s="105"/>
      <c r="K88" s="34"/>
      <c r="L88" s="34"/>
      <c r="M88" s="34"/>
    </row>
    <row r="89" spans="1:13" ht="12.75">
      <c r="A89" s="34"/>
      <c r="B89" s="588"/>
      <c r="C89" s="583"/>
      <c r="D89" s="34"/>
      <c r="E89" s="34"/>
      <c r="F89" s="34"/>
      <c r="G89" s="34"/>
      <c r="H89" s="34"/>
      <c r="I89" s="44"/>
      <c r="J89" s="105"/>
      <c r="K89" s="34"/>
      <c r="L89" s="34"/>
      <c r="M89" s="34"/>
    </row>
    <row r="90" spans="1:13" ht="12.75">
      <c r="A90" s="34"/>
      <c r="B90" s="588"/>
      <c r="C90" s="583"/>
      <c r="D90" s="34"/>
      <c r="E90" s="34"/>
      <c r="F90" s="34"/>
      <c r="G90" s="34"/>
      <c r="H90" s="34"/>
      <c r="I90" s="44"/>
      <c r="J90" s="105"/>
      <c r="K90" s="34"/>
      <c r="L90" s="34"/>
      <c r="M90" s="34"/>
    </row>
    <row r="91" spans="1:13" ht="12.75">
      <c r="A91" s="34"/>
      <c r="B91" s="588"/>
      <c r="C91" s="583"/>
      <c r="D91" s="34"/>
      <c r="E91" s="34"/>
      <c r="F91" s="34"/>
      <c r="G91" s="34"/>
      <c r="H91" s="34"/>
      <c r="I91" s="44"/>
      <c r="J91" s="105"/>
      <c r="K91" s="34"/>
      <c r="L91" s="34"/>
      <c r="M91" s="34"/>
    </row>
    <row r="92" spans="1:13" ht="12.75">
      <c r="A92" s="34"/>
      <c r="B92" s="588"/>
      <c r="C92" s="583"/>
      <c r="D92" s="34"/>
      <c r="E92" s="34"/>
      <c r="F92" s="34"/>
      <c r="G92" s="34"/>
      <c r="H92" s="34"/>
      <c r="I92" s="44"/>
      <c r="J92" s="105"/>
      <c r="K92" s="34"/>
      <c r="L92" s="34"/>
      <c r="M92" s="34"/>
    </row>
    <row r="93" spans="1:13" ht="12.75">
      <c r="A93" s="34"/>
      <c r="B93" s="188"/>
      <c r="C93" s="34"/>
      <c r="D93" s="34"/>
      <c r="E93" s="34"/>
      <c r="F93" s="34"/>
      <c r="G93" s="34"/>
      <c r="H93" s="34"/>
      <c r="I93" s="44"/>
      <c r="J93" s="105"/>
      <c r="K93" s="34"/>
      <c r="L93" s="34"/>
      <c r="M93" s="34"/>
    </row>
    <row r="94" spans="1:13" ht="12.75">
      <c r="A94" s="34"/>
      <c r="B94" s="588"/>
      <c r="C94" s="583"/>
      <c r="D94" s="34"/>
      <c r="E94" s="34"/>
      <c r="F94" s="34"/>
      <c r="G94" s="34"/>
      <c r="H94" s="34"/>
      <c r="I94" s="44"/>
      <c r="J94" s="105"/>
      <c r="K94" s="34"/>
      <c r="L94" s="34"/>
      <c r="M94" s="34"/>
    </row>
    <row r="95" spans="1:13" ht="12.75">
      <c r="A95" s="34"/>
      <c r="B95" s="188"/>
      <c r="C95" s="34"/>
      <c r="D95" s="34"/>
      <c r="E95" s="34"/>
      <c r="F95" s="34"/>
      <c r="G95" s="34"/>
      <c r="H95" s="34"/>
      <c r="I95" s="44"/>
      <c r="J95" s="105"/>
      <c r="K95" s="34"/>
      <c r="L95" s="34"/>
      <c r="M95" s="34"/>
    </row>
    <row r="96" spans="1:13" ht="12.75">
      <c r="A96" s="34"/>
      <c r="B96" s="608"/>
      <c r="C96" s="591"/>
      <c r="D96" s="34"/>
      <c r="E96" s="34"/>
      <c r="F96" s="34"/>
      <c r="G96" s="34"/>
      <c r="H96" s="34"/>
      <c r="I96" s="44"/>
      <c r="J96" s="105"/>
      <c r="K96" s="34"/>
      <c r="L96" s="34"/>
      <c r="M96" s="34"/>
    </row>
    <row r="97" spans="1:13" ht="12.75">
      <c r="A97" s="34"/>
      <c r="B97" s="608"/>
      <c r="C97" s="591"/>
      <c r="D97" s="34"/>
      <c r="E97" s="34"/>
      <c r="F97" s="34"/>
      <c r="G97" s="34"/>
      <c r="H97" s="34"/>
      <c r="I97" s="44"/>
      <c r="J97" s="105"/>
      <c r="K97" s="34"/>
      <c r="L97" s="34"/>
      <c r="M97" s="34"/>
    </row>
    <row r="98" spans="1:13" ht="12.75">
      <c r="A98" s="34"/>
      <c r="B98" s="608"/>
      <c r="C98" s="591"/>
      <c r="D98" s="34"/>
      <c r="E98" s="34"/>
      <c r="F98" s="34"/>
      <c r="G98" s="34"/>
      <c r="H98" s="34"/>
      <c r="I98" s="44"/>
      <c r="J98" s="105"/>
      <c r="K98" s="34"/>
      <c r="L98" s="34"/>
      <c r="M98" s="34"/>
    </row>
    <row r="99" spans="1:13" ht="12.75">
      <c r="A99" s="34"/>
      <c r="B99" s="608"/>
      <c r="C99" s="591"/>
      <c r="D99" s="34"/>
      <c r="E99" s="34"/>
      <c r="F99" s="34"/>
      <c r="G99" s="34"/>
      <c r="H99" s="34"/>
      <c r="I99" s="44"/>
      <c r="J99" s="105"/>
      <c r="K99" s="34"/>
      <c r="L99" s="34"/>
      <c r="M99" s="34"/>
    </row>
    <row r="100" spans="1:13" ht="12.75">
      <c r="A100" s="34"/>
      <c r="B100" s="188"/>
      <c r="C100" s="34"/>
      <c r="D100" s="34"/>
      <c r="E100" s="34"/>
      <c r="F100" s="34"/>
      <c r="G100" s="34"/>
      <c r="H100" s="34"/>
      <c r="I100" s="44"/>
      <c r="J100" s="105"/>
      <c r="K100" s="34"/>
      <c r="L100" s="34"/>
      <c r="M100" s="34"/>
    </row>
    <row r="101" spans="1:13" ht="12.75">
      <c r="A101" s="34"/>
      <c r="B101" s="188"/>
      <c r="C101" s="34"/>
      <c r="D101" s="34"/>
      <c r="E101" s="34"/>
      <c r="F101" s="34"/>
      <c r="G101" s="34"/>
      <c r="H101" s="34"/>
      <c r="I101" s="44"/>
      <c r="J101" s="105"/>
      <c r="K101" s="34"/>
      <c r="L101" s="34"/>
      <c r="M101" s="34"/>
    </row>
    <row r="102" spans="1:13" ht="12.75">
      <c r="A102" s="34"/>
      <c r="B102" s="188"/>
      <c r="C102" s="34"/>
      <c r="D102" s="34"/>
      <c r="E102" s="34"/>
      <c r="F102" s="34"/>
      <c r="G102" s="34"/>
      <c r="H102" s="34"/>
      <c r="I102" s="44"/>
      <c r="J102" s="105"/>
      <c r="K102" s="34"/>
      <c r="L102" s="34"/>
      <c r="M102" s="34"/>
    </row>
    <row r="103" spans="1:13" ht="12.75">
      <c r="A103" s="34"/>
      <c r="B103" s="188"/>
      <c r="C103" s="34"/>
      <c r="D103" s="34"/>
      <c r="E103" s="34"/>
      <c r="F103" s="34"/>
      <c r="G103" s="34"/>
      <c r="H103" s="34"/>
      <c r="I103" s="44"/>
      <c r="J103" s="105"/>
      <c r="K103" s="34"/>
      <c r="L103" s="34"/>
      <c r="M103" s="34"/>
    </row>
    <row r="104" spans="1:13" ht="12.75">
      <c r="A104" s="34"/>
      <c r="B104" s="188"/>
      <c r="C104" s="34"/>
      <c r="D104" s="34"/>
      <c r="E104" s="34"/>
      <c r="F104" s="34"/>
      <c r="G104" s="34"/>
      <c r="H104" s="34"/>
      <c r="I104" s="44"/>
      <c r="J104" s="105"/>
      <c r="K104" s="34"/>
      <c r="L104" s="34"/>
      <c r="M104" s="34"/>
    </row>
    <row r="105" spans="1:13" ht="12.75">
      <c r="A105" s="34"/>
      <c r="B105" s="188"/>
      <c r="C105" s="34"/>
      <c r="D105" s="34"/>
      <c r="E105" s="34"/>
      <c r="F105" s="34"/>
      <c r="G105" s="34"/>
      <c r="H105" s="34"/>
      <c r="I105" s="44"/>
      <c r="J105" s="105"/>
      <c r="K105" s="34"/>
      <c r="L105" s="34"/>
      <c r="M105" s="34"/>
    </row>
    <row r="106" spans="1:13" ht="12.75">
      <c r="A106" s="34"/>
      <c r="B106" s="188"/>
      <c r="C106" s="34"/>
      <c r="D106" s="34"/>
      <c r="E106" s="34"/>
      <c r="F106" s="34"/>
      <c r="G106" s="34"/>
      <c r="H106" s="34"/>
      <c r="I106" s="44"/>
      <c r="J106" s="105"/>
      <c r="K106" s="34"/>
      <c r="L106" s="34"/>
      <c r="M106" s="34"/>
    </row>
    <row r="107" spans="1:13" ht="12.75">
      <c r="A107" s="34"/>
      <c r="B107" s="188"/>
      <c r="C107" s="34"/>
      <c r="D107" s="34"/>
      <c r="E107" s="34"/>
      <c r="F107" s="34"/>
      <c r="G107" s="34"/>
      <c r="H107" s="34"/>
      <c r="I107" s="44"/>
      <c r="J107" s="105"/>
      <c r="K107" s="34"/>
      <c r="L107" s="34"/>
      <c r="M107" s="34"/>
    </row>
    <row r="108" spans="1:13" ht="12.75">
      <c r="A108" s="34"/>
      <c r="B108" s="188"/>
      <c r="C108" s="34"/>
      <c r="D108" s="34"/>
      <c r="E108" s="34"/>
      <c r="F108" s="34"/>
      <c r="G108" s="34"/>
      <c r="H108" s="34"/>
      <c r="I108" s="44"/>
      <c r="J108" s="105"/>
      <c r="K108" s="34"/>
      <c r="L108" s="34"/>
      <c r="M108" s="34"/>
    </row>
    <row r="109" spans="1:13" ht="12.75">
      <c r="A109" s="34"/>
      <c r="B109" s="188"/>
      <c r="C109" s="34"/>
      <c r="D109" s="34"/>
      <c r="E109" s="34"/>
      <c r="F109" s="34"/>
      <c r="G109" s="34"/>
      <c r="H109" s="34"/>
      <c r="I109" s="44"/>
      <c r="J109" s="105"/>
      <c r="K109" s="34"/>
      <c r="L109" s="34"/>
      <c r="M109" s="34"/>
    </row>
    <row r="110" spans="1:13" ht="12.75">
      <c r="A110" s="34"/>
      <c r="B110" s="188"/>
      <c r="C110" s="34"/>
      <c r="D110" s="34"/>
      <c r="E110" s="34"/>
      <c r="F110" s="34"/>
      <c r="G110" s="34"/>
      <c r="H110" s="34"/>
      <c r="I110" s="44"/>
      <c r="J110" s="105"/>
      <c r="K110" s="34"/>
      <c r="L110" s="34"/>
      <c r="M110" s="34"/>
    </row>
    <row r="111" spans="1:13" ht="12.75">
      <c r="A111" s="34"/>
      <c r="B111" s="188"/>
      <c r="C111" s="34"/>
      <c r="D111" s="34"/>
      <c r="E111" s="34"/>
      <c r="F111" s="34"/>
      <c r="G111" s="34"/>
      <c r="H111" s="34"/>
      <c r="I111" s="44"/>
      <c r="J111" s="105"/>
      <c r="K111" s="34"/>
      <c r="L111" s="34"/>
      <c r="M111" s="34"/>
    </row>
    <row r="112" spans="1:13" ht="12.75">
      <c r="A112" s="34"/>
      <c r="B112" s="188"/>
      <c r="C112" s="34"/>
      <c r="D112" s="34"/>
      <c r="E112" s="34"/>
      <c r="F112" s="34"/>
      <c r="G112" s="34"/>
      <c r="H112" s="34"/>
      <c r="I112" s="44"/>
      <c r="J112" s="105"/>
      <c r="K112" s="34"/>
      <c r="L112" s="34"/>
      <c r="M112" s="34"/>
    </row>
    <row r="113" spans="1:13" ht="12.75">
      <c r="A113" s="34"/>
      <c r="B113" s="188"/>
      <c r="C113" s="34"/>
      <c r="D113" s="34"/>
      <c r="E113" s="34"/>
      <c r="F113" s="34"/>
      <c r="G113" s="34"/>
      <c r="H113" s="34"/>
      <c r="I113" s="44"/>
      <c r="J113" s="105"/>
      <c r="K113" s="34"/>
      <c r="L113" s="34"/>
      <c r="M113" s="34"/>
    </row>
    <row r="114" spans="1:13" ht="12.75">
      <c r="A114" s="34"/>
      <c r="B114" s="188"/>
      <c r="C114" s="34"/>
      <c r="D114" s="34"/>
      <c r="E114" s="34"/>
      <c r="F114" s="34"/>
      <c r="G114" s="34"/>
      <c r="H114" s="34"/>
      <c r="I114" s="44"/>
      <c r="J114" s="105"/>
      <c r="K114" s="34"/>
      <c r="L114" s="34"/>
      <c r="M114" s="34"/>
    </row>
    <row r="115" spans="1:13" ht="12.75">
      <c r="A115" s="34"/>
      <c r="B115" s="188"/>
      <c r="C115" s="34"/>
      <c r="D115" s="34"/>
      <c r="E115" s="34"/>
      <c r="F115" s="34"/>
      <c r="G115" s="34"/>
      <c r="H115" s="34"/>
      <c r="I115" s="44"/>
      <c r="J115" s="105"/>
      <c r="K115" s="34"/>
      <c r="L115" s="34"/>
      <c r="M115" s="34"/>
    </row>
    <row r="116" spans="1:13" ht="12.75">
      <c r="A116" s="34"/>
      <c r="B116" s="188"/>
      <c r="C116" s="34"/>
      <c r="D116" s="34"/>
      <c r="E116" s="34"/>
      <c r="F116" s="34"/>
      <c r="G116" s="34"/>
      <c r="H116" s="34"/>
      <c r="I116" s="44"/>
      <c r="J116" s="105"/>
      <c r="K116" s="34"/>
      <c r="L116" s="34"/>
      <c r="M116" s="34"/>
    </row>
    <row r="117" spans="1:13" ht="12.75">
      <c r="A117" s="34"/>
      <c r="B117" s="188"/>
      <c r="C117" s="34"/>
      <c r="D117" s="34"/>
      <c r="E117" s="34"/>
      <c r="F117" s="34"/>
      <c r="G117" s="34"/>
      <c r="H117" s="34"/>
      <c r="I117" s="44"/>
      <c r="J117" s="105"/>
      <c r="K117" s="34"/>
      <c r="L117" s="34"/>
      <c r="M117" s="34"/>
    </row>
    <row r="118" spans="1:13" ht="12.75">
      <c r="A118" s="34"/>
      <c r="B118" s="188"/>
      <c r="C118" s="34"/>
      <c r="D118" s="34"/>
      <c r="E118" s="34"/>
      <c r="F118" s="34"/>
      <c r="G118" s="34"/>
      <c r="H118" s="34"/>
      <c r="I118" s="44"/>
      <c r="J118" s="105"/>
      <c r="K118" s="34"/>
      <c r="L118" s="34"/>
      <c r="M118" s="34"/>
    </row>
    <row r="119" spans="1:13" ht="12.75">
      <c r="A119" s="34"/>
      <c r="B119" s="188"/>
      <c r="C119" s="34"/>
      <c r="D119" s="34"/>
      <c r="E119" s="34"/>
      <c r="F119" s="34"/>
      <c r="G119" s="34"/>
      <c r="H119" s="34"/>
      <c r="I119" s="44"/>
      <c r="J119" s="105"/>
      <c r="K119" s="34"/>
      <c r="L119" s="34"/>
      <c r="M119" s="34"/>
    </row>
    <row r="120" spans="1:13" ht="12.75">
      <c r="A120" s="34"/>
      <c r="B120" s="188"/>
      <c r="C120" s="34"/>
      <c r="D120" s="34"/>
      <c r="E120" s="34"/>
      <c r="F120" s="34"/>
      <c r="G120" s="34"/>
      <c r="H120" s="34"/>
      <c r="I120" s="44"/>
      <c r="J120" s="105"/>
      <c r="K120" s="34"/>
      <c r="L120" s="34"/>
      <c r="M120" s="34"/>
    </row>
    <row r="121" spans="1:13" ht="12.75">
      <c r="A121" s="34"/>
      <c r="B121" s="188"/>
      <c r="C121" s="34"/>
      <c r="D121" s="34"/>
      <c r="E121" s="34"/>
      <c r="F121" s="34"/>
      <c r="G121" s="34"/>
      <c r="H121" s="34"/>
      <c r="I121" s="44"/>
      <c r="J121" s="105"/>
      <c r="K121" s="34"/>
      <c r="L121" s="34"/>
      <c r="M121" s="34"/>
    </row>
    <row r="122" spans="1:13" ht="12.75">
      <c r="A122" s="34"/>
      <c r="B122" s="188"/>
      <c r="C122" s="34"/>
      <c r="D122" s="34"/>
      <c r="E122" s="34"/>
      <c r="F122" s="34"/>
      <c r="G122" s="34"/>
      <c r="H122" s="34"/>
      <c r="I122" s="44"/>
      <c r="J122" s="105"/>
      <c r="K122" s="34"/>
      <c r="L122" s="34"/>
      <c r="M122" s="34"/>
    </row>
    <row r="123" spans="1:13" ht="12.75">
      <c r="A123" s="34"/>
      <c r="B123" s="188"/>
      <c r="C123" s="34"/>
      <c r="D123" s="34"/>
      <c r="E123" s="34"/>
      <c r="F123" s="34"/>
      <c r="G123" s="34"/>
      <c r="H123" s="34"/>
      <c r="I123" s="44"/>
      <c r="J123" s="105"/>
      <c r="K123" s="34"/>
      <c r="L123" s="34"/>
      <c r="M123" s="34"/>
    </row>
    <row r="124" spans="1:13" ht="12.75">
      <c r="A124" s="34"/>
      <c r="B124" s="188"/>
      <c r="C124" s="34"/>
      <c r="D124" s="34"/>
      <c r="E124" s="34"/>
      <c r="F124" s="34"/>
      <c r="G124" s="34"/>
      <c r="H124" s="34"/>
      <c r="I124" s="44"/>
      <c r="J124" s="105"/>
      <c r="K124" s="34"/>
      <c r="L124" s="34"/>
      <c r="M124" s="34"/>
    </row>
    <row r="125" spans="1:13" ht="12.75">
      <c r="A125" s="34"/>
      <c r="B125" s="188"/>
      <c r="C125" s="34"/>
      <c r="D125" s="34"/>
      <c r="E125" s="34"/>
      <c r="F125" s="34"/>
      <c r="G125" s="34"/>
      <c r="H125" s="34"/>
      <c r="I125" s="44"/>
      <c r="J125" s="105"/>
      <c r="K125" s="34"/>
      <c r="L125" s="34"/>
      <c r="M125" s="34"/>
    </row>
    <row r="126" spans="1:13" ht="12.75">
      <c r="A126" s="34"/>
      <c r="B126" s="188"/>
      <c r="C126" s="34"/>
      <c r="D126" s="34"/>
      <c r="E126" s="34"/>
      <c r="F126" s="34"/>
      <c r="G126" s="34"/>
      <c r="H126" s="34"/>
      <c r="I126" s="44"/>
      <c r="J126" s="105"/>
      <c r="K126" s="34"/>
      <c r="L126" s="34"/>
      <c r="M126" s="34"/>
    </row>
    <row r="127" spans="1:13" ht="12.75">
      <c r="A127" s="34"/>
      <c r="B127" s="188"/>
      <c r="C127" s="34"/>
      <c r="D127" s="34"/>
      <c r="E127" s="34"/>
      <c r="F127" s="34"/>
      <c r="G127" s="34"/>
      <c r="H127" s="34"/>
      <c r="I127" s="44"/>
      <c r="J127" s="105"/>
      <c r="K127" s="34"/>
      <c r="L127" s="34"/>
      <c r="M127" s="34"/>
    </row>
    <row r="128" spans="1:13" ht="12.75">
      <c r="A128" s="34"/>
      <c r="B128" s="188"/>
      <c r="C128" s="34"/>
      <c r="D128" s="34"/>
      <c r="E128" s="34"/>
      <c r="F128" s="34"/>
      <c r="G128" s="34"/>
      <c r="H128" s="34"/>
      <c r="I128" s="44"/>
      <c r="J128" s="105"/>
      <c r="K128" s="34"/>
      <c r="L128" s="34"/>
      <c r="M128" s="34"/>
    </row>
    <row r="129" spans="1:13" ht="12.75">
      <c r="A129" s="34"/>
      <c r="B129" s="188"/>
      <c r="C129" s="34"/>
      <c r="D129" s="34"/>
      <c r="E129" s="34"/>
      <c r="F129" s="34"/>
      <c r="G129" s="34"/>
      <c r="H129" s="34"/>
      <c r="I129" s="44"/>
      <c r="J129" s="105"/>
      <c r="K129" s="34"/>
      <c r="L129" s="34"/>
      <c r="M129" s="34"/>
    </row>
    <row r="130" spans="1:13" ht="12.75">
      <c r="A130" s="34"/>
      <c r="B130" s="188"/>
      <c r="C130" s="34"/>
      <c r="D130" s="34"/>
      <c r="E130" s="34"/>
      <c r="F130" s="34"/>
      <c r="G130" s="34"/>
      <c r="H130" s="34"/>
      <c r="I130" s="44"/>
      <c r="J130" s="105"/>
      <c r="K130" s="34"/>
      <c r="L130" s="34"/>
      <c r="M130" s="34"/>
    </row>
    <row r="131" spans="1:13" ht="12.75">
      <c r="A131" s="34"/>
      <c r="B131" s="188"/>
      <c r="C131" s="34"/>
      <c r="D131" s="34"/>
      <c r="E131" s="34"/>
      <c r="F131" s="34"/>
      <c r="G131" s="34"/>
      <c r="H131" s="34"/>
      <c r="I131" s="44"/>
      <c r="J131" s="105"/>
      <c r="K131" s="34"/>
      <c r="L131" s="34"/>
      <c r="M131" s="34"/>
    </row>
    <row r="132" spans="1:13" ht="12.75">
      <c r="A132" s="34"/>
      <c r="B132" s="188"/>
      <c r="C132" s="34"/>
      <c r="D132" s="34"/>
      <c r="E132" s="34"/>
      <c r="F132" s="34"/>
      <c r="G132" s="34"/>
      <c r="H132" s="34"/>
      <c r="I132" s="44"/>
      <c r="J132" s="105"/>
      <c r="K132" s="34"/>
      <c r="L132" s="34"/>
      <c r="M132" s="34"/>
    </row>
    <row r="133" spans="1:13" ht="12.75">
      <c r="A133" s="34"/>
      <c r="B133" s="188"/>
      <c r="C133" s="34"/>
      <c r="D133" s="34"/>
      <c r="E133" s="34"/>
      <c r="F133" s="34"/>
      <c r="G133" s="34"/>
      <c r="H133" s="34"/>
      <c r="I133" s="44"/>
      <c r="J133" s="105"/>
      <c r="K133" s="34"/>
      <c r="L133" s="34"/>
      <c r="M133" s="34"/>
    </row>
    <row r="134" spans="1:13" ht="12.75">
      <c r="A134" s="34"/>
      <c r="B134" s="188"/>
      <c r="C134" s="34"/>
      <c r="D134" s="34"/>
      <c r="E134" s="34"/>
      <c r="F134" s="34"/>
      <c r="G134" s="34"/>
      <c r="H134" s="34"/>
      <c r="I134" s="44"/>
      <c r="J134" s="105"/>
      <c r="K134" s="34"/>
      <c r="L134" s="34"/>
      <c r="M134" s="34"/>
    </row>
    <row r="135" spans="1:13" ht="12.75">
      <c r="A135" s="34"/>
      <c r="B135" s="188"/>
      <c r="C135" s="34"/>
      <c r="D135" s="34"/>
      <c r="E135" s="34"/>
      <c r="F135" s="34"/>
      <c r="G135" s="34"/>
      <c r="H135" s="34"/>
      <c r="I135" s="44"/>
      <c r="J135" s="105"/>
      <c r="K135" s="34"/>
      <c r="L135" s="34"/>
      <c r="M135" s="34"/>
    </row>
    <row r="136" spans="1:13" ht="12.75">
      <c r="A136" s="34"/>
      <c r="B136" s="188"/>
      <c r="C136" s="34"/>
      <c r="D136" s="34"/>
      <c r="E136" s="34"/>
      <c r="F136" s="34"/>
      <c r="G136" s="34"/>
      <c r="H136" s="34"/>
      <c r="I136" s="44"/>
      <c r="J136" s="105"/>
      <c r="K136" s="34"/>
      <c r="L136" s="34"/>
      <c r="M136" s="34"/>
    </row>
    <row r="137" spans="1:13" ht="12.75">
      <c r="A137" s="34"/>
      <c r="B137" s="188"/>
      <c r="C137" s="34"/>
      <c r="D137" s="34"/>
      <c r="E137" s="34"/>
      <c r="F137" s="34"/>
      <c r="G137" s="34"/>
      <c r="H137" s="34"/>
      <c r="I137" s="44"/>
      <c r="J137" s="105"/>
      <c r="K137" s="34"/>
      <c r="L137" s="34"/>
      <c r="M137" s="34"/>
    </row>
    <row r="138" spans="1:13" ht="12.75">
      <c r="A138" s="34"/>
      <c r="B138" s="188"/>
      <c r="C138" s="34"/>
      <c r="D138" s="34"/>
      <c r="E138" s="34"/>
      <c r="F138" s="34"/>
      <c r="G138" s="34"/>
      <c r="H138" s="34"/>
      <c r="I138" s="44"/>
      <c r="J138" s="105"/>
      <c r="K138" s="34"/>
      <c r="L138" s="34"/>
      <c r="M138" s="34"/>
    </row>
    <row r="139" spans="1:13" ht="12.75">
      <c r="A139" s="34"/>
      <c r="B139" s="188"/>
      <c r="C139" s="34"/>
      <c r="D139" s="34"/>
      <c r="E139" s="34"/>
      <c r="F139" s="34"/>
      <c r="G139" s="34"/>
      <c r="H139" s="34"/>
      <c r="I139" s="44"/>
      <c r="J139" s="105"/>
      <c r="K139" s="34"/>
      <c r="L139" s="34"/>
      <c r="M139" s="34"/>
    </row>
    <row r="140" spans="1:13" ht="12.75">
      <c r="A140" s="34"/>
      <c r="B140" s="188"/>
      <c r="C140" s="34"/>
      <c r="D140" s="34"/>
      <c r="E140" s="34"/>
      <c r="F140" s="34"/>
      <c r="G140" s="34"/>
      <c r="H140" s="34"/>
      <c r="I140" s="44"/>
      <c r="J140" s="105"/>
      <c r="K140" s="34"/>
      <c r="L140" s="34"/>
      <c r="M140" s="34"/>
    </row>
    <row r="141" spans="1:13" ht="12.75">
      <c r="A141" s="34"/>
      <c r="B141" s="188"/>
      <c r="C141" s="34"/>
      <c r="D141" s="34"/>
      <c r="E141" s="34"/>
      <c r="F141" s="34"/>
      <c r="G141" s="34"/>
      <c r="H141" s="34"/>
      <c r="I141" s="44"/>
      <c r="J141" s="105"/>
      <c r="K141" s="34"/>
      <c r="L141" s="34"/>
      <c r="M141" s="34"/>
    </row>
    <row r="142" spans="1:13" ht="12.75">
      <c r="A142" s="34"/>
      <c r="B142" s="188"/>
      <c r="C142" s="34"/>
      <c r="D142" s="34"/>
      <c r="E142" s="34"/>
      <c r="F142" s="34"/>
      <c r="G142" s="34"/>
      <c r="H142" s="34"/>
      <c r="I142" s="44"/>
      <c r="J142" s="105"/>
      <c r="K142" s="34"/>
      <c r="L142" s="34"/>
      <c r="M142" s="34"/>
    </row>
    <row r="143" spans="1:13" ht="12.75">
      <c r="A143" s="34"/>
      <c r="B143" s="188"/>
      <c r="C143" s="34"/>
      <c r="D143" s="34"/>
      <c r="E143" s="34"/>
      <c r="F143" s="34"/>
      <c r="G143" s="34"/>
      <c r="H143" s="34"/>
      <c r="I143" s="44"/>
      <c r="J143" s="105"/>
      <c r="K143" s="34"/>
      <c r="L143" s="34"/>
      <c r="M143" s="34"/>
    </row>
    <row r="144" spans="1:13" ht="12.75">
      <c r="A144" s="34"/>
      <c r="B144" s="188"/>
      <c r="C144" s="34"/>
      <c r="D144" s="34"/>
      <c r="E144" s="34"/>
      <c r="F144" s="34"/>
      <c r="G144" s="34"/>
      <c r="H144" s="34"/>
      <c r="I144" s="44"/>
      <c r="J144" s="105"/>
      <c r="K144" s="34"/>
      <c r="L144" s="34"/>
      <c r="M144" s="34"/>
    </row>
    <row r="145" spans="1:13" ht="12.75">
      <c r="A145" s="34"/>
      <c r="B145" s="188"/>
      <c r="C145" s="34"/>
      <c r="D145" s="34"/>
      <c r="E145" s="34"/>
      <c r="F145" s="34"/>
      <c r="G145" s="34"/>
      <c r="H145" s="34"/>
      <c r="I145" s="44"/>
      <c r="J145" s="105"/>
      <c r="K145" s="34"/>
      <c r="L145" s="34"/>
      <c r="M145" s="34"/>
    </row>
    <row r="146" spans="1:13" ht="12.75">
      <c r="A146" s="34"/>
      <c r="B146" s="188"/>
      <c r="C146" s="34"/>
      <c r="D146" s="34"/>
      <c r="E146" s="34"/>
      <c r="F146" s="34"/>
      <c r="G146" s="34"/>
      <c r="H146" s="34"/>
      <c r="I146" s="44"/>
      <c r="J146" s="105"/>
      <c r="K146" s="34"/>
      <c r="L146" s="34"/>
      <c r="M146" s="34"/>
    </row>
    <row r="147" spans="1:13" ht="12.75">
      <c r="A147" s="34"/>
      <c r="B147" s="188"/>
      <c r="C147" s="34"/>
      <c r="D147" s="34"/>
      <c r="E147" s="34"/>
      <c r="F147" s="34"/>
      <c r="G147" s="34"/>
      <c r="H147" s="34"/>
      <c r="I147" s="44"/>
      <c r="J147" s="105"/>
      <c r="K147" s="34"/>
      <c r="L147" s="34"/>
      <c r="M147" s="34"/>
    </row>
    <row r="148" spans="1:13" ht="12.75">
      <c r="A148" s="34"/>
      <c r="B148" s="188"/>
      <c r="C148" s="34"/>
      <c r="D148" s="34"/>
      <c r="E148" s="34"/>
      <c r="F148" s="34"/>
      <c r="G148" s="34"/>
      <c r="H148" s="34"/>
      <c r="I148" s="44"/>
      <c r="J148" s="105"/>
      <c r="K148" s="34"/>
      <c r="L148" s="34"/>
      <c r="M148" s="34"/>
    </row>
    <row r="149" spans="1:13" ht="12.75">
      <c r="A149" s="34"/>
      <c r="B149" s="188"/>
      <c r="C149" s="34"/>
      <c r="D149" s="34"/>
      <c r="E149" s="34"/>
      <c r="F149" s="34"/>
      <c r="G149" s="34"/>
      <c r="H149" s="34"/>
      <c r="I149" s="44"/>
      <c r="J149" s="105"/>
      <c r="K149" s="34"/>
      <c r="L149" s="34"/>
      <c r="M149" s="34"/>
    </row>
    <row r="150" spans="1:13" ht="12.75">
      <c r="A150" s="34"/>
      <c r="B150" s="188"/>
      <c r="C150" s="34"/>
      <c r="D150" s="34"/>
      <c r="E150" s="34"/>
      <c r="F150" s="34"/>
      <c r="G150" s="34"/>
      <c r="H150" s="34"/>
      <c r="I150" s="44"/>
      <c r="J150" s="105"/>
      <c r="K150" s="34"/>
      <c r="L150" s="34"/>
      <c r="M150" s="34"/>
    </row>
    <row r="151" spans="1:13" ht="12.75">
      <c r="A151" s="34"/>
      <c r="B151" s="188"/>
      <c r="C151" s="34"/>
      <c r="D151" s="34"/>
      <c r="E151" s="34"/>
      <c r="F151" s="34"/>
      <c r="G151" s="34"/>
      <c r="H151" s="34"/>
      <c r="I151" s="44"/>
      <c r="J151" s="105"/>
      <c r="K151" s="34"/>
      <c r="L151" s="34"/>
      <c r="M151" s="34"/>
    </row>
    <row r="152" spans="1:13" ht="12.75">
      <c r="A152" s="34"/>
      <c r="B152" s="188"/>
      <c r="C152" s="34"/>
      <c r="D152" s="34"/>
      <c r="E152" s="34"/>
      <c r="F152" s="34"/>
      <c r="G152" s="34"/>
      <c r="H152" s="34"/>
      <c r="I152" s="44"/>
      <c r="J152" s="105"/>
      <c r="K152" s="34"/>
      <c r="L152" s="34"/>
      <c r="M152" s="34"/>
    </row>
    <row r="153" spans="1:13" ht="12.75">
      <c r="A153" s="34"/>
      <c r="B153" s="188"/>
      <c r="C153" s="34"/>
      <c r="D153" s="34"/>
      <c r="E153" s="34"/>
      <c r="F153" s="34"/>
      <c r="G153" s="34"/>
      <c r="H153" s="34"/>
      <c r="I153" s="44"/>
      <c r="J153" s="105"/>
      <c r="K153" s="34"/>
      <c r="L153" s="34"/>
      <c r="M153" s="34"/>
    </row>
    <row r="154" spans="1:13" ht="12.75">
      <c r="A154" s="34"/>
      <c r="B154" s="188"/>
      <c r="C154" s="34"/>
      <c r="D154" s="34"/>
      <c r="E154" s="34"/>
      <c r="F154" s="34"/>
      <c r="G154" s="34"/>
      <c r="H154" s="34"/>
      <c r="I154" s="44"/>
      <c r="J154" s="105"/>
      <c r="K154" s="34"/>
      <c r="L154" s="34"/>
      <c r="M154" s="34"/>
    </row>
    <row r="155" spans="1:13" ht="12.75">
      <c r="A155" s="34"/>
      <c r="B155" s="188"/>
      <c r="C155" s="34"/>
      <c r="D155" s="34"/>
      <c r="E155" s="34"/>
      <c r="F155" s="34"/>
      <c r="G155" s="34"/>
      <c r="H155" s="34"/>
      <c r="I155" s="44"/>
      <c r="J155" s="105"/>
      <c r="K155" s="34"/>
      <c r="L155" s="34"/>
      <c r="M155" s="34"/>
    </row>
    <row r="156" spans="1:13" ht="12.75">
      <c r="A156" s="34"/>
      <c r="B156" s="188"/>
      <c r="C156" s="34"/>
      <c r="D156" s="34"/>
      <c r="E156" s="34"/>
      <c r="F156" s="34"/>
      <c r="G156" s="34"/>
      <c r="H156" s="34"/>
      <c r="I156" s="44"/>
      <c r="J156" s="105"/>
      <c r="K156" s="34"/>
      <c r="L156" s="34"/>
      <c r="M156" s="34"/>
    </row>
    <row r="157" spans="1:13" ht="12.75">
      <c r="A157" s="34"/>
      <c r="B157" s="188"/>
      <c r="C157" s="34"/>
      <c r="D157" s="34"/>
      <c r="E157" s="34"/>
      <c r="F157" s="34"/>
      <c r="G157" s="34"/>
      <c r="H157" s="34"/>
      <c r="I157" s="44"/>
      <c r="J157" s="105"/>
      <c r="K157" s="34"/>
      <c r="L157" s="34"/>
      <c r="M157" s="34"/>
    </row>
    <row r="158" spans="1:13" ht="12.75">
      <c r="A158" s="34"/>
      <c r="B158" s="188"/>
      <c r="C158" s="34"/>
      <c r="D158" s="34"/>
      <c r="E158" s="34"/>
      <c r="F158" s="34"/>
      <c r="G158" s="34"/>
      <c r="H158" s="34"/>
      <c r="I158" s="44"/>
      <c r="J158" s="105"/>
      <c r="K158" s="34"/>
      <c r="L158" s="34"/>
      <c r="M158" s="34"/>
    </row>
    <row r="159" spans="1:13" ht="12.75">
      <c r="A159" s="34"/>
      <c r="B159" s="188"/>
      <c r="C159" s="34"/>
      <c r="D159" s="34"/>
      <c r="E159" s="34"/>
      <c r="F159" s="34"/>
      <c r="G159" s="34"/>
      <c r="H159" s="34"/>
      <c r="I159" s="44"/>
      <c r="J159" s="105"/>
      <c r="K159" s="34"/>
      <c r="L159" s="34"/>
      <c r="M159" s="34"/>
    </row>
    <row r="160" spans="1:13" ht="12.75">
      <c r="A160" s="34"/>
      <c r="B160" s="188"/>
      <c r="C160" s="34"/>
      <c r="D160" s="34"/>
      <c r="E160" s="34"/>
      <c r="F160" s="34"/>
      <c r="G160" s="34"/>
      <c r="H160" s="34"/>
      <c r="I160" s="44"/>
      <c r="J160" s="105"/>
      <c r="K160" s="34"/>
      <c r="L160" s="34"/>
      <c r="M160" s="34"/>
    </row>
    <row r="161" spans="1:13" ht="12.75">
      <c r="A161" s="34"/>
      <c r="B161" s="188"/>
      <c r="C161" s="34"/>
      <c r="D161" s="34"/>
      <c r="E161" s="34"/>
      <c r="F161" s="34"/>
      <c r="G161" s="34"/>
      <c r="H161" s="34"/>
      <c r="I161" s="44"/>
      <c r="J161" s="105"/>
      <c r="K161" s="34"/>
      <c r="L161" s="34"/>
      <c r="M161" s="34"/>
    </row>
    <row r="162" spans="1:13" ht="12.75">
      <c r="A162" s="34"/>
      <c r="B162" s="188"/>
      <c r="C162" s="34"/>
      <c r="D162" s="34"/>
      <c r="E162" s="34"/>
      <c r="F162" s="34"/>
      <c r="G162" s="34"/>
      <c r="H162" s="34"/>
      <c r="I162" s="44"/>
      <c r="J162" s="105"/>
      <c r="K162" s="34"/>
      <c r="L162" s="34"/>
      <c r="M162" s="34"/>
    </row>
    <row r="163" spans="1:13" ht="12.75">
      <c r="A163" s="34"/>
      <c r="B163" s="188"/>
      <c r="C163" s="34"/>
      <c r="D163" s="34"/>
      <c r="E163" s="34"/>
      <c r="F163" s="34"/>
      <c r="G163" s="34"/>
      <c r="H163" s="34"/>
      <c r="I163" s="44"/>
      <c r="J163" s="105"/>
      <c r="K163" s="34"/>
      <c r="L163" s="34"/>
      <c r="M163" s="34"/>
    </row>
    <row r="164" spans="1:13" ht="12.75">
      <c r="A164" s="34"/>
      <c r="B164" s="188"/>
      <c r="C164" s="34"/>
      <c r="D164" s="34"/>
      <c r="E164" s="34"/>
      <c r="F164" s="34"/>
      <c r="G164" s="34"/>
      <c r="H164" s="34"/>
      <c r="I164" s="44"/>
      <c r="J164" s="105"/>
      <c r="K164" s="34"/>
      <c r="L164" s="34"/>
      <c r="M164" s="34"/>
    </row>
    <row r="165" spans="1:13" ht="12.75">
      <c r="A165" s="34"/>
      <c r="B165" s="188"/>
      <c r="C165" s="34"/>
      <c r="D165" s="34"/>
      <c r="E165" s="34"/>
      <c r="F165" s="34"/>
      <c r="G165" s="34"/>
      <c r="H165" s="34"/>
      <c r="I165" s="44"/>
      <c r="J165" s="105"/>
      <c r="K165" s="34"/>
      <c r="L165" s="34"/>
      <c r="M165" s="34"/>
    </row>
    <row r="166" spans="1:13" ht="12.75">
      <c r="A166" s="34"/>
      <c r="B166" s="188"/>
      <c r="C166" s="34"/>
      <c r="D166" s="34"/>
      <c r="E166" s="34"/>
      <c r="F166" s="34"/>
      <c r="G166" s="34"/>
      <c r="H166" s="34"/>
      <c r="I166" s="44"/>
      <c r="J166" s="105"/>
      <c r="K166" s="34"/>
      <c r="L166" s="34"/>
      <c r="M166" s="34"/>
    </row>
    <row r="167" spans="1:13" ht="12.75">
      <c r="A167" s="34"/>
      <c r="B167" s="188"/>
      <c r="C167" s="34"/>
      <c r="D167" s="34"/>
      <c r="E167" s="34"/>
      <c r="F167" s="34"/>
      <c r="G167" s="34"/>
      <c r="H167" s="34"/>
      <c r="I167" s="44"/>
      <c r="J167" s="105"/>
      <c r="K167" s="34"/>
      <c r="L167" s="34"/>
      <c r="M167" s="34"/>
    </row>
    <row r="168" spans="1:13" ht="12.75">
      <c r="A168" s="34"/>
      <c r="B168" s="188"/>
      <c r="C168" s="34"/>
      <c r="D168" s="34"/>
      <c r="E168" s="34"/>
      <c r="F168" s="34"/>
      <c r="G168" s="34"/>
      <c r="H168" s="34"/>
      <c r="I168" s="44"/>
      <c r="J168" s="105"/>
      <c r="K168" s="34"/>
      <c r="L168" s="34"/>
      <c r="M168" s="34"/>
    </row>
    <row r="169" spans="1:13" ht="12.75">
      <c r="A169" s="34"/>
      <c r="B169" s="188"/>
      <c r="C169" s="34"/>
      <c r="D169" s="34"/>
      <c r="E169" s="34"/>
      <c r="F169" s="34"/>
      <c r="G169" s="34"/>
      <c r="H169" s="34"/>
      <c r="I169" s="44"/>
      <c r="J169" s="105"/>
      <c r="K169" s="34"/>
      <c r="L169" s="34"/>
      <c r="M169" s="34"/>
    </row>
    <row r="170" spans="1:13" ht="12.75">
      <c r="A170" s="34"/>
      <c r="B170" s="188"/>
      <c r="C170" s="34"/>
      <c r="D170" s="34"/>
      <c r="E170" s="34"/>
      <c r="F170" s="34"/>
      <c r="G170" s="34"/>
      <c r="H170" s="34"/>
      <c r="I170" s="44"/>
      <c r="J170" s="105"/>
      <c r="K170" s="34"/>
      <c r="L170" s="34"/>
      <c r="M170" s="34"/>
    </row>
    <row r="171" spans="1:13" ht="12.75">
      <c r="A171" s="34"/>
      <c r="B171" s="188"/>
      <c r="C171" s="34"/>
      <c r="D171" s="34"/>
      <c r="E171" s="34"/>
      <c r="F171" s="34"/>
      <c r="G171" s="34"/>
      <c r="H171" s="34"/>
      <c r="I171" s="44"/>
      <c r="J171" s="105"/>
      <c r="K171" s="34"/>
      <c r="L171" s="34"/>
      <c r="M171" s="34"/>
    </row>
    <row r="172" spans="1:13" ht="12.75">
      <c r="A172" s="34"/>
      <c r="B172" s="188"/>
      <c r="C172" s="34"/>
      <c r="D172" s="34"/>
      <c r="E172" s="34"/>
      <c r="F172" s="34"/>
      <c r="G172" s="34"/>
      <c r="H172" s="34"/>
      <c r="I172" s="44"/>
      <c r="J172" s="105"/>
      <c r="K172" s="34"/>
      <c r="L172" s="34"/>
      <c r="M172" s="34"/>
    </row>
    <row r="173" spans="1:13" ht="12.75">
      <c r="A173" s="34"/>
      <c r="B173" s="188"/>
      <c r="C173" s="34"/>
      <c r="D173" s="34"/>
      <c r="E173" s="34"/>
      <c r="F173" s="34"/>
      <c r="G173" s="34"/>
      <c r="H173" s="34"/>
      <c r="I173" s="44"/>
      <c r="J173" s="105"/>
      <c r="K173" s="34"/>
      <c r="L173" s="34"/>
      <c r="M173" s="34"/>
    </row>
    <row r="174" spans="1:13" ht="12.75">
      <c r="A174" s="34"/>
      <c r="B174" s="188"/>
      <c r="C174" s="34"/>
      <c r="D174" s="34"/>
      <c r="E174" s="34"/>
      <c r="F174" s="34"/>
      <c r="G174" s="34"/>
      <c r="H174" s="34"/>
      <c r="I174" s="44"/>
      <c r="J174" s="105"/>
      <c r="K174" s="34"/>
      <c r="L174" s="34"/>
      <c r="M174" s="34"/>
    </row>
    <row r="175" spans="1:13" ht="12.75">
      <c r="A175" s="34"/>
      <c r="B175" s="188"/>
      <c r="C175" s="34"/>
      <c r="D175" s="34"/>
      <c r="E175" s="34"/>
      <c r="F175" s="34"/>
      <c r="G175" s="34"/>
      <c r="H175" s="34"/>
      <c r="I175" s="44"/>
      <c r="J175" s="105"/>
      <c r="K175" s="34"/>
      <c r="L175" s="34"/>
      <c r="M175" s="34"/>
    </row>
    <row r="176" spans="1:13" ht="12.75">
      <c r="A176" s="34"/>
      <c r="B176" s="188"/>
      <c r="C176" s="34"/>
      <c r="D176" s="34"/>
      <c r="E176" s="34"/>
      <c r="F176" s="34"/>
      <c r="G176" s="34"/>
      <c r="H176" s="34"/>
      <c r="I176" s="44"/>
      <c r="J176" s="105"/>
      <c r="K176" s="34"/>
      <c r="L176" s="34"/>
      <c r="M176" s="34"/>
    </row>
    <row r="177" spans="1:13" ht="12.75">
      <c r="A177" s="34"/>
      <c r="B177" s="188"/>
      <c r="C177" s="34"/>
      <c r="D177" s="34"/>
      <c r="E177" s="34"/>
      <c r="F177" s="34"/>
      <c r="G177" s="34"/>
      <c r="H177" s="34"/>
      <c r="I177" s="44"/>
      <c r="J177" s="105"/>
      <c r="K177" s="34"/>
      <c r="L177" s="34"/>
      <c r="M177" s="34"/>
    </row>
    <row r="178" spans="1:13" ht="12.75">
      <c r="A178" s="34"/>
      <c r="B178" s="188"/>
      <c r="C178" s="34"/>
      <c r="D178" s="34"/>
      <c r="E178" s="34"/>
      <c r="F178" s="34"/>
      <c r="G178" s="34"/>
      <c r="H178" s="34"/>
      <c r="I178" s="44"/>
      <c r="J178" s="105"/>
      <c r="K178" s="34"/>
      <c r="L178" s="34"/>
      <c r="M178" s="34"/>
    </row>
    <row r="179" spans="1:13" ht="12.75">
      <c r="A179" s="34"/>
      <c r="B179" s="188"/>
      <c r="C179" s="34"/>
      <c r="D179" s="34"/>
      <c r="E179" s="34"/>
      <c r="F179" s="34"/>
      <c r="G179" s="34"/>
      <c r="H179" s="34"/>
      <c r="I179" s="44"/>
      <c r="J179" s="105"/>
      <c r="K179" s="34"/>
      <c r="L179" s="34"/>
      <c r="M179" s="34"/>
    </row>
    <row r="180" spans="1:13" ht="12.75">
      <c r="A180" s="34"/>
      <c r="B180" s="188"/>
      <c r="C180" s="34"/>
      <c r="D180" s="34"/>
      <c r="E180" s="34"/>
      <c r="F180" s="34"/>
      <c r="G180" s="34"/>
      <c r="H180" s="34"/>
      <c r="I180" s="44"/>
      <c r="J180" s="105"/>
      <c r="K180" s="34"/>
      <c r="L180" s="34"/>
      <c r="M180" s="34"/>
    </row>
    <row r="181" spans="1:13" ht="12.75">
      <c r="A181" s="34"/>
      <c r="B181" s="188"/>
      <c r="C181" s="34"/>
      <c r="D181" s="34"/>
      <c r="E181" s="34"/>
      <c r="F181" s="34"/>
      <c r="G181" s="34"/>
      <c r="H181" s="34"/>
      <c r="I181" s="44"/>
      <c r="J181" s="105"/>
      <c r="K181" s="34"/>
      <c r="L181" s="34"/>
      <c r="M181" s="34"/>
    </row>
    <row r="182" spans="1:13" ht="12.75">
      <c r="A182" s="34"/>
      <c r="B182" s="188"/>
      <c r="C182" s="34"/>
      <c r="D182" s="34"/>
      <c r="E182" s="34"/>
      <c r="F182" s="34"/>
      <c r="G182" s="34"/>
      <c r="H182" s="34"/>
      <c r="I182" s="44"/>
      <c r="J182" s="105"/>
      <c r="K182" s="34"/>
      <c r="L182" s="34"/>
      <c r="M182" s="34"/>
    </row>
    <row r="183" spans="1:13" ht="12.75">
      <c r="A183" s="34"/>
      <c r="B183" s="188"/>
      <c r="C183" s="34"/>
      <c r="D183" s="34"/>
      <c r="E183" s="34"/>
      <c r="F183" s="34"/>
      <c r="G183" s="34"/>
      <c r="H183" s="34"/>
      <c r="I183" s="44"/>
      <c r="J183" s="105"/>
      <c r="K183" s="34"/>
      <c r="L183" s="34"/>
      <c r="M183" s="34"/>
    </row>
    <row r="184" spans="1:13" ht="12.75">
      <c r="A184" s="34"/>
      <c r="B184" s="188"/>
      <c r="C184" s="34"/>
      <c r="D184" s="34"/>
      <c r="E184" s="34"/>
      <c r="F184" s="34"/>
      <c r="G184" s="34"/>
      <c r="H184" s="34"/>
      <c r="I184" s="44"/>
      <c r="J184" s="105"/>
      <c r="K184" s="34"/>
      <c r="L184" s="34"/>
      <c r="M184" s="34"/>
    </row>
    <row r="185" spans="1:13" ht="12.75">
      <c r="A185" s="34"/>
      <c r="B185" s="188"/>
      <c r="C185" s="34"/>
      <c r="D185" s="34"/>
      <c r="E185" s="34"/>
      <c r="F185" s="34"/>
      <c r="G185" s="34"/>
      <c r="H185" s="34"/>
      <c r="I185" s="44"/>
      <c r="J185" s="105"/>
      <c r="K185" s="34"/>
      <c r="L185" s="34"/>
      <c r="M185" s="34"/>
    </row>
    <row r="186" spans="1:13" ht="12.75">
      <c r="A186" s="34"/>
      <c r="B186" s="188"/>
      <c r="C186" s="34"/>
      <c r="D186" s="34"/>
      <c r="E186" s="34"/>
      <c r="F186" s="34"/>
      <c r="G186" s="34"/>
      <c r="H186" s="34"/>
      <c r="I186" s="44"/>
      <c r="J186" s="105"/>
      <c r="K186" s="34"/>
      <c r="L186" s="34"/>
      <c r="M186" s="34"/>
    </row>
    <row r="187" spans="1:13" ht="12.75">
      <c r="A187" s="34"/>
      <c r="B187" s="188"/>
      <c r="C187" s="34"/>
      <c r="D187" s="34"/>
      <c r="E187" s="34"/>
      <c r="F187" s="34"/>
      <c r="G187" s="34"/>
      <c r="H187" s="34"/>
      <c r="I187" s="44"/>
      <c r="J187" s="105"/>
      <c r="K187" s="34"/>
      <c r="L187" s="34"/>
      <c r="M187" s="34"/>
    </row>
    <row r="188" spans="1:13" ht="12.75">
      <c r="A188" s="34"/>
      <c r="B188" s="188"/>
      <c r="C188" s="34"/>
      <c r="D188" s="34"/>
      <c r="E188" s="34"/>
      <c r="F188" s="34"/>
      <c r="G188" s="34"/>
      <c r="H188" s="34"/>
      <c r="I188" s="44"/>
      <c r="J188" s="105"/>
      <c r="K188" s="34"/>
      <c r="L188" s="34"/>
      <c r="M188" s="34"/>
    </row>
    <row r="189" spans="1:13" ht="12.75">
      <c r="A189" s="34"/>
      <c r="B189" s="188"/>
      <c r="C189" s="34"/>
      <c r="D189" s="34"/>
      <c r="E189" s="34"/>
      <c r="F189" s="34"/>
      <c r="G189" s="34"/>
      <c r="H189" s="34"/>
      <c r="I189" s="44"/>
      <c r="J189" s="105"/>
      <c r="K189" s="34"/>
      <c r="L189" s="34"/>
      <c r="M189" s="34"/>
    </row>
    <row r="190" spans="1:13" ht="12.75">
      <c r="A190" s="34"/>
      <c r="B190" s="188"/>
      <c r="C190" s="34"/>
      <c r="D190" s="34"/>
      <c r="E190" s="34"/>
      <c r="F190" s="34"/>
      <c r="G190" s="34"/>
      <c r="H190" s="34"/>
      <c r="I190" s="44"/>
      <c r="J190" s="105"/>
      <c r="K190" s="34"/>
      <c r="L190" s="34"/>
      <c r="M190" s="34"/>
    </row>
    <row r="191" spans="1:13" ht="12.75">
      <c r="A191" s="34"/>
      <c r="B191" s="188"/>
      <c r="C191" s="34"/>
      <c r="D191" s="34"/>
      <c r="E191" s="34"/>
      <c r="F191" s="34"/>
      <c r="G191" s="34"/>
      <c r="H191" s="34"/>
      <c r="I191" s="44"/>
      <c r="J191" s="105"/>
      <c r="K191" s="34"/>
      <c r="L191" s="34"/>
      <c r="M191" s="34"/>
    </row>
    <row r="192" spans="1:13" ht="12.75">
      <c r="A192" s="34"/>
      <c r="B192" s="188"/>
      <c r="C192" s="34"/>
      <c r="D192" s="34"/>
      <c r="E192" s="34"/>
      <c r="F192" s="34"/>
      <c r="G192" s="34"/>
      <c r="H192" s="34"/>
      <c r="I192" s="44"/>
      <c r="J192" s="105"/>
      <c r="K192" s="34"/>
      <c r="L192" s="34"/>
      <c r="M192" s="34"/>
    </row>
    <row r="193" spans="1:13" ht="12.75">
      <c r="A193" s="34"/>
      <c r="B193" s="188"/>
      <c r="C193" s="34"/>
      <c r="D193" s="34"/>
      <c r="E193" s="34"/>
      <c r="F193" s="34"/>
      <c r="G193" s="34"/>
      <c r="H193" s="34"/>
      <c r="I193" s="44"/>
      <c r="J193" s="105"/>
      <c r="K193" s="34"/>
      <c r="L193" s="34"/>
      <c r="M193" s="34"/>
    </row>
    <row r="194" spans="1:13" ht="12.75">
      <c r="A194" s="34"/>
      <c r="B194" s="188"/>
      <c r="C194" s="34"/>
      <c r="D194" s="34"/>
      <c r="E194" s="34"/>
      <c r="F194" s="34"/>
      <c r="G194" s="34"/>
      <c r="H194" s="34"/>
      <c r="I194" s="44"/>
      <c r="J194" s="105"/>
      <c r="K194" s="34"/>
      <c r="L194" s="34"/>
      <c r="M194" s="34"/>
    </row>
    <row r="195" spans="1:13" ht="12.75">
      <c r="A195" s="34"/>
      <c r="B195" s="188"/>
      <c r="C195" s="34"/>
      <c r="D195" s="34"/>
      <c r="E195" s="34"/>
      <c r="F195" s="34"/>
      <c r="G195" s="34"/>
      <c r="H195" s="34"/>
      <c r="I195" s="44"/>
      <c r="J195" s="105"/>
      <c r="K195" s="34"/>
      <c r="L195" s="34"/>
      <c r="M195" s="34"/>
    </row>
    <row r="196" spans="1:13" ht="12.75">
      <c r="A196" s="34"/>
      <c r="B196" s="188"/>
      <c r="C196" s="34"/>
      <c r="D196" s="34"/>
      <c r="E196" s="34"/>
      <c r="F196" s="34"/>
      <c r="G196" s="34"/>
      <c r="H196" s="34"/>
      <c r="I196" s="44"/>
      <c r="J196" s="105"/>
      <c r="K196" s="34"/>
      <c r="L196" s="34"/>
      <c r="M196" s="34"/>
    </row>
    <row r="197" spans="1:13" ht="12.75">
      <c r="A197" s="34"/>
      <c r="B197" s="188"/>
      <c r="C197" s="34"/>
      <c r="D197" s="34"/>
      <c r="E197" s="34"/>
      <c r="F197" s="34"/>
      <c r="G197" s="34"/>
      <c r="H197" s="34"/>
      <c r="I197" s="44"/>
      <c r="J197" s="105"/>
      <c r="K197" s="34"/>
      <c r="L197" s="34"/>
      <c r="M197" s="34"/>
    </row>
    <row r="198" spans="1:13" ht="12.75">
      <c r="A198" s="34"/>
      <c r="B198" s="188"/>
      <c r="C198" s="34"/>
      <c r="D198" s="34"/>
      <c r="E198" s="34"/>
      <c r="F198" s="34"/>
      <c r="G198" s="34"/>
      <c r="H198" s="34"/>
      <c r="I198" s="44"/>
      <c r="J198" s="105"/>
      <c r="K198" s="34"/>
      <c r="L198" s="34"/>
      <c r="M198" s="34"/>
    </row>
    <row r="199" spans="1:13" ht="12.75">
      <c r="A199" s="34"/>
      <c r="B199" s="188"/>
      <c r="C199" s="34"/>
      <c r="D199" s="34"/>
      <c r="E199" s="34"/>
      <c r="F199" s="34"/>
      <c r="G199" s="34"/>
      <c r="H199" s="34"/>
      <c r="I199" s="44"/>
      <c r="J199" s="105"/>
      <c r="K199" s="34"/>
      <c r="L199" s="34"/>
      <c r="M199" s="34"/>
    </row>
    <row r="200" spans="1:13" ht="12.75">
      <c r="A200" s="34"/>
      <c r="B200" s="188"/>
      <c r="C200" s="34"/>
      <c r="D200" s="34"/>
      <c r="E200" s="34"/>
      <c r="F200" s="34"/>
      <c r="G200" s="34"/>
      <c r="H200" s="34"/>
      <c r="I200" s="44"/>
      <c r="J200" s="105"/>
      <c r="K200" s="34"/>
      <c r="L200" s="34"/>
      <c r="M200" s="34"/>
    </row>
    <row r="201" spans="1:13" ht="12.75">
      <c r="A201" s="34"/>
      <c r="B201" s="188"/>
      <c r="C201" s="34"/>
      <c r="D201" s="34"/>
      <c r="E201" s="34"/>
      <c r="F201" s="34"/>
      <c r="G201" s="34"/>
      <c r="H201" s="34"/>
      <c r="I201" s="44"/>
      <c r="J201" s="105"/>
      <c r="K201" s="34"/>
      <c r="L201" s="34"/>
      <c r="M201" s="34"/>
    </row>
    <row r="202" spans="1:13" ht="12.75">
      <c r="A202" s="34"/>
      <c r="B202" s="188"/>
      <c r="C202" s="34"/>
      <c r="D202" s="34"/>
      <c r="E202" s="34"/>
      <c r="F202" s="34"/>
      <c r="G202" s="34"/>
      <c r="H202" s="34"/>
      <c r="I202" s="44"/>
      <c r="J202" s="105"/>
      <c r="K202" s="34"/>
      <c r="L202" s="34"/>
      <c r="M202" s="34"/>
    </row>
    <row r="203" spans="1:13" ht="12.75">
      <c r="A203" s="34"/>
      <c r="B203" s="188"/>
      <c r="C203" s="34"/>
      <c r="D203" s="34"/>
      <c r="E203" s="34"/>
      <c r="F203" s="34"/>
      <c r="G203" s="34"/>
      <c r="H203" s="34"/>
      <c r="I203" s="44"/>
      <c r="J203" s="105"/>
      <c r="K203" s="34"/>
      <c r="L203" s="34"/>
      <c r="M203" s="34"/>
    </row>
    <row r="204" spans="1:13" ht="12.75">
      <c r="A204" s="34"/>
      <c r="B204" s="188"/>
      <c r="C204" s="34"/>
      <c r="D204" s="34"/>
      <c r="E204" s="34"/>
      <c r="F204" s="34"/>
      <c r="G204" s="34"/>
      <c r="H204" s="34"/>
      <c r="I204" s="44"/>
      <c r="J204" s="105"/>
      <c r="K204" s="34"/>
      <c r="L204" s="34"/>
      <c r="M204" s="34"/>
    </row>
    <row r="205" spans="1:13" ht="12.75">
      <c r="A205" s="34"/>
      <c r="B205" s="188"/>
      <c r="C205" s="34"/>
      <c r="D205" s="34"/>
      <c r="E205" s="34"/>
      <c r="F205" s="34"/>
      <c r="G205" s="34"/>
      <c r="H205" s="34"/>
      <c r="I205" s="44"/>
      <c r="J205" s="105"/>
      <c r="K205" s="34"/>
      <c r="L205" s="34"/>
      <c r="M205" s="34"/>
    </row>
    <row r="206" spans="1:13" ht="12.75">
      <c r="A206" s="34"/>
      <c r="B206" s="188"/>
      <c r="C206" s="34"/>
      <c r="D206" s="34"/>
      <c r="E206" s="34"/>
      <c r="F206" s="34"/>
      <c r="G206" s="34"/>
      <c r="H206" s="34"/>
      <c r="I206" s="44"/>
      <c r="J206" s="105"/>
      <c r="K206" s="34"/>
      <c r="L206" s="34"/>
      <c r="M206" s="34"/>
    </row>
    <row r="207" spans="1:13" ht="12.75">
      <c r="A207" s="34"/>
      <c r="B207" s="188"/>
      <c r="C207" s="34"/>
      <c r="D207" s="34"/>
      <c r="E207" s="34"/>
      <c r="F207" s="34"/>
      <c r="G207" s="34"/>
      <c r="H207" s="34"/>
      <c r="I207" s="44"/>
      <c r="J207" s="105"/>
      <c r="K207" s="34"/>
      <c r="L207" s="34"/>
      <c r="M207" s="34"/>
    </row>
    <row r="208" spans="1:13" ht="12.75">
      <c r="A208" s="34"/>
      <c r="B208" s="188"/>
      <c r="C208" s="34"/>
      <c r="D208" s="34"/>
      <c r="E208" s="34"/>
      <c r="F208" s="34"/>
      <c r="G208" s="34"/>
      <c r="H208" s="34"/>
      <c r="I208" s="44"/>
      <c r="J208" s="105"/>
      <c r="K208" s="34"/>
      <c r="L208" s="34"/>
      <c r="M208" s="34"/>
    </row>
    <row r="209" spans="1:13" ht="12.75">
      <c r="A209" s="34"/>
      <c r="B209" s="188"/>
      <c r="C209" s="34"/>
      <c r="D209" s="34"/>
      <c r="E209" s="34"/>
      <c r="F209" s="34"/>
      <c r="G209" s="34"/>
      <c r="H209" s="34"/>
      <c r="I209" s="44"/>
      <c r="J209" s="105"/>
      <c r="K209" s="34"/>
      <c r="L209" s="34"/>
      <c r="M209" s="34"/>
    </row>
    <row r="210" spans="1:13" ht="12.75">
      <c r="A210" s="34"/>
      <c r="B210" s="188"/>
      <c r="C210" s="34"/>
      <c r="D210" s="34"/>
      <c r="E210" s="34"/>
      <c r="F210" s="34"/>
      <c r="G210" s="34"/>
      <c r="H210" s="34"/>
      <c r="I210" s="44"/>
      <c r="J210" s="105"/>
      <c r="K210" s="34"/>
      <c r="L210" s="34"/>
      <c r="M210" s="34"/>
    </row>
    <row r="211" spans="1:13" ht="12.75">
      <c r="A211" s="34"/>
      <c r="B211" s="188"/>
      <c r="C211" s="34"/>
      <c r="D211" s="34"/>
      <c r="E211" s="34"/>
      <c r="F211" s="34"/>
      <c r="G211" s="34"/>
      <c r="H211" s="34"/>
      <c r="I211" s="44"/>
      <c r="J211" s="105"/>
      <c r="K211" s="34"/>
      <c r="L211" s="34"/>
      <c r="M211" s="34"/>
    </row>
    <row r="212" spans="1:13" ht="12.75">
      <c r="A212" s="34"/>
      <c r="B212" s="188"/>
      <c r="C212" s="34"/>
      <c r="D212" s="34"/>
      <c r="E212" s="34"/>
      <c r="F212" s="34"/>
      <c r="G212" s="34"/>
      <c r="H212" s="34"/>
      <c r="I212" s="44"/>
      <c r="J212" s="105"/>
      <c r="K212" s="34"/>
      <c r="L212" s="34"/>
      <c r="M212" s="34"/>
    </row>
    <row r="213" spans="1:13" ht="12.75">
      <c r="A213" s="34"/>
      <c r="B213" s="188"/>
      <c r="C213" s="34"/>
      <c r="D213" s="34"/>
      <c r="E213" s="34"/>
      <c r="F213" s="34"/>
      <c r="G213" s="34"/>
      <c r="H213" s="34"/>
      <c r="I213" s="44"/>
      <c r="J213" s="105"/>
      <c r="K213" s="34"/>
      <c r="L213" s="34"/>
      <c r="M213" s="34"/>
    </row>
    <row r="214" spans="1:13" ht="12.75">
      <c r="A214" s="34"/>
      <c r="B214" s="188"/>
      <c r="C214" s="34"/>
      <c r="D214" s="34"/>
      <c r="E214" s="34"/>
      <c r="F214" s="34"/>
      <c r="G214" s="34"/>
      <c r="H214" s="34"/>
      <c r="I214" s="44"/>
      <c r="J214" s="105"/>
      <c r="K214" s="34"/>
      <c r="L214" s="34"/>
      <c r="M214" s="34"/>
    </row>
    <row r="215" spans="1:13" ht="12.75">
      <c r="A215" s="34"/>
      <c r="B215" s="188"/>
      <c r="C215" s="34"/>
      <c r="D215" s="34"/>
      <c r="E215" s="34"/>
      <c r="F215" s="34"/>
      <c r="G215" s="34"/>
      <c r="H215" s="34"/>
      <c r="I215" s="44"/>
      <c r="J215" s="105"/>
      <c r="K215" s="34"/>
      <c r="L215" s="34"/>
      <c r="M215" s="34"/>
    </row>
    <row r="216" spans="1:13" ht="12.75">
      <c r="A216" s="34"/>
      <c r="B216" s="188"/>
      <c r="C216" s="34"/>
      <c r="D216" s="34"/>
      <c r="E216" s="34"/>
      <c r="F216" s="34"/>
      <c r="G216" s="34"/>
      <c r="H216" s="34"/>
      <c r="I216" s="44"/>
      <c r="J216" s="105"/>
      <c r="K216" s="34"/>
      <c r="L216" s="34"/>
      <c r="M216" s="34"/>
    </row>
    <row r="217" spans="1:13" ht="12.75">
      <c r="A217" s="34"/>
      <c r="B217" s="188"/>
      <c r="C217" s="34"/>
      <c r="D217" s="34"/>
      <c r="E217" s="34"/>
      <c r="F217" s="34"/>
      <c r="G217" s="34"/>
      <c r="H217" s="34"/>
      <c r="I217" s="44"/>
      <c r="J217" s="105"/>
      <c r="K217" s="34"/>
      <c r="L217" s="34"/>
      <c r="M217" s="34"/>
    </row>
    <row r="218" spans="1:13" ht="12.75">
      <c r="A218" s="34"/>
      <c r="B218" s="188"/>
      <c r="C218" s="34"/>
      <c r="D218" s="34"/>
      <c r="E218" s="34"/>
      <c r="F218" s="34"/>
      <c r="G218" s="34"/>
      <c r="H218" s="34"/>
      <c r="I218" s="44"/>
      <c r="J218" s="105"/>
      <c r="K218" s="34"/>
      <c r="L218" s="34"/>
      <c r="M218" s="34"/>
    </row>
    <row r="219" spans="1:13" ht="12.75">
      <c r="A219" s="34"/>
      <c r="B219" s="188"/>
      <c r="C219" s="34"/>
      <c r="D219" s="34"/>
      <c r="E219" s="34"/>
      <c r="F219" s="34"/>
      <c r="G219" s="34"/>
      <c r="H219" s="34"/>
      <c r="I219" s="44"/>
      <c r="J219" s="105"/>
      <c r="K219" s="34"/>
      <c r="L219" s="34"/>
      <c r="M219" s="34"/>
    </row>
    <row r="220" spans="1:13" ht="12.75">
      <c r="A220" s="34"/>
      <c r="B220" s="188"/>
      <c r="C220" s="34"/>
      <c r="D220" s="34"/>
      <c r="E220" s="34"/>
      <c r="F220" s="34"/>
      <c r="G220" s="34"/>
      <c r="H220" s="34"/>
      <c r="I220" s="44"/>
      <c r="J220" s="105"/>
      <c r="K220" s="34"/>
      <c r="L220" s="34"/>
      <c r="M220" s="34"/>
    </row>
    <row r="221" spans="1:13" ht="12.75">
      <c r="A221" s="34"/>
      <c r="B221" s="188"/>
      <c r="C221" s="34"/>
      <c r="D221" s="34"/>
      <c r="E221" s="34"/>
      <c r="F221" s="34"/>
      <c r="G221" s="34"/>
      <c r="H221" s="34"/>
      <c r="I221" s="44"/>
      <c r="J221" s="105"/>
      <c r="K221" s="34"/>
      <c r="L221" s="34"/>
      <c r="M221" s="34"/>
    </row>
    <row r="222" spans="1:13" ht="12.75">
      <c r="A222" s="34"/>
      <c r="B222" s="188"/>
      <c r="C222" s="34"/>
      <c r="D222" s="34"/>
      <c r="E222" s="34"/>
      <c r="F222" s="34"/>
      <c r="G222" s="34"/>
      <c r="H222" s="34"/>
      <c r="I222" s="44"/>
      <c r="J222" s="105"/>
      <c r="K222" s="34"/>
      <c r="L222" s="34"/>
      <c r="M222" s="34"/>
    </row>
    <row r="223" spans="1:13" ht="12.75">
      <c r="A223" s="34"/>
      <c r="B223" s="188"/>
      <c r="C223" s="34"/>
      <c r="D223" s="34"/>
      <c r="E223" s="34"/>
      <c r="F223" s="34"/>
      <c r="G223" s="34"/>
      <c r="H223" s="34"/>
      <c r="I223" s="44"/>
      <c r="J223" s="105"/>
      <c r="K223" s="34"/>
      <c r="L223" s="34"/>
      <c r="M223" s="34"/>
    </row>
    <row r="224" spans="1:13" ht="12.75">
      <c r="A224" s="34"/>
      <c r="B224" s="188"/>
      <c r="C224" s="34"/>
      <c r="D224" s="34"/>
      <c r="E224" s="34"/>
      <c r="F224" s="34"/>
      <c r="G224" s="34"/>
      <c r="H224" s="34"/>
      <c r="I224" s="44"/>
      <c r="J224" s="105"/>
      <c r="K224" s="34"/>
      <c r="L224" s="34"/>
      <c r="M224" s="34"/>
    </row>
    <row r="225" spans="1:13" ht="12.75">
      <c r="A225" s="34"/>
      <c r="B225" s="188"/>
      <c r="C225" s="34"/>
      <c r="D225" s="34"/>
      <c r="E225" s="34"/>
      <c r="F225" s="34"/>
      <c r="G225" s="34"/>
      <c r="H225" s="34"/>
      <c r="I225" s="44"/>
      <c r="J225" s="105"/>
      <c r="K225" s="34"/>
      <c r="L225" s="34"/>
      <c r="M225" s="34"/>
    </row>
    <row r="226" spans="1:13" ht="12.75">
      <c r="A226" s="34"/>
      <c r="B226" s="188"/>
      <c r="C226" s="34"/>
      <c r="D226" s="34"/>
      <c r="E226" s="34"/>
      <c r="F226" s="34"/>
      <c r="G226" s="34"/>
      <c r="H226" s="34"/>
      <c r="I226" s="44"/>
      <c r="J226" s="105"/>
      <c r="K226" s="34"/>
      <c r="L226" s="34"/>
      <c r="M226" s="34"/>
    </row>
    <row r="227" spans="1:13" ht="12.75">
      <c r="A227" s="34"/>
      <c r="B227" s="188"/>
      <c r="C227" s="34"/>
      <c r="D227" s="34"/>
      <c r="E227" s="34"/>
      <c r="F227" s="34"/>
      <c r="G227" s="34"/>
      <c r="H227" s="34"/>
      <c r="I227" s="44"/>
      <c r="J227" s="105"/>
      <c r="K227" s="34"/>
      <c r="L227" s="34"/>
      <c r="M227" s="34"/>
    </row>
    <row r="228" spans="1:13" ht="12.75">
      <c r="A228" s="34"/>
      <c r="B228" s="188"/>
      <c r="C228" s="34"/>
      <c r="D228" s="34"/>
      <c r="E228" s="34"/>
      <c r="F228" s="34"/>
      <c r="G228" s="34"/>
      <c r="H228" s="34"/>
      <c r="I228" s="44"/>
      <c r="J228" s="105"/>
      <c r="K228" s="34"/>
      <c r="L228" s="34"/>
      <c r="M228" s="34"/>
    </row>
    <row r="229" spans="1:13" ht="12.75">
      <c r="A229" s="34"/>
      <c r="B229" s="188"/>
      <c r="C229" s="34"/>
      <c r="D229" s="34"/>
      <c r="E229" s="34"/>
      <c r="F229" s="34"/>
      <c r="G229" s="34"/>
      <c r="H229" s="34"/>
      <c r="I229" s="44"/>
      <c r="J229" s="105"/>
      <c r="K229" s="34"/>
      <c r="L229" s="34"/>
      <c r="M229" s="34"/>
    </row>
    <row r="230" spans="1:13" ht="12.75">
      <c r="A230" s="34"/>
      <c r="B230" s="188"/>
      <c r="C230" s="34"/>
      <c r="D230" s="34"/>
      <c r="E230" s="34"/>
      <c r="F230" s="34"/>
      <c r="G230" s="34"/>
      <c r="H230" s="34"/>
      <c r="I230" s="44"/>
      <c r="J230" s="105"/>
      <c r="K230" s="34"/>
      <c r="L230" s="34"/>
      <c r="M230" s="34"/>
    </row>
    <row r="231" spans="1:13" ht="12.75">
      <c r="A231" s="34"/>
      <c r="B231" s="188"/>
      <c r="C231" s="34"/>
      <c r="D231" s="34"/>
      <c r="E231" s="34"/>
      <c r="F231" s="34"/>
      <c r="G231" s="34"/>
      <c r="H231" s="34"/>
      <c r="I231" s="44"/>
      <c r="J231" s="105"/>
      <c r="K231" s="34"/>
      <c r="L231" s="34"/>
      <c r="M231" s="34"/>
    </row>
    <row r="232" spans="1:13" ht="12.75">
      <c r="A232" s="34"/>
      <c r="B232" s="188"/>
      <c r="C232" s="34"/>
      <c r="D232" s="34"/>
      <c r="E232" s="34"/>
      <c r="F232" s="34"/>
      <c r="G232" s="34"/>
      <c r="H232" s="34"/>
      <c r="I232" s="44"/>
      <c r="J232" s="105"/>
      <c r="K232" s="34"/>
      <c r="L232" s="34"/>
      <c r="M232" s="34"/>
    </row>
    <row r="233" spans="1:13" ht="12.75">
      <c r="A233" s="34"/>
      <c r="B233" s="188"/>
      <c r="C233" s="34"/>
      <c r="D233" s="34"/>
      <c r="E233" s="34"/>
      <c r="F233" s="34"/>
      <c r="G233" s="34"/>
      <c r="H233" s="34"/>
      <c r="I233" s="44"/>
      <c r="J233" s="105"/>
      <c r="K233" s="34"/>
      <c r="L233" s="34"/>
      <c r="M233" s="34"/>
    </row>
    <row r="234" spans="1:13" ht="12.75">
      <c r="A234" s="34"/>
      <c r="B234" s="188"/>
      <c r="C234" s="34"/>
      <c r="D234" s="34"/>
      <c r="E234" s="34"/>
      <c r="F234" s="34"/>
      <c r="G234" s="34"/>
      <c r="H234" s="34"/>
      <c r="I234" s="44"/>
      <c r="J234" s="105"/>
      <c r="K234" s="34"/>
      <c r="L234" s="34"/>
      <c r="M234" s="34"/>
    </row>
    <row r="235" spans="1:13" ht="12.75">
      <c r="A235" s="34"/>
      <c r="B235" s="188"/>
      <c r="C235" s="34"/>
      <c r="D235" s="34"/>
      <c r="E235" s="34"/>
      <c r="F235" s="34"/>
      <c r="G235" s="34"/>
      <c r="H235" s="34"/>
      <c r="I235" s="44"/>
      <c r="J235" s="105"/>
      <c r="K235" s="34"/>
      <c r="L235" s="34"/>
      <c r="M235" s="34"/>
    </row>
    <row r="236" spans="1:13" ht="12.75">
      <c r="A236" s="34"/>
      <c r="B236" s="188"/>
      <c r="C236" s="34"/>
      <c r="D236" s="34"/>
      <c r="E236" s="34"/>
      <c r="F236" s="34"/>
      <c r="G236" s="34"/>
      <c r="H236" s="34"/>
      <c r="I236" s="44"/>
      <c r="J236" s="105"/>
      <c r="K236" s="34"/>
      <c r="L236" s="34"/>
      <c r="M236" s="34"/>
    </row>
    <row r="237" spans="1:13" ht="12.75">
      <c r="A237" s="34"/>
      <c r="B237" s="188"/>
      <c r="C237" s="34"/>
      <c r="D237" s="34"/>
      <c r="E237" s="34"/>
      <c r="F237" s="34"/>
      <c r="G237" s="34"/>
      <c r="H237" s="34"/>
      <c r="I237" s="44"/>
      <c r="J237" s="105"/>
      <c r="K237" s="34"/>
      <c r="L237" s="34"/>
      <c r="M237" s="34"/>
    </row>
    <row r="238" spans="1:13" ht="12.75">
      <c r="A238" s="34"/>
      <c r="B238" s="188"/>
      <c r="C238" s="34"/>
      <c r="D238" s="34"/>
      <c r="E238" s="34"/>
      <c r="F238" s="34"/>
      <c r="G238" s="34"/>
      <c r="H238" s="34"/>
      <c r="I238" s="44"/>
      <c r="J238" s="105"/>
      <c r="K238" s="34"/>
      <c r="L238" s="34"/>
      <c r="M238" s="34"/>
    </row>
    <row r="239" spans="1:13" ht="12.75">
      <c r="A239" s="34"/>
      <c r="B239" s="188"/>
      <c r="C239" s="34"/>
      <c r="D239" s="34"/>
      <c r="E239" s="34"/>
      <c r="F239" s="34"/>
      <c r="G239" s="34"/>
      <c r="H239" s="34"/>
      <c r="I239" s="44"/>
      <c r="J239" s="105"/>
      <c r="K239" s="34"/>
      <c r="L239" s="34"/>
      <c r="M239" s="34"/>
    </row>
    <row r="240" spans="1:13" ht="12.75">
      <c r="A240" s="34"/>
      <c r="B240" s="188"/>
      <c r="C240" s="34"/>
      <c r="D240" s="34"/>
      <c r="E240" s="34"/>
      <c r="F240" s="34"/>
      <c r="G240" s="34"/>
      <c r="H240" s="34"/>
      <c r="I240" s="44"/>
      <c r="J240" s="105"/>
      <c r="K240" s="34"/>
      <c r="L240" s="34"/>
      <c r="M240" s="34"/>
    </row>
    <row r="241" spans="1:13" ht="12.75">
      <c r="A241" s="34"/>
      <c r="B241" s="188"/>
      <c r="C241" s="34"/>
      <c r="D241" s="34"/>
      <c r="E241" s="34"/>
      <c r="F241" s="34"/>
      <c r="G241" s="34"/>
      <c r="H241" s="34"/>
      <c r="I241" s="44"/>
      <c r="J241" s="105"/>
      <c r="K241" s="34"/>
      <c r="L241" s="34"/>
      <c r="M241" s="34"/>
    </row>
    <row r="242" spans="1:13" ht="12.75">
      <c r="A242" s="34"/>
      <c r="B242" s="188"/>
      <c r="C242" s="34"/>
      <c r="D242" s="34"/>
      <c r="E242" s="34"/>
      <c r="F242" s="34"/>
      <c r="G242" s="34"/>
      <c r="H242" s="34"/>
      <c r="I242" s="44"/>
      <c r="J242" s="105"/>
      <c r="K242" s="34"/>
      <c r="L242" s="34"/>
      <c r="M242" s="34"/>
    </row>
    <row r="243" spans="1:13" ht="12.75">
      <c r="A243" s="34"/>
      <c r="B243" s="188"/>
      <c r="C243" s="34"/>
      <c r="D243" s="34"/>
      <c r="E243" s="34"/>
      <c r="F243" s="34"/>
      <c r="G243" s="34"/>
      <c r="H243" s="34"/>
      <c r="I243" s="44"/>
      <c r="J243" s="105"/>
      <c r="K243" s="34"/>
      <c r="L243" s="34"/>
      <c r="M243" s="34"/>
    </row>
    <row r="244" spans="1:13" ht="12.75">
      <c r="A244" s="34"/>
      <c r="B244" s="188"/>
      <c r="C244" s="34"/>
      <c r="D244" s="34"/>
      <c r="E244" s="34"/>
      <c r="F244" s="34"/>
      <c r="G244" s="34"/>
      <c r="H244" s="34"/>
      <c r="I244" s="44"/>
      <c r="J244" s="105"/>
      <c r="K244" s="34"/>
      <c r="L244" s="34"/>
      <c r="M244" s="34"/>
    </row>
    <row r="245" spans="1:13" ht="12.75">
      <c r="A245" s="34"/>
      <c r="B245" s="188"/>
      <c r="C245" s="34"/>
      <c r="D245" s="34"/>
      <c r="E245" s="34"/>
      <c r="F245" s="34"/>
      <c r="G245" s="34"/>
      <c r="H245" s="34"/>
      <c r="I245" s="44"/>
      <c r="J245" s="105"/>
      <c r="K245" s="34"/>
      <c r="L245" s="34"/>
      <c r="M245" s="34"/>
    </row>
    <row r="246" spans="1:13" ht="12.75">
      <c r="A246" s="34"/>
      <c r="B246" s="188"/>
      <c r="C246" s="34"/>
      <c r="D246" s="34"/>
      <c r="E246" s="34"/>
      <c r="F246" s="34"/>
      <c r="G246" s="34"/>
      <c r="H246" s="34"/>
      <c r="I246" s="44"/>
      <c r="J246" s="105"/>
      <c r="K246" s="34"/>
      <c r="L246" s="34"/>
      <c r="M246" s="34"/>
    </row>
    <row r="247" spans="1:13" ht="12.75">
      <c r="A247" s="34"/>
      <c r="B247" s="188"/>
      <c r="C247" s="34"/>
      <c r="D247" s="34"/>
      <c r="E247" s="34"/>
      <c r="F247" s="34"/>
      <c r="G247" s="34"/>
      <c r="H247" s="34"/>
      <c r="I247" s="44"/>
      <c r="J247" s="105"/>
      <c r="K247" s="34"/>
      <c r="L247" s="34"/>
      <c r="M247" s="34"/>
    </row>
    <row r="248" spans="1:13" ht="12.75">
      <c r="A248" s="34"/>
      <c r="B248" s="188"/>
      <c r="C248" s="34"/>
      <c r="D248" s="34"/>
      <c r="E248" s="34"/>
      <c r="F248" s="34"/>
      <c r="G248" s="34"/>
      <c r="H248" s="34"/>
      <c r="I248" s="44"/>
      <c r="J248" s="105"/>
      <c r="K248" s="34"/>
      <c r="L248" s="34"/>
      <c r="M248" s="34"/>
    </row>
    <row r="249" spans="1:13" ht="12.75">
      <c r="A249" s="34"/>
      <c r="B249" s="188"/>
      <c r="C249" s="34"/>
      <c r="D249" s="34"/>
      <c r="E249" s="34"/>
      <c r="F249" s="34"/>
      <c r="G249" s="34"/>
      <c r="H249" s="34"/>
      <c r="I249" s="44"/>
      <c r="J249" s="105"/>
      <c r="K249" s="34"/>
      <c r="L249" s="34"/>
      <c r="M249" s="34"/>
    </row>
    <row r="250" spans="1:13" ht="12.75">
      <c r="A250" s="34"/>
      <c r="B250" s="188"/>
      <c r="C250" s="34"/>
      <c r="D250" s="34"/>
      <c r="E250" s="34"/>
      <c r="F250" s="34"/>
      <c r="G250" s="34"/>
      <c r="H250" s="34"/>
      <c r="I250" s="44"/>
      <c r="J250" s="105"/>
      <c r="K250" s="34"/>
      <c r="L250" s="34"/>
      <c r="M250" s="34"/>
    </row>
    <row r="251" spans="1:13" ht="12.75">
      <c r="A251" s="34"/>
      <c r="B251" s="188"/>
      <c r="C251" s="34"/>
      <c r="D251" s="34"/>
      <c r="E251" s="34"/>
      <c r="F251" s="34"/>
      <c r="G251" s="34"/>
      <c r="H251" s="34"/>
      <c r="I251" s="44"/>
      <c r="J251" s="105"/>
      <c r="K251" s="34"/>
      <c r="L251" s="34"/>
      <c r="M251" s="34"/>
    </row>
    <row r="252" spans="1:13" ht="12.75">
      <c r="A252" s="34"/>
      <c r="B252" s="188"/>
      <c r="C252" s="34"/>
      <c r="D252" s="34"/>
      <c r="E252" s="34"/>
      <c r="F252" s="34"/>
      <c r="G252" s="34"/>
      <c r="H252" s="34"/>
      <c r="I252" s="44"/>
      <c r="J252" s="105"/>
      <c r="K252" s="34"/>
      <c r="L252" s="34"/>
      <c r="M252" s="34"/>
    </row>
    <row r="253" spans="1:13" ht="12.75">
      <c r="A253" s="34"/>
      <c r="B253" s="188"/>
      <c r="C253" s="34"/>
      <c r="D253" s="34"/>
      <c r="E253" s="34"/>
      <c r="F253" s="34"/>
      <c r="G253" s="34"/>
      <c r="H253" s="34"/>
      <c r="I253" s="44"/>
      <c r="J253" s="105"/>
      <c r="K253" s="34"/>
      <c r="L253" s="34"/>
      <c r="M253" s="34"/>
    </row>
    <row r="254" spans="1:13" ht="12.75">
      <c r="A254" s="34"/>
      <c r="B254" s="188"/>
      <c r="C254" s="34"/>
      <c r="D254" s="34"/>
      <c r="E254" s="34"/>
      <c r="F254" s="34"/>
      <c r="G254" s="34"/>
      <c r="H254" s="34"/>
      <c r="I254" s="44"/>
      <c r="J254" s="105"/>
      <c r="K254" s="34"/>
      <c r="L254" s="34"/>
      <c r="M254" s="34"/>
    </row>
    <row r="255" spans="1:13" ht="12.75">
      <c r="A255" s="34"/>
      <c r="B255" s="188"/>
      <c r="C255" s="34"/>
      <c r="D255" s="34"/>
      <c r="E255" s="34"/>
      <c r="F255" s="34"/>
      <c r="G255" s="34"/>
      <c r="H255" s="34"/>
      <c r="I255" s="44"/>
      <c r="J255" s="105"/>
      <c r="K255" s="34"/>
      <c r="L255" s="34"/>
      <c r="M255" s="34"/>
    </row>
    <row r="256" spans="1:13" ht="12.75">
      <c r="A256" s="34"/>
      <c r="B256" s="188"/>
      <c r="C256" s="34"/>
      <c r="D256" s="34"/>
      <c r="E256" s="34"/>
      <c r="F256" s="34"/>
      <c r="G256" s="34"/>
      <c r="H256" s="34"/>
      <c r="I256" s="44"/>
      <c r="J256" s="105"/>
      <c r="K256" s="34"/>
      <c r="L256" s="34"/>
      <c r="M256" s="34"/>
    </row>
    <row r="257" spans="1:13" ht="12.75">
      <c r="A257" s="34"/>
      <c r="B257" s="188"/>
      <c r="C257" s="34"/>
      <c r="D257" s="34"/>
      <c r="E257" s="34"/>
      <c r="F257" s="34"/>
      <c r="G257" s="34"/>
      <c r="H257" s="34"/>
      <c r="I257" s="44"/>
      <c r="J257" s="105"/>
      <c r="K257" s="34"/>
      <c r="L257" s="34"/>
      <c r="M257" s="34"/>
    </row>
    <row r="258" spans="1:13" ht="12.75">
      <c r="A258" s="34"/>
      <c r="B258" s="188"/>
      <c r="C258" s="34"/>
      <c r="D258" s="34"/>
      <c r="E258" s="34"/>
      <c r="F258" s="34"/>
      <c r="G258" s="34"/>
      <c r="H258" s="34"/>
      <c r="I258" s="44"/>
      <c r="J258" s="105"/>
      <c r="K258" s="34"/>
      <c r="L258" s="34"/>
      <c r="M258" s="34"/>
    </row>
    <row r="259" spans="1:13" ht="12.75">
      <c r="A259" s="34"/>
      <c r="B259" s="188"/>
      <c r="C259" s="34"/>
      <c r="D259" s="34"/>
      <c r="E259" s="34"/>
      <c r="F259" s="34"/>
      <c r="G259" s="34"/>
      <c r="H259" s="34"/>
      <c r="I259" s="44"/>
      <c r="J259" s="105"/>
      <c r="K259" s="34"/>
      <c r="L259" s="34"/>
      <c r="M259" s="34"/>
    </row>
    <row r="260" spans="1:13" ht="12.75">
      <c r="A260" s="34"/>
      <c r="B260" s="188"/>
      <c r="C260" s="34"/>
      <c r="D260" s="34"/>
      <c r="E260" s="34"/>
      <c r="F260" s="34"/>
      <c r="G260" s="34"/>
      <c r="H260" s="34"/>
      <c r="I260" s="44"/>
      <c r="J260" s="105"/>
      <c r="K260" s="34"/>
      <c r="L260" s="34"/>
      <c r="M260" s="34"/>
    </row>
    <row r="261" spans="1:13" ht="12.75">
      <c r="A261" s="34"/>
      <c r="B261" s="188"/>
      <c r="C261" s="34"/>
      <c r="D261" s="34"/>
      <c r="E261" s="34"/>
      <c r="F261" s="34"/>
      <c r="G261" s="34"/>
      <c r="H261" s="34"/>
      <c r="I261" s="44"/>
      <c r="J261" s="105"/>
      <c r="K261" s="34"/>
      <c r="L261" s="34"/>
      <c r="M261" s="34"/>
    </row>
    <row r="262" spans="1:13" ht="12.75">
      <c r="A262" s="34"/>
      <c r="B262" s="188"/>
      <c r="C262" s="34"/>
      <c r="D262" s="34"/>
      <c r="E262" s="34"/>
      <c r="F262" s="34"/>
      <c r="G262" s="34"/>
      <c r="H262" s="34"/>
      <c r="I262" s="44"/>
      <c r="J262" s="105"/>
      <c r="K262" s="34"/>
      <c r="L262" s="34"/>
      <c r="M262" s="34"/>
    </row>
    <row r="263" spans="1:13" ht="12.75">
      <c r="A263" s="34"/>
      <c r="B263" s="188"/>
      <c r="C263" s="34"/>
      <c r="D263" s="34"/>
      <c r="E263" s="34"/>
      <c r="F263" s="34"/>
      <c r="G263" s="34"/>
      <c r="H263" s="34"/>
      <c r="I263" s="44"/>
      <c r="J263" s="105"/>
      <c r="K263" s="34"/>
      <c r="L263" s="34"/>
      <c r="M263" s="34"/>
    </row>
    <row r="264" spans="1:13" ht="12.75">
      <c r="A264" s="34"/>
      <c r="B264" s="188"/>
      <c r="C264" s="34"/>
      <c r="D264" s="34"/>
      <c r="E264" s="34"/>
      <c r="F264" s="34"/>
      <c r="G264" s="34"/>
      <c r="H264" s="34"/>
      <c r="I264" s="44"/>
      <c r="J264" s="105"/>
      <c r="K264" s="34"/>
      <c r="L264" s="34"/>
      <c r="M264" s="34"/>
    </row>
    <row r="265" spans="1:13" ht="12.75">
      <c r="A265" s="34"/>
      <c r="B265" s="188"/>
      <c r="C265" s="34"/>
      <c r="D265" s="34"/>
      <c r="E265" s="34"/>
      <c r="F265" s="34"/>
      <c r="G265" s="34"/>
      <c r="H265" s="34"/>
      <c r="I265" s="44"/>
      <c r="J265" s="105"/>
      <c r="K265" s="34"/>
      <c r="L265" s="34"/>
      <c r="M265" s="34"/>
    </row>
    <row r="266" spans="1:13" ht="12.75">
      <c r="A266" s="34"/>
      <c r="B266" s="188"/>
      <c r="C266" s="34"/>
      <c r="D266" s="34"/>
      <c r="E266" s="34"/>
      <c r="F266" s="34"/>
      <c r="G266" s="34"/>
      <c r="H266" s="34"/>
      <c r="I266" s="44"/>
      <c r="J266" s="105"/>
      <c r="K266" s="34"/>
      <c r="L266" s="34"/>
      <c r="M266" s="34"/>
    </row>
    <row r="267" spans="1:13" ht="12.75">
      <c r="A267" s="34"/>
      <c r="B267" s="188"/>
      <c r="C267" s="34"/>
      <c r="D267" s="34"/>
      <c r="E267" s="34"/>
      <c r="F267" s="34"/>
      <c r="G267" s="34"/>
      <c r="H267" s="34"/>
      <c r="I267" s="44"/>
      <c r="J267" s="105"/>
      <c r="K267" s="34"/>
      <c r="L267" s="34"/>
      <c r="M267" s="34"/>
    </row>
    <row r="268" spans="1:13" ht="12.75">
      <c r="A268" s="34"/>
      <c r="B268" s="188"/>
      <c r="C268" s="34"/>
      <c r="D268" s="34"/>
      <c r="E268" s="34"/>
      <c r="F268" s="34"/>
      <c r="G268" s="34"/>
      <c r="H268" s="34"/>
      <c r="I268" s="44"/>
      <c r="J268" s="105"/>
      <c r="K268" s="34"/>
      <c r="L268" s="34"/>
      <c r="M268" s="34"/>
    </row>
    <row r="269" spans="1:13" ht="12.75">
      <c r="A269" s="34"/>
      <c r="B269" s="188"/>
      <c r="C269" s="34"/>
      <c r="D269" s="34"/>
      <c r="E269" s="34"/>
      <c r="F269" s="34"/>
      <c r="G269" s="34"/>
      <c r="H269" s="34"/>
      <c r="I269" s="44"/>
      <c r="J269" s="105"/>
      <c r="K269" s="34"/>
      <c r="L269" s="34"/>
      <c r="M269" s="34"/>
    </row>
    <row r="270" spans="1:13" ht="12.75">
      <c r="A270" s="34"/>
      <c r="B270" s="188"/>
      <c r="C270" s="34"/>
      <c r="D270" s="34"/>
      <c r="E270" s="34"/>
      <c r="F270" s="34"/>
      <c r="G270" s="34"/>
      <c r="H270" s="34"/>
      <c r="I270" s="44"/>
      <c r="J270" s="105"/>
      <c r="K270" s="34"/>
      <c r="L270" s="34"/>
      <c r="M270" s="34"/>
    </row>
    <row r="271" spans="1:13" ht="12.75">
      <c r="A271" s="34"/>
      <c r="B271" s="188"/>
      <c r="C271" s="34"/>
      <c r="D271" s="34"/>
      <c r="E271" s="34"/>
      <c r="F271" s="34"/>
      <c r="G271" s="34"/>
      <c r="H271" s="34"/>
      <c r="I271" s="44"/>
      <c r="J271" s="105"/>
      <c r="K271" s="34"/>
      <c r="L271" s="34"/>
      <c r="M271" s="34"/>
    </row>
    <row r="272" spans="1:13" ht="12.75">
      <c r="A272" s="34"/>
      <c r="B272" s="188"/>
      <c r="C272" s="34"/>
      <c r="D272" s="34"/>
      <c r="E272" s="34"/>
      <c r="F272" s="34"/>
      <c r="G272" s="34"/>
      <c r="H272" s="34"/>
      <c r="I272" s="44"/>
      <c r="J272" s="105"/>
      <c r="K272" s="34"/>
      <c r="L272" s="34"/>
      <c r="M272" s="34"/>
    </row>
    <row r="273" spans="1:13" ht="12.75">
      <c r="A273" s="34"/>
      <c r="B273" s="188"/>
      <c r="C273" s="34"/>
      <c r="D273" s="34"/>
      <c r="E273" s="34"/>
      <c r="F273" s="34"/>
      <c r="G273" s="34"/>
      <c r="H273" s="34"/>
      <c r="I273" s="44"/>
      <c r="J273" s="105"/>
      <c r="K273" s="34"/>
      <c r="L273" s="34"/>
      <c r="M273" s="34"/>
    </row>
    <row r="274" spans="1:13" ht="12.75">
      <c r="A274" s="34"/>
      <c r="B274" s="188"/>
      <c r="C274" s="34"/>
      <c r="D274" s="34"/>
      <c r="E274" s="34"/>
      <c r="F274" s="34"/>
      <c r="G274" s="34"/>
      <c r="H274" s="34"/>
      <c r="I274" s="44"/>
      <c r="J274" s="105"/>
      <c r="K274" s="34"/>
      <c r="L274" s="34"/>
      <c r="M274" s="34"/>
    </row>
    <row r="275" spans="1:13" ht="12.75">
      <c r="A275" s="34"/>
      <c r="B275" s="188"/>
      <c r="C275" s="34"/>
      <c r="D275" s="34"/>
      <c r="E275" s="34"/>
      <c r="F275" s="34"/>
      <c r="G275" s="34"/>
      <c r="H275" s="34"/>
      <c r="I275" s="44"/>
      <c r="J275" s="105"/>
      <c r="K275" s="34"/>
      <c r="L275" s="34"/>
      <c r="M275" s="34"/>
    </row>
    <row r="276" spans="1:13" ht="12.75">
      <c r="A276" s="34"/>
      <c r="B276" s="188"/>
      <c r="C276" s="34"/>
      <c r="D276" s="34"/>
      <c r="E276" s="34"/>
      <c r="F276" s="34"/>
      <c r="G276" s="34"/>
      <c r="H276" s="34"/>
      <c r="I276" s="44"/>
      <c r="J276" s="105"/>
      <c r="K276" s="34"/>
      <c r="L276" s="34"/>
      <c r="M276" s="34"/>
    </row>
    <row r="277" spans="1:13" ht="12.75">
      <c r="A277" s="34"/>
      <c r="B277" s="188"/>
      <c r="C277" s="34"/>
      <c r="D277" s="34"/>
      <c r="E277" s="34"/>
      <c r="F277" s="34"/>
      <c r="G277" s="34"/>
      <c r="H277" s="34"/>
      <c r="I277" s="44"/>
      <c r="J277" s="105"/>
      <c r="K277" s="34"/>
      <c r="L277" s="34"/>
      <c r="M277" s="34"/>
    </row>
    <row r="278" spans="1:13" ht="12.75">
      <c r="A278" s="34"/>
      <c r="B278" s="188"/>
      <c r="C278" s="34"/>
      <c r="D278" s="34"/>
      <c r="E278" s="34"/>
      <c r="F278" s="34"/>
      <c r="G278" s="34"/>
      <c r="H278" s="34"/>
      <c r="I278" s="44"/>
      <c r="J278" s="105"/>
      <c r="K278" s="34"/>
      <c r="L278" s="34"/>
      <c r="M278" s="34"/>
    </row>
    <row r="279" spans="1:13" ht="12.75">
      <c r="A279" s="34"/>
      <c r="B279" s="188"/>
      <c r="C279" s="34"/>
      <c r="D279" s="34"/>
      <c r="E279" s="34"/>
      <c r="F279" s="34"/>
      <c r="G279" s="34"/>
      <c r="H279" s="34"/>
      <c r="I279" s="44"/>
      <c r="J279" s="105"/>
      <c r="K279" s="34"/>
      <c r="L279" s="34"/>
      <c r="M279" s="34"/>
    </row>
    <row r="280" spans="1:13" ht="12.75">
      <c r="A280" s="34"/>
      <c r="B280" s="188"/>
      <c r="C280" s="34"/>
      <c r="D280" s="34"/>
      <c r="E280" s="34"/>
      <c r="F280" s="34"/>
      <c r="G280" s="34"/>
      <c r="H280" s="34"/>
      <c r="I280" s="44"/>
      <c r="J280" s="105"/>
      <c r="K280" s="34"/>
      <c r="L280" s="34"/>
      <c r="M280" s="34"/>
    </row>
    <row r="281" spans="1:13" ht="12.75">
      <c r="A281" s="34"/>
      <c r="B281" s="188"/>
      <c r="C281" s="34"/>
      <c r="D281" s="34"/>
      <c r="E281" s="34"/>
      <c r="F281" s="34"/>
      <c r="G281" s="34"/>
      <c r="H281" s="34"/>
      <c r="I281" s="44"/>
      <c r="J281" s="105"/>
      <c r="K281" s="34"/>
      <c r="L281" s="34"/>
      <c r="M281" s="34"/>
    </row>
    <row r="282" spans="1:13" ht="12.75">
      <c r="A282" s="34"/>
      <c r="B282" s="188"/>
      <c r="C282" s="34"/>
      <c r="D282" s="34"/>
      <c r="E282" s="34"/>
      <c r="F282" s="34"/>
      <c r="G282" s="34"/>
      <c r="H282" s="34"/>
      <c r="I282" s="44"/>
      <c r="J282" s="105"/>
      <c r="K282" s="34"/>
      <c r="L282" s="34"/>
      <c r="M282" s="34"/>
    </row>
    <row r="283" spans="1:13" ht="12.75">
      <c r="A283" s="34"/>
      <c r="B283" s="188"/>
      <c r="C283" s="34"/>
      <c r="D283" s="34"/>
      <c r="E283" s="34"/>
      <c r="F283" s="34"/>
      <c r="G283" s="34"/>
      <c r="H283" s="34"/>
      <c r="I283" s="44"/>
      <c r="J283" s="105"/>
      <c r="K283" s="34"/>
      <c r="L283" s="34"/>
      <c r="M283" s="34"/>
    </row>
    <row r="284" spans="1:13" ht="12.75">
      <c r="A284" s="34"/>
      <c r="B284" s="188"/>
      <c r="C284" s="34"/>
      <c r="D284" s="34"/>
      <c r="E284" s="34"/>
      <c r="F284" s="34"/>
      <c r="G284" s="34"/>
      <c r="H284" s="34"/>
      <c r="I284" s="44"/>
      <c r="J284" s="105"/>
      <c r="K284" s="34"/>
      <c r="L284" s="34"/>
      <c r="M284" s="34"/>
    </row>
    <row r="285" spans="1:13" ht="12.75">
      <c r="A285" s="34"/>
      <c r="B285" s="188"/>
      <c r="C285" s="34"/>
      <c r="D285" s="34"/>
      <c r="E285" s="34"/>
      <c r="F285" s="34"/>
      <c r="G285" s="34"/>
      <c r="H285" s="34"/>
      <c r="I285" s="44"/>
      <c r="J285" s="105"/>
      <c r="K285" s="34"/>
      <c r="L285" s="34"/>
      <c r="M285" s="34"/>
    </row>
    <row r="286" spans="1:13" ht="12.75">
      <c r="A286" s="34"/>
      <c r="B286" s="188"/>
      <c r="C286" s="34"/>
      <c r="D286" s="34"/>
      <c r="E286" s="34"/>
      <c r="F286" s="34"/>
      <c r="G286" s="34"/>
      <c r="H286" s="34"/>
      <c r="I286" s="44"/>
      <c r="J286" s="105"/>
      <c r="K286" s="34"/>
      <c r="L286" s="34"/>
      <c r="M286" s="34"/>
    </row>
    <row r="287" spans="1:13" ht="12.75">
      <c r="A287" s="34"/>
      <c r="B287" s="188"/>
      <c r="C287" s="34"/>
      <c r="D287" s="34"/>
      <c r="E287" s="34"/>
      <c r="F287" s="34"/>
      <c r="G287" s="34"/>
      <c r="H287" s="34"/>
      <c r="I287" s="44"/>
      <c r="J287" s="105"/>
      <c r="K287" s="34"/>
      <c r="L287" s="34"/>
      <c r="M287" s="34"/>
    </row>
    <row r="288" spans="1:13" ht="12.75">
      <c r="A288" s="34"/>
      <c r="B288" s="188"/>
      <c r="C288" s="34"/>
      <c r="D288" s="34"/>
      <c r="E288" s="34"/>
      <c r="F288" s="34"/>
      <c r="G288" s="34"/>
      <c r="H288" s="34"/>
      <c r="I288" s="44"/>
      <c r="J288" s="105"/>
      <c r="K288" s="34"/>
      <c r="L288" s="34"/>
      <c r="M288" s="34"/>
    </row>
    <row r="289" spans="1:13" ht="12.75">
      <c r="A289" s="34"/>
      <c r="B289" s="188"/>
      <c r="C289" s="34"/>
      <c r="D289" s="34"/>
      <c r="E289" s="34"/>
      <c r="F289" s="34"/>
      <c r="G289" s="34"/>
      <c r="H289" s="34"/>
      <c r="I289" s="44"/>
      <c r="J289" s="105"/>
      <c r="K289" s="34"/>
      <c r="L289" s="34"/>
      <c r="M289" s="34"/>
    </row>
    <row r="290" spans="1:13" ht="12.75">
      <c r="A290" s="34"/>
      <c r="B290" s="188"/>
      <c r="C290" s="34"/>
      <c r="D290" s="34"/>
      <c r="E290" s="34"/>
      <c r="F290" s="34"/>
      <c r="G290" s="34"/>
      <c r="H290" s="34"/>
      <c r="I290" s="44"/>
      <c r="J290" s="105"/>
      <c r="K290" s="34"/>
      <c r="L290" s="34"/>
      <c r="M290" s="34"/>
    </row>
    <row r="291" spans="1:13" ht="12.75">
      <c r="A291" s="34"/>
      <c r="B291" s="188"/>
      <c r="C291" s="34"/>
      <c r="D291" s="34"/>
      <c r="E291" s="34"/>
      <c r="F291" s="34"/>
      <c r="G291" s="34"/>
      <c r="H291" s="34"/>
      <c r="I291" s="44"/>
      <c r="J291" s="105"/>
      <c r="K291" s="34"/>
      <c r="L291" s="34"/>
      <c r="M291" s="34"/>
    </row>
    <row r="292" spans="1:13" ht="12.75">
      <c r="A292" s="34"/>
      <c r="B292" s="188"/>
      <c r="C292" s="34"/>
      <c r="D292" s="34"/>
      <c r="E292" s="34"/>
      <c r="F292" s="34"/>
      <c r="G292" s="34"/>
      <c r="H292" s="34"/>
      <c r="I292" s="44"/>
      <c r="J292" s="105"/>
      <c r="K292" s="34"/>
      <c r="L292" s="34"/>
      <c r="M292" s="34"/>
    </row>
    <row r="293" spans="1:13" ht="12.75">
      <c r="A293" s="34"/>
      <c r="B293" s="188"/>
      <c r="C293" s="34"/>
      <c r="D293" s="34"/>
      <c r="E293" s="34"/>
      <c r="F293" s="34"/>
      <c r="G293" s="34"/>
      <c r="H293" s="34"/>
      <c r="I293" s="44"/>
      <c r="J293" s="105"/>
      <c r="K293" s="34"/>
      <c r="L293" s="34"/>
      <c r="M293" s="34"/>
    </row>
    <row r="294" spans="1:13" ht="12.75">
      <c r="A294" s="34"/>
      <c r="B294" s="188"/>
      <c r="C294" s="34"/>
      <c r="D294" s="34"/>
      <c r="E294" s="34"/>
      <c r="F294" s="34"/>
      <c r="G294" s="34"/>
      <c r="H294" s="34"/>
      <c r="I294" s="44"/>
      <c r="J294" s="105"/>
      <c r="K294" s="34"/>
      <c r="L294" s="34"/>
      <c r="M294" s="34"/>
    </row>
    <row r="295" spans="1:13" ht="12.75">
      <c r="A295" s="34"/>
      <c r="B295" s="188"/>
      <c r="C295" s="34"/>
      <c r="D295" s="34"/>
      <c r="E295" s="34"/>
      <c r="F295" s="34"/>
      <c r="G295" s="34"/>
      <c r="H295" s="34"/>
      <c r="I295" s="44"/>
      <c r="J295" s="105"/>
      <c r="K295" s="34"/>
      <c r="L295" s="34"/>
      <c r="M295" s="34"/>
    </row>
    <row r="296" spans="1:13" ht="12.75">
      <c r="A296" s="34"/>
      <c r="B296" s="188"/>
      <c r="C296" s="34"/>
      <c r="D296" s="34"/>
      <c r="E296" s="34"/>
      <c r="F296" s="34"/>
      <c r="G296" s="34"/>
      <c r="H296" s="34"/>
      <c r="I296" s="44"/>
      <c r="J296" s="105"/>
      <c r="K296" s="34"/>
      <c r="L296" s="34"/>
      <c r="M296" s="34"/>
    </row>
    <row r="297" spans="1:13" ht="12.75">
      <c r="A297" s="34"/>
      <c r="B297" s="188"/>
      <c r="C297" s="34"/>
      <c r="D297" s="34"/>
      <c r="E297" s="34"/>
      <c r="F297" s="34"/>
      <c r="G297" s="34"/>
      <c r="H297" s="34"/>
      <c r="I297" s="44"/>
      <c r="J297" s="105"/>
      <c r="K297" s="34"/>
      <c r="L297" s="34"/>
      <c r="M297" s="34"/>
    </row>
    <row r="298" spans="1:13" ht="12.75">
      <c r="A298" s="34"/>
      <c r="B298" s="188"/>
      <c r="C298" s="34"/>
      <c r="D298" s="34"/>
      <c r="E298" s="34"/>
      <c r="F298" s="34"/>
      <c r="G298" s="34"/>
      <c r="H298" s="34"/>
      <c r="I298" s="44"/>
      <c r="J298" s="105"/>
      <c r="K298" s="34"/>
      <c r="L298" s="34"/>
      <c r="M298" s="34"/>
    </row>
    <row r="299" spans="1:13" ht="12.75">
      <c r="A299" s="34"/>
      <c r="B299" s="188"/>
      <c r="C299" s="34"/>
      <c r="D299" s="34"/>
      <c r="E299" s="34"/>
      <c r="F299" s="34"/>
      <c r="G299" s="34"/>
      <c r="H299" s="34"/>
      <c r="I299" s="44"/>
      <c r="J299" s="105"/>
      <c r="K299" s="34"/>
      <c r="L299" s="34"/>
      <c r="M299" s="34"/>
    </row>
    <row r="300" spans="1:13" ht="12.75">
      <c r="A300" s="34"/>
      <c r="B300" s="188"/>
      <c r="C300" s="34"/>
      <c r="D300" s="34"/>
      <c r="E300" s="34"/>
      <c r="F300" s="34"/>
      <c r="G300" s="34"/>
      <c r="H300" s="34"/>
      <c r="I300" s="44"/>
      <c r="J300" s="105"/>
      <c r="K300" s="34"/>
      <c r="L300" s="34"/>
      <c r="M300" s="34"/>
    </row>
    <row r="301" spans="1:13" ht="12.75">
      <c r="A301" s="34"/>
      <c r="B301" s="188"/>
      <c r="C301" s="34"/>
      <c r="D301" s="34"/>
      <c r="E301" s="34"/>
      <c r="F301" s="34"/>
      <c r="G301" s="34"/>
      <c r="H301" s="34"/>
      <c r="I301" s="44"/>
      <c r="J301" s="105"/>
      <c r="K301" s="34"/>
      <c r="L301" s="34"/>
      <c r="M301" s="34"/>
    </row>
    <row r="302" spans="1:13" ht="12.75">
      <c r="A302" s="34"/>
      <c r="B302" s="188"/>
      <c r="C302" s="34"/>
      <c r="D302" s="34"/>
      <c r="E302" s="34"/>
      <c r="F302" s="34"/>
      <c r="G302" s="34"/>
      <c r="H302" s="34"/>
      <c r="I302" s="44"/>
      <c r="J302" s="105"/>
      <c r="K302" s="34"/>
      <c r="L302" s="34"/>
      <c r="M302" s="34"/>
    </row>
    <row r="303" spans="1:13" ht="12.75">
      <c r="A303" s="34"/>
      <c r="B303" s="188"/>
      <c r="C303" s="34"/>
      <c r="D303" s="34"/>
      <c r="E303" s="34"/>
      <c r="F303" s="34"/>
      <c r="G303" s="34"/>
      <c r="H303" s="34"/>
      <c r="I303" s="44"/>
      <c r="J303" s="105"/>
      <c r="K303" s="34"/>
      <c r="L303" s="34"/>
      <c r="M303" s="34"/>
    </row>
    <row r="304" spans="1:13" ht="12.75">
      <c r="A304" s="34"/>
      <c r="B304" s="188"/>
      <c r="C304" s="34"/>
      <c r="D304" s="34"/>
      <c r="E304" s="34"/>
      <c r="F304" s="34"/>
      <c r="G304" s="34"/>
      <c r="H304" s="34"/>
      <c r="I304" s="44"/>
      <c r="J304" s="105"/>
      <c r="K304" s="34"/>
      <c r="L304" s="34"/>
      <c r="M304" s="34"/>
    </row>
    <row r="305" spans="1:13" ht="12.75">
      <c r="A305" s="34"/>
      <c r="B305" s="188"/>
      <c r="C305" s="34"/>
      <c r="D305" s="34"/>
      <c r="E305" s="34"/>
      <c r="F305" s="34"/>
      <c r="G305" s="34"/>
      <c r="H305" s="34"/>
      <c r="I305" s="44"/>
      <c r="J305" s="105"/>
      <c r="K305" s="34"/>
      <c r="L305" s="34"/>
      <c r="M305" s="34"/>
    </row>
    <row r="306" spans="1:13" ht="12.75">
      <c r="A306" s="34"/>
      <c r="B306" s="188"/>
      <c r="C306" s="34"/>
      <c r="D306" s="34"/>
      <c r="E306" s="34"/>
      <c r="F306" s="34"/>
      <c r="G306" s="34"/>
      <c r="H306" s="34"/>
      <c r="I306" s="44"/>
      <c r="J306" s="105"/>
      <c r="K306" s="34"/>
      <c r="L306" s="34"/>
      <c r="M306" s="34"/>
    </row>
    <row r="307" spans="1:13" ht="12.75">
      <c r="A307" s="34"/>
      <c r="B307" s="188"/>
      <c r="C307" s="34"/>
      <c r="D307" s="34"/>
      <c r="E307" s="34"/>
      <c r="F307" s="34"/>
      <c r="G307" s="34"/>
      <c r="H307" s="34"/>
      <c r="I307" s="44"/>
      <c r="J307" s="105"/>
      <c r="K307" s="34"/>
      <c r="L307" s="34"/>
      <c r="M307" s="34"/>
    </row>
    <row r="308" spans="1:13" ht="12.75">
      <c r="A308" s="34"/>
      <c r="B308" s="188"/>
      <c r="C308" s="34"/>
      <c r="D308" s="34"/>
      <c r="E308" s="34"/>
      <c r="F308" s="34"/>
      <c r="G308" s="34"/>
      <c r="H308" s="34"/>
      <c r="I308" s="44"/>
      <c r="J308" s="105"/>
      <c r="K308" s="34"/>
      <c r="L308" s="34"/>
      <c r="M308" s="34"/>
    </row>
    <row r="309" spans="1:13" ht="12.75">
      <c r="A309" s="34"/>
      <c r="B309" s="188"/>
      <c r="C309" s="34"/>
      <c r="D309" s="34"/>
      <c r="E309" s="34"/>
      <c r="F309" s="34"/>
      <c r="G309" s="34"/>
      <c r="H309" s="34"/>
      <c r="I309" s="44"/>
      <c r="J309" s="105"/>
      <c r="K309" s="34"/>
      <c r="L309" s="34"/>
      <c r="M309" s="34"/>
    </row>
    <row r="310" spans="1:13" ht="12.75">
      <c r="A310" s="34"/>
      <c r="B310" s="188"/>
      <c r="C310" s="34"/>
      <c r="D310" s="34"/>
      <c r="E310" s="34"/>
      <c r="F310" s="34"/>
      <c r="G310" s="34"/>
      <c r="H310" s="34"/>
      <c r="I310" s="44"/>
      <c r="J310" s="105"/>
      <c r="K310" s="34"/>
      <c r="L310" s="34"/>
      <c r="M310" s="34"/>
    </row>
    <row r="311" spans="1:13" ht="12.75">
      <c r="A311" s="34"/>
      <c r="B311" s="188"/>
      <c r="C311" s="34"/>
      <c r="D311" s="34"/>
      <c r="E311" s="34"/>
      <c r="F311" s="34"/>
      <c r="G311" s="34"/>
      <c r="H311" s="34"/>
      <c r="I311" s="44"/>
      <c r="J311" s="105"/>
      <c r="K311" s="34"/>
      <c r="L311" s="34"/>
      <c r="M311" s="34"/>
    </row>
    <row r="312" spans="1:13" ht="12.75">
      <c r="A312" s="34"/>
      <c r="B312" s="188"/>
      <c r="C312" s="34"/>
      <c r="D312" s="34"/>
      <c r="E312" s="34"/>
      <c r="F312" s="34"/>
      <c r="G312" s="34"/>
      <c r="H312" s="34"/>
      <c r="I312" s="44"/>
      <c r="J312" s="105"/>
      <c r="K312" s="34"/>
      <c r="L312" s="34"/>
      <c r="M312" s="34"/>
    </row>
    <row r="313" spans="1:13" ht="12.75">
      <c r="A313" s="34"/>
      <c r="B313" s="188"/>
      <c r="C313" s="34"/>
      <c r="D313" s="34"/>
      <c r="E313" s="34"/>
      <c r="F313" s="34"/>
      <c r="G313" s="34"/>
      <c r="H313" s="34"/>
      <c r="I313" s="44"/>
      <c r="J313" s="105"/>
      <c r="K313" s="34"/>
      <c r="L313" s="34"/>
      <c r="M313" s="34"/>
    </row>
    <row r="314" spans="1:13" ht="12.75">
      <c r="A314" s="34"/>
      <c r="B314" s="188"/>
      <c r="C314" s="34"/>
      <c r="D314" s="34"/>
      <c r="E314" s="34"/>
      <c r="F314" s="34"/>
      <c r="G314" s="34"/>
      <c r="H314" s="34"/>
      <c r="I314" s="44"/>
      <c r="J314" s="105"/>
      <c r="K314" s="34"/>
      <c r="L314" s="34"/>
      <c r="M314" s="34"/>
    </row>
    <row r="315" spans="1:13" ht="12.75">
      <c r="A315" s="34"/>
      <c r="B315" s="188"/>
      <c r="C315" s="34"/>
      <c r="D315" s="34"/>
      <c r="E315" s="34"/>
      <c r="F315" s="34"/>
      <c r="G315" s="34"/>
      <c r="H315" s="34"/>
      <c r="I315" s="44"/>
      <c r="J315" s="105"/>
      <c r="K315" s="34"/>
      <c r="L315" s="34"/>
      <c r="M315" s="34"/>
    </row>
    <row r="316" spans="1:13" ht="12.75">
      <c r="A316" s="34"/>
      <c r="B316" s="188"/>
      <c r="C316" s="34"/>
      <c r="D316" s="34"/>
      <c r="E316" s="34"/>
      <c r="F316" s="34"/>
      <c r="G316" s="34"/>
      <c r="H316" s="34"/>
      <c r="I316" s="44"/>
      <c r="J316" s="105"/>
      <c r="K316" s="34"/>
      <c r="L316" s="34"/>
      <c r="M316" s="34"/>
    </row>
    <row r="317" spans="1:13" ht="12.75">
      <c r="A317" s="34"/>
      <c r="B317" s="188"/>
      <c r="C317" s="34"/>
      <c r="D317" s="34"/>
      <c r="E317" s="34"/>
      <c r="F317" s="34"/>
      <c r="G317" s="34"/>
      <c r="H317" s="34"/>
      <c r="I317" s="44"/>
      <c r="J317" s="105"/>
      <c r="K317" s="34"/>
      <c r="L317" s="34"/>
      <c r="M317" s="34"/>
    </row>
    <row r="318" spans="1:13" ht="12.75">
      <c r="A318" s="34"/>
      <c r="B318" s="188"/>
      <c r="C318" s="34"/>
      <c r="D318" s="34"/>
      <c r="E318" s="34"/>
      <c r="F318" s="34"/>
      <c r="G318" s="34"/>
      <c r="H318" s="34"/>
      <c r="I318" s="44"/>
      <c r="J318" s="105"/>
      <c r="K318" s="34"/>
      <c r="L318" s="34"/>
      <c r="M318" s="34"/>
    </row>
    <row r="319" spans="1:13" ht="12.75">
      <c r="A319" s="34"/>
      <c r="B319" s="188"/>
      <c r="C319" s="34"/>
      <c r="D319" s="34"/>
      <c r="E319" s="34"/>
      <c r="F319" s="34"/>
      <c r="G319" s="34"/>
      <c r="H319" s="34"/>
      <c r="I319" s="44"/>
      <c r="J319" s="105"/>
      <c r="K319" s="34"/>
      <c r="L319" s="34"/>
      <c r="M319" s="34"/>
    </row>
    <row r="320" spans="1:13" ht="12.75">
      <c r="A320" s="34"/>
      <c r="B320" s="188"/>
      <c r="C320" s="34"/>
      <c r="D320" s="34"/>
      <c r="E320" s="34"/>
      <c r="F320" s="34"/>
      <c r="G320" s="34"/>
      <c r="H320" s="34"/>
      <c r="I320" s="44"/>
      <c r="J320" s="105"/>
      <c r="K320" s="34"/>
      <c r="L320" s="34"/>
      <c r="M320" s="34"/>
    </row>
    <row r="321" spans="1:13" ht="12.75">
      <c r="A321" s="34"/>
      <c r="B321" s="188"/>
      <c r="C321" s="34"/>
      <c r="D321" s="34"/>
      <c r="E321" s="34"/>
      <c r="F321" s="34"/>
      <c r="G321" s="34"/>
      <c r="H321" s="34"/>
      <c r="I321" s="44"/>
      <c r="J321" s="105"/>
      <c r="K321" s="34"/>
      <c r="L321" s="34"/>
      <c r="M321" s="34"/>
    </row>
    <row r="322" spans="1:13" ht="12.75">
      <c r="A322" s="34"/>
      <c r="B322" s="188"/>
      <c r="C322" s="34"/>
      <c r="D322" s="34"/>
      <c r="E322" s="34"/>
      <c r="F322" s="34"/>
      <c r="G322" s="34"/>
      <c r="H322" s="34"/>
      <c r="I322" s="44"/>
      <c r="J322" s="105"/>
      <c r="K322" s="34"/>
      <c r="L322" s="34"/>
      <c r="M322" s="34"/>
    </row>
    <row r="323" spans="1:13" ht="12.75">
      <c r="A323" s="34"/>
      <c r="B323" s="188"/>
      <c r="C323" s="34"/>
      <c r="D323" s="34"/>
      <c r="E323" s="34"/>
      <c r="F323" s="34"/>
      <c r="G323" s="34"/>
      <c r="H323" s="34"/>
      <c r="I323" s="44"/>
      <c r="J323" s="105"/>
      <c r="K323" s="34"/>
      <c r="L323" s="34"/>
      <c r="M323" s="34"/>
    </row>
    <row r="324" spans="1:13" ht="12.75">
      <c r="A324" s="34"/>
      <c r="B324" s="188"/>
      <c r="C324" s="34"/>
      <c r="D324" s="34"/>
      <c r="E324" s="34"/>
      <c r="F324" s="34"/>
      <c r="G324" s="34"/>
      <c r="H324" s="34"/>
      <c r="I324" s="44"/>
      <c r="J324" s="105"/>
      <c r="K324" s="34"/>
      <c r="L324" s="34"/>
      <c r="M324" s="34"/>
    </row>
    <row r="325" spans="1:13" ht="12.75">
      <c r="A325" s="34"/>
      <c r="B325" s="188"/>
      <c r="C325" s="34"/>
      <c r="D325" s="34"/>
      <c r="E325" s="34"/>
      <c r="F325" s="34"/>
      <c r="G325" s="34"/>
      <c r="H325" s="34"/>
      <c r="I325" s="44"/>
      <c r="J325" s="105"/>
      <c r="K325" s="34"/>
      <c r="L325" s="34"/>
      <c r="M325" s="34"/>
    </row>
    <row r="326" spans="1:13" ht="12.75">
      <c r="A326" s="34"/>
      <c r="B326" s="188"/>
      <c r="C326" s="34"/>
      <c r="D326" s="34"/>
      <c r="E326" s="34"/>
      <c r="F326" s="34"/>
      <c r="G326" s="34"/>
      <c r="H326" s="34"/>
      <c r="I326" s="44"/>
      <c r="J326" s="105"/>
      <c r="K326" s="34"/>
      <c r="L326" s="34"/>
      <c r="M326" s="34"/>
    </row>
    <row r="327" spans="1:13" ht="12.75">
      <c r="A327" s="34"/>
      <c r="B327" s="188"/>
      <c r="C327" s="34"/>
      <c r="D327" s="34"/>
      <c r="E327" s="34"/>
      <c r="F327" s="34"/>
      <c r="G327" s="34"/>
      <c r="H327" s="34"/>
      <c r="I327" s="44"/>
      <c r="J327" s="105"/>
      <c r="K327" s="34"/>
      <c r="L327" s="34"/>
      <c r="M327" s="34"/>
    </row>
    <row r="328" spans="1:13" ht="12.75">
      <c r="A328" s="34"/>
      <c r="B328" s="188"/>
      <c r="C328" s="34"/>
      <c r="D328" s="34"/>
      <c r="E328" s="34"/>
      <c r="F328" s="34"/>
      <c r="G328" s="34"/>
      <c r="H328" s="34"/>
      <c r="I328" s="44"/>
      <c r="J328" s="105"/>
      <c r="K328" s="34"/>
      <c r="L328" s="34"/>
      <c r="M328" s="34"/>
    </row>
    <row r="329" spans="1:13" ht="12.75">
      <c r="A329" s="34"/>
      <c r="B329" s="188"/>
      <c r="C329" s="34"/>
      <c r="D329" s="34"/>
      <c r="E329" s="34"/>
      <c r="F329" s="34"/>
      <c r="G329" s="34"/>
      <c r="H329" s="34"/>
      <c r="I329" s="44"/>
      <c r="J329" s="105"/>
      <c r="K329" s="34"/>
      <c r="L329" s="34"/>
      <c r="M329" s="34"/>
    </row>
    <row r="330" spans="1:13" ht="12.75">
      <c r="A330" s="34"/>
      <c r="B330" s="188"/>
      <c r="C330" s="34"/>
      <c r="D330" s="34"/>
      <c r="E330" s="34"/>
      <c r="F330" s="34"/>
      <c r="G330" s="34"/>
      <c r="H330" s="34"/>
      <c r="I330" s="44"/>
      <c r="J330" s="105"/>
      <c r="K330" s="34"/>
      <c r="L330" s="34"/>
      <c r="M330" s="34"/>
    </row>
    <row r="331" spans="1:13" ht="12.75">
      <c r="A331" s="34"/>
      <c r="B331" s="188"/>
      <c r="C331" s="34"/>
      <c r="D331" s="34"/>
      <c r="E331" s="34"/>
      <c r="F331" s="34"/>
      <c r="G331" s="34"/>
      <c r="H331" s="34"/>
      <c r="I331" s="44"/>
      <c r="J331" s="105"/>
      <c r="K331" s="34"/>
      <c r="L331" s="34"/>
      <c r="M331" s="34"/>
    </row>
    <row r="332" spans="1:13" ht="12.75">
      <c r="A332" s="34"/>
      <c r="B332" s="188"/>
      <c r="C332" s="34"/>
      <c r="D332" s="34"/>
      <c r="E332" s="34"/>
      <c r="F332" s="34"/>
      <c r="G332" s="34"/>
      <c r="H332" s="34"/>
      <c r="I332" s="44"/>
      <c r="J332" s="105"/>
      <c r="K332" s="34"/>
      <c r="L332" s="34"/>
      <c r="M332" s="34"/>
    </row>
    <row r="333" spans="1:13" ht="12.75">
      <c r="A333" s="34"/>
      <c r="B333" s="188"/>
      <c r="C333" s="34"/>
      <c r="D333" s="34"/>
      <c r="E333" s="34"/>
      <c r="F333" s="34"/>
      <c r="G333" s="34"/>
      <c r="H333" s="34"/>
      <c r="I333" s="44"/>
      <c r="J333" s="105"/>
      <c r="K333" s="34"/>
      <c r="L333" s="34"/>
      <c r="M333" s="34"/>
    </row>
    <row r="334" spans="1:13" ht="12.75">
      <c r="A334" s="34"/>
      <c r="B334" s="188"/>
      <c r="C334" s="34"/>
      <c r="D334" s="34"/>
      <c r="E334" s="34"/>
      <c r="F334" s="34"/>
      <c r="G334" s="34"/>
      <c r="H334" s="34"/>
      <c r="I334" s="44"/>
      <c r="J334" s="105"/>
      <c r="K334" s="34"/>
      <c r="L334" s="34"/>
      <c r="M334" s="34"/>
    </row>
    <row r="335" spans="1:13" ht="12.75">
      <c r="A335" s="34"/>
      <c r="B335" s="188"/>
      <c r="C335" s="34"/>
      <c r="D335" s="34"/>
      <c r="E335" s="34"/>
      <c r="F335" s="34"/>
      <c r="G335" s="34"/>
      <c r="H335" s="34"/>
      <c r="I335" s="44"/>
      <c r="J335" s="105"/>
      <c r="K335" s="34"/>
      <c r="L335" s="34"/>
      <c r="M335" s="34"/>
    </row>
    <row r="336" spans="1:13" ht="12.75">
      <c r="A336" s="34"/>
      <c r="B336" s="188"/>
      <c r="C336" s="34"/>
      <c r="D336" s="34"/>
      <c r="E336" s="34"/>
      <c r="F336" s="34"/>
      <c r="G336" s="34"/>
      <c r="H336" s="34"/>
      <c r="I336" s="44"/>
      <c r="J336" s="105"/>
      <c r="K336" s="34"/>
      <c r="L336" s="34"/>
      <c r="M336" s="34"/>
    </row>
    <row r="337" spans="1:13" ht="12.75">
      <c r="A337" s="34"/>
      <c r="B337" s="188"/>
      <c r="C337" s="34"/>
      <c r="D337" s="34"/>
      <c r="E337" s="34"/>
      <c r="F337" s="34"/>
      <c r="G337" s="34"/>
      <c r="H337" s="34"/>
      <c r="I337" s="44"/>
      <c r="J337" s="105"/>
      <c r="K337" s="34"/>
      <c r="L337" s="34"/>
      <c r="M337" s="34"/>
    </row>
    <row r="338" spans="1:13" ht="12.75">
      <c r="A338" s="34"/>
      <c r="B338" s="188"/>
      <c r="C338" s="34"/>
      <c r="D338" s="34"/>
      <c r="E338" s="34"/>
      <c r="F338" s="34"/>
      <c r="G338" s="34"/>
      <c r="H338" s="34"/>
      <c r="I338" s="44"/>
      <c r="J338" s="105"/>
      <c r="K338" s="34"/>
      <c r="L338" s="34"/>
      <c r="M338" s="34"/>
    </row>
    <row r="339" spans="1:13" ht="12.75">
      <c r="A339" s="34"/>
      <c r="B339" s="188"/>
      <c r="C339" s="34"/>
      <c r="D339" s="34"/>
      <c r="E339" s="34"/>
      <c r="F339" s="34"/>
      <c r="G339" s="34"/>
      <c r="H339" s="34"/>
      <c r="I339" s="44"/>
      <c r="J339" s="105"/>
      <c r="K339" s="34"/>
      <c r="L339" s="34"/>
      <c r="M339" s="34"/>
    </row>
    <row r="340" spans="1:13" ht="12.75">
      <c r="A340" s="34"/>
      <c r="B340" s="188"/>
      <c r="C340" s="34"/>
      <c r="D340" s="34"/>
      <c r="E340" s="34"/>
      <c r="F340" s="34"/>
      <c r="G340" s="34"/>
      <c r="H340" s="34"/>
      <c r="I340" s="44"/>
      <c r="J340" s="105"/>
      <c r="K340" s="34"/>
      <c r="L340" s="34"/>
      <c r="M340" s="34"/>
    </row>
    <row r="341" spans="1:13" ht="12.75">
      <c r="A341" s="34"/>
      <c r="B341" s="188"/>
      <c r="C341" s="34"/>
      <c r="D341" s="34"/>
      <c r="E341" s="34"/>
      <c r="F341" s="34"/>
      <c r="G341" s="34"/>
      <c r="H341" s="34"/>
      <c r="I341" s="44"/>
      <c r="J341" s="105"/>
      <c r="K341" s="34"/>
      <c r="L341" s="34"/>
      <c r="M341" s="34"/>
    </row>
    <row r="342" spans="1:13" ht="12.75">
      <c r="A342" s="34"/>
      <c r="B342" s="188"/>
      <c r="C342" s="34"/>
      <c r="D342" s="34"/>
      <c r="E342" s="34"/>
      <c r="F342" s="34"/>
      <c r="G342" s="34"/>
      <c r="H342" s="34"/>
      <c r="I342" s="44"/>
      <c r="J342" s="105"/>
      <c r="K342" s="34"/>
      <c r="L342" s="34"/>
      <c r="M342" s="34"/>
    </row>
    <row r="343" spans="1:13" ht="12.75">
      <c r="A343" s="34"/>
      <c r="B343" s="188"/>
      <c r="C343" s="34"/>
      <c r="D343" s="34"/>
      <c r="E343" s="34"/>
      <c r="F343" s="34"/>
      <c r="G343" s="34"/>
      <c r="H343" s="34"/>
      <c r="I343" s="44"/>
      <c r="J343" s="105"/>
      <c r="K343" s="34"/>
      <c r="L343" s="34"/>
      <c r="M343" s="34"/>
    </row>
    <row r="344" spans="1:13" ht="12.75">
      <c r="A344" s="34"/>
      <c r="B344" s="188"/>
      <c r="C344" s="34"/>
      <c r="D344" s="34"/>
      <c r="E344" s="34"/>
      <c r="F344" s="34"/>
      <c r="G344" s="34"/>
      <c r="H344" s="34"/>
      <c r="I344" s="44"/>
      <c r="J344" s="105"/>
      <c r="K344" s="34"/>
      <c r="L344" s="34"/>
      <c r="M344" s="34"/>
    </row>
    <row r="345" spans="1:13" ht="12.75">
      <c r="A345" s="34"/>
      <c r="B345" s="188"/>
      <c r="C345" s="34"/>
      <c r="D345" s="34"/>
      <c r="E345" s="34"/>
      <c r="F345" s="34"/>
      <c r="G345" s="34"/>
      <c r="H345" s="34"/>
      <c r="I345" s="44"/>
      <c r="J345" s="105"/>
      <c r="K345" s="34"/>
      <c r="L345" s="34"/>
      <c r="M345" s="34"/>
    </row>
    <row r="346" spans="1:13" ht="12.75">
      <c r="A346" s="34"/>
      <c r="B346" s="188"/>
      <c r="C346" s="34"/>
      <c r="D346" s="34"/>
      <c r="E346" s="34"/>
      <c r="F346" s="34"/>
      <c r="G346" s="34"/>
      <c r="H346" s="34"/>
      <c r="I346" s="44"/>
      <c r="J346" s="105"/>
      <c r="K346" s="34"/>
      <c r="L346" s="34"/>
      <c r="M346" s="34"/>
    </row>
    <row r="347" spans="1:13" ht="12.75">
      <c r="A347" s="34"/>
      <c r="B347" s="188"/>
      <c r="C347" s="34"/>
      <c r="D347" s="34"/>
      <c r="E347" s="34"/>
      <c r="F347" s="34"/>
      <c r="G347" s="34"/>
      <c r="H347" s="34"/>
      <c r="I347" s="44"/>
      <c r="J347" s="105"/>
      <c r="K347" s="34"/>
      <c r="L347" s="34"/>
      <c r="M347" s="34"/>
    </row>
    <row r="348" spans="1:13" ht="12.75">
      <c r="A348" s="34"/>
      <c r="B348" s="188"/>
      <c r="C348" s="34"/>
      <c r="D348" s="34"/>
      <c r="E348" s="34"/>
      <c r="F348" s="34"/>
      <c r="G348" s="34"/>
      <c r="H348" s="34"/>
      <c r="I348" s="44"/>
      <c r="J348" s="105"/>
      <c r="K348" s="34"/>
      <c r="L348" s="34"/>
      <c r="M348" s="34"/>
    </row>
    <row r="349" spans="1:13" ht="12.75">
      <c r="A349" s="34"/>
      <c r="B349" s="188"/>
      <c r="C349" s="34"/>
      <c r="D349" s="34"/>
      <c r="E349" s="34"/>
      <c r="F349" s="34"/>
      <c r="G349" s="34"/>
      <c r="H349" s="34"/>
      <c r="I349" s="44"/>
      <c r="J349" s="105"/>
      <c r="K349" s="34"/>
      <c r="L349" s="34"/>
      <c r="M349" s="34"/>
    </row>
    <row r="350" spans="1:13" ht="12.75">
      <c r="A350" s="34"/>
      <c r="B350" s="188"/>
      <c r="C350" s="34"/>
      <c r="D350" s="34"/>
      <c r="E350" s="34"/>
      <c r="F350" s="34"/>
      <c r="G350" s="34"/>
      <c r="H350" s="34"/>
      <c r="I350" s="44"/>
      <c r="J350" s="105"/>
      <c r="K350" s="34"/>
      <c r="L350" s="34"/>
      <c r="M350" s="34"/>
    </row>
    <row r="351" spans="1:13" ht="12.75">
      <c r="A351" s="34"/>
      <c r="B351" s="188"/>
      <c r="C351" s="34"/>
      <c r="D351" s="34"/>
      <c r="E351" s="34"/>
      <c r="F351" s="34"/>
      <c r="G351" s="34"/>
      <c r="H351" s="34"/>
      <c r="I351" s="44"/>
      <c r="J351" s="105"/>
      <c r="K351" s="34"/>
      <c r="L351" s="34"/>
      <c r="M351" s="34"/>
    </row>
    <row r="352" spans="1:13" ht="12.75">
      <c r="A352" s="34"/>
      <c r="B352" s="188"/>
      <c r="C352" s="34"/>
      <c r="D352" s="34"/>
      <c r="E352" s="34"/>
      <c r="F352" s="34"/>
      <c r="G352" s="34"/>
      <c r="H352" s="34"/>
      <c r="I352" s="44"/>
      <c r="J352" s="105"/>
      <c r="K352" s="34"/>
      <c r="L352" s="34"/>
      <c r="M352" s="34"/>
    </row>
    <row r="353" spans="1:13" ht="12.75">
      <c r="A353" s="34"/>
      <c r="B353" s="188"/>
      <c r="C353" s="34"/>
      <c r="D353" s="34"/>
      <c r="E353" s="34"/>
      <c r="F353" s="34"/>
      <c r="G353" s="34"/>
      <c r="H353" s="34"/>
      <c r="I353" s="44"/>
      <c r="J353" s="105"/>
      <c r="K353" s="34"/>
      <c r="L353" s="34"/>
      <c r="M353" s="34"/>
    </row>
    <row r="354" spans="1:13" ht="12.75">
      <c r="A354" s="34"/>
      <c r="B354" s="188"/>
      <c r="C354" s="34"/>
      <c r="D354" s="34"/>
      <c r="E354" s="34"/>
      <c r="F354" s="34"/>
      <c r="G354" s="34"/>
      <c r="H354" s="34"/>
      <c r="I354" s="44"/>
      <c r="J354" s="105"/>
      <c r="K354" s="34"/>
      <c r="L354" s="34"/>
      <c r="M354" s="34"/>
    </row>
    <row r="355" spans="1:13" ht="12.75">
      <c r="A355" s="34"/>
      <c r="B355" s="188"/>
      <c r="C355" s="34"/>
      <c r="D355" s="34"/>
      <c r="E355" s="34"/>
      <c r="F355" s="34"/>
      <c r="G355" s="34"/>
      <c r="H355" s="34"/>
      <c r="I355" s="44"/>
      <c r="J355" s="105"/>
      <c r="K355" s="34"/>
      <c r="L355" s="34"/>
      <c r="M355" s="34"/>
    </row>
    <row r="356" spans="1:13" ht="12.75">
      <c r="A356" s="34"/>
      <c r="B356" s="188"/>
      <c r="C356" s="34"/>
      <c r="D356" s="34"/>
      <c r="E356" s="34"/>
      <c r="F356" s="34"/>
      <c r="G356" s="34"/>
      <c r="H356" s="34"/>
      <c r="I356" s="44"/>
      <c r="J356" s="105"/>
      <c r="K356" s="34"/>
      <c r="L356" s="34"/>
      <c r="M356" s="34"/>
    </row>
    <row r="357" spans="1:13" ht="12.75">
      <c r="A357" s="34"/>
      <c r="B357" s="188"/>
      <c r="C357" s="34"/>
      <c r="D357" s="34"/>
      <c r="E357" s="34"/>
      <c r="F357" s="34"/>
      <c r="G357" s="34"/>
      <c r="H357" s="34"/>
      <c r="I357" s="44"/>
      <c r="J357" s="105"/>
      <c r="K357" s="34"/>
      <c r="L357" s="34"/>
      <c r="M357" s="34"/>
    </row>
    <row r="358" spans="1:13" ht="12.75">
      <c r="A358" s="34"/>
      <c r="B358" s="188"/>
      <c r="C358" s="34"/>
      <c r="D358" s="34"/>
      <c r="E358" s="34"/>
      <c r="F358" s="34"/>
      <c r="G358" s="34"/>
      <c r="H358" s="34"/>
      <c r="I358" s="44"/>
      <c r="J358" s="105"/>
      <c r="K358" s="34"/>
      <c r="L358" s="34"/>
      <c r="M358" s="34"/>
    </row>
    <row r="359" spans="1:13" ht="12.75">
      <c r="A359" s="34"/>
      <c r="B359" s="188"/>
      <c r="C359" s="34"/>
      <c r="D359" s="34"/>
      <c r="E359" s="34"/>
      <c r="F359" s="34"/>
      <c r="G359" s="34"/>
      <c r="H359" s="34"/>
      <c r="I359" s="44"/>
      <c r="J359" s="105"/>
      <c r="K359" s="34"/>
      <c r="L359" s="34"/>
      <c r="M359" s="34"/>
    </row>
    <row r="360" spans="1:13" ht="12.75">
      <c r="A360" s="34"/>
      <c r="B360" s="188"/>
      <c r="C360" s="34"/>
      <c r="D360" s="34"/>
      <c r="E360" s="34"/>
      <c r="F360" s="34"/>
      <c r="G360" s="34"/>
      <c r="H360" s="34"/>
      <c r="I360" s="44"/>
      <c r="J360" s="105"/>
      <c r="K360" s="34"/>
      <c r="L360" s="34"/>
      <c r="M360" s="34"/>
    </row>
    <row r="361" spans="1:13" ht="12.75">
      <c r="A361" s="34"/>
      <c r="B361" s="188"/>
      <c r="C361" s="34"/>
      <c r="D361" s="34"/>
      <c r="E361" s="34"/>
      <c r="F361" s="34"/>
      <c r="G361" s="34"/>
      <c r="H361" s="34"/>
      <c r="I361" s="44"/>
      <c r="J361" s="105"/>
      <c r="K361" s="34"/>
      <c r="L361" s="34"/>
      <c r="M361" s="34"/>
    </row>
    <row r="362" spans="1:13" ht="12.75">
      <c r="A362" s="34"/>
      <c r="B362" s="188"/>
      <c r="C362" s="34"/>
      <c r="D362" s="34"/>
      <c r="E362" s="34"/>
      <c r="F362" s="34"/>
      <c r="G362" s="34"/>
      <c r="H362" s="34"/>
      <c r="I362" s="44"/>
      <c r="J362" s="105"/>
      <c r="K362" s="34"/>
      <c r="L362" s="34"/>
      <c r="M362" s="34"/>
    </row>
    <row r="363" spans="1:13" ht="12.75">
      <c r="A363" s="34"/>
      <c r="B363" s="188"/>
      <c r="C363" s="34"/>
      <c r="D363" s="34"/>
      <c r="E363" s="34"/>
      <c r="F363" s="34"/>
      <c r="G363" s="34"/>
      <c r="H363" s="34"/>
      <c r="I363" s="44"/>
      <c r="J363" s="105"/>
      <c r="K363" s="34"/>
      <c r="L363" s="34"/>
      <c r="M363" s="34"/>
    </row>
    <row r="364" spans="1:13" ht="12.75">
      <c r="A364" s="34"/>
      <c r="B364" s="188"/>
      <c r="C364" s="34"/>
      <c r="D364" s="34"/>
      <c r="E364" s="34"/>
      <c r="F364" s="34"/>
      <c r="G364" s="34"/>
      <c r="H364" s="34"/>
      <c r="I364" s="44"/>
      <c r="J364" s="105"/>
      <c r="K364" s="34"/>
      <c r="L364" s="34"/>
      <c r="M364" s="34"/>
    </row>
    <row r="365" spans="1:13" ht="12.75">
      <c r="A365" s="34"/>
      <c r="B365" s="188"/>
      <c r="C365" s="34"/>
      <c r="D365" s="34"/>
      <c r="E365" s="34"/>
      <c r="F365" s="34"/>
      <c r="G365" s="34"/>
      <c r="H365" s="34"/>
      <c r="I365" s="44"/>
      <c r="J365" s="105"/>
      <c r="K365" s="34"/>
      <c r="L365" s="34"/>
      <c r="M365" s="34"/>
    </row>
    <row r="366" spans="1:13" ht="12.75">
      <c r="A366" s="34"/>
      <c r="B366" s="188"/>
      <c r="C366" s="34"/>
      <c r="D366" s="34"/>
      <c r="E366" s="34"/>
      <c r="F366" s="34"/>
      <c r="G366" s="34"/>
      <c r="H366" s="34"/>
      <c r="I366" s="44"/>
      <c r="J366" s="105"/>
      <c r="K366" s="34"/>
      <c r="L366" s="34"/>
      <c r="M366" s="34"/>
    </row>
    <row r="367" spans="1:13" ht="12.75">
      <c r="A367" s="34"/>
      <c r="B367" s="188"/>
      <c r="C367" s="34"/>
      <c r="D367" s="34"/>
      <c r="E367" s="34"/>
      <c r="F367" s="34"/>
      <c r="G367" s="34"/>
      <c r="H367" s="34"/>
      <c r="I367" s="44"/>
      <c r="J367" s="105"/>
      <c r="K367" s="34"/>
      <c r="L367" s="34"/>
      <c r="M367" s="34"/>
    </row>
    <row r="368" spans="1:13" ht="12.75">
      <c r="A368" s="34"/>
      <c r="B368" s="188"/>
      <c r="C368" s="34"/>
      <c r="D368" s="34"/>
      <c r="E368" s="34"/>
      <c r="F368" s="34"/>
      <c r="G368" s="34"/>
      <c r="H368" s="34"/>
      <c r="I368" s="44"/>
      <c r="J368" s="105"/>
      <c r="K368" s="34"/>
      <c r="L368" s="34"/>
      <c r="M368" s="34"/>
    </row>
    <row r="369" spans="1:13" ht="12.75">
      <c r="A369" s="34"/>
      <c r="B369" s="188"/>
      <c r="C369" s="34"/>
      <c r="D369" s="34"/>
      <c r="E369" s="34"/>
      <c r="F369" s="34"/>
      <c r="G369" s="34"/>
      <c r="H369" s="34"/>
      <c r="I369" s="44"/>
      <c r="J369" s="105"/>
      <c r="K369" s="34"/>
      <c r="L369" s="34"/>
      <c r="M369" s="34"/>
    </row>
    <row r="370" spans="1:13" ht="12.75">
      <c r="A370" s="34"/>
      <c r="B370" s="188"/>
      <c r="C370" s="34"/>
      <c r="D370" s="34"/>
      <c r="E370" s="34"/>
      <c r="F370" s="34"/>
      <c r="G370" s="34"/>
      <c r="H370" s="34"/>
      <c r="I370" s="44"/>
      <c r="J370" s="105"/>
      <c r="K370" s="34"/>
      <c r="L370" s="34"/>
      <c r="M370" s="34"/>
    </row>
    <row r="371" spans="1:13" ht="12.75">
      <c r="A371" s="34"/>
      <c r="B371" s="188"/>
      <c r="C371" s="34"/>
      <c r="D371" s="34"/>
      <c r="E371" s="34"/>
      <c r="F371" s="34"/>
      <c r="G371" s="34"/>
      <c r="H371" s="34"/>
      <c r="I371" s="44"/>
      <c r="J371" s="105"/>
      <c r="K371" s="34"/>
      <c r="L371" s="34"/>
      <c r="M371" s="34"/>
    </row>
    <row r="372" spans="1:13" ht="12.75">
      <c r="A372" s="34"/>
      <c r="B372" s="188"/>
      <c r="C372" s="34"/>
      <c r="D372" s="34"/>
      <c r="E372" s="34"/>
      <c r="F372" s="34"/>
      <c r="G372" s="34"/>
      <c r="H372" s="34"/>
      <c r="I372" s="44"/>
      <c r="J372" s="105"/>
      <c r="K372" s="34"/>
      <c r="L372" s="34"/>
      <c r="M372" s="34"/>
    </row>
    <row r="373" spans="1:13" ht="12.75">
      <c r="A373" s="34"/>
      <c r="B373" s="188"/>
      <c r="C373" s="34"/>
      <c r="D373" s="34"/>
      <c r="E373" s="34"/>
      <c r="F373" s="34"/>
      <c r="G373" s="34"/>
      <c r="H373" s="34"/>
      <c r="I373" s="44"/>
      <c r="J373" s="105"/>
      <c r="K373" s="34"/>
      <c r="L373" s="34"/>
      <c r="M373" s="34"/>
    </row>
    <row r="374" spans="1:13" ht="12.75">
      <c r="A374" s="34"/>
      <c r="B374" s="188"/>
      <c r="C374" s="34"/>
      <c r="D374" s="34"/>
      <c r="E374" s="34"/>
      <c r="F374" s="34"/>
      <c r="G374" s="34"/>
      <c r="H374" s="34"/>
      <c r="I374" s="44"/>
      <c r="J374" s="105"/>
      <c r="K374" s="34"/>
      <c r="L374" s="34"/>
      <c r="M374" s="34"/>
    </row>
    <row r="375" spans="1:13" ht="12.75">
      <c r="A375" s="34"/>
      <c r="B375" s="188"/>
      <c r="C375" s="34"/>
      <c r="D375" s="34"/>
      <c r="E375" s="34"/>
      <c r="F375" s="34"/>
      <c r="G375" s="34"/>
      <c r="H375" s="34"/>
      <c r="I375" s="44"/>
      <c r="J375" s="105"/>
      <c r="K375" s="34"/>
      <c r="L375" s="34"/>
      <c r="M375" s="34"/>
    </row>
    <row r="376" spans="1:13" ht="12.75">
      <c r="A376" s="34"/>
      <c r="B376" s="188"/>
      <c r="C376" s="34"/>
      <c r="D376" s="34"/>
      <c r="E376" s="34"/>
      <c r="F376" s="34"/>
      <c r="G376" s="34"/>
      <c r="H376" s="34"/>
      <c r="I376" s="44"/>
      <c r="J376" s="105"/>
      <c r="K376" s="34"/>
      <c r="L376" s="34"/>
      <c r="M376" s="34"/>
    </row>
    <row r="377" spans="1:13" ht="12.75">
      <c r="A377" s="34"/>
      <c r="B377" s="188"/>
      <c r="C377" s="34"/>
      <c r="D377" s="34"/>
      <c r="E377" s="34"/>
      <c r="F377" s="34"/>
      <c r="G377" s="34"/>
      <c r="H377" s="34"/>
      <c r="I377" s="44"/>
      <c r="J377" s="105"/>
      <c r="K377" s="34"/>
      <c r="L377" s="34"/>
      <c r="M377" s="34"/>
    </row>
    <row r="378" spans="1:13" ht="12.75">
      <c r="A378" s="34"/>
      <c r="B378" s="188"/>
      <c r="C378" s="34"/>
      <c r="D378" s="34"/>
      <c r="E378" s="34"/>
      <c r="F378" s="34"/>
      <c r="G378" s="34"/>
      <c r="H378" s="34"/>
      <c r="I378" s="44"/>
      <c r="J378" s="105"/>
      <c r="K378" s="34"/>
      <c r="L378" s="34"/>
      <c r="M378" s="34"/>
    </row>
    <row r="379" spans="1:13" ht="12.75">
      <c r="A379" s="34"/>
      <c r="B379" s="188"/>
      <c r="C379" s="34"/>
      <c r="D379" s="34"/>
      <c r="E379" s="34"/>
      <c r="F379" s="34"/>
      <c r="G379" s="34"/>
      <c r="H379" s="34"/>
      <c r="I379" s="44"/>
      <c r="J379" s="105"/>
      <c r="K379" s="34"/>
      <c r="L379" s="34"/>
      <c r="M379" s="34"/>
    </row>
    <row r="380" spans="1:13" ht="12.75">
      <c r="A380" s="34"/>
      <c r="B380" s="188"/>
      <c r="C380" s="34"/>
      <c r="D380" s="34"/>
      <c r="E380" s="34"/>
      <c r="F380" s="34"/>
      <c r="G380" s="34"/>
      <c r="H380" s="34"/>
      <c r="I380" s="44"/>
      <c r="J380" s="105"/>
      <c r="K380" s="34"/>
      <c r="L380" s="34"/>
      <c r="M380" s="34"/>
    </row>
    <row r="381" spans="1:13" ht="12.75">
      <c r="A381" s="34"/>
      <c r="B381" s="188"/>
      <c r="C381" s="34"/>
      <c r="D381" s="34"/>
      <c r="E381" s="34"/>
      <c r="F381" s="34"/>
      <c r="G381" s="34"/>
      <c r="H381" s="34"/>
      <c r="I381" s="44"/>
      <c r="J381" s="105"/>
      <c r="K381" s="34"/>
      <c r="L381" s="34"/>
      <c r="M381" s="34"/>
    </row>
    <row r="382" spans="1:13" ht="12.75">
      <c r="A382" s="34"/>
      <c r="B382" s="188"/>
      <c r="C382" s="34"/>
      <c r="D382" s="34"/>
      <c r="E382" s="34"/>
      <c r="F382" s="34"/>
      <c r="G382" s="34"/>
      <c r="H382" s="34"/>
      <c r="I382" s="44"/>
      <c r="J382" s="105"/>
      <c r="K382" s="34"/>
      <c r="L382" s="34"/>
      <c r="M382" s="34"/>
    </row>
    <row r="383" spans="1:13" ht="12.75">
      <c r="A383" s="34"/>
      <c r="B383" s="188"/>
      <c r="C383" s="34"/>
      <c r="D383" s="34"/>
      <c r="E383" s="34"/>
      <c r="F383" s="34"/>
      <c r="G383" s="34"/>
      <c r="H383" s="34"/>
      <c r="I383" s="44"/>
      <c r="J383" s="105"/>
      <c r="K383" s="34"/>
      <c r="L383" s="34"/>
      <c r="M383" s="34"/>
    </row>
    <row r="384" spans="1:13" ht="12.75">
      <c r="A384" s="34"/>
      <c r="B384" s="188"/>
      <c r="C384" s="34"/>
      <c r="D384" s="34"/>
      <c r="E384" s="34"/>
      <c r="F384" s="34"/>
      <c r="G384" s="34"/>
      <c r="H384" s="34"/>
      <c r="I384" s="44"/>
      <c r="J384" s="105"/>
      <c r="K384" s="34"/>
      <c r="L384" s="34"/>
      <c r="M384" s="34"/>
    </row>
    <row r="385" spans="1:13" ht="12.75">
      <c r="A385" s="34"/>
      <c r="B385" s="188"/>
      <c r="C385" s="34"/>
      <c r="D385" s="34"/>
      <c r="E385" s="34"/>
      <c r="F385" s="34"/>
      <c r="G385" s="34"/>
      <c r="H385" s="34"/>
      <c r="I385" s="44"/>
      <c r="J385" s="105"/>
      <c r="K385" s="34"/>
      <c r="L385" s="34"/>
      <c r="M385" s="34"/>
    </row>
    <row r="386" spans="1:13" ht="12.75">
      <c r="A386" s="34"/>
      <c r="B386" s="188"/>
      <c r="C386" s="34"/>
      <c r="D386" s="34"/>
      <c r="E386" s="34"/>
      <c r="F386" s="34"/>
      <c r="G386" s="34"/>
      <c r="H386" s="34"/>
      <c r="I386" s="44"/>
      <c r="J386" s="105"/>
      <c r="K386" s="34"/>
      <c r="L386" s="34"/>
      <c r="M386" s="34"/>
    </row>
    <row r="387" spans="1:13" ht="12.75">
      <c r="A387" s="34"/>
      <c r="B387" s="188"/>
      <c r="C387" s="34"/>
      <c r="D387" s="34"/>
      <c r="E387" s="34"/>
      <c r="F387" s="34"/>
      <c r="G387" s="34"/>
      <c r="H387" s="34"/>
      <c r="I387" s="44"/>
      <c r="J387" s="105"/>
      <c r="K387" s="34"/>
      <c r="L387" s="34"/>
      <c r="M387" s="34"/>
    </row>
    <row r="388" spans="1:13" ht="12.75">
      <c r="A388" s="34"/>
      <c r="B388" s="188"/>
      <c r="C388" s="34"/>
      <c r="D388" s="34"/>
      <c r="E388" s="34"/>
      <c r="F388" s="34"/>
      <c r="G388" s="34"/>
      <c r="H388" s="34"/>
      <c r="I388" s="44"/>
      <c r="J388" s="105"/>
      <c r="K388" s="34"/>
      <c r="L388" s="34"/>
      <c r="M388" s="34"/>
    </row>
    <row r="389" spans="1:13" ht="12.75">
      <c r="A389" s="34"/>
      <c r="B389" s="188"/>
      <c r="C389" s="34"/>
      <c r="D389" s="34"/>
      <c r="E389" s="34"/>
      <c r="F389" s="34"/>
      <c r="G389" s="34"/>
      <c r="H389" s="34"/>
      <c r="I389" s="44"/>
      <c r="J389" s="105"/>
      <c r="K389" s="34"/>
      <c r="L389" s="34"/>
      <c r="M389" s="34"/>
    </row>
    <row r="390" spans="1:13" ht="12.75">
      <c r="A390" s="34"/>
      <c r="B390" s="188"/>
      <c r="C390" s="34"/>
      <c r="D390" s="34"/>
      <c r="E390" s="34"/>
      <c r="F390" s="34"/>
      <c r="G390" s="34"/>
      <c r="H390" s="34"/>
      <c r="I390" s="44"/>
      <c r="J390" s="105"/>
      <c r="K390" s="34"/>
      <c r="L390" s="34"/>
      <c r="M390" s="34"/>
    </row>
    <row r="391" spans="1:13" ht="12.75">
      <c r="A391" s="34"/>
      <c r="B391" s="188"/>
      <c r="C391" s="34"/>
      <c r="D391" s="34"/>
      <c r="E391" s="34"/>
      <c r="F391" s="34"/>
      <c r="G391" s="34"/>
      <c r="H391" s="34"/>
      <c r="I391" s="44"/>
      <c r="J391" s="105"/>
      <c r="K391" s="34"/>
      <c r="L391" s="34"/>
      <c r="M391" s="34"/>
    </row>
    <row r="392" spans="1:13" ht="12.75">
      <c r="A392" s="34"/>
      <c r="B392" s="188"/>
      <c r="C392" s="34"/>
      <c r="D392" s="34"/>
      <c r="E392" s="34"/>
      <c r="F392" s="34"/>
      <c r="G392" s="34"/>
      <c r="H392" s="34"/>
      <c r="I392" s="44"/>
      <c r="J392" s="105"/>
      <c r="K392" s="34"/>
      <c r="L392" s="34"/>
      <c r="M392" s="34"/>
    </row>
    <row r="393" spans="1:13" ht="12.75">
      <c r="A393" s="34"/>
      <c r="B393" s="188"/>
      <c r="C393" s="34"/>
      <c r="D393" s="34"/>
      <c r="E393" s="34"/>
      <c r="F393" s="34"/>
      <c r="G393" s="34"/>
      <c r="H393" s="34"/>
      <c r="I393" s="44"/>
      <c r="J393" s="105"/>
      <c r="K393" s="34"/>
      <c r="L393" s="34"/>
      <c r="M393" s="34"/>
    </row>
    <row r="394" spans="1:13" ht="12.75">
      <c r="A394" s="34"/>
      <c r="B394" s="188"/>
      <c r="C394" s="34"/>
      <c r="D394" s="34"/>
      <c r="E394" s="34"/>
      <c r="F394" s="34"/>
      <c r="G394" s="34"/>
      <c r="H394" s="34"/>
      <c r="I394" s="44"/>
      <c r="J394" s="105"/>
      <c r="K394" s="34"/>
      <c r="L394" s="34"/>
      <c r="M394" s="34"/>
    </row>
    <row r="395" spans="1:13" ht="12.75">
      <c r="A395" s="34"/>
      <c r="B395" s="188"/>
      <c r="C395" s="34"/>
      <c r="D395" s="34"/>
      <c r="E395" s="34"/>
      <c r="F395" s="34"/>
      <c r="G395" s="34"/>
      <c r="H395" s="34"/>
      <c r="I395" s="44"/>
      <c r="J395" s="105"/>
      <c r="K395" s="34"/>
      <c r="L395" s="34"/>
      <c r="M395" s="34"/>
    </row>
    <row r="396" spans="1:13" ht="12.75">
      <c r="A396" s="34"/>
      <c r="B396" s="188"/>
      <c r="C396" s="34"/>
      <c r="D396" s="34"/>
      <c r="E396" s="34"/>
      <c r="F396" s="34"/>
      <c r="G396" s="34"/>
      <c r="H396" s="34"/>
      <c r="I396" s="44"/>
      <c r="J396" s="105"/>
      <c r="K396" s="34"/>
      <c r="L396" s="34"/>
      <c r="M396" s="34"/>
    </row>
    <row r="397" spans="1:13" ht="12.75">
      <c r="A397" s="34"/>
      <c r="B397" s="188"/>
      <c r="C397" s="34"/>
      <c r="D397" s="34"/>
      <c r="E397" s="34"/>
      <c r="F397" s="34"/>
      <c r="G397" s="34"/>
      <c r="H397" s="34"/>
      <c r="I397" s="44"/>
      <c r="J397" s="105"/>
      <c r="K397" s="34"/>
      <c r="L397" s="34"/>
      <c r="M397" s="34"/>
    </row>
    <row r="398" spans="1:13" ht="12.75">
      <c r="A398" s="34"/>
      <c r="B398" s="188"/>
      <c r="C398" s="34"/>
      <c r="D398" s="34"/>
      <c r="E398" s="34"/>
      <c r="F398" s="34"/>
      <c r="G398" s="34"/>
      <c r="H398" s="34"/>
      <c r="I398" s="44"/>
      <c r="J398" s="105"/>
      <c r="K398" s="34"/>
      <c r="L398" s="34"/>
      <c r="M398" s="34"/>
    </row>
    <row r="399" spans="1:13" ht="12.75">
      <c r="A399" s="34"/>
      <c r="B399" s="188"/>
      <c r="C399" s="34"/>
      <c r="D399" s="34"/>
      <c r="E399" s="34"/>
      <c r="F399" s="34"/>
      <c r="G399" s="34"/>
      <c r="H399" s="34"/>
      <c r="I399" s="44"/>
      <c r="J399" s="105"/>
      <c r="K399" s="34"/>
      <c r="L399" s="34"/>
      <c r="M399" s="34"/>
    </row>
    <row r="400" spans="1:13" ht="12.75">
      <c r="A400" s="34"/>
      <c r="B400" s="188"/>
      <c r="C400" s="34"/>
      <c r="D400" s="34"/>
      <c r="E400" s="34"/>
      <c r="F400" s="34"/>
      <c r="G400" s="34"/>
      <c r="H400" s="34"/>
      <c r="I400" s="44"/>
      <c r="J400" s="105"/>
      <c r="K400" s="34"/>
      <c r="L400" s="34"/>
      <c r="M400" s="34"/>
    </row>
    <row r="401" spans="1:13" ht="12.75">
      <c r="A401" s="34"/>
      <c r="B401" s="188"/>
      <c r="C401" s="34"/>
      <c r="D401" s="34"/>
      <c r="E401" s="34"/>
      <c r="F401" s="34"/>
      <c r="G401" s="34"/>
      <c r="H401" s="34"/>
      <c r="I401" s="44"/>
      <c r="J401" s="105"/>
      <c r="K401" s="34"/>
      <c r="L401" s="34"/>
      <c r="M401" s="34"/>
    </row>
    <row r="402" spans="1:13" ht="12.75">
      <c r="A402" s="34"/>
      <c r="B402" s="188"/>
      <c r="C402" s="34"/>
      <c r="D402" s="34"/>
      <c r="E402" s="34"/>
      <c r="F402" s="34"/>
      <c r="G402" s="34"/>
      <c r="H402" s="34"/>
      <c r="I402" s="44"/>
      <c r="J402" s="105"/>
      <c r="K402" s="34"/>
      <c r="L402" s="34"/>
      <c r="M402" s="34"/>
    </row>
    <row r="403" spans="1:13" ht="12.75">
      <c r="A403" s="34"/>
      <c r="B403" s="188"/>
      <c r="C403" s="34"/>
      <c r="D403" s="34"/>
      <c r="E403" s="34"/>
      <c r="F403" s="34"/>
      <c r="G403" s="34"/>
      <c r="H403" s="34"/>
      <c r="I403" s="44"/>
      <c r="J403" s="105"/>
      <c r="K403" s="34"/>
      <c r="L403" s="34"/>
      <c r="M403" s="34"/>
    </row>
    <row r="404" spans="1:13" ht="12.75">
      <c r="A404" s="34"/>
      <c r="B404" s="188"/>
      <c r="C404" s="34"/>
      <c r="D404" s="34"/>
      <c r="E404" s="34"/>
      <c r="F404" s="34"/>
      <c r="G404" s="34"/>
      <c r="H404" s="34"/>
      <c r="I404" s="44"/>
      <c r="J404" s="105"/>
      <c r="K404" s="34"/>
      <c r="L404" s="34"/>
      <c r="M404" s="34"/>
    </row>
    <row r="405" spans="1:13" ht="12.75">
      <c r="A405" s="34"/>
      <c r="B405" s="188"/>
      <c r="C405" s="34"/>
      <c r="D405" s="34"/>
      <c r="E405" s="34"/>
      <c r="F405" s="34"/>
      <c r="G405" s="34"/>
      <c r="H405" s="34"/>
      <c r="I405" s="44"/>
      <c r="J405" s="105"/>
      <c r="K405" s="34"/>
      <c r="L405" s="34"/>
      <c r="M405" s="34"/>
    </row>
    <row r="406" spans="1:13" ht="12.75">
      <c r="A406" s="34"/>
      <c r="B406" s="188"/>
      <c r="C406" s="34"/>
      <c r="D406" s="34"/>
      <c r="E406" s="34"/>
      <c r="F406" s="34"/>
      <c r="G406" s="34"/>
      <c r="H406" s="34"/>
      <c r="I406" s="44"/>
      <c r="J406" s="105"/>
      <c r="K406" s="34"/>
      <c r="L406" s="34"/>
      <c r="M406" s="34"/>
    </row>
    <row r="407" spans="1:13" ht="12.75">
      <c r="A407" s="34"/>
      <c r="B407" s="188"/>
      <c r="C407" s="34"/>
      <c r="D407" s="34"/>
      <c r="E407" s="34"/>
      <c r="F407" s="34"/>
      <c r="G407" s="34"/>
      <c r="H407" s="34"/>
      <c r="I407" s="44"/>
      <c r="J407" s="105"/>
      <c r="K407" s="34"/>
      <c r="L407" s="34"/>
      <c r="M407" s="34"/>
    </row>
    <row r="408" spans="1:13" ht="12.75">
      <c r="A408" s="34"/>
      <c r="B408" s="188"/>
      <c r="C408" s="34"/>
      <c r="D408" s="34"/>
      <c r="E408" s="34"/>
      <c r="F408" s="34"/>
      <c r="G408" s="34"/>
      <c r="H408" s="34"/>
      <c r="I408" s="44"/>
      <c r="J408" s="105"/>
      <c r="K408" s="34"/>
      <c r="L408" s="34"/>
      <c r="M408" s="34"/>
    </row>
    <row r="409" spans="1:13" ht="12.75">
      <c r="A409" s="34"/>
      <c r="B409" s="188"/>
      <c r="C409" s="34"/>
      <c r="D409" s="34"/>
      <c r="E409" s="34"/>
      <c r="F409" s="34"/>
      <c r="G409" s="34"/>
      <c r="H409" s="34"/>
      <c r="I409" s="44"/>
      <c r="J409" s="105"/>
      <c r="K409" s="34"/>
      <c r="L409" s="34"/>
      <c r="M409" s="34"/>
    </row>
    <row r="410" spans="1:13" ht="12.75">
      <c r="A410" s="34"/>
      <c r="B410" s="188"/>
      <c r="C410" s="34"/>
      <c r="D410" s="34"/>
      <c r="E410" s="34"/>
      <c r="F410" s="34"/>
      <c r="G410" s="34"/>
      <c r="H410" s="34"/>
      <c r="I410" s="44"/>
      <c r="J410" s="105"/>
      <c r="K410" s="34"/>
      <c r="L410" s="34"/>
      <c r="M410" s="34"/>
    </row>
    <row r="411" spans="1:13" ht="12.75">
      <c r="A411" s="34"/>
      <c r="B411" s="188"/>
      <c r="C411" s="34"/>
      <c r="D411" s="34"/>
      <c r="E411" s="34"/>
      <c r="F411" s="34"/>
      <c r="G411" s="34"/>
      <c r="H411" s="34"/>
      <c r="I411" s="44"/>
      <c r="J411" s="105"/>
      <c r="K411" s="34"/>
      <c r="L411" s="34"/>
      <c r="M411" s="34"/>
    </row>
    <row r="412" spans="1:13" ht="12.75">
      <c r="A412" s="34"/>
      <c r="B412" s="188"/>
      <c r="C412" s="34"/>
      <c r="D412" s="34"/>
      <c r="E412" s="34"/>
      <c r="F412" s="34"/>
      <c r="G412" s="34"/>
      <c r="H412" s="34"/>
      <c r="I412" s="44"/>
      <c r="J412" s="105"/>
      <c r="K412" s="34"/>
      <c r="L412" s="34"/>
      <c r="M412" s="34"/>
    </row>
    <row r="413" spans="1:13" ht="12.75">
      <c r="A413" s="34"/>
      <c r="B413" s="188"/>
      <c r="C413" s="34"/>
      <c r="D413" s="34"/>
      <c r="E413" s="34"/>
      <c r="F413" s="34"/>
      <c r="G413" s="34"/>
      <c r="H413" s="34"/>
      <c r="I413" s="44"/>
      <c r="J413" s="105"/>
      <c r="K413" s="34"/>
      <c r="L413" s="34"/>
      <c r="M413" s="34"/>
    </row>
    <row r="414" spans="1:13" ht="12.75">
      <c r="A414" s="34"/>
      <c r="B414" s="188"/>
      <c r="C414" s="34"/>
      <c r="D414" s="34"/>
      <c r="E414" s="34"/>
      <c r="F414" s="34"/>
      <c r="G414" s="34"/>
      <c r="H414" s="34"/>
      <c r="I414" s="44"/>
      <c r="J414" s="105"/>
      <c r="K414" s="34"/>
      <c r="L414" s="34"/>
      <c r="M414" s="34"/>
    </row>
    <row r="415" spans="1:13" ht="12.75">
      <c r="A415" s="34"/>
      <c r="B415" s="188"/>
      <c r="C415" s="34"/>
      <c r="D415" s="34"/>
      <c r="E415" s="34"/>
      <c r="F415" s="34"/>
      <c r="G415" s="34"/>
      <c r="H415" s="34"/>
      <c r="I415" s="44"/>
      <c r="J415" s="105"/>
      <c r="K415" s="34"/>
      <c r="L415" s="34"/>
      <c r="M415" s="34"/>
    </row>
    <row r="416" spans="1:13" ht="12.75">
      <c r="A416" s="34"/>
      <c r="B416" s="188"/>
      <c r="C416" s="34"/>
      <c r="D416" s="34"/>
      <c r="E416" s="34"/>
      <c r="F416" s="34"/>
      <c r="G416" s="34"/>
      <c r="H416" s="34"/>
      <c r="I416" s="44"/>
      <c r="J416" s="105"/>
      <c r="K416" s="34"/>
      <c r="L416" s="34"/>
      <c r="M416" s="34"/>
    </row>
    <row r="417" spans="1:13" ht="12.75">
      <c r="A417" s="34"/>
      <c r="B417" s="188"/>
      <c r="C417" s="34"/>
      <c r="D417" s="34"/>
      <c r="E417" s="34"/>
      <c r="F417" s="34"/>
      <c r="G417" s="34"/>
      <c r="H417" s="34"/>
      <c r="I417" s="44"/>
      <c r="J417" s="105"/>
      <c r="K417" s="34"/>
      <c r="L417" s="34"/>
      <c r="M417" s="34"/>
    </row>
    <row r="418" spans="1:13" ht="12.75">
      <c r="A418" s="34"/>
      <c r="B418" s="188"/>
      <c r="C418" s="34"/>
      <c r="D418" s="34"/>
      <c r="E418" s="34"/>
      <c r="F418" s="34"/>
      <c r="G418" s="34"/>
      <c r="H418" s="34"/>
      <c r="I418" s="44"/>
      <c r="J418" s="105"/>
      <c r="K418" s="34"/>
      <c r="L418" s="34"/>
      <c r="M418" s="34"/>
    </row>
    <row r="419" spans="1:13" ht="12.75">
      <c r="A419" s="34"/>
      <c r="B419" s="188"/>
      <c r="C419" s="34"/>
      <c r="D419" s="34"/>
      <c r="E419" s="34"/>
      <c r="F419" s="34"/>
      <c r="G419" s="34"/>
      <c r="H419" s="34"/>
      <c r="I419" s="44"/>
      <c r="J419" s="105"/>
      <c r="K419" s="34"/>
      <c r="L419" s="34"/>
      <c r="M419" s="34"/>
    </row>
    <row r="420" spans="1:13" ht="12.75">
      <c r="A420" s="34"/>
      <c r="B420" s="188"/>
      <c r="C420" s="34"/>
      <c r="D420" s="34"/>
      <c r="E420" s="34"/>
      <c r="F420" s="34"/>
      <c r="G420" s="34"/>
      <c r="H420" s="34"/>
      <c r="I420" s="44"/>
      <c r="J420" s="105"/>
      <c r="K420" s="34"/>
      <c r="L420" s="34"/>
      <c r="M420" s="34"/>
    </row>
    <row r="421" spans="1:13" ht="12.75">
      <c r="A421" s="34"/>
      <c r="B421" s="188"/>
      <c r="C421" s="34"/>
      <c r="D421" s="34"/>
      <c r="E421" s="34"/>
      <c r="F421" s="34"/>
      <c r="G421" s="34"/>
      <c r="H421" s="34"/>
      <c r="I421" s="44"/>
      <c r="J421" s="105"/>
      <c r="K421" s="34"/>
      <c r="L421" s="34"/>
      <c r="M421" s="34"/>
    </row>
    <row r="422" spans="1:13" ht="12.75">
      <c r="A422" s="34"/>
      <c r="B422" s="188"/>
      <c r="C422" s="34"/>
      <c r="D422" s="34"/>
      <c r="E422" s="34"/>
      <c r="F422" s="34"/>
      <c r="G422" s="34"/>
      <c r="H422" s="34"/>
      <c r="I422" s="44"/>
      <c r="J422" s="105"/>
      <c r="K422" s="34"/>
      <c r="L422" s="34"/>
      <c r="M422" s="34"/>
    </row>
    <row r="423" spans="1:13" ht="12.75">
      <c r="A423" s="34"/>
      <c r="B423" s="188"/>
      <c r="C423" s="34"/>
      <c r="D423" s="34"/>
      <c r="E423" s="34"/>
      <c r="F423" s="34"/>
      <c r="G423" s="34"/>
      <c r="H423" s="34"/>
      <c r="I423" s="44"/>
      <c r="J423" s="105"/>
      <c r="K423" s="34"/>
      <c r="L423" s="34"/>
      <c r="M423" s="34"/>
    </row>
    <row r="424" spans="1:13" ht="12.75">
      <c r="A424" s="34"/>
      <c r="B424" s="188"/>
      <c r="C424" s="34"/>
      <c r="D424" s="34"/>
      <c r="E424" s="34"/>
      <c r="F424" s="34"/>
      <c r="G424" s="34"/>
      <c r="H424" s="34"/>
      <c r="I424" s="44"/>
      <c r="J424" s="105"/>
      <c r="K424" s="34"/>
      <c r="L424" s="34"/>
      <c r="M424" s="34"/>
    </row>
    <row r="425" spans="1:13" ht="12.75">
      <c r="A425" s="34"/>
      <c r="B425" s="188"/>
      <c r="C425" s="34"/>
      <c r="D425" s="34"/>
      <c r="E425" s="34"/>
      <c r="F425" s="34"/>
      <c r="G425" s="34"/>
      <c r="H425" s="34"/>
      <c r="I425" s="44"/>
      <c r="J425" s="105"/>
      <c r="K425" s="34"/>
      <c r="L425" s="34"/>
      <c r="M425" s="34"/>
    </row>
    <row r="426" spans="1:13" ht="12.75">
      <c r="A426" s="34"/>
      <c r="B426" s="188"/>
      <c r="C426" s="34"/>
      <c r="D426" s="34"/>
      <c r="E426" s="34"/>
      <c r="F426" s="34"/>
      <c r="G426" s="34"/>
      <c r="H426" s="34"/>
      <c r="I426" s="44"/>
      <c r="J426" s="105"/>
      <c r="K426" s="34"/>
      <c r="L426" s="34"/>
      <c r="M426" s="34"/>
    </row>
    <row r="427" spans="1:13" ht="12.75">
      <c r="A427" s="34"/>
      <c r="B427" s="188"/>
      <c r="C427" s="34"/>
      <c r="D427" s="34"/>
      <c r="E427" s="34"/>
      <c r="F427" s="34"/>
      <c r="G427" s="34"/>
      <c r="H427" s="34"/>
      <c r="I427" s="44"/>
      <c r="J427" s="105"/>
      <c r="K427" s="34"/>
      <c r="L427" s="34"/>
      <c r="M427" s="34"/>
    </row>
    <row r="428" spans="1:13" ht="12.75">
      <c r="A428" s="34"/>
      <c r="B428" s="188"/>
      <c r="C428" s="34"/>
      <c r="D428" s="34"/>
      <c r="E428" s="34"/>
      <c r="F428" s="34"/>
      <c r="G428" s="34"/>
      <c r="H428" s="34"/>
      <c r="I428" s="44"/>
      <c r="J428" s="105"/>
      <c r="K428" s="34"/>
      <c r="L428" s="34"/>
      <c r="M428" s="34"/>
    </row>
    <row r="429" spans="1:13" ht="12.75">
      <c r="A429" s="34"/>
      <c r="B429" s="188"/>
      <c r="C429" s="34"/>
      <c r="D429" s="34"/>
      <c r="E429" s="34"/>
      <c r="F429" s="34"/>
      <c r="G429" s="34"/>
      <c r="H429" s="34"/>
      <c r="I429" s="44"/>
      <c r="J429" s="105"/>
      <c r="K429" s="34"/>
      <c r="L429" s="34"/>
      <c r="M429" s="34"/>
    </row>
    <row r="430" spans="1:13" ht="12.75">
      <c r="A430" s="34"/>
      <c r="B430" s="188"/>
      <c r="C430" s="34"/>
      <c r="D430" s="34"/>
      <c r="E430" s="34"/>
      <c r="F430" s="34"/>
      <c r="G430" s="34"/>
      <c r="H430" s="34"/>
      <c r="I430" s="44"/>
      <c r="J430" s="105"/>
      <c r="K430" s="34"/>
      <c r="L430" s="34"/>
      <c r="M430" s="34"/>
    </row>
    <row r="431" spans="1:13" ht="12.75">
      <c r="A431" s="34"/>
      <c r="B431" s="188"/>
      <c r="C431" s="34"/>
      <c r="D431" s="34"/>
      <c r="E431" s="34"/>
      <c r="F431" s="34"/>
      <c r="G431" s="34"/>
      <c r="H431" s="34"/>
      <c r="I431" s="44"/>
      <c r="J431" s="105"/>
      <c r="K431" s="34"/>
      <c r="L431" s="34"/>
      <c r="M431" s="34"/>
    </row>
    <row r="432" spans="1:13" ht="12.75">
      <c r="A432" s="34"/>
      <c r="B432" s="188"/>
      <c r="C432" s="34"/>
      <c r="D432" s="34"/>
      <c r="E432" s="34"/>
      <c r="F432" s="34"/>
      <c r="G432" s="34"/>
      <c r="H432" s="34"/>
      <c r="I432" s="44"/>
      <c r="J432" s="105"/>
      <c r="K432" s="34"/>
      <c r="L432" s="34"/>
      <c r="M432" s="34"/>
    </row>
    <row r="433" spans="1:13" ht="12.75">
      <c r="A433" s="34"/>
      <c r="B433" s="188"/>
      <c r="C433" s="34"/>
      <c r="D433" s="34"/>
      <c r="E433" s="34"/>
      <c r="F433" s="34"/>
      <c r="G433" s="34"/>
      <c r="H433" s="34"/>
      <c r="I433" s="44"/>
      <c r="J433" s="105"/>
      <c r="K433" s="34"/>
      <c r="L433" s="34"/>
      <c r="M433" s="34"/>
    </row>
    <row r="434" spans="1:13" ht="12.75">
      <c r="A434" s="34"/>
      <c r="B434" s="188"/>
      <c r="C434" s="34"/>
      <c r="D434" s="34"/>
      <c r="E434" s="34"/>
      <c r="F434" s="34"/>
      <c r="G434" s="34"/>
      <c r="H434" s="34"/>
      <c r="I434" s="44"/>
      <c r="J434" s="105"/>
      <c r="K434" s="34"/>
      <c r="L434" s="34"/>
      <c r="M434" s="34"/>
    </row>
    <row r="435" spans="1:13" ht="12.75">
      <c r="A435" s="34"/>
      <c r="B435" s="188"/>
      <c r="C435" s="34"/>
      <c r="D435" s="34"/>
      <c r="E435" s="34"/>
      <c r="F435" s="34"/>
      <c r="G435" s="34"/>
      <c r="H435" s="34"/>
      <c r="I435" s="44"/>
      <c r="J435" s="105"/>
      <c r="K435" s="34"/>
      <c r="L435" s="34"/>
      <c r="M435" s="34"/>
    </row>
    <row r="436" spans="1:13" ht="12.75">
      <c r="A436" s="34"/>
      <c r="B436" s="188"/>
      <c r="C436" s="34"/>
      <c r="D436" s="34"/>
      <c r="E436" s="34"/>
      <c r="F436" s="34"/>
      <c r="G436" s="34"/>
      <c r="H436" s="34"/>
      <c r="I436" s="44"/>
      <c r="J436" s="105"/>
      <c r="K436" s="34"/>
      <c r="L436" s="34"/>
      <c r="M436" s="34"/>
    </row>
    <row r="437" spans="1:13" ht="12.75">
      <c r="A437" s="34"/>
      <c r="B437" s="188"/>
      <c r="C437" s="34"/>
      <c r="D437" s="34"/>
      <c r="E437" s="34"/>
      <c r="F437" s="34"/>
      <c r="G437" s="34"/>
      <c r="H437" s="34"/>
      <c r="I437" s="44"/>
      <c r="J437" s="105"/>
      <c r="K437" s="34"/>
      <c r="L437" s="34"/>
      <c r="M437" s="34"/>
    </row>
    <row r="438" spans="1:13" ht="12.75">
      <c r="A438" s="34"/>
      <c r="B438" s="188"/>
      <c r="C438" s="34"/>
      <c r="D438" s="34"/>
      <c r="E438" s="34"/>
      <c r="F438" s="34"/>
      <c r="G438" s="34"/>
      <c r="H438" s="34"/>
      <c r="I438" s="44"/>
      <c r="J438" s="105"/>
      <c r="K438" s="34"/>
      <c r="L438" s="34"/>
      <c r="M438" s="34"/>
    </row>
    <row r="439" spans="1:13" ht="12.75">
      <c r="A439" s="34"/>
      <c r="B439" s="188"/>
      <c r="C439" s="34"/>
      <c r="D439" s="34"/>
      <c r="E439" s="34"/>
      <c r="F439" s="34"/>
      <c r="G439" s="34"/>
      <c r="H439" s="34"/>
      <c r="I439" s="44"/>
      <c r="J439" s="105"/>
      <c r="K439" s="34"/>
      <c r="L439" s="34"/>
      <c r="M439" s="34"/>
    </row>
    <row r="440" spans="1:13" ht="12.75">
      <c r="A440" s="34"/>
      <c r="B440" s="188"/>
      <c r="C440" s="34"/>
      <c r="D440" s="34"/>
      <c r="E440" s="34"/>
      <c r="F440" s="34"/>
      <c r="G440" s="34"/>
      <c r="H440" s="34"/>
      <c r="I440" s="44"/>
      <c r="J440" s="105"/>
      <c r="K440" s="34"/>
      <c r="L440" s="34"/>
      <c r="M440" s="34"/>
    </row>
    <row r="441" spans="1:13" ht="12.75">
      <c r="A441" s="34"/>
      <c r="B441" s="188"/>
      <c r="C441" s="34"/>
      <c r="D441" s="34"/>
      <c r="E441" s="34"/>
      <c r="F441" s="34"/>
      <c r="G441" s="34"/>
      <c r="H441" s="34"/>
      <c r="I441" s="44"/>
      <c r="J441" s="105"/>
      <c r="K441" s="34"/>
      <c r="L441" s="34"/>
      <c r="M441" s="34"/>
    </row>
    <row r="442" spans="1:13" ht="12.75">
      <c r="A442" s="34"/>
      <c r="B442" s="188"/>
      <c r="C442" s="34"/>
      <c r="D442" s="34"/>
      <c r="E442" s="34"/>
      <c r="F442" s="34"/>
      <c r="G442" s="34"/>
      <c r="H442" s="34"/>
      <c r="I442" s="44"/>
      <c r="J442" s="105"/>
      <c r="K442" s="34"/>
      <c r="L442" s="34"/>
      <c r="M442" s="34"/>
    </row>
    <row r="443" spans="1:13" ht="12.75">
      <c r="A443" s="34"/>
      <c r="B443" s="188"/>
      <c r="C443" s="34"/>
      <c r="D443" s="34"/>
      <c r="E443" s="34"/>
      <c r="F443" s="34"/>
      <c r="G443" s="34"/>
      <c r="H443" s="34"/>
      <c r="I443" s="44"/>
      <c r="J443" s="105"/>
      <c r="K443" s="34"/>
      <c r="L443" s="34"/>
      <c r="M443" s="34"/>
    </row>
    <row r="444" spans="1:13" ht="12.75">
      <c r="A444" s="34"/>
      <c r="B444" s="188"/>
      <c r="C444" s="34"/>
      <c r="D444" s="34"/>
      <c r="E444" s="34"/>
      <c r="F444" s="34"/>
      <c r="G444" s="34"/>
      <c r="H444" s="34"/>
      <c r="I444" s="44"/>
      <c r="J444" s="105"/>
      <c r="K444" s="34"/>
      <c r="L444" s="34"/>
      <c r="M444" s="34"/>
    </row>
    <row r="445" spans="1:13" ht="12.75">
      <c r="A445" s="34"/>
      <c r="B445" s="188"/>
      <c r="C445" s="34"/>
      <c r="D445" s="34"/>
      <c r="E445" s="34"/>
      <c r="F445" s="34"/>
      <c r="G445" s="34"/>
      <c r="H445" s="34"/>
      <c r="I445" s="44"/>
      <c r="J445" s="105"/>
      <c r="K445" s="34"/>
      <c r="L445" s="34"/>
      <c r="M445" s="34"/>
    </row>
    <row r="446" spans="1:13" ht="12.75">
      <c r="A446" s="34"/>
      <c r="B446" s="188"/>
      <c r="C446" s="34"/>
      <c r="D446" s="34"/>
      <c r="E446" s="34"/>
      <c r="F446" s="34"/>
      <c r="G446" s="34"/>
      <c r="H446" s="34"/>
      <c r="I446" s="44"/>
      <c r="J446" s="105"/>
      <c r="K446" s="34"/>
      <c r="L446" s="34"/>
      <c r="M446" s="34"/>
    </row>
    <row r="447" spans="1:13" ht="12.75">
      <c r="A447" s="34"/>
      <c r="B447" s="188"/>
      <c r="C447" s="34"/>
      <c r="D447" s="34"/>
      <c r="E447" s="34"/>
      <c r="F447" s="34"/>
      <c r="G447" s="34"/>
      <c r="H447" s="34"/>
      <c r="I447" s="44"/>
      <c r="J447" s="105"/>
      <c r="K447" s="34"/>
      <c r="L447" s="34"/>
      <c r="M447" s="34"/>
    </row>
    <row r="448" spans="1:13" ht="12.75">
      <c r="A448" s="34"/>
      <c r="B448" s="188"/>
      <c r="C448" s="34"/>
      <c r="D448" s="34"/>
      <c r="E448" s="34"/>
      <c r="F448" s="34"/>
      <c r="G448" s="34"/>
      <c r="H448" s="34"/>
      <c r="I448" s="44"/>
      <c r="J448" s="105"/>
      <c r="K448" s="34"/>
      <c r="L448" s="34"/>
      <c r="M448" s="34"/>
    </row>
    <row r="449" spans="1:13" ht="12.75">
      <c r="A449" s="34"/>
      <c r="B449" s="188"/>
      <c r="C449" s="34"/>
      <c r="D449" s="34"/>
      <c r="E449" s="34"/>
      <c r="F449" s="34"/>
      <c r="G449" s="34"/>
      <c r="H449" s="34"/>
      <c r="I449" s="44"/>
      <c r="J449" s="105"/>
      <c r="K449" s="34"/>
      <c r="L449" s="34"/>
      <c r="M449" s="34"/>
    </row>
    <row r="450" spans="1:13" ht="12.75">
      <c r="A450" s="34"/>
      <c r="B450" s="188"/>
      <c r="C450" s="34"/>
      <c r="D450" s="34"/>
      <c r="E450" s="34"/>
      <c r="F450" s="34"/>
      <c r="G450" s="34"/>
      <c r="H450" s="34"/>
      <c r="I450" s="44"/>
      <c r="J450" s="105"/>
      <c r="K450" s="34"/>
      <c r="L450" s="34"/>
      <c r="M450" s="34"/>
    </row>
    <row r="451" spans="1:13" ht="12.75">
      <c r="A451" s="34"/>
      <c r="B451" s="188"/>
      <c r="C451" s="34"/>
      <c r="D451" s="34"/>
      <c r="E451" s="34"/>
      <c r="F451" s="34"/>
      <c r="G451" s="34"/>
      <c r="H451" s="34"/>
      <c r="I451" s="44"/>
      <c r="J451" s="105"/>
      <c r="K451" s="34"/>
      <c r="L451" s="34"/>
      <c r="M451" s="34"/>
    </row>
    <row r="452" spans="1:13" ht="12.75">
      <c r="A452" s="34"/>
      <c r="B452" s="188"/>
      <c r="C452" s="34"/>
      <c r="D452" s="34"/>
      <c r="E452" s="34"/>
      <c r="F452" s="34"/>
      <c r="G452" s="34"/>
      <c r="H452" s="34"/>
      <c r="I452" s="44"/>
      <c r="J452" s="105"/>
      <c r="K452" s="34"/>
      <c r="L452" s="34"/>
      <c r="M452" s="34"/>
    </row>
    <row r="453" spans="1:13" ht="12.75">
      <c r="A453" s="34"/>
      <c r="B453" s="188"/>
      <c r="C453" s="34"/>
      <c r="D453" s="34"/>
      <c r="E453" s="34"/>
      <c r="F453" s="34"/>
      <c r="G453" s="34"/>
      <c r="H453" s="34"/>
      <c r="I453" s="44"/>
      <c r="J453" s="105"/>
      <c r="K453" s="34"/>
      <c r="L453" s="34"/>
      <c r="M453" s="34"/>
    </row>
    <row r="454" spans="1:13" ht="12.75">
      <c r="A454" s="34"/>
      <c r="B454" s="188"/>
      <c r="C454" s="34"/>
      <c r="D454" s="34"/>
      <c r="E454" s="34"/>
      <c r="F454" s="34"/>
      <c r="G454" s="34"/>
      <c r="H454" s="34"/>
      <c r="I454" s="44"/>
      <c r="J454" s="105"/>
      <c r="K454" s="34"/>
      <c r="L454" s="34"/>
      <c r="M454" s="34"/>
    </row>
    <row r="455" spans="1:13" ht="12.75">
      <c r="A455" s="34"/>
      <c r="B455" s="188"/>
      <c r="C455" s="34"/>
      <c r="D455" s="34"/>
      <c r="E455" s="34"/>
      <c r="F455" s="34"/>
      <c r="G455" s="34"/>
      <c r="H455" s="34"/>
      <c r="I455" s="44"/>
      <c r="J455" s="105"/>
      <c r="K455" s="34"/>
      <c r="L455" s="34"/>
      <c r="M455" s="34"/>
    </row>
    <row r="456" spans="1:13" ht="12.75">
      <c r="A456" s="34"/>
      <c r="B456" s="188"/>
      <c r="C456" s="34"/>
      <c r="D456" s="34"/>
      <c r="E456" s="34"/>
      <c r="F456" s="34"/>
      <c r="G456" s="34"/>
      <c r="H456" s="34"/>
      <c r="I456" s="44"/>
      <c r="J456" s="105"/>
      <c r="K456" s="34"/>
      <c r="L456" s="34"/>
      <c r="M456" s="34"/>
    </row>
    <row r="457" spans="1:13" ht="12.75">
      <c r="A457" s="34"/>
      <c r="B457" s="188"/>
      <c r="C457" s="34"/>
      <c r="D457" s="34"/>
      <c r="E457" s="34"/>
      <c r="F457" s="34"/>
      <c r="G457" s="34"/>
      <c r="H457" s="34"/>
      <c r="I457" s="44"/>
      <c r="J457" s="105"/>
      <c r="K457" s="34"/>
      <c r="L457" s="34"/>
      <c r="M457" s="34"/>
    </row>
    <row r="458" spans="1:13" ht="12.75">
      <c r="A458" s="34"/>
      <c r="B458" s="188"/>
      <c r="C458" s="34"/>
      <c r="D458" s="34"/>
      <c r="E458" s="34"/>
      <c r="F458" s="34"/>
      <c r="G458" s="34"/>
      <c r="H458" s="34"/>
      <c r="I458" s="44"/>
      <c r="J458" s="105"/>
      <c r="K458" s="34"/>
      <c r="L458" s="34"/>
      <c r="M458" s="34"/>
    </row>
    <row r="459" spans="1:13" ht="12.75">
      <c r="A459" s="34"/>
      <c r="B459" s="188"/>
      <c r="C459" s="34"/>
      <c r="D459" s="34"/>
      <c r="E459" s="34"/>
      <c r="F459" s="34"/>
      <c r="G459" s="34"/>
      <c r="H459" s="34"/>
      <c r="I459" s="44"/>
      <c r="J459" s="105"/>
      <c r="K459" s="34"/>
      <c r="L459" s="34"/>
      <c r="M459" s="34"/>
    </row>
    <row r="460" spans="1:13" ht="12.75">
      <c r="A460" s="34"/>
      <c r="B460" s="188"/>
      <c r="C460" s="34"/>
      <c r="D460" s="34"/>
      <c r="E460" s="34"/>
      <c r="F460" s="34"/>
      <c r="G460" s="34"/>
      <c r="H460" s="34"/>
      <c r="I460" s="44"/>
      <c r="J460" s="105"/>
      <c r="K460" s="34"/>
      <c r="L460" s="34"/>
      <c r="M460" s="34"/>
    </row>
    <row r="461" spans="1:13" ht="12.75">
      <c r="A461" s="34"/>
      <c r="B461" s="188"/>
      <c r="C461" s="34"/>
      <c r="D461" s="34"/>
      <c r="E461" s="34"/>
      <c r="F461" s="34"/>
      <c r="G461" s="34"/>
      <c r="H461" s="34"/>
      <c r="I461" s="44"/>
      <c r="J461" s="105"/>
      <c r="K461" s="34"/>
      <c r="L461" s="34"/>
      <c r="M461" s="34"/>
    </row>
    <row r="462" spans="1:13" ht="12.75">
      <c r="A462" s="34"/>
      <c r="B462" s="188"/>
      <c r="C462" s="34"/>
      <c r="D462" s="34"/>
      <c r="E462" s="34"/>
      <c r="F462" s="34"/>
      <c r="G462" s="34"/>
      <c r="H462" s="34"/>
      <c r="I462" s="44"/>
      <c r="J462" s="105"/>
      <c r="K462" s="34"/>
      <c r="L462" s="34"/>
      <c r="M462" s="34"/>
    </row>
    <row r="463" spans="1:13" ht="12.75">
      <c r="A463" s="34"/>
      <c r="B463" s="188"/>
      <c r="C463" s="34"/>
      <c r="D463" s="34"/>
      <c r="E463" s="34"/>
      <c r="F463" s="34"/>
      <c r="G463" s="34"/>
      <c r="H463" s="34"/>
      <c r="I463" s="44"/>
      <c r="J463" s="105"/>
      <c r="K463" s="34"/>
      <c r="L463" s="34"/>
      <c r="M463" s="34"/>
    </row>
    <row r="464" spans="1:13" ht="12.75">
      <c r="A464" s="34"/>
      <c r="B464" s="188"/>
      <c r="C464" s="34"/>
      <c r="D464" s="34"/>
      <c r="E464" s="34"/>
      <c r="F464" s="34"/>
      <c r="G464" s="34"/>
      <c r="H464" s="34"/>
      <c r="I464" s="44"/>
      <c r="J464" s="105"/>
      <c r="K464" s="34"/>
      <c r="L464" s="34"/>
      <c r="M464" s="34"/>
    </row>
    <row r="465" spans="1:13" ht="12.75">
      <c r="A465" s="34"/>
      <c r="B465" s="188"/>
      <c r="C465" s="34"/>
      <c r="D465" s="34"/>
      <c r="E465" s="34"/>
      <c r="F465" s="34"/>
      <c r="G465" s="34"/>
      <c r="H465" s="34"/>
      <c r="I465" s="44"/>
      <c r="J465" s="105"/>
      <c r="K465" s="34"/>
      <c r="L465" s="34"/>
      <c r="M465" s="34"/>
    </row>
    <row r="466" spans="1:13" ht="12.75">
      <c r="A466" s="34"/>
      <c r="B466" s="188"/>
      <c r="C466" s="34"/>
      <c r="D466" s="34"/>
      <c r="E466" s="34"/>
      <c r="F466" s="34"/>
      <c r="G466" s="34"/>
      <c r="H466" s="34"/>
      <c r="I466" s="44"/>
      <c r="J466" s="105"/>
      <c r="K466" s="34"/>
      <c r="L466" s="34"/>
      <c r="M466" s="34"/>
    </row>
    <row r="467" spans="1:13" ht="12.75">
      <c r="A467" s="34"/>
      <c r="B467" s="188"/>
      <c r="C467" s="34"/>
      <c r="D467" s="34"/>
      <c r="E467" s="34"/>
      <c r="F467" s="34"/>
      <c r="G467" s="34"/>
      <c r="H467" s="34"/>
      <c r="I467" s="44"/>
      <c r="J467" s="105"/>
      <c r="K467" s="34"/>
      <c r="L467" s="34"/>
      <c r="M467" s="34"/>
    </row>
    <row r="468" spans="1:13" ht="12.75">
      <c r="A468" s="34"/>
      <c r="B468" s="188"/>
      <c r="C468" s="34"/>
      <c r="D468" s="34"/>
      <c r="E468" s="34"/>
      <c r="F468" s="34"/>
      <c r="G468" s="34"/>
      <c r="H468" s="34"/>
      <c r="I468" s="44"/>
      <c r="J468" s="105"/>
      <c r="K468" s="34"/>
      <c r="L468" s="34"/>
      <c r="M468" s="34"/>
    </row>
    <row r="469" spans="1:13" ht="12.75">
      <c r="A469" s="34"/>
      <c r="B469" s="188"/>
      <c r="C469" s="34"/>
      <c r="D469" s="34"/>
      <c r="E469" s="34"/>
      <c r="F469" s="34"/>
      <c r="G469" s="34"/>
      <c r="H469" s="34"/>
      <c r="I469" s="44"/>
      <c r="J469" s="105"/>
      <c r="K469" s="34"/>
      <c r="L469" s="34"/>
      <c r="M469" s="34"/>
    </row>
    <row r="470" spans="1:13" ht="12.75">
      <c r="A470" s="34"/>
      <c r="B470" s="188"/>
      <c r="C470" s="34"/>
      <c r="D470" s="34"/>
      <c r="E470" s="34"/>
      <c r="F470" s="34"/>
      <c r="G470" s="34"/>
      <c r="H470" s="34"/>
      <c r="I470" s="44"/>
      <c r="J470" s="105"/>
      <c r="K470" s="34"/>
      <c r="L470" s="34"/>
      <c r="M470" s="34"/>
    </row>
    <row r="471" spans="1:13" ht="12.75">
      <c r="A471" s="34"/>
      <c r="B471" s="188"/>
      <c r="C471" s="34"/>
      <c r="D471" s="34"/>
      <c r="E471" s="34"/>
      <c r="F471" s="34"/>
      <c r="G471" s="34"/>
      <c r="H471" s="34"/>
      <c r="I471" s="44"/>
      <c r="J471" s="105"/>
      <c r="K471" s="34"/>
      <c r="L471" s="34"/>
      <c r="M471" s="34"/>
    </row>
    <row r="472" spans="1:13" ht="12.75">
      <c r="A472" s="34"/>
      <c r="B472" s="188"/>
      <c r="C472" s="34"/>
      <c r="D472" s="34"/>
      <c r="E472" s="34"/>
      <c r="F472" s="34"/>
      <c r="G472" s="34"/>
      <c r="H472" s="34"/>
      <c r="I472" s="44"/>
      <c r="J472" s="105"/>
      <c r="K472" s="34"/>
      <c r="L472" s="34"/>
      <c r="M472" s="34"/>
    </row>
    <row r="473" spans="1:13" ht="12.75">
      <c r="A473" s="34"/>
      <c r="B473" s="188"/>
      <c r="C473" s="34"/>
      <c r="D473" s="34"/>
      <c r="E473" s="34"/>
      <c r="F473" s="34"/>
      <c r="G473" s="34"/>
      <c r="H473" s="34"/>
      <c r="I473" s="44"/>
      <c r="J473" s="105"/>
      <c r="K473" s="34"/>
      <c r="L473" s="34"/>
      <c r="M473" s="34"/>
    </row>
    <row r="474" spans="1:13" ht="12.75">
      <c r="A474" s="34"/>
      <c r="B474" s="188"/>
      <c r="C474" s="34"/>
      <c r="D474" s="34"/>
      <c r="E474" s="34"/>
      <c r="F474" s="34"/>
      <c r="G474" s="34"/>
      <c r="H474" s="34"/>
      <c r="I474" s="44"/>
      <c r="J474" s="105"/>
      <c r="K474" s="34"/>
      <c r="L474" s="34"/>
      <c r="M474" s="34"/>
    </row>
    <row r="475" spans="1:13" ht="12.75">
      <c r="A475" s="34"/>
      <c r="B475" s="188"/>
      <c r="C475" s="34"/>
      <c r="D475" s="34"/>
      <c r="E475" s="34"/>
      <c r="F475" s="34"/>
      <c r="G475" s="34"/>
      <c r="H475" s="34"/>
      <c r="I475" s="44"/>
      <c r="J475" s="105"/>
      <c r="K475" s="34"/>
      <c r="L475" s="34"/>
      <c r="M475" s="34"/>
    </row>
    <row r="476" spans="1:13" ht="12.75">
      <c r="A476" s="34"/>
      <c r="B476" s="188"/>
      <c r="C476" s="34"/>
      <c r="D476" s="34"/>
      <c r="E476" s="34"/>
      <c r="F476" s="34"/>
      <c r="G476" s="34"/>
      <c r="H476" s="34"/>
      <c r="I476" s="44"/>
      <c r="J476" s="105"/>
      <c r="K476" s="34"/>
      <c r="L476" s="34"/>
      <c r="M476" s="34"/>
    </row>
    <row r="477" spans="1:13" ht="12.75">
      <c r="A477" s="34"/>
      <c r="B477" s="188"/>
      <c r="C477" s="34"/>
      <c r="D477" s="34"/>
      <c r="E477" s="34"/>
      <c r="F477" s="34"/>
      <c r="G477" s="34"/>
      <c r="H477" s="34"/>
      <c r="I477" s="44"/>
      <c r="J477" s="105"/>
      <c r="K477" s="34"/>
      <c r="L477" s="34"/>
      <c r="M477" s="34"/>
    </row>
    <row r="478" spans="1:13" ht="12.75">
      <c r="A478" s="34"/>
      <c r="B478" s="188"/>
      <c r="C478" s="34"/>
      <c r="D478" s="34"/>
      <c r="E478" s="34"/>
      <c r="F478" s="34"/>
      <c r="G478" s="34"/>
      <c r="H478" s="34"/>
      <c r="I478" s="44"/>
      <c r="J478" s="105"/>
      <c r="K478" s="34"/>
      <c r="L478" s="34"/>
      <c r="M478" s="34"/>
    </row>
    <row r="479" spans="1:13" ht="12.75">
      <c r="A479" s="34"/>
      <c r="B479" s="188"/>
      <c r="C479" s="34"/>
      <c r="D479" s="34"/>
      <c r="E479" s="34"/>
      <c r="F479" s="34"/>
      <c r="G479" s="34"/>
      <c r="H479" s="34"/>
      <c r="I479" s="44"/>
      <c r="J479" s="105"/>
      <c r="K479" s="34"/>
      <c r="L479" s="34"/>
      <c r="M479" s="34"/>
    </row>
    <row r="480" spans="1:13" ht="12.75">
      <c r="A480" s="34"/>
      <c r="B480" s="188"/>
      <c r="C480" s="34"/>
      <c r="D480" s="34"/>
      <c r="E480" s="34"/>
      <c r="F480" s="34"/>
      <c r="G480" s="34"/>
      <c r="H480" s="34"/>
      <c r="I480" s="44"/>
      <c r="J480" s="105"/>
      <c r="K480" s="34"/>
      <c r="L480" s="34"/>
      <c r="M480" s="34"/>
    </row>
    <row r="481" spans="1:13" ht="12.75">
      <c r="A481" s="34"/>
      <c r="B481" s="188"/>
      <c r="C481" s="34"/>
      <c r="D481" s="34"/>
      <c r="E481" s="34"/>
      <c r="F481" s="34"/>
      <c r="G481" s="34"/>
      <c r="H481" s="34"/>
      <c r="I481" s="44"/>
      <c r="J481" s="105"/>
      <c r="K481" s="34"/>
      <c r="L481" s="34"/>
      <c r="M481" s="34"/>
    </row>
    <row r="482" spans="1:13" ht="12.75">
      <c r="A482" s="34"/>
      <c r="B482" s="188"/>
      <c r="C482" s="34"/>
      <c r="D482" s="34"/>
      <c r="E482" s="34"/>
      <c r="F482" s="34"/>
      <c r="G482" s="34"/>
      <c r="H482" s="34"/>
      <c r="I482" s="44"/>
      <c r="J482" s="105"/>
      <c r="K482" s="34"/>
      <c r="L482" s="34"/>
      <c r="M482" s="34"/>
    </row>
    <row r="483" spans="1:13" ht="12.75">
      <c r="A483" s="34"/>
      <c r="B483" s="188"/>
      <c r="C483" s="34"/>
      <c r="D483" s="34"/>
      <c r="E483" s="34"/>
      <c r="F483" s="34"/>
      <c r="G483" s="34"/>
      <c r="H483" s="34"/>
      <c r="I483" s="44"/>
      <c r="J483" s="105"/>
      <c r="K483" s="34"/>
      <c r="L483" s="34"/>
      <c r="M483" s="34"/>
    </row>
    <row r="484" spans="1:13" ht="12.75">
      <c r="A484" s="34"/>
      <c r="B484" s="188"/>
      <c r="C484" s="34"/>
      <c r="D484" s="34"/>
      <c r="E484" s="34"/>
      <c r="F484" s="34"/>
      <c r="G484" s="34"/>
      <c r="H484" s="34"/>
      <c r="I484" s="44"/>
      <c r="J484" s="105"/>
      <c r="K484" s="34"/>
      <c r="L484" s="34"/>
      <c r="M484" s="34"/>
    </row>
    <row r="485" spans="1:13" ht="12.75">
      <c r="A485" s="34"/>
      <c r="B485" s="188"/>
      <c r="C485" s="34"/>
      <c r="D485" s="34"/>
      <c r="E485" s="34"/>
      <c r="F485" s="34"/>
      <c r="G485" s="34"/>
      <c r="H485" s="34"/>
      <c r="I485" s="44"/>
      <c r="J485" s="105"/>
      <c r="K485" s="34"/>
      <c r="L485" s="34"/>
      <c r="M485" s="34"/>
    </row>
    <row r="486" spans="1:13" ht="12.75">
      <c r="A486" s="34"/>
      <c r="B486" s="188"/>
      <c r="C486" s="34"/>
      <c r="D486" s="34"/>
      <c r="E486" s="34"/>
      <c r="F486" s="34"/>
      <c r="G486" s="34"/>
      <c r="H486" s="34"/>
      <c r="I486" s="44"/>
      <c r="J486" s="105"/>
      <c r="K486" s="34"/>
      <c r="L486" s="34"/>
      <c r="M486" s="34"/>
    </row>
    <row r="487" spans="1:13" ht="12.75">
      <c r="A487" s="34"/>
      <c r="B487" s="188"/>
      <c r="C487" s="34"/>
      <c r="D487" s="34"/>
      <c r="E487" s="34"/>
      <c r="F487" s="34"/>
      <c r="G487" s="34"/>
      <c r="H487" s="34"/>
      <c r="I487" s="44"/>
      <c r="J487" s="105"/>
      <c r="K487" s="34"/>
      <c r="L487" s="34"/>
      <c r="M487" s="34"/>
    </row>
    <row r="488" spans="1:13" ht="12.75">
      <c r="A488" s="34"/>
      <c r="B488" s="188"/>
      <c r="C488" s="34"/>
      <c r="D488" s="34"/>
      <c r="E488" s="34"/>
      <c r="F488" s="34"/>
      <c r="G488" s="34"/>
      <c r="H488" s="34"/>
      <c r="I488" s="44"/>
      <c r="J488" s="105"/>
      <c r="K488" s="34"/>
      <c r="L488" s="34"/>
      <c r="M488" s="34"/>
    </row>
    <row r="489" spans="1:13" ht="12.75">
      <c r="A489" s="34"/>
      <c r="B489" s="188"/>
      <c r="C489" s="34"/>
      <c r="D489" s="34"/>
      <c r="E489" s="34"/>
      <c r="F489" s="34"/>
      <c r="G489" s="34"/>
      <c r="H489" s="34"/>
      <c r="I489" s="44"/>
      <c r="J489" s="105"/>
      <c r="K489" s="34"/>
      <c r="L489" s="34"/>
      <c r="M489" s="34"/>
    </row>
    <row r="490" spans="1:13" ht="12.75">
      <c r="A490" s="34"/>
      <c r="B490" s="188"/>
      <c r="C490" s="34"/>
      <c r="D490" s="34"/>
      <c r="E490" s="34"/>
      <c r="F490" s="34"/>
      <c r="G490" s="34"/>
      <c r="H490" s="34"/>
      <c r="I490" s="44"/>
      <c r="J490" s="105"/>
      <c r="K490" s="34"/>
      <c r="L490" s="34"/>
      <c r="M490" s="34"/>
    </row>
    <row r="491" spans="1:13" ht="12.75">
      <c r="A491" s="34"/>
      <c r="B491" s="188"/>
      <c r="C491" s="34"/>
      <c r="D491" s="34"/>
      <c r="E491" s="34"/>
      <c r="F491" s="34"/>
      <c r="G491" s="34"/>
      <c r="H491" s="34"/>
      <c r="I491" s="44"/>
      <c r="J491" s="105"/>
      <c r="K491" s="34"/>
      <c r="L491" s="34"/>
      <c r="M491" s="34"/>
    </row>
    <row r="492" spans="1:13" ht="12.75">
      <c r="A492" s="34"/>
      <c r="B492" s="188"/>
      <c r="C492" s="34"/>
      <c r="D492" s="34"/>
      <c r="E492" s="34"/>
      <c r="F492" s="34"/>
      <c r="G492" s="34"/>
      <c r="H492" s="34"/>
      <c r="I492" s="44"/>
      <c r="J492" s="105"/>
      <c r="K492" s="34"/>
      <c r="L492" s="34"/>
      <c r="M492" s="34"/>
    </row>
    <row r="493" spans="1:13" ht="12.75">
      <c r="A493" s="34"/>
      <c r="B493" s="188"/>
      <c r="C493" s="34"/>
      <c r="D493" s="34"/>
      <c r="E493" s="34"/>
      <c r="F493" s="34"/>
      <c r="G493" s="34"/>
      <c r="H493" s="34"/>
      <c r="I493" s="44"/>
      <c r="J493" s="105"/>
      <c r="K493" s="34"/>
      <c r="L493" s="34"/>
      <c r="M493" s="34"/>
    </row>
    <row r="494" spans="1:13" ht="12.75">
      <c r="A494" s="34"/>
      <c r="B494" s="188"/>
      <c r="C494" s="34"/>
      <c r="D494" s="34"/>
      <c r="E494" s="34"/>
      <c r="F494" s="34"/>
      <c r="G494" s="34"/>
      <c r="H494" s="34"/>
      <c r="I494" s="44"/>
      <c r="J494" s="105"/>
      <c r="K494" s="34"/>
      <c r="L494" s="34"/>
      <c r="M494" s="34"/>
    </row>
    <row r="495" spans="1:13" ht="12.75">
      <c r="A495" s="34"/>
      <c r="B495" s="188"/>
      <c r="C495" s="34"/>
      <c r="D495" s="34"/>
      <c r="E495" s="34"/>
      <c r="F495" s="34"/>
      <c r="G495" s="34"/>
      <c r="H495" s="34"/>
      <c r="I495" s="44"/>
      <c r="J495" s="105"/>
      <c r="K495" s="34"/>
      <c r="L495" s="34"/>
      <c r="M495" s="34"/>
    </row>
    <row r="496" spans="1:13" ht="12.75">
      <c r="A496" s="34"/>
      <c r="B496" s="188"/>
      <c r="C496" s="34"/>
      <c r="D496" s="34"/>
      <c r="E496" s="34"/>
      <c r="F496" s="34"/>
      <c r="G496" s="34"/>
      <c r="H496" s="34"/>
      <c r="I496" s="44"/>
      <c r="J496" s="105"/>
      <c r="K496" s="34"/>
      <c r="L496" s="34"/>
      <c r="M496" s="34"/>
    </row>
    <row r="497" spans="1:13" ht="12.75">
      <c r="A497" s="34"/>
      <c r="B497" s="188"/>
      <c r="C497" s="34"/>
      <c r="D497" s="34"/>
      <c r="E497" s="34"/>
      <c r="F497" s="34"/>
      <c r="G497" s="34"/>
      <c r="H497" s="34"/>
      <c r="I497" s="44"/>
      <c r="J497" s="105"/>
      <c r="K497" s="34"/>
      <c r="L497" s="34"/>
      <c r="M497" s="34"/>
    </row>
    <row r="498" spans="1:13" ht="12.75">
      <c r="A498" s="34"/>
      <c r="B498" s="188"/>
      <c r="C498" s="34"/>
      <c r="D498" s="34"/>
      <c r="E498" s="34"/>
      <c r="F498" s="34"/>
      <c r="G498" s="34"/>
      <c r="H498" s="34"/>
      <c r="I498" s="44"/>
      <c r="J498" s="105"/>
      <c r="K498" s="34"/>
      <c r="L498" s="34"/>
      <c r="M498" s="34"/>
    </row>
    <row r="499" spans="1:13" ht="12.75">
      <c r="A499" s="34"/>
      <c r="B499" s="188"/>
      <c r="C499" s="34"/>
      <c r="D499" s="34"/>
      <c r="E499" s="34"/>
      <c r="F499" s="34"/>
      <c r="G499" s="34"/>
      <c r="H499" s="34"/>
      <c r="I499" s="44"/>
      <c r="J499" s="105"/>
      <c r="K499" s="34"/>
      <c r="L499" s="34"/>
      <c r="M499" s="34"/>
    </row>
    <row r="500" spans="1:13" ht="12.75">
      <c r="A500" s="34"/>
      <c r="B500" s="188"/>
      <c r="C500" s="34"/>
      <c r="D500" s="34"/>
      <c r="E500" s="34"/>
      <c r="F500" s="34"/>
      <c r="G500" s="34"/>
      <c r="H500" s="34"/>
      <c r="I500" s="44"/>
      <c r="J500" s="105"/>
      <c r="K500" s="34"/>
      <c r="L500" s="34"/>
      <c r="M500" s="34"/>
    </row>
    <row r="501" spans="1:13" ht="12.75">
      <c r="A501" s="34"/>
      <c r="B501" s="188"/>
      <c r="C501" s="34"/>
      <c r="D501" s="34"/>
      <c r="E501" s="34"/>
      <c r="F501" s="34"/>
      <c r="G501" s="34"/>
      <c r="H501" s="34"/>
      <c r="I501" s="44"/>
      <c r="J501" s="105"/>
      <c r="K501" s="34"/>
      <c r="L501" s="34"/>
      <c r="M501" s="34"/>
    </row>
    <row r="502" spans="1:13" ht="12.75">
      <c r="A502" s="34"/>
      <c r="B502" s="188"/>
      <c r="C502" s="34"/>
      <c r="D502" s="34"/>
      <c r="E502" s="34"/>
      <c r="F502" s="34"/>
      <c r="G502" s="34"/>
      <c r="H502" s="34"/>
      <c r="I502" s="44"/>
      <c r="J502" s="105"/>
      <c r="K502" s="34"/>
      <c r="L502" s="34"/>
      <c r="M502" s="34"/>
    </row>
    <row r="503" spans="1:13" ht="12.75">
      <c r="A503" s="34"/>
      <c r="B503" s="188"/>
      <c r="C503" s="34"/>
      <c r="D503" s="34"/>
      <c r="E503" s="34"/>
      <c r="F503" s="34"/>
      <c r="G503" s="34"/>
      <c r="H503" s="34"/>
      <c r="I503" s="44"/>
      <c r="J503" s="105"/>
      <c r="K503" s="34"/>
      <c r="L503" s="34"/>
      <c r="M503" s="34"/>
    </row>
    <row r="504" spans="1:13" ht="12.75">
      <c r="A504" s="34"/>
      <c r="B504" s="188"/>
      <c r="C504" s="34"/>
      <c r="D504" s="34"/>
      <c r="E504" s="34"/>
      <c r="F504" s="34"/>
      <c r="G504" s="34"/>
      <c r="H504" s="34"/>
      <c r="I504" s="44"/>
      <c r="J504" s="105"/>
      <c r="K504" s="34"/>
      <c r="L504" s="34"/>
      <c r="M504" s="34"/>
    </row>
    <row r="505" spans="1:13" ht="12.75">
      <c r="A505" s="34"/>
      <c r="B505" s="188"/>
      <c r="C505" s="34"/>
      <c r="D505" s="34"/>
      <c r="E505" s="34"/>
      <c r="F505" s="34"/>
      <c r="G505" s="34"/>
      <c r="H505" s="34"/>
      <c r="I505" s="44"/>
      <c r="J505" s="105"/>
      <c r="K505" s="34"/>
      <c r="L505" s="34"/>
      <c r="M505" s="34"/>
    </row>
    <row r="506" spans="1:13" ht="12.75">
      <c r="A506" s="34"/>
      <c r="B506" s="188"/>
      <c r="C506" s="34"/>
      <c r="D506" s="34"/>
      <c r="E506" s="34"/>
      <c r="F506" s="34"/>
      <c r="G506" s="34"/>
      <c r="H506" s="34"/>
      <c r="I506" s="44"/>
      <c r="J506" s="105"/>
      <c r="K506" s="34"/>
      <c r="L506" s="34"/>
      <c r="M506" s="34"/>
    </row>
    <row r="507" spans="1:13" ht="12.75">
      <c r="A507" s="34"/>
      <c r="B507" s="188"/>
      <c r="C507" s="34"/>
      <c r="D507" s="34"/>
      <c r="E507" s="34"/>
      <c r="F507" s="34"/>
      <c r="G507" s="34"/>
      <c r="H507" s="34"/>
      <c r="I507" s="44"/>
      <c r="J507" s="105"/>
      <c r="K507" s="34"/>
      <c r="L507" s="34"/>
      <c r="M507" s="34"/>
    </row>
    <row r="508" spans="1:13" ht="12.75">
      <c r="A508" s="34"/>
      <c r="B508" s="188"/>
      <c r="C508" s="34"/>
      <c r="D508" s="34"/>
      <c r="E508" s="34"/>
      <c r="F508" s="34"/>
      <c r="G508" s="34"/>
      <c r="H508" s="34"/>
      <c r="I508" s="44"/>
      <c r="J508" s="105"/>
      <c r="K508" s="34"/>
      <c r="L508" s="34"/>
      <c r="M508" s="34"/>
    </row>
    <row r="509" spans="1:13" ht="12.75">
      <c r="A509" s="34"/>
      <c r="B509" s="188"/>
      <c r="C509" s="34"/>
      <c r="D509" s="34"/>
      <c r="E509" s="34"/>
      <c r="F509" s="34"/>
      <c r="G509" s="34"/>
      <c r="H509" s="34"/>
      <c r="I509" s="44"/>
      <c r="J509" s="105"/>
      <c r="K509" s="34"/>
      <c r="L509" s="34"/>
      <c r="M509" s="34"/>
    </row>
    <row r="510" spans="1:13" ht="12.75">
      <c r="A510" s="34"/>
      <c r="B510" s="188"/>
      <c r="C510" s="34"/>
      <c r="D510" s="34"/>
      <c r="E510" s="34"/>
      <c r="F510" s="34"/>
      <c r="G510" s="34"/>
      <c r="H510" s="34"/>
      <c r="I510" s="44"/>
      <c r="J510" s="105"/>
      <c r="K510" s="34"/>
      <c r="L510" s="34"/>
      <c r="M510" s="34"/>
    </row>
    <row r="511" spans="1:13" ht="12.75">
      <c r="A511" s="34"/>
      <c r="B511" s="188"/>
      <c r="C511" s="34"/>
      <c r="D511" s="34"/>
      <c r="E511" s="34"/>
      <c r="F511" s="34"/>
      <c r="G511" s="34"/>
      <c r="H511" s="34"/>
      <c r="I511" s="44"/>
      <c r="J511" s="105"/>
      <c r="K511" s="34"/>
      <c r="L511" s="34"/>
      <c r="M511" s="34"/>
    </row>
    <row r="512" spans="1:13" ht="12.75">
      <c r="A512" s="34"/>
      <c r="B512" s="188"/>
      <c r="C512" s="34"/>
      <c r="D512" s="34"/>
      <c r="E512" s="34"/>
      <c r="F512" s="34"/>
      <c r="G512" s="34"/>
      <c r="H512" s="34"/>
      <c r="I512" s="44"/>
      <c r="J512" s="105"/>
      <c r="K512" s="34"/>
      <c r="L512" s="34"/>
      <c r="M512" s="34"/>
    </row>
    <row r="513" spans="1:13" ht="12.75">
      <c r="A513" s="34"/>
      <c r="B513" s="188"/>
      <c r="C513" s="34"/>
      <c r="D513" s="34"/>
      <c r="E513" s="34"/>
      <c r="F513" s="34"/>
      <c r="G513" s="34"/>
      <c r="H513" s="34"/>
      <c r="I513" s="44"/>
      <c r="J513" s="105"/>
      <c r="K513" s="34"/>
      <c r="L513" s="34"/>
      <c r="M513" s="34"/>
    </row>
    <row r="514" spans="1:13" ht="12.75">
      <c r="A514" s="34"/>
      <c r="B514" s="188"/>
      <c r="C514" s="34"/>
      <c r="D514" s="34"/>
      <c r="E514" s="34"/>
      <c r="F514" s="34"/>
      <c r="G514" s="34"/>
      <c r="H514" s="34"/>
      <c r="I514" s="44"/>
      <c r="J514" s="105"/>
      <c r="K514" s="34"/>
      <c r="L514" s="34"/>
      <c r="M514" s="34"/>
    </row>
    <row r="515" spans="1:13" ht="12.75">
      <c r="A515" s="34"/>
      <c r="B515" s="188"/>
      <c r="C515" s="34"/>
      <c r="D515" s="34"/>
      <c r="E515" s="34"/>
      <c r="F515" s="34"/>
      <c r="G515" s="34"/>
      <c r="H515" s="34"/>
      <c r="I515" s="44"/>
      <c r="J515" s="105"/>
      <c r="K515" s="34"/>
      <c r="L515" s="34"/>
      <c r="M515" s="34"/>
    </row>
    <row r="516" spans="1:13" ht="12.75">
      <c r="A516" s="34"/>
      <c r="B516" s="188"/>
      <c r="C516" s="34"/>
      <c r="D516" s="34"/>
      <c r="E516" s="34"/>
      <c r="F516" s="34"/>
      <c r="G516" s="34"/>
      <c r="H516" s="34"/>
      <c r="I516" s="44"/>
      <c r="J516" s="105"/>
      <c r="K516" s="34"/>
      <c r="L516" s="34"/>
      <c r="M516" s="34"/>
    </row>
    <row r="517" spans="1:13" ht="12.75">
      <c r="A517" s="34"/>
      <c r="B517" s="188"/>
      <c r="C517" s="34"/>
      <c r="D517" s="34"/>
      <c r="E517" s="34"/>
      <c r="F517" s="34"/>
      <c r="G517" s="34"/>
      <c r="H517" s="34"/>
      <c r="I517" s="44"/>
      <c r="J517" s="105"/>
      <c r="K517" s="34"/>
      <c r="L517" s="34"/>
      <c r="M517" s="34"/>
    </row>
    <row r="518" spans="1:13" ht="12.75">
      <c r="A518" s="34"/>
      <c r="B518" s="188"/>
      <c r="C518" s="34"/>
      <c r="D518" s="34"/>
      <c r="E518" s="34"/>
      <c r="F518" s="34"/>
      <c r="G518" s="34"/>
      <c r="H518" s="34"/>
      <c r="I518" s="44"/>
      <c r="J518" s="105"/>
      <c r="K518" s="34"/>
      <c r="L518" s="34"/>
      <c r="M518" s="34"/>
    </row>
    <row r="519" spans="1:13" ht="12.75">
      <c r="A519" s="34"/>
      <c r="B519" s="188"/>
      <c r="C519" s="34"/>
      <c r="D519" s="34"/>
      <c r="E519" s="34"/>
      <c r="F519" s="34"/>
      <c r="G519" s="34"/>
      <c r="H519" s="34"/>
      <c r="I519" s="44"/>
      <c r="J519" s="105"/>
      <c r="K519" s="34"/>
      <c r="L519" s="34"/>
      <c r="M519" s="34"/>
    </row>
    <row r="520" spans="1:13" ht="12.75">
      <c r="A520" s="34"/>
      <c r="B520" s="188"/>
      <c r="C520" s="34"/>
      <c r="D520" s="34"/>
      <c r="E520" s="34"/>
      <c r="F520" s="34"/>
      <c r="G520" s="34"/>
      <c r="H520" s="34"/>
      <c r="I520" s="44"/>
      <c r="J520" s="105"/>
      <c r="K520" s="34"/>
      <c r="L520" s="34"/>
      <c r="M520" s="34"/>
    </row>
    <row r="521" spans="1:13" ht="12.75">
      <c r="A521" s="34"/>
      <c r="B521" s="188"/>
      <c r="C521" s="34"/>
      <c r="D521" s="34"/>
      <c r="E521" s="34"/>
      <c r="F521" s="34"/>
      <c r="G521" s="34"/>
      <c r="H521" s="34"/>
      <c r="I521" s="44"/>
      <c r="J521" s="105"/>
      <c r="K521" s="34"/>
      <c r="L521" s="34"/>
      <c r="M521" s="34"/>
    </row>
    <row r="522" spans="1:13" ht="12.75">
      <c r="A522" s="34"/>
      <c r="B522" s="188"/>
      <c r="C522" s="34"/>
      <c r="D522" s="34"/>
      <c r="E522" s="34"/>
      <c r="F522" s="34"/>
      <c r="G522" s="34"/>
      <c r="H522" s="34"/>
      <c r="I522" s="44"/>
      <c r="J522" s="105"/>
      <c r="K522" s="34"/>
      <c r="L522" s="34"/>
      <c r="M522" s="34"/>
    </row>
    <row r="523" spans="1:13" ht="12.75">
      <c r="A523" s="34"/>
      <c r="B523" s="188"/>
      <c r="C523" s="34"/>
      <c r="D523" s="34"/>
      <c r="E523" s="34"/>
      <c r="F523" s="34"/>
      <c r="G523" s="34"/>
      <c r="H523" s="34"/>
      <c r="I523" s="44"/>
      <c r="J523" s="105"/>
      <c r="K523" s="34"/>
      <c r="L523" s="34"/>
      <c r="M523" s="34"/>
    </row>
    <row r="524" spans="1:13" ht="12.75">
      <c r="A524" s="34"/>
      <c r="B524" s="188"/>
      <c r="C524" s="34"/>
      <c r="D524" s="34"/>
      <c r="E524" s="34"/>
      <c r="F524" s="34"/>
      <c r="G524" s="34"/>
      <c r="H524" s="34"/>
      <c r="I524" s="44"/>
      <c r="J524" s="105"/>
      <c r="K524" s="34"/>
      <c r="L524" s="34"/>
      <c r="M524" s="34"/>
    </row>
    <row r="525" spans="1:13" ht="12.75">
      <c r="A525" s="34"/>
      <c r="B525" s="188"/>
      <c r="C525" s="34"/>
      <c r="D525" s="34"/>
      <c r="E525" s="34"/>
      <c r="F525" s="34"/>
      <c r="G525" s="34"/>
      <c r="H525" s="34"/>
      <c r="I525" s="44"/>
      <c r="J525" s="105"/>
      <c r="K525" s="34"/>
      <c r="L525" s="34"/>
      <c r="M525" s="34"/>
    </row>
    <row r="526" spans="1:13" ht="12.75">
      <c r="A526" s="34"/>
      <c r="B526" s="188"/>
      <c r="C526" s="34"/>
      <c r="D526" s="34"/>
      <c r="E526" s="34"/>
      <c r="F526" s="34"/>
      <c r="G526" s="34"/>
      <c r="H526" s="34"/>
      <c r="I526" s="44"/>
      <c r="J526" s="105"/>
      <c r="K526" s="34"/>
      <c r="L526" s="34"/>
      <c r="M526" s="34"/>
    </row>
    <row r="527" spans="1:13" ht="12.75">
      <c r="A527" s="34"/>
      <c r="B527" s="188"/>
      <c r="C527" s="34"/>
      <c r="D527" s="34"/>
      <c r="E527" s="34"/>
      <c r="F527" s="34"/>
      <c r="G527" s="34"/>
      <c r="H527" s="34"/>
      <c r="I527" s="44"/>
      <c r="J527" s="105"/>
      <c r="K527" s="34"/>
      <c r="L527" s="34"/>
      <c r="M527" s="34"/>
    </row>
    <row r="528" spans="1:13" ht="12.75">
      <c r="A528" s="34"/>
      <c r="B528" s="188"/>
      <c r="C528" s="34"/>
      <c r="D528" s="34"/>
      <c r="E528" s="34"/>
      <c r="F528" s="34"/>
      <c r="G528" s="34"/>
      <c r="H528" s="34"/>
      <c r="I528" s="44"/>
      <c r="J528" s="105"/>
      <c r="K528" s="34"/>
      <c r="L528" s="34"/>
      <c r="M528" s="34"/>
    </row>
    <row r="529" spans="1:13" ht="12.75">
      <c r="A529" s="34"/>
      <c r="B529" s="188"/>
      <c r="C529" s="34"/>
      <c r="D529" s="34"/>
      <c r="E529" s="34"/>
      <c r="F529" s="34"/>
      <c r="G529" s="34"/>
      <c r="H529" s="34"/>
      <c r="I529" s="44"/>
      <c r="J529" s="105"/>
      <c r="K529" s="34"/>
      <c r="L529" s="34"/>
      <c r="M529" s="34"/>
    </row>
    <row r="530" spans="1:13" ht="12.75">
      <c r="A530" s="34"/>
      <c r="B530" s="188"/>
      <c r="C530" s="34"/>
      <c r="D530" s="34"/>
      <c r="E530" s="34"/>
      <c r="F530" s="34"/>
      <c r="G530" s="34"/>
      <c r="H530" s="34"/>
      <c r="I530" s="44"/>
      <c r="J530" s="105"/>
      <c r="K530" s="34"/>
      <c r="L530" s="34"/>
      <c r="M530" s="34"/>
    </row>
    <row r="531" spans="1:13" ht="12.75">
      <c r="A531" s="34"/>
      <c r="B531" s="188"/>
      <c r="C531" s="34"/>
      <c r="D531" s="34"/>
      <c r="E531" s="34"/>
      <c r="F531" s="34"/>
      <c r="G531" s="34"/>
      <c r="H531" s="34"/>
      <c r="I531" s="44"/>
      <c r="J531" s="105"/>
      <c r="K531" s="34"/>
      <c r="L531" s="34"/>
      <c r="M531" s="34"/>
    </row>
    <row r="532" spans="1:13" ht="12.75">
      <c r="A532" s="34"/>
      <c r="B532" s="188"/>
      <c r="C532" s="34"/>
      <c r="D532" s="34"/>
      <c r="E532" s="34"/>
      <c r="F532" s="34"/>
      <c r="G532" s="34"/>
      <c r="H532" s="34"/>
      <c r="I532" s="44"/>
      <c r="J532" s="105"/>
      <c r="K532" s="34"/>
      <c r="L532" s="34"/>
      <c r="M532" s="34"/>
    </row>
    <row r="533" spans="1:13" ht="12.75">
      <c r="A533" s="34"/>
      <c r="B533" s="188"/>
      <c r="C533" s="34"/>
      <c r="D533" s="34"/>
      <c r="E533" s="34"/>
      <c r="F533" s="34"/>
      <c r="G533" s="34"/>
      <c r="H533" s="34"/>
      <c r="I533" s="44"/>
      <c r="J533" s="105"/>
      <c r="K533" s="34"/>
      <c r="L533" s="34"/>
      <c r="M533" s="34"/>
    </row>
    <row r="534" spans="1:13" ht="12.75">
      <c r="A534" s="34"/>
      <c r="B534" s="188"/>
      <c r="C534" s="34"/>
      <c r="D534" s="34"/>
      <c r="E534" s="34"/>
      <c r="F534" s="34"/>
      <c r="G534" s="34"/>
      <c r="H534" s="34"/>
      <c r="I534" s="44"/>
      <c r="J534" s="105"/>
      <c r="K534" s="34"/>
      <c r="L534" s="34"/>
      <c r="M534" s="34"/>
    </row>
    <row r="535" spans="1:13" ht="12.75">
      <c r="A535" s="34"/>
      <c r="B535" s="188"/>
      <c r="C535" s="34"/>
      <c r="D535" s="34"/>
      <c r="E535" s="34"/>
      <c r="F535" s="34"/>
      <c r="G535" s="34"/>
      <c r="H535" s="34"/>
      <c r="I535" s="44"/>
      <c r="J535" s="105"/>
      <c r="K535" s="34"/>
      <c r="L535" s="34"/>
      <c r="M535" s="34"/>
    </row>
    <row r="536" spans="1:13" ht="12.75">
      <c r="A536" s="34"/>
      <c r="B536" s="188"/>
      <c r="C536" s="34"/>
      <c r="D536" s="34"/>
      <c r="E536" s="34"/>
      <c r="F536" s="34"/>
      <c r="G536" s="34"/>
      <c r="H536" s="34"/>
      <c r="I536" s="44"/>
      <c r="J536" s="105"/>
      <c r="K536" s="34"/>
      <c r="L536" s="34"/>
      <c r="M536" s="34"/>
    </row>
    <row r="537" spans="1:13" ht="12.75">
      <c r="A537" s="34"/>
      <c r="B537" s="188"/>
      <c r="C537" s="34"/>
      <c r="D537" s="34"/>
      <c r="E537" s="34"/>
      <c r="F537" s="34"/>
      <c r="G537" s="34"/>
      <c r="H537" s="34"/>
      <c r="I537" s="44"/>
      <c r="J537" s="105"/>
      <c r="K537" s="34"/>
      <c r="L537" s="34"/>
      <c r="M537" s="34"/>
    </row>
    <row r="538" spans="1:13" ht="12.75">
      <c r="A538" s="34"/>
      <c r="B538" s="188"/>
      <c r="C538" s="34"/>
      <c r="D538" s="34"/>
      <c r="E538" s="34"/>
      <c r="F538" s="34"/>
      <c r="G538" s="34"/>
      <c r="H538" s="34"/>
      <c r="I538" s="44"/>
      <c r="J538" s="105"/>
      <c r="K538" s="34"/>
      <c r="L538" s="34"/>
      <c r="M538" s="34"/>
    </row>
    <row r="539" spans="1:13" ht="12.75">
      <c r="A539" s="34"/>
      <c r="B539" s="188"/>
      <c r="C539" s="34"/>
      <c r="D539" s="34"/>
      <c r="E539" s="34"/>
      <c r="F539" s="34"/>
      <c r="G539" s="34"/>
      <c r="H539" s="34"/>
      <c r="I539" s="44"/>
      <c r="J539" s="105"/>
      <c r="K539" s="34"/>
      <c r="L539" s="34"/>
      <c r="M539" s="34"/>
    </row>
    <row r="540" spans="1:13" ht="12.75">
      <c r="A540" s="34"/>
      <c r="B540" s="188"/>
      <c r="C540" s="34"/>
      <c r="D540" s="34"/>
      <c r="E540" s="34"/>
      <c r="F540" s="34"/>
      <c r="G540" s="34"/>
      <c r="H540" s="34"/>
      <c r="I540" s="44"/>
      <c r="J540" s="105"/>
      <c r="K540" s="34"/>
      <c r="L540" s="34"/>
      <c r="M540" s="34"/>
    </row>
    <row r="541" spans="1:13" ht="12.75">
      <c r="A541" s="34"/>
      <c r="B541" s="188"/>
      <c r="C541" s="34"/>
      <c r="D541" s="34"/>
      <c r="E541" s="34"/>
      <c r="F541" s="34"/>
      <c r="G541" s="34"/>
      <c r="H541" s="34"/>
      <c r="I541" s="44"/>
      <c r="J541" s="105"/>
      <c r="K541" s="34"/>
      <c r="L541" s="34"/>
      <c r="M541" s="34"/>
    </row>
    <row r="542" spans="1:13" ht="12.75">
      <c r="A542" s="34"/>
      <c r="B542" s="188"/>
      <c r="C542" s="34"/>
      <c r="D542" s="34"/>
      <c r="E542" s="34"/>
      <c r="F542" s="34"/>
      <c r="G542" s="34"/>
      <c r="H542" s="34"/>
      <c r="I542" s="44"/>
      <c r="J542" s="105"/>
      <c r="K542" s="34"/>
      <c r="L542" s="34"/>
      <c r="M542" s="34"/>
    </row>
    <row r="543" spans="1:13" ht="12.75">
      <c r="A543" s="34"/>
      <c r="B543" s="188"/>
      <c r="C543" s="34"/>
      <c r="D543" s="34"/>
      <c r="E543" s="34"/>
      <c r="F543" s="34"/>
      <c r="G543" s="34"/>
      <c r="H543" s="34"/>
      <c r="I543" s="44"/>
      <c r="J543" s="105"/>
      <c r="K543" s="34"/>
      <c r="L543" s="34"/>
      <c r="M543" s="34"/>
    </row>
    <row r="544" spans="1:13" ht="12.75">
      <c r="A544" s="34"/>
      <c r="B544" s="188"/>
      <c r="C544" s="34"/>
      <c r="D544" s="34"/>
      <c r="E544" s="34"/>
      <c r="F544" s="34"/>
      <c r="G544" s="34"/>
      <c r="H544" s="34"/>
      <c r="I544" s="44"/>
      <c r="J544" s="105"/>
      <c r="K544" s="34"/>
      <c r="L544" s="34"/>
      <c r="M544" s="34"/>
    </row>
    <row r="545" spans="1:13" ht="12.75">
      <c r="A545" s="34"/>
      <c r="B545" s="188"/>
      <c r="C545" s="34"/>
      <c r="D545" s="34"/>
      <c r="E545" s="34"/>
      <c r="F545" s="34"/>
      <c r="G545" s="34"/>
      <c r="H545" s="34"/>
      <c r="I545" s="44"/>
      <c r="J545" s="105"/>
      <c r="K545" s="34"/>
      <c r="L545" s="34"/>
      <c r="M545" s="34"/>
    </row>
    <row r="546" spans="1:13" ht="12.75">
      <c r="A546" s="34"/>
      <c r="B546" s="188"/>
      <c r="C546" s="34"/>
      <c r="D546" s="34"/>
      <c r="E546" s="34"/>
      <c r="F546" s="34"/>
      <c r="G546" s="34"/>
      <c r="H546" s="34"/>
      <c r="I546" s="44"/>
      <c r="J546" s="105"/>
      <c r="K546" s="34"/>
      <c r="L546" s="34"/>
      <c r="M546" s="34"/>
    </row>
    <row r="547" spans="1:13" ht="12.75">
      <c r="A547" s="34"/>
      <c r="B547" s="188"/>
      <c r="C547" s="34"/>
      <c r="D547" s="34"/>
      <c r="E547" s="34"/>
      <c r="F547" s="34"/>
      <c r="G547" s="34"/>
      <c r="H547" s="34"/>
      <c r="I547" s="44"/>
      <c r="J547" s="105"/>
      <c r="K547" s="34"/>
      <c r="L547" s="34"/>
      <c r="M547" s="34"/>
    </row>
    <row r="548" spans="1:13" ht="12.75">
      <c r="A548" s="34"/>
      <c r="B548" s="188"/>
      <c r="C548" s="34"/>
      <c r="D548" s="34"/>
      <c r="E548" s="34"/>
      <c r="F548" s="34"/>
      <c r="G548" s="34"/>
      <c r="H548" s="34"/>
      <c r="I548" s="44"/>
      <c r="J548" s="105"/>
      <c r="K548" s="34"/>
      <c r="L548" s="34"/>
      <c r="M548" s="34"/>
    </row>
    <row r="549" spans="1:13" ht="12.75">
      <c r="A549" s="34"/>
      <c r="B549" s="188"/>
      <c r="C549" s="34"/>
      <c r="D549" s="34"/>
      <c r="E549" s="34"/>
      <c r="F549" s="34"/>
      <c r="G549" s="34"/>
      <c r="H549" s="34"/>
      <c r="I549" s="44"/>
      <c r="J549" s="105"/>
      <c r="K549" s="34"/>
      <c r="L549" s="34"/>
      <c r="M549" s="34"/>
    </row>
    <row r="550" spans="1:13" ht="12.75">
      <c r="A550" s="34"/>
      <c r="B550" s="188"/>
      <c r="C550" s="34"/>
      <c r="D550" s="34"/>
      <c r="E550" s="34"/>
      <c r="F550" s="34"/>
      <c r="G550" s="34"/>
      <c r="H550" s="34"/>
      <c r="I550" s="44"/>
      <c r="J550" s="105"/>
      <c r="K550" s="34"/>
      <c r="L550" s="34"/>
      <c r="M550" s="34"/>
    </row>
    <row r="551" spans="1:13" ht="12.75">
      <c r="A551" s="34"/>
      <c r="B551" s="188"/>
      <c r="C551" s="34"/>
      <c r="D551" s="34"/>
      <c r="E551" s="34"/>
      <c r="F551" s="34"/>
      <c r="G551" s="34"/>
      <c r="H551" s="34"/>
      <c r="I551" s="44"/>
      <c r="J551" s="105"/>
      <c r="K551" s="34"/>
      <c r="L551" s="34"/>
      <c r="M551" s="34"/>
    </row>
    <row r="552" spans="1:13" ht="12.75">
      <c r="A552" s="34"/>
      <c r="B552" s="188"/>
      <c r="C552" s="34"/>
      <c r="D552" s="34"/>
      <c r="E552" s="34"/>
      <c r="F552" s="34"/>
      <c r="G552" s="34"/>
      <c r="H552" s="34"/>
      <c r="I552" s="44"/>
      <c r="J552" s="105"/>
      <c r="K552" s="34"/>
      <c r="L552" s="34"/>
      <c r="M552" s="34"/>
    </row>
    <row r="553" spans="1:13" ht="12.75">
      <c r="A553" s="34"/>
      <c r="B553" s="188"/>
      <c r="C553" s="34"/>
      <c r="D553" s="34"/>
      <c r="E553" s="34"/>
      <c r="F553" s="34"/>
      <c r="G553" s="34"/>
      <c r="H553" s="34"/>
      <c r="I553" s="44"/>
      <c r="J553" s="105"/>
      <c r="K553" s="34"/>
      <c r="L553" s="34"/>
      <c r="M553" s="34"/>
    </row>
    <row r="554" spans="1:13" ht="12.75">
      <c r="A554" s="34"/>
      <c r="B554" s="188"/>
      <c r="C554" s="34"/>
      <c r="D554" s="34"/>
      <c r="E554" s="34"/>
      <c r="F554" s="34"/>
      <c r="G554" s="34"/>
      <c r="H554" s="34"/>
      <c r="I554" s="44"/>
      <c r="J554" s="105"/>
      <c r="K554" s="34"/>
      <c r="L554" s="34"/>
      <c r="M554" s="34"/>
    </row>
    <row r="555" spans="1:13" ht="12.75">
      <c r="A555" s="34"/>
      <c r="B555" s="188"/>
      <c r="C555" s="34"/>
      <c r="D555" s="34"/>
      <c r="E555" s="34"/>
      <c r="F555" s="34"/>
      <c r="G555" s="34"/>
      <c r="H555" s="34"/>
      <c r="I555" s="44"/>
      <c r="J555" s="105"/>
      <c r="K555" s="34"/>
      <c r="L555" s="34"/>
      <c r="M555" s="34"/>
    </row>
    <row r="556" spans="1:13" ht="12.75">
      <c r="A556" s="34"/>
      <c r="B556" s="188"/>
      <c r="C556" s="34"/>
      <c r="D556" s="34"/>
      <c r="E556" s="34"/>
      <c r="F556" s="34"/>
      <c r="G556" s="34"/>
      <c r="H556" s="34"/>
      <c r="I556" s="44"/>
      <c r="J556" s="105"/>
      <c r="K556" s="34"/>
      <c r="L556" s="34"/>
      <c r="M556" s="34"/>
    </row>
    <row r="557" spans="1:13" ht="12.75">
      <c r="A557" s="34"/>
      <c r="B557" s="188"/>
      <c r="C557" s="34"/>
      <c r="D557" s="34"/>
      <c r="E557" s="34"/>
      <c r="F557" s="34"/>
      <c r="G557" s="34"/>
      <c r="H557" s="34"/>
      <c r="I557" s="44"/>
      <c r="J557" s="105"/>
      <c r="K557" s="34"/>
      <c r="L557" s="34"/>
      <c r="M557" s="34"/>
    </row>
    <row r="558" spans="1:13" ht="12.75">
      <c r="A558" s="34"/>
      <c r="B558" s="188"/>
      <c r="C558" s="34"/>
      <c r="D558" s="34"/>
      <c r="E558" s="34"/>
      <c r="F558" s="34"/>
      <c r="G558" s="34"/>
      <c r="H558" s="34"/>
      <c r="I558" s="44"/>
      <c r="J558" s="105"/>
      <c r="K558" s="34"/>
      <c r="L558" s="34"/>
      <c r="M558" s="34"/>
    </row>
    <row r="559" spans="1:13" ht="12.75">
      <c r="A559" s="34"/>
      <c r="B559" s="188"/>
      <c r="C559" s="34"/>
      <c r="D559" s="34"/>
      <c r="E559" s="34"/>
      <c r="F559" s="34"/>
      <c r="G559" s="34"/>
      <c r="H559" s="34"/>
      <c r="I559" s="44"/>
      <c r="J559" s="105"/>
      <c r="K559" s="34"/>
      <c r="L559" s="34"/>
      <c r="M559" s="34"/>
    </row>
    <row r="560" spans="1:13" ht="12.75">
      <c r="A560" s="34"/>
      <c r="B560" s="188"/>
      <c r="C560" s="34"/>
      <c r="D560" s="34"/>
      <c r="E560" s="34"/>
      <c r="F560" s="34"/>
      <c r="G560" s="34"/>
      <c r="H560" s="34"/>
      <c r="I560" s="44"/>
      <c r="J560" s="105"/>
      <c r="K560" s="34"/>
      <c r="L560" s="34"/>
      <c r="M560" s="34"/>
    </row>
    <row r="561" spans="1:13" ht="12.75">
      <c r="A561" s="34"/>
      <c r="B561" s="188"/>
      <c r="C561" s="34"/>
      <c r="D561" s="34"/>
      <c r="E561" s="34"/>
      <c r="F561" s="34"/>
      <c r="G561" s="34"/>
      <c r="H561" s="34"/>
      <c r="I561" s="44"/>
      <c r="J561" s="105"/>
      <c r="K561" s="34"/>
      <c r="L561" s="34"/>
      <c r="M561" s="34"/>
    </row>
    <row r="562" spans="1:13" ht="12.75">
      <c r="A562" s="34"/>
      <c r="B562" s="188"/>
      <c r="C562" s="34"/>
      <c r="D562" s="34"/>
      <c r="E562" s="34"/>
      <c r="F562" s="34"/>
      <c r="G562" s="34"/>
      <c r="H562" s="34"/>
      <c r="I562" s="44"/>
      <c r="J562" s="105"/>
      <c r="K562" s="34"/>
      <c r="L562" s="34"/>
      <c r="M562" s="34"/>
    </row>
    <row r="563" spans="1:13" ht="12.75">
      <c r="A563" s="34"/>
      <c r="B563" s="188"/>
      <c r="C563" s="34"/>
      <c r="D563" s="34"/>
      <c r="E563" s="34"/>
      <c r="F563" s="34"/>
      <c r="G563" s="34"/>
      <c r="H563" s="34"/>
      <c r="I563" s="44"/>
      <c r="J563" s="105"/>
      <c r="K563" s="34"/>
      <c r="L563" s="34"/>
      <c r="M563" s="34"/>
    </row>
    <row r="564" spans="1:13" ht="12.75">
      <c r="A564" s="34"/>
      <c r="B564" s="188"/>
      <c r="C564" s="34"/>
      <c r="D564" s="34"/>
      <c r="E564" s="34"/>
      <c r="F564" s="34"/>
      <c r="G564" s="34"/>
      <c r="H564" s="34"/>
      <c r="I564" s="44"/>
      <c r="J564" s="105"/>
      <c r="K564" s="34"/>
      <c r="L564" s="34"/>
      <c r="M564" s="34"/>
    </row>
    <row r="565" spans="1:13" ht="12.75">
      <c r="A565" s="34"/>
      <c r="B565" s="188"/>
      <c r="C565" s="34"/>
      <c r="D565" s="34"/>
      <c r="E565" s="34"/>
      <c r="F565" s="34"/>
      <c r="G565" s="34"/>
      <c r="H565" s="34"/>
      <c r="I565" s="44"/>
      <c r="J565" s="105"/>
      <c r="K565" s="34"/>
      <c r="L565" s="34"/>
      <c r="M565" s="34"/>
    </row>
    <row r="566" spans="1:13" ht="12.75">
      <c r="A566" s="34"/>
      <c r="B566" s="188"/>
      <c r="C566" s="34"/>
      <c r="D566" s="34"/>
      <c r="E566" s="34"/>
      <c r="F566" s="34"/>
      <c r="G566" s="34"/>
      <c r="H566" s="34"/>
      <c r="I566" s="44"/>
      <c r="J566" s="105"/>
      <c r="K566" s="34"/>
      <c r="L566" s="34"/>
      <c r="M566" s="34"/>
    </row>
    <row r="567" spans="1:13" ht="12.75">
      <c r="A567" s="34"/>
      <c r="B567" s="188"/>
      <c r="C567" s="34"/>
      <c r="D567" s="34"/>
      <c r="E567" s="34"/>
      <c r="F567" s="34"/>
      <c r="G567" s="34"/>
      <c r="H567" s="34"/>
      <c r="I567" s="44"/>
      <c r="J567" s="105"/>
      <c r="K567" s="34"/>
      <c r="L567" s="34"/>
      <c r="M567" s="34"/>
    </row>
    <row r="568" spans="1:13" ht="12.75">
      <c r="A568" s="34"/>
      <c r="B568" s="188"/>
      <c r="C568" s="34"/>
      <c r="D568" s="34"/>
      <c r="E568" s="34"/>
      <c r="F568" s="34"/>
      <c r="G568" s="34"/>
      <c r="H568" s="34"/>
      <c r="I568" s="44"/>
      <c r="J568" s="105"/>
      <c r="K568" s="34"/>
      <c r="L568" s="34"/>
      <c r="M568" s="34"/>
    </row>
    <row r="569" spans="1:13" ht="12.75">
      <c r="A569" s="34"/>
      <c r="B569" s="188"/>
      <c r="C569" s="34"/>
      <c r="D569" s="34"/>
      <c r="E569" s="34"/>
      <c r="F569" s="34"/>
      <c r="G569" s="34"/>
      <c r="H569" s="34"/>
      <c r="I569" s="44"/>
      <c r="J569" s="105"/>
      <c r="K569" s="34"/>
      <c r="L569" s="34"/>
      <c r="M569" s="34"/>
    </row>
    <row r="570" spans="1:13" ht="12.75">
      <c r="A570" s="34"/>
      <c r="B570" s="188"/>
      <c r="C570" s="34"/>
      <c r="D570" s="34"/>
      <c r="E570" s="34"/>
      <c r="F570" s="34"/>
      <c r="G570" s="34"/>
      <c r="H570" s="34"/>
      <c r="I570" s="44"/>
      <c r="J570" s="105"/>
      <c r="K570" s="34"/>
      <c r="L570" s="34"/>
      <c r="M570" s="34"/>
    </row>
    <row r="571" spans="1:13" ht="12.75">
      <c r="A571" s="34"/>
      <c r="B571" s="188"/>
      <c r="C571" s="34"/>
      <c r="D571" s="34"/>
      <c r="E571" s="34"/>
      <c r="F571" s="34"/>
      <c r="G571" s="34"/>
      <c r="H571" s="34"/>
      <c r="I571" s="44"/>
      <c r="J571" s="105"/>
      <c r="K571" s="34"/>
      <c r="L571" s="34"/>
      <c r="M571" s="34"/>
    </row>
    <row r="572" spans="1:13" ht="12.75">
      <c r="A572" s="34"/>
      <c r="B572" s="188"/>
      <c r="C572" s="34"/>
      <c r="D572" s="34"/>
      <c r="E572" s="34"/>
      <c r="F572" s="34"/>
      <c r="G572" s="34"/>
      <c r="H572" s="34"/>
      <c r="I572" s="44"/>
      <c r="J572" s="105"/>
      <c r="K572" s="34"/>
      <c r="L572" s="34"/>
      <c r="M572" s="34"/>
    </row>
    <row r="573" spans="1:13" ht="12.75">
      <c r="A573" s="34"/>
      <c r="B573" s="188"/>
      <c r="C573" s="34"/>
      <c r="D573" s="34"/>
      <c r="E573" s="34"/>
      <c r="F573" s="34"/>
      <c r="G573" s="34"/>
      <c r="H573" s="34"/>
      <c r="I573" s="44"/>
      <c r="J573" s="105"/>
      <c r="K573" s="34"/>
      <c r="L573" s="34"/>
      <c r="M573" s="34"/>
    </row>
    <row r="574" spans="1:13" ht="12.75">
      <c r="A574" s="34"/>
      <c r="B574" s="188"/>
      <c r="C574" s="34"/>
      <c r="D574" s="34"/>
      <c r="E574" s="34"/>
      <c r="F574" s="34"/>
      <c r="G574" s="34"/>
      <c r="H574" s="34"/>
      <c r="I574" s="44"/>
      <c r="J574" s="105"/>
      <c r="K574" s="34"/>
      <c r="L574" s="34"/>
      <c r="M574" s="34"/>
    </row>
    <row r="575" spans="1:13" ht="12.75">
      <c r="A575" s="34"/>
      <c r="B575" s="188"/>
      <c r="C575" s="34"/>
      <c r="D575" s="34"/>
      <c r="E575" s="34"/>
      <c r="F575" s="34"/>
      <c r="G575" s="34"/>
      <c r="H575" s="34"/>
      <c r="I575" s="44"/>
      <c r="J575" s="105"/>
      <c r="K575" s="34"/>
      <c r="L575" s="34"/>
      <c r="M575" s="34"/>
    </row>
    <row r="576" spans="1:13" ht="12.75">
      <c r="A576" s="34"/>
      <c r="B576" s="188"/>
      <c r="C576" s="34"/>
      <c r="D576" s="34"/>
      <c r="E576" s="34"/>
      <c r="F576" s="34"/>
      <c r="G576" s="34"/>
      <c r="H576" s="34"/>
      <c r="I576" s="44"/>
      <c r="J576" s="105"/>
      <c r="K576" s="34"/>
      <c r="L576" s="34"/>
      <c r="M576" s="34"/>
    </row>
    <row r="577" spans="1:13" ht="12.75">
      <c r="A577" s="34"/>
      <c r="B577" s="188"/>
      <c r="C577" s="34"/>
      <c r="D577" s="34"/>
      <c r="E577" s="34"/>
      <c r="F577" s="34"/>
      <c r="G577" s="34"/>
      <c r="H577" s="34"/>
      <c r="I577" s="44"/>
      <c r="J577" s="105"/>
      <c r="K577" s="34"/>
      <c r="L577" s="34"/>
      <c r="M577" s="34"/>
    </row>
    <row r="578" spans="1:13" ht="12.75">
      <c r="A578" s="34"/>
      <c r="B578" s="188"/>
      <c r="C578" s="34"/>
      <c r="D578" s="34"/>
      <c r="E578" s="34"/>
      <c r="F578" s="34"/>
      <c r="G578" s="34"/>
      <c r="H578" s="34"/>
      <c r="I578" s="44"/>
      <c r="J578" s="105"/>
      <c r="K578" s="34"/>
      <c r="L578" s="34"/>
      <c r="M578" s="34"/>
    </row>
    <row r="579" spans="1:13" ht="12.75">
      <c r="A579" s="34"/>
      <c r="B579" s="188"/>
      <c r="C579" s="34"/>
      <c r="D579" s="34"/>
      <c r="E579" s="34"/>
      <c r="F579" s="34"/>
      <c r="G579" s="34"/>
      <c r="H579" s="34"/>
      <c r="I579" s="44"/>
      <c r="J579" s="105"/>
      <c r="K579" s="34"/>
      <c r="L579" s="34"/>
      <c r="M579" s="34"/>
    </row>
    <row r="580" spans="1:13" ht="12.75">
      <c r="A580" s="34"/>
      <c r="B580" s="188"/>
      <c r="C580" s="34"/>
      <c r="D580" s="34"/>
      <c r="E580" s="34"/>
      <c r="F580" s="34"/>
      <c r="G580" s="34"/>
      <c r="H580" s="34"/>
      <c r="I580" s="44"/>
      <c r="J580" s="105"/>
      <c r="K580" s="34"/>
      <c r="L580" s="34"/>
      <c r="M580" s="34"/>
    </row>
    <row r="581" spans="1:13" ht="12.75">
      <c r="A581" s="34"/>
      <c r="B581" s="188"/>
      <c r="C581" s="34"/>
      <c r="D581" s="34"/>
      <c r="E581" s="34"/>
      <c r="F581" s="34"/>
      <c r="G581" s="34"/>
      <c r="H581" s="34"/>
      <c r="I581" s="44"/>
      <c r="J581" s="105"/>
      <c r="K581" s="34"/>
      <c r="L581" s="34"/>
      <c r="M581" s="34"/>
    </row>
    <row r="582" spans="1:13" ht="12.75">
      <c r="A582" s="34"/>
      <c r="B582" s="188"/>
      <c r="C582" s="34"/>
      <c r="D582" s="34"/>
      <c r="E582" s="34"/>
      <c r="F582" s="34"/>
      <c r="G582" s="34"/>
      <c r="H582" s="34"/>
      <c r="I582" s="44"/>
      <c r="J582" s="105"/>
      <c r="K582" s="34"/>
      <c r="L582" s="34"/>
      <c r="M582" s="34"/>
    </row>
    <row r="583" spans="1:13" ht="12.75">
      <c r="A583" s="34"/>
      <c r="B583" s="188"/>
      <c r="C583" s="34"/>
      <c r="D583" s="34"/>
      <c r="E583" s="34"/>
      <c r="F583" s="34"/>
      <c r="G583" s="34"/>
      <c r="H583" s="34"/>
      <c r="I583" s="44"/>
      <c r="J583" s="105"/>
      <c r="K583" s="34"/>
      <c r="L583" s="34"/>
      <c r="M583" s="34"/>
    </row>
    <row r="584" spans="1:13" ht="12.75">
      <c r="A584" s="34"/>
      <c r="B584" s="188"/>
      <c r="C584" s="34"/>
      <c r="D584" s="34"/>
      <c r="E584" s="34"/>
      <c r="F584" s="34"/>
      <c r="G584" s="34"/>
      <c r="H584" s="34"/>
      <c r="I584" s="44"/>
      <c r="J584" s="105"/>
      <c r="K584" s="34"/>
      <c r="L584" s="34"/>
      <c r="M584" s="34"/>
    </row>
    <row r="585" spans="1:13" ht="12.75">
      <c r="A585" s="34"/>
      <c r="B585" s="188"/>
      <c r="C585" s="34"/>
      <c r="D585" s="34"/>
      <c r="E585" s="34"/>
      <c r="F585" s="34"/>
      <c r="G585" s="34"/>
      <c r="H585" s="34"/>
      <c r="I585" s="44"/>
      <c r="J585" s="105"/>
      <c r="K585" s="34"/>
      <c r="L585" s="34"/>
      <c r="M585" s="34"/>
    </row>
    <row r="586" spans="1:13" ht="12.75">
      <c r="A586" s="34"/>
      <c r="B586" s="188"/>
      <c r="C586" s="34"/>
      <c r="D586" s="34"/>
      <c r="E586" s="34"/>
      <c r="F586" s="34"/>
      <c r="G586" s="34"/>
      <c r="H586" s="34"/>
      <c r="I586" s="44"/>
      <c r="J586" s="105"/>
      <c r="K586" s="34"/>
      <c r="L586" s="34"/>
      <c r="M586" s="34"/>
    </row>
    <row r="587" spans="1:13" ht="12.75">
      <c r="A587" s="34"/>
      <c r="B587" s="188"/>
      <c r="C587" s="34"/>
      <c r="D587" s="34"/>
      <c r="E587" s="34"/>
      <c r="F587" s="34"/>
      <c r="G587" s="34"/>
      <c r="H587" s="34"/>
      <c r="I587" s="44"/>
      <c r="J587" s="105"/>
      <c r="K587" s="34"/>
      <c r="L587" s="34"/>
      <c r="M587" s="34"/>
    </row>
    <row r="588" spans="1:13" ht="12.75">
      <c r="A588" s="34"/>
      <c r="B588" s="188"/>
      <c r="C588" s="34"/>
      <c r="D588" s="34"/>
      <c r="E588" s="34"/>
      <c r="F588" s="34"/>
      <c r="G588" s="34"/>
      <c r="H588" s="34"/>
      <c r="I588" s="44"/>
      <c r="J588" s="105"/>
      <c r="K588" s="34"/>
      <c r="L588" s="34"/>
      <c r="M588" s="34"/>
    </row>
    <row r="589" spans="1:13" ht="12.75">
      <c r="A589" s="34"/>
      <c r="B589" s="188"/>
      <c r="C589" s="34"/>
      <c r="D589" s="34"/>
      <c r="E589" s="34"/>
      <c r="F589" s="34"/>
      <c r="G589" s="34"/>
      <c r="H589" s="34"/>
      <c r="I589" s="44"/>
      <c r="J589" s="105"/>
      <c r="K589" s="34"/>
      <c r="L589" s="34"/>
      <c r="M589" s="34"/>
    </row>
    <row r="590" spans="1:13" ht="12.75">
      <c r="A590" s="34"/>
      <c r="B590" s="188"/>
      <c r="C590" s="34"/>
      <c r="D590" s="34"/>
      <c r="E590" s="34"/>
      <c r="F590" s="34"/>
      <c r="G590" s="34"/>
      <c r="H590" s="34"/>
      <c r="I590" s="44"/>
      <c r="J590" s="105"/>
      <c r="K590" s="34"/>
      <c r="L590" s="34"/>
      <c r="M590" s="34"/>
    </row>
    <row r="591" spans="1:13" ht="12.75">
      <c r="A591" s="34"/>
      <c r="B591" s="188"/>
      <c r="C591" s="34"/>
      <c r="D591" s="34"/>
      <c r="E591" s="34"/>
      <c r="F591" s="34"/>
      <c r="G591" s="34"/>
      <c r="H591" s="34"/>
      <c r="I591" s="44"/>
      <c r="J591" s="105"/>
      <c r="K591" s="34"/>
      <c r="L591" s="34"/>
      <c r="M591" s="34"/>
    </row>
    <row r="592" spans="1:13" ht="12.75">
      <c r="A592" s="34"/>
      <c r="B592" s="188"/>
      <c r="C592" s="34"/>
      <c r="D592" s="34"/>
      <c r="E592" s="34"/>
      <c r="F592" s="34"/>
      <c r="G592" s="34"/>
      <c r="H592" s="34"/>
      <c r="I592" s="44"/>
      <c r="J592" s="105"/>
      <c r="K592" s="34"/>
      <c r="L592" s="34"/>
      <c r="M592" s="34"/>
    </row>
    <row r="593" spans="1:13" ht="12.75">
      <c r="A593" s="34"/>
      <c r="B593" s="188"/>
      <c r="C593" s="34"/>
      <c r="D593" s="34"/>
      <c r="E593" s="34"/>
      <c r="F593" s="34"/>
      <c r="G593" s="34"/>
      <c r="H593" s="34"/>
      <c r="I593" s="44"/>
      <c r="J593" s="105"/>
      <c r="K593" s="34"/>
      <c r="L593" s="34"/>
      <c r="M593" s="34"/>
    </row>
    <row r="594" spans="1:13" ht="12.75">
      <c r="A594" s="34"/>
      <c r="B594" s="188"/>
      <c r="C594" s="34"/>
      <c r="D594" s="34"/>
      <c r="E594" s="34"/>
      <c r="F594" s="34"/>
      <c r="G594" s="34"/>
      <c r="H594" s="34"/>
      <c r="I594" s="44"/>
      <c r="J594" s="105"/>
      <c r="K594" s="34"/>
      <c r="L594" s="34"/>
      <c r="M594" s="34"/>
    </row>
    <row r="595" spans="1:13" ht="12.75">
      <c r="A595" s="34"/>
      <c r="B595" s="188"/>
      <c r="C595" s="34"/>
      <c r="D595" s="34"/>
      <c r="E595" s="34"/>
      <c r="F595" s="34"/>
      <c r="G595" s="34"/>
      <c r="H595" s="34"/>
      <c r="I595" s="44"/>
      <c r="J595" s="105"/>
      <c r="K595" s="34"/>
      <c r="L595" s="34"/>
      <c r="M595" s="34"/>
    </row>
    <row r="596" spans="1:13" ht="12.75">
      <c r="A596" s="34"/>
      <c r="B596" s="188"/>
      <c r="C596" s="34"/>
      <c r="D596" s="34"/>
      <c r="E596" s="34"/>
      <c r="F596" s="34"/>
      <c r="G596" s="34"/>
      <c r="H596" s="34"/>
      <c r="I596" s="44"/>
      <c r="J596" s="105"/>
      <c r="K596" s="34"/>
      <c r="L596" s="34"/>
      <c r="M596" s="34"/>
    </row>
    <row r="597" spans="1:13" ht="12.75">
      <c r="A597" s="34"/>
      <c r="B597" s="188"/>
      <c r="C597" s="34"/>
      <c r="D597" s="34"/>
      <c r="E597" s="34"/>
      <c r="F597" s="34"/>
      <c r="G597" s="34"/>
      <c r="H597" s="34"/>
      <c r="I597" s="44"/>
      <c r="J597" s="105"/>
      <c r="K597" s="34"/>
      <c r="L597" s="34"/>
      <c r="M597" s="34"/>
    </row>
    <row r="598" spans="1:13" ht="12.75">
      <c r="A598" s="34"/>
      <c r="B598" s="188"/>
      <c r="C598" s="34"/>
      <c r="D598" s="34"/>
      <c r="E598" s="34"/>
      <c r="F598" s="34"/>
      <c r="G598" s="34"/>
      <c r="H598" s="34"/>
      <c r="I598" s="44"/>
      <c r="J598" s="105"/>
      <c r="K598" s="34"/>
      <c r="L598" s="34"/>
      <c r="M598" s="34"/>
    </row>
    <row r="599" spans="1:13" ht="12.75">
      <c r="A599" s="34"/>
      <c r="B599" s="188"/>
      <c r="C599" s="34"/>
      <c r="D599" s="34"/>
      <c r="E599" s="34"/>
      <c r="F599" s="34"/>
      <c r="G599" s="34"/>
      <c r="H599" s="34"/>
      <c r="I599" s="44"/>
      <c r="J599" s="105"/>
      <c r="K599" s="34"/>
      <c r="L599" s="34"/>
      <c r="M599" s="34"/>
    </row>
    <row r="600" spans="1:13" ht="12.75">
      <c r="A600" s="34"/>
      <c r="B600" s="188"/>
      <c r="C600" s="34"/>
      <c r="D600" s="34"/>
      <c r="E600" s="34"/>
      <c r="F600" s="34"/>
      <c r="G600" s="34"/>
      <c r="H600" s="34"/>
      <c r="I600" s="44"/>
      <c r="J600" s="105"/>
      <c r="K600" s="34"/>
      <c r="L600" s="34"/>
      <c r="M600" s="34"/>
    </row>
    <row r="601" spans="1:13" ht="12.75">
      <c r="A601" s="34"/>
      <c r="B601" s="188"/>
      <c r="C601" s="34"/>
      <c r="D601" s="34"/>
      <c r="E601" s="34"/>
      <c r="F601" s="34"/>
      <c r="G601" s="34"/>
      <c r="H601" s="34"/>
      <c r="I601" s="44"/>
      <c r="J601" s="105"/>
      <c r="K601" s="34"/>
      <c r="L601" s="34"/>
      <c r="M601" s="34"/>
    </row>
    <row r="602" spans="1:13" ht="12.75">
      <c r="A602" s="34"/>
      <c r="B602" s="188"/>
      <c r="C602" s="34"/>
      <c r="D602" s="34"/>
      <c r="E602" s="34"/>
      <c r="F602" s="34"/>
      <c r="G602" s="34"/>
      <c r="H602" s="34"/>
      <c r="I602" s="44"/>
      <c r="J602" s="105"/>
      <c r="K602" s="34"/>
      <c r="L602" s="34"/>
      <c r="M602" s="34"/>
    </row>
    <row r="603" spans="1:13" ht="12.75">
      <c r="A603" s="34"/>
      <c r="B603" s="188"/>
      <c r="C603" s="34"/>
      <c r="D603" s="34"/>
      <c r="E603" s="34"/>
      <c r="F603" s="34"/>
      <c r="G603" s="34"/>
      <c r="H603" s="34"/>
      <c r="I603" s="44"/>
      <c r="J603" s="105"/>
      <c r="K603" s="34"/>
      <c r="L603" s="34"/>
      <c r="M603" s="34"/>
    </row>
    <row r="604" spans="1:13" ht="12.75">
      <c r="A604" s="34"/>
      <c r="B604" s="188"/>
      <c r="C604" s="34"/>
      <c r="D604" s="34"/>
      <c r="E604" s="34"/>
      <c r="F604" s="34"/>
      <c r="G604" s="34"/>
      <c r="H604" s="34"/>
      <c r="I604" s="44"/>
      <c r="J604" s="105"/>
      <c r="K604" s="34"/>
      <c r="L604" s="34"/>
      <c r="M604" s="34"/>
    </row>
    <row r="605" spans="1:13" ht="12.75">
      <c r="A605" s="34"/>
      <c r="B605" s="188"/>
      <c r="C605" s="34"/>
      <c r="D605" s="34"/>
      <c r="E605" s="34"/>
      <c r="F605" s="34"/>
      <c r="G605" s="34"/>
      <c r="H605" s="34"/>
      <c r="I605" s="44"/>
      <c r="J605" s="105"/>
      <c r="K605" s="34"/>
      <c r="L605" s="34"/>
      <c r="M605" s="34"/>
    </row>
    <row r="606" spans="1:13" ht="12.75">
      <c r="A606" s="34"/>
      <c r="B606" s="188"/>
      <c r="C606" s="34"/>
      <c r="D606" s="34"/>
      <c r="E606" s="34"/>
      <c r="F606" s="34"/>
      <c r="G606" s="34"/>
      <c r="H606" s="34"/>
      <c r="I606" s="44"/>
      <c r="J606" s="105"/>
      <c r="K606" s="34"/>
      <c r="L606" s="34"/>
      <c r="M606" s="34"/>
    </row>
    <row r="607" spans="1:13" ht="12.75">
      <c r="A607" s="34"/>
      <c r="B607" s="188"/>
      <c r="C607" s="34"/>
      <c r="D607" s="34"/>
      <c r="E607" s="34"/>
      <c r="F607" s="34"/>
      <c r="G607" s="34"/>
      <c r="H607" s="34"/>
      <c r="I607" s="44"/>
      <c r="J607" s="105"/>
      <c r="K607" s="34"/>
      <c r="L607" s="34"/>
      <c r="M607" s="34"/>
    </row>
    <row r="608" spans="1:13" ht="12.75">
      <c r="A608" s="34"/>
      <c r="B608" s="188"/>
      <c r="C608" s="34"/>
      <c r="D608" s="34"/>
      <c r="E608" s="34"/>
      <c r="F608" s="34"/>
      <c r="G608" s="34"/>
      <c r="H608" s="34"/>
      <c r="I608" s="44"/>
      <c r="J608" s="105"/>
      <c r="K608" s="34"/>
      <c r="L608" s="34"/>
      <c r="M608" s="34"/>
    </row>
    <row r="609" spans="1:13" ht="12.75">
      <c r="A609" s="34"/>
      <c r="B609" s="188"/>
      <c r="C609" s="34"/>
      <c r="D609" s="34"/>
      <c r="E609" s="34"/>
      <c r="F609" s="34"/>
      <c r="G609" s="34"/>
      <c r="H609" s="34"/>
      <c r="I609" s="44"/>
      <c r="J609" s="105"/>
      <c r="K609" s="34"/>
      <c r="L609" s="34"/>
      <c r="M609" s="34"/>
    </row>
    <row r="610" spans="1:13" ht="12.75">
      <c r="A610" s="34"/>
      <c r="B610" s="188"/>
      <c r="C610" s="34"/>
      <c r="D610" s="34"/>
      <c r="E610" s="34"/>
      <c r="F610" s="34"/>
      <c r="G610" s="34"/>
      <c r="H610" s="34"/>
      <c r="I610" s="44"/>
      <c r="J610" s="105"/>
      <c r="K610" s="34"/>
      <c r="L610" s="34"/>
      <c r="M610" s="34"/>
    </row>
    <row r="611" spans="1:13" ht="12.75">
      <c r="A611" s="34"/>
      <c r="B611" s="188"/>
      <c r="C611" s="34"/>
      <c r="D611" s="34"/>
      <c r="E611" s="34"/>
      <c r="F611" s="34"/>
      <c r="G611" s="34"/>
      <c r="H611" s="34"/>
      <c r="I611" s="44"/>
      <c r="J611" s="105"/>
      <c r="K611" s="34"/>
      <c r="L611" s="34"/>
      <c r="M611" s="34"/>
    </row>
    <row r="612" spans="1:13" ht="12.75">
      <c r="A612" s="34"/>
      <c r="B612" s="188"/>
      <c r="C612" s="34"/>
      <c r="D612" s="34"/>
      <c r="E612" s="34"/>
      <c r="F612" s="34"/>
      <c r="G612" s="34"/>
      <c r="H612" s="34"/>
      <c r="I612" s="44"/>
      <c r="J612" s="105"/>
      <c r="K612" s="34"/>
      <c r="L612" s="34"/>
      <c r="M612" s="34"/>
    </row>
    <row r="613" spans="1:13" ht="12.75">
      <c r="A613" s="34"/>
      <c r="B613" s="188"/>
      <c r="C613" s="34"/>
      <c r="D613" s="34"/>
      <c r="E613" s="34"/>
      <c r="F613" s="34"/>
      <c r="G613" s="34"/>
      <c r="H613" s="34"/>
      <c r="I613" s="44"/>
      <c r="J613" s="105"/>
      <c r="K613" s="34"/>
      <c r="L613" s="34"/>
      <c r="M613" s="34"/>
    </row>
    <row r="614" spans="1:13" ht="12.75">
      <c r="A614" s="34"/>
      <c r="B614" s="188"/>
      <c r="C614" s="34"/>
      <c r="D614" s="34"/>
      <c r="E614" s="34"/>
      <c r="F614" s="34"/>
      <c r="G614" s="34"/>
      <c r="H614" s="34"/>
      <c r="I614" s="44"/>
      <c r="J614" s="105"/>
      <c r="K614" s="34"/>
      <c r="L614" s="34"/>
      <c r="M614" s="34"/>
    </row>
    <row r="615" spans="1:13" ht="12.75">
      <c r="A615" s="34"/>
      <c r="B615" s="188"/>
      <c r="C615" s="34"/>
      <c r="D615" s="34"/>
      <c r="E615" s="34"/>
      <c r="F615" s="34"/>
      <c r="G615" s="34"/>
      <c r="H615" s="34"/>
      <c r="I615" s="44"/>
      <c r="J615" s="105"/>
      <c r="K615" s="34"/>
      <c r="L615" s="34"/>
      <c r="M615" s="34"/>
    </row>
    <row r="616" spans="1:13" ht="12.75">
      <c r="A616" s="34"/>
      <c r="B616" s="188"/>
      <c r="C616" s="34"/>
      <c r="D616" s="34"/>
      <c r="E616" s="34"/>
      <c r="F616" s="34"/>
      <c r="G616" s="34"/>
      <c r="H616" s="34"/>
      <c r="I616" s="44"/>
      <c r="J616" s="105"/>
      <c r="K616" s="34"/>
      <c r="L616" s="34"/>
      <c r="M616" s="34"/>
    </row>
    <row r="617" spans="1:13" ht="12.75">
      <c r="A617" s="34"/>
      <c r="B617" s="188"/>
      <c r="C617" s="34"/>
      <c r="D617" s="34"/>
      <c r="E617" s="34"/>
      <c r="F617" s="34"/>
      <c r="G617" s="34"/>
      <c r="H617" s="34"/>
      <c r="I617" s="44"/>
      <c r="J617" s="105"/>
      <c r="K617" s="34"/>
      <c r="L617" s="34"/>
      <c r="M617" s="34"/>
    </row>
    <row r="618" spans="1:13" ht="12.75">
      <c r="A618" s="34"/>
      <c r="B618" s="188"/>
      <c r="C618" s="34"/>
      <c r="D618" s="34"/>
      <c r="E618" s="34"/>
      <c r="F618" s="34"/>
      <c r="G618" s="34"/>
      <c r="H618" s="34"/>
      <c r="I618" s="44"/>
      <c r="J618" s="105"/>
      <c r="K618" s="34"/>
      <c r="L618" s="34"/>
      <c r="M618" s="34"/>
    </row>
    <row r="619" spans="1:13" ht="12.75">
      <c r="A619" s="34"/>
      <c r="B619" s="188"/>
      <c r="C619" s="34"/>
      <c r="D619" s="34"/>
      <c r="E619" s="34"/>
      <c r="F619" s="34"/>
      <c r="G619" s="34"/>
      <c r="H619" s="34"/>
      <c r="I619" s="44"/>
      <c r="J619" s="105"/>
      <c r="K619" s="34"/>
      <c r="L619" s="34"/>
      <c r="M619" s="34"/>
    </row>
    <row r="620" spans="1:13" ht="12.75">
      <c r="A620" s="34"/>
      <c r="B620" s="188"/>
      <c r="C620" s="34"/>
      <c r="D620" s="34"/>
      <c r="E620" s="34"/>
      <c r="F620" s="34"/>
      <c r="G620" s="34"/>
      <c r="H620" s="34"/>
      <c r="I620" s="44"/>
      <c r="J620" s="105"/>
      <c r="K620" s="34"/>
      <c r="L620" s="34"/>
      <c r="M620" s="34"/>
    </row>
    <row r="621" spans="1:13" ht="12.75">
      <c r="A621" s="34"/>
      <c r="B621" s="188"/>
      <c r="C621" s="34"/>
      <c r="D621" s="34"/>
      <c r="E621" s="34"/>
      <c r="F621" s="34"/>
      <c r="G621" s="34"/>
      <c r="H621" s="34"/>
      <c r="I621" s="44"/>
      <c r="J621" s="105"/>
      <c r="K621" s="34"/>
      <c r="L621" s="34"/>
      <c r="M621" s="34"/>
    </row>
    <row r="622" spans="1:13" ht="12.75">
      <c r="A622" s="34"/>
      <c r="B622" s="188"/>
      <c r="C622" s="34"/>
      <c r="D622" s="34"/>
      <c r="E622" s="34"/>
      <c r="F622" s="34"/>
      <c r="G622" s="34"/>
      <c r="H622" s="34"/>
      <c r="I622" s="44"/>
      <c r="J622" s="105"/>
      <c r="K622" s="34"/>
      <c r="L622" s="34"/>
      <c r="M622" s="34"/>
    </row>
    <row r="623" spans="1:13" ht="12.75">
      <c r="A623" s="34"/>
      <c r="B623" s="188"/>
      <c r="C623" s="34"/>
      <c r="D623" s="34"/>
      <c r="E623" s="34"/>
      <c r="F623" s="34"/>
      <c r="G623" s="34"/>
      <c r="H623" s="34"/>
      <c r="I623" s="44"/>
      <c r="J623" s="105"/>
      <c r="K623" s="34"/>
      <c r="L623" s="34"/>
      <c r="M623" s="34"/>
    </row>
    <row r="624" spans="1:13" ht="12.75">
      <c r="A624" s="34"/>
      <c r="B624" s="188"/>
      <c r="C624" s="34"/>
      <c r="D624" s="34"/>
      <c r="E624" s="34"/>
      <c r="F624" s="34"/>
      <c r="G624" s="34"/>
      <c r="H624" s="34"/>
      <c r="I624" s="44"/>
      <c r="J624" s="105"/>
      <c r="K624" s="34"/>
      <c r="L624" s="34"/>
      <c r="M624" s="34"/>
    </row>
    <row r="625" spans="1:13" ht="12.75">
      <c r="A625" s="34"/>
      <c r="B625" s="188"/>
      <c r="C625" s="34"/>
      <c r="D625" s="34"/>
      <c r="E625" s="34"/>
      <c r="F625" s="34"/>
      <c r="G625" s="34"/>
      <c r="H625" s="34"/>
      <c r="I625" s="44"/>
      <c r="J625" s="105"/>
      <c r="K625" s="34"/>
      <c r="L625" s="34"/>
      <c r="M625" s="34"/>
    </row>
    <row r="626" spans="1:13" ht="12.75">
      <c r="A626" s="34"/>
      <c r="B626" s="188"/>
      <c r="C626" s="34"/>
      <c r="D626" s="34"/>
      <c r="E626" s="34"/>
      <c r="F626" s="34"/>
      <c r="G626" s="34"/>
      <c r="H626" s="34"/>
      <c r="I626" s="44"/>
      <c r="J626" s="105"/>
      <c r="K626" s="34"/>
      <c r="L626" s="34"/>
      <c r="M626" s="34"/>
    </row>
    <row r="627" spans="1:13" ht="12.75">
      <c r="A627" s="34"/>
      <c r="B627" s="188"/>
      <c r="C627" s="34"/>
      <c r="D627" s="34"/>
      <c r="E627" s="34"/>
      <c r="F627" s="34"/>
      <c r="G627" s="34"/>
      <c r="H627" s="34"/>
      <c r="I627" s="44"/>
      <c r="J627" s="105"/>
      <c r="K627" s="34"/>
      <c r="L627" s="34"/>
      <c r="M627" s="34"/>
    </row>
    <row r="628" spans="1:13" ht="12.75">
      <c r="A628" s="34"/>
      <c r="B628" s="188"/>
      <c r="C628" s="34"/>
      <c r="D628" s="34"/>
      <c r="E628" s="34"/>
      <c r="F628" s="34"/>
      <c r="G628" s="34"/>
      <c r="H628" s="34"/>
      <c r="I628" s="44"/>
      <c r="J628" s="105"/>
      <c r="K628" s="34"/>
      <c r="L628" s="34"/>
      <c r="M628" s="34"/>
    </row>
    <row r="629" spans="1:13" ht="12.75">
      <c r="A629" s="34"/>
      <c r="B629" s="188"/>
      <c r="C629" s="34"/>
      <c r="D629" s="34"/>
      <c r="E629" s="34"/>
      <c r="F629" s="34"/>
      <c r="G629" s="34"/>
      <c r="H629" s="34"/>
      <c r="I629" s="44"/>
      <c r="J629" s="105"/>
      <c r="K629" s="34"/>
      <c r="L629" s="34"/>
      <c r="M629" s="34"/>
    </row>
    <row r="630" spans="1:13" ht="12.75">
      <c r="A630" s="34"/>
      <c r="B630" s="188"/>
      <c r="C630" s="34"/>
      <c r="D630" s="34"/>
      <c r="E630" s="34"/>
      <c r="F630" s="34"/>
      <c r="G630" s="34"/>
      <c r="H630" s="34"/>
      <c r="I630" s="44"/>
      <c r="J630" s="105"/>
      <c r="K630" s="34"/>
      <c r="L630" s="34"/>
      <c r="M630" s="34"/>
    </row>
    <row r="631" spans="1:13" ht="12.75">
      <c r="A631" s="34"/>
      <c r="B631" s="188"/>
      <c r="C631" s="34"/>
      <c r="D631" s="34"/>
      <c r="E631" s="34"/>
      <c r="F631" s="34"/>
      <c r="G631" s="34"/>
      <c r="H631" s="34"/>
      <c r="I631" s="44"/>
      <c r="J631" s="105"/>
      <c r="K631" s="34"/>
      <c r="L631" s="34"/>
      <c r="M631" s="34"/>
    </row>
    <row r="632" spans="1:13" ht="12.75">
      <c r="A632" s="34"/>
      <c r="B632" s="188"/>
      <c r="C632" s="34"/>
      <c r="D632" s="34"/>
      <c r="E632" s="34"/>
      <c r="F632" s="34"/>
      <c r="G632" s="34"/>
      <c r="H632" s="34"/>
      <c r="I632" s="44"/>
      <c r="J632" s="105"/>
      <c r="K632" s="34"/>
      <c r="L632" s="34"/>
      <c r="M632" s="34"/>
    </row>
    <row r="633" spans="1:13" ht="12.75">
      <c r="A633" s="34"/>
      <c r="B633" s="188"/>
      <c r="C633" s="34"/>
      <c r="D633" s="34"/>
      <c r="E633" s="34"/>
      <c r="F633" s="34"/>
      <c r="G633" s="34"/>
      <c r="H633" s="34"/>
      <c r="I633" s="44"/>
      <c r="J633" s="105"/>
      <c r="K633" s="34"/>
      <c r="L633" s="34"/>
      <c r="M633" s="34"/>
    </row>
    <row r="634" spans="1:13" ht="12.75">
      <c r="A634" s="34"/>
      <c r="B634" s="188"/>
      <c r="C634" s="34"/>
      <c r="D634" s="34"/>
      <c r="E634" s="34"/>
      <c r="F634" s="34"/>
      <c r="G634" s="34"/>
      <c r="H634" s="34"/>
      <c r="I634" s="44"/>
      <c r="J634" s="105"/>
      <c r="K634" s="34"/>
      <c r="L634" s="34"/>
      <c r="M634" s="34"/>
    </row>
    <row r="635" spans="1:13" ht="12.75">
      <c r="A635" s="34"/>
      <c r="B635" s="188"/>
      <c r="C635" s="34"/>
      <c r="D635" s="34"/>
      <c r="E635" s="34"/>
      <c r="F635" s="34"/>
      <c r="G635" s="34"/>
      <c r="H635" s="34"/>
      <c r="I635" s="44"/>
      <c r="J635" s="105"/>
      <c r="K635" s="34"/>
      <c r="L635" s="34"/>
      <c r="M635" s="34"/>
    </row>
    <row r="636" spans="1:13" ht="12.75">
      <c r="A636" s="34"/>
      <c r="B636" s="188"/>
      <c r="C636" s="34"/>
      <c r="D636" s="34"/>
      <c r="E636" s="34"/>
      <c r="F636" s="34"/>
      <c r="G636" s="34"/>
      <c r="H636" s="34"/>
      <c r="I636" s="44"/>
      <c r="J636" s="105"/>
      <c r="K636" s="34"/>
      <c r="L636" s="34"/>
      <c r="M636" s="34"/>
    </row>
    <row r="637" spans="1:13" ht="12.75">
      <c r="A637" s="34"/>
      <c r="B637" s="188"/>
      <c r="C637" s="34"/>
      <c r="D637" s="34"/>
      <c r="E637" s="34"/>
      <c r="F637" s="34"/>
      <c r="G637" s="34"/>
      <c r="H637" s="34"/>
      <c r="I637" s="44"/>
      <c r="J637" s="105"/>
      <c r="K637" s="34"/>
      <c r="L637" s="34"/>
      <c r="M637" s="34"/>
    </row>
    <row r="638" spans="1:13" ht="12.75">
      <c r="A638" s="34"/>
      <c r="B638" s="188"/>
      <c r="C638" s="34"/>
      <c r="D638" s="34"/>
      <c r="E638" s="34"/>
      <c r="F638" s="34"/>
      <c r="G638" s="34"/>
      <c r="H638" s="34"/>
      <c r="I638" s="44"/>
      <c r="J638" s="105"/>
      <c r="K638" s="34"/>
      <c r="L638" s="34"/>
      <c r="M638" s="34"/>
    </row>
    <row r="639" spans="1:13" ht="12.75">
      <c r="A639" s="34"/>
      <c r="B639" s="188"/>
      <c r="C639" s="34"/>
      <c r="D639" s="34"/>
      <c r="E639" s="34"/>
      <c r="F639" s="34"/>
      <c r="G639" s="34"/>
      <c r="H639" s="34"/>
      <c r="I639" s="44"/>
      <c r="J639" s="105"/>
      <c r="K639" s="34"/>
      <c r="L639" s="34"/>
      <c r="M639" s="34"/>
    </row>
    <row r="640" spans="1:13" ht="12.75">
      <c r="A640" s="34"/>
      <c r="B640" s="188"/>
      <c r="C640" s="34"/>
      <c r="D640" s="34"/>
      <c r="E640" s="34"/>
      <c r="F640" s="34"/>
      <c r="G640" s="34"/>
      <c r="H640" s="34"/>
      <c r="I640" s="44"/>
      <c r="J640" s="105"/>
      <c r="K640" s="34"/>
      <c r="L640" s="34"/>
      <c r="M640" s="34"/>
    </row>
    <row r="641" spans="1:13" ht="12.75">
      <c r="A641" s="34"/>
      <c r="B641" s="188"/>
      <c r="C641" s="34"/>
      <c r="D641" s="34"/>
      <c r="E641" s="34"/>
      <c r="F641" s="34"/>
      <c r="G641" s="34"/>
      <c r="H641" s="34"/>
      <c r="I641" s="44"/>
      <c r="J641" s="105"/>
      <c r="K641" s="34"/>
      <c r="L641" s="34"/>
      <c r="M641" s="34"/>
    </row>
    <row r="642" spans="1:13" ht="12.75">
      <c r="A642" s="34"/>
      <c r="B642" s="188"/>
      <c r="C642" s="34"/>
      <c r="D642" s="34"/>
      <c r="E642" s="34"/>
      <c r="F642" s="34"/>
      <c r="G642" s="34"/>
      <c r="H642" s="34"/>
      <c r="I642" s="44"/>
      <c r="J642" s="105"/>
      <c r="K642" s="34"/>
      <c r="L642" s="34"/>
      <c r="M642" s="34"/>
    </row>
    <row r="643" spans="1:13" ht="12.75">
      <c r="A643" s="34"/>
      <c r="B643" s="188"/>
      <c r="C643" s="34"/>
      <c r="D643" s="34"/>
      <c r="E643" s="34"/>
      <c r="F643" s="34"/>
      <c r="G643" s="34"/>
      <c r="H643" s="34"/>
      <c r="I643" s="44"/>
      <c r="J643" s="105"/>
      <c r="K643" s="34"/>
      <c r="L643" s="34"/>
      <c r="M643" s="34"/>
    </row>
    <row r="644" spans="1:13" ht="12.75">
      <c r="A644" s="34"/>
      <c r="B644" s="188"/>
      <c r="C644" s="34"/>
      <c r="D644" s="34"/>
      <c r="E644" s="34"/>
      <c r="F644" s="34"/>
      <c r="G644" s="34"/>
      <c r="H644" s="34"/>
      <c r="I644" s="44"/>
      <c r="J644" s="105"/>
      <c r="K644" s="34"/>
      <c r="L644" s="34"/>
      <c r="M644" s="34"/>
    </row>
    <row r="645" spans="1:13" ht="12.75">
      <c r="A645" s="34"/>
      <c r="B645" s="188"/>
      <c r="C645" s="34"/>
      <c r="D645" s="34"/>
      <c r="E645" s="34"/>
      <c r="F645" s="34"/>
      <c r="G645" s="34"/>
      <c r="H645" s="34"/>
      <c r="I645" s="44"/>
      <c r="J645" s="105"/>
      <c r="K645" s="34"/>
      <c r="L645" s="34"/>
      <c r="M645" s="34"/>
    </row>
    <row r="646" spans="1:13" ht="12.75">
      <c r="A646" s="34"/>
      <c r="B646" s="188"/>
      <c r="C646" s="34"/>
      <c r="D646" s="34"/>
      <c r="E646" s="34"/>
      <c r="F646" s="34"/>
      <c r="G646" s="34"/>
      <c r="H646" s="34"/>
      <c r="I646" s="44"/>
      <c r="J646" s="105"/>
      <c r="K646" s="34"/>
      <c r="L646" s="34"/>
      <c r="M646" s="34"/>
    </row>
    <row r="647" spans="1:13" ht="12.75">
      <c r="A647" s="34"/>
      <c r="B647" s="188"/>
      <c r="C647" s="34"/>
      <c r="D647" s="34"/>
      <c r="E647" s="34"/>
      <c r="F647" s="34"/>
      <c r="G647" s="34"/>
      <c r="H647" s="34"/>
      <c r="I647" s="44"/>
      <c r="J647" s="105"/>
      <c r="K647" s="34"/>
      <c r="L647" s="34"/>
      <c r="M647" s="34"/>
    </row>
    <row r="648" spans="1:13" ht="12.75">
      <c r="A648" s="34"/>
      <c r="B648" s="188"/>
      <c r="C648" s="34"/>
      <c r="D648" s="34"/>
      <c r="E648" s="34"/>
      <c r="F648" s="34"/>
      <c r="G648" s="34"/>
      <c r="H648" s="34"/>
      <c r="I648" s="44"/>
      <c r="J648" s="105"/>
      <c r="K648" s="34"/>
      <c r="L648" s="34"/>
      <c r="M648" s="34"/>
    </row>
    <row r="649" spans="1:13" ht="12.75">
      <c r="A649" s="34"/>
      <c r="B649" s="188"/>
      <c r="C649" s="34"/>
      <c r="D649" s="34"/>
      <c r="E649" s="34"/>
      <c r="F649" s="34"/>
      <c r="G649" s="34"/>
      <c r="H649" s="34"/>
      <c r="I649" s="44"/>
      <c r="J649" s="105"/>
      <c r="K649" s="34"/>
      <c r="L649" s="34"/>
      <c r="M649" s="34"/>
    </row>
    <row r="650" spans="1:13" ht="12.75">
      <c r="A650" s="34"/>
      <c r="B650" s="188"/>
      <c r="C650" s="34"/>
      <c r="D650" s="34"/>
      <c r="E650" s="34"/>
      <c r="F650" s="34"/>
      <c r="G650" s="34"/>
      <c r="H650" s="34"/>
      <c r="I650" s="44"/>
      <c r="J650" s="105"/>
      <c r="K650" s="34"/>
      <c r="L650" s="34"/>
      <c r="M650" s="34"/>
    </row>
    <row r="651" spans="1:13" ht="12.75">
      <c r="A651" s="34"/>
      <c r="B651" s="188"/>
      <c r="C651" s="34"/>
      <c r="D651" s="34"/>
      <c r="E651" s="34"/>
      <c r="F651" s="34"/>
      <c r="G651" s="34"/>
      <c r="H651" s="34"/>
      <c r="I651" s="44"/>
      <c r="J651" s="105"/>
      <c r="K651" s="34"/>
      <c r="L651" s="34"/>
      <c r="M651" s="34"/>
    </row>
    <row r="652" spans="1:13" ht="12.75">
      <c r="A652" s="34"/>
      <c r="B652" s="188"/>
      <c r="C652" s="34"/>
      <c r="D652" s="34"/>
      <c r="E652" s="34"/>
      <c r="F652" s="34"/>
      <c r="G652" s="34"/>
      <c r="H652" s="34"/>
      <c r="I652" s="44"/>
      <c r="J652" s="105"/>
      <c r="K652" s="34"/>
      <c r="L652" s="34"/>
      <c r="M652" s="34"/>
    </row>
    <row r="653" spans="1:13" ht="12.75">
      <c r="A653" s="34"/>
      <c r="B653" s="188"/>
      <c r="C653" s="34"/>
      <c r="D653" s="34"/>
      <c r="E653" s="34"/>
      <c r="F653" s="34"/>
      <c r="G653" s="34"/>
      <c r="H653" s="34"/>
      <c r="I653" s="44"/>
      <c r="J653" s="105"/>
      <c r="K653" s="34"/>
      <c r="L653" s="34"/>
      <c r="M653" s="34"/>
    </row>
    <row r="654" spans="1:13" ht="12.75">
      <c r="A654" s="34"/>
      <c r="B654" s="188"/>
      <c r="C654" s="34"/>
      <c r="D654" s="34"/>
      <c r="E654" s="34"/>
      <c r="F654" s="34"/>
      <c r="G654" s="34"/>
      <c r="H654" s="34"/>
      <c r="I654" s="44"/>
      <c r="J654" s="105"/>
      <c r="K654" s="34"/>
      <c r="L654" s="34"/>
      <c r="M654" s="34"/>
    </row>
    <row r="655" spans="1:13" ht="12.75">
      <c r="A655" s="34"/>
      <c r="B655" s="188"/>
      <c r="C655" s="34"/>
      <c r="D655" s="34"/>
      <c r="E655" s="34"/>
      <c r="F655" s="34"/>
      <c r="G655" s="34"/>
      <c r="H655" s="34"/>
      <c r="I655" s="44"/>
      <c r="J655" s="105"/>
      <c r="K655" s="34"/>
      <c r="L655" s="34"/>
      <c r="M655" s="34"/>
    </row>
    <row r="656" spans="1:13" ht="12.75">
      <c r="A656" s="34"/>
      <c r="B656" s="188"/>
      <c r="C656" s="34"/>
      <c r="D656" s="34"/>
      <c r="E656" s="34"/>
      <c r="F656" s="34"/>
      <c r="G656" s="34"/>
      <c r="H656" s="34"/>
      <c r="I656" s="44"/>
      <c r="J656" s="105"/>
      <c r="K656" s="34"/>
      <c r="L656" s="34"/>
      <c r="M656" s="34"/>
    </row>
    <row r="657" spans="1:13" ht="12.75">
      <c r="A657" s="34"/>
      <c r="B657" s="188"/>
      <c r="C657" s="34"/>
      <c r="D657" s="34"/>
      <c r="E657" s="34"/>
      <c r="F657" s="34"/>
      <c r="G657" s="34"/>
      <c r="H657" s="34"/>
      <c r="I657" s="44"/>
      <c r="J657" s="105"/>
      <c r="K657" s="34"/>
      <c r="L657" s="34"/>
      <c r="M657" s="34"/>
    </row>
    <row r="658" spans="1:13" ht="12.75">
      <c r="A658" s="34"/>
      <c r="B658" s="188"/>
      <c r="C658" s="34"/>
      <c r="D658" s="34"/>
      <c r="E658" s="34"/>
      <c r="F658" s="34"/>
      <c r="G658" s="34"/>
      <c r="H658" s="34"/>
      <c r="I658" s="44"/>
      <c r="J658" s="105"/>
      <c r="K658" s="34"/>
      <c r="L658" s="34"/>
      <c r="M658" s="34"/>
    </row>
    <row r="659" spans="1:13" ht="12.75">
      <c r="A659" s="34"/>
      <c r="B659" s="188"/>
      <c r="C659" s="34"/>
      <c r="D659" s="34"/>
      <c r="E659" s="34"/>
      <c r="F659" s="34"/>
      <c r="G659" s="34"/>
      <c r="H659" s="34"/>
      <c r="I659" s="44"/>
      <c r="J659" s="105"/>
      <c r="K659" s="34"/>
      <c r="L659" s="34"/>
      <c r="M659" s="34"/>
    </row>
    <row r="660" spans="1:13" ht="12.75">
      <c r="A660" s="34"/>
      <c r="B660" s="188"/>
      <c r="C660" s="34"/>
      <c r="D660" s="34"/>
      <c r="E660" s="34"/>
      <c r="F660" s="34"/>
      <c r="G660" s="34"/>
      <c r="H660" s="34"/>
      <c r="I660" s="44"/>
      <c r="J660" s="105"/>
      <c r="K660" s="34"/>
      <c r="L660" s="34"/>
      <c r="M660" s="34"/>
    </row>
    <row r="661" spans="1:13" ht="12.75">
      <c r="A661" s="34"/>
      <c r="B661" s="188"/>
      <c r="C661" s="34"/>
      <c r="D661" s="34"/>
      <c r="E661" s="34"/>
      <c r="F661" s="34"/>
      <c r="G661" s="34"/>
      <c r="H661" s="34"/>
      <c r="I661" s="44"/>
      <c r="J661" s="105"/>
      <c r="K661" s="34"/>
      <c r="L661" s="34"/>
      <c r="M661" s="34"/>
    </row>
    <row r="662" spans="1:13" ht="12.75">
      <c r="A662" s="34"/>
      <c r="B662" s="188"/>
      <c r="C662" s="34"/>
      <c r="D662" s="34"/>
      <c r="E662" s="34"/>
      <c r="F662" s="34"/>
      <c r="G662" s="34"/>
      <c r="H662" s="34"/>
      <c r="I662" s="44"/>
      <c r="J662" s="105"/>
      <c r="K662" s="34"/>
      <c r="L662" s="34"/>
      <c r="M662" s="34"/>
    </row>
    <row r="663" spans="1:13" ht="12.75">
      <c r="A663" s="34"/>
      <c r="B663" s="188"/>
      <c r="C663" s="34"/>
      <c r="D663" s="34"/>
      <c r="E663" s="34"/>
      <c r="F663" s="34"/>
      <c r="G663" s="34"/>
      <c r="H663" s="34"/>
      <c r="I663" s="44"/>
      <c r="J663" s="105"/>
      <c r="K663" s="34"/>
      <c r="L663" s="34"/>
      <c r="M663" s="34"/>
    </row>
    <row r="664" spans="1:13" ht="12.75">
      <c r="A664" s="34"/>
      <c r="B664" s="188"/>
      <c r="C664" s="34"/>
      <c r="D664" s="34"/>
      <c r="E664" s="34"/>
      <c r="F664" s="34"/>
      <c r="G664" s="34"/>
      <c r="H664" s="34"/>
      <c r="I664" s="44"/>
      <c r="J664" s="105"/>
      <c r="K664" s="34"/>
      <c r="L664" s="34"/>
      <c r="M664" s="34"/>
    </row>
    <row r="665" spans="1:13" ht="12.75">
      <c r="A665" s="34"/>
      <c r="B665" s="188"/>
      <c r="C665" s="34"/>
      <c r="D665" s="34"/>
      <c r="E665" s="34"/>
      <c r="F665" s="34"/>
      <c r="G665" s="34"/>
      <c r="H665" s="34"/>
      <c r="I665" s="44"/>
      <c r="J665" s="105"/>
      <c r="K665" s="34"/>
      <c r="L665" s="34"/>
      <c r="M665" s="34"/>
    </row>
    <row r="666" spans="1:13" ht="12.75">
      <c r="A666" s="34"/>
      <c r="B666" s="188"/>
      <c r="C666" s="34"/>
      <c r="D666" s="34"/>
      <c r="E666" s="34"/>
      <c r="F666" s="34"/>
      <c r="G666" s="34"/>
      <c r="H666" s="34"/>
      <c r="I666" s="44"/>
      <c r="J666" s="105"/>
      <c r="K666" s="34"/>
      <c r="L666" s="34"/>
      <c r="M666" s="34"/>
    </row>
    <row r="667" spans="1:13" ht="12.75">
      <c r="A667" s="34"/>
      <c r="B667" s="188"/>
      <c r="C667" s="34"/>
      <c r="D667" s="34"/>
      <c r="E667" s="34"/>
      <c r="F667" s="34"/>
      <c r="G667" s="34"/>
      <c r="H667" s="34"/>
      <c r="I667" s="44"/>
      <c r="J667" s="105"/>
      <c r="K667" s="34"/>
      <c r="L667" s="34"/>
      <c r="M667" s="34"/>
    </row>
    <row r="668" spans="1:13" ht="12.75">
      <c r="A668" s="34"/>
      <c r="B668" s="188"/>
      <c r="C668" s="34"/>
      <c r="D668" s="34"/>
      <c r="E668" s="34"/>
      <c r="F668" s="34"/>
      <c r="G668" s="34"/>
      <c r="H668" s="34"/>
      <c r="I668" s="44"/>
      <c r="J668" s="105"/>
      <c r="K668" s="34"/>
      <c r="L668" s="34"/>
      <c r="M668" s="34"/>
    </row>
    <row r="669" spans="1:13" ht="12.75">
      <c r="A669" s="34"/>
      <c r="B669" s="188"/>
      <c r="C669" s="34"/>
      <c r="D669" s="34"/>
      <c r="E669" s="34"/>
      <c r="F669" s="34"/>
      <c r="G669" s="34"/>
      <c r="H669" s="34"/>
      <c r="I669" s="44"/>
      <c r="J669" s="105"/>
      <c r="K669" s="34"/>
      <c r="L669" s="34"/>
      <c r="M669" s="34"/>
    </row>
    <row r="670" spans="1:13" ht="12.75">
      <c r="A670" s="34"/>
      <c r="B670" s="188"/>
      <c r="C670" s="34"/>
      <c r="D670" s="34"/>
      <c r="E670" s="34"/>
      <c r="F670" s="34"/>
      <c r="G670" s="34"/>
      <c r="H670" s="34"/>
      <c r="I670" s="44"/>
      <c r="J670" s="105"/>
      <c r="K670" s="34"/>
      <c r="L670" s="34"/>
      <c r="M670" s="34"/>
    </row>
    <row r="671" spans="1:13" ht="12.75">
      <c r="A671" s="34"/>
      <c r="B671" s="188"/>
      <c r="C671" s="34"/>
      <c r="D671" s="34"/>
      <c r="E671" s="34"/>
      <c r="F671" s="34"/>
      <c r="G671" s="34"/>
      <c r="H671" s="34"/>
      <c r="I671" s="44"/>
      <c r="J671" s="105"/>
      <c r="K671" s="34"/>
      <c r="L671" s="34"/>
      <c r="M671" s="34"/>
    </row>
    <row r="672" spans="1:13" ht="12.75">
      <c r="A672" s="34"/>
      <c r="B672" s="188"/>
      <c r="C672" s="34"/>
      <c r="D672" s="34"/>
      <c r="E672" s="34"/>
      <c r="F672" s="34"/>
      <c r="G672" s="34"/>
      <c r="H672" s="34"/>
      <c r="I672" s="44"/>
      <c r="J672" s="105"/>
      <c r="K672" s="34"/>
      <c r="L672" s="34"/>
      <c r="M672" s="34"/>
    </row>
    <row r="673" spans="1:13" ht="12.75">
      <c r="A673" s="34"/>
      <c r="B673" s="188"/>
      <c r="C673" s="34"/>
      <c r="D673" s="34"/>
      <c r="E673" s="34"/>
      <c r="F673" s="34"/>
      <c r="G673" s="34"/>
      <c r="H673" s="34"/>
      <c r="I673" s="44"/>
      <c r="J673" s="105"/>
      <c r="K673" s="34"/>
      <c r="L673" s="34"/>
      <c r="M673" s="34"/>
    </row>
    <row r="674" spans="1:13" ht="12.75">
      <c r="A674" s="34"/>
      <c r="B674" s="188"/>
      <c r="C674" s="34"/>
      <c r="D674" s="34"/>
      <c r="E674" s="34"/>
      <c r="F674" s="34"/>
      <c r="G674" s="34"/>
      <c r="H674" s="34"/>
      <c r="I674" s="44"/>
      <c r="J674" s="105"/>
      <c r="K674" s="34"/>
      <c r="L674" s="34"/>
      <c r="M674" s="34"/>
    </row>
    <row r="675" spans="1:13" ht="12.75">
      <c r="A675" s="34"/>
      <c r="B675" s="188"/>
      <c r="C675" s="34"/>
      <c r="D675" s="34"/>
      <c r="E675" s="34"/>
      <c r="F675" s="34"/>
      <c r="G675" s="34"/>
      <c r="H675" s="34"/>
      <c r="I675" s="44"/>
      <c r="J675" s="105"/>
      <c r="K675" s="34"/>
      <c r="L675" s="34"/>
      <c r="M675" s="34"/>
    </row>
    <row r="676" spans="1:13" ht="12.75">
      <c r="A676" s="34"/>
      <c r="B676" s="188"/>
      <c r="C676" s="34"/>
      <c r="D676" s="34"/>
      <c r="E676" s="34"/>
      <c r="F676" s="34"/>
      <c r="G676" s="34"/>
      <c r="H676" s="34"/>
      <c r="I676" s="44"/>
      <c r="J676" s="105"/>
      <c r="K676" s="34"/>
      <c r="L676" s="34"/>
      <c r="M676" s="34"/>
    </row>
    <row r="677" spans="1:13" ht="12.75">
      <c r="A677" s="34"/>
      <c r="B677" s="188"/>
      <c r="C677" s="34"/>
      <c r="D677" s="34"/>
      <c r="E677" s="34"/>
      <c r="F677" s="34"/>
      <c r="G677" s="34"/>
      <c r="H677" s="34"/>
      <c r="I677" s="44"/>
      <c r="J677" s="105"/>
      <c r="K677" s="34"/>
      <c r="L677" s="34"/>
      <c r="M677" s="34"/>
    </row>
    <row r="678" spans="1:13" ht="12.75">
      <c r="A678" s="34"/>
      <c r="B678" s="188"/>
      <c r="C678" s="34"/>
      <c r="D678" s="34"/>
      <c r="E678" s="34"/>
      <c r="F678" s="34"/>
      <c r="G678" s="34"/>
      <c r="H678" s="34"/>
      <c r="I678" s="44"/>
      <c r="J678" s="105"/>
      <c r="K678" s="34"/>
      <c r="L678" s="34"/>
      <c r="M678" s="34"/>
    </row>
    <row r="679" spans="1:13" ht="12.75">
      <c r="A679" s="34"/>
      <c r="B679" s="188"/>
      <c r="C679" s="34"/>
      <c r="D679" s="34"/>
      <c r="E679" s="34"/>
      <c r="F679" s="34"/>
      <c r="G679" s="34"/>
      <c r="H679" s="34"/>
      <c r="I679" s="44"/>
      <c r="J679" s="105"/>
      <c r="K679" s="34"/>
      <c r="L679" s="34"/>
      <c r="M679" s="34"/>
    </row>
    <row r="680" spans="1:13" ht="12.75">
      <c r="A680" s="34"/>
      <c r="B680" s="188"/>
      <c r="C680" s="34"/>
      <c r="D680" s="34"/>
      <c r="E680" s="34"/>
      <c r="F680" s="34"/>
      <c r="G680" s="34"/>
      <c r="H680" s="34"/>
      <c r="I680" s="44"/>
      <c r="J680" s="105"/>
      <c r="K680" s="34"/>
      <c r="L680" s="34"/>
      <c r="M680" s="34"/>
    </row>
    <row r="681" spans="1:13" ht="12.75">
      <c r="A681" s="34"/>
      <c r="B681" s="188"/>
      <c r="C681" s="34"/>
      <c r="D681" s="34"/>
      <c r="E681" s="34"/>
      <c r="F681" s="34"/>
      <c r="G681" s="34"/>
      <c r="H681" s="34"/>
      <c r="I681" s="44"/>
      <c r="J681" s="105"/>
      <c r="K681" s="34"/>
      <c r="L681" s="34"/>
      <c r="M681" s="34"/>
    </row>
    <row r="682" spans="1:13" ht="12.75">
      <c r="A682" s="34"/>
      <c r="B682" s="188"/>
      <c r="C682" s="34"/>
      <c r="D682" s="34"/>
      <c r="E682" s="34"/>
      <c r="F682" s="34"/>
      <c r="G682" s="34"/>
      <c r="H682" s="34"/>
      <c r="I682" s="44"/>
      <c r="J682" s="105"/>
      <c r="K682" s="34"/>
      <c r="L682" s="34"/>
      <c r="M682" s="34"/>
    </row>
    <row r="683" spans="1:13" ht="12.75">
      <c r="A683" s="34"/>
      <c r="B683" s="188"/>
      <c r="C683" s="34"/>
      <c r="D683" s="34"/>
      <c r="E683" s="34"/>
      <c r="F683" s="34"/>
      <c r="G683" s="34"/>
      <c r="H683" s="34"/>
      <c r="I683" s="44"/>
      <c r="J683" s="105"/>
      <c r="K683" s="34"/>
      <c r="L683" s="34"/>
      <c r="M683" s="34"/>
    </row>
    <row r="684" spans="1:13" ht="12.75">
      <c r="A684" s="34"/>
      <c r="B684" s="188"/>
      <c r="C684" s="34"/>
      <c r="D684" s="34"/>
      <c r="E684" s="34"/>
      <c r="F684" s="34"/>
      <c r="G684" s="34"/>
      <c r="H684" s="34"/>
      <c r="I684" s="44"/>
      <c r="J684" s="105"/>
      <c r="K684" s="34"/>
      <c r="L684" s="34"/>
      <c r="M684" s="34"/>
    </row>
    <row r="685" spans="1:13" ht="12.75">
      <c r="A685" s="34"/>
      <c r="B685" s="188"/>
      <c r="C685" s="34"/>
      <c r="D685" s="34"/>
      <c r="E685" s="34"/>
      <c r="F685" s="34"/>
      <c r="G685" s="34"/>
      <c r="H685" s="34"/>
      <c r="I685" s="44"/>
      <c r="J685" s="105"/>
      <c r="K685" s="34"/>
      <c r="L685" s="34"/>
      <c r="M685" s="34"/>
    </row>
    <row r="686" spans="1:13" ht="12.75">
      <c r="A686" s="34"/>
      <c r="B686" s="188"/>
      <c r="C686" s="34"/>
      <c r="D686" s="34"/>
      <c r="E686" s="34"/>
      <c r="F686" s="34"/>
      <c r="G686" s="34"/>
      <c r="H686" s="34"/>
      <c r="I686" s="44"/>
      <c r="J686" s="105"/>
      <c r="K686" s="34"/>
      <c r="L686" s="34"/>
      <c r="M686" s="34"/>
    </row>
    <row r="687" spans="1:13" ht="12.75">
      <c r="A687" s="34"/>
      <c r="B687" s="188"/>
      <c r="C687" s="34"/>
      <c r="D687" s="34"/>
      <c r="E687" s="34"/>
      <c r="F687" s="34"/>
      <c r="G687" s="34"/>
      <c r="H687" s="34"/>
      <c r="I687" s="44"/>
      <c r="J687" s="105"/>
      <c r="K687" s="34"/>
      <c r="L687" s="34"/>
      <c r="M687" s="34"/>
    </row>
    <row r="688" spans="1:13" ht="12.75">
      <c r="A688" s="34"/>
      <c r="B688" s="188"/>
      <c r="C688" s="34"/>
      <c r="D688" s="34"/>
      <c r="E688" s="34"/>
      <c r="F688" s="34"/>
      <c r="G688" s="34"/>
      <c r="H688" s="34"/>
      <c r="I688" s="44"/>
      <c r="J688" s="105"/>
      <c r="K688" s="34"/>
      <c r="L688" s="34"/>
      <c r="M688" s="34"/>
    </row>
    <row r="689" spans="1:13" ht="12.75">
      <c r="A689" s="34"/>
      <c r="B689" s="188"/>
      <c r="C689" s="34"/>
      <c r="D689" s="34"/>
      <c r="E689" s="34"/>
      <c r="F689" s="34"/>
      <c r="G689" s="34"/>
      <c r="H689" s="34"/>
      <c r="I689" s="44"/>
      <c r="J689" s="105"/>
      <c r="K689" s="34"/>
      <c r="L689" s="34"/>
      <c r="M689" s="34"/>
    </row>
    <row r="690" spans="1:13" ht="12.75">
      <c r="A690" s="34"/>
      <c r="B690" s="188"/>
      <c r="C690" s="34"/>
      <c r="D690" s="34"/>
      <c r="E690" s="34"/>
      <c r="F690" s="34"/>
      <c r="G690" s="34"/>
      <c r="H690" s="34"/>
      <c r="I690" s="44"/>
      <c r="J690" s="105"/>
      <c r="K690" s="34"/>
      <c r="L690" s="34"/>
      <c r="M690" s="34"/>
    </row>
    <row r="691" spans="1:13" ht="12.75">
      <c r="A691" s="34"/>
      <c r="B691" s="188"/>
      <c r="C691" s="34"/>
      <c r="D691" s="34"/>
      <c r="E691" s="34"/>
      <c r="F691" s="34"/>
      <c r="G691" s="34"/>
      <c r="H691" s="34"/>
      <c r="I691" s="44"/>
      <c r="J691" s="105"/>
      <c r="K691" s="34"/>
      <c r="L691" s="34"/>
      <c r="M691" s="34"/>
    </row>
    <row r="692" spans="1:13" ht="12.75">
      <c r="A692" s="34"/>
      <c r="B692" s="188"/>
      <c r="C692" s="34"/>
      <c r="D692" s="34"/>
      <c r="E692" s="34"/>
      <c r="F692" s="34"/>
      <c r="G692" s="34"/>
      <c r="H692" s="34"/>
      <c r="I692" s="44"/>
      <c r="J692" s="105"/>
      <c r="K692" s="34"/>
      <c r="L692" s="34"/>
      <c r="M692" s="34"/>
    </row>
    <row r="693" spans="1:13" ht="12.75">
      <c r="A693" s="34"/>
      <c r="B693" s="188"/>
      <c r="C693" s="34"/>
      <c r="D693" s="34"/>
      <c r="E693" s="34"/>
      <c r="F693" s="34"/>
      <c r="G693" s="34"/>
      <c r="H693" s="34"/>
      <c r="I693" s="44"/>
      <c r="J693" s="105"/>
      <c r="K693" s="34"/>
      <c r="L693" s="34"/>
      <c r="M693" s="34"/>
    </row>
    <row r="694" spans="1:13" ht="12.75">
      <c r="A694" s="34"/>
      <c r="B694" s="188"/>
      <c r="C694" s="34"/>
      <c r="D694" s="34"/>
      <c r="E694" s="34"/>
      <c r="F694" s="34"/>
      <c r="G694" s="34"/>
      <c r="H694" s="34"/>
      <c r="I694" s="44"/>
      <c r="J694" s="105"/>
      <c r="K694" s="34"/>
      <c r="L694" s="34"/>
      <c r="M694" s="34"/>
    </row>
    <row r="695" spans="1:13" ht="12.75">
      <c r="A695" s="34"/>
      <c r="B695" s="188"/>
      <c r="C695" s="34"/>
      <c r="D695" s="34"/>
      <c r="E695" s="34"/>
      <c r="F695" s="34"/>
      <c r="G695" s="34"/>
      <c r="H695" s="34"/>
      <c r="I695" s="44"/>
      <c r="J695" s="105"/>
      <c r="K695" s="34"/>
      <c r="L695" s="34"/>
      <c r="M695" s="34"/>
    </row>
    <row r="696" spans="1:13" ht="12.75">
      <c r="A696" s="34"/>
      <c r="B696" s="188"/>
      <c r="C696" s="34"/>
      <c r="D696" s="34"/>
      <c r="E696" s="34"/>
      <c r="F696" s="34"/>
      <c r="G696" s="34"/>
      <c r="H696" s="34"/>
      <c r="I696" s="44"/>
      <c r="J696" s="105"/>
      <c r="K696" s="34"/>
      <c r="L696" s="34"/>
      <c r="M696" s="34"/>
    </row>
    <row r="697" spans="1:13" ht="12.75">
      <c r="A697" s="34"/>
      <c r="B697" s="188"/>
      <c r="C697" s="34"/>
      <c r="D697" s="34"/>
      <c r="E697" s="34"/>
      <c r="F697" s="34"/>
      <c r="G697" s="34"/>
      <c r="H697" s="34"/>
      <c r="I697" s="44"/>
      <c r="J697" s="105"/>
      <c r="K697" s="34"/>
      <c r="L697" s="34"/>
      <c r="M697" s="34"/>
    </row>
    <row r="698" spans="1:13" ht="12.75">
      <c r="A698" s="34"/>
      <c r="B698" s="188"/>
      <c r="C698" s="34"/>
      <c r="D698" s="34"/>
      <c r="E698" s="34"/>
      <c r="F698" s="34"/>
      <c r="G698" s="34"/>
      <c r="H698" s="34"/>
      <c r="I698" s="44"/>
      <c r="J698" s="105"/>
      <c r="K698" s="34"/>
      <c r="L698" s="34"/>
      <c r="M698" s="34"/>
    </row>
    <row r="699" spans="1:13" ht="12.75">
      <c r="A699" s="34"/>
      <c r="B699" s="188"/>
      <c r="C699" s="34"/>
      <c r="D699" s="34"/>
      <c r="E699" s="34"/>
      <c r="F699" s="34"/>
      <c r="G699" s="34"/>
      <c r="H699" s="34"/>
      <c r="I699" s="44"/>
      <c r="J699" s="105"/>
      <c r="K699" s="34"/>
      <c r="L699" s="34"/>
      <c r="M699" s="34"/>
    </row>
    <row r="700" spans="1:13" ht="12.75">
      <c r="A700" s="34"/>
      <c r="B700" s="188"/>
      <c r="C700" s="34"/>
      <c r="D700" s="34"/>
      <c r="E700" s="34"/>
      <c r="F700" s="34"/>
      <c r="G700" s="34"/>
      <c r="H700" s="34"/>
      <c r="I700" s="44"/>
      <c r="J700" s="105"/>
      <c r="K700" s="34"/>
      <c r="L700" s="34"/>
      <c r="M700" s="34"/>
    </row>
    <row r="701" spans="1:13" ht="12.75">
      <c r="A701" s="34"/>
      <c r="B701" s="188"/>
      <c r="C701" s="34"/>
      <c r="D701" s="34"/>
      <c r="E701" s="34"/>
      <c r="F701" s="34"/>
      <c r="G701" s="34"/>
      <c r="H701" s="34"/>
      <c r="I701" s="44"/>
      <c r="J701" s="105"/>
      <c r="K701" s="34"/>
      <c r="L701" s="34"/>
      <c r="M701" s="34"/>
    </row>
    <row r="702" spans="1:13" ht="12.75">
      <c r="A702" s="34"/>
      <c r="B702" s="188"/>
      <c r="C702" s="34"/>
      <c r="D702" s="34"/>
      <c r="E702" s="34"/>
      <c r="F702" s="34"/>
      <c r="G702" s="34"/>
      <c r="H702" s="34"/>
      <c r="I702" s="44"/>
      <c r="J702" s="105"/>
      <c r="K702" s="34"/>
      <c r="L702" s="34"/>
      <c r="M702" s="34"/>
    </row>
    <row r="703" spans="1:13" ht="12.75">
      <c r="A703" s="34"/>
      <c r="B703" s="188"/>
      <c r="C703" s="34"/>
      <c r="D703" s="34"/>
      <c r="E703" s="34"/>
      <c r="F703" s="34"/>
      <c r="G703" s="34"/>
      <c r="H703" s="34"/>
      <c r="I703" s="44"/>
      <c r="J703" s="105"/>
      <c r="K703" s="34"/>
      <c r="L703" s="34"/>
      <c r="M703" s="34"/>
    </row>
    <row r="704" spans="1:13" ht="12.75">
      <c r="A704" s="34"/>
      <c r="B704" s="188"/>
      <c r="C704" s="34"/>
      <c r="D704" s="34"/>
      <c r="E704" s="34"/>
      <c r="F704" s="34"/>
      <c r="G704" s="34"/>
      <c r="H704" s="34"/>
      <c r="I704" s="44"/>
      <c r="J704" s="105"/>
      <c r="K704" s="34"/>
      <c r="L704" s="34"/>
      <c r="M704" s="34"/>
    </row>
    <row r="705" spans="1:13" ht="12.75">
      <c r="A705" s="34"/>
      <c r="B705" s="188"/>
      <c r="C705" s="34"/>
      <c r="D705" s="34"/>
      <c r="E705" s="34"/>
      <c r="F705" s="34"/>
      <c r="G705" s="34"/>
      <c r="H705" s="34"/>
      <c r="I705" s="44"/>
      <c r="J705" s="105"/>
      <c r="K705" s="34"/>
      <c r="L705" s="34"/>
      <c r="M705" s="34"/>
    </row>
    <row r="706" spans="1:13" ht="12.75">
      <c r="A706" s="34"/>
      <c r="B706" s="188"/>
      <c r="C706" s="34"/>
      <c r="D706" s="34"/>
      <c r="E706" s="34"/>
      <c r="F706" s="34"/>
      <c r="G706" s="34"/>
      <c r="H706" s="34"/>
      <c r="I706" s="44"/>
      <c r="J706" s="105"/>
      <c r="K706" s="34"/>
      <c r="L706" s="34"/>
      <c r="M706" s="34"/>
    </row>
    <row r="707" spans="1:13" ht="12.75">
      <c r="A707" s="34"/>
      <c r="B707" s="188"/>
      <c r="C707" s="34"/>
      <c r="D707" s="34"/>
      <c r="E707" s="34"/>
      <c r="F707" s="34"/>
      <c r="G707" s="34"/>
      <c r="H707" s="34"/>
      <c r="I707" s="44"/>
      <c r="J707" s="105"/>
      <c r="K707" s="34"/>
      <c r="L707" s="34"/>
      <c r="M707" s="34"/>
    </row>
    <row r="708" spans="1:13" ht="12.75">
      <c r="A708" s="34"/>
      <c r="B708" s="188"/>
      <c r="C708" s="34"/>
      <c r="D708" s="34"/>
      <c r="E708" s="34"/>
      <c r="F708" s="34"/>
      <c r="G708" s="34"/>
      <c r="H708" s="34"/>
      <c r="I708" s="44"/>
      <c r="J708" s="105"/>
      <c r="K708" s="34"/>
      <c r="L708" s="34"/>
      <c r="M708" s="34"/>
    </row>
    <row r="709" spans="1:13" ht="12.75">
      <c r="A709" s="34"/>
      <c r="B709" s="188"/>
      <c r="C709" s="34"/>
      <c r="D709" s="34"/>
      <c r="E709" s="34"/>
      <c r="F709" s="34"/>
      <c r="G709" s="34"/>
      <c r="H709" s="34"/>
      <c r="I709" s="44"/>
      <c r="J709" s="105"/>
      <c r="K709" s="34"/>
      <c r="L709" s="34"/>
      <c r="M709" s="34"/>
    </row>
    <row r="710" spans="1:13" ht="12.75">
      <c r="A710" s="34"/>
      <c r="B710" s="188"/>
      <c r="C710" s="34"/>
      <c r="D710" s="34"/>
      <c r="E710" s="34"/>
      <c r="F710" s="34"/>
      <c r="G710" s="34"/>
      <c r="H710" s="34"/>
      <c r="I710" s="44"/>
      <c r="J710" s="105"/>
      <c r="K710" s="34"/>
      <c r="L710" s="34"/>
      <c r="M710" s="34"/>
    </row>
    <row r="711" spans="1:13" ht="12.75">
      <c r="A711" s="34"/>
      <c r="B711" s="188"/>
      <c r="C711" s="34"/>
      <c r="D711" s="34"/>
      <c r="E711" s="34"/>
      <c r="F711" s="34"/>
      <c r="G711" s="34"/>
      <c r="H711" s="34"/>
      <c r="I711" s="44"/>
      <c r="J711" s="105"/>
      <c r="K711" s="34"/>
      <c r="L711" s="34"/>
      <c r="M711" s="34"/>
    </row>
    <row r="712" spans="1:13" ht="12.75">
      <c r="A712" s="34"/>
      <c r="B712" s="188"/>
      <c r="C712" s="34"/>
      <c r="D712" s="34"/>
      <c r="E712" s="34"/>
      <c r="F712" s="34"/>
      <c r="G712" s="34"/>
      <c r="H712" s="34"/>
      <c r="I712" s="44"/>
      <c r="J712" s="105"/>
      <c r="K712" s="34"/>
      <c r="L712" s="34"/>
      <c r="M712" s="34"/>
    </row>
    <row r="713" spans="1:13" ht="12.75">
      <c r="A713" s="34"/>
      <c r="B713" s="188"/>
      <c r="C713" s="34"/>
      <c r="D713" s="34"/>
      <c r="E713" s="34"/>
      <c r="F713" s="34"/>
      <c r="G713" s="34"/>
      <c r="H713" s="34"/>
      <c r="I713" s="44"/>
      <c r="J713" s="105"/>
      <c r="K713" s="34"/>
      <c r="L713" s="34"/>
      <c r="M713" s="34"/>
    </row>
    <row r="714" spans="1:13" ht="12.75">
      <c r="A714" s="34"/>
      <c r="B714" s="188"/>
      <c r="C714" s="34"/>
      <c r="D714" s="34"/>
      <c r="E714" s="34"/>
      <c r="F714" s="34"/>
      <c r="G714" s="34"/>
      <c r="H714" s="34"/>
      <c r="I714" s="44"/>
      <c r="J714" s="105"/>
      <c r="K714" s="34"/>
      <c r="L714" s="34"/>
      <c r="M714" s="34"/>
    </row>
    <row r="715" spans="1:13" ht="12.75">
      <c r="A715" s="34"/>
      <c r="B715" s="188"/>
      <c r="C715" s="34"/>
      <c r="D715" s="34"/>
      <c r="E715" s="34"/>
      <c r="F715" s="34"/>
      <c r="G715" s="34"/>
      <c r="H715" s="34"/>
      <c r="I715" s="44"/>
      <c r="J715" s="105"/>
      <c r="K715" s="34"/>
      <c r="L715" s="34"/>
      <c r="M715" s="34"/>
    </row>
    <row r="716" spans="1:13" ht="12.75">
      <c r="A716" s="34"/>
      <c r="B716" s="188"/>
      <c r="C716" s="34"/>
      <c r="D716" s="34"/>
      <c r="E716" s="34"/>
      <c r="F716" s="34"/>
      <c r="G716" s="34"/>
      <c r="H716" s="34"/>
      <c r="I716" s="44"/>
      <c r="J716" s="105"/>
      <c r="K716" s="34"/>
      <c r="L716" s="34"/>
      <c r="M716" s="34"/>
    </row>
    <row r="717" spans="1:13" ht="12.75">
      <c r="A717" s="34"/>
      <c r="B717" s="188"/>
      <c r="C717" s="34"/>
      <c r="D717" s="34"/>
      <c r="E717" s="34"/>
      <c r="F717" s="34"/>
      <c r="G717" s="34"/>
      <c r="H717" s="34"/>
      <c r="I717" s="44"/>
      <c r="J717" s="105"/>
      <c r="K717" s="34"/>
      <c r="L717" s="34"/>
      <c r="M717" s="34"/>
    </row>
    <row r="718" spans="1:13" ht="12.75">
      <c r="A718" s="34"/>
      <c r="B718" s="188"/>
      <c r="C718" s="34"/>
      <c r="D718" s="34"/>
      <c r="E718" s="34"/>
      <c r="F718" s="34"/>
      <c r="G718" s="34"/>
      <c r="H718" s="34"/>
      <c r="I718" s="44"/>
      <c r="J718" s="105"/>
      <c r="K718" s="34"/>
      <c r="L718" s="34"/>
      <c r="M718" s="34"/>
    </row>
    <row r="719" spans="1:13" ht="12.75">
      <c r="A719" s="34"/>
      <c r="B719" s="188"/>
      <c r="C719" s="34"/>
      <c r="D719" s="34"/>
      <c r="E719" s="34"/>
      <c r="F719" s="34"/>
      <c r="G719" s="34"/>
      <c r="H719" s="34"/>
      <c r="I719" s="44"/>
      <c r="J719" s="105"/>
      <c r="K719" s="34"/>
      <c r="L719" s="34"/>
      <c r="M719" s="34"/>
    </row>
    <row r="720" spans="1:13" ht="12.75">
      <c r="A720" s="34"/>
      <c r="B720" s="188"/>
      <c r="C720" s="34"/>
      <c r="D720" s="34"/>
      <c r="E720" s="34"/>
      <c r="F720" s="34"/>
      <c r="G720" s="34"/>
      <c r="H720" s="34"/>
      <c r="I720" s="44"/>
      <c r="J720" s="105"/>
      <c r="K720" s="34"/>
      <c r="L720" s="34"/>
      <c r="M720" s="34"/>
    </row>
    <row r="721" spans="1:13" ht="12.75">
      <c r="A721" s="34"/>
      <c r="B721" s="188"/>
      <c r="C721" s="34"/>
      <c r="D721" s="34"/>
      <c r="E721" s="34"/>
      <c r="F721" s="34"/>
      <c r="G721" s="34"/>
      <c r="H721" s="34"/>
      <c r="I721" s="44"/>
      <c r="J721" s="105"/>
      <c r="K721" s="34"/>
      <c r="L721" s="34"/>
      <c r="M721" s="34"/>
    </row>
    <row r="722" spans="1:13" ht="12.75">
      <c r="A722" s="34"/>
      <c r="B722" s="188"/>
      <c r="C722" s="34"/>
      <c r="D722" s="34"/>
      <c r="E722" s="34"/>
      <c r="F722" s="34"/>
      <c r="G722" s="34"/>
      <c r="H722" s="34"/>
      <c r="I722" s="44"/>
      <c r="J722" s="105"/>
      <c r="K722" s="34"/>
      <c r="L722" s="34"/>
      <c r="M722" s="34"/>
    </row>
    <row r="723" spans="1:13" ht="12.75">
      <c r="A723" s="34"/>
      <c r="B723" s="188"/>
      <c r="C723" s="34"/>
      <c r="D723" s="34"/>
      <c r="E723" s="34"/>
      <c r="F723" s="34"/>
      <c r="G723" s="34"/>
      <c r="H723" s="34"/>
      <c r="I723" s="44"/>
      <c r="J723" s="105"/>
      <c r="K723" s="34"/>
      <c r="L723" s="34"/>
      <c r="M723" s="34"/>
    </row>
    <row r="724" spans="1:13" ht="12.75">
      <c r="A724" s="34"/>
      <c r="B724" s="188"/>
      <c r="C724" s="34"/>
      <c r="D724" s="34"/>
      <c r="E724" s="34"/>
      <c r="F724" s="34"/>
      <c r="G724" s="34"/>
      <c r="H724" s="34"/>
      <c r="I724" s="44"/>
      <c r="J724" s="105"/>
      <c r="K724" s="34"/>
      <c r="L724" s="34"/>
      <c r="M724" s="34"/>
    </row>
    <row r="725" spans="1:13" ht="12.75">
      <c r="A725" s="34"/>
      <c r="B725" s="188"/>
      <c r="C725" s="34"/>
      <c r="D725" s="34"/>
      <c r="E725" s="34"/>
      <c r="F725" s="34"/>
      <c r="G725" s="34"/>
      <c r="H725" s="34"/>
      <c r="I725" s="44"/>
      <c r="J725" s="105"/>
      <c r="K725" s="34"/>
      <c r="L725" s="34"/>
      <c r="M725" s="34"/>
    </row>
    <row r="726" spans="1:13" ht="12.75">
      <c r="A726" s="34"/>
      <c r="B726" s="188"/>
      <c r="C726" s="34"/>
      <c r="D726" s="34"/>
      <c r="E726" s="34"/>
      <c r="F726" s="34"/>
      <c r="G726" s="34"/>
      <c r="H726" s="34"/>
      <c r="I726" s="44"/>
      <c r="J726" s="105"/>
      <c r="K726" s="34"/>
      <c r="L726" s="34"/>
      <c r="M726" s="34"/>
    </row>
    <row r="727" spans="1:13" ht="12.75">
      <c r="A727" s="34"/>
      <c r="B727" s="188"/>
      <c r="C727" s="34"/>
      <c r="D727" s="34"/>
      <c r="E727" s="34"/>
      <c r="F727" s="34"/>
      <c r="G727" s="34"/>
      <c r="H727" s="34"/>
      <c r="I727" s="44"/>
      <c r="J727" s="105"/>
      <c r="K727" s="34"/>
      <c r="L727" s="34"/>
      <c r="M727" s="34"/>
    </row>
    <row r="728" spans="1:13" ht="12.75">
      <c r="A728" s="34"/>
      <c r="B728" s="188"/>
      <c r="C728" s="34"/>
      <c r="D728" s="34"/>
      <c r="E728" s="34"/>
      <c r="F728" s="34"/>
      <c r="G728" s="34"/>
      <c r="H728" s="34"/>
      <c r="I728" s="44"/>
      <c r="J728" s="105"/>
      <c r="K728" s="34"/>
      <c r="L728" s="34"/>
      <c r="M728" s="34"/>
    </row>
    <row r="729" spans="1:13" ht="12.75">
      <c r="A729" s="34"/>
      <c r="B729" s="188"/>
      <c r="C729" s="34"/>
      <c r="D729" s="34"/>
      <c r="E729" s="34"/>
      <c r="F729" s="34"/>
      <c r="G729" s="34"/>
      <c r="H729" s="34"/>
      <c r="I729" s="44"/>
      <c r="J729" s="105"/>
      <c r="K729" s="34"/>
      <c r="L729" s="34"/>
      <c r="M729" s="34"/>
    </row>
    <row r="730" spans="1:13" ht="12.75">
      <c r="A730" s="34"/>
      <c r="B730" s="188"/>
      <c r="C730" s="34"/>
      <c r="D730" s="34"/>
      <c r="E730" s="34"/>
      <c r="F730" s="34"/>
      <c r="G730" s="34"/>
      <c r="H730" s="34"/>
      <c r="I730" s="44"/>
      <c r="J730" s="105"/>
      <c r="K730" s="34"/>
      <c r="L730" s="34"/>
      <c r="M730" s="34"/>
    </row>
    <row r="731" spans="1:13" ht="12.75">
      <c r="A731" s="34"/>
      <c r="B731" s="188"/>
      <c r="C731" s="34"/>
      <c r="D731" s="34"/>
      <c r="E731" s="34"/>
      <c r="F731" s="34"/>
      <c r="G731" s="34"/>
      <c r="H731" s="34"/>
      <c r="I731" s="44"/>
      <c r="J731" s="105"/>
      <c r="K731" s="34"/>
      <c r="L731" s="34"/>
      <c r="M731" s="34"/>
    </row>
    <row r="732" spans="1:13" ht="12.75">
      <c r="A732" s="34"/>
      <c r="B732" s="188"/>
      <c r="C732" s="34"/>
      <c r="D732" s="34"/>
      <c r="E732" s="34"/>
      <c r="F732" s="34"/>
      <c r="G732" s="34"/>
      <c r="H732" s="34"/>
      <c r="I732" s="44"/>
      <c r="J732" s="105"/>
      <c r="K732" s="34"/>
      <c r="L732" s="34"/>
      <c r="M732" s="34"/>
    </row>
    <row r="733" spans="1:13" ht="12.75">
      <c r="A733" s="34"/>
      <c r="B733" s="188"/>
      <c r="C733" s="34"/>
      <c r="D733" s="34"/>
      <c r="E733" s="34"/>
      <c r="F733" s="34"/>
      <c r="G733" s="34"/>
      <c r="H733" s="34"/>
      <c r="I733" s="44"/>
      <c r="J733" s="105"/>
      <c r="K733" s="34"/>
      <c r="L733" s="34"/>
      <c r="M733" s="34"/>
    </row>
    <row r="734" spans="1:13" ht="12.75">
      <c r="A734" s="34"/>
      <c r="B734" s="188"/>
      <c r="C734" s="34"/>
      <c r="D734" s="34"/>
      <c r="E734" s="34"/>
      <c r="F734" s="34"/>
      <c r="G734" s="34"/>
      <c r="H734" s="34"/>
      <c r="I734" s="44"/>
      <c r="J734" s="105"/>
      <c r="K734" s="34"/>
      <c r="L734" s="34"/>
      <c r="M734" s="34"/>
    </row>
    <row r="735" spans="1:13" ht="12.75">
      <c r="A735" s="34"/>
      <c r="B735" s="188"/>
      <c r="C735" s="34"/>
      <c r="D735" s="34"/>
      <c r="E735" s="34"/>
      <c r="F735" s="34"/>
      <c r="G735" s="34"/>
      <c r="H735" s="34"/>
      <c r="I735" s="44"/>
      <c r="J735" s="105"/>
      <c r="K735" s="34"/>
      <c r="L735" s="34"/>
      <c r="M735" s="34"/>
    </row>
    <row r="736" spans="1:13" ht="12.75">
      <c r="A736" s="34"/>
      <c r="B736" s="188"/>
      <c r="C736" s="34"/>
      <c r="D736" s="34"/>
      <c r="E736" s="34"/>
      <c r="F736" s="34"/>
      <c r="G736" s="34"/>
      <c r="H736" s="34"/>
      <c r="I736" s="44"/>
      <c r="J736" s="105"/>
      <c r="K736" s="34"/>
      <c r="L736" s="34"/>
      <c r="M736" s="34"/>
    </row>
    <row r="737" spans="1:13" ht="12.75">
      <c r="A737" s="34"/>
      <c r="B737" s="188"/>
      <c r="C737" s="34"/>
      <c r="D737" s="34"/>
      <c r="E737" s="34"/>
      <c r="F737" s="34"/>
      <c r="G737" s="34"/>
      <c r="H737" s="34"/>
      <c r="I737" s="44"/>
      <c r="J737" s="105"/>
      <c r="K737" s="34"/>
      <c r="L737" s="34"/>
      <c r="M737" s="34"/>
    </row>
    <row r="738" spans="1:13" ht="12.75">
      <c r="A738" s="34"/>
      <c r="B738" s="188"/>
      <c r="C738" s="34"/>
      <c r="D738" s="34"/>
      <c r="E738" s="34"/>
      <c r="F738" s="34"/>
      <c r="G738" s="34"/>
      <c r="H738" s="34"/>
      <c r="I738" s="44"/>
      <c r="J738" s="105"/>
      <c r="K738" s="34"/>
      <c r="L738" s="34"/>
      <c r="M738" s="34"/>
    </row>
    <row r="739" spans="1:13" ht="12.75">
      <c r="A739" s="34"/>
      <c r="B739" s="188"/>
      <c r="C739" s="34"/>
      <c r="D739" s="34"/>
      <c r="E739" s="34"/>
      <c r="F739" s="34"/>
      <c r="G739" s="34"/>
      <c r="H739" s="34"/>
      <c r="I739" s="44"/>
      <c r="J739" s="105"/>
      <c r="K739" s="34"/>
      <c r="L739" s="34"/>
      <c r="M739" s="34"/>
    </row>
    <row r="740" spans="1:13" ht="12.75">
      <c r="A740" s="34"/>
      <c r="B740" s="188"/>
      <c r="C740" s="34"/>
      <c r="D740" s="34"/>
      <c r="E740" s="34"/>
      <c r="F740" s="34"/>
      <c r="G740" s="34"/>
      <c r="H740" s="34"/>
      <c r="I740" s="44"/>
      <c r="J740" s="105"/>
      <c r="K740" s="34"/>
      <c r="L740" s="34"/>
      <c r="M740" s="34"/>
    </row>
    <row r="741" spans="1:13" ht="12.75">
      <c r="A741" s="34"/>
      <c r="B741" s="188"/>
      <c r="C741" s="34"/>
      <c r="D741" s="34"/>
      <c r="E741" s="34"/>
      <c r="F741" s="34"/>
      <c r="G741" s="34"/>
      <c r="H741" s="34"/>
      <c r="I741" s="44"/>
      <c r="J741" s="105"/>
      <c r="K741" s="34"/>
      <c r="L741" s="34"/>
      <c r="M741" s="34"/>
    </row>
    <row r="742" spans="1:13" ht="12.75">
      <c r="A742" s="34"/>
      <c r="B742" s="188"/>
      <c r="C742" s="34"/>
      <c r="D742" s="34"/>
      <c r="E742" s="34"/>
      <c r="F742" s="34"/>
      <c r="G742" s="34"/>
      <c r="H742" s="34"/>
      <c r="I742" s="44"/>
      <c r="J742" s="105"/>
      <c r="K742" s="34"/>
      <c r="L742" s="34"/>
      <c r="M742" s="34"/>
    </row>
    <row r="743" spans="1:13" ht="12.75">
      <c r="A743" s="34"/>
      <c r="B743" s="188"/>
      <c r="C743" s="34"/>
      <c r="D743" s="34"/>
      <c r="E743" s="34"/>
      <c r="F743" s="34"/>
      <c r="G743" s="34"/>
      <c r="H743" s="34"/>
      <c r="I743" s="44"/>
      <c r="J743" s="105"/>
      <c r="K743" s="34"/>
      <c r="L743" s="34"/>
      <c r="M743" s="34"/>
    </row>
    <row r="744" spans="1:13" ht="12.75">
      <c r="A744" s="34"/>
      <c r="B744" s="188"/>
      <c r="C744" s="34"/>
      <c r="D744" s="34"/>
      <c r="E744" s="34"/>
      <c r="F744" s="34"/>
      <c r="G744" s="34"/>
      <c r="H744" s="34"/>
      <c r="I744" s="44"/>
      <c r="J744" s="105"/>
      <c r="K744" s="34"/>
      <c r="L744" s="34"/>
      <c r="M744" s="34"/>
    </row>
    <row r="745" spans="1:13" ht="12.75">
      <c r="A745" s="34"/>
      <c r="B745" s="188"/>
      <c r="C745" s="34"/>
      <c r="D745" s="34"/>
      <c r="E745" s="34"/>
      <c r="F745" s="34"/>
      <c r="G745" s="34"/>
      <c r="H745" s="34"/>
      <c r="I745" s="44"/>
      <c r="J745" s="105"/>
      <c r="K745" s="34"/>
      <c r="L745" s="34"/>
      <c r="M745" s="34"/>
    </row>
    <row r="746" spans="1:13" ht="12.75">
      <c r="A746" s="34"/>
      <c r="B746" s="188"/>
      <c r="C746" s="34"/>
      <c r="D746" s="34"/>
      <c r="E746" s="34"/>
      <c r="F746" s="34"/>
      <c r="G746" s="34"/>
      <c r="H746" s="34"/>
      <c r="I746" s="44"/>
      <c r="J746" s="105"/>
      <c r="K746" s="34"/>
      <c r="L746" s="34"/>
      <c r="M746" s="34"/>
    </row>
    <row r="747" spans="1:13" ht="12.75">
      <c r="A747" s="34"/>
      <c r="B747" s="188"/>
      <c r="C747" s="34"/>
      <c r="D747" s="34"/>
      <c r="E747" s="34"/>
      <c r="F747" s="34"/>
      <c r="G747" s="34"/>
      <c r="H747" s="34"/>
      <c r="I747" s="44"/>
      <c r="J747" s="105"/>
      <c r="K747" s="34"/>
      <c r="L747" s="34"/>
      <c r="M747" s="34"/>
    </row>
    <row r="748" spans="1:13" ht="12.75">
      <c r="A748" s="34"/>
      <c r="B748" s="188"/>
      <c r="C748" s="34"/>
      <c r="D748" s="34"/>
      <c r="E748" s="34"/>
      <c r="F748" s="34"/>
      <c r="G748" s="34"/>
      <c r="H748" s="34"/>
      <c r="I748" s="44"/>
      <c r="J748" s="105"/>
      <c r="K748" s="34"/>
      <c r="L748" s="34"/>
      <c r="M748" s="34"/>
    </row>
    <row r="749" spans="1:13" ht="12.75">
      <c r="A749" s="34"/>
      <c r="B749" s="188"/>
      <c r="C749" s="34"/>
      <c r="D749" s="34"/>
      <c r="E749" s="34"/>
      <c r="F749" s="34"/>
      <c r="G749" s="34"/>
      <c r="H749" s="34"/>
      <c r="I749" s="44"/>
      <c r="J749" s="105"/>
      <c r="K749" s="34"/>
      <c r="L749" s="34"/>
      <c r="M749" s="34"/>
    </row>
    <row r="750" spans="1:13" ht="12.75">
      <c r="A750" s="34"/>
      <c r="B750" s="188"/>
      <c r="C750" s="34"/>
      <c r="D750" s="34"/>
      <c r="E750" s="34"/>
      <c r="F750" s="34"/>
      <c r="G750" s="34"/>
      <c r="H750" s="34"/>
      <c r="I750" s="44"/>
      <c r="J750" s="105"/>
      <c r="K750" s="34"/>
      <c r="L750" s="34"/>
      <c r="M750" s="34"/>
    </row>
    <row r="751" spans="1:13" ht="12.75">
      <c r="A751" s="34"/>
      <c r="B751" s="188"/>
      <c r="C751" s="34"/>
      <c r="D751" s="34"/>
      <c r="E751" s="34"/>
      <c r="F751" s="34"/>
      <c r="G751" s="34"/>
      <c r="H751" s="34"/>
      <c r="I751" s="44"/>
      <c r="J751" s="105"/>
      <c r="K751" s="34"/>
      <c r="L751" s="34"/>
      <c r="M751" s="34"/>
    </row>
    <row r="752" spans="1:13" ht="12.75">
      <c r="A752" s="34"/>
      <c r="B752" s="188"/>
      <c r="C752" s="34"/>
      <c r="D752" s="34"/>
      <c r="E752" s="34"/>
      <c r="F752" s="34"/>
      <c r="G752" s="34"/>
      <c r="H752" s="34"/>
      <c r="I752" s="44"/>
      <c r="J752" s="105"/>
      <c r="K752" s="34"/>
      <c r="L752" s="34"/>
      <c r="M752" s="34"/>
    </row>
    <row r="753" spans="1:13" ht="12.75">
      <c r="A753" s="34"/>
      <c r="B753" s="188"/>
      <c r="C753" s="34"/>
      <c r="D753" s="34"/>
      <c r="E753" s="34"/>
      <c r="F753" s="34"/>
      <c r="G753" s="34"/>
      <c r="H753" s="34"/>
      <c r="I753" s="44"/>
      <c r="J753" s="105"/>
      <c r="K753" s="34"/>
      <c r="L753" s="34"/>
      <c r="M753" s="34"/>
    </row>
    <row r="754" spans="1:13" ht="12.75">
      <c r="A754" s="34"/>
      <c r="B754" s="188"/>
      <c r="C754" s="34"/>
      <c r="D754" s="34"/>
      <c r="E754" s="34"/>
      <c r="F754" s="34"/>
      <c r="G754" s="34"/>
      <c r="H754" s="34"/>
      <c r="I754" s="44"/>
      <c r="J754" s="105"/>
      <c r="K754" s="34"/>
      <c r="L754" s="34"/>
      <c r="M754" s="34"/>
    </row>
    <row r="755" spans="1:13" ht="12.75">
      <c r="A755" s="34"/>
      <c r="B755" s="188"/>
      <c r="C755" s="34"/>
      <c r="D755" s="34"/>
      <c r="E755" s="34"/>
      <c r="F755" s="34"/>
      <c r="G755" s="34"/>
      <c r="H755" s="34"/>
      <c r="I755" s="44"/>
      <c r="J755" s="105"/>
      <c r="K755" s="34"/>
      <c r="L755" s="34"/>
      <c r="M755" s="34"/>
    </row>
    <row r="756" spans="1:13" ht="12.75">
      <c r="A756" s="34"/>
      <c r="B756" s="188"/>
      <c r="C756" s="34"/>
      <c r="D756" s="34"/>
      <c r="E756" s="34"/>
      <c r="F756" s="34"/>
      <c r="G756" s="34"/>
      <c r="H756" s="34"/>
      <c r="I756" s="44"/>
      <c r="J756" s="105"/>
      <c r="K756" s="34"/>
      <c r="L756" s="34"/>
      <c r="M756" s="34"/>
    </row>
    <row r="757" spans="1:13" ht="12.75">
      <c r="A757" s="34"/>
      <c r="B757" s="188"/>
      <c r="C757" s="34"/>
      <c r="D757" s="34"/>
      <c r="E757" s="34"/>
      <c r="F757" s="34"/>
      <c r="G757" s="34"/>
      <c r="H757" s="34"/>
      <c r="I757" s="44"/>
      <c r="J757" s="105"/>
      <c r="K757" s="34"/>
      <c r="L757" s="34"/>
      <c r="M757" s="34"/>
    </row>
    <row r="758" spans="1:13" ht="12.75">
      <c r="A758" s="34"/>
      <c r="B758" s="188"/>
      <c r="C758" s="34"/>
      <c r="D758" s="34"/>
      <c r="E758" s="34"/>
      <c r="F758" s="34"/>
      <c r="G758" s="34"/>
      <c r="H758" s="34"/>
      <c r="I758" s="44"/>
      <c r="J758" s="105"/>
      <c r="K758" s="34"/>
      <c r="L758" s="34"/>
      <c r="M758" s="34"/>
    </row>
    <row r="759" spans="1:13" ht="12.75">
      <c r="A759" s="34"/>
      <c r="B759" s="188"/>
      <c r="C759" s="34"/>
      <c r="D759" s="34"/>
      <c r="E759" s="34"/>
      <c r="F759" s="34"/>
      <c r="G759" s="34"/>
      <c r="H759" s="34"/>
      <c r="I759" s="44"/>
      <c r="J759" s="105"/>
      <c r="K759" s="34"/>
      <c r="L759" s="34"/>
      <c r="M759" s="34"/>
    </row>
    <row r="760" spans="1:13" ht="12.75">
      <c r="A760" s="34"/>
      <c r="B760" s="188"/>
      <c r="C760" s="34"/>
      <c r="D760" s="34"/>
      <c r="E760" s="34"/>
      <c r="F760" s="34"/>
      <c r="G760" s="34"/>
      <c r="H760" s="34"/>
      <c r="I760" s="44"/>
      <c r="J760" s="105"/>
      <c r="K760" s="34"/>
      <c r="L760" s="34"/>
      <c r="M760" s="34"/>
    </row>
    <row r="761" spans="1:13" ht="12.75">
      <c r="A761" s="34"/>
      <c r="B761" s="188"/>
      <c r="C761" s="34"/>
      <c r="D761" s="34"/>
      <c r="E761" s="34"/>
      <c r="F761" s="34"/>
      <c r="G761" s="34"/>
      <c r="H761" s="34"/>
      <c r="I761" s="44"/>
      <c r="J761" s="105"/>
      <c r="K761" s="34"/>
      <c r="L761" s="34"/>
      <c r="M761" s="34"/>
    </row>
    <row r="762" spans="1:13" ht="12.75">
      <c r="A762" s="34"/>
      <c r="B762" s="188"/>
      <c r="C762" s="34"/>
      <c r="D762" s="34"/>
      <c r="E762" s="34"/>
      <c r="F762" s="34"/>
      <c r="G762" s="34"/>
      <c r="H762" s="34"/>
      <c r="I762" s="44"/>
      <c r="J762" s="105"/>
      <c r="K762" s="34"/>
      <c r="L762" s="34"/>
      <c r="M762" s="34"/>
    </row>
    <row r="763" spans="1:13" ht="12.75">
      <c r="A763" s="34"/>
      <c r="B763" s="188"/>
      <c r="C763" s="34"/>
      <c r="D763" s="34"/>
      <c r="E763" s="34"/>
      <c r="F763" s="34"/>
      <c r="G763" s="34"/>
      <c r="H763" s="34"/>
      <c r="I763" s="44"/>
      <c r="J763" s="105"/>
      <c r="K763" s="34"/>
      <c r="L763" s="34"/>
      <c r="M763" s="34"/>
    </row>
    <row r="764" spans="1:13" ht="12.75">
      <c r="A764" s="34"/>
      <c r="B764" s="188"/>
      <c r="C764" s="34"/>
      <c r="D764" s="34"/>
      <c r="E764" s="34"/>
      <c r="F764" s="34"/>
      <c r="G764" s="34"/>
      <c r="H764" s="34"/>
      <c r="I764" s="44"/>
      <c r="J764" s="105"/>
      <c r="K764" s="34"/>
      <c r="L764" s="34"/>
      <c r="M764" s="34"/>
    </row>
    <row r="765" spans="1:13" ht="12.75">
      <c r="A765" s="34"/>
      <c r="B765" s="188"/>
      <c r="C765" s="34"/>
      <c r="D765" s="34"/>
      <c r="E765" s="34"/>
      <c r="F765" s="34"/>
      <c r="G765" s="34"/>
      <c r="H765" s="34"/>
      <c r="I765" s="44"/>
      <c r="J765" s="105"/>
      <c r="K765" s="34"/>
      <c r="L765" s="34"/>
      <c r="M765" s="34"/>
    </row>
    <row r="766" spans="1:13" ht="12.75">
      <c r="A766" s="34"/>
      <c r="B766" s="188"/>
      <c r="C766" s="34"/>
      <c r="D766" s="34"/>
      <c r="E766" s="34"/>
      <c r="F766" s="34"/>
      <c r="G766" s="34"/>
      <c r="H766" s="34"/>
      <c r="I766" s="44"/>
      <c r="J766" s="105"/>
      <c r="K766" s="34"/>
      <c r="L766" s="34"/>
      <c r="M766" s="34"/>
    </row>
    <row r="767" spans="1:13" ht="12.75">
      <c r="A767" s="34"/>
      <c r="B767" s="188"/>
      <c r="C767" s="34"/>
      <c r="D767" s="34"/>
      <c r="E767" s="34"/>
      <c r="F767" s="34"/>
      <c r="G767" s="34"/>
      <c r="H767" s="34"/>
      <c r="I767" s="44"/>
      <c r="J767" s="105"/>
      <c r="K767" s="34"/>
      <c r="L767" s="34"/>
      <c r="M767" s="34"/>
    </row>
    <row r="768" spans="1:13" ht="12.75">
      <c r="A768" s="34"/>
      <c r="B768" s="188"/>
      <c r="C768" s="34"/>
      <c r="D768" s="34"/>
      <c r="E768" s="34"/>
      <c r="F768" s="34"/>
      <c r="G768" s="34"/>
      <c r="H768" s="34"/>
      <c r="I768" s="44"/>
      <c r="J768" s="105"/>
      <c r="K768" s="34"/>
      <c r="L768" s="34"/>
      <c r="M768" s="34"/>
    </row>
    <row r="769" spans="1:13" ht="12.75">
      <c r="A769" s="34"/>
      <c r="B769" s="188"/>
      <c r="C769" s="34"/>
      <c r="D769" s="34"/>
      <c r="E769" s="34"/>
      <c r="F769" s="34"/>
      <c r="G769" s="34"/>
      <c r="H769" s="34"/>
      <c r="I769" s="44"/>
      <c r="J769" s="105"/>
      <c r="K769" s="34"/>
      <c r="L769" s="34"/>
      <c r="M769" s="34"/>
    </row>
    <row r="770" spans="1:13" ht="12.75">
      <c r="A770" s="34"/>
      <c r="B770" s="188"/>
      <c r="C770" s="34"/>
      <c r="D770" s="34"/>
      <c r="E770" s="34"/>
      <c r="F770" s="34"/>
      <c r="G770" s="34"/>
      <c r="H770" s="34"/>
      <c r="I770" s="44"/>
      <c r="J770" s="105"/>
      <c r="K770" s="34"/>
      <c r="L770" s="34"/>
      <c r="M770" s="34"/>
    </row>
    <row r="771" spans="1:13" ht="12.75">
      <c r="A771" s="34"/>
      <c r="B771" s="188"/>
      <c r="C771" s="34"/>
      <c r="D771" s="34"/>
      <c r="E771" s="34"/>
      <c r="F771" s="34"/>
      <c r="G771" s="34"/>
      <c r="H771" s="34"/>
      <c r="I771" s="44"/>
      <c r="J771" s="105"/>
      <c r="K771" s="34"/>
      <c r="L771" s="34"/>
      <c r="M771" s="34"/>
    </row>
    <row r="772" spans="1:13" ht="12.75">
      <c r="A772" s="34"/>
      <c r="B772" s="188"/>
      <c r="C772" s="34"/>
      <c r="D772" s="34"/>
      <c r="E772" s="34"/>
      <c r="F772" s="34"/>
      <c r="G772" s="34"/>
      <c r="H772" s="34"/>
      <c r="I772" s="44"/>
      <c r="J772" s="105"/>
      <c r="K772" s="34"/>
      <c r="L772" s="34"/>
      <c r="M772" s="34"/>
    </row>
    <row r="773" spans="1:13" ht="12.75">
      <c r="A773" s="34"/>
      <c r="B773" s="188"/>
      <c r="C773" s="34"/>
      <c r="D773" s="34"/>
      <c r="E773" s="34"/>
      <c r="F773" s="34"/>
      <c r="G773" s="34"/>
      <c r="H773" s="34"/>
      <c r="I773" s="44"/>
      <c r="J773" s="105"/>
      <c r="K773" s="34"/>
      <c r="L773" s="34"/>
      <c r="M773" s="34"/>
    </row>
    <row r="774" spans="1:13" ht="12.75">
      <c r="A774" s="34"/>
      <c r="B774" s="188"/>
      <c r="C774" s="34"/>
      <c r="D774" s="34"/>
      <c r="E774" s="34"/>
      <c r="F774" s="34"/>
      <c r="G774" s="34"/>
      <c r="H774" s="34"/>
      <c r="I774" s="44"/>
      <c r="J774" s="105"/>
      <c r="K774" s="34"/>
      <c r="L774" s="34"/>
      <c r="M774" s="34"/>
    </row>
    <row r="775" spans="1:13" ht="12.75">
      <c r="A775" s="34"/>
      <c r="B775" s="188"/>
      <c r="C775" s="34"/>
      <c r="D775" s="34"/>
      <c r="E775" s="34"/>
      <c r="F775" s="34"/>
      <c r="G775" s="34"/>
      <c r="H775" s="34"/>
      <c r="I775" s="44"/>
      <c r="J775" s="105"/>
      <c r="K775" s="34"/>
      <c r="L775" s="34"/>
      <c r="M775" s="34"/>
    </row>
    <row r="776" spans="1:13" ht="12.75">
      <c r="A776" s="34"/>
      <c r="B776" s="188"/>
      <c r="C776" s="34"/>
      <c r="D776" s="34"/>
      <c r="E776" s="34"/>
      <c r="F776" s="34"/>
      <c r="G776" s="34"/>
      <c r="H776" s="34"/>
      <c r="I776" s="44"/>
      <c r="J776" s="105"/>
      <c r="K776" s="34"/>
      <c r="L776" s="34"/>
      <c r="M776" s="34"/>
    </row>
    <row r="777" spans="1:13" ht="12.75">
      <c r="A777" s="34"/>
      <c r="B777" s="188"/>
      <c r="C777" s="34"/>
      <c r="D777" s="34"/>
      <c r="E777" s="34"/>
      <c r="F777" s="34"/>
      <c r="G777" s="34"/>
      <c r="H777" s="34"/>
      <c r="I777" s="44"/>
      <c r="J777" s="105"/>
      <c r="K777" s="34"/>
      <c r="L777" s="34"/>
      <c r="M777" s="34"/>
    </row>
    <row r="778" spans="1:13" ht="12.75">
      <c r="A778" s="34"/>
      <c r="B778" s="188"/>
      <c r="C778" s="34"/>
      <c r="D778" s="34"/>
      <c r="E778" s="34"/>
      <c r="F778" s="34"/>
      <c r="G778" s="34"/>
      <c r="H778" s="34"/>
      <c r="I778" s="44"/>
      <c r="J778" s="105"/>
      <c r="K778" s="34"/>
      <c r="L778" s="34"/>
      <c r="M778" s="34"/>
    </row>
    <row r="779" spans="1:13" ht="12.75">
      <c r="A779" s="34"/>
      <c r="B779" s="188"/>
      <c r="C779" s="34"/>
      <c r="D779" s="34"/>
      <c r="E779" s="34"/>
      <c r="F779" s="34"/>
      <c r="G779" s="34"/>
      <c r="H779" s="34"/>
      <c r="I779" s="44"/>
      <c r="J779" s="105"/>
      <c r="K779" s="34"/>
      <c r="L779" s="34"/>
      <c r="M779" s="34"/>
    </row>
    <row r="780" spans="1:13" ht="12.75">
      <c r="A780" s="34"/>
      <c r="B780" s="188"/>
      <c r="C780" s="34"/>
      <c r="D780" s="34"/>
      <c r="E780" s="34"/>
      <c r="F780" s="34"/>
      <c r="G780" s="34"/>
      <c r="H780" s="34"/>
      <c r="I780" s="44"/>
      <c r="J780" s="105"/>
      <c r="K780" s="34"/>
      <c r="L780" s="34"/>
      <c r="M780" s="34"/>
    </row>
    <row r="781" spans="1:13" ht="12.75">
      <c r="A781" s="34"/>
      <c r="B781" s="188"/>
      <c r="C781" s="34"/>
      <c r="D781" s="34"/>
      <c r="E781" s="34"/>
      <c r="F781" s="34"/>
      <c r="G781" s="34"/>
      <c r="H781" s="34"/>
      <c r="I781" s="44"/>
      <c r="J781" s="105"/>
      <c r="K781" s="34"/>
      <c r="L781" s="34"/>
      <c r="M781" s="34"/>
    </row>
    <row r="782" spans="1:13" ht="12.75">
      <c r="A782" s="34"/>
      <c r="B782" s="188"/>
      <c r="C782" s="34"/>
      <c r="D782" s="34"/>
      <c r="E782" s="34"/>
      <c r="F782" s="34"/>
      <c r="G782" s="34"/>
      <c r="H782" s="34"/>
      <c r="I782" s="44"/>
      <c r="J782" s="105"/>
      <c r="K782" s="34"/>
      <c r="L782" s="34"/>
      <c r="M782" s="34"/>
    </row>
    <row r="783" spans="1:13" ht="12.75">
      <c r="A783" s="34"/>
      <c r="B783" s="188"/>
      <c r="C783" s="34"/>
      <c r="D783" s="34"/>
      <c r="E783" s="34"/>
      <c r="F783" s="34"/>
      <c r="G783" s="34"/>
      <c r="H783" s="34"/>
      <c r="I783" s="44"/>
      <c r="J783" s="105"/>
      <c r="K783" s="34"/>
      <c r="L783" s="34"/>
      <c r="M783" s="34"/>
    </row>
    <row r="784" spans="1:13" ht="12.75">
      <c r="A784" s="34"/>
      <c r="B784" s="188"/>
      <c r="C784" s="34"/>
      <c r="D784" s="34"/>
      <c r="E784" s="34"/>
      <c r="F784" s="34"/>
      <c r="G784" s="34"/>
      <c r="H784" s="34"/>
      <c r="I784" s="44"/>
      <c r="J784" s="105"/>
      <c r="K784" s="34"/>
      <c r="L784" s="34"/>
      <c r="M784" s="34"/>
    </row>
    <row r="785" spans="1:13" ht="12.75">
      <c r="A785" s="34"/>
      <c r="B785" s="188"/>
      <c r="C785" s="34"/>
      <c r="D785" s="34"/>
      <c r="E785" s="34"/>
      <c r="F785" s="34"/>
      <c r="G785" s="34"/>
      <c r="H785" s="34"/>
      <c r="I785" s="44"/>
      <c r="J785" s="105"/>
      <c r="K785" s="34"/>
      <c r="L785" s="34"/>
      <c r="M785" s="34"/>
    </row>
    <row r="786" spans="1:13" ht="12.75">
      <c r="A786" s="34"/>
      <c r="B786" s="188"/>
      <c r="C786" s="34"/>
      <c r="D786" s="34"/>
      <c r="E786" s="34"/>
      <c r="F786" s="34"/>
      <c r="G786" s="34"/>
      <c r="H786" s="34"/>
      <c r="I786" s="44"/>
      <c r="J786" s="105"/>
      <c r="K786" s="34"/>
      <c r="L786" s="34"/>
      <c r="M786" s="34"/>
    </row>
    <row r="787" spans="1:13" ht="12.75">
      <c r="A787" s="34"/>
      <c r="B787" s="188"/>
      <c r="C787" s="34"/>
      <c r="D787" s="34"/>
      <c r="E787" s="34"/>
      <c r="F787" s="34"/>
      <c r="G787" s="34"/>
      <c r="H787" s="34"/>
      <c r="I787" s="44"/>
      <c r="J787" s="105"/>
      <c r="K787" s="34"/>
      <c r="L787" s="34"/>
      <c r="M787" s="34"/>
    </row>
    <row r="788" spans="1:13" ht="12.75">
      <c r="A788" s="34"/>
      <c r="B788" s="188"/>
      <c r="C788" s="34"/>
      <c r="D788" s="34"/>
      <c r="E788" s="34"/>
      <c r="F788" s="34"/>
      <c r="G788" s="34"/>
      <c r="H788" s="34"/>
      <c r="I788" s="44"/>
      <c r="J788" s="105"/>
      <c r="K788" s="34"/>
      <c r="L788" s="34"/>
      <c r="M788" s="34"/>
    </row>
    <row r="789" spans="1:13" ht="12.75">
      <c r="A789" s="34"/>
      <c r="B789" s="188"/>
      <c r="C789" s="34"/>
      <c r="D789" s="34"/>
      <c r="E789" s="34"/>
      <c r="F789" s="34"/>
      <c r="G789" s="34"/>
      <c r="H789" s="34"/>
      <c r="I789" s="44"/>
      <c r="J789" s="105"/>
      <c r="K789" s="34"/>
      <c r="L789" s="34"/>
      <c r="M789" s="34"/>
    </row>
    <row r="790" spans="1:13" ht="12.75">
      <c r="A790" s="34"/>
      <c r="B790" s="188"/>
      <c r="C790" s="34"/>
      <c r="D790" s="34"/>
      <c r="E790" s="34"/>
      <c r="F790" s="34"/>
      <c r="G790" s="34"/>
      <c r="H790" s="34"/>
      <c r="I790" s="44"/>
      <c r="J790" s="105"/>
      <c r="K790" s="34"/>
      <c r="L790" s="34"/>
      <c r="M790" s="34"/>
    </row>
    <row r="791" spans="1:13" ht="12.75">
      <c r="A791" s="34"/>
      <c r="B791" s="188"/>
      <c r="C791" s="34"/>
      <c r="D791" s="34"/>
      <c r="E791" s="34"/>
      <c r="F791" s="34"/>
      <c r="G791" s="34"/>
      <c r="H791" s="34"/>
      <c r="I791" s="44"/>
      <c r="J791" s="105"/>
      <c r="K791" s="34"/>
      <c r="L791" s="34"/>
      <c r="M791" s="34"/>
    </row>
    <row r="792" spans="1:13" ht="12.75">
      <c r="A792" s="34"/>
      <c r="B792" s="188"/>
      <c r="C792" s="34"/>
      <c r="D792" s="34"/>
      <c r="E792" s="34"/>
      <c r="F792" s="34"/>
      <c r="G792" s="34"/>
      <c r="H792" s="34"/>
      <c r="I792" s="44"/>
      <c r="J792" s="105"/>
      <c r="K792" s="34"/>
      <c r="L792" s="34"/>
      <c r="M792" s="34"/>
    </row>
    <row r="793" spans="1:13" ht="12.75">
      <c r="A793" s="34"/>
      <c r="B793" s="188"/>
      <c r="C793" s="34"/>
      <c r="D793" s="34"/>
      <c r="E793" s="34"/>
      <c r="F793" s="34"/>
      <c r="G793" s="34"/>
      <c r="H793" s="34"/>
      <c r="I793" s="44"/>
      <c r="J793" s="105"/>
      <c r="K793" s="34"/>
      <c r="L793" s="34"/>
      <c r="M793" s="34"/>
    </row>
    <row r="794" spans="1:13" ht="12.75">
      <c r="A794" s="34"/>
      <c r="B794" s="188"/>
      <c r="C794" s="34"/>
      <c r="D794" s="34"/>
      <c r="E794" s="34"/>
      <c r="F794" s="34"/>
      <c r="G794" s="34"/>
      <c r="H794" s="34"/>
      <c r="I794" s="44"/>
      <c r="J794" s="105"/>
      <c r="K794" s="34"/>
      <c r="L794" s="34"/>
      <c r="M794" s="34"/>
    </row>
    <row r="795" spans="1:13" ht="12.75">
      <c r="A795" s="34"/>
      <c r="B795" s="188"/>
      <c r="C795" s="34"/>
      <c r="D795" s="34"/>
      <c r="E795" s="34"/>
      <c r="F795" s="34"/>
      <c r="G795" s="34"/>
      <c r="H795" s="34"/>
      <c r="I795" s="44"/>
      <c r="J795" s="105"/>
      <c r="K795" s="34"/>
      <c r="L795" s="34"/>
      <c r="M795" s="34"/>
    </row>
    <row r="796" spans="1:13" ht="12.75">
      <c r="A796" s="34"/>
      <c r="B796" s="188"/>
      <c r="C796" s="34"/>
      <c r="D796" s="34"/>
      <c r="E796" s="34"/>
      <c r="F796" s="34"/>
      <c r="G796" s="34"/>
      <c r="H796" s="34"/>
      <c r="I796" s="44"/>
      <c r="J796" s="105"/>
      <c r="K796" s="34"/>
      <c r="L796" s="34"/>
      <c r="M796" s="34"/>
    </row>
    <row r="797" spans="1:13" ht="12.75">
      <c r="A797" s="34"/>
      <c r="B797" s="188"/>
      <c r="C797" s="34"/>
      <c r="D797" s="34"/>
      <c r="E797" s="34"/>
      <c r="F797" s="34"/>
      <c r="G797" s="34"/>
      <c r="H797" s="34"/>
      <c r="I797" s="44"/>
      <c r="J797" s="105"/>
      <c r="K797" s="34"/>
      <c r="L797" s="34"/>
      <c r="M797" s="34"/>
    </row>
    <row r="798" spans="1:13" ht="12.75">
      <c r="A798" s="34"/>
      <c r="B798" s="188"/>
      <c r="C798" s="34"/>
      <c r="D798" s="34"/>
      <c r="E798" s="34"/>
      <c r="F798" s="34"/>
      <c r="G798" s="34"/>
      <c r="H798" s="34"/>
      <c r="I798" s="44"/>
      <c r="J798" s="105"/>
      <c r="K798" s="34"/>
      <c r="L798" s="34"/>
      <c r="M798" s="34"/>
    </row>
    <row r="799" spans="1:13" ht="12.75">
      <c r="A799" s="34"/>
      <c r="B799" s="188"/>
      <c r="C799" s="34"/>
      <c r="D799" s="34"/>
      <c r="E799" s="34"/>
      <c r="F799" s="34"/>
      <c r="G799" s="34"/>
      <c r="H799" s="34"/>
      <c r="I799" s="44"/>
      <c r="J799" s="105"/>
      <c r="K799" s="34"/>
      <c r="L799" s="34"/>
      <c r="M799" s="34"/>
    </row>
    <row r="800" spans="1:13" ht="12.75">
      <c r="A800" s="34"/>
      <c r="B800" s="188"/>
      <c r="C800" s="34"/>
      <c r="D800" s="34"/>
      <c r="E800" s="34"/>
      <c r="F800" s="34"/>
      <c r="G800" s="34"/>
      <c r="H800" s="34"/>
      <c r="I800" s="44"/>
      <c r="J800" s="105"/>
      <c r="K800" s="34"/>
      <c r="L800" s="34"/>
      <c r="M800" s="34"/>
    </row>
    <row r="801" spans="1:13" ht="12.75">
      <c r="A801" s="34"/>
      <c r="B801" s="188"/>
      <c r="C801" s="34"/>
      <c r="D801" s="34"/>
      <c r="E801" s="34"/>
      <c r="F801" s="34"/>
      <c r="G801" s="34"/>
      <c r="H801" s="34"/>
      <c r="I801" s="44"/>
      <c r="J801" s="105"/>
      <c r="K801" s="34"/>
      <c r="L801" s="34"/>
      <c r="M801" s="34"/>
    </row>
    <row r="802" spans="1:13" ht="12.75">
      <c r="A802" s="34"/>
      <c r="B802" s="188"/>
      <c r="C802" s="34"/>
      <c r="D802" s="34"/>
      <c r="E802" s="34"/>
      <c r="F802" s="34"/>
      <c r="G802" s="34"/>
      <c r="H802" s="34"/>
      <c r="I802" s="44"/>
      <c r="J802" s="105"/>
      <c r="K802" s="34"/>
      <c r="L802" s="34"/>
      <c r="M802" s="34"/>
    </row>
    <row r="803" spans="1:13" ht="12.75">
      <c r="A803" s="34"/>
      <c r="B803" s="188"/>
      <c r="C803" s="34"/>
      <c r="D803" s="34"/>
      <c r="E803" s="34"/>
      <c r="F803" s="34"/>
      <c r="G803" s="34"/>
      <c r="H803" s="34"/>
      <c r="I803" s="44"/>
      <c r="J803" s="105"/>
      <c r="K803" s="34"/>
      <c r="L803" s="34"/>
      <c r="M803" s="34"/>
    </row>
    <row r="804" spans="1:13" ht="12.75">
      <c r="A804" s="34"/>
      <c r="B804" s="188"/>
      <c r="C804" s="34"/>
      <c r="D804" s="34"/>
      <c r="E804" s="34"/>
      <c r="F804" s="34"/>
      <c r="G804" s="34"/>
      <c r="H804" s="34"/>
      <c r="I804" s="44"/>
      <c r="J804" s="105"/>
      <c r="K804" s="34"/>
      <c r="L804" s="34"/>
      <c r="M804" s="34"/>
    </row>
    <row r="805" spans="1:13" ht="12.75">
      <c r="A805" s="34"/>
      <c r="B805" s="188"/>
      <c r="C805" s="34"/>
      <c r="D805" s="34"/>
      <c r="E805" s="34"/>
      <c r="F805" s="34"/>
      <c r="G805" s="34"/>
      <c r="H805" s="34"/>
      <c r="I805" s="44"/>
      <c r="J805" s="105"/>
      <c r="K805" s="34"/>
      <c r="L805" s="34"/>
      <c r="M805" s="34"/>
    </row>
    <row r="806" spans="1:13" ht="12.75">
      <c r="A806" s="34"/>
      <c r="B806" s="188"/>
      <c r="C806" s="34"/>
      <c r="D806" s="34"/>
      <c r="E806" s="34"/>
      <c r="F806" s="34"/>
      <c r="G806" s="34"/>
      <c r="H806" s="34"/>
      <c r="I806" s="44"/>
      <c r="J806" s="105"/>
      <c r="K806" s="34"/>
      <c r="L806" s="34"/>
      <c r="M806" s="34"/>
    </row>
    <row r="807" spans="1:13" ht="12.75">
      <c r="A807" s="34"/>
      <c r="B807" s="188"/>
      <c r="C807" s="34"/>
      <c r="D807" s="34"/>
      <c r="E807" s="34"/>
      <c r="F807" s="34"/>
      <c r="G807" s="34"/>
      <c r="H807" s="34"/>
      <c r="I807" s="44"/>
      <c r="J807" s="105"/>
      <c r="K807" s="34"/>
      <c r="L807" s="34"/>
      <c r="M807" s="34"/>
    </row>
    <row r="808" spans="1:13" ht="12.75">
      <c r="A808" s="34"/>
      <c r="B808" s="188"/>
      <c r="C808" s="34"/>
      <c r="D808" s="34"/>
      <c r="E808" s="34"/>
      <c r="F808" s="34"/>
      <c r="G808" s="34"/>
      <c r="H808" s="34"/>
      <c r="I808" s="44"/>
      <c r="J808" s="105"/>
      <c r="K808" s="34"/>
      <c r="L808" s="34"/>
      <c r="M808" s="34"/>
    </row>
    <row r="809" spans="1:13" ht="12.75">
      <c r="A809" s="34"/>
      <c r="B809" s="188"/>
      <c r="C809" s="34"/>
      <c r="D809" s="34"/>
      <c r="E809" s="34"/>
      <c r="F809" s="34"/>
      <c r="G809" s="34"/>
      <c r="H809" s="34"/>
      <c r="I809" s="44"/>
      <c r="J809" s="105"/>
      <c r="K809" s="34"/>
      <c r="L809" s="34"/>
      <c r="M809" s="34"/>
    </row>
    <row r="810" spans="1:13" ht="12.75">
      <c r="A810" s="34"/>
      <c r="B810" s="188"/>
      <c r="C810" s="34"/>
      <c r="D810" s="34"/>
      <c r="E810" s="34"/>
      <c r="F810" s="34"/>
      <c r="G810" s="34"/>
      <c r="H810" s="34"/>
      <c r="I810" s="44"/>
      <c r="J810" s="105"/>
      <c r="K810" s="34"/>
      <c r="L810" s="34"/>
      <c r="M810" s="34"/>
    </row>
    <row r="811" spans="1:13" ht="12.75">
      <c r="A811" s="34"/>
      <c r="B811" s="188"/>
      <c r="C811" s="34"/>
      <c r="D811" s="34"/>
      <c r="E811" s="34"/>
      <c r="F811" s="34"/>
      <c r="G811" s="34"/>
      <c r="H811" s="34"/>
      <c r="I811" s="44"/>
      <c r="J811" s="105"/>
      <c r="K811" s="34"/>
      <c r="L811" s="34"/>
      <c r="M811" s="34"/>
    </row>
    <row r="812" spans="1:13" ht="12.75">
      <c r="A812" s="34"/>
      <c r="B812" s="188"/>
      <c r="C812" s="34"/>
      <c r="D812" s="34"/>
      <c r="E812" s="34"/>
      <c r="F812" s="34"/>
      <c r="G812" s="34"/>
      <c r="H812" s="34"/>
      <c r="I812" s="44"/>
      <c r="J812" s="105"/>
      <c r="K812" s="34"/>
      <c r="L812" s="34"/>
      <c r="M812" s="34"/>
    </row>
    <row r="813" spans="1:13" ht="12.75">
      <c r="A813" s="34"/>
      <c r="B813" s="188"/>
      <c r="C813" s="34"/>
      <c r="D813" s="34"/>
      <c r="E813" s="34"/>
      <c r="F813" s="34"/>
      <c r="G813" s="34"/>
      <c r="H813" s="34"/>
      <c r="I813" s="44"/>
      <c r="J813" s="105"/>
      <c r="K813" s="34"/>
      <c r="L813" s="34"/>
      <c r="M813" s="34"/>
    </row>
    <row r="814" spans="1:13" ht="12.75">
      <c r="A814" s="34"/>
      <c r="B814" s="188"/>
      <c r="C814" s="34"/>
      <c r="D814" s="34"/>
      <c r="E814" s="34"/>
      <c r="F814" s="34"/>
      <c r="G814" s="34"/>
      <c r="H814" s="34"/>
      <c r="I814" s="44"/>
      <c r="J814" s="105"/>
      <c r="K814" s="34"/>
      <c r="L814" s="34"/>
      <c r="M814" s="34"/>
    </row>
    <row r="815" spans="1:13" ht="12.75">
      <c r="A815" s="34"/>
      <c r="B815" s="188"/>
      <c r="C815" s="34"/>
      <c r="D815" s="34"/>
      <c r="E815" s="34"/>
      <c r="F815" s="34"/>
      <c r="G815" s="34"/>
      <c r="H815" s="34"/>
      <c r="I815" s="44"/>
      <c r="J815" s="105"/>
      <c r="K815" s="34"/>
      <c r="L815" s="34"/>
      <c r="M815" s="34"/>
    </row>
    <row r="816" spans="1:13" ht="12.75">
      <c r="A816" s="34"/>
      <c r="B816" s="188"/>
      <c r="C816" s="34"/>
      <c r="D816" s="34"/>
      <c r="E816" s="34"/>
      <c r="F816" s="34"/>
      <c r="G816" s="34"/>
      <c r="H816" s="34"/>
      <c r="I816" s="44"/>
      <c r="J816" s="105"/>
      <c r="K816" s="34"/>
      <c r="L816" s="34"/>
      <c r="M816" s="34"/>
    </row>
    <row r="817" spans="1:13" ht="12.75">
      <c r="A817" s="34"/>
      <c r="B817" s="188"/>
      <c r="C817" s="34"/>
      <c r="D817" s="34"/>
      <c r="E817" s="34"/>
      <c r="F817" s="34"/>
      <c r="G817" s="34"/>
      <c r="H817" s="34"/>
      <c r="I817" s="44"/>
      <c r="J817" s="105"/>
      <c r="K817" s="34"/>
      <c r="L817" s="34"/>
      <c r="M817" s="34"/>
    </row>
    <row r="818" spans="1:13" ht="12.75">
      <c r="A818" s="34"/>
      <c r="B818" s="188"/>
      <c r="C818" s="34"/>
      <c r="D818" s="34"/>
      <c r="E818" s="34"/>
      <c r="F818" s="34"/>
      <c r="G818" s="34"/>
      <c r="H818" s="34"/>
      <c r="I818" s="44"/>
      <c r="J818" s="105"/>
      <c r="K818" s="34"/>
      <c r="L818" s="34"/>
      <c r="M818" s="34"/>
    </row>
    <row r="819" spans="1:13" ht="12.75">
      <c r="A819" s="34"/>
      <c r="B819" s="188"/>
      <c r="C819" s="34"/>
      <c r="D819" s="34"/>
      <c r="E819" s="34"/>
      <c r="F819" s="34"/>
      <c r="G819" s="34"/>
      <c r="H819" s="34"/>
      <c r="I819" s="44"/>
      <c r="J819" s="105"/>
      <c r="K819" s="34"/>
      <c r="L819" s="34"/>
      <c r="M819" s="34"/>
    </row>
    <row r="820" spans="1:13" ht="12.75">
      <c r="A820" s="34"/>
      <c r="B820" s="188"/>
      <c r="C820" s="34"/>
      <c r="D820" s="34"/>
      <c r="E820" s="34"/>
      <c r="F820" s="34"/>
      <c r="G820" s="34"/>
      <c r="H820" s="34"/>
      <c r="I820" s="44"/>
      <c r="J820" s="105"/>
      <c r="K820" s="34"/>
      <c r="L820" s="34"/>
      <c r="M820" s="34"/>
    </row>
    <row r="821" spans="1:13" ht="12.75">
      <c r="A821" s="34"/>
      <c r="B821" s="188"/>
      <c r="C821" s="34"/>
      <c r="D821" s="34"/>
      <c r="E821" s="34"/>
      <c r="F821" s="34"/>
      <c r="G821" s="34"/>
      <c r="H821" s="34"/>
      <c r="I821" s="44"/>
      <c r="J821" s="105"/>
      <c r="K821" s="34"/>
      <c r="L821" s="34"/>
      <c r="M821" s="34"/>
    </row>
    <row r="822" spans="1:13" ht="12.75">
      <c r="A822" s="34"/>
      <c r="B822" s="188"/>
      <c r="C822" s="34"/>
      <c r="D822" s="34"/>
      <c r="E822" s="34"/>
      <c r="F822" s="34"/>
      <c r="G822" s="34"/>
      <c r="H822" s="34"/>
      <c r="I822" s="44"/>
      <c r="J822" s="105"/>
      <c r="K822" s="34"/>
      <c r="L822" s="34"/>
      <c r="M822" s="34"/>
    </row>
    <row r="823" spans="1:13" ht="12.75">
      <c r="A823" s="34"/>
      <c r="B823" s="188"/>
      <c r="C823" s="34"/>
      <c r="D823" s="34"/>
      <c r="E823" s="34"/>
      <c r="F823" s="34"/>
      <c r="G823" s="34"/>
      <c r="H823" s="34"/>
      <c r="I823" s="44"/>
      <c r="J823" s="105"/>
      <c r="K823" s="34"/>
      <c r="L823" s="34"/>
      <c r="M823" s="34"/>
    </row>
    <row r="824" spans="1:13" ht="12.75">
      <c r="A824" s="34"/>
      <c r="B824" s="188"/>
      <c r="C824" s="34"/>
      <c r="D824" s="34"/>
      <c r="E824" s="34"/>
      <c r="F824" s="34"/>
      <c r="G824" s="34"/>
      <c r="H824" s="34"/>
      <c r="I824" s="44"/>
      <c r="J824" s="105"/>
      <c r="K824" s="34"/>
      <c r="L824" s="34"/>
      <c r="M824" s="34"/>
    </row>
    <row r="825" spans="1:13" ht="12.75">
      <c r="A825" s="34"/>
      <c r="B825" s="188"/>
      <c r="C825" s="34"/>
      <c r="D825" s="34"/>
      <c r="E825" s="34"/>
      <c r="F825" s="34"/>
      <c r="G825" s="34"/>
      <c r="H825" s="34"/>
      <c r="I825" s="44"/>
      <c r="J825" s="105"/>
      <c r="K825" s="34"/>
      <c r="L825" s="34"/>
      <c r="M825" s="34"/>
    </row>
    <row r="826" spans="1:13" ht="12.75">
      <c r="A826" s="34"/>
      <c r="B826" s="188"/>
      <c r="C826" s="34"/>
      <c r="D826" s="34"/>
      <c r="E826" s="34"/>
      <c r="F826" s="34"/>
      <c r="G826" s="34"/>
      <c r="H826" s="34"/>
      <c r="I826" s="44"/>
      <c r="J826" s="105"/>
      <c r="K826" s="34"/>
      <c r="L826" s="34"/>
      <c r="M826" s="34"/>
    </row>
    <row r="827" spans="1:13" ht="12.75">
      <c r="A827" s="34"/>
      <c r="B827" s="188"/>
      <c r="C827" s="34"/>
      <c r="D827" s="34"/>
      <c r="E827" s="34"/>
      <c r="F827" s="34"/>
      <c r="G827" s="34"/>
      <c r="H827" s="34"/>
      <c r="I827" s="44"/>
      <c r="J827" s="105"/>
      <c r="K827" s="34"/>
      <c r="L827" s="34"/>
      <c r="M827" s="34"/>
    </row>
    <row r="828" spans="1:13" ht="12.75">
      <c r="A828" s="34"/>
      <c r="B828" s="188"/>
      <c r="C828" s="34"/>
      <c r="D828" s="34"/>
      <c r="E828" s="34"/>
      <c r="F828" s="34"/>
      <c r="G828" s="34"/>
      <c r="H828" s="34"/>
      <c r="I828" s="44"/>
      <c r="J828" s="105"/>
      <c r="K828" s="34"/>
      <c r="L828" s="34"/>
      <c r="M828" s="34"/>
    </row>
    <row r="829" spans="1:13" ht="12.75">
      <c r="A829" s="34"/>
      <c r="B829" s="188"/>
      <c r="C829" s="34"/>
      <c r="D829" s="34"/>
      <c r="E829" s="34"/>
      <c r="F829" s="34"/>
      <c r="G829" s="34"/>
      <c r="H829" s="34"/>
      <c r="I829" s="44"/>
      <c r="J829" s="105"/>
      <c r="K829" s="34"/>
      <c r="L829" s="34"/>
      <c r="M829" s="34"/>
    </row>
    <row r="830" spans="1:13" ht="12.75">
      <c r="A830" s="34"/>
      <c r="B830" s="188"/>
      <c r="C830" s="34"/>
      <c r="D830" s="34"/>
      <c r="E830" s="34"/>
      <c r="F830" s="34"/>
      <c r="G830" s="34"/>
      <c r="H830" s="34"/>
      <c r="I830" s="44"/>
      <c r="J830" s="105"/>
      <c r="K830" s="34"/>
      <c r="L830" s="34"/>
      <c r="M830" s="34"/>
    </row>
    <row r="831" spans="1:13" ht="12.75">
      <c r="A831" s="34"/>
      <c r="B831" s="188"/>
      <c r="C831" s="34"/>
      <c r="D831" s="34"/>
      <c r="E831" s="34"/>
      <c r="F831" s="34"/>
      <c r="G831" s="34"/>
      <c r="H831" s="34"/>
      <c r="I831" s="44"/>
      <c r="J831" s="105"/>
      <c r="K831" s="34"/>
      <c r="L831" s="34"/>
      <c r="M831" s="34"/>
    </row>
    <row r="832" spans="1:13" ht="12.75">
      <c r="A832" s="34"/>
      <c r="B832" s="188"/>
      <c r="C832" s="34"/>
      <c r="D832" s="34"/>
      <c r="E832" s="34"/>
      <c r="F832" s="34"/>
      <c r="G832" s="34"/>
      <c r="H832" s="34"/>
      <c r="I832" s="44"/>
      <c r="J832" s="105"/>
      <c r="K832" s="34"/>
      <c r="L832" s="34"/>
      <c r="M832" s="34"/>
    </row>
    <row r="833" spans="1:13" ht="12.75">
      <c r="A833" s="34"/>
      <c r="B833" s="188"/>
      <c r="C833" s="34"/>
      <c r="D833" s="34"/>
      <c r="E833" s="34"/>
      <c r="F833" s="34"/>
      <c r="G833" s="34"/>
      <c r="H833" s="34"/>
      <c r="I833" s="44"/>
      <c r="J833" s="105"/>
      <c r="K833" s="34"/>
      <c r="L833" s="34"/>
      <c r="M833" s="34"/>
    </row>
    <row r="834" spans="1:13" ht="12.75">
      <c r="A834" s="34"/>
      <c r="B834" s="188"/>
      <c r="C834" s="34"/>
      <c r="D834" s="34"/>
      <c r="E834" s="34"/>
      <c r="F834" s="34"/>
      <c r="G834" s="34"/>
      <c r="H834" s="34"/>
      <c r="I834" s="44"/>
      <c r="J834" s="105"/>
      <c r="K834" s="34"/>
      <c r="L834" s="34"/>
      <c r="M834" s="34"/>
    </row>
    <row r="835" spans="1:13" ht="12.75">
      <c r="A835" s="34"/>
      <c r="B835" s="188"/>
      <c r="C835" s="34"/>
      <c r="D835" s="34"/>
      <c r="E835" s="34"/>
      <c r="F835" s="34"/>
      <c r="G835" s="34"/>
      <c r="H835" s="34"/>
      <c r="I835" s="44"/>
      <c r="J835" s="105"/>
      <c r="K835" s="34"/>
      <c r="L835" s="34"/>
      <c r="M835" s="34"/>
    </row>
    <row r="836" spans="1:13" ht="12.75">
      <c r="A836" s="34"/>
      <c r="B836" s="188"/>
      <c r="C836" s="34"/>
      <c r="D836" s="34"/>
      <c r="E836" s="34"/>
      <c r="F836" s="34"/>
      <c r="G836" s="34"/>
      <c r="H836" s="34"/>
      <c r="I836" s="44"/>
      <c r="J836" s="105"/>
      <c r="K836" s="34"/>
      <c r="L836" s="34"/>
      <c r="M836" s="34"/>
    </row>
    <row r="837" spans="1:13" ht="12.75">
      <c r="A837" s="34"/>
      <c r="B837" s="188"/>
      <c r="C837" s="34"/>
      <c r="D837" s="34"/>
      <c r="E837" s="34"/>
      <c r="F837" s="34"/>
      <c r="G837" s="34"/>
      <c r="H837" s="34"/>
      <c r="I837" s="44"/>
      <c r="J837" s="105"/>
      <c r="K837" s="34"/>
      <c r="L837" s="34"/>
      <c r="M837" s="34"/>
    </row>
    <row r="838" spans="1:13" ht="12.75">
      <c r="A838" s="34"/>
      <c r="B838" s="188"/>
      <c r="C838" s="34"/>
      <c r="D838" s="34"/>
      <c r="E838" s="34"/>
      <c r="F838" s="34"/>
      <c r="G838" s="34"/>
      <c r="H838" s="34"/>
      <c r="I838" s="44"/>
      <c r="J838" s="105"/>
      <c r="K838" s="34"/>
      <c r="L838" s="34"/>
      <c r="M838" s="34"/>
    </row>
    <row r="839" spans="1:13" ht="12.75">
      <c r="A839" s="34"/>
      <c r="B839" s="188"/>
      <c r="C839" s="34"/>
      <c r="D839" s="34"/>
      <c r="E839" s="34"/>
      <c r="F839" s="34"/>
      <c r="G839" s="34"/>
      <c r="H839" s="34"/>
      <c r="I839" s="44"/>
      <c r="J839" s="105"/>
      <c r="K839" s="34"/>
      <c r="L839" s="34"/>
      <c r="M839" s="34"/>
    </row>
    <row r="840" spans="1:13" ht="12.75">
      <c r="A840" s="34"/>
      <c r="B840" s="188"/>
      <c r="C840" s="34"/>
      <c r="D840" s="34"/>
      <c r="E840" s="34"/>
      <c r="F840" s="34"/>
      <c r="G840" s="34"/>
      <c r="H840" s="34"/>
      <c r="I840" s="44"/>
      <c r="J840" s="105"/>
      <c r="K840" s="34"/>
      <c r="L840" s="34"/>
      <c r="M840" s="34"/>
    </row>
    <row r="841" spans="1:13" ht="12.75">
      <c r="A841" s="34"/>
      <c r="B841" s="188"/>
      <c r="C841" s="34"/>
      <c r="D841" s="34"/>
      <c r="E841" s="34"/>
      <c r="F841" s="34"/>
      <c r="G841" s="34"/>
      <c r="H841" s="34"/>
      <c r="I841" s="44"/>
      <c r="J841" s="105"/>
      <c r="K841" s="34"/>
      <c r="L841" s="34"/>
      <c r="M841" s="34"/>
    </row>
    <row r="842" spans="1:13" ht="12.75">
      <c r="A842" s="34"/>
      <c r="B842" s="188"/>
      <c r="C842" s="34"/>
      <c r="D842" s="34"/>
      <c r="E842" s="34"/>
      <c r="F842" s="34"/>
      <c r="G842" s="34"/>
      <c r="H842" s="34"/>
      <c r="I842" s="44"/>
      <c r="J842" s="105"/>
      <c r="K842" s="34"/>
      <c r="L842" s="34"/>
      <c r="M842" s="34"/>
    </row>
    <row r="843" spans="1:13" ht="12.75">
      <c r="A843" s="34"/>
      <c r="B843" s="188"/>
      <c r="C843" s="34"/>
      <c r="D843" s="34"/>
      <c r="E843" s="34"/>
      <c r="F843" s="34"/>
      <c r="G843" s="34"/>
      <c r="H843" s="34"/>
      <c r="I843" s="44"/>
      <c r="J843" s="105"/>
      <c r="K843" s="34"/>
      <c r="L843" s="34"/>
      <c r="M843" s="34"/>
    </row>
    <row r="844" spans="1:13" ht="12.75">
      <c r="A844" s="34"/>
      <c r="B844" s="188"/>
      <c r="C844" s="34"/>
      <c r="D844" s="34"/>
      <c r="E844" s="34"/>
      <c r="F844" s="34"/>
      <c r="G844" s="34"/>
      <c r="H844" s="34"/>
      <c r="I844" s="44"/>
      <c r="J844" s="105"/>
      <c r="K844" s="34"/>
      <c r="L844" s="34"/>
      <c r="M844" s="34"/>
    </row>
    <row r="845" spans="1:13" ht="12.75">
      <c r="A845" s="34"/>
      <c r="B845" s="188"/>
      <c r="C845" s="34"/>
      <c r="D845" s="34"/>
      <c r="E845" s="34"/>
      <c r="F845" s="34"/>
      <c r="G845" s="34"/>
      <c r="H845" s="34"/>
      <c r="I845" s="44"/>
      <c r="J845" s="105"/>
      <c r="K845" s="34"/>
      <c r="L845" s="34"/>
      <c r="M845" s="34"/>
    </row>
    <row r="846" spans="1:13" ht="12.75">
      <c r="A846" s="34"/>
      <c r="B846" s="188"/>
      <c r="C846" s="34"/>
      <c r="D846" s="34"/>
      <c r="E846" s="34"/>
      <c r="F846" s="34"/>
      <c r="G846" s="34"/>
      <c r="H846" s="34"/>
      <c r="I846" s="44"/>
      <c r="J846" s="105"/>
      <c r="K846" s="34"/>
      <c r="L846" s="34"/>
      <c r="M846" s="34"/>
    </row>
    <row r="847" spans="1:13" ht="12.75">
      <c r="A847" s="34"/>
      <c r="B847" s="188"/>
      <c r="C847" s="34"/>
      <c r="D847" s="34"/>
      <c r="E847" s="34"/>
      <c r="F847" s="34"/>
      <c r="G847" s="34"/>
      <c r="H847" s="34"/>
      <c r="I847" s="44"/>
      <c r="J847" s="105"/>
      <c r="K847" s="34"/>
      <c r="L847" s="34"/>
      <c r="M847" s="34"/>
    </row>
    <row r="848" spans="1:13" ht="12.75">
      <c r="A848" s="34"/>
      <c r="B848" s="188"/>
      <c r="C848" s="34"/>
      <c r="D848" s="34"/>
      <c r="E848" s="34"/>
      <c r="F848" s="34"/>
      <c r="G848" s="34"/>
      <c r="H848" s="34"/>
      <c r="I848" s="44"/>
      <c r="J848" s="105"/>
      <c r="K848" s="34"/>
      <c r="L848" s="34"/>
      <c r="M848" s="34"/>
    </row>
    <row r="849" spans="1:13" ht="12.75">
      <c r="A849" s="34"/>
      <c r="B849" s="188"/>
      <c r="C849" s="34"/>
      <c r="D849" s="34"/>
      <c r="E849" s="34"/>
      <c r="F849" s="34"/>
      <c r="G849" s="34"/>
      <c r="H849" s="34"/>
      <c r="I849" s="44"/>
      <c r="J849" s="105"/>
      <c r="K849" s="34"/>
      <c r="L849" s="34"/>
      <c r="M849" s="34"/>
    </row>
    <row r="850" spans="1:13" ht="12.75">
      <c r="A850" s="34"/>
      <c r="B850" s="188"/>
      <c r="C850" s="34"/>
      <c r="D850" s="34"/>
      <c r="E850" s="34"/>
      <c r="F850" s="34"/>
      <c r="G850" s="34"/>
      <c r="H850" s="34"/>
      <c r="I850" s="44"/>
      <c r="J850" s="105"/>
      <c r="K850" s="34"/>
      <c r="L850" s="34"/>
      <c r="M850" s="34"/>
    </row>
    <row r="851" spans="1:13" ht="12.75">
      <c r="A851" s="34"/>
      <c r="B851" s="188"/>
      <c r="C851" s="34"/>
      <c r="D851" s="34"/>
      <c r="E851" s="34"/>
      <c r="F851" s="34"/>
      <c r="G851" s="34"/>
      <c r="H851" s="34"/>
      <c r="I851" s="44"/>
      <c r="J851" s="105"/>
      <c r="K851" s="34"/>
      <c r="L851" s="34"/>
      <c r="M851" s="34"/>
    </row>
    <row r="852" spans="1:13" ht="12.75">
      <c r="A852" s="34"/>
      <c r="B852" s="188"/>
      <c r="C852" s="34"/>
      <c r="D852" s="34"/>
      <c r="E852" s="34"/>
      <c r="F852" s="34"/>
      <c r="G852" s="34"/>
      <c r="H852" s="34"/>
      <c r="I852" s="44"/>
      <c r="J852" s="105"/>
      <c r="K852" s="34"/>
      <c r="L852" s="34"/>
      <c r="M852" s="34"/>
    </row>
    <row r="853" spans="1:13" ht="12.75">
      <c r="A853" s="34"/>
      <c r="B853" s="188"/>
      <c r="C853" s="34"/>
      <c r="D853" s="34"/>
      <c r="E853" s="34"/>
      <c r="F853" s="34"/>
      <c r="G853" s="34"/>
      <c r="H853" s="34"/>
      <c r="I853" s="44"/>
      <c r="J853" s="105"/>
      <c r="K853" s="34"/>
      <c r="L853" s="34"/>
      <c r="M853" s="34"/>
    </row>
    <row r="854" spans="1:13" ht="12.75">
      <c r="A854" s="34"/>
      <c r="B854" s="188"/>
      <c r="C854" s="34"/>
      <c r="D854" s="34"/>
      <c r="E854" s="34"/>
      <c r="F854" s="34"/>
      <c r="G854" s="34"/>
      <c r="H854" s="34"/>
      <c r="I854" s="44"/>
      <c r="J854" s="105"/>
      <c r="K854" s="34"/>
      <c r="L854" s="34"/>
      <c r="M854" s="34"/>
    </row>
    <row r="855" spans="1:13" ht="12.75">
      <c r="A855" s="34"/>
      <c r="B855" s="188"/>
      <c r="C855" s="34"/>
      <c r="D855" s="34"/>
      <c r="E855" s="34"/>
      <c r="F855" s="34"/>
      <c r="G855" s="34"/>
      <c r="H855" s="34"/>
      <c r="I855" s="44"/>
      <c r="J855" s="105"/>
      <c r="K855" s="34"/>
      <c r="L855" s="34"/>
      <c r="M855" s="34"/>
    </row>
    <row r="856" spans="1:13" ht="12.75">
      <c r="A856" s="34"/>
      <c r="B856" s="188"/>
      <c r="C856" s="34"/>
      <c r="D856" s="34"/>
      <c r="E856" s="34"/>
      <c r="F856" s="34"/>
      <c r="G856" s="34"/>
      <c r="H856" s="34"/>
      <c r="I856" s="44"/>
      <c r="J856" s="105"/>
      <c r="K856" s="34"/>
      <c r="L856" s="34"/>
      <c r="M856" s="34"/>
    </row>
    <row r="857" spans="1:13" ht="12.75">
      <c r="A857" s="34"/>
      <c r="B857" s="188"/>
      <c r="C857" s="34"/>
      <c r="D857" s="34"/>
      <c r="E857" s="34"/>
      <c r="F857" s="34"/>
      <c r="G857" s="34"/>
      <c r="H857" s="34"/>
      <c r="I857" s="44"/>
      <c r="J857" s="105"/>
      <c r="K857" s="34"/>
      <c r="L857" s="34"/>
      <c r="M857" s="34"/>
    </row>
    <row r="858" spans="1:13" ht="12.75">
      <c r="A858" s="34"/>
      <c r="B858" s="188"/>
      <c r="C858" s="34"/>
      <c r="D858" s="34"/>
      <c r="E858" s="34"/>
      <c r="F858" s="34"/>
      <c r="G858" s="34"/>
      <c r="H858" s="34"/>
      <c r="I858" s="44"/>
      <c r="J858" s="105"/>
      <c r="K858" s="34"/>
      <c r="L858" s="34"/>
      <c r="M858" s="34"/>
    </row>
    <row r="859" spans="1:13" ht="12.75">
      <c r="A859" s="34"/>
      <c r="B859" s="188"/>
      <c r="C859" s="34"/>
      <c r="D859" s="34"/>
      <c r="E859" s="34"/>
      <c r="F859" s="34"/>
      <c r="G859" s="34"/>
      <c r="H859" s="34"/>
      <c r="I859" s="44"/>
      <c r="J859" s="105"/>
      <c r="K859" s="34"/>
      <c r="L859" s="34"/>
      <c r="M859" s="34"/>
    </row>
    <row r="860" spans="1:13" ht="12.75">
      <c r="A860" s="34"/>
      <c r="B860" s="188"/>
      <c r="C860" s="34"/>
      <c r="D860" s="34"/>
      <c r="E860" s="34"/>
      <c r="F860" s="34"/>
      <c r="G860" s="34"/>
      <c r="H860" s="34"/>
      <c r="I860" s="44"/>
      <c r="J860" s="105"/>
      <c r="K860" s="34"/>
      <c r="L860" s="34"/>
      <c r="M860" s="34"/>
    </row>
    <row r="861" spans="1:13" ht="12.75">
      <c r="A861" s="34"/>
      <c r="B861" s="188"/>
      <c r="C861" s="34"/>
      <c r="D861" s="34"/>
      <c r="E861" s="34"/>
      <c r="F861" s="34"/>
      <c r="G861" s="34"/>
      <c r="H861" s="34"/>
      <c r="I861" s="44"/>
      <c r="J861" s="105"/>
      <c r="K861" s="34"/>
      <c r="L861" s="34"/>
      <c r="M861" s="34"/>
    </row>
    <row r="862" spans="1:13" ht="12.75">
      <c r="A862" s="34"/>
      <c r="B862" s="188"/>
      <c r="C862" s="34"/>
      <c r="D862" s="34"/>
      <c r="E862" s="34"/>
      <c r="F862" s="34"/>
      <c r="G862" s="34"/>
      <c r="H862" s="34"/>
      <c r="I862" s="44"/>
      <c r="J862" s="105"/>
      <c r="K862" s="34"/>
      <c r="L862" s="34"/>
      <c r="M862" s="34"/>
    </row>
    <row r="863" spans="1:13" ht="12.75">
      <c r="A863" s="34"/>
      <c r="B863" s="188"/>
      <c r="C863" s="34"/>
      <c r="D863" s="34"/>
      <c r="E863" s="34"/>
      <c r="F863" s="34"/>
      <c r="G863" s="34"/>
      <c r="H863" s="34"/>
      <c r="I863" s="44"/>
      <c r="J863" s="105"/>
      <c r="K863" s="34"/>
      <c r="L863" s="34"/>
      <c r="M863" s="34"/>
    </row>
    <row r="864" spans="1:13" ht="12.75">
      <c r="A864" s="34"/>
      <c r="B864" s="188"/>
      <c r="C864" s="34"/>
      <c r="D864" s="34"/>
      <c r="E864" s="34"/>
      <c r="F864" s="34"/>
      <c r="G864" s="34"/>
      <c r="H864" s="34"/>
      <c r="I864" s="44"/>
      <c r="J864" s="105"/>
      <c r="K864" s="34"/>
      <c r="L864" s="34"/>
      <c r="M864" s="34"/>
    </row>
    <row r="865" spans="1:13" ht="12.75">
      <c r="A865" s="34"/>
      <c r="B865" s="188"/>
      <c r="C865" s="34"/>
      <c r="D865" s="34"/>
      <c r="E865" s="34"/>
      <c r="F865" s="34"/>
      <c r="G865" s="34"/>
      <c r="H865" s="34"/>
      <c r="I865" s="44"/>
      <c r="J865" s="105"/>
      <c r="K865" s="34"/>
      <c r="L865" s="34"/>
      <c r="M865" s="34"/>
    </row>
    <row r="866" spans="1:13" ht="12.75">
      <c r="A866" s="34"/>
      <c r="B866" s="188"/>
      <c r="C866" s="34"/>
      <c r="D866" s="34"/>
      <c r="E866" s="34"/>
      <c r="F866" s="34"/>
      <c r="G866" s="34"/>
      <c r="H866" s="34"/>
      <c r="I866" s="44"/>
      <c r="J866" s="105"/>
      <c r="K866" s="34"/>
      <c r="L866" s="34"/>
      <c r="M866" s="34"/>
    </row>
    <row r="867" spans="1:13" ht="12.75">
      <c r="A867" s="34"/>
      <c r="B867" s="188"/>
      <c r="C867" s="34"/>
      <c r="D867" s="34"/>
      <c r="E867" s="34"/>
      <c r="F867" s="34"/>
      <c r="G867" s="34"/>
      <c r="H867" s="34"/>
      <c r="I867" s="44"/>
      <c r="J867" s="105"/>
      <c r="K867" s="34"/>
      <c r="L867" s="34"/>
      <c r="M867" s="34"/>
    </row>
    <row r="868" spans="1:13" ht="12.75">
      <c r="A868" s="34"/>
      <c r="B868" s="188"/>
      <c r="C868" s="34"/>
      <c r="D868" s="34"/>
      <c r="E868" s="34"/>
      <c r="F868" s="34"/>
      <c r="G868" s="34"/>
      <c r="H868" s="34"/>
      <c r="I868" s="44"/>
      <c r="J868" s="105"/>
      <c r="K868" s="34"/>
      <c r="L868" s="34"/>
      <c r="M868" s="34"/>
    </row>
    <row r="869" spans="1:13" ht="12.75">
      <c r="A869" s="34"/>
      <c r="B869" s="188"/>
      <c r="C869" s="34"/>
      <c r="D869" s="34"/>
      <c r="E869" s="34"/>
      <c r="F869" s="34"/>
      <c r="G869" s="34"/>
      <c r="H869" s="34"/>
      <c r="I869" s="44"/>
      <c r="J869" s="105"/>
      <c r="K869" s="34"/>
      <c r="L869" s="34"/>
      <c r="M869" s="34"/>
    </row>
    <row r="870" spans="1:13" ht="12.75">
      <c r="A870" s="34"/>
      <c r="B870" s="188"/>
      <c r="C870" s="34"/>
      <c r="D870" s="34"/>
      <c r="E870" s="34"/>
      <c r="F870" s="34"/>
      <c r="G870" s="34"/>
      <c r="H870" s="34"/>
      <c r="I870" s="44"/>
      <c r="J870" s="105"/>
      <c r="K870" s="34"/>
      <c r="L870" s="34"/>
      <c r="M870" s="34"/>
    </row>
    <row r="871" spans="1:13" ht="12.75">
      <c r="A871" s="34"/>
      <c r="B871" s="188"/>
      <c r="C871" s="34"/>
      <c r="D871" s="34"/>
      <c r="E871" s="34"/>
      <c r="F871" s="34"/>
      <c r="G871" s="34"/>
      <c r="H871" s="34"/>
      <c r="I871" s="44"/>
      <c r="J871" s="105"/>
      <c r="K871" s="34"/>
      <c r="L871" s="34"/>
      <c r="M871" s="34"/>
    </row>
    <row r="872" spans="1:13" ht="12.75">
      <c r="A872" s="34"/>
      <c r="B872" s="188"/>
      <c r="C872" s="34"/>
      <c r="D872" s="34"/>
      <c r="E872" s="34"/>
      <c r="F872" s="34"/>
      <c r="G872" s="34"/>
      <c r="H872" s="34"/>
      <c r="I872" s="44"/>
      <c r="J872" s="105"/>
      <c r="K872" s="34"/>
      <c r="L872" s="34"/>
      <c r="M872" s="34"/>
    </row>
    <row r="873" spans="1:13" ht="12.75">
      <c r="A873" s="34"/>
      <c r="B873" s="188"/>
      <c r="C873" s="34"/>
      <c r="D873" s="34"/>
      <c r="E873" s="34"/>
      <c r="F873" s="34"/>
      <c r="G873" s="34"/>
      <c r="H873" s="34"/>
      <c r="I873" s="44"/>
      <c r="J873" s="105"/>
      <c r="K873" s="34"/>
      <c r="L873" s="34"/>
      <c r="M873" s="34"/>
    </row>
    <row r="874" spans="1:13" ht="12.75">
      <c r="A874" s="34"/>
      <c r="B874" s="188"/>
      <c r="C874" s="34"/>
      <c r="D874" s="34"/>
      <c r="E874" s="34"/>
      <c r="F874" s="34"/>
      <c r="G874" s="34"/>
      <c r="H874" s="34"/>
      <c r="I874" s="44"/>
      <c r="J874" s="105"/>
      <c r="K874" s="34"/>
      <c r="L874" s="34"/>
      <c r="M874" s="34"/>
    </row>
    <row r="875" spans="1:13" ht="12.75">
      <c r="A875" s="34"/>
      <c r="B875" s="188"/>
      <c r="C875" s="34"/>
      <c r="D875" s="34"/>
      <c r="E875" s="34"/>
      <c r="F875" s="34"/>
      <c r="G875" s="34"/>
      <c r="H875" s="34"/>
      <c r="I875" s="44"/>
      <c r="J875" s="105"/>
      <c r="K875" s="34"/>
      <c r="L875" s="34"/>
      <c r="M875" s="34"/>
    </row>
    <row r="876" spans="1:13" ht="12.75">
      <c r="A876" s="34"/>
      <c r="B876" s="188"/>
      <c r="C876" s="34"/>
      <c r="D876" s="34"/>
      <c r="E876" s="34"/>
      <c r="F876" s="34"/>
      <c r="G876" s="34"/>
      <c r="H876" s="34"/>
      <c r="I876" s="44"/>
      <c r="J876" s="105"/>
      <c r="K876" s="34"/>
      <c r="L876" s="34"/>
      <c r="M876" s="34"/>
    </row>
    <row r="877" spans="1:13" ht="12.75">
      <c r="A877" s="34"/>
      <c r="B877" s="188"/>
      <c r="C877" s="34"/>
      <c r="D877" s="34"/>
      <c r="E877" s="34"/>
      <c r="F877" s="34"/>
      <c r="G877" s="34"/>
      <c r="H877" s="34"/>
      <c r="I877" s="44"/>
      <c r="J877" s="105"/>
      <c r="K877" s="34"/>
      <c r="L877" s="34"/>
      <c r="M877" s="34"/>
    </row>
    <row r="878" spans="1:13" ht="12.75">
      <c r="A878" s="34"/>
      <c r="B878" s="188"/>
      <c r="C878" s="34"/>
      <c r="D878" s="34"/>
      <c r="E878" s="34"/>
      <c r="F878" s="34"/>
      <c r="G878" s="34"/>
      <c r="H878" s="34"/>
      <c r="I878" s="44"/>
      <c r="J878" s="105"/>
      <c r="K878" s="34"/>
      <c r="L878" s="34"/>
      <c r="M878" s="34"/>
    </row>
    <row r="879" spans="1:13" ht="12.75">
      <c r="A879" s="34"/>
      <c r="B879" s="188"/>
      <c r="C879" s="34"/>
      <c r="D879" s="34"/>
      <c r="E879" s="34"/>
      <c r="F879" s="34"/>
      <c r="G879" s="34"/>
      <c r="H879" s="34"/>
      <c r="I879" s="44"/>
      <c r="J879" s="105"/>
      <c r="K879" s="34"/>
      <c r="L879" s="34"/>
      <c r="M879" s="34"/>
    </row>
    <row r="880" spans="1:13" ht="12.75">
      <c r="A880" s="34"/>
      <c r="B880" s="188"/>
      <c r="C880" s="34"/>
      <c r="D880" s="34"/>
      <c r="E880" s="34"/>
      <c r="F880" s="34"/>
      <c r="G880" s="34"/>
      <c r="H880" s="34"/>
      <c r="I880" s="44"/>
      <c r="J880" s="105"/>
      <c r="K880" s="34"/>
      <c r="L880" s="34"/>
      <c r="M880" s="34"/>
    </row>
    <row r="881" spans="1:13" ht="12.75">
      <c r="A881" s="34"/>
      <c r="B881" s="188"/>
      <c r="C881" s="34"/>
      <c r="D881" s="34"/>
      <c r="E881" s="34"/>
      <c r="F881" s="34"/>
      <c r="G881" s="34"/>
      <c r="H881" s="34"/>
      <c r="I881" s="44"/>
      <c r="J881" s="105"/>
      <c r="K881" s="34"/>
      <c r="L881" s="34"/>
      <c r="M881" s="34"/>
    </row>
    <row r="882" spans="1:13" ht="12.75">
      <c r="A882" s="34"/>
      <c r="B882" s="188"/>
      <c r="C882" s="34"/>
      <c r="D882" s="34"/>
      <c r="E882" s="34"/>
      <c r="F882" s="34"/>
      <c r="G882" s="34"/>
      <c r="H882" s="34"/>
      <c r="I882" s="44"/>
      <c r="J882" s="105"/>
      <c r="K882" s="34"/>
      <c r="L882" s="34"/>
      <c r="M882" s="34"/>
    </row>
    <row r="883" spans="1:13" ht="12.75">
      <c r="A883" s="34"/>
      <c r="B883" s="188"/>
      <c r="C883" s="34"/>
      <c r="D883" s="34"/>
      <c r="E883" s="34"/>
      <c r="F883" s="34"/>
      <c r="G883" s="34"/>
      <c r="H883" s="34"/>
      <c r="I883" s="44"/>
      <c r="J883" s="105"/>
      <c r="K883" s="34"/>
      <c r="L883" s="34"/>
      <c r="M883" s="34"/>
    </row>
    <row r="884" spans="1:13" ht="12.75">
      <c r="A884" s="34"/>
      <c r="B884" s="188"/>
      <c r="C884" s="34"/>
      <c r="D884" s="34"/>
      <c r="E884" s="34"/>
      <c r="F884" s="34"/>
      <c r="G884" s="34"/>
      <c r="H884" s="34"/>
      <c r="I884" s="44"/>
      <c r="J884" s="105"/>
      <c r="K884" s="34"/>
      <c r="L884" s="34"/>
      <c r="M884" s="34"/>
    </row>
    <row r="885" spans="1:13" ht="12.75">
      <c r="A885" s="34"/>
      <c r="B885" s="188"/>
      <c r="C885" s="34"/>
      <c r="D885" s="34"/>
      <c r="E885" s="34"/>
      <c r="F885" s="34"/>
      <c r="G885" s="34"/>
      <c r="H885" s="34"/>
      <c r="I885" s="44"/>
      <c r="J885" s="105"/>
      <c r="K885" s="34"/>
      <c r="L885" s="34"/>
      <c r="M885" s="34"/>
    </row>
    <row r="886" spans="1:13" ht="12.75">
      <c r="A886" s="34"/>
      <c r="B886" s="188"/>
      <c r="C886" s="34"/>
      <c r="D886" s="34"/>
      <c r="E886" s="34"/>
      <c r="F886" s="34"/>
      <c r="G886" s="34"/>
      <c r="H886" s="34"/>
      <c r="I886" s="44"/>
      <c r="J886" s="105"/>
      <c r="K886" s="34"/>
      <c r="L886" s="34"/>
      <c r="M886" s="34"/>
    </row>
    <row r="887" spans="1:13" ht="12.75">
      <c r="A887" s="34"/>
      <c r="B887" s="188"/>
      <c r="C887" s="34"/>
      <c r="D887" s="34"/>
      <c r="E887" s="34"/>
      <c r="F887" s="34"/>
      <c r="G887" s="34"/>
      <c r="H887" s="34"/>
      <c r="I887" s="44"/>
      <c r="J887" s="105"/>
      <c r="K887" s="34"/>
      <c r="L887" s="34"/>
      <c r="M887" s="34"/>
    </row>
    <row r="888" spans="1:13" ht="12.75">
      <c r="A888" s="34"/>
      <c r="B888" s="188"/>
      <c r="C888" s="34"/>
      <c r="D888" s="34"/>
      <c r="E888" s="34"/>
      <c r="F888" s="34"/>
      <c r="G888" s="34"/>
      <c r="H888" s="34"/>
      <c r="I888" s="44"/>
      <c r="J888" s="105"/>
      <c r="K888" s="34"/>
      <c r="L888" s="34"/>
      <c r="M888" s="34"/>
    </row>
    <row r="889" spans="1:13" ht="12.75">
      <c r="A889" s="34"/>
      <c r="B889" s="188"/>
      <c r="C889" s="34"/>
      <c r="D889" s="34"/>
      <c r="E889" s="34"/>
      <c r="F889" s="34"/>
      <c r="G889" s="34"/>
      <c r="H889" s="34"/>
      <c r="I889" s="44"/>
      <c r="J889" s="105"/>
      <c r="K889" s="34"/>
      <c r="L889" s="34"/>
      <c r="M889" s="34"/>
    </row>
    <row r="890" spans="1:13" ht="12.75">
      <c r="A890" s="34"/>
      <c r="B890" s="188"/>
      <c r="C890" s="34"/>
      <c r="D890" s="34"/>
      <c r="E890" s="34"/>
      <c r="F890" s="34"/>
      <c r="G890" s="34"/>
      <c r="H890" s="34"/>
      <c r="I890" s="44"/>
      <c r="J890" s="105"/>
      <c r="K890" s="34"/>
      <c r="L890" s="34"/>
      <c r="M890" s="34"/>
    </row>
    <row r="891" spans="1:13" ht="12.75">
      <c r="A891" s="34"/>
      <c r="B891" s="188"/>
      <c r="C891" s="34"/>
      <c r="D891" s="34"/>
      <c r="E891" s="34"/>
      <c r="F891" s="34"/>
      <c r="G891" s="34"/>
      <c r="H891" s="34"/>
      <c r="I891" s="44"/>
      <c r="J891" s="105"/>
      <c r="K891" s="34"/>
      <c r="L891" s="34"/>
      <c r="M891" s="34"/>
    </row>
    <row r="892" spans="1:13" ht="12.75">
      <c r="A892" s="34"/>
      <c r="B892" s="188"/>
      <c r="C892" s="34"/>
      <c r="D892" s="34"/>
      <c r="E892" s="34"/>
      <c r="F892" s="34"/>
      <c r="G892" s="34"/>
      <c r="H892" s="34"/>
      <c r="I892" s="44"/>
      <c r="J892" s="105"/>
      <c r="K892" s="34"/>
      <c r="L892" s="34"/>
      <c r="M892" s="34"/>
    </row>
    <row r="893" spans="1:13" ht="12.75">
      <c r="A893" s="34"/>
      <c r="B893" s="188"/>
      <c r="C893" s="34"/>
      <c r="D893" s="34"/>
      <c r="E893" s="34"/>
      <c r="F893" s="34"/>
      <c r="G893" s="34"/>
      <c r="H893" s="34"/>
      <c r="I893" s="44"/>
      <c r="J893" s="105"/>
      <c r="K893" s="34"/>
      <c r="L893" s="34"/>
      <c r="M893" s="34"/>
    </row>
    <row r="894" spans="1:13" ht="12.75">
      <c r="A894" s="34"/>
      <c r="B894" s="188"/>
      <c r="C894" s="34"/>
      <c r="D894" s="34"/>
      <c r="E894" s="34"/>
      <c r="F894" s="34"/>
      <c r="G894" s="34"/>
      <c r="H894" s="34"/>
      <c r="I894" s="44"/>
      <c r="J894" s="105"/>
      <c r="K894" s="34"/>
      <c r="L894" s="34"/>
      <c r="M894" s="34"/>
    </row>
    <row r="895" spans="1:13" ht="12.75">
      <c r="A895" s="34"/>
      <c r="B895" s="188"/>
      <c r="C895" s="34"/>
      <c r="D895" s="34"/>
      <c r="E895" s="34"/>
      <c r="F895" s="34"/>
      <c r="G895" s="34"/>
      <c r="H895" s="34"/>
      <c r="I895" s="44"/>
      <c r="J895" s="105"/>
      <c r="K895" s="34"/>
      <c r="L895" s="34"/>
      <c r="M895" s="34"/>
    </row>
    <row r="896" spans="1:13" ht="12.75">
      <c r="A896" s="34"/>
      <c r="B896" s="188"/>
      <c r="C896" s="34"/>
      <c r="D896" s="34"/>
      <c r="E896" s="34"/>
      <c r="F896" s="34"/>
      <c r="G896" s="34"/>
      <c r="H896" s="34"/>
      <c r="I896" s="44"/>
      <c r="J896" s="105"/>
      <c r="K896" s="34"/>
      <c r="L896" s="34"/>
      <c r="M896" s="34"/>
    </row>
    <row r="897" spans="1:13" ht="12.75">
      <c r="A897" s="34"/>
      <c r="B897" s="188"/>
      <c r="C897" s="34"/>
      <c r="D897" s="34"/>
      <c r="E897" s="34"/>
      <c r="F897" s="34"/>
      <c r="G897" s="34"/>
      <c r="H897" s="34"/>
      <c r="I897" s="44"/>
      <c r="J897" s="105"/>
      <c r="K897" s="34"/>
      <c r="L897" s="34"/>
      <c r="M897" s="34"/>
    </row>
    <row r="898" spans="1:13" ht="12.75">
      <c r="A898" s="34"/>
      <c r="B898" s="188"/>
      <c r="C898" s="34"/>
      <c r="D898" s="34"/>
      <c r="E898" s="34"/>
      <c r="F898" s="34"/>
      <c r="G898" s="34"/>
      <c r="H898" s="34"/>
      <c r="I898" s="44"/>
      <c r="J898" s="105"/>
      <c r="K898" s="34"/>
      <c r="L898" s="34"/>
      <c r="M898" s="34"/>
    </row>
    <row r="899" spans="1:13" ht="12.75">
      <c r="A899" s="34"/>
      <c r="B899" s="188"/>
      <c r="C899" s="34"/>
      <c r="D899" s="34"/>
      <c r="E899" s="34"/>
      <c r="F899" s="34"/>
      <c r="G899" s="34"/>
      <c r="H899" s="34"/>
      <c r="I899" s="44"/>
      <c r="J899" s="105"/>
      <c r="K899" s="34"/>
      <c r="L899" s="34"/>
      <c r="M899" s="34"/>
    </row>
    <row r="900" spans="1:13" ht="12.75">
      <c r="A900" s="34"/>
      <c r="B900" s="188"/>
      <c r="C900" s="34"/>
      <c r="D900" s="34"/>
      <c r="E900" s="34"/>
      <c r="F900" s="34"/>
      <c r="G900" s="34"/>
      <c r="H900" s="34"/>
      <c r="I900" s="44"/>
      <c r="J900" s="105"/>
      <c r="K900" s="34"/>
      <c r="L900" s="34"/>
      <c r="M900" s="34"/>
    </row>
    <row r="901" spans="1:13" ht="12.75">
      <c r="A901" s="34"/>
      <c r="B901" s="188"/>
      <c r="C901" s="34"/>
      <c r="D901" s="34"/>
      <c r="E901" s="34"/>
      <c r="F901" s="34"/>
      <c r="G901" s="34"/>
      <c r="H901" s="34"/>
      <c r="I901" s="44"/>
      <c r="J901" s="105"/>
      <c r="K901" s="34"/>
      <c r="L901" s="34"/>
      <c r="M901" s="34"/>
    </row>
    <row r="902" spans="1:13" ht="12.75">
      <c r="A902" s="34"/>
      <c r="B902" s="188"/>
      <c r="C902" s="34"/>
      <c r="D902" s="34"/>
      <c r="E902" s="34"/>
      <c r="F902" s="34"/>
      <c r="G902" s="34"/>
      <c r="H902" s="34"/>
      <c r="I902" s="44"/>
      <c r="J902" s="105"/>
      <c r="K902" s="34"/>
      <c r="L902" s="34"/>
      <c r="M902" s="34"/>
    </row>
    <row r="903" spans="1:13" ht="12.75">
      <c r="A903" s="34"/>
      <c r="B903" s="188"/>
      <c r="C903" s="34"/>
      <c r="D903" s="34"/>
      <c r="E903" s="34"/>
      <c r="F903" s="34"/>
      <c r="G903" s="34"/>
      <c r="H903" s="34"/>
      <c r="I903" s="44"/>
      <c r="J903" s="105"/>
      <c r="K903" s="34"/>
      <c r="L903" s="34"/>
      <c r="M903" s="34"/>
    </row>
    <row r="904" spans="1:13" ht="12.75">
      <c r="A904" s="34"/>
      <c r="B904" s="188"/>
      <c r="C904" s="34"/>
      <c r="D904" s="34"/>
      <c r="E904" s="34"/>
      <c r="F904" s="34"/>
      <c r="G904" s="34"/>
      <c r="H904" s="34"/>
      <c r="I904" s="44"/>
      <c r="J904" s="105"/>
      <c r="K904" s="34"/>
      <c r="L904" s="34"/>
      <c r="M904" s="34"/>
    </row>
    <row r="905" spans="1:13" ht="12.75">
      <c r="A905" s="34"/>
      <c r="B905" s="188"/>
      <c r="C905" s="34"/>
      <c r="D905" s="34"/>
      <c r="E905" s="34"/>
      <c r="F905" s="34"/>
      <c r="G905" s="34"/>
      <c r="H905" s="34"/>
      <c r="I905" s="44"/>
      <c r="J905" s="105"/>
      <c r="K905" s="34"/>
      <c r="L905" s="34"/>
      <c r="M905" s="34"/>
    </row>
    <row r="906" spans="1:13" ht="12.75">
      <c r="A906" s="34"/>
      <c r="B906" s="188"/>
      <c r="C906" s="34"/>
      <c r="D906" s="34"/>
      <c r="E906" s="34"/>
      <c r="F906" s="34"/>
      <c r="G906" s="34"/>
      <c r="H906" s="34"/>
      <c r="I906" s="44"/>
      <c r="J906" s="105"/>
      <c r="K906" s="34"/>
      <c r="L906" s="34"/>
      <c r="M906" s="34"/>
    </row>
    <row r="907" spans="1:13" ht="12.75">
      <c r="A907" s="34"/>
      <c r="B907" s="188"/>
      <c r="C907" s="34"/>
      <c r="D907" s="34"/>
      <c r="E907" s="34"/>
      <c r="F907" s="34"/>
      <c r="G907" s="34"/>
      <c r="H907" s="34"/>
      <c r="I907" s="44"/>
      <c r="J907" s="105"/>
      <c r="K907" s="34"/>
      <c r="L907" s="34"/>
      <c r="M907" s="34"/>
    </row>
    <row r="908" spans="1:13" ht="12.75">
      <c r="A908" s="34"/>
      <c r="B908" s="188"/>
      <c r="C908" s="34"/>
      <c r="D908" s="34"/>
      <c r="E908" s="34"/>
      <c r="F908" s="34"/>
      <c r="G908" s="34"/>
      <c r="H908" s="34"/>
      <c r="I908" s="44"/>
      <c r="J908" s="105"/>
      <c r="K908" s="34"/>
      <c r="L908" s="34"/>
      <c r="M908" s="34"/>
    </row>
    <row r="909" spans="1:13" ht="12.75">
      <c r="A909" s="34"/>
      <c r="B909" s="188"/>
      <c r="C909" s="34"/>
      <c r="D909" s="34"/>
      <c r="E909" s="34"/>
      <c r="F909" s="34"/>
      <c r="G909" s="34"/>
      <c r="H909" s="34"/>
      <c r="I909" s="44"/>
      <c r="J909" s="105"/>
      <c r="K909" s="34"/>
      <c r="L909" s="34"/>
      <c r="M909" s="34"/>
    </row>
    <row r="910" spans="1:13" ht="12.75">
      <c r="A910" s="34"/>
      <c r="B910" s="188"/>
      <c r="C910" s="34"/>
      <c r="D910" s="34"/>
      <c r="E910" s="34"/>
      <c r="F910" s="34"/>
      <c r="G910" s="34"/>
      <c r="H910" s="34"/>
      <c r="I910" s="44"/>
      <c r="J910" s="105"/>
      <c r="K910" s="34"/>
      <c r="L910" s="34"/>
      <c r="M910" s="34"/>
    </row>
    <row r="911" spans="1:13" ht="12.75">
      <c r="A911" s="34"/>
      <c r="B911" s="188"/>
      <c r="C911" s="34"/>
      <c r="D911" s="34"/>
      <c r="E911" s="34"/>
      <c r="F911" s="34"/>
      <c r="G911" s="34"/>
      <c r="H911" s="34"/>
      <c r="I911" s="44"/>
      <c r="J911" s="105"/>
      <c r="K911" s="34"/>
      <c r="L911" s="34"/>
      <c r="M911" s="34"/>
    </row>
    <row r="912" spans="1:13" ht="12.75">
      <c r="A912" s="34"/>
      <c r="B912" s="188"/>
      <c r="C912" s="34"/>
      <c r="D912" s="34"/>
      <c r="E912" s="34"/>
      <c r="F912" s="34"/>
      <c r="G912" s="34"/>
      <c r="H912" s="34"/>
      <c r="I912" s="44"/>
      <c r="J912" s="105"/>
      <c r="K912" s="34"/>
      <c r="L912" s="34"/>
      <c r="M912" s="34"/>
    </row>
    <row r="913" spans="1:13" ht="12.75">
      <c r="A913" s="34"/>
      <c r="B913" s="188"/>
      <c r="C913" s="34"/>
      <c r="D913" s="34"/>
      <c r="E913" s="34"/>
      <c r="F913" s="34"/>
      <c r="G913" s="34"/>
      <c r="H913" s="34"/>
      <c r="I913" s="44"/>
      <c r="J913" s="105"/>
      <c r="K913" s="34"/>
      <c r="L913" s="34"/>
      <c r="M913" s="34"/>
    </row>
    <row r="914" spans="1:13" ht="12.75">
      <c r="A914" s="34"/>
      <c r="B914" s="188"/>
      <c r="C914" s="34"/>
      <c r="D914" s="34"/>
      <c r="E914" s="34"/>
      <c r="F914" s="34"/>
      <c r="G914" s="34"/>
      <c r="H914" s="34"/>
      <c r="I914" s="44"/>
      <c r="J914" s="105"/>
      <c r="K914" s="34"/>
      <c r="L914" s="34"/>
      <c r="M914" s="34"/>
    </row>
    <row r="915" spans="1:13" ht="12.75">
      <c r="A915" s="34"/>
      <c r="B915" s="188"/>
      <c r="C915" s="34"/>
      <c r="D915" s="34"/>
      <c r="E915" s="34"/>
      <c r="F915" s="34"/>
      <c r="G915" s="34"/>
      <c r="H915" s="34"/>
      <c r="I915" s="44"/>
      <c r="J915" s="105"/>
      <c r="K915" s="34"/>
      <c r="L915" s="34"/>
      <c r="M915" s="34"/>
    </row>
    <row r="916" spans="1:13" ht="12.75">
      <c r="A916" s="34"/>
      <c r="B916" s="188"/>
      <c r="C916" s="34"/>
      <c r="D916" s="34"/>
      <c r="E916" s="34"/>
      <c r="F916" s="34"/>
      <c r="G916" s="34"/>
      <c r="H916" s="34"/>
      <c r="I916" s="44"/>
      <c r="J916" s="105"/>
      <c r="K916" s="34"/>
      <c r="L916" s="34"/>
      <c r="M916" s="34"/>
    </row>
    <row r="917" spans="1:13" ht="12.75">
      <c r="A917" s="34"/>
      <c r="B917" s="188"/>
      <c r="C917" s="34"/>
      <c r="D917" s="34"/>
      <c r="E917" s="34"/>
      <c r="F917" s="34"/>
      <c r="G917" s="34"/>
      <c r="H917" s="34"/>
      <c r="I917" s="44"/>
      <c r="J917" s="105"/>
      <c r="K917" s="34"/>
      <c r="L917" s="34"/>
      <c r="M917" s="34"/>
    </row>
    <row r="918" spans="1:13" ht="12.75">
      <c r="A918" s="34"/>
      <c r="B918" s="188"/>
      <c r="C918" s="34"/>
      <c r="D918" s="34"/>
      <c r="E918" s="34"/>
      <c r="F918" s="34"/>
      <c r="G918" s="34"/>
      <c r="H918" s="34"/>
      <c r="I918" s="44"/>
      <c r="J918" s="105"/>
      <c r="K918" s="34"/>
      <c r="L918" s="34"/>
      <c r="M918" s="34"/>
    </row>
    <row r="919" spans="1:13" ht="12.75">
      <c r="A919" s="34"/>
      <c r="B919" s="188"/>
      <c r="C919" s="34"/>
      <c r="D919" s="34"/>
      <c r="E919" s="34"/>
      <c r="F919" s="34"/>
      <c r="G919" s="34"/>
      <c r="H919" s="34"/>
      <c r="I919" s="44"/>
      <c r="J919" s="105"/>
      <c r="K919" s="34"/>
      <c r="L919" s="34"/>
      <c r="M919" s="34"/>
    </row>
    <row r="920" spans="1:13" ht="12.75">
      <c r="A920" s="34"/>
      <c r="B920" s="188"/>
      <c r="C920" s="34"/>
      <c r="D920" s="34"/>
      <c r="E920" s="34"/>
      <c r="F920" s="34"/>
      <c r="G920" s="34"/>
      <c r="H920" s="34"/>
      <c r="I920" s="44"/>
      <c r="J920" s="105"/>
      <c r="K920" s="34"/>
      <c r="L920" s="34"/>
      <c r="M920" s="34"/>
    </row>
    <row r="921" spans="1:13" ht="12.75">
      <c r="A921" s="34"/>
      <c r="B921" s="188"/>
      <c r="C921" s="34"/>
      <c r="D921" s="34"/>
      <c r="E921" s="34"/>
      <c r="F921" s="34"/>
      <c r="G921" s="34"/>
      <c r="H921" s="34"/>
      <c r="I921" s="44"/>
      <c r="J921" s="105"/>
      <c r="K921" s="34"/>
      <c r="L921" s="34"/>
      <c r="M921" s="34"/>
    </row>
    <row r="922" spans="1:13" ht="12.75">
      <c r="A922" s="34"/>
      <c r="B922" s="188"/>
      <c r="C922" s="34"/>
      <c r="D922" s="34"/>
      <c r="E922" s="34"/>
      <c r="F922" s="34"/>
      <c r="G922" s="34"/>
      <c r="H922" s="34"/>
      <c r="I922" s="44"/>
      <c r="J922" s="105"/>
      <c r="K922" s="34"/>
      <c r="L922" s="34"/>
      <c r="M922" s="34"/>
    </row>
    <row r="923" spans="1:13" ht="12.75">
      <c r="A923" s="34"/>
      <c r="B923" s="188"/>
      <c r="C923" s="34"/>
      <c r="D923" s="34"/>
      <c r="E923" s="34"/>
      <c r="F923" s="34"/>
      <c r="G923" s="34"/>
      <c r="H923" s="34"/>
      <c r="I923" s="44"/>
      <c r="J923" s="105"/>
      <c r="K923" s="34"/>
      <c r="L923" s="34"/>
      <c r="M923" s="34"/>
    </row>
    <row r="924" spans="1:13" ht="12.75">
      <c r="A924" s="34"/>
      <c r="B924" s="188"/>
      <c r="C924" s="34"/>
      <c r="D924" s="34"/>
      <c r="E924" s="34"/>
      <c r="F924" s="34"/>
      <c r="G924" s="34"/>
      <c r="H924" s="34"/>
      <c r="I924" s="44"/>
      <c r="J924" s="105"/>
      <c r="K924" s="34"/>
      <c r="L924" s="34"/>
      <c r="M924" s="34"/>
    </row>
    <row r="925" spans="1:13" ht="12.75">
      <c r="A925" s="34"/>
      <c r="B925" s="188"/>
      <c r="C925" s="34"/>
      <c r="D925" s="34"/>
      <c r="E925" s="34"/>
      <c r="F925" s="34"/>
      <c r="G925" s="34"/>
      <c r="H925" s="34"/>
      <c r="I925" s="44"/>
      <c r="J925" s="105"/>
      <c r="K925" s="34"/>
      <c r="L925" s="34"/>
      <c r="M925" s="34"/>
    </row>
    <row r="926" spans="1:13" ht="12.75">
      <c r="A926" s="34"/>
      <c r="B926" s="188"/>
      <c r="C926" s="34"/>
      <c r="D926" s="34"/>
      <c r="E926" s="34"/>
      <c r="F926" s="34"/>
      <c r="G926" s="34"/>
      <c r="H926" s="34"/>
      <c r="I926" s="44"/>
      <c r="J926" s="105"/>
      <c r="K926" s="34"/>
      <c r="L926" s="34"/>
      <c r="M926" s="34"/>
    </row>
    <row r="927" spans="1:13" ht="12.75">
      <c r="A927" s="34"/>
      <c r="B927" s="188"/>
      <c r="C927" s="34"/>
      <c r="D927" s="34"/>
      <c r="E927" s="34"/>
      <c r="F927" s="34"/>
      <c r="G927" s="34"/>
      <c r="H927" s="34"/>
      <c r="I927" s="44"/>
      <c r="J927" s="105"/>
      <c r="K927" s="34"/>
      <c r="L927" s="34"/>
      <c r="M927" s="34"/>
    </row>
    <row r="928" spans="1:13" ht="12.75">
      <c r="A928" s="34"/>
      <c r="B928" s="188"/>
      <c r="C928" s="34"/>
      <c r="D928" s="34"/>
      <c r="E928" s="34"/>
      <c r="F928" s="34"/>
      <c r="G928" s="34"/>
      <c r="H928" s="34"/>
      <c r="I928" s="44"/>
      <c r="J928" s="105"/>
      <c r="K928" s="34"/>
      <c r="L928" s="34"/>
      <c r="M928" s="34"/>
    </row>
    <row r="929" spans="1:13" ht="12.75">
      <c r="A929" s="34"/>
      <c r="B929" s="188"/>
      <c r="C929" s="34"/>
      <c r="D929" s="34"/>
      <c r="E929" s="34"/>
      <c r="F929" s="34"/>
      <c r="G929" s="34"/>
      <c r="H929" s="34"/>
      <c r="I929" s="44"/>
      <c r="J929" s="105"/>
      <c r="K929" s="34"/>
      <c r="L929" s="34"/>
      <c r="M929" s="34"/>
    </row>
    <row r="930" spans="1:13" ht="12.75">
      <c r="A930" s="34"/>
      <c r="B930" s="188"/>
      <c r="C930" s="34"/>
      <c r="D930" s="34"/>
      <c r="E930" s="34"/>
      <c r="F930" s="34"/>
      <c r="G930" s="34"/>
      <c r="H930" s="34"/>
      <c r="I930" s="44"/>
      <c r="J930" s="105"/>
      <c r="K930" s="34"/>
      <c r="L930" s="34"/>
      <c r="M930" s="34"/>
    </row>
    <row r="931" spans="1:13" ht="12.75">
      <c r="A931" s="34"/>
      <c r="B931" s="188"/>
      <c r="C931" s="34"/>
      <c r="D931" s="34"/>
      <c r="E931" s="34"/>
      <c r="F931" s="34"/>
      <c r="G931" s="34"/>
      <c r="H931" s="34"/>
      <c r="I931" s="44"/>
      <c r="J931" s="105"/>
      <c r="K931" s="34"/>
      <c r="L931" s="34"/>
      <c r="M931" s="34"/>
    </row>
    <row r="932" spans="1:13" ht="12.75">
      <c r="A932" s="34"/>
      <c r="B932" s="188"/>
      <c r="C932" s="34"/>
      <c r="D932" s="34"/>
      <c r="E932" s="34"/>
      <c r="F932" s="34"/>
      <c r="G932" s="34"/>
      <c r="H932" s="34"/>
      <c r="I932" s="44"/>
      <c r="J932" s="105"/>
      <c r="K932" s="34"/>
      <c r="L932" s="34"/>
      <c r="M932" s="34"/>
    </row>
    <row r="933" spans="1:13" ht="12.75">
      <c r="A933" s="34"/>
      <c r="B933" s="188"/>
      <c r="C933" s="34"/>
      <c r="D933" s="34"/>
      <c r="E933" s="34"/>
      <c r="F933" s="34"/>
      <c r="G933" s="34"/>
      <c r="H933" s="34"/>
      <c r="I933" s="44"/>
      <c r="J933" s="105"/>
      <c r="K933" s="34"/>
      <c r="L933" s="34"/>
      <c r="M933" s="34"/>
    </row>
    <row r="934" spans="1:13" ht="12.75">
      <c r="A934" s="34"/>
      <c r="B934" s="188"/>
      <c r="C934" s="34"/>
      <c r="D934" s="34"/>
      <c r="E934" s="34"/>
      <c r="F934" s="34"/>
      <c r="G934" s="34"/>
      <c r="H934" s="34"/>
      <c r="I934" s="44"/>
      <c r="J934" s="105"/>
      <c r="K934" s="34"/>
      <c r="L934" s="34"/>
      <c r="M934" s="34"/>
    </row>
    <row r="935" spans="1:13" ht="12.75">
      <c r="A935" s="34"/>
      <c r="B935" s="188"/>
      <c r="C935" s="34"/>
      <c r="D935" s="34"/>
      <c r="E935" s="34"/>
      <c r="F935" s="34"/>
      <c r="G935" s="34"/>
      <c r="H935" s="34"/>
      <c r="I935" s="44"/>
      <c r="J935" s="105"/>
      <c r="K935" s="34"/>
      <c r="L935" s="34"/>
      <c r="M935" s="34"/>
    </row>
    <row r="936" spans="1:13" ht="12.75">
      <c r="A936" s="34"/>
      <c r="B936" s="188"/>
      <c r="C936" s="34"/>
      <c r="D936" s="34"/>
      <c r="E936" s="34"/>
      <c r="F936" s="34"/>
      <c r="G936" s="34"/>
      <c r="H936" s="34"/>
      <c r="I936" s="44"/>
      <c r="J936" s="105"/>
      <c r="K936" s="34"/>
      <c r="L936" s="34"/>
      <c r="M936" s="34"/>
    </row>
    <row r="937" spans="1:13" ht="12.75">
      <c r="A937" s="34"/>
      <c r="B937" s="188"/>
      <c r="C937" s="34"/>
      <c r="D937" s="34"/>
      <c r="E937" s="34"/>
      <c r="F937" s="34"/>
      <c r="G937" s="34"/>
      <c r="H937" s="34"/>
      <c r="I937" s="44"/>
      <c r="J937" s="105"/>
      <c r="K937" s="34"/>
      <c r="L937" s="34"/>
      <c r="M937" s="34"/>
    </row>
    <row r="938" spans="1:13" ht="12.75">
      <c r="A938" s="34"/>
      <c r="B938" s="188"/>
      <c r="C938" s="34"/>
      <c r="D938" s="34"/>
      <c r="E938" s="34"/>
      <c r="F938" s="34"/>
      <c r="G938" s="34"/>
      <c r="H938" s="34"/>
      <c r="I938" s="44"/>
      <c r="J938" s="105"/>
      <c r="K938" s="34"/>
      <c r="L938" s="34"/>
      <c r="M938" s="34"/>
    </row>
    <row r="939" spans="1:13" ht="12.75">
      <c r="A939" s="34"/>
      <c r="B939" s="188"/>
      <c r="C939" s="34"/>
      <c r="D939" s="34"/>
      <c r="E939" s="34"/>
      <c r="F939" s="34"/>
      <c r="G939" s="34"/>
      <c r="H939" s="34"/>
      <c r="I939" s="44"/>
      <c r="J939" s="105"/>
      <c r="K939" s="34"/>
      <c r="L939" s="34"/>
      <c r="M939" s="34"/>
    </row>
    <row r="940" spans="1:13" ht="12.75">
      <c r="A940" s="34"/>
      <c r="B940" s="188"/>
      <c r="C940" s="34"/>
      <c r="D940" s="34"/>
      <c r="E940" s="34"/>
      <c r="F940" s="34"/>
      <c r="G940" s="34"/>
      <c r="H940" s="34"/>
      <c r="I940" s="44"/>
      <c r="J940" s="105"/>
      <c r="K940" s="34"/>
      <c r="L940" s="34"/>
      <c r="M940" s="34"/>
    </row>
    <row r="941" spans="1:13" ht="12.75">
      <c r="A941" s="34"/>
      <c r="B941" s="188"/>
      <c r="C941" s="34"/>
      <c r="D941" s="34"/>
      <c r="E941" s="34"/>
      <c r="F941" s="34"/>
      <c r="G941" s="34"/>
      <c r="H941" s="34"/>
      <c r="I941" s="44"/>
      <c r="J941" s="105"/>
      <c r="K941" s="34"/>
      <c r="L941" s="34"/>
      <c r="M941" s="34"/>
    </row>
    <row r="942" spans="1:13" ht="12.75">
      <c r="A942" s="34"/>
      <c r="B942" s="188"/>
      <c r="C942" s="34"/>
      <c r="D942" s="34"/>
      <c r="E942" s="34"/>
      <c r="F942" s="34"/>
      <c r="G942" s="34"/>
      <c r="H942" s="34"/>
      <c r="I942" s="44"/>
      <c r="J942" s="105"/>
      <c r="K942" s="34"/>
      <c r="L942" s="34"/>
      <c r="M942" s="34"/>
    </row>
    <row r="943" spans="1:13" ht="12.75">
      <c r="A943" s="34"/>
      <c r="B943" s="188"/>
      <c r="C943" s="34"/>
      <c r="D943" s="34"/>
      <c r="E943" s="34"/>
      <c r="F943" s="34"/>
      <c r="G943" s="34"/>
      <c r="H943" s="34"/>
      <c r="I943" s="44"/>
      <c r="J943" s="105"/>
      <c r="K943" s="34"/>
      <c r="L943" s="34"/>
      <c r="M943" s="34"/>
    </row>
    <row r="944" spans="1:13" ht="12.75">
      <c r="A944" s="34"/>
      <c r="B944" s="188"/>
      <c r="C944" s="34"/>
      <c r="D944" s="34"/>
      <c r="E944" s="34"/>
      <c r="F944" s="34"/>
      <c r="G944" s="34"/>
      <c r="H944" s="34"/>
      <c r="I944" s="44"/>
      <c r="J944" s="105"/>
      <c r="K944" s="34"/>
      <c r="L944" s="34"/>
      <c r="M944" s="34"/>
    </row>
    <row r="945" spans="1:13" ht="12.75">
      <c r="A945" s="34"/>
      <c r="B945" s="188"/>
      <c r="C945" s="34"/>
      <c r="D945" s="34"/>
      <c r="E945" s="34"/>
      <c r="F945" s="34"/>
      <c r="G945" s="34"/>
      <c r="H945" s="34"/>
      <c r="I945" s="44"/>
      <c r="J945" s="105"/>
      <c r="K945" s="34"/>
      <c r="L945" s="34"/>
      <c r="M945" s="34"/>
    </row>
    <row r="946" spans="1:13" ht="12.75">
      <c r="A946" s="34"/>
      <c r="B946" s="188"/>
      <c r="C946" s="34"/>
      <c r="D946" s="34"/>
      <c r="E946" s="34"/>
      <c r="F946" s="34"/>
      <c r="G946" s="34"/>
      <c r="H946" s="34"/>
      <c r="I946" s="44"/>
      <c r="J946" s="105"/>
      <c r="K946" s="34"/>
      <c r="L946" s="34"/>
      <c r="M946" s="34"/>
    </row>
    <row r="947" spans="1:13" ht="12.75">
      <c r="A947" s="34"/>
      <c r="B947" s="188"/>
      <c r="C947" s="34"/>
      <c r="D947" s="34"/>
      <c r="E947" s="34"/>
      <c r="F947" s="34"/>
      <c r="G947" s="34"/>
      <c r="H947" s="34"/>
      <c r="I947" s="44"/>
      <c r="J947" s="105"/>
      <c r="K947" s="34"/>
      <c r="L947" s="34"/>
      <c r="M947" s="34"/>
    </row>
    <row r="948" spans="1:13" ht="12.75">
      <c r="A948" s="34"/>
      <c r="B948" s="188"/>
      <c r="C948" s="34"/>
      <c r="D948" s="34"/>
      <c r="E948" s="34"/>
      <c r="F948" s="34"/>
      <c r="G948" s="34"/>
      <c r="H948" s="34"/>
      <c r="I948" s="44"/>
      <c r="J948" s="105"/>
      <c r="K948" s="34"/>
      <c r="L948" s="34"/>
      <c r="M948" s="34"/>
    </row>
    <row r="949" spans="1:13" ht="12.75">
      <c r="A949" s="34"/>
      <c r="B949" s="188"/>
      <c r="C949" s="34"/>
      <c r="D949" s="34"/>
      <c r="E949" s="34"/>
      <c r="F949" s="34"/>
      <c r="G949" s="34"/>
      <c r="H949" s="34"/>
      <c r="I949" s="44"/>
      <c r="J949" s="105"/>
      <c r="K949" s="34"/>
      <c r="L949" s="34"/>
      <c r="M949" s="34"/>
    </row>
    <row r="950" spans="1:13" ht="12.75">
      <c r="A950" s="34"/>
      <c r="B950" s="188"/>
      <c r="C950" s="34"/>
      <c r="D950" s="34"/>
      <c r="E950" s="34"/>
      <c r="F950" s="34"/>
      <c r="G950" s="34"/>
      <c r="H950" s="34"/>
      <c r="I950" s="44"/>
      <c r="J950" s="105"/>
      <c r="K950" s="34"/>
      <c r="L950" s="34"/>
      <c r="M950" s="34"/>
    </row>
    <row r="951" spans="1:13" ht="12.75">
      <c r="A951" s="34"/>
      <c r="B951" s="188"/>
      <c r="C951" s="34"/>
      <c r="D951" s="34"/>
      <c r="E951" s="34"/>
      <c r="F951" s="34"/>
      <c r="G951" s="34"/>
      <c r="H951" s="34"/>
      <c r="I951" s="44"/>
      <c r="J951" s="105"/>
      <c r="K951" s="34"/>
      <c r="L951" s="34"/>
      <c r="M951" s="34"/>
    </row>
    <row r="952" spans="1:13" ht="12.75">
      <c r="A952" s="34"/>
      <c r="B952" s="188"/>
      <c r="C952" s="34"/>
      <c r="D952" s="34"/>
      <c r="E952" s="34"/>
      <c r="F952" s="34"/>
      <c r="G952" s="34"/>
      <c r="H952" s="34"/>
      <c r="I952" s="44"/>
      <c r="J952" s="105"/>
      <c r="K952" s="34"/>
      <c r="L952" s="34"/>
      <c r="M952" s="34"/>
    </row>
    <row r="953" spans="1:13" ht="12.75">
      <c r="A953" s="34"/>
      <c r="B953" s="188"/>
      <c r="C953" s="34"/>
      <c r="D953" s="34"/>
      <c r="E953" s="34"/>
      <c r="F953" s="34"/>
      <c r="G953" s="34"/>
      <c r="H953" s="34"/>
      <c r="I953" s="44"/>
      <c r="J953" s="105"/>
      <c r="K953" s="34"/>
      <c r="L953" s="34"/>
      <c r="M953" s="34"/>
    </row>
    <row r="954" spans="1:13" ht="12.75">
      <c r="A954" s="34"/>
      <c r="B954" s="188"/>
      <c r="C954" s="34"/>
      <c r="D954" s="34"/>
      <c r="E954" s="34"/>
      <c r="F954" s="34"/>
      <c r="G954" s="34"/>
      <c r="H954" s="34"/>
      <c r="I954" s="44"/>
      <c r="J954" s="105"/>
      <c r="K954" s="34"/>
      <c r="L954" s="34"/>
      <c r="M954" s="34"/>
    </row>
    <row r="955" spans="1:13" ht="12.75">
      <c r="A955" s="34"/>
      <c r="B955" s="188"/>
      <c r="C955" s="34"/>
      <c r="D955" s="34"/>
      <c r="E955" s="34"/>
      <c r="F955" s="34"/>
      <c r="G955" s="34"/>
      <c r="H955" s="34"/>
      <c r="I955" s="44"/>
      <c r="J955" s="105"/>
      <c r="K955" s="34"/>
      <c r="L955" s="34"/>
      <c r="M955" s="34"/>
    </row>
    <row r="956" spans="1:13" ht="12.75">
      <c r="A956" s="34"/>
      <c r="B956" s="188"/>
      <c r="C956" s="34"/>
      <c r="D956" s="34"/>
      <c r="E956" s="34"/>
      <c r="F956" s="34"/>
      <c r="G956" s="34"/>
      <c r="H956" s="34"/>
      <c r="I956" s="44"/>
      <c r="J956" s="105"/>
      <c r="K956" s="34"/>
      <c r="L956" s="34"/>
      <c r="M956" s="34"/>
    </row>
    <row r="957" spans="1:13" ht="12.75">
      <c r="A957" s="34"/>
      <c r="B957" s="188"/>
      <c r="C957" s="34"/>
      <c r="D957" s="34"/>
      <c r="E957" s="34"/>
      <c r="F957" s="34"/>
      <c r="G957" s="34"/>
      <c r="H957" s="34"/>
      <c r="I957" s="44"/>
      <c r="J957" s="105"/>
      <c r="K957" s="34"/>
      <c r="L957" s="34"/>
      <c r="M957" s="34"/>
    </row>
    <row r="958" spans="1:13" ht="12.75">
      <c r="A958" s="34"/>
      <c r="B958" s="188"/>
      <c r="C958" s="34"/>
      <c r="D958" s="34"/>
      <c r="E958" s="34"/>
      <c r="F958" s="34"/>
      <c r="G958" s="34"/>
      <c r="H958" s="34"/>
      <c r="I958" s="44"/>
      <c r="J958" s="105"/>
      <c r="K958" s="34"/>
      <c r="L958" s="34"/>
      <c r="M958" s="34"/>
    </row>
    <row r="959" spans="1:13" ht="12.75">
      <c r="A959" s="34"/>
      <c r="B959" s="188"/>
      <c r="C959" s="34"/>
      <c r="D959" s="34"/>
      <c r="E959" s="34"/>
      <c r="F959" s="34"/>
      <c r="G959" s="34"/>
      <c r="H959" s="34"/>
      <c r="I959" s="44"/>
      <c r="J959" s="105"/>
      <c r="K959" s="34"/>
      <c r="L959" s="34"/>
      <c r="M959" s="34"/>
    </row>
    <row r="960" spans="1:13" ht="12.75">
      <c r="A960" s="34"/>
      <c r="B960" s="188"/>
      <c r="C960" s="34"/>
      <c r="D960" s="34"/>
      <c r="E960" s="34"/>
      <c r="F960" s="34"/>
      <c r="G960" s="34"/>
      <c r="H960" s="34"/>
      <c r="I960" s="44"/>
      <c r="J960" s="105"/>
      <c r="K960" s="34"/>
      <c r="L960" s="34"/>
      <c r="M960" s="34"/>
    </row>
    <row r="961" spans="1:13" ht="12.75">
      <c r="A961" s="34"/>
      <c r="B961" s="188"/>
      <c r="C961" s="34"/>
      <c r="D961" s="34"/>
      <c r="E961" s="34"/>
      <c r="F961" s="34"/>
      <c r="G961" s="34"/>
      <c r="H961" s="34"/>
      <c r="I961" s="44"/>
      <c r="J961" s="105"/>
      <c r="K961" s="34"/>
      <c r="L961" s="34"/>
      <c r="M961" s="34"/>
    </row>
    <row r="962" spans="1:13" ht="12.75">
      <c r="A962" s="34"/>
      <c r="B962" s="188"/>
      <c r="C962" s="34"/>
      <c r="D962" s="34"/>
      <c r="E962" s="34"/>
      <c r="F962" s="34"/>
      <c r="G962" s="34"/>
      <c r="H962" s="34"/>
      <c r="I962" s="44"/>
      <c r="J962" s="105"/>
      <c r="K962" s="34"/>
      <c r="L962" s="34"/>
      <c r="M962" s="34"/>
    </row>
    <row r="963" spans="1:13" ht="12.75">
      <c r="A963" s="34"/>
      <c r="B963" s="188"/>
      <c r="C963" s="34"/>
      <c r="D963" s="34"/>
      <c r="E963" s="34"/>
      <c r="F963" s="34"/>
      <c r="G963" s="34"/>
      <c r="H963" s="34"/>
      <c r="I963" s="44"/>
      <c r="J963" s="105"/>
      <c r="K963" s="34"/>
      <c r="L963" s="34"/>
      <c r="M963" s="34"/>
    </row>
    <row r="964" spans="1:13" ht="12.75">
      <c r="A964" s="34"/>
      <c r="B964" s="188"/>
      <c r="C964" s="34"/>
      <c r="D964" s="34"/>
      <c r="E964" s="34"/>
      <c r="F964" s="34"/>
      <c r="G964" s="34"/>
      <c r="H964" s="34"/>
      <c r="I964" s="44"/>
      <c r="J964" s="105"/>
      <c r="K964" s="34"/>
      <c r="L964" s="34"/>
      <c r="M964" s="34"/>
    </row>
    <row r="965" spans="1:13" ht="12.75">
      <c r="A965" s="34"/>
      <c r="B965" s="188"/>
      <c r="C965" s="34"/>
      <c r="D965" s="34"/>
      <c r="E965" s="34"/>
      <c r="F965" s="34"/>
      <c r="G965" s="34"/>
      <c r="H965" s="34"/>
      <c r="I965" s="44"/>
      <c r="J965" s="105"/>
      <c r="K965" s="34"/>
      <c r="L965" s="34"/>
      <c r="M965" s="34"/>
    </row>
    <row r="966" spans="1:13" ht="12.75">
      <c r="A966" s="34"/>
      <c r="B966" s="188"/>
      <c r="C966" s="34"/>
      <c r="D966" s="34"/>
      <c r="E966" s="34"/>
      <c r="F966" s="34"/>
      <c r="G966" s="34"/>
      <c r="H966" s="34"/>
      <c r="I966" s="44"/>
      <c r="J966" s="105"/>
      <c r="K966" s="34"/>
      <c r="L966" s="34"/>
      <c r="M966" s="34"/>
    </row>
    <row r="967" spans="1:13" ht="12.75">
      <c r="A967" s="34"/>
      <c r="B967" s="188"/>
      <c r="C967" s="34"/>
      <c r="D967" s="34"/>
      <c r="E967" s="34"/>
      <c r="F967" s="34"/>
      <c r="G967" s="34"/>
      <c r="H967" s="34"/>
      <c r="I967" s="44"/>
      <c r="J967" s="105"/>
      <c r="K967" s="34"/>
      <c r="L967" s="34"/>
      <c r="M967" s="34"/>
    </row>
    <row r="968" spans="1:13" ht="12.75">
      <c r="A968" s="34"/>
      <c r="B968" s="188"/>
      <c r="C968" s="34"/>
      <c r="D968" s="34"/>
      <c r="E968" s="34"/>
      <c r="F968" s="34"/>
      <c r="G968" s="34"/>
      <c r="H968" s="34"/>
      <c r="I968" s="44"/>
      <c r="J968" s="105"/>
      <c r="K968" s="34"/>
      <c r="L968" s="34"/>
      <c r="M968" s="34"/>
    </row>
    <row r="969" spans="1:13" ht="12.75">
      <c r="A969" s="34"/>
      <c r="B969" s="188"/>
      <c r="C969" s="34"/>
      <c r="D969" s="34"/>
      <c r="E969" s="34"/>
      <c r="F969" s="34"/>
      <c r="G969" s="34"/>
      <c r="H969" s="34"/>
      <c r="I969" s="44"/>
      <c r="J969" s="105"/>
      <c r="K969" s="34"/>
      <c r="L969" s="34"/>
      <c r="M969" s="34"/>
    </row>
    <row r="970" spans="1:13" ht="12.75">
      <c r="A970" s="34"/>
      <c r="B970" s="188"/>
      <c r="C970" s="34"/>
      <c r="D970" s="34"/>
      <c r="E970" s="34"/>
      <c r="F970" s="34"/>
      <c r="G970" s="34"/>
      <c r="H970" s="34"/>
      <c r="I970" s="44"/>
      <c r="J970" s="105"/>
      <c r="K970" s="34"/>
      <c r="L970" s="34"/>
      <c r="M970" s="34"/>
    </row>
    <row r="971" spans="1:13" ht="12.75">
      <c r="A971" s="34"/>
      <c r="B971" s="188"/>
      <c r="C971" s="34"/>
      <c r="D971" s="34"/>
      <c r="E971" s="34"/>
      <c r="F971" s="34"/>
      <c r="G971" s="34"/>
      <c r="H971" s="34"/>
      <c r="I971" s="44"/>
      <c r="J971" s="105"/>
      <c r="K971" s="34"/>
      <c r="L971" s="34"/>
      <c r="M971" s="34"/>
    </row>
    <row r="972" spans="1:13" ht="12.75">
      <c r="A972" s="34"/>
      <c r="B972" s="188"/>
      <c r="C972" s="34"/>
      <c r="D972" s="34"/>
      <c r="E972" s="34"/>
      <c r="F972" s="34"/>
      <c r="G972" s="34"/>
      <c r="H972" s="34"/>
      <c r="I972" s="44"/>
      <c r="J972" s="105"/>
      <c r="K972" s="34"/>
      <c r="L972" s="34"/>
      <c r="M972" s="34"/>
    </row>
    <row r="973" spans="1:13" ht="12.75">
      <c r="A973" s="34"/>
      <c r="B973" s="188"/>
      <c r="C973" s="34"/>
      <c r="D973" s="34"/>
      <c r="E973" s="34"/>
      <c r="F973" s="34"/>
      <c r="G973" s="34"/>
      <c r="H973" s="34"/>
      <c r="I973" s="44"/>
      <c r="J973" s="105"/>
      <c r="K973" s="34"/>
      <c r="L973" s="34"/>
      <c r="M973" s="34"/>
    </row>
    <row r="974" spans="1:13" ht="12.75">
      <c r="A974" s="34"/>
      <c r="B974" s="188"/>
      <c r="C974" s="34"/>
      <c r="D974" s="34"/>
      <c r="E974" s="34"/>
      <c r="F974" s="34"/>
      <c r="G974" s="34"/>
      <c r="H974" s="34"/>
      <c r="I974" s="44"/>
      <c r="J974" s="105"/>
      <c r="K974" s="34"/>
      <c r="L974" s="34"/>
      <c r="M974" s="34"/>
    </row>
    <row r="975" spans="1:13" ht="12.75">
      <c r="A975" s="34"/>
      <c r="B975" s="188"/>
      <c r="C975" s="34"/>
      <c r="D975" s="34"/>
      <c r="E975" s="34"/>
      <c r="F975" s="34"/>
      <c r="G975" s="34"/>
      <c r="H975" s="34"/>
      <c r="I975" s="44"/>
      <c r="J975" s="105"/>
      <c r="K975" s="34"/>
      <c r="L975" s="34"/>
      <c r="M975" s="34"/>
    </row>
    <row r="976" spans="1:13" ht="12.75">
      <c r="A976" s="34"/>
      <c r="B976" s="188"/>
      <c r="C976" s="34"/>
      <c r="D976" s="34"/>
      <c r="E976" s="34"/>
      <c r="F976" s="34"/>
      <c r="G976" s="34"/>
      <c r="H976" s="34"/>
      <c r="I976" s="44"/>
      <c r="J976" s="105"/>
      <c r="K976" s="34"/>
      <c r="L976" s="34"/>
      <c r="M976" s="34"/>
    </row>
    <row r="977" spans="1:13" ht="12.75">
      <c r="A977" s="34"/>
      <c r="B977" s="188"/>
      <c r="C977" s="34"/>
      <c r="D977" s="34"/>
      <c r="E977" s="34"/>
      <c r="F977" s="34"/>
      <c r="G977" s="34"/>
      <c r="H977" s="34"/>
      <c r="I977" s="44"/>
      <c r="J977" s="105"/>
      <c r="K977" s="34"/>
      <c r="L977" s="34"/>
      <c r="M977" s="34"/>
    </row>
    <row r="978" spans="1:13" ht="12.75">
      <c r="A978" s="34"/>
      <c r="B978" s="188"/>
      <c r="C978" s="34"/>
      <c r="D978" s="34"/>
      <c r="E978" s="34"/>
      <c r="F978" s="34"/>
      <c r="G978" s="34"/>
      <c r="H978" s="34"/>
      <c r="I978" s="44"/>
      <c r="J978" s="105"/>
      <c r="K978" s="34"/>
      <c r="L978" s="34"/>
      <c r="M978" s="34"/>
    </row>
    <row r="979" spans="1:13" ht="12.75">
      <c r="A979" s="34"/>
      <c r="B979" s="188"/>
      <c r="C979" s="34"/>
      <c r="D979" s="34"/>
      <c r="E979" s="34"/>
      <c r="F979" s="34"/>
      <c r="G979" s="34"/>
      <c r="H979" s="34"/>
      <c r="I979" s="44"/>
      <c r="J979" s="105"/>
      <c r="K979" s="34"/>
      <c r="L979" s="34"/>
      <c r="M979" s="34"/>
    </row>
    <row r="980" spans="1:13" ht="12.75">
      <c r="A980" s="34"/>
      <c r="B980" s="188"/>
      <c r="C980" s="34"/>
      <c r="D980" s="34"/>
      <c r="E980" s="34"/>
      <c r="F980" s="34"/>
      <c r="G980" s="34"/>
      <c r="H980" s="34"/>
      <c r="I980" s="44"/>
      <c r="J980" s="105"/>
      <c r="K980" s="34"/>
      <c r="L980" s="34"/>
      <c r="M980" s="34"/>
    </row>
    <row r="981" spans="1:13" ht="12.75">
      <c r="A981" s="34"/>
      <c r="B981" s="188"/>
      <c r="C981" s="34"/>
      <c r="D981" s="34"/>
      <c r="E981" s="34"/>
      <c r="F981" s="34"/>
      <c r="G981" s="34"/>
      <c r="H981" s="34"/>
      <c r="I981" s="44"/>
      <c r="J981" s="105"/>
      <c r="K981" s="34"/>
      <c r="L981" s="34"/>
      <c r="M981" s="34"/>
    </row>
    <row r="982" spans="1:13" ht="12.75">
      <c r="A982" s="34"/>
      <c r="B982" s="188"/>
      <c r="C982" s="34"/>
      <c r="D982" s="34"/>
      <c r="E982" s="34"/>
      <c r="F982" s="34"/>
      <c r="G982" s="34"/>
      <c r="H982" s="34"/>
      <c r="I982" s="44"/>
      <c r="J982" s="105"/>
      <c r="K982" s="34"/>
      <c r="L982" s="34"/>
      <c r="M982" s="34"/>
    </row>
    <row r="983" spans="1:13" ht="12.75">
      <c r="A983" s="34"/>
      <c r="B983" s="188"/>
      <c r="C983" s="34"/>
      <c r="D983" s="34"/>
      <c r="E983" s="34"/>
      <c r="F983" s="34"/>
      <c r="G983" s="34"/>
      <c r="H983" s="34"/>
      <c r="I983" s="44"/>
      <c r="J983" s="105"/>
      <c r="K983" s="34"/>
      <c r="L983" s="34"/>
      <c r="M983" s="34"/>
    </row>
    <row r="984" spans="1:13" ht="12.75">
      <c r="A984" s="34"/>
      <c r="B984" s="188"/>
      <c r="C984" s="34"/>
      <c r="D984" s="34"/>
      <c r="E984" s="34"/>
      <c r="F984" s="34"/>
      <c r="G984" s="34"/>
      <c r="H984" s="34"/>
      <c r="I984" s="44"/>
      <c r="J984" s="105"/>
      <c r="K984" s="34"/>
      <c r="L984" s="34"/>
      <c r="M984" s="34"/>
    </row>
    <row r="985" spans="1:13" ht="12.75">
      <c r="A985" s="34"/>
      <c r="B985" s="188"/>
      <c r="C985" s="34"/>
      <c r="D985" s="34"/>
      <c r="E985" s="34"/>
      <c r="F985" s="34"/>
      <c r="G985" s="34"/>
      <c r="H985" s="34"/>
      <c r="I985" s="44"/>
      <c r="J985" s="105"/>
      <c r="K985" s="34"/>
      <c r="L985" s="34"/>
      <c r="M985" s="34"/>
    </row>
    <row r="986" spans="1:13" ht="12.75">
      <c r="A986" s="34"/>
      <c r="B986" s="188"/>
      <c r="C986" s="34"/>
      <c r="D986" s="34"/>
      <c r="E986" s="34"/>
      <c r="F986" s="34"/>
      <c r="G986" s="34"/>
      <c r="H986" s="34"/>
      <c r="I986" s="44"/>
      <c r="J986" s="105"/>
      <c r="K986" s="34"/>
      <c r="L986" s="34"/>
      <c r="M986" s="34"/>
    </row>
    <row r="987" spans="1:13" ht="12.75">
      <c r="A987" s="34"/>
      <c r="B987" s="188"/>
      <c r="C987" s="34"/>
      <c r="D987" s="34"/>
      <c r="E987" s="34"/>
      <c r="F987" s="34"/>
      <c r="G987" s="34"/>
      <c r="H987" s="34"/>
      <c r="I987" s="44"/>
      <c r="J987" s="105"/>
      <c r="K987" s="34"/>
      <c r="L987" s="34"/>
      <c r="M987" s="34"/>
    </row>
    <row r="988" spans="1:13" ht="12.75">
      <c r="A988" s="34"/>
      <c r="B988" s="188"/>
      <c r="C988" s="34"/>
      <c r="D988" s="34"/>
      <c r="E988" s="34"/>
      <c r="F988" s="34"/>
      <c r="G988" s="34"/>
      <c r="H988" s="34"/>
      <c r="I988" s="44"/>
      <c r="J988" s="105"/>
      <c r="K988" s="34"/>
      <c r="L988" s="34"/>
      <c r="M988" s="34"/>
    </row>
    <row r="989" spans="1:13" ht="12.75">
      <c r="A989" s="34"/>
      <c r="B989" s="188"/>
      <c r="C989" s="34"/>
      <c r="D989" s="34"/>
      <c r="E989" s="34"/>
      <c r="F989" s="34"/>
      <c r="G989" s="34"/>
      <c r="H989" s="34"/>
      <c r="I989" s="44"/>
      <c r="J989" s="105"/>
      <c r="K989" s="34"/>
      <c r="L989" s="34"/>
      <c r="M989" s="34"/>
    </row>
    <row r="990" spans="1:13" ht="12.75">
      <c r="A990" s="34"/>
      <c r="B990" s="188"/>
      <c r="C990" s="34"/>
      <c r="D990" s="34"/>
      <c r="E990" s="34"/>
      <c r="F990" s="34"/>
      <c r="G990" s="34"/>
      <c r="H990" s="34"/>
      <c r="I990" s="44"/>
      <c r="J990" s="105"/>
      <c r="K990" s="34"/>
      <c r="L990" s="34"/>
      <c r="M990" s="34"/>
    </row>
    <row r="991" spans="1:13" ht="12.75">
      <c r="A991" s="34"/>
      <c r="B991" s="188"/>
      <c r="C991" s="34"/>
      <c r="D991" s="34"/>
      <c r="E991" s="34"/>
      <c r="F991" s="34"/>
      <c r="G991" s="34"/>
      <c r="H991" s="34"/>
      <c r="I991" s="44"/>
      <c r="J991" s="105"/>
      <c r="K991" s="34"/>
      <c r="L991" s="34"/>
      <c r="M991" s="34"/>
    </row>
    <row r="992" spans="1:13" ht="12.75">
      <c r="A992" s="34"/>
      <c r="B992" s="188"/>
      <c r="C992" s="34"/>
      <c r="D992" s="34"/>
      <c r="E992" s="34"/>
      <c r="F992" s="34"/>
      <c r="G992" s="34"/>
      <c r="H992" s="34"/>
      <c r="I992" s="44"/>
      <c r="J992" s="105"/>
      <c r="K992" s="34"/>
      <c r="L992" s="34"/>
      <c r="M992" s="34"/>
    </row>
    <row r="993" spans="1:13" ht="12.75">
      <c r="A993" s="34"/>
      <c r="B993" s="188"/>
      <c r="C993" s="34"/>
      <c r="D993" s="34"/>
      <c r="E993" s="34"/>
      <c r="F993" s="34"/>
      <c r="G993" s="34"/>
      <c r="H993" s="34"/>
      <c r="I993" s="44"/>
      <c r="J993" s="105"/>
      <c r="K993" s="34"/>
      <c r="L993" s="34"/>
      <c r="M993" s="34"/>
    </row>
    <row r="994" spans="1:13" ht="12.75">
      <c r="A994" s="34"/>
      <c r="B994" s="188"/>
      <c r="C994" s="34"/>
      <c r="D994" s="34"/>
      <c r="E994" s="34"/>
      <c r="F994" s="34"/>
      <c r="G994" s="34"/>
      <c r="H994" s="34"/>
      <c r="I994" s="44"/>
      <c r="J994" s="105"/>
      <c r="K994" s="34"/>
      <c r="L994" s="34"/>
      <c r="M994" s="34"/>
    </row>
    <row r="995" spans="1:13" ht="12.75">
      <c r="A995" s="34"/>
      <c r="B995" s="188"/>
      <c r="C995" s="34"/>
      <c r="D995" s="34"/>
      <c r="E995" s="34"/>
      <c r="F995" s="34"/>
      <c r="G995" s="34"/>
      <c r="H995" s="34"/>
      <c r="I995" s="44"/>
      <c r="J995" s="105"/>
      <c r="K995" s="34"/>
      <c r="L995" s="34"/>
      <c r="M995" s="34"/>
    </row>
    <row r="996" spans="1:13" ht="12.75">
      <c r="A996" s="34"/>
      <c r="B996" s="188"/>
      <c r="C996" s="34"/>
      <c r="D996" s="34"/>
      <c r="E996" s="34"/>
      <c r="F996" s="34"/>
      <c r="G996" s="34"/>
      <c r="H996" s="34"/>
      <c r="I996" s="44"/>
      <c r="J996" s="105"/>
      <c r="K996" s="34"/>
      <c r="L996" s="34"/>
      <c r="M996" s="34"/>
    </row>
    <row r="997" spans="1:13" ht="12.75">
      <c r="A997" s="34"/>
      <c r="B997" s="188"/>
      <c r="C997" s="34"/>
      <c r="D997" s="34"/>
      <c r="E997" s="34"/>
      <c r="F997" s="34"/>
      <c r="G997" s="34"/>
      <c r="H997" s="34"/>
      <c r="I997" s="44"/>
      <c r="J997" s="105"/>
      <c r="K997" s="34"/>
      <c r="L997" s="34"/>
      <c r="M997" s="34"/>
    </row>
    <row r="998" spans="1:13" ht="12.75">
      <c r="A998" s="34"/>
      <c r="B998" s="188"/>
      <c r="C998" s="34"/>
      <c r="D998" s="34"/>
      <c r="E998" s="34"/>
      <c r="F998" s="34"/>
      <c r="G998" s="34"/>
      <c r="H998" s="34"/>
      <c r="I998" s="44"/>
      <c r="J998" s="105"/>
      <c r="K998" s="34"/>
      <c r="L998" s="34"/>
      <c r="M998" s="34"/>
    </row>
    <row r="999" spans="1:13" ht="12.75">
      <c r="A999" s="34"/>
      <c r="B999" s="188"/>
      <c r="C999" s="34"/>
      <c r="D999" s="34"/>
      <c r="E999" s="34"/>
      <c r="F999" s="34"/>
      <c r="G999" s="34"/>
      <c r="H999" s="34"/>
      <c r="I999" s="44"/>
      <c r="J999" s="105"/>
      <c r="K999" s="34"/>
      <c r="L999" s="34"/>
      <c r="M999" s="34"/>
    </row>
    <row r="1000" spans="1:13" ht="12.75">
      <c r="A1000" s="34"/>
      <c r="B1000" s="188"/>
      <c r="C1000" s="34"/>
      <c r="D1000" s="34"/>
      <c r="E1000" s="34"/>
      <c r="F1000" s="34"/>
      <c r="G1000" s="34"/>
      <c r="H1000" s="34"/>
      <c r="I1000" s="44"/>
      <c r="J1000" s="105"/>
      <c r="K1000" s="34"/>
      <c r="L1000" s="34"/>
      <c r="M1000" s="34"/>
    </row>
  </sheetData>
  <hyperlinks>
    <hyperlink ref="C2" r:id="rId1" xr:uid="{00000000-0004-0000-2600-000000000000}"/>
    <hyperlink ref="C3" r:id="rId2" xr:uid="{00000000-0004-0000-2600-000001000000}"/>
    <hyperlink ref="C4" r:id="rId3" xr:uid="{00000000-0004-0000-2600-000002000000}"/>
    <hyperlink ref="C5" r:id="rId4" xr:uid="{00000000-0004-0000-2600-000003000000}"/>
    <hyperlink ref="C6" r:id="rId5" xr:uid="{00000000-0004-0000-2600-000004000000}"/>
    <hyperlink ref="C7" r:id="rId6" xr:uid="{00000000-0004-0000-2600-000005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AA98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cols>
    <col min="1" max="1" width="27.28515625" customWidth="1"/>
    <col min="3" max="4" width="12.5703125" hidden="1"/>
  </cols>
  <sheetData>
    <row r="1" spans="1:27" ht="12.75">
      <c r="A1" s="619"/>
      <c r="B1" s="43"/>
      <c r="C1" s="43"/>
      <c r="D1" s="43"/>
      <c r="E1" s="43"/>
      <c r="F1" s="43"/>
      <c r="G1" s="43"/>
      <c r="H1" s="43"/>
      <c r="I1" s="43"/>
      <c r="J1" s="43"/>
      <c r="K1" s="43"/>
      <c r="L1" s="43"/>
      <c r="M1" s="43"/>
      <c r="N1" s="43"/>
      <c r="O1" s="43"/>
      <c r="P1" s="43"/>
    </row>
    <row r="2" spans="1:27" ht="25.5">
      <c r="A2" s="627" t="s">
        <v>11889</v>
      </c>
      <c r="B2" s="628" t="s">
        <v>6056</v>
      </c>
      <c r="C2" s="629">
        <v>2010</v>
      </c>
      <c r="D2" s="630">
        <v>2011</v>
      </c>
      <c r="E2" s="630">
        <v>2012</v>
      </c>
      <c r="F2" s="630">
        <v>2013</v>
      </c>
      <c r="G2" s="630">
        <v>2014</v>
      </c>
      <c r="H2" s="630">
        <v>2015</v>
      </c>
      <c r="I2" s="630">
        <v>2016</v>
      </c>
      <c r="J2" s="630">
        <v>2017</v>
      </c>
      <c r="K2" s="630">
        <v>2018</v>
      </c>
      <c r="L2" s="630">
        <v>2019</v>
      </c>
      <c r="M2" s="630">
        <v>2020</v>
      </c>
      <c r="N2" s="630">
        <v>2021</v>
      </c>
      <c r="O2" s="630">
        <v>2022</v>
      </c>
      <c r="P2" s="631">
        <v>2023</v>
      </c>
    </row>
    <row r="3" spans="1:27" ht="12.75">
      <c r="A3" s="818" t="s">
        <v>11890</v>
      </c>
      <c r="B3" s="632">
        <f>SUM(C3:P3)</f>
        <v>127</v>
      </c>
      <c r="C3" s="633"/>
      <c r="D3" s="634"/>
      <c r="E3" s="634">
        <f t="shared" ref="E3:O3" si="0">E29+E31</f>
        <v>2</v>
      </c>
      <c r="F3" s="634">
        <f t="shared" si="0"/>
        <v>3</v>
      </c>
      <c r="G3" s="634">
        <f t="shared" si="0"/>
        <v>9</v>
      </c>
      <c r="H3" s="634">
        <f t="shared" si="0"/>
        <v>11</v>
      </c>
      <c r="I3" s="634">
        <f t="shared" si="0"/>
        <v>23</v>
      </c>
      <c r="J3" s="634">
        <f t="shared" si="0"/>
        <v>21</v>
      </c>
      <c r="K3" s="634">
        <f t="shared" si="0"/>
        <v>10</v>
      </c>
      <c r="L3" s="634">
        <f t="shared" si="0"/>
        <v>17</v>
      </c>
      <c r="M3" s="634">
        <f t="shared" si="0"/>
        <v>0</v>
      </c>
      <c r="N3" s="634">
        <f t="shared" si="0"/>
        <v>9</v>
      </c>
      <c r="O3" s="634">
        <f t="shared" si="0"/>
        <v>22</v>
      </c>
      <c r="P3" s="635"/>
      <c r="R3" s="632"/>
    </row>
    <row r="4" spans="1:27" ht="12.75">
      <c r="A4" s="819"/>
      <c r="B4" s="636">
        <f>SUM(E4:P4)</f>
        <v>9763679.9199999999</v>
      </c>
      <c r="C4" s="637"/>
      <c r="D4" s="638"/>
      <c r="E4" s="639">
        <f t="shared" ref="E4:O4" si="1">E30+E32</f>
        <v>78800</v>
      </c>
      <c r="F4" s="639">
        <f t="shared" si="1"/>
        <v>105500</v>
      </c>
      <c r="G4" s="639">
        <f t="shared" si="1"/>
        <v>473600</v>
      </c>
      <c r="H4" s="639">
        <f t="shared" si="1"/>
        <v>1350110</v>
      </c>
      <c r="I4" s="639">
        <f t="shared" si="1"/>
        <v>1323800</v>
      </c>
      <c r="J4" s="639">
        <f t="shared" si="1"/>
        <v>1954390</v>
      </c>
      <c r="K4" s="639">
        <f t="shared" si="1"/>
        <v>849686.96</v>
      </c>
      <c r="L4" s="639">
        <f t="shared" si="1"/>
        <v>1232350</v>
      </c>
      <c r="M4" s="639">
        <f t="shared" si="1"/>
        <v>0</v>
      </c>
      <c r="N4" s="639">
        <f t="shared" si="1"/>
        <v>213120</v>
      </c>
      <c r="O4" s="639">
        <f t="shared" si="1"/>
        <v>2182322.96</v>
      </c>
      <c r="P4" s="640"/>
    </row>
    <row r="5" spans="1:27" ht="12.75">
      <c r="A5" s="818" t="s">
        <v>11891</v>
      </c>
      <c r="B5" s="632">
        <f>SUM(C5:P5)</f>
        <v>114</v>
      </c>
      <c r="C5" s="633"/>
      <c r="D5" s="634"/>
      <c r="E5" s="634">
        <f t="shared" ref="E5:O5" si="2">E35+E37+E39</f>
        <v>5</v>
      </c>
      <c r="F5" s="634">
        <f t="shared" si="2"/>
        <v>8</v>
      </c>
      <c r="G5" s="634">
        <f t="shared" si="2"/>
        <v>6</v>
      </c>
      <c r="H5" s="634">
        <f t="shared" si="2"/>
        <v>10</v>
      </c>
      <c r="I5" s="634">
        <f t="shared" si="2"/>
        <v>8</v>
      </c>
      <c r="J5" s="634">
        <f t="shared" si="2"/>
        <v>20</v>
      </c>
      <c r="K5" s="634">
        <f t="shared" si="2"/>
        <v>17</v>
      </c>
      <c r="L5" s="634">
        <f t="shared" si="2"/>
        <v>14</v>
      </c>
      <c r="M5" s="634">
        <f t="shared" si="2"/>
        <v>10</v>
      </c>
      <c r="N5" s="634">
        <f t="shared" si="2"/>
        <v>12</v>
      </c>
      <c r="O5" s="634">
        <f t="shared" si="2"/>
        <v>4</v>
      </c>
      <c r="P5" s="635"/>
    </row>
    <row r="6" spans="1:27" ht="15">
      <c r="A6" s="819"/>
      <c r="B6" s="641">
        <f t="shared" ref="B6:B10" si="3">SUM(E6:P6)</f>
        <v>30676794.960000001</v>
      </c>
      <c r="C6" s="642"/>
      <c r="D6" s="643"/>
      <c r="E6" s="644">
        <f t="shared" ref="E6:O6" si="4">E36+E38+E40</f>
        <v>3525975</v>
      </c>
      <c r="F6" s="644">
        <f t="shared" si="4"/>
        <v>4947094.8499999996</v>
      </c>
      <c r="G6" s="644">
        <f t="shared" si="4"/>
        <v>3510839.7199999997</v>
      </c>
      <c r="H6" s="644">
        <f t="shared" si="4"/>
        <v>2638731.6799999997</v>
      </c>
      <c r="I6" s="644">
        <f t="shared" si="4"/>
        <v>1889068.8499999999</v>
      </c>
      <c r="J6" s="644">
        <f t="shared" si="4"/>
        <v>4461438.47</v>
      </c>
      <c r="K6" s="644">
        <f t="shared" si="4"/>
        <v>2878486.26</v>
      </c>
      <c r="L6" s="644">
        <f t="shared" si="4"/>
        <v>1491543.4100000001</v>
      </c>
      <c r="M6" s="644">
        <f t="shared" si="4"/>
        <v>2408179.6900000004</v>
      </c>
      <c r="N6" s="645">
        <f t="shared" si="4"/>
        <v>2328054.0299999998</v>
      </c>
      <c r="O6" s="645">
        <f t="shared" si="4"/>
        <v>597383</v>
      </c>
      <c r="P6" s="646"/>
    </row>
    <row r="7" spans="1:27" ht="15">
      <c r="A7" s="820" t="s">
        <v>11892</v>
      </c>
      <c r="B7" s="647">
        <f t="shared" si="3"/>
        <v>157</v>
      </c>
      <c r="C7" s="634"/>
      <c r="D7" s="634"/>
      <c r="E7" s="634">
        <f>E14+E16+E20+E22</f>
        <v>13</v>
      </c>
      <c r="F7" s="634">
        <f t="shared" ref="F7:K7" si="5">F14+F16+F18+F20+F22</f>
        <v>13</v>
      </c>
      <c r="G7" s="634">
        <f t="shared" si="5"/>
        <v>11</v>
      </c>
      <c r="H7" s="634">
        <f t="shared" si="5"/>
        <v>16</v>
      </c>
      <c r="I7" s="634">
        <f t="shared" si="5"/>
        <v>14</v>
      </c>
      <c r="J7" s="634">
        <f t="shared" si="5"/>
        <v>8</v>
      </c>
      <c r="K7" s="634">
        <f t="shared" si="5"/>
        <v>24</v>
      </c>
      <c r="L7" s="648">
        <f>L14+L16+L18+L20</f>
        <v>16</v>
      </c>
      <c r="M7" s="648">
        <f t="shared" ref="M7:O7" si="6">M14+M16+M18+M20+M22</f>
        <v>20</v>
      </c>
      <c r="N7" s="648">
        <f t="shared" si="6"/>
        <v>9</v>
      </c>
      <c r="O7" s="648">
        <f t="shared" si="6"/>
        <v>13</v>
      </c>
      <c r="P7" s="635"/>
    </row>
    <row r="8" spans="1:27" ht="15">
      <c r="A8" s="821"/>
      <c r="B8" s="649">
        <f t="shared" si="3"/>
        <v>137215535.60000002</v>
      </c>
      <c r="C8" s="639"/>
      <c r="D8" s="639"/>
      <c r="E8" s="639">
        <f>E15+E19+E21+E23</f>
        <v>4847923.83</v>
      </c>
      <c r="F8" s="639">
        <f>F15+F17+F19+F21+F23</f>
        <v>7144464.7400000002</v>
      </c>
      <c r="G8" s="639">
        <f>G15+G19+G21+G23</f>
        <v>11045680</v>
      </c>
      <c r="H8" s="639">
        <f>H15+H17+H19+H21+H23</f>
        <v>13201996</v>
      </c>
      <c r="I8" s="639">
        <f>I15+I21+I23</f>
        <v>17380672.260000002</v>
      </c>
      <c r="J8" s="639">
        <f>J15+J19+J21</f>
        <v>8146737.8399999999</v>
      </c>
      <c r="K8" s="639">
        <f>K15+K17+K19+K21+K23</f>
        <v>20716987.199999999</v>
      </c>
      <c r="L8" s="650">
        <f>L15+L17+L21+L19+L23</f>
        <v>12073298.41</v>
      </c>
      <c r="M8" s="650">
        <f t="shared" ref="M8:O8" si="7">M15+M17+M19+M21+M23</f>
        <v>17405917.810000002</v>
      </c>
      <c r="N8" s="650">
        <f t="shared" si="7"/>
        <v>15756523.710000001</v>
      </c>
      <c r="O8" s="650">
        <f t="shared" si="7"/>
        <v>9495333.8000000007</v>
      </c>
      <c r="P8" s="651"/>
      <c r="Q8" s="59"/>
      <c r="R8" s="59"/>
      <c r="S8" s="59"/>
      <c r="T8" s="59"/>
      <c r="U8" s="59"/>
      <c r="V8" s="59"/>
      <c r="W8" s="59"/>
      <c r="X8" s="59"/>
      <c r="Y8" s="59"/>
      <c r="Z8" s="59"/>
      <c r="AA8" s="59"/>
    </row>
    <row r="9" spans="1:27" ht="12.75">
      <c r="A9" s="822" t="s">
        <v>11893</v>
      </c>
      <c r="B9" s="652">
        <f t="shared" si="3"/>
        <v>414</v>
      </c>
      <c r="C9" s="653"/>
      <c r="D9" s="654"/>
      <c r="E9" s="654">
        <f t="shared" ref="E9:H9" si="8">E44+E46+E54+E56</f>
        <v>30</v>
      </c>
      <c r="F9" s="654">
        <f t="shared" si="8"/>
        <v>56</v>
      </c>
      <c r="G9" s="654">
        <f t="shared" si="8"/>
        <v>35</v>
      </c>
      <c r="H9" s="654">
        <f t="shared" si="8"/>
        <v>53</v>
      </c>
      <c r="I9" s="655">
        <f t="shared" ref="I9:O9" si="9">I44+I54+I56</f>
        <v>61</v>
      </c>
      <c r="J9" s="655">
        <f t="shared" si="9"/>
        <v>52</v>
      </c>
      <c r="K9" s="655">
        <f t="shared" si="9"/>
        <v>44</v>
      </c>
      <c r="L9" s="655">
        <f t="shared" si="9"/>
        <v>45</v>
      </c>
      <c r="M9" s="655">
        <f t="shared" si="9"/>
        <v>2</v>
      </c>
      <c r="N9" s="655">
        <f t="shared" si="9"/>
        <v>16</v>
      </c>
      <c r="O9" s="655">
        <f t="shared" si="9"/>
        <v>20</v>
      </c>
      <c r="P9" s="656"/>
    </row>
    <row r="10" spans="1:27" ht="12.75">
      <c r="A10" s="819"/>
      <c r="B10" s="636">
        <f t="shared" si="3"/>
        <v>87993985.75</v>
      </c>
      <c r="C10" s="637"/>
      <c r="D10" s="638"/>
      <c r="E10" s="639">
        <f>E45+E47+E55+E57</f>
        <v>3532096.2</v>
      </c>
      <c r="F10" s="639">
        <f>F45+F55+F57+F5</f>
        <v>4454946.55</v>
      </c>
      <c r="G10" s="639">
        <f t="shared" ref="G10:O10" si="10">G45+G55+G57</f>
        <v>8633460</v>
      </c>
      <c r="H10" s="639">
        <f t="shared" si="10"/>
        <v>3266890</v>
      </c>
      <c r="I10" s="639">
        <f t="shared" si="10"/>
        <v>14123580</v>
      </c>
      <c r="J10" s="639">
        <f t="shared" si="10"/>
        <v>11152770</v>
      </c>
      <c r="K10" s="639">
        <f t="shared" si="10"/>
        <v>15801489</v>
      </c>
      <c r="L10" s="639">
        <f t="shared" si="10"/>
        <v>10539702</v>
      </c>
      <c r="M10" s="639">
        <f t="shared" si="10"/>
        <v>3590000</v>
      </c>
      <c r="N10" s="639">
        <f t="shared" si="10"/>
        <v>4665108</v>
      </c>
      <c r="O10" s="639">
        <f t="shared" si="10"/>
        <v>8233944</v>
      </c>
      <c r="P10" s="640"/>
    </row>
    <row r="11" spans="1:27" ht="12.75">
      <c r="A11" s="657"/>
      <c r="B11" s="43"/>
      <c r="C11" s="43"/>
      <c r="D11" s="43"/>
      <c r="E11" s="43"/>
      <c r="F11" s="43"/>
      <c r="G11" s="43"/>
      <c r="H11" s="43"/>
      <c r="I11" s="43"/>
      <c r="J11" s="43"/>
      <c r="K11" s="43"/>
      <c r="L11" s="43"/>
      <c r="M11" s="43"/>
      <c r="N11" s="43"/>
      <c r="O11" s="43"/>
      <c r="P11" s="43"/>
    </row>
    <row r="12" spans="1:27" ht="25.5">
      <c r="A12" s="658" t="s">
        <v>11894</v>
      </c>
      <c r="B12" s="659" t="s">
        <v>6056</v>
      </c>
      <c r="C12" s="660">
        <v>2010</v>
      </c>
      <c r="D12" s="660">
        <v>2011</v>
      </c>
      <c r="E12" s="660">
        <v>2012</v>
      </c>
      <c r="F12" s="660">
        <v>2013</v>
      </c>
      <c r="G12" s="660">
        <v>2014</v>
      </c>
      <c r="H12" s="660">
        <v>2015</v>
      </c>
      <c r="I12" s="660">
        <v>2016</v>
      </c>
      <c r="J12" s="660">
        <v>2017</v>
      </c>
      <c r="K12" s="660">
        <v>2018</v>
      </c>
      <c r="L12" s="660">
        <v>2019</v>
      </c>
      <c r="M12" s="660">
        <v>2020</v>
      </c>
      <c r="N12" s="660">
        <v>2021</v>
      </c>
      <c r="O12" s="660">
        <v>2022</v>
      </c>
      <c r="P12" s="661">
        <v>2023</v>
      </c>
    </row>
    <row r="13" spans="1:27" ht="12.75">
      <c r="A13" s="662" t="s">
        <v>1231</v>
      </c>
      <c r="B13" s="663"/>
      <c r="C13" s="664"/>
      <c r="D13" s="664"/>
      <c r="E13" s="664"/>
      <c r="F13" s="664"/>
      <c r="G13" s="664"/>
      <c r="H13" s="664"/>
      <c r="I13" s="664"/>
      <c r="J13" s="664"/>
      <c r="K13" s="664"/>
      <c r="L13" s="664"/>
      <c r="M13" s="664"/>
      <c r="N13" s="664"/>
      <c r="O13" s="664"/>
      <c r="P13" s="665"/>
    </row>
    <row r="14" spans="1:27" ht="15">
      <c r="A14" s="823" t="s">
        <v>11895</v>
      </c>
      <c r="B14" s="666">
        <f t="shared" ref="B14:B16" si="11">SUM(E14:O14)</f>
        <v>105</v>
      </c>
      <c r="C14" s="667"/>
      <c r="D14" s="53"/>
      <c r="E14" s="648">
        <f>COUNTIFS(Consolidated2!C:C, "APPROVAL",Consolidated2!A:A, "2012", Consolidated2!D:D, "VFP")</f>
        <v>8</v>
      </c>
      <c r="F14" s="648">
        <f>COUNTIFS(Consolidated2!C:C, "APPROVAL",Consolidated2!A:A, "2013", Consolidated2!D:D, "VFP")</f>
        <v>11</v>
      </c>
      <c r="G14" s="648">
        <f>COUNTIFS(Consolidated2!C:C, "APPROVAL",Consolidated2!A:A, "2014", Consolidated2!D:D, "VFP")</f>
        <v>9</v>
      </c>
      <c r="H14" s="648">
        <f>COUNTIFS(Consolidated2!C:C, "APPROVAL",Consolidated2!A:A, "2015", Consolidated2!D:D, "VFP")</f>
        <v>11</v>
      </c>
      <c r="I14" s="648">
        <f>COUNTIFS(Consolidated2!C:C, "APPROVAL",Consolidated2!A:A, "2016", Consolidated2!D:D, "VFP")</f>
        <v>9</v>
      </c>
      <c r="J14" s="648">
        <f>COUNTIFS(Consolidated2!C:C, "APPROVAL",Consolidated2!A:A, "2017", Consolidated2!D:D, "VFP")</f>
        <v>6</v>
      </c>
      <c r="K14" s="648">
        <f>COUNTIFS(Consolidated2!C:C, "APPROVAL",Consolidated2!A:A, "2018", Consolidated2!D:D, "VFP")</f>
        <v>13</v>
      </c>
      <c r="L14" s="648">
        <f>COUNTIFS(Consolidated2!C:C, "APPROVAL",Consolidated2!A:A, "2019", Consolidated2!D:D, "VFP")</f>
        <v>9</v>
      </c>
      <c r="M14" s="648">
        <f>COUNTIFS(Consolidated2!C:C, "APPROVAL",Consolidated2!A:A, "2020", Consolidated2!D:D, "VFP")</f>
        <v>15</v>
      </c>
      <c r="N14" s="648">
        <f>COUNTIFS(Consolidated2!C:C, "APPROVAL",Consolidated2!A:A, "2021", Consolidated2!D:D, "VFP")</f>
        <v>6</v>
      </c>
      <c r="O14" s="648">
        <f>COUNTIFS(Consolidated2!C:C, "APPROVAL",Consolidated2!A:A, "2022", Consolidated2!D:D, "VFP")</f>
        <v>8</v>
      </c>
      <c r="P14" s="668"/>
    </row>
    <row r="15" spans="1:27" ht="12.75">
      <c r="A15" s="824"/>
      <c r="B15" s="669">
        <f t="shared" si="11"/>
        <v>128160770.42</v>
      </c>
      <c r="C15" s="670"/>
      <c r="D15" s="644"/>
      <c r="E15" s="644">
        <f>SUMIFS(Consolidated2!H:H,Consolidated2!C:C, "APPROVAL",Consolidated2!A:A, "2012", Consolidated2!D:D, "VFP")</f>
        <v>4319510.3099999996</v>
      </c>
      <c r="F15" s="644">
        <f>SUMIFS(Consolidated2!H:H,Consolidated2!C:C, "APPROVAL",Consolidated2!A:A, "2013", Consolidated2!D:D, "VFP")</f>
        <v>6958876.7400000002</v>
      </c>
      <c r="G15" s="644">
        <f>SUMIFS(Consolidated2!H:H,Consolidated2!C:C, "APPROVAL",Consolidated2!A:A, "2014", Consolidated2!D:D, "VFP")</f>
        <v>10870187</v>
      </c>
      <c r="H15" s="644">
        <f>SUMIFS(Consolidated2!H:H,Consolidated2!C:C, "APPROVAL",Consolidated2!A:A, "2015", Consolidated2!D:D, "VFP")</f>
        <v>12841375.08</v>
      </c>
      <c r="I15" s="644">
        <f>SUMIFS(Consolidated2!H:H,Consolidated2!C:C, "APPROVAL",Consolidated2!A:A, "2016", Consolidated2!D:D, "VFP")</f>
        <v>17049768.07</v>
      </c>
      <c r="J15" s="644">
        <f>SUMIFS(Consolidated2!H:H,Consolidated2!C:C, "APPROVAL",Consolidated2!A:A, "2017", Consolidated2!D:D, "VFP")</f>
        <v>8028868.8799999999</v>
      </c>
      <c r="K15" s="644">
        <f>SUMIFS(Consolidated2!H:H,Consolidated2!C:C, "APPROVAL",Consolidated2!A:A, "2018", Consolidated2!D:D, "VFP")</f>
        <v>16730145.26</v>
      </c>
      <c r="L15" s="644">
        <f>SUMIFS(Consolidated2!H:H,Consolidated2!C:C, "APPROVAL",Consolidated2!A:A, "2019", Consolidated2!D:D, "VFP")</f>
        <v>11496762.859999999</v>
      </c>
      <c r="M15" s="644">
        <f>SUMIFS(Consolidated2!H:H,Consolidated2!C:C, "APPROVAL",Consolidated2!A:A, "2020", Consolidated2!D:D, "VFP")</f>
        <v>16765817.810000001</v>
      </c>
      <c r="N15" s="644">
        <f>SUMIFS(Consolidated2!H:H,Consolidated2!C:C, "APPROVAL",Consolidated2!A:A, "2021", Consolidated2!D:D, "VFP")</f>
        <v>15150036.41</v>
      </c>
      <c r="O15" s="644">
        <f>SUMIFS(Consolidated2!H:H,Consolidated2!C:C, "APPROVAL",Consolidated2!A:A, "2022", Consolidated2!D:D, "VFP")</f>
        <v>7949422</v>
      </c>
      <c r="P15" s="671"/>
    </row>
    <row r="16" spans="1:27" ht="15">
      <c r="A16" s="818" t="s">
        <v>76</v>
      </c>
      <c r="B16" s="666">
        <f t="shared" si="11"/>
        <v>3</v>
      </c>
      <c r="C16" s="672"/>
      <c r="D16" s="634"/>
      <c r="E16" s="673"/>
      <c r="F16" s="673"/>
      <c r="G16" s="673"/>
      <c r="H16" s="673"/>
      <c r="I16" s="673"/>
      <c r="J16" s="648">
        <f>COUNTIFS(Consolidated2!C:C, "APPROVAL",Consolidated2!A:A, "2017", Consolidated2!D:D, "ITECH")</f>
        <v>0</v>
      </c>
      <c r="K16" s="648">
        <f>COUNTIFS(Consolidated2!C:C, "APPROVAL",Consolidated2!A:A, "2018", Consolidated2!D:D, "ITECH")</f>
        <v>1</v>
      </c>
      <c r="L16" s="648">
        <f>COUNTIFS(Consolidated2!C:C, "APPROVAL",Consolidated2!A:A, "2019", Consolidated2!D:D, "ITECH")</f>
        <v>0</v>
      </c>
      <c r="M16" s="648">
        <f>COUNTIFS(Consolidated2!C:C, "APPROVAL",Consolidated2!A:A, "2020", Consolidated2!D:D, "ITECH")</f>
        <v>0</v>
      </c>
      <c r="N16" s="648">
        <f>COUNTIFS(Consolidated2!C:C, "APPROVAL",Consolidated2!A:A, "2021", Consolidated2!D:D, "ITECH")</f>
        <v>0</v>
      </c>
      <c r="O16" s="648">
        <f>COUNTIFS(Consolidated2!C:C, "APPROVAL",Consolidated2!A:A, "2022", Consolidated2!D:D, "ITECH")</f>
        <v>2</v>
      </c>
      <c r="P16" s="635"/>
    </row>
    <row r="17" spans="1:17" ht="12.75">
      <c r="A17" s="819"/>
      <c r="B17" s="674"/>
      <c r="C17" s="675"/>
      <c r="D17" s="638"/>
      <c r="E17" s="676"/>
      <c r="F17" s="676"/>
      <c r="G17" s="676"/>
      <c r="H17" s="676"/>
      <c r="I17" s="676"/>
      <c r="J17" s="644">
        <f>SUMIFS(Consolidated2!H:H,Consolidated2!C:C, "APPROVAL",Consolidated2!A:A, "2017", Consolidated2!D:D, "ITECH")</f>
        <v>0</v>
      </c>
      <c r="K17" s="644">
        <f>SUMIFS(Consolidated2!H:H,Consolidated2!C:C, "APPROVAL",Consolidated2!A:A, "2018", Consolidated2!D:D, "ITECH")</f>
        <v>0</v>
      </c>
      <c r="L17" s="644">
        <f>SUMIFS(Consolidated2!H:H,Consolidated2!C:C, "APPROVAL",Consolidated2!A:A, "2019", Consolidated2!D:D, "ITECH")</f>
        <v>0</v>
      </c>
      <c r="M17" s="638"/>
      <c r="N17" s="644">
        <f>SUMIFS(Consolidated2!H:H,Consolidated2!C:C, "APPROVAL",Consolidated2!A:A, "2021", Consolidated2!D:D, "ITECH")</f>
        <v>0</v>
      </c>
      <c r="O17" s="644">
        <f>SUMIFS(Consolidated2!H:H,Consolidated2!C:C, "APPROVAL",Consolidated2!A:A, "2022", Consolidated2!D:D, "ITECH")</f>
        <v>1083679</v>
      </c>
      <c r="P17" s="640"/>
    </row>
    <row r="18" spans="1:17" ht="15">
      <c r="A18" s="818" t="s">
        <v>1099</v>
      </c>
      <c r="B18" s="666">
        <f t="shared" ref="B18:B27" si="12">SUM(E18:O18)</f>
        <v>4</v>
      </c>
      <c r="C18" s="672"/>
      <c r="D18" s="634"/>
      <c r="E18" s="677"/>
      <c r="F18" s="677"/>
      <c r="G18" s="677"/>
      <c r="H18" s="677"/>
      <c r="I18" s="677"/>
      <c r="J18" s="677"/>
      <c r="K18" s="678"/>
      <c r="L18" s="677"/>
      <c r="M18" s="678"/>
      <c r="N18" s="648">
        <f>COUNTIFS(Consolidated2!C:C, "APPROVAL",Consolidated2!A:A, "2021", Consolidated2!D:D, "YET")</f>
        <v>1</v>
      </c>
      <c r="O18" s="648">
        <f>COUNTIFS(Consolidated2!C:C, "APPROVAL",Consolidated2!A:A, "2022", Consolidated2!D:D, "YET")</f>
        <v>3</v>
      </c>
      <c r="P18" s="635"/>
    </row>
    <row r="19" spans="1:17" ht="15">
      <c r="A19" s="819"/>
      <c r="B19" s="669">
        <f t="shared" si="12"/>
        <v>708332.26</v>
      </c>
      <c r="C19" s="679"/>
      <c r="D19" s="639"/>
      <c r="E19" s="680"/>
      <c r="F19" s="680"/>
      <c r="G19" s="680"/>
      <c r="H19" s="680"/>
      <c r="I19" s="680"/>
      <c r="J19" s="680"/>
      <c r="K19" s="680"/>
      <c r="L19" s="680"/>
      <c r="M19" s="681"/>
      <c r="N19" s="639">
        <f>SUMIFS(Consolidated2!H:H,Consolidated2!C:C, "APPROVAL",Consolidated2!A:A, "2021", Consolidated2!D:D, "YET")</f>
        <v>246099.46</v>
      </c>
      <c r="O19" s="639">
        <f>SUMIFS(Consolidated2!H:H,Consolidated2!C:C, "APPROVAL",Consolidated2!A:A, "2022", Consolidated2!D:D, "YET")</f>
        <v>462232.8</v>
      </c>
      <c r="P19" s="651"/>
    </row>
    <row r="20" spans="1:17" ht="15">
      <c r="A20" s="818" t="s">
        <v>11896</v>
      </c>
      <c r="B20" s="682">
        <f t="shared" si="12"/>
        <v>41</v>
      </c>
      <c r="C20" s="672"/>
      <c r="D20" s="634"/>
      <c r="E20" s="648">
        <f>COUNTIFS(Consolidated2!C:C, "APPROVAL",Consolidated2!A:A, "2012", Consolidated2!D:D, "DATBED")</f>
        <v>5</v>
      </c>
      <c r="F20" s="648">
        <f>COUNTIFS(Consolidated2!C:C, "APPROVAL",Consolidated2!A:A, "2013", Consolidated2!D:D, "DATBED")</f>
        <v>2</v>
      </c>
      <c r="G20" s="648">
        <f>COUNTIFS(Consolidated2!C:C, "APPROVAL",Consolidated2!A:A, "2014", Consolidated2!D:D, "DATBED")</f>
        <v>2</v>
      </c>
      <c r="H20" s="648">
        <f>COUNTIFS(Consolidated2!C:C, "APPROVAL",Consolidated2!A:A, "2015", Consolidated2!D:D, "DATBED")</f>
        <v>5</v>
      </c>
      <c r="I20" s="648">
        <f>COUNTIFS(Consolidated2!C:C, "APPROVAL",Consolidated2!A:A, "2016", Consolidated2!D:D, "DATBED")</f>
        <v>5</v>
      </c>
      <c r="J20" s="648">
        <f>COUNTIFS(Consolidated2!C:C, "APPROVAL",Consolidated2!A:A, "2017", Consolidated2!D:D, "DATBED")</f>
        <v>2</v>
      </c>
      <c r="K20" s="648">
        <f>COUNTIFS(Consolidated2!C:C, "APPROVAL",Consolidated2!A:A, "2018", Consolidated2!D:D, "DATBED")</f>
        <v>6</v>
      </c>
      <c r="L20" s="648">
        <f>COUNTIFS(Consolidated2!C:C, "APPROVAL",Consolidated2!A:A, "2019", Consolidated2!D:D, "DATBED")</f>
        <v>7</v>
      </c>
      <c r="M20" s="648">
        <f>COUNTIFS(Consolidated2!C:C, "APPROVAL",Consolidated2!A:A, "2020", Consolidated2!D:D, "DATBED")</f>
        <v>5</v>
      </c>
      <c r="N20" s="648">
        <f>COUNTIFS(Consolidated2!C:C, "APPROVAL",Consolidated2!A:A, "2021", Consolidated2!D:D, "DATBED")</f>
        <v>2</v>
      </c>
      <c r="O20" s="678"/>
      <c r="P20" s="683"/>
    </row>
    <row r="21" spans="1:17" ht="12.75">
      <c r="A21" s="819"/>
      <c r="B21" s="684">
        <f t="shared" si="12"/>
        <v>3696003.9199999995</v>
      </c>
      <c r="C21" s="675"/>
      <c r="D21" s="638"/>
      <c r="E21" s="639">
        <f>SUMIFS(Consolidated2!H:H,Consolidated2!C:C, "APPROVAL",Consolidated2!A:A, "2012", Consolidated2!D:D, "DATBED")</f>
        <v>528413.52</v>
      </c>
      <c r="F21" s="639">
        <f>SUMIFS(Consolidated2!H:H,Consolidated2!C:C, "APPROVAL",Consolidated2!A:A, "2013", Consolidated2!D:D, "DATBED")</f>
        <v>185588</v>
      </c>
      <c r="G21" s="639">
        <f>SUMIFS(Consolidated2!H:H,Consolidated2!C:C, "APPROVAL",Consolidated2!A:A, "2014", Consolidated2!D:D, "DATBED")</f>
        <v>175493</v>
      </c>
      <c r="H21" s="639">
        <f>SUMIFS(Consolidated2!H:H,Consolidated2!C:C, "APPROVAL",Consolidated2!A:A, "2015", Consolidated2!D:D, "DATBED")</f>
        <v>360620.92</v>
      </c>
      <c r="I21" s="639">
        <f>SUMIFS(Consolidated2!H:H,Consolidated2!C:C, "APPROVAL",Consolidated2!A:A, "2016", Consolidated2!D:D, "DATBED")</f>
        <v>330904.19</v>
      </c>
      <c r="J21" s="639">
        <f>SUMIFS(Consolidated2!H:H,Consolidated2!C:C, "APPROVAL",Consolidated2!A:A, "2017", Consolidated2!D:D, "DATBED")</f>
        <v>117868.95999999999</v>
      </c>
      <c r="K21" s="639">
        <f>SUMIFS(Consolidated2!H:H,Consolidated2!C:C, "APPROVAL",Consolidated2!A:A, "2018", Consolidated2!D:D, "DATBED")</f>
        <v>420091.94</v>
      </c>
      <c r="L21" s="639">
        <f>SUMIFS(Consolidated2!H:H,Consolidated2!C:C, "APPROVAL",Consolidated2!A:A, "2019", Consolidated2!D:D, "DATBED")</f>
        <v>576535.54999999993</v>
      </c>
      <c r="M21" s="639">
        <f>SUMIFS(Consolidated2!H:H,Consolidated2!C:C, "APPROVAL",Consolidated2!A:A, "2020", Consolidated2!D:D, "DATBED")</f>
        <v>640100</v>
      </c>
      <c r="N21" s="639">
        <f>SUMIFS(Consolidated2!H:H,Consolidated2!C:C, "APPROVAL",Consolidated2!A:A, "2021", Consolidated2!D:D, "DATBED")</f>
        <v>360387.83999999997</v>
      </c>
      <c r="O21" s="680"/>
      <c r="P21" s="685"/>
    </row>
    <row r="22" spans="1:17" ht="15">
      <c r="A22" s="818" t="s">
        <v>2029</v>
      </c>
      <c r="B22" s="666">
        <f t="shared" si="12"/>
        <v>4</v>
      </c>
      <c r="C22" s="672"/>
      <c r="D22" s="634"/>
      <c r="E22" s="673"/>
      <c r="F22" s="673"/>
      <c r="G22" s="673"/>
      <c r="H22" s="673"/>
      <c r="I22" s="673"/>
      <c r="J22" s="686"/>
      <c r="K22" s="648">
        <f>COUNTIFS(Consolidated2!C:C, "APPROVAL",Consolidated2!A:A, "2018", Consolidated2!D:D, "IBED II")</f>
        <v>4</v>
      </c>
      <c r="L22" s="648">
        <f>COUNTIFS(Consolidated2!C:C, "APPROVAL",Consolidated2!A:A, "2019", Consolidated2!D:D, "IBED II")</f>
        <v>0</v>
      </c>
      <c r="M22" s="648">
        <f>COUNTIFS(Consolidated2!C:C, "APPROVAL",Consolidated2!A:A, "2020", Consolidated2!D:D, "IBED II")</f>
        <v>0</v>
      </c>
      <c r="N22" s="648">
        <f>COUNTIFS(Consolidated2!C:C, "APPROVAL",Consolidated2!A:A, "2021", Consolidated2!D:D, "IBED II")</f>
        <v>0</v>
      </c>
      <c r="O22" s="673"/>
      <c r="P22" s="683"/>
    </row>
    <row r="23" spans="1:17" ht="12.75">
      <c r="A23" s="819"/>
      <c r="B23" s="684">
        <f t="shared" si="12"/>
        <v>3566750</v>
      </c>
      <c r="C23" s="675"/>
      <c r="D23" s="638"/>
      <c r="E23" s="676"/>
      <c r="F23" s="676"/>
      <c r="G23" s="676"/>
      <c r="H23" s="676"/>
      <c r="I23" s="676"/>
      <c r="J23" s="687"/>
      <c r="K23" s="639">
        <f>SUMIFS(Consolidated2!H:H,Consolidated2!C:C, "APPROVAL",Consolidated2!A:A, "2018", Consolidated2!D:D, "IBED II")</f>
        <v>3566750</v>
      </c>
      <c r="L23" s="639">
        <f>SUMIFS(Consolidated2!H:H,Consolidated2!C:C, "APPROVAL",Consolidated2!A:A, "2019", Consolidated2!D:D, "IBED II")</f>
        <v>0</v>
      </c>
      <c r="M23" s="639">
        <f>SUMIFS(Consolidated2!H:H,Consolidated2!C:C, "APPROVAL",Consolidated2!A:A, "2020", Consolidated2!D:D, "IBED II")</f>
        <v>0</v>
      </c>
      <c r="N23" s="639">
        <f>SUMIFS(Consolidated2!H:H,Consolidated2!C:C, "APPROVAL",Consolidated2!A:A, "2021", Consolidated2!D:D, "IBED II")</f>
        <v>0</v>
      </c>
      <c r="O23" s="676"/>
      <c r="P23" s="685"/>
    </row>
    <row r="24" spans="1:17" ht="15">
      <c r="A24" s="818" t="s">
        <v>3092</v>
      </c>
      <c r="B24" s="666">
        <f t="shared" si="12"/>
        <v>23</v>
      </c>
      <c r="C24" s="672"/>
      <c r="D24" s="634"/>
      <c r="E24" s="686"/>
      <c r="F24" s="648">
        <f>COUNTIFS(Consolidated2!C:C, "APPROVAL",Consolidated2!A:A, "2013", Consolidated2!D:D, "CAMPI")</f>
        <v>3</v>
      </c>
      <c r="G24" s="648">
        <f>COUNTIFS(Consolidated2!C:C, "APPROVAL",Consolidated2!A:A, "2014", Consolidated2!D:D, "DATBED")</f>
        <v>2</v>
      </c>
      <c r="H24" s="648">
        <f>COUNTIFS(Consolidated2!C:C, "APPROVAL",Consolidated2!A:A, "2015", Consolidated2!D:D, "CAMPI")</f>
        <v>9</v>
      </c>
      <c r="I24" s="648">
        <f>COUNTIFS(Consolidated2!C:C, "APPROVAL",Consolidated2!A:A, "2016", Consolidated2!D:D, "CAMPI")</f>
        <v>5</v>
      </c>
      <c r="J24" s="648">
        <f>COUNTIFS(Consolidated2!C:C, "APPROVAL",Consolidated2!A:A, "2017", Consolidated2!D:D, "CAMPI")</f>
        <v>4</v>
      </c>
      <c r="K24" s="677"/>
      <c r="L24" s="677"/>
      <c r="M24" s="677"/>
      <c r="N24" s="677"/>
      <c r="O24" s="677"/>
      <c r="P24" s="683"/>
    </row>
    <row r="25" spans="1:17" ht="12.75">
      <c r="A25" s="819"/>
      <c r="B25" s="684">
        <f t="shared" si="12"/>
        <v>8986833</v>
      </c>
      <c r="C25" s="675"/>
      <c r="D25" s="638"/>
      <c r="E25" s="687"/>
      <c r="F25" s="639">
        <f>SUMIFS(Consolidated2!H:H,Consolidated2!C:C, "APPROVAL",Consolidated2!A:A, "2013", Consolidated2!D:D, "CAMPI")</f>
        <v>1171800</v>
      </c>
      <c r="G25" s="639">
        <f>SUMIFS(Consolidated2!H:H,Consolidated2!C:C, "APPROVAL",Consolidated2!A:A, "2014", Consolidated2!D:D, "CAMPI")</f>
        <v>2533800</v>
      </c>
      <c r="H25" s="639">
        <f>SUMIFS(Consolidated2!H:H,Consolidated2!C:C, "APPROVAL",Consolidated2!A:A, "2015", Consolidated2!D:D, "CAMPI")</f>
        <v>2120400</v>
      </c>
      <c r="I25" s="639">
        <f>SUMIFS(Consolidated2!H:H,Consolidated2!C:C, "APPROVAL",Consolidated2!A:A, "2016", Consolidated2!D:D, "CAMPI")</f>
        <v>1581215</v>
      </c>
      <c r="J25" s="639">
        <f>SUMIFS(Consolidated2!H:H,Consolidated2!C:C, "APPROVAL",Consolidated2!A:A, "2017", Consolidated2!D:D, "CAMPI")</f>
        <v>1579618</v>
      </c>
      <c r="K25" s="688"/>
      <c r="L25" s="688"/>
      <c r="M25" s="688"/>
      <c r="N25" s="688"/>
      <c r="O25" s="688"/>
      <c r="P25" s="685"/>
    </row>
    <row r="26" spans="1:17" ht="15">
      <c r="A26" s="825" t="s">
        <v>4982</v>
      </c>
      <c r="B26" s="666">
        <f t="shared" si="12"/>
        <v>3</v>
      </c>
      <c r="C26" s="689"/>
      <c r="D26" s="654"/>
      <c r="E26" s="648">
        <f>COUNTIFS(Consolidated2!C:C, "APPROVAL",Consolidated2!A:A, "2012", Consolidated2!D:D, "CAPE")</f>
        <v>3</v>
      </c>
      <c r="F26" s="690"/>
      <c r="G26" s="690"/>
      <c r="H26" s="690"/>
      <c r="I26" s="690"/>
      <c r="J26" s="678"/>
      <c r="K26" s="690"/>
      <c r="L26" s="690"/>
      <c r="M26" s="690"/>
      <c r="N26" s="690"/>
      <c r="O26" s="690"/>
      <c r="P26" s="691"/>
    </row>
    <row r="27" spans="1:17" ht="12.75">
      <c r="A27" s="824"/>
      <c r="B27" s="684">
        <f t="shared" si="12"/>
        <v>1992400</v>
      </c>
      <c r="C27" s="667"/>
      <c r="D27" s="53"/>
      <c r="E27" s="639">
        <f>SUMIFS(Consolidated2!H:H,Consolidated2!C:C, "APPROVAL",Consolidated2!A:A, "2012", Consolidated2!D:D, "CAPE")</f>
        <v>1992400</v>
      </c>
      <c r="F27" s="692"/>
      <c r="G27" s="692"/>
      <c r="H27" s="692"/>
      <c r="I27" s="692"/>
      <c r="J27" s="692"/>
      <c r="K27" s="692"/>
      <c r="L27" s="692"/>
      <c r="M27" s="692"/>
      <c r="N27" s="692"/>
      <c r="O27" s="692"/>
      <c r="P27" s="693"/>
    </row>
    <row r="28" spans="1:17" ht="12.75">
      <c r="A28" s="694" t="s">
        <v>611</v>
      </c>
      <c r="B28" s="695"/>
      <c r="C28" s="696"/>
      <c r="D28" s="697"/>
      <c r="E28" s="697"/>
      <c r="F28" s="697"/>
      <c r="G28" s="697"/>
      <c r="H28" s="697"/>
      <c r="I28" s="697"/>
      <c r="J28" s="697"/>
      <c r="K28" s="697"/>
      <c r="L28" s="697"/>
      <c r="M28" s="697"/>
      <c r="N28" s="697"/>
      <c r="O28" s="697"/>
      <c r="P28" s="698"/>
    </row>
    <row r="29" spans="1:17" ht="15">
      <c r="A29" s="818" t="s">
        <v>394</v>
      </c>
      <c r="B29" s="682">
        <f t="shared" ref="B29:B42" si="13">SUM(E29:O29)</f>
        <v>106</v>
      </c>
      <c r="C29" s="672"/>
      <c r="D29" s="634"/>
      <c r="E29" s="648">
        <f>COUNTIFS(Consolidated2!C:C, "APPROVAL",Consolidated2!A:A, "2012", Consolidated2!D:D, "ISP")</f>
        <v>2</v>
      </c>
      <c r="F29" s="648">
        <f>COUNTIFS(Consolidated2!C:C, "APPROVAL",Consolidated2!A:A, "2013", Consolidated2!D:D, "ISP")</f>
        <v>3</v>
      </c>
      <c r="G29" s="648">
        <f>COUNTIFS(Consolidated2!C:C, "APPROVAL",Consolidated2!A:A, "2014", Consolidated2!D:D, "ISP")</f>
        <v>9</v>
      </c>
      <c r="H29" s="648">
        <f>COUNTIFS(Consolidated2!C:C, "APPROVAL",Consolidated2!A:A, "2015", Consolidated2!D:D, "ISP")</f>
        <v>11</v>
      </c>
      <c r="I29" s="648">
        <f>COUNTIFS(Consolidated2!C:C, "APPROVAL",Consolidated2!A:A, "2016", Consolidated2!D:D, "ISP")</f>
        <v>23</v>
      </c>
      <c r="J29" s="648">
        <f>COUNTIFS(Consolidated2!C:C, "APPROVAL",Consolidated2!A:A, "2017", Consolidated2!D:D, "ISP")</f>
        <v>21</v>
      </c>
      <c r="K29" s="648">
        <f>COUNTIFS(Consolidated2!C:C, "APPROVAL",Consolidated2!A:A, "2018", Consolidated2!D:D, "ISP")</f>
        <v>10</v>
      </c>
      <c r="L29" s="648">
        <f>COUNTIFS(Consolidated2!C:C, "APPROVAL",Consolidated2!A:A, "2019", Consolidated2!D:D, "ISP")</f>
        <v>16</v>
      </c>
      <c r="M29" s="648">
        <f>COUNTIFS(Consolidated2!C:C, "APPROVAL",Consolidated2!A:A, "2020", Consolidated2!D:D, "ISP")</f>
        <v>0</v>
      </c>
      <c r="N29" s="648">
        <f>COUNTIFS(Consolidated2!C:C, "APPROVAL",Consolidated2!A:A, "2021", Consolidated2!D:D, "ISP")</f>
        <v>6</v>
      </c>
      <c r="O29" s="648">
        <f>COUNTIFS('2022'!B:B, "APPROVAL", '2022'!C:C, "ISP")</f>
        <v>5</v>
      </c>
      <c r="P29" s="635"/>
    </row>
    <row r="30" spans="1:17" ht="12.75">
      <c r="A30" s="819"/>
      <c r="B30" s="684">
        <f t="shared" si="13"/>
        <v>7460611.96</v>
      </c>
      <c r="C30" s="675"/>
      <c r="D30" s="638"/>
      <c r="E30" s="639">
        <f>SUMIFS(Consolidated2!H:H,Consolidated2!C:C, "APPROVAL",Consolidated2!A:A, "2012", Consolidated2!D:D, "ISP")</f>
        <v>78800</v>
      </c>
      <c r="F30" s="639">
        <f>SUMIFS(Consolidated2!H:H,Consolidated2!C:C, "APPROVAL",Consolidated2!A:A, "2013", Consolidated2!D:D, "ISP")</f>
        <v>105500</v>
      </c>
      <c r="G30" s="639">
        <f>SUMIFS(Consolidated2!H:H,Consolidated2!C:C, "APPROVAL",Consolidated2!A:A, "2014", Consolidated2!D:D, "ISP")</f>
        <v>473600</v>
      </c>
      <c r="H30" s="639">
        <f>SUMIFS(Consolidated2!H:H,Consolidated2!C:C, "APPROVAL",Consolidated2!A:A, "2015", Consolidated2!D:D, "ISP")</f>
        <v>1350110</v>
      </c>
      <c r="I30" s="639">
        <f>SUMIFS(Consolidated2!H:H,Consolidated2!C:C, "APPROVAL",Consolidated2!A:A, "2016", Consolidated2!D:D, "ISP")</f>
        <v>1323800</v>
      </c>
      <c r="J30" s="639">
        <f>SUMIFS(Consolidated2!H:H,Consolidated2!C:C, "APPROVAL",Consolidated2!A:A, "2017", Consolidated2!D:D, "ISP")</f>
        <v>1954390</v>
      </c>
      <c r="K30" s="639">
        <f>SUMIFS(Consolidated2!H:H,Consolidated2!C:C, "APPROVAL",Consolidated2!A:A, "2018", Consolidated2!D:D, "ISP")</f>
        <v>849686.96</v>
      </c>
      <c r="L30" s="639">
        <f>SUMIFS(Consolidated2!H:H,Consolidated2!C:C, "APPROVAL",Consolidated2!A:A, "2019", Consolidated2!D:D, "ISP")</f>
        <v>1184250</v>
      </c>
      <c r="M30" s="639">
        <f>SUMIFS(Consolidated2!H:H,Consolidated2!C:C, "APPROVAL",Consolidated2!A:A, "2020", Consolidated2!D:D, "ISP")</f>
        <v>0</v>
      </c>
      <c r="N30" s="639">
        <f>SUMIFS(Consolidated2!H:H,Consolidated2!C:C, "APPROVAL",Consolidated2!A:A, "2021", Consolidated2!D:D, "ISP")</f>
        <v>65000</v>
      </c>
      <c r="O30" s="644">
        <f>SUMIFS(Consolidated2!H:H,Consolidated2!C:C, "APPROVAL",Consolidated2!A:A, "2022", Consolidated2!D:D, "ISP")</f>
        <v>75475</v>
      </c>
      <c r="P30" s="640"/>
      <c r="Q30" s="70">
        <f>O29+O31+O35+O37+O39+O41</f>
        <v>39</v>
      </c>
    </row>
    <row r="31" spans="1:17" ht="15">
      <c r="A31" s="822" t="s">
        <v>1877</v>
      </c>
      <c r="B31" s="699">
        <f t="shared" si="13"/>
        <v>21</v>
      </c>
      <c r="C31" s="689"/>
      <c r="D31" s="654"/>
      <c r="E31" s="700"/>
      <c r="F31" s="700"/>
      <c r="G31" s="700"/>
      <c r="H31" s="700"/>
      <c r="I31" s="700"/>
      <c r="J31" s="700"/>
      <c r="K31" s="700"/>
      <c r="L31" s="648">
        <f>COUNTIFS(Consolidated2!C:C, "APPROVAL",Consolidated2!A:A, "2019", Consolidated2!D:D, "CONCEPT PROTO")</f>
        <v>1</v>
      </c>
      <c r="M31" s="648">
        <f>COUNTIFS(Consolidated2!C:C, "APPROVAL",Consolidated2!A:A, "2020", Consolidated2!D:D, "CONCEPT PROTO")</f>
        <v>0</v>
      </c>
      <c r="N31" s="648">
        <f>COUNTIFS(Consolidated2!C:C, "APPROVAL",Consolidated2!A:A, "2021", Consolidated2!D:D, "CONCEPT PROTO")</f>
        <v>3</v>
      </c>
      <c r="O31" s="648">
        <f>COUNTIFS('2022'!B:B, "APPROVAL", '2022'!C:C, "CONCEPT PROTO")</f>
        <v>17</v>
      </c>
      <c r="P31" s="656"/>
    </row>
    <row r="32" spans="1:17" ht="12.75">
      <c r="A32" s="826"/>
      <c r="B32" s="684">
        <f t="shared" si="13"/>
        <v>2303067.96</v>
      </c>
      <c r="C32" s="701"/>
      <c r="D32" s="643"/>
      <c r="E32" s="702"/>
      <c r="F32" s="702"/>
      <c r="G32" s="702"/>
      <c r="H32" s="702"/>
      <c r="I32" s="702"/>
      <c r="J32" s="702"/>
      <c r="K32" s="702"/>
      <c r="L32" s="644">
        <f>SUMIFS(Consolidated2!H:H,Consolidated2!C:C, "APPROVAL",Consolidated2!A:A, "2019", Consolidated2!D:D, "CONCEPT PROTO")</f>
        <v>48100</v>
      </c>
      <c r="M32" s="644">
        <f>SUMIFS(Consolidated2!H:H,Consolidated2!C:C, "APPROVAL",Consolidated2!A:A, "2020", Consolidated2!D:D, "CONCEPT PROTO")</f>
        <v>0</v>
      </c>
      <c r="N32" s="644">
        <f>SUMIFS(Consolidated2!H:H,Consolidated2!C:C, "APPROVAL",Consolidated2!A:A, "2021", Consolidated2!D:D, "CONCEPT PROTO")</f>
        <v>148120</v>
      </c>
      <c r="O32" s="644">
        <f>SUMIFS(Consolidated2!H:H,Consolidated2!C:C, "APPROVAL",Consolidated2!A:A, "2022", Consolidated2!D:D, "CONCEPT PROTO")</f>
        <v>2106847.96</v>
      </c>
      <c r="P32" s="646"/>
    </row>
    <row r="33" spans="1:16" ht="12.75">
      <c r="A33" s="818" t="s">
        <v>85</v>
      </c>
      <c r="B33" s="699">
        <f t="shared" si="13"/>
        <v>0</v>
      </c>
      <c r="C33" s="672"/>
      <c r="D33" s="634"/>
      <c r="E33" s="673"/>
      <c r="F33" s="673"/>
      <c r="G33" s="673"/>
      <c r="H33" s="673"/>
      <c r="I33" s="673"/>
      <c r="J33" s="673"/>
      <c r="K33" s="673"/>
      <c r="L33" s="673"/>
      <c r="M33" s="673"/>
      <c r="N33" s="673"/>
      <c r="O33" s="673"/>
      <c r="P33" s="635"/>
    </row>
    <row r="34" spans="1:16" ht="12.75">
      <c r="A34" s="819"/>
      <c r="B34" s="684">
        <f t="shared" si="13"/>
        <v>0</v>
      </c>
      <c r="C34" s="675"/>
      <c r="D34" s="638"/>
      <c r="E34" s="676"/>
      <c r="F34" s="676"/>
      <c r="G34" s="676"/>
      <c r="H34" s="676"/>
      <c r="I34" s="676"/>
      <c r="J34" s="676"/>
      <c r="K34" s="676"/>
      <c r="L34" s="676"/>
      <c r="M34" s="676"/>
      <c r="N34" s="676"/>
      <c r="O34" s="676"/>
      <c r="P34" s="640"/>
    </row>
    <row r="35" spans="1:16" ht="15">
      <c r="A35" s="822" t="s">
        <v>586</v>
      </c>
      <c r="B35" s="682">
        <f t="shared" si="13"/>
        <v>32</v>
      </c>
      <c r="C35" s="689"/>
      <c r="D35" s="654"/>
      <c r="E35" s="648">
        <f>COUNTIFS(Consolidated2!C:C, "APPROVAL",Consolidated2!A:A, "2012", Consolidated2!D:D, "TESTING")</f>
        <v>1</v>
      </c>
      <c r="F35" s="648">
        <f>COUNTIFS(Consolidated2!C:C, "APPROVAL",Consolidated2!A:A, "2013", Consolidated2!D:D, "TESTING")</f>
        <v>4</v>
      </c>
      <c r="G35" s="648">
        <f>COUNTIFS(Consolidated2!C:C, "APPROVAL",Consolidated2!A:A, "2014", Consolidated2!D:D, "TESTING")</f>
        <v>0</v>
      </c>
      <c r="H35" s="648">
        <f>COUNTIFS(Consolidated2!C:C, "APPROVAL",Consolidated2!A:A, "2015", Consolidated2!D:D, "TESTING")</f>
        <v>3</v>
      </c>
      <c r="I35" s="648">
        <f>COUNTIFS(Consolidated2!C:C, "APPROVAL",Consolidated2!A:A, "2016", Consolidated2!D:D, "TESTING")</f>
        <v>3</v>
      </c>
      <c r="J35" s="648">
        <f>COUNTIFS(Consolidated2!C:C, "APPROVAL",Consolidated2!A:A, "2017", Consolidated2!D:D, "TESTING")</f>
        <v>7</v>
      </c>
      <c r="K35" s="648">
        <f>COUNTIFS(Consolidated2!C:C, "APPROVAL",Consolidated2!A:A, "2018", Consolidated2!D:D, "TESTING")</f>
        <v>4</v>
      </c>
      <c r="L35" s="648">
        <f>COUNTIFS(Consolidated2!C:C, "APPROVAL",Consolidated2!A:A, "2019", Consolidated2!D:D, "TESTING")</f>
        <v>5</v>
      </c>
      <c r="M35" s="648">
        <f>COUNTIFS(Consolidated2!C:C, "APPROVAL",Consolidated2!A:A, "2020", Consolidated2!D:D, "TESTING")</f>
        <v>0</v>
      </c>
      <c r="N35" s="648">
        <f>COUNTIFS(Consolidated2!C:C, "APPROVAL",Consolidated2!A:A, "2021", Consolidated2!D:D, "TESTING")</f>
        <v>3</v>
      </c>
      <c r="O35" s="648">
        <f>COUNTIFS('2022'!B:B, "APPROVAL", '2022'!C:C, "TESTING")</f>
        <v>2</v>
      </c>
      <c r="P35" s="656"/>
    </row>
    <row r="36" spans="1:16" ht="12.75">
      <c r="A36" s="826"/>
      <c r="B36" s="703">
        <f t="shared" si="13"/>
        <v>763287.25</v>
      </c>
      <c r="C36" s="701"/>
      <c r="D36" s="643"/>
      <c r="E36" s="639">
        <f>SUMIFS(Consolidated2!H:H,Consolidated2!C:C, "APPROVAL",Consolidated2!A:A, "2012", Consolidated2!D:D, "TESTING")</f>
        <v>6100</v>
      </c>
      <c r="F36" s="639">
        <f>SUMIFS(Consolidated2!H:H,Consolidated2!C:C, "APPROVAL",Consolidated2!A:A, "2013", Consolidated2!D:D, "TESTING")</f>
        <v>227530</v>
      </c>
      <c r="G36" s="639">
        <f>SUMIFS(Consolidated2!H:H,Consolidated2!C:C, "APPROVAL",Consolidated2!A:A, "2014", Consolidated2!D:D, "TESTING")</f>
        <v>0</v>
      </c>
      <c r="H36" s="639">
        <f>SUMIFS(Consolidated2!H:H,Consolidated2!C:C, "APPROVAL",Consolidated2!A:A, "2015", Consolidated2!D:D, "TESTING")</f>
        <v>170390</v>
      </c>
      <c r="I36" s="639">
        <f>SUMIFS(Consolidated2!H:H,Consolidated2!C:C, "APPROVAL",Consolidated2!A:A, "2016", Consolidated2!D:D, "TESTING")</f>
        <v>37090</v>
      </c>
      <c r="J36" s="639">
        <f>SUMIFS(Consolidated2!H:H,Consolidated2!C:C, "APPROVAL",Consolidated2!A:A, "2017", Consolidated2!D:D, "TESTING")</f>
        <v>105456.48999999999</v>
      </c>
      <c r="K36" s="639">
        <f>SUMIFS(Consolidated2!H:H,Consolidated2!C:C, "APPROVAL",Consolidated2!A:A, "2018", Consolidated2!D:D, "TESTING")</f>
        <v>60270.76</v>
      </c>
      <c r="L36" s="644">
        <f>SUMIFS(Consolidated2!H:H,Consolidated2!C:C, "APPROVAL",Consolidated2!A:A, "2019", Consolidated2!D:D, "TESTING")</f>
        <v>54350</v>
      </c>
      <c r="M36" s="644">
        <f>SUMIFS(Consolidated2!H:H,Consolidated2!C:C, "APPROVAL",Consolidated2!A:A, "2020", Consolidated2!D:D, "TESTING")</f>
        <v>0</v>
      </c>
      <c r="N36" s="644">
        <f>SUMIFS(Consolidated2!H:H,Consolidated2!C:C, "APPROVAL",Consolidated2!A:A, "2021", Consolidated2!D:D, "TESTING")</f>
        <v>56950</v>
      </c>
      <c r="O36" s="644">
        <f>SUMIFS(Consolidated2!H:H,Consolidated2!C:C, "APPROVAL",Consolidated2!A:A, "2022", Consolidated2!D:D, "TESTING")</f>
        <v>45150</v>
      </c>
      <c r="P36" s="646"/>
    </row>
    <row r="37" spans="1:16" ht="15">
      <c r="A37" s="818" t="s">
        <v>652</v>
      </c>
      <c r="B37" s="682">
        <f t="shared" si="13"/>
        <v>50</v>
      </c>
      <c r="C37" s="672"/>
      <c r="D37" s="634"/>
      <c r="E37" s="648">
        <f>COUNTIFS(Consolidated2!C:C, "APPROVAL",Consolidated2!A:A, "2012", Consolidated2!D:D, "IBID")</f>
        <v>2</v>
      </c>
      <c r="F37" s="648">
        <f>COUNTIFS(Consolidated2!C:C, "APPROVAL",Consolidated2!A:A, "2013", Consolidated2!D:D, "IBID")</f>
        <v>2</v>
      </c>
      <c r="G37" s="648">
        <f>COUNTIFS(Consolidated2!C:C, "APPROVAL",Consolidated2!A:A, "2014", Consolidated2!D:D, "IBID")</f>
        <v>3</v>
      </c>
      <c r="H37" s="648">
        <f>COUNTIFS(Consolidated2!C:C, "APPROVAL",Consolidated2!A:A, "2015", Consolidated2!D:D, "IBID")</f>
        <v>3</v>
      </c>
      <c r="I37" s="648">
        <f>COUNTIFS(Consolidated2!C:C, "APPROVAL",Consolidated2!A:A, "2016", Consolidated2!D:D, "IBID")</f>
        <v>2</v>
      </c>
      <c r="J37" s="648">
        <f>COUNTIFS(Consolidated2!C:C, "APPROVAL",Consolidated2!A:A, "2017", Consolidated2!D:D, "IBID")</f>
        <v>6</v>
      </c>
      <c r="K37" s="648">
        <f>COUNTIFS(Consolidated2!C:C, "APPROVAL",Consolidated2!A:A, "2018", Consolidated2!D:D, "IBID")</f>
        <v>11</v>
      </c>
      <c r="L37" s="648">
        <f>COUNTIFS(Consolidated2!C:C, "APPROVAL",Consolidated2!A:A, "2019", Consolidated2!D:D, "IBID")</f>
        <v>5</v>
      </c>
      <c r="M37" s="648">
        <f>COUNTIFS(Consolidated2!C:C, "APPROVAL",Consolidated2!A:A, "2020", Consolidated2!D:D, "IBID")</f>
        <v>6</v>
      </c>
      <c r="N37" s="648">
        <f>COUNTIFS(Consolidated2!C:C, "APPROVAL",Consolidated2!A:A, "2021", Consolidated2!D:D, "IBID")</f>
        <v>8</v>
      </c>
      <c r="O37" s="648">
        <f>COUNTIFS('2022'!B:B, "APPROVAL", '2022'!C:C, "IBID")</f>
        <v>2</v>
      </c>
      <c r="P37" s="635"/>
    </row>
    <row r="38" spans="1:16" ht="12.75">
      <c r="A38" s="819"/>
      <c r="B38" s="703">
        <f t="shared" si="13"/>
        <v>10288257.549999999</v>
      </c>
      <c r="C38" s="675"/>
      <c r="D38" s="638"/>
      <c r="E38" s="639">
        <f>SUMIFS(Consolidated2!H:H,Consolidated2!C:C, "APPROVAL",Consolidated2!A:A, "2012", Consolidated2!D:D, "IBID")</f>
        <v>2076000</v>
      </c>
      <c r="F38" s="639">
        <f>SUMIFS(Consolidated2!H:H,Consolidated2!C:C, "APPROVAL",Consolidated2!A:A, "2013", Consolidated2!D:D, "IBID")</f>
        <v>722588.85</v>
      </c>
      <c r="G38" s="639">
        <f>SUMIFS(Consolidated2!H:H,Consolidated2!C:C, "APPROVAL",Consolidated2!A:A, "2014", Consolidated2!D:D, "IBID")</f>
        <v>678353.22</v>
      </c>
      <c r="H38" s="639">
        <f>SUMIFS(Consolidated2!H:H,Consolidated2!C:C, "APPROVAL",Consolidated2!A:A, "2015", Consolidated2!D:D, "IBID")</f>
        <v>1312101.68</v>
      </c>
      <c r="I38" s="639">
        <f>SUMIFS(Consolidated2!H:H,Consolidated2!C:C, "APPROVAL",Consolidated2!A:A, "2016", Consolidated2!D:D, "IBID")</f>
        <v>162473.45000000001</v>
      </c>
      <c r="J38" s="639">
        <f>SUMIFS(Consolidated2!H:H,Consolidated2!C:C, "APPROVAL",Consolidated2!A:A, "2017", Consolidated2!D:D, "IBID")</f>
        <v>417671.98</v>
      </c>
      <c r="K38" s="639">
        <f>SUMIFS(Consolidated2!H:H,Consolidated2!C:C, "APPROVAL",Consolidated2!A:A, "2018", Consolidated2!D:D, "IBID")</f>
        <v>930165.5</v>
      </c>
      <c r="L38" s="639">
        <f>SUMIFS(Consolidated2!H:H,Consolidated2!C:C, "APPROVAL",Consolidated2!A:A, "2019", Consolidated2!D:D, "IBID")</f>
        <v>651901</v>
      </c>
      <c r="M38" s="639">
        <f>SUMIFS(Consolidated2!H:H,Consolidated2!C:C, "APPROVAL",Consolidated2!A:A, "2020", Consolidated2!D:D, "IBID")</f>
        <v>1364254.84</v>
      </c>
      <c r="N38" s="639">
        <f>SUMIFS(Consolidated2!H:H,Consolidated2!C:C, "APPROVAL",Consolidated2!A:A, "2021", Consolidated2!D:D, "IBID")</f>
        <v>1921104.0299999998</v>
      </c>
      <c r="O38" s="639">
        <f>SUMIFS(Consolidated2!H:H,Consolidated2!C:C, "APPROVAL",Consolidated2!A:A, "2022", Consolidated2!D:D, "IBID")</f>
        <v>51643</v>
      </c>
      <c r="P38" s="640"/>
    </row>
    <row r="39" spans="1:16" ht="25.5" customHeight="1">
      <c r="A39" s="818" t="s">
        <v>68</v>
      </c>
      <c r="B39" s="682">
        <f t="shared" si="13"/>
        <v>32</v>
      </c>
      <c r="C39" s="672"/>
      <c r="D39" s="634"/>
      <c r="E39" s="648">
        <f>COUNTIFS(Consolidated2!C:C, "APPROVAL",Consolidated2!A:A, "2012", Consolidated2!D:D, "IBED")</f>
        <v>2</v>
      </c>
      <c r="F39" s="648">
        <f>COUNTIFS(Consolidated2!C:C, "APPROVAL",Consolidated2!A:A, "2013", Consolidated2!D:D, "IBED")</f>
        <v>2</v>
      </c>
      <c r="G39" s="648">
        <f>COUNTIFS(Consolidated2!C:C, "APPROVAL",Consolidated2!A:A, "2014", Consolidated2!D:D, "IBED")</f>
        <v>3</v>
      </c>
      <c r="H39" s="648">
        <f>COUNTIFS(Consolidated2!C:C, "APPROVAL",Consolidated2!A:A, "2015", Consolidated2!D:D, "IBED")</f>
        <v>4</v>
      </c>
      <c r="I39" s="648">
        <f>COUNTIFS(Consolidated2!C:C, "APPROVAL",Consolidated2!A:A, "2016", Consolidated2!D:D, "IBED")</f>
        <v>3</v>
      </c>
      <c r="J39" s="648">
        <f>COUNTIFS(Consolidated2!C:C, "APPROVAL",Consolidated2!A:A, "2017", Consolidated2!D:D, "IBED")</f>
        <v>7</v>
      </c>
      <c r="K39" s="648">
        <f>COUNTIFS(Consolidated2!C:C, "APPROVAL",Consolidated2!A:A, "2018", Consolidated2!D:D, "IBED")</f>
        <v>2</v>
      </c>
      <c r="L39" s="648">
        <f>COUNTIFS(Consolidated2!C:C, "APPROVAL",Consolidated2!A:A, "2019", Consolidated2!D:D, "IBED")</f>
        <v>4</v>
      </c>
      <c r="M39" s="648">
        <f>COUNTIFS(Consolidated2!C:C, "APPROVAL",Consolidated2!A:A, "2020", Consolidated2!D:D, "IBED")</f>
        <v>4</v>
      </c>
      <c r="N39" s="648">
        <f>COUNTIFS(Consolidated2!C:C, "APPROVAL",Consolidated2!A:A, "2021", Consolidated2!D:D, "IBED")</f>
        <v>1</v>
      </c>
      <c r="O39" s="648">
        <f>COUNTIFS('2022'!B:B, "APPROVAL", '2022'!C:C, "IBED-I")</f>
        <v>0</v>
      </c>
      <c r="P39" s="635"/>
    </row>
    <row r="40" spans="1:16" ht="12.75">
      <c r="A40" s="819"/>
      <c r="B40" s="703">
        <f t="shared" si="13"/>
        <v>19625250.16</v>
      </c>
      <c r="C40" s="675"/>
      <c r="D40" s="638"/>
      <c r="E40" s="639">
        <f>SUMIFS(Consolidated2!H:H,Consolidated2!C:C, "APPROVAL",Consolidated2!A:A, "2012", Consolidated2!D:D, "IBED")</f>
        <v>1443875</v>
      </c>
      <c r="F40" s="639">
        <f>SUMIFS(Consolidated2!H:H,Consolidated2!C:C, "APPROVAL",Consolidated2!A:A, "2013", Consolidated2!D:D, "IBED")</f>
        <v>3996976</v>
      </c>
      <c r="G40" s="639">
        <f>SUMIFS(Consolidated2!H:H,Consolidated2!C:C, "APPROVAL",Consolidated2!A:A, "2014", Consolidated2!D:D, "IBED")</f>
        <v>2832486.5</v>
      </c>
      <c r="H40" s="639">
        <f>SUMIFS(Consolidated2!H:H,Consolidated2!C:C, "APPROVAL",Consolidated2!A:A, "2015", Consolidated2!D:D, "IBED")</f>
        <v>1156240</v>
      </c>
      <c r="I40" s="639">
        <f>SUMIFS(Consolidated2!H:H,Consolidated2!C:C, "APPROVAL",Consolidated2!A:A, "2016", Consolidated2!D:D, "IBED")</f>
        <v>1689505.4</v>
      </c>
      <c r="J40" s="639">
        <f>SUMIFS(Consolidated2!H:H,Consolidated2!C:C, "APPROVAL",Consolidated2!A:A, "2017", Consolidated2!D:D, "IBED")</f>
        <v>3938310</v>
      </c>
      <c r="K40" s="639">
        <f>SUMIFS(Consolidated2!H:H,Consolidated2!C:C, "APPROVAL",Consolidated2!A:A, "2018", Consolidated2!D:D, "IBED")</f>
        <v>1888050</v>
      </c>
      <c r="L40" s="639">
        <f>SUMIFS(Consolidated2!H:H,Consolidated2!C:C, "APPROVAL",Consolidated2!A:A, "2019", Consolidated2!D:D, "IBED")</f>
        <v>785292.41</v>
      </c>
      <c r="M40" s="639">
        <f>SUMIFS(Consolidated2!H:H,Consolidated2!C:C, "APPROVAL",Consolidated2!A:A, "2020", Consolidated2!D:D, "IBED")</f>
        <v>1043924.8500000001</v>
      </c>
      <c r="N40" s="639">
        <f>SUMIFS(Consolidated2!H:H,Consolidated2!C:C, "APPROVAL",Consolidated2!A:A, "2021", Consolidated2!D:D, "IBED")</f>
        <v>350000</v>
      </c>
      <c r="O40" s="639">
        <f>SUMIFS(Consolidated2!H:H,Consolidated2!C:C, "APPROVAL",Consolidated2!A:A, "2022", Consolidated2!D:D, "IBED")</f>
        <v>500590</v>
      </c>
      <c r="P40" s="640"/>
    </row>
    <row r="41" spans="1:16" ht="15">
      <c r="A41" s="822" t="s">
        <v>5314</v>
      </c>
      <c r="B41" s="682">
        <f t="shared" si="13"/>
        <v>13</v>
      </c>
      <c r="C41" s="689"/>
      <c r="D41" s="654"/>
      <c r="E41" s="700"/>
      <c r="F41" s="700"/>
      <c r="G41" s="700"/>
      <c r="H41" s="700"/>
      <c r="I41" s="700"/>
      <c r="J41" s="700"/>
      <c r="K41" s="700"/>
      <c r="L41" s="700"/>
      <c r="M41" s="700"/>
      <c r="N41" s="700"/>
      <c r="O41" s="648">
        <f>COUNTIFS(Consolidated2!C:C, "APPROVAL",Consolidated2!A:A, "2022", Consolidated2!D:D, "TECHNICOM")</f>
        <v>13</v>
      </c>
      <c r="P41" s="656"/>
    </row>
    <row r="42" spans="1:16" ht="12.75">
      <c r="A42" s="819"/>
      <c r="B42" s="682">
        <f t="shared" si="13"/>
        <v>38480713.590000004</v>
      </c>
      <c r="C42" s="675"/>
      <c r="D42" s="638"/>
      <c r="E42" s="676"/>
      <c r="F42" s="676"/>
      <c r="G42" s="676"/>
      <c r="H42" s="676"/>
      <c r="I42" s="676"/>
      <c r="J42" s="676"/>
      <c r="K42" s="676"/>
      <c r="L42" s="676"/>
      <c r="M42" s="676"/>
      <c r="N42" s="676"/>
      <c r="O42" s="639">
        <f>SUMIFS(Consolidated2!H:H,Consolidated2!C:C, "APPROVAL",Consolidated2!A:A, "2022", Consolidated2!D:D, "TECHNICOM")</f>
        <v>38480713.590000004</v>
      </c>
      <c r="P42" s="640"/>
    </row>
    <row r="43" spans="1:16" ht="12.75">
      <c r="A43" s="694" t="s">
        <v>2412</v>
      </c>
      <c r="B43" s="704"/>
      <c r="C43" s="696"/>
      <c r="D43" s="697"/>
      <c r="E43" s="697"/>
      <c r="F43" s="697"/>
      <c r="G43" s="697"/>
      <c r="H43" s="697"/>
      <c r="I43" s="697"/>
      <c r="J43" s="697"/>
      <c r="K43" s="697"/>
      <c r="L43" s="697"/>
      <c r="M43" s="697"/>
      <c r="N43" s="697"/>
      <c r="O43" s="697"/>
      <c r="P43" s="698"/>
    </row>
    <row r="44" spans="1:16" ht="15">
      <c r="A44" s="828" t="s">
        <v>11897</v>
      </c>
      <c r="B44" s="682">
        <f t="shared" ref="B44:B59" si="14">SUM(E44:O44)</f>
        <v>340</v>
      </c>
      <c r="C44" s="667"/>
      <c r="D44" s="53"/>
      <c r="E44" s="648">
        <f>COUNTIFS(Consolidated2!C:C, "APPROVAL",Consolidated2!A:A, "2012", Consolidated2!D:D, "ISTE*")</f>
        <v>14</v>
      </c>
      <c r="F44" s="648">
        <f>COUNTIFS(Consolidated2!C:C, "APPROVAL",Consolidated2!A:A, "2013", Consolidated2!D:D, "ISTE*")</f>
        <v>45</v>
      </c>
      <c r="G44" s="648">
        <f>COUNTIFS(Consolidated2!C:C, "APPROVAL",Consolidated2!A:A, "2014", Consolidated2!D:D, "ISTE*")</f>
        <v>21</v>
      </c>
      <c r="H44" s="648">
        <f>COUNTIFS(Consolidated2!C:C, "APPROVAL",Consolidated2!A:A, "2015", Consolidated2!D:D, "ISTE*")</f>
        <v>36</v>
      </c>
      <c r="I44" s="648">
        <f>COUNTIFS(Consolidated2!C:C, "APPROVAL",Consolidated2!A:A, "2016", Consolidated2!D:D, "ISTE*")</f>
        <v>48</v>
      </c>
      <c r="J44" s="648">
        <f>COUNTIFS(Consolidated2!C:C, "APPROVAL",Consolidated2!A:A, "2017", Consolidated2!D:D, "ISTE*")</f>
        <v>49</v>
      </c>
      <c r="K44" s="648">
        <f>COUNTIFS(Consolidated2!C:C, "APPROVAL",Consolidated2!A:A, "2018", Consolidated2!D:D, "ISTE*")</f>
        <v>44</v>
      </c>
      <c r="L44" s="648">
        <f>COUNTIFS(Consolidated2!C:C, "APPROVAL",Consolidated2!A:A, "2019", Consolidated2!D:D, "ISTE*")</f>
        <v>45</v>
      </c>
      <c r="M44" s="648">
        <f>COUNTIFS(Consolidated2!C:C, "APPROVAL",Consolidated2!A:A, "2020", Consolidated2!D:D, "ISTE*")</f>
        <v>2</v>
      </c>
      <c r="N44" s="648">
        <f>COUNTIFS(Consolidated2!C:C, "APPROVAL",Consolidated2!A:A, "2021", Consolidated2!D:D, "ISTE*")</f>
        <v>16</v>
      </c>
      <c r="O44" s="648">
        <f>COUNTIFS(Consolidated2!C:C, "APPROVAL",Consolidated2!A:A, "2022", Consolidated2!D:D, "ISTE*")</f>
        <v>20</v>
      </c>
      <c r="P44" s="668"/>
    </row>
    <row r="45" spans="1:16" ht="12.75">
      <c r="A45" s="826"/>
      <c r="B45" s="705">
        <f t="shared" si="14"/>
        <v>80615571.5</v>
      </c>
      <c r="C45" s="701"/>
      <c r="D45" s="643"/>
      <c r="E45" s="639">
        <f>SUMIFS(Consolidated2!H:H,Consolidated2!C:C, "APPROVAL",Consolidated2!A:A, "2012", Consolidated2!D:D, "ISTE*")</f>
        <v>2344946.2000000002</v>
      </c>
      <c r="F45" s="639">
        <f>SUMIFS(Consolidated2!H:H,Consolidated2!C:C, "APPROVAL",Consolidated2!A:A, "2013", Consolidated2!D:D, "ISTE*")</f>
        <v>3745532.3</v>
      </c>
      <c r="G45" s="639">
        <f>SUMIFS(Consolidated2!H:H,Consolidated2!C:C, "APPROVAL",Consolidated2!A:A, "2014", Consolidated2!D:D, "ISTE*")</f>
        <v>7833460</v>
      </c>
      <c r="H45" s="639">
        <f>SUMIFS(Consolidated2!H:H,Consolidated2!C:C, "APPROVAL",Consolidated2!A:A, "2015", Consolidated2!D:D, "IBED")</f>
        <v>1156240</v>
      </c>
      <c r="I45" s="639">
        <f>SUMIFS(Consolidated2!H:H,Consolidated2!C:C, "APPROVAL",Consolidated2!A:A, "2016", Consolidated2!D:D, "ISTE*")</f>
        <v>12632380</v>
      </c>
      <c r="J45" s="639">
        <f>SUMIFS(Consolidated2!H:H,Consolidated2!C:C, "APPROVAL",Consolidated2!A:A, "2017", Consolidated2!D:D, "ISTE*")</f>
        <v>10072770</v>
      </c>
      <c r="K45" s="639">
        <f>SUMIFS(Consolidated2!H:H,Consolidated2!C:C, "APPROVAL",Consolidated2!A:A, "2018", Consolidated2!D:D, "ISTE*")</f>
        <v>15801489</v>
      </c>
      <c r="L45" s="639">
        <f>SUMIFS(Consolidated2!H:H,Consolidated2!C:C, "APPROVAL",Consolidated2!A:A, "2019", Consolidated2!D:D, "ISTE*")</f>
        <v>10539702</v>
      </c>
      <c r="M45" s="639">
        <f>SUMIFS(Consolidated2!H:H,Consolidated2!C:C, "APPROVAL",Consolidated2!A:A, "2020", Consolidated2!D:D, "ISTE*")</f>
        <v>3590000</v>
      </c>
      <c r="N45" s="639">
        <f>SUMIFS(Consolidated2!H:H,Consolidated2!C:C, "APPROVAL",Consolidated2!A:A, "2021", Consolidated2!D:D, "ISTE*")</f>
        <v>4665108</v>
      </c>
      <c r="O45" s="639">
        <f>SUMIFS(Consolidated2!H:H,Consolidated2!C:C, "APPROVAL",Consolidated2!A:A, "2022", Consolidated2!D:D, "ISTE*")</f>
        <v>8233944</v>
      </c>
      <c r="P45" s="646"/>
    </row>
    <row r="46" spans="1:16" ht="15">
      <c r="A46" s="818" t="s">
        <v>1763</v>
      </c>
      <c r="B46" s="682">
        <f t="shared" si="14"/>
        <v>45</v>
      </c>
      <c r="C46" s="672"/>
      <c r="D46" s="634"/>
      <c r="E46" s="648">
        <f>COUNTIFS(Consolidated2!C:C, "APPROVAL",Consolidated2!A:A, "2012", Consolidated2!D:D, "PMAP")</f>
        <v>9</v>
      </c>
      <c r="F46" s="648">
        <f>COUNTIFS(Consolidated2!C:C, "APPROVAL",Consolidated2!A:A, "2013", Consolidated2!D:D, "PMAP")</f>
        <v>3</v>
      </c>
      <c r="G46" s="648">
        <f>COUNTIFS(Consolidated2!C:C, "APPROVAL",Consolidated2!A:A, "2014", Consolidated2!D:D, "PMAP")</f>
        <v>6</v>
      </c>
      <c r="H46" s="648">
        <f>COUNTIFS(Consolidated2!C:C, "APPROVAL",Consolidated2!A:A, "2015", Consolidated2!D:D, "PMAP")</f>
        <v>5</v>
      </c>
      <c r="I46" s="648">
        <f>COUNTIFS(Consolidated2!C:C, "APPROVAL",Consolidated2!A:A, "2016", Consolidated2!D:D, "PMAP")</f>
        <v>8</v>
      </c>
      <c r="J46" s="648">
        <f>COUNTIFS(Consolidated2!C:C, "APPROVAL",Consolidated2!A:A, "2017", Consolidated2!D:D, "PMAP")</f>
        <v>6</v>
      </c>
      <c r="K46" s="648">
        <f>COUNTIFS(Consolidated2!C:C, "APPROVAL",Consolidated2!A:A, "2018", Consolidated2!D:D, "PMAP")</f>
        <v>8</v>
      </c>
      <c r="L46" s="686"/>
      <c r="M46" s="686"/>
      <c r="N46" s="673"/>
      <c r="O46" s="673"/>
      <c r="P46" s="683"/>
    </row>
    <row r="47" spans="1:16" ht="12.75">
      <c r="A47" s="819"/>
      <c r="B47" s="706">
        <f t="shared" si="14"/>
        <v>1774577</v>
      </c>
      <c r="C47" s="675"/>
      <c r="D47" s="638"/>
      <c r="E47" s="639">
        <f>SUMIFS(Consolidated2!H:H,Consolidated2!C:C, "APPROVAL",Consolidated2!A:A, "2012", Consolidated2!D:D, "PMAP")</f>
        <v>313425</v>
      </c>
      <c r="F47" s="639">
        <f>SUMIFS(Consolidated2!H:H,Consolidated2!C:C, "APPROVAL",Consolidated2!A:A, "2013", Consolidated2!D:D, "PMAP")</f>
        <v>240000</v>
      </c>
      <c r="G47" s="639">
        <f>SUMIFS(Consolidated2!H:H,Consolidated2!C:C, "APPROVAL",Consolidated2!A:A, "2014", Consolidated2!D:D, "PMAP")</f>
        <v>125000</v>
      </c>
      <c r="H47" s="639">
        <f>SUMIFS(Consolidated2!H:H,Consolidated2!C:C, "APPROVAL",Consolidated2!A:A, "2015", Consolidated2!D:D, "PMAP")</f>
        <v>87225</v>
      </c>
      <c r="I47" s="639">
        <f>SUMIFS(Consolidated2!H:H,Consolidated2!C:C, "APPROVAL",Consolidated2!A:A, "2016", Consolidated2!D:D, "PMAP")</f>
        <v>284550</v>
      </c>
      <c r="J47" s="639">
        <f>SUMIFS(Consolidated2!H:H,Consolidated2!C:C, "APPROVAL",Consolidated2!A:A, "2017", Consolidated2!D:D, "PMAP")</f>
        <v>259345</v>
      </c>
      <c r="K47" s="639">
        <f>SUMIFS(Consolidated2!H:H,Consolidated2!C:C, "APPROVAL",Consolidated2!A:A, "2018", Consolidated2!D:D, "PMAP")</f>
        <v>465032</v>
      </c>
      <c r="L47" s="687"/>
      <c r="M47" s="687"/>
      <c r="N47" s="676"/>
      <c r="O47" s="676"/>
      <c r="P47" s="685"/>
    </row>
    <row r="48" spans="1:16" ht="15">
      <c r="A48" s="818" t="s">
        <v>2834</v>
      </c>
      <c r="B48" s="682">
        <f t="shared" si="14"/>
        <v>17</v>
      </c>
      <c r="C48" s="672"/>
      <c r="D48" s="634"/>
      <c r="E48" s="686"/>
      <c r="F48" s="673"/>
      <c r="G48" s="673"/>
      <c r="H48" s="686"/>
      <c r="I48" s="648">
        <f>COUNTIFS(Consolidated2!C:C, "APPROVAL",Consolidated2!A:A, "2016", Consolidated2!D:D, "STARDEV")</f>
        <v>6</v>
      </c>
      <c r="J48" s="648">
        <f>COUNTIFS(Consolidated2!C:C, "APPROVAL",Consolidated2!A:A, "2017", Consolidated2!D:D, "PMAP")</f>
        <v>6</v>
      </c>
      <c r="K48" s="648">
        <f>COUNTIFS(Consolidated2!C:C, "APPROVAL",Consolidated2!A:A, "2018", Consolidated2!D:D, "STARDEV")</f>
        <v>5</v>
      </c>
      <c r="L48" s="707"/>
      <c r="M48" s="707"/>
      <c r="N48" s="708"/>
      <c r="O48" s="708"/>
      <c r="P48" s="709"/>
    </row>
    <row r="49" spans="1:16" ht="12.75">
      <c r="A49" s="819"/>
      <c r="B49" s="706">
        <f t="shared" si="14"/>
        <v>1305980.75</v>
      </c>
      <c r="C49" s="675"/>
      <c r="D49" s="638"/>
      <c r="E49" s="687"/>
      <c r="F49" s="676"/>
      <c r="G49" s="676"/>
      <c r="H49" s="687"/>
      <c r="I49" s="639">
        <f>SUMIFS(Consolidated2!H:H,Consolidated2!C:C, "APPROVAL",Consolidated2!A:A, "2016", Consolidated2!D:D, "STARDEV")</f>
        <v>647623.75</v>
      </c>
      <c r="J49" s="639">
        <f>SUMIFS(Consolidated2!H:H,Consolidated2!C:C, "APPROVAL",Consolidated2!A:A, "2017", Consolidated2!D:D, "PMAP")</f>
        <v>259345</v>
      </c>
      <c r="K49" s="639">
        <f>SUMIFS(Consolidated2!H:H,Consolidated2!C:C, "APPROVAL",Consolidated2!A:A, "2018", Consolidated2!D:D, "STARDEV")</f>
        <v>399012</v>
      </c>
      <c r="L49" s="710"/>
      <c r="M49" s="710"/>
      <c r="N49" s="711"/>
      <c r="O49" s="711"/>
      <c r="P49" s="712"/>
    </row>
    <row r="50" spans="1:16" ht="15">
      <c r="A50" s="822" t="s">
        <v>2724</v>
      </c>
      <c r="B50" s="682">
        <f t="shared" si="14"/>
        <v>5</v>
      </c>
      <c r="C50" s="689"/>
      <c r="D50" s="654"/>
      <c r="E50" s="648">
        <f>COUNTIFS(Consolidated2!C:C, "APPROVAL",Consolidated2!A:A, "2012", Consolidated2!D:D, "PILOT PLANT")</f>
        <v>1</v>
      </c>
      <c r="F50" s="648">
        <f>COUNTIFS(Consolidated2!C:C, "APPROVAL",Consolidated2!A:A, "2013", Consolidated2!D:D, "PILOT PLANT")</f>
        <v>3</v>
      </c>
      <c r="G50" s="648">
        <f>COUNTIFS(Consolidated2!C:C, "APPROVAL",Consolidated2!A:A, "2014", Consolidated2!D:D, "PILOT PLANT")</f>
        <v>1</v>
      </c>
      <c r="H50" s="648">
        <f>COUNTIFS(Consolidated2!C:C, "APPROVAL",Consolidated2!A:A, "2015", Consolidated2!D:D, "PILOT PLANT")</f>
        <v>0</v>
      </c>
      <c r="I50" s="648">
        <f>COUNTIFS(Consolidated2!C:C, "APPROVAL",Consolidated2!A:A, "2016", Consolidated2!D:D, "PILOT PLANT")</f>
        <v>0</v>
      </c>
      <c r="J50" s="686"/>
      <c r="K50" s="700"/>
      <c r="L50" s="700"/>
      <c r="M50" s="700"/>
      <c r="N50" s="700"/>
      <c r="O50" s="700"/>
      <c r="P50" s="691"/>
    </row>
    <row r="51" spans="1:16" ht="12.75">
      <c r="A51" s="826"/>
      <c r="B51" s="706">
        <f t="shared" si="14"/>
        <v>522045.67</v>
      </c>
      <c r="C51" s="701"/>
      <c r="D51" s="643"/>
      <c r="E51" s="639">
        <f>SUMIFS(Consolidated2!H:H,Consolidated2!C:C, "APPROVAL",Consolidated2!A:A, "2012", Consolidated2!D:D, "PILOT PLANT")</f>
        <v>154000</v>
      </c>
      <c r="F51" s="639">
        <f>SUMIFS(Consolidated2!H:H,Consolidated2!C:C, "APPROVAL",Consolidated2!A:A, "2013", Consolidated2!D:D, "PILOT PLANT")</f>
        <v>300000</v>
      </c>
      <c r="G51" s="639">
        <f>SUMIFS(Consolidated2!H:H,Consolidated2!C:C, "APPROVAL",Consolidated2!A:A, "2014", Consolidated2!D:D, "PILOT PLANT")</f>
        <v>68045.67</v>
      </c>
      <c r="H51" s="639">
        <f>SUMIFS(Consolidated2!H:H,Consolidated2!C:C, "APPROVAL",Consolidated2!A:A, "2015", Consolidated2!D:D, "PILOT PLANT")</f>
        <v>0</v>
      </c>
      <c r="I51" s="639">
        <f>SUMIFS(Consolidated2!H:H,Consolidated2!C:C, "APPROVAL",Consolidated2!A:A, "2016", Consolidated2!D:D, "PILOT PLANT")</f>
        <v>0</v>
      </c>
      <c r="J51" s="687"/>
      <c r="K51" s="702"/>
      <c r="L51" s="702"/>
      <c r="M51" s="702"/>
      <c r="N51" s="702"/>
      <c r="O51" s="702"/>
      <c r="P51" s="713"/>
    </row>
    <row r="52" spans="1:16" ht="15">
      <c r="A52" s="822" t="s">
        <v>5043</v>
      </c>
      <c r="B52" s="682">
        <f t="shared" si="14"/>
        <v>2</v>
      </c>
      <c r="C52" s="714"/>
      <c r="D52" s="715"/>
      <c r="E52" s="648">
        <f>COUNTIFS(Consolidated2!C:C, "APPROVAL",Consolidated2!A:A, "2012", Consolidated2!D:D, "PROTOTYPE")</f>
        <v>1</v>
      </c>
      <c r="F52" s="648">
        <f>COUNTIFS(Consolidated2!C:C, "APPROVAL",Consolidated2!A:A, "2013", Consolidated2!D:D, "PROTOTYPE")</f>
        <v>0</v>
      </c>
      <c r="G52" s="648">
        <f>COUNTIFS(Consolidated2!C:C, "APPROVAL",Consolidated2!A:A, "2014", Consolidated2!D:D, "PROTOTYPE")</f>
        <v>0</v>
      </c>
      <c r="H52" s="648">
        <f>COUNTIFS(Consolidated2!C:C, "APPROVAL",Consolidated2!A:A, "2015", Consolidated2!D:D, "PROTOTYPE")</f>
        <v>0</v>
      </c>
      <c r="I52" s="648">
        <f>COUNTIFS(Consolidated2!C:C, "APPROVAL",Consolidated2!A:A, "2016", Consolidated2!D:D, "PROTOTYPE")</f>
        <v>1</v>
      </c>
      <c r="J52" s="716"/>
      <c r="K52" s="716"/>
      <c r="L52" s="717"/>
      <c r="M52" s="717"/>
      <c r="N52" s="717"/>
      <c r="O52" s="717"/>
      <c r="P52" s="718"/>
    </row>
    <row r="53" spans="1:16" ht="15">
      <c r="A53" s="827"/>
      <c r="B53" s="706">
        <f t="shared" si="14"/>
        <v>346000</v>
      </c>
      <c r="C53" s="719"/>
      <c r="D53" s="655"/>
      <c r="E53" s="639">
        <f>SUMIFS(Consolidated2!H:H,Consolidated2!C:C, "APPROVAL",Consolidated2!A:A, "2012", Consolidated2!D:D, "PROTOTYPE")</f>
        <v>250000</v>
      </c>
      <c r="F53" s="639">
        <f>SUMIFS(Consolidated2!H:H,Consolidated2!C:C, "APPROVAL",Consolidated2!A:A, "2013", Consolidated2!D:D, "PROTOTYPE")</f>
        <v>0</v>
      </c>
      <c r="G53" s="639">
        <f>SUMIFS(Consolidated2!H:H,Consolidated2!C:C, "APPROVAL",Consolidated2!A:A, "2014", Consolidated2!D:D, "PROTOTYPE")</f>
        <v>0</v>
      </c>
      <c r="H53" s="639">
        <f>SUMIFS(Consolidated2!H:H,Consolidated2!C:C, "APPROVAL",Consolidated2!A:A, "2015", Consolidated2!D:D, "PROTOTYPE")</f>
        <v>0</v>
      </c>
      <c r="I53" s="639">
        <f>SUMIFS(Consolidated2!H:H,Consolidated2!C:C, "APPROVAL",Consolidated2!A:A, "2016", Consolidated2!D:D, "PROTOTYPE")</f>
        <v>96000</v>
      </c>
      <c r="J53" s="720"/>
      <c r="K53" s="720"/>
      <c r="L53" s="721"/>
      <c r="M53" s="721"/>
      <c r="N53" s="721"/>
      <c r="O53" s="721"/>
      <c r="P53" s="722"/>
    </row>
    <row r="54" spans="1:16" ht="15">
      <c r="A54" s="818" t="s">
        <v>4787</v>
      </c>
      <c r="B54" s="682">
        <f t="shared" si="14"/>
        <v>12</v>
      </c>
      <c r="C54" s="672"/>
      <c r="D54" s="634"/>
      <c r="E54" s="648">
        <f>COUNTIFS(Consolidated2!C:C, "APPROVAL",Consolidated2!A:A, "2012", Consolidated2!D:D, "DTTC")</f>
        <v>7</v>
      </c>
      <c r="F54" s="648">
        <f>COUNTIFS(Consolidated2!C:C, "APPROVAL",Consolidated2!A:A, "2013", Consolidated2!D:D, "DTTC")</f>
        <v>5</v>
      </c>
      <c r="G54" s="686"/>
      <c r="H54" s="686"/>
      <c r="I54" s="686"/>
      <c r="J54" s="686"/>
      <c r="K54" s="686"/>
      <c r="L54" s="673"/>
      <c r="M54" s="673"/>
      <c r="N54" s="673"/>
      <c r="O54" s="673"/>
      <c r="P54" s="683"/>
    </row>
    <row r="55" spans="1:16" ht="12.75">
      <c r="A55" s="819"/>
      <c r="B55" s="705">
        <f t="shared" si="14"/>
        <v>1474370</v>
      </c>
      <c r="C55" s="675"/>
      <c r="D55" s="638"/>
      <c r="E55" s="639">
        <f>SUMIFS(Consolidated2!H:H,Consolidated2!C:C, "APPROVAL",Consolidated2!A:A, "2012", Consolidated2!D:D, "DTTC")</f>
        <v>873725</v>
      </c>
      <c r="F55" s="639">
        <f>SUMIFS(Consolidated2!H:H,Consolidated2!C:C, "APPROVAL",Consolidated2!A:A, "2013", Consolidated2!D:D, "DTTC")</f>
        <v>600645</v>
      </c>
      <c r="G55" s="687"/>
      <c r="H55" s="687"/>
      <c r="I55" s="676"/>
      <c r="J55" s="687"/>
      <c r="K55" s="687"/>
      <c r="L55" s="676"/>
      <c r="M55" s="676"/>
      <c r="N55" s="676"/>
      <c r="O55" s="676"/>
      <c r="P55" s="685"/>
    </row>
    <row r="56" spans="1:16" ht="15">
      <c r="A56" s="818" t="s">
        <v>3168</v>
      </c>
      <c r="B56" s="682">
        <f t="shared" si="14"/>
        <v>39</v>
      </c>
      <c r="C56" s="672"/>
      <c r="D56" s="634"/>
      <c r="E56" s="686"/>
      <c r="F56" s="648">
        <f>COUNTIFS(Consolidated2!C:C, "APPROVAL",Consolidated2!A:A, "2013", Consolidated2!D:D, "TIFT")</f>
        <v>3</v>
      </c>
      <c r="G56" s="648">
        <f>COUNTIFS(Consolidated2!C:C, "APPROVAL",Consolidated2!A:A, "2014", Consolidated2!D:D, "TIFT")</f>
        <v>8</v>
      </c>
      <c r="H56" s="648">
        <f>COUNTIFS(Consolidated2!C:C, "APPROVAL",Consolidated2!A:A, "2015", Consolidated2!D:D, "TIFT")</f>
        <v>12</v>
      </c>
      <c r="I56" s="648">
        <f>COUNTIFS(Consolidated2!C:C, "APPROVAL",Consolidated2!A:A, "2016", Consolidated2!D:D, "TIFT")</f>
        <v>13</v>
      </c>
      <c r="J56" s="648">
        <f>COUNTIFS(Consolidated2!C:C, "APPROVAL",Consolidated2!A:A, "2017", Consolidated2!D:D, "TIFT")</f>
        <v>3</v>
      </c>
      <c r="K56" s="686"/>
      <c r="L56" s="673"/>
      <c r="M56" s="673"/>
      <c r="N56" s="673"/>
      <c r="O56" s="673"/>
      <c r="P56" s="683"/>
    </row>
    <row r="57" spans="1:16" ht="12.75">
      <c r="A57" s="819"/>
      <c r="B57" s="705">
        <f t="shared" si="14"/>
        <v>5590611.25</v>
      </c>
      <c r="C57" s="675"/>
      <c r="D57" s="638"/>
      <c r="E57" s="687"/>
      <c r="F57" s="639">
        <f>SUMIFS(Consolidated2!H:H,Consolidated2!C:C, "APPROVAL",Consolidated2!A:A, "2013", Consolidated2!D:D, "TIFT")</f>
        <v>108761.25</v>
      </c>
      <c r="G57" s="639">
        <f>SUMIFS(Consolidated2!H:H,Consolidated2!C:C, "APPROVAL",Consolidated2!A:A, "2014", Consolidated2!D:D, "TIFT")</f>
        <v>800000</v>
      </c>
      <c r="H57" s="639">
        <f>SUMIFS(Consolidated2!H:H,Consolidated2!C:C, "APPROVAL",Consolidated2!A:A, "2015", Consolidated2!D:D, "TIFT")</f>
        <v>2110650</v>
      </c>
      <c r="I57" s="639">
        <f>SUMIFS(Consolidated2!H:H,Consolidated2!C:C, "APPROVAL",Consolidated2!A:A, "2016", Consolidated2!D:D, "TIFT")</f>
        <v>1491200</v>
      </c>
      <c r="J57" s="639">
        <f>SUMIFS(Consolidated2!H:H,Consolidated2!C:C, "APPROVAL",Consolidated2!A:A, "2017", Consolidated2!D:D, "TIFT")</f>
        <v>1080000</v>
      </c>
      <c r="K57" s="687"/>
      <c r="L57" s="676"/>
      <c r="M57" s="676"/>
      <c r="N57" s="676"/>
      <c r="O57" s="676"/>
      <c r="P57" s="685"/>
    </row>
    <row r="58" spans="1:16" ht="15">
      <c r="A58" s="818" t="s">
        <v>5031</v>
      </c>
      <c r="B58" s="682">
        <f t="shared" si="14"/>
        <v>7</v>
      </c>
      <c r="C58" s="672"/>
      <c r="D58" s="634"/>
      <c r="E58" s="648">
        <f>COUNTIFS(Consolidated2!C:C, "APPROVAL",Consolidated2!A:A, "2012", Consolidated2!D:D, "INVESTORS' FORUM")</f>
        <v>7</v>
      </c>
      <c r="F58" s="686"/>
      <c r="G58" s="686"/>
      <c r="H58" s="686"/>
      <c r="I58" s="673"/>
      <c r="J58" s="673"/>
      <c r="K58" s="673"/>
      <c r="L58" s="673"/>
      <c r="M58" s="673"/>
      <c r="N58" s="673"/>
      <c r="O58" s="673"/>
      <c r="P58" s="683"/>
    </row>
    <row r="59" spans="1:16" ht="12.75">
      <c r="A59" s="819"/>
      <c r="B59" s="706">
        <f t="shared" si="14"/>
        <v>412600</v>
      </c>
      <c r="C59" s="675"/>
      <c r="D59" s="638"/>
      <c r="E59" s="639">
        <f>SUMIFS(Consolidated2!H:H,Consolidated2!C:C, "APPROVAL",Consolidated2!A:A, "2012", Consolidated2!D:D, "INVESTORS' FORUM")</f>
        <v>412600</v>
      </c>
      <c r="F59" s="687"/>
      <c r="G59" s="687"/>
      <c r="H59" s="687"/>
      <c r="I59" s="676"/>
      <c r="J59" s="676"/>
      <c r="K59" s="676"/>
      <c r="L59" s="676"/>
      <c r="M59" s="676"/>
      <c r="N59" s="676"/>
      <c r="O59" s="676"/>
      <c r="P59" s="685"/>
    </row>
    <row r="60" spans="1:16" ht="12.75">
      <c r="A60" s="619"/>
      <c r="B60" s="43"/>
      <c r="C60" s="43"/>
      <c r="D60" s="43"/>
      <c r="E60" s="43"/>
      <c r="F60" s="43"/>
      <c r="G60" s="43"/>
      <c r="H60" s="43"/>
      <c r="I60" s="43"/>
      <c r="J60" s="43"/>
      <c r="K60" s="43"/>
      <c r="L60" s="43"/>
      <c r="M60" s="43"/>
      <c r="N60" s="43"/>
      <c r="O60" s="43"/>
      <c r="P60" s="43"/>
    </row>
    <row r="61" spans="1:16" ht="25.5">
      <c r="A61" s="723" t="s">
        <v>11898</v>
      </c>
      <c r="B61" s="724" t="s">
        <v>6056</v>
      </c>
      <c r="C61" s="725">
        <v>2010</v>
      </c>
      <c r="D61" s="726">
        <v>2011</v>
      </c>
      <c r="E61" s="726">
        <v>2012</v>
      </c>
      <c r="F61" s="726">
        <v>2013</v>
      </c>
      <c r="G61" s="726">
        <v>2014</v>
      </c>
      <c r="H61" s="726">
        <v>2015</v>
      </c>
      <c r="I61" s="726">
        <v>2016</v>
      </c>
      <c r="J61" s="726">
        <v>2017</v>
      </c>
      <c r="K61" s="726">
        <v>2018</v>
      </c>
      <c r="L61" s="726">
        <v>2019</v>
      </c>
      <c r="M61" s="726">
        <v>2020</v>
      </c>
      <c r="N61" s="726">
        <v>2021</v>
      </c>
      <c r="O61" s="726">
        <v>2022</v>
      </c>
      <c r="P61" s="727">
        <v>2023</v>
      </c>
    </row>
    <row r="62" spans="1:16" ht="12.75">
      <c r="A62" s="728">
        <v>1</v>
      </c>
      <c r="B62" s="654"/>
      <c r="C62" s="654"/>
      <c r="D62" s="654"/>
      <c r="E62" s="654"/>
      <c r="F62" s="654"/>
      <c r="G62" s="654"/>
      <c r="H62" s="654"/>
      <c r="I62" s="654"/>
      <c r="J62" s="654"/>
      <c r="K62" s="654"/>
      <c r="L62" s="654"/>
      <c r="M62" s="654"/>
      <c r="N62" s="654"/>
      <c r="O62" s="654"/>
      <c r="P62" s="654"/>
    </row>
    <row r="63" spans="1:16" ht="12.75">
      <c r="A63" s="180">
        <v>2</v>
      </c>
      <c r="B63" s="53"/>
      <c r="C63" s="53"/>
      <c r="D63" s="53"/>
      <c r="E63" s="53"/>
      <c r="F63" s="53"/>
      <c r="G63" s="53"/>
      <c r="H63" s="53"/>
      <c r="I63" s="53"/>
      <c r="J63" s="53"/>
      <c r="K63" s="53"/>
      <c r="L63" s="53"/>
      <c r="M63" s="53"/>
      <c r="N63" s="53"/>
      <c r="O63" s="53"/>
      <c r="P63" s="53"/>
    </row>
    <row r="64" spans="1:16" ht="12.75">
      <c r="A64" s="180">
        <v>3</v>
      </c>
      <c r="B64" s="53"/>
      <c r="C64" s="53"/>
      <c r="D64" s="53"/>
      <c r="E64" s="53"/>
      <c r="F64" s="53"/>
      <c r="G64" s="53"/>
      <c r="H64" s="53"/>
      <c r="I64" s="53"/>
      <c r="J64" s="53"/>
      <c r="K64" s="53"/>
      <c r="L64" s="53"/>
      <c r="M64" s="53"/>
      <c r="N64" s="53"/>
      <c r="O64" s="53"/>
      <c r="P64" s="53"/>
    </row>
    <row r="65" spans="1:16" ht="12.75">
      <c r="A65" s="180" t="s">
        <v>11899</v>
      </c>
      <c r="B65" s="53"/>
      <c r="C65" s="53"/>
      <c r="D65" s="53"/>
      <c r="E65" s="53"/>
      <c r="F65" s="53"/>
      <c r="G65" s="53"/>
      <c r="H65" s="53"/>
      <c r="I65" s="53"/>
      <c r="J65" s="53"/>
      <c r="K65" s="53"/>
      <c r="L65" s="53"/>
      <c r="M65" s="53"/>
      <c r="N65" s="53"/>
      <c r="O65" s="53"/>
      <c r="P65" s="53"/>
    </row>
    <row r="66" spans="1:16" ht="12.75">
      <c r="A66" s="180" t="s">
        <v>11900</v>
      </c>
      <c r="B66" s="53"/>
      <c r="C66" s="53"/>
      <c r="D66" s="53"/>
      <c r="E66" s="53"/>
      <c r="F66" s="53"/>
      <c r="G66" s="53"/>
      <c r="H66" s="53"/>
      <c r="I66" s="53"/>
      <c r="J66" s="53"/>
      <c r="K66" s="53"/>
      <c r="L66" s="53"/>
      <c r="M66" s="53"/>
      <c r="N66" s="53"/>
      <c r="O66" s="53"/>
      <c r="P66" s="53"/>
    </row>
    <row r="67" spans="1:16" ht="12.75">
      <c r="A67" s="180">
        <v>5</v>
      </c>
      <c r="B67" s="53"/>
      <c r="C67" s="53"/>
      <c r="D67" s="53"/>
      <c r="E67" s="53"/>
      <c r="F67" s="53"/>
      <c r="G67" s="53"/>
      <c r="H67" s="53"/>
      <c r="I67" s="53"/>
      <c r="J67" s="53"/>
      <c r="K67" s="53"/>
      <c r="L67" s="53"/>
      <c r="M67" s="53"/>
      <c r="N67" s="53"/>
      <c r="O67" s="53"/>
      <c r="P67" s="53"/>
    </row>
    <row r="68" spans="1:16" ht="12.75">
      <c r="A68" s="180">
        <v>6</v>
      </c>
      <c r="B68" s="53"/>
      <c r="C68" s="53"/>
      <c r="D68" s="53"/>
      <c r="E68" s="53"/>
      <c r="F68" s="53"/>
      <c r="G68" s="53"/>
      <c r="H68" s="53"/>
      <c r="I68" s="53"/>
      <c r="J68" s="53"/>
      <c r="K68" s="53"/>
      <c r="L68" s="53"/>
      <c r="M68" s="53"/>
      <c r="N68" s="53"/>
      <c r="O68" s="53"/>
      <c r="P68" s="53"/>
    </row>
    <row r="69" spans="1:16" ht="12.75">
      <c r="A69" s="180">
        <v>7</v>
      </c>
      <c r="B69" s="53"/>
      <c r="C69" s="53"/>
      <c r="D69" s="53"/>
      <c r="E69" s="53"/>
      <c r="F69" s="53"/>
      <c r="G69" s="53"/>
      <c r="H69" s="53"/>
      <c r="I69" s="53"/>
      <c r="J69" s="53"/>
      <c r="K69" s="53"/>
      <c r="L69" s="53"/>
      <c r="M69" s="53"/>
      <c r="N69" s="53"/>
      <c r="O69" s="53"/>
      <c r="P69" s="53"/>
    </row>
    <row r="70" spans="1:16" ht="12.75">
      <c r="A70" s="180">
        <v>8</v>
      </c>
      <c r="B70" s="53"/>
      <c r="C70" s="53"/>
      <c r="D70" s="53"/>
      <c r="E70" s="53"/>
      <c r="F70" s="53"/>
      <c r="G70" s="53"/>
      <c r="H70" s="53"/>
      <c r="I70" s="53"/>
      <c r="J70" s="53"/>
      <c r="K70" s="53"/>
      <c r="L70" s="53"/>
      <c r="M70" s="53"/>
      <c r="N70" s="53"/>
      <c r="O70" s="53"/>
      <c r="P70" s="53"/>
    </row>
    <row r="71" spans="1:16" ht="12.75">
      <c r="A71" s="180">
        <v>9</v>
      </c>
      <c r="B71" s="53"/>
      <c r="C71" s="53"/>
      <c r="D71" s="53"/>
      <c r="E71" s="53"/>
      <c r="F71" s="53"/>
      <c r="G71" s="53"/>
      <c r="H71" s="53"/>
      <c r="I71" s="53"/>
      <c r="J71" s="53"/>
      <c r="K71" s="53"/>
      <c r="L71" s="53"/>
      <c r="M71" s="53"/>
      <c r="N71" s="53"/>
      <c r="O71" s="53"/>
      <c r="P71" s="53"/>
    </row>
    <row r="72" spans="1:16" ht="12.75">
      <c r="A72" s="180">
        <v>10</v>
      </c>
      <c r="B72" s="53"/>
      <c r="C72" s="53"/>
      <c r="D72" s="53"/>
      <c r="E72" s="53"/>
      <c r="F72" s="53"/>
      <c r="G72" s="53"/>
      <c r="H72" s="53"/>
      <c r="I72" s="53"/>
      <c r="J72" s="53"/>
      <c r="K72" s="53"/>
      <c r="L72" s="53"/>
      <c r="M72" s="53"/>
      <c r="N72" s="53"/>
      <c r="O72" s="53"/>
      <c r="P72" s="53"/>
    </row>
    <row r="73" spans="1:16" ht="12.75">
      <c r="A73" s="180">
        <v>11</v>
      </c>
      <c r="B73" s="53"/>
      <c r="C73" s="53"/>
      <c r="D73" s="53"/>
      <c r="E73" s="53"/>
      <c r="F73" s="53"/>
      <c r="G73" s="53"/>
      <c r="H73" s="53"/>
      <c r="I73" s="53"/>
      <c r="J73" s="53"/>
      <c r="K73" s="53"/>
      <c r="L73" s="53"/>
      <c r="M73" s="53"/>
      <c r="N73" s="53"/>
      <c r="O73" s="53"/>
      <c r="P73" s="53"/>
    </row>
    <row r="74" spans="1:16" ht="12.75">
      <c r="A74" s="180">
        <v>12</v>
      </c>
      <c r="B74" s="53"/>
      <c r="C74" s="53"/>
      <c r="D74" s="53"/>
      <c r="E74" s="53"/>
      <c r="F74" s="53"/>
      <c r="G74" s="53"/>
      <c r="H74" s="53"/>
      <c r="I74" s="53"/>
      <c r="J74" s="53"/>
      <c r="K74" s="53"/>
      <c r="L74" s="53"/>
      <c r="M74" s="53"/>
      <c r="N74" s="53"/>
      <c r="O74" s="53"/>
      <c r="P74" s="53"/>
    </row>
    <row r="75" spans="1:16" ht="12.75">
      <c r="A75" s="619"/>
      <c r="B75" s="43"/>
      <c r="C75" s="43"/>
      <c r="D75" s="43"/>
      <c r="E75" s="43"/>
      <c r="F75" s="43"/>
      <c r="G75" s="43"/>
      <c r="H75" s="43"/>
      <c r="I75" s="43"/>
      <c r="J75" s="43"/>
      <c r="K75" s="43"/>
      <c r="L75" s="43"/>
      <c r="M75" s="43"/>
      <c r="N75" s="43"/>
      <c r="O75" s="43"/>
      <c r="P75" s="43"/>
    </row>
    <row r="76" spans="1:16" ht="12.75">
      <c r="A76" s="619"/>
      <c r="B76" s="43"/>
      <c r="C76" s="43"/>
      <c r="D76" s="43"/>
      <c r="E76" s="43"/>
      <c r="F76" s="43"/>
      <c r="G76" s="43"/>
      <c r="H76" s="43"/>
      <c r="I76" s="43"/>
      <c r="J76" s="43"/>
      <c r="K76" s="43"/>
      <c r="L76" s="43"/>
      <c r="M76" s="43"/>
      <c r="N76" s="43"/>
      <c r="O76" s="43"/>
      <c r="P76" s="43"/>
    </row>
    <row r="77" spans="1:16" ht="12.75">
      <c r="A77" s="619"/>
      <c r="B77" s="43"/>
      <c r="C77" s="43"/>
      <c r="D77" s="43"/>
      <c r="E77" s="43"/>
      <c r="F77" s="43"/>
      <c r="G77" s="43"/>
      <c r="H77" s="43"/>
      <c r="I77" s="43"/>
      <c r="J77" s="43"/>
      <c r="K77" s="43"/>
      <c r="L77" s="43"/>
      <c r="M77" s="43"/>
      <c r="N77" s="43"/>
      <c r="O77" s="43"/>
      <c r="P77" s="43"/>
    </row>
    <row r="78" spans="1:16" ht="12.75">
      <c r="A78" s="619"/>
      <c r="B78" s="43"/>
      <c r="C78" s="43"/>
      <c r="D78" s="43"/>
      <c r="E78" s="43"/>
      <c r="F78" s="43"/>
      <c r="G78" s="43"/>
      <c r="H78" s="43"/>
      <c r="I78" s="43"/>
      <c r="J78" s="43"/>
      <c r="K78" s="43"/>
      <c r="L78" s="43"/>
      <c r="M78" s="43"/>
      <c r="N78" s="43"/>
      <c r="O78" s="43"/>
      <c r="P78" s="43"/>
    </row>
    <row r="79" spans="1:16" ht="12.75">
      <c r="A79" s="619"/>
      <c r="B79" s="43"/>
      <c r="C79" s="43"/>
      <c r="D79" s="43"/>
      <c r="E79" s="43"/>
      <c r="F79" s="43"/>
      <c r="G79" s="43"/>
      <c r="H79" s="43"/>
      <c r="I79" s="43"/>
      <c r="J79" s="43"/>
      <c r="K79" s="43"/>
      <c r="L79" s="43"/>
      <c r="M79" s="43"/>
      <c r="N79" s="43"/>
      <c r="O79" s="43"/>
      <c r="P79" s="43"/>
    </row>
    <row r="80" spans="1:16" ht="12.75">
      <c r="A80" s="619"/>
      <c r="B80" s="43"/>
      <c r="C80" s="43"/>
      <c r="D80" s="43"/>
      <c r="E80" s="43"/>
      <c r="F80" s="43"/>
      <c r="G80" s="43"/>
      <c r="H80" s="43"/>
      <c r="I80" s="43"/>
      <c r="J80" s="43"/>
      <c r="K80" s="43"/>
      <c r="L80" s="43"/>
      <c r="M80" s="43"/>
      <c r="N80" s="43"/>
      <c r="O80" s="43"/>
      <c r="P80" s="43"/>
    </row>
    <row r="81" spans="1:16" ht="12.75">
      <c r="A81" s="619"/>
      <c r="B81" s="43"/>
      <c r="C81" s="43"/>
      <c r="D81" s="43"/>
      <c r="E81" s="43"/>
      <c r="F81" s="43"/>
      <c r="G81" s="43"/>
      <c r="H81" s="43"/>
      <c r="I81" s="43"/>
      <c r="J81" s="43"/>
      <c r="K81" s="43"/>
      <c r="L81" s="43"/>
      <c r="M81" s="43"/>
      <c r="N81" s="43"/>
      <c r="O81" s="43"/>
      <c r="P81" s="43"/>
    </row>
    <row r="82" spans="1:16" ht="12.75">
      <c r="A82" s="619"/>
      <c r="B82" s="43"/>
      <c r="C82" s="43"/>
      <c r="D82" s="43"/>
      <c r="E82" s="43"/>
      <c r="F82" s="43"/>
      <c r="G82" s="43"/>
      <c r="H82" s="43"/>
      <c r="I82" s="43"/>
      <c r="J82" s="43"/>
      <c r="K82" s="43"/>
      <c r="L82" s="43"/>
      <c r="M82" s="43"/>
      <c r="N82" s="43"/>
      <c r="O82" s="43"/>
      <c r="P82" s="43"/>
    </row>
    <row r="83" spans="1:16" ht="12.75">
      <c r="A83" s="619"/>
      <c r="B83" s="43"/>
      <c r="C83" s="43"/>
      <c r="D83" s="43"/>
      <c r="E83" s="43"/>
      <c r="F83" s="43"/>
      <c r="G83" s="43"/>
      <c r="H83" s="43"/>
      <c r="I83" s="43"/>
      <c r="J83" s="43"/>
      <c r="K83" s="43"/>
      <c r="L83" s="43"/>
      <c r="M83" s="43"/>
      <c r="N83" s="43"/>
      <c r="O83" s="43"/>
      <c r="P83" s="43"/>
    </row>
    <row r="84" spans="1:16" ht="12.75">
      <c r="A84" s="619"/>
      <c r="B84" s="43"/>
      <c r="C84" s="43"/>
      <c r="D84" s="43"/>
      <c r="E84" s="43"/>
      <c r="F84" s="43"/>
      <c r="G84" s="43"/>
      <c r="H84" s="43"/>
      <c r="I84" s="43"/>
      <c r="J84" s="43"/>
      <c r="K84" s="43"/>
      <c r="L84" s="43"/>
      <c r="M84" s="43"/>
      <c r="N84" s="43"/>
      <c r="O84" s="43"/>
      <c r="P84" s="43"/>
    </row>
    <row r="85" spans="1:16" ht="12.75">
      <c r="A85" s="619"/>
      <c r="B85" s="43"/>
      <c r="C85" s="43"/>
      <c r="D85" s="43"/>
      <c r="E85" s="43"/>
      <c r="F85" s="43"/>
      <c r="G85" s="43"/>
      <c r="H85" s="43"/>
      <c r="I85" s="43"/>
      <c r="J85" s="43"/>
      <c r="K85" s="43"/>
      <c r="L85" s="43"/>
      <c r="M85" s="43"/>
      <c r="N85" s="43"/>
      <c r="O85" s="43"/>
      <c r="P85" s="43"/>
    </row>
    <row r="86" spans="1:16" ht="12.75">
      <c r="A86" s="619"/>
      <c r="B86" s="43"/>
      <c r="C86" s="43"/>
      <c r="D86" s="43"/>
      <c r="E86" s="43"/>
      <c r="F86" s="43"/>
      <c r="G86" s="43"/>
      <c r="H86" s="43"/>
      <c r="I86" s="43"/>
      <c r="J86" s="43"/>
      <c r="K86" s="43"/>
      <c r="L86" s="43"/>
      <c r="M86" s="43"/>
      <c r="N86" s="43"/>
      <c r="O86" s="43"/>
      <c r="P86" s="43"/>
    </row>
    <row r="87" spans="1:16" ht="12.75">
      <c r="A87" s="619"/>
      <c r="B87" s="43"/>
      <c r="C87" s="43"/>
      <c r="D87" s="43"/>
      <c r="E87" s="43"/>
      <c r="F87" s="43"/>
      <c r="G87" s="43"/>
      <c r="H87" s="43"/>
      <c r="I87" s="43"/>
      <c r="J87" s="43"/>
      <c r="K87" s="43"/>
      <c r="L87" s="43"/>
      <c r="M87" s="43"/>
      <c r="N87" s="43"/>
      <c r="O87" s="43"/>
      <c r="P87" s="43"/>
    </row>
    <row r="88" spans="1:16" ht="12.75">
      <c r="A88" s="619"/>
      <c r="B88" s="43"/>
      <c r="C88" s="43"/>
      <c r="D88" s="43"/>
      <c r="E88" s="43"/>
      <c r="F88" s="43"/>
      <c r="G88" s="43"/>
      <c r="H88" s="43"/>
      <c r="I88" s="43"/>
      <c r="J88" s="43"/>
      <c r="K88" s="43"/>
      <c r="L88" s="43"/>
      <c r="M88" s="43"/>
      <c r="N88" s="43"/>
      <c r="O88" s="43"/>
      <c r="P88" s="43"/>
    </row>
    <row r="89" spans="1:16" ht="12.75">
      <c r="A89" s="619"/>
      <c r="B89" s="43"/>
      <c r="C89" s="43"/>
      <c r="D89" s="43"/>
      <c r="E89" s="43"/>
      <c r="F89" s="43"/>
      <c r="G89" s="43"/>
      <c r="H89" s="43"/>
      <c r="I89" s="43"/>
      <c r="J89" s="43"/>
      <c r="K89" s="43"/>
      <c r="L89" s="43"/>
      <c r="M89" s="43"/>
      <c r="N89" s="43"/>
      <c r="O89" s="43"/>
      <c r="P89" s="43"/>
    </row>
    <row r="90" spans="1:16" ht="12.75">
      <c r="A90" s="619"/>
      <c r="B90" s="43"/>
      <c r="C90" s="43"/>
      <c r="D90" s="43"/>
      <c r="E90" s="43"/>
      <c r="F90" s="43"/>
      <c r="G90" s="43"/>
      <c r="H90" s="43"/>
      <c r="I90" s="43"/>
      <c r="J90" s="43"/>
      <c r="K90" s="43"/>
      <c r="L90" s="43"/>
      <c r="M90" s="43"/>
      <c r="N90" s="43"/>
      <c r="O90" s="43"/>
      <c r="P90" s="43"/>
    </row>
    <row r="91" spans="1:16" ht="12.75">
      <c r="A91" s="619"/>
      <c r="B91" s="43"/>
      <c r="C91" s="43"/>
      <c r="D91" s="43"/>
      <c r="E91" s="43"/>
      <c r="F91" s="43"/>
      <c r="G91" s="43"/>
      <c r="H91" s="43"/>
      <c r="I91" s="43"/>
      <c r="J91" s="43"/>
      <c r="K91" s="43"/>
      <c r="L91" s="43"/>
      <c r="M91" s="43"/>
      <c r="N91" s="43"/>
      <c r="O91" s="43"/>
      <c r="P91" s="43"/>
    </row>
    <row r="92" spans="1:16" ht="12.75">
      <c r="A92" s="619"/>
      <c r="B92" s="43"/>
      <c r="C92" s="43"/>
      <c r="D92" s="43"/>
      <c r="E92" s="43"/>
      <c r="F92" s="43"/>
      <c r="G92" s="43"/>
      <c r="H92" s="43"/>
      <c r="I92" s="43"/>
      <c r="J92" s="43"/>
      <c r="K92" s="43"/>
      <c r="L92" s="43"/>
      <c r="M92" s="43"/>
      <c r="N92" s="43"/>
      <c r="O92" s="43"/>
      <c r="P92" s="43"/>
    </row>
    <row r="93" spans="1:16" ht="12.75">
      <c r="A93" s="619"/>
      <c r="B93" s="43"/>
      <c r="C93" s="43"/>
      <c r="D93" s="43"/>
      <c r="E93" s="43"/>
      <c r="F93" s="43"/>
      <c r="G93" s="43"/>
      <c r="H93" s="43"/>
      <c r="I93" s="43"/>
      <c r="J93" s="43"/>
      <c r="K93" s="43"/>
      <c r="L93" s="43"/>
      <c r="M93" s="43"/>
      <c r="N93" s="43"/>
      <c r="O93" s="43"/>
      <c r="P93" s="43"/>
    </row>
    <row r="94" spans="1:16" ht="12.75">
      <c r="A94" s="619"/>
      <c r="B94" s="43"/>
      <c r="C94" s="43"/>
      <c r="D94" s="43"/>
      <c r="E94" s="43"/>
      <c r="F94" s="43"/>
      <c r="G94" s="43"/>
      <c r="H94" s="43"/>
      <c r="I94" s="43"/>
      <c r="J94" s="43"/>
      <c r="K94" s="43"/>
      <c r="L94" s="43"/>
      <c r="M94" s="43"/>
      <c r="N94" s="43"/>
      <c r="O94" s="43"/>
      <c r="P94" s="43"/>
    </row>
    <row r="95" spans="1:16" ht="12.75">
      <c r="A95" s="619"/>
      <c r="B95" s="43"/>
      <c r="C95" s="43"/>
      <c r="D95" s="43"/>
      <c r="E95" s="43"/>
      <c r="F95" s="43"/>
      <c r="G95" s="43"/>
      <c r="H95" s="43"/>
      <c r="I95" s="43"/>
      <c r="J95" s="43"/>
      <c r="K95" s="43"/>
      <c r="L95" s="43"/>
      <c r="M95" s="43"/>
      <c r="N95" s="43"/>
      <c r="O95" s="43"/>
      <c r="P95" s="43"/>
    </row>
    <row r="96" spans="1:16" ht="12.75">
      <c r="A96" s="619"/>
      <c r="B96" s="43"/>
      <c r="C96" s="43"/>
      <c r="D96" s="43"/>
      <c r="E96" s="43"/>
      <c r="F96" s="43"/>
      <c r="G96" s="43"/>
      <c r="H96" s="43"/>
      <c r="I96" s="43"/>
      <c r="J96" s="43"/>
      <c r="K96" s="43"/>
      <c r="L96" s="43"/>
      <c r="M96" s="43"/>
      <c r="N96" s="43"/>
      <c r="O96" s="43"/>
      <c r="P96" s="43"/>
    </row>
    <row r="97" spans="1:16" ht="12.75">
      <c r="A97" s="619"/>
      <c r="B97" s="43"/>
      <c r="C97" s="43"/>
      <c r="D97" s="43"/>
      <c r="E97" s="43"/>
      <c r="F97" s="43"/>
      <c r="G97" s="43"/>
      <c r="H97" s="43"/>
      <c r="I97" s="43"/>
      <c r="J97" s="43"/>
      <c r="K97" s="43"/>
      <c r="L97" s="43"/>
      <c r="M97" s="43"/>
      <c r="N97" s="43"/>
      <c r="O97" s="43"/>
      <c r="P97" s="43"/>
    </row>
    <row r="98" spans="1:16" ht="12.75">
      <c r="A98" s="619"/>
      <c r="B98" s="43"/>
      <c r="C98" s="43"/>
      <c r="D98" s="43"/>
      <c r="E98" s="43"/>
      <c r="F98" s="43"/>
      <c r="G98" s="43"/>
      <c r="H98" s="43"/>
      <c r="I98" s="43"/>
      <c r="J98" s="43"/>
      <c r="K98" s="43"/>
      <c r="L98" s="43"/>
      <c r="M98" s="43"/>
      <c r="N98" s="43"/>
      <c r="O98" s="43"/>
      <c r="P98" s="43"/>
    </row>
    <row r="99" spans="1:16" ht="12.75">
      <c r="A99" s="619"/>
      <c r="B99" s="43"/>
      <c r="C99" s="43"/>
      <c r="D99" s="43"/>
      <c r="E99" s="43"/>
      <c r="F99" s="43"/>
      <c r="G99" s="43"/>
      <c r="H99" s="43"/>
      <c r="I99" s="43"/>
      <c r="J99" s="43"/>
      <c r="K99" s="43"/>
      <c r="L99" s="43"/>
      <c r="M99" s="43"/>
      <c r="N99" s="43"/>
      <c r="O99" s="43"/>
      <c r="P99" s="43"/>
    </row>
    <row r="100" spans="1:16" ht="12.75">
      <c r="A100" s="619"/>
      <c r="B100" s="43"/>
      <c r="C100" s="43"/>
      <c r="D100" s="43"/>
      <c r="E100" s="43"/>
      <c r="F100" s="43"/>
      <c r="G100" s="43"/>
      <c r="H100" s="43"/>
      <c r="I100" s="43"/>
      <c r="J100" s="43"/>
      <c r="K100" s="43"/>
      <c r="L100" s="43"/>
      <c r="M100" s="43"/>
      <c r="N100" s="43"/>
      <c r="O100" s="43"/>
      <c r="P100" s="43"/>
    </row>
    <row r="101" spans="1:16" ht="12.75">
      <c r="A101" s="619"/>
      <c r="B101" s="43"/>
      <c r="C101" s="43"/>
      <c r="D101" s="43"/>
      <c r="E101" s="43"/>
      <c r="F101" s="43"/>
      <c r="G101" s="43"/>
      <c r="H101" s="43"/>
      <c r="I101" s="43"/>
      <c r="J101" s="43"/>
      <c r="K101" s="43"/>
      <c r="L101" s="43"/>
      <c r="M101" s="43"/>
      <c r="N101" s="43"/>
      <c r="O101" s="43"/>
      <c r="P101" s="43"/>
    </row>
    <row r="102" spans="1:16" ht="12.75">
      <c r="A102" s="619"/>
      <c r="B102" s="43"/>
      <c r="C102" s="43"/>
      <c r="D102" s="43"/>
      <c r="E102" s="43"/>
      <c r="F102" s="43"/>
      <c r="G102" s="43"/>
      <c r="H102" s="43"/>
      <c r="I102" s="43"/>
      <c r="J102" s="43"/>
      <c r="K102" s="43"/>
      <c r="L102" s="43"/>
      <c r="M102" s="43"/>
      <c r="N102" s="43"/>
      <c r="O102" s="43"/>
      <c r="P102" s="43"/>
    </row>
    <row r="103" spans="1:16" ht="12.75">
      <c r="A103" s="619"/>
      <c r="B103" s="43"/>
      <c r="C103" s="43"/>
      <c r="D103" s="43"/>
      <c r="E103" s="43"/>
      <c r="F103" s="43"/>
      <c r="G103" s="43"/>
      <c r="H103" s="43"/>
      <c r="I103" s="43"/>
      <c r="J103" s="43"/>
      <c r="K103" s="43"/>
      <c r="L103" s="43"/>
      <c r="M103" s="43"/>
      <c r="N103" s="43"/>
      <c r="O103" s="43"/>
      <c r="P103" s="43"/>
    </row>
    <row r="104" spans="1:16" ht="12.75">
      <c r="A104" s="619"/>
      <c r="B104" s="43"/>
      <c r="C104" s="43"/>
      <c r="D104" s="43"/>
      <c r="E104" s="43"/>
      <c r="F104" s="43"/>
      <c r="G104" s="43"/>
      <c r="H104" s="43"/>
      <c r="I104" s="43"/>
      <c r="J104" s="43"/>
      <c r="K104" s="43"/>
      <c r="L104" s="43"/>
      <c r="M104" s="43"/>
      <c r="N104" s="43"/>
      <c r="O104" s="43"/>
      <c r="P104" s="43"/>
    </row>
    <row r="105" spans="1:16" ht="12.75">
      <c r="A105" s="619"/>
      <c r="B105" s="43"/>
      <c r="C105" s="43"/>
      <c r="D105" s="43"/>
      <c r="E105" s="43"/>
      <c r="F105" s="43"/>
      <c r="G105" s="43"/>
      <c r="H105" s="43"/>
      <c r="I105" s="43"/>
      <c r="J105" s="43"/>
      <c r="K105" s="43"/>
      <c r="L105" s="43"/>
      <c r="M105" s="43"/>
      <c r="N105" s="43"/>
      <c r="O105" s="43"/>
      <c r="P105" s="43"/>
    </row>
    <row r="106" spans="1:16" ht="12.75">
      <c r="A106" s="619"/>
      <c r="B106" s="43"/>
      <c r="C106" s="43"/>
      <c r="D106" s="43"/>
      <c r="E106" s="43"/>
      <c r="F106" s="43"/>
      <c r="G106" s="43"/>
      <c r="H106" s="43"/>
      <c r="I106" s="43"/>
      <c r="J106" s="43"/>
      <c r="K106" s="43"/>
      <c r="L106" s="43"/>
      <c r="M106" s="43"/>
      <c r="N106" s="43"/>
      <c r="O106" s="43"/>
      <c r="P106" s="43"/>
    </row>
    <row r="107" spans="1:16" ht="12.75">
      <c r="A107" s="619"/>
      <c r="B107" s="43"/>
      <c r="C107" s="43"/>
      <c r="D107" s="43"/>
      <c r="E107" s="43"/>
      <c r="F107" s="43"/>
      <c r="G107" s="43"/>
      <c r="H107" s="43"/>
      <c r="I107" s="43"/>
      <c r="J107" s="43"/>
      <c r="K107" s="43"/>
      <c r="L107" s="43"/>
      <c r="M107" s="43"/>
      <c r="N107" s="43"/>
      <c r="O107" s="43"/>
      <c r="P107" s="43"/>
    </row>
    <row r="108" spans="1:16" ht="12.75">
      <c r="A108" s="619"/>
      <c r="B108" s="43"/>
      <c r="C108" s="43"/>
      <c r="D108" s="43"/>
      <c r="E108" s="43"/>
      <c r="F108" s="43"/>
      <c r="G108" s="43"/>
      <c r="H108" s="43"/>
      <c r="I108" s="43"/>
      <c r="J108" s="43"/>
      <c r="K108" s="43"/>
      <c r="L108" s="43"/>
      <c r="M108" s="43"/>
      <c r="N108" s="43"/>
      <c r="O108" s="43"/>
      <c r="P108" s="43"/>
    </row>
    <row r="109" spans="1:16" ht="12.75">
      <c r="A109" s="619"/>
      <c r="B109" s="43"/>
      <c r="C109" s="43"/>
      <c r="D109" s="43"/>
      <c r="E109" s="43"/>
      <c r="F109" s="43"/>
      <c r="G109" s="43"/>
      <c r="H109" s="43"/>
      <c r="I109" s="43"/>
      <c r="J109" s="43"/>
      <c r="K109" s="43"/>
      <c r="L109" s="43"/>
      <c r="M109" s="43"/>
      <c r="N109" s="43"/>
      <c r="O109" s="43"/>
      <c r="P109" s="43"/>
    </row>
    <row r="110" spans="1:16" ht="12.75">
      <c r="A110" s="619"/>
      <c r="B110" s="43"/>
      <c r="C110" s="43"/>
      <c r="D110" s="43"/>
      <c r="E110" s="43"/>
      <c r="F110" s="43"/>
      <c r="G110" s="43"/>
      <c r="H110" s="43"/>
      <c r="I110" s="43"/>
      <c r="J110" s="43"/>
      <c r="K110" s="43"/>
      <c r="L110" s="43"/>
      <c r="M110" s="43"/>
      <c r="N110" s="43"/>
      <c r="O110" s="43"/>
      <c r="P110" s="43"/>
    </row>
    <row r="111" spans="1:16" ht="12.75">
      <c r="A111" s="619"/>
      <c r="B111" s="43"/>
      <c r="C111" s="43"/>
      <c r="D111" s="43"/>
      <c r="E111" s="43"/>
      <c r="F111" s="43"/>
      <c r="G111" s="43"/>
      <c r="H111" s="43"/>
      <c r="I111" s="43"/>
      <c r="J111" s="43"/>
      <c r="K111" s="43"/>
      <c r="L111" s="43"/>
      <c r="M111" s="43"/>
      <c r="N111" s="43"/>
      <c r="O111" s="43"/>
      <c r="P111" s="43"/>
    </row>
    <row r="112" spans="1:16" ht="12.75">
      <c r="A112" s="619"/>
      <c r="B112" s="43"/>
      <c r="C112" s="43"/>
      <c r="D112" s="43"/>
      <c r="E112" s="43"/>
      <c r="F112" s="43"/>
      <c r="G112" s="43"/>
      <c r="H112" s="43"/>
      <c r="I112" s="43"/>
      <c r="J112" s="43"/>
      <c r="K112" s="43"/>
      <c r="L112" s="43"/>
      <c r="M112" s="43"/>
      <c r="N112" s="43"/>
      <c r="O112" s="43"/>
      <c r="P112" s="43"/>
    </row>
    <row r="113" spans="1:16" ht="12.75">
      <c r="A113" s="619"/>
      <c r="B113" s="43"/>
      <c r="C113" s="43"/>
      <c r="D113" s="43"/>
      <c r="E113" s="43"/>
      <c r="F113" s="43"/>
      <c r="G113" s="43"/>
      <c r="H113" s="43"/>
      <c r="I113" s="43"/>
      <c r="J113" s="43"/>
      <c r="K113" s="43"/>
      <c r="L113" s="43"/>
      <c r="M113" s="43"/>
      <c r="N113" s="43"/>
      <c r="O113" s="43"/>
      <c r="P113" s="43"/>
    </row>
    <row r="114" spans="1:16" ht="12.75">
      <c r="A114" s="619"/>
      <c r="B114" s="43"/>
      <c r="C114" s="43"/>
      <c r="D114" s="43"/>
      <c r="E114" s="43"/>
      <c r="F114" s="43"/>
      <c r="G114" s="43"/>
      <c r="H114" s="43"/>
      <c r="I114" s="43"/>
      <c r="J114" s="43"/>
      <c r="K114" s="43"/>
      <c r="L114" s="43"/>
      <c r="M114" s="43"/>
      <c r="N114" s="43"/>
      <c r="O114" s="43"/>
      <c r="P114" s="43"/>
    </row>
    <row r="115" spans="1:16" ht="12.75">
      <c r="A115" s="619"/>
      <c r="B115" s="43"/>
      <c r="C115" s="43"/>
      <c r="D115" s="43"/>
      <c r="E115" s="43"/>
      <c r="F115" s="43"/>
      <c r="G115" s="43"/>
      <c r="H115" s="43"/>
      <c r="I115" s="43"/>
      <c r="J115" s="43"/>
      <c r="K115" s="43"/>
      <c r="L115" s="43"/>
      <c r="M115" s="43"/>
      <c r="N115" s="43"/>
      <c r="O115" s="43"/>
      <c r="P115" s="43"/>
    </row>
    <row r="116" spans="1:16" ht="12.75">
      <c r="A116" s="619"/>
      <c r="B116" s="43"/>
      <c r="C116" s="43"/>
      <c r="D116" s="43"/>
      <c r="E116" s="43"/>
      <c r="F116" s="43"/>
      <c r="G116" s="43"/>
      <c r="H116" s="43"/>
      <c r="I116" s="43"/>
      <c r="J116" s="43"/>
      <c r="K116" s="43"/>
      <c r="L116" s="43"/>
      <c r="M116" s="43"/>
      <c r="N116" s="43"/>
      <c r="O116" s="43"/>
      <c r="P116" s="43"/>
    </row>
    <row r="117" spans="1:16" ht="12.75">
      <c r="A117" s="619"/>
      <c r="B117" s="43"/>
      <c r="C117" s="43"/>
      <c r="D117" s="43"/>
      <c r="E117" s="43"/>
      <c r="F117" s="43"/>
      <c r="G117" s="43"/>
      <c r="H117" s="43"/>
      <c r="I117" s="43"/>
      <c r="J117" s="43"/>
      <c r="K117" s="43"/>
      <c r="L117" s="43"/>
      <c r="M117" s="43"/>
      <c r="N117" s="43"/>
      <c r="O117" s="43"/>
      <c r="P117" s="43"/>
    </row>
    <row r="118" spans="1:16" ht="12.75">
      <c r="A118" s="619"/>
      <c r="B118" s="43"/>
      <c r="C118" s="43"/>
      <c r="D118" s="43"/>
      <c r="E118" s="43"/>
      <c r="F118" s="43"/>
      <c r="G118" s="43"/>
      <c r="H118" s="43"/>
      <c r="I118" s="43"/>
      <c r="J118" s="43"/>
      <c r="K118" s="43"/>
      <c r="L118" s="43"/>
      <c r="M118" s="43"/>
      <c r="N118" s="43"/>
      <c r="O118" s="43"/>
      <c r="P118" s="43"/>
    </row>
    <row r="119" spans="1:16" ht="12.75">
      <c r="A119" s="619"/>
      <c r="B119" s="43"/>
      <c r="C119" s="43"/>
      <c r="D119" s="43"/>
      <c r="E119" s="43"/>
      <c r="F119" s="43"/>
      <c r="G119" s="43"/>
      <c r="H119" s="43"/>
      <c r="I119" s="43"/>
      <c r="J119" s="43"/>
      <c r="K119" s="43"/>
      <c r="L119" s="43"/>
      <c r="M119" s="43"/>
      <c r="N119" s="43"/>
      <c r="O119" s="43"/>
      <c r="P119" s="43"/>
    </row>
    <row r="120" spans="1:16" ht="12.75">
      <c r="A120" s="619"/>
      <c r="B120" s="43"/>
      <c r="C120" s="43"/>
      <c r="D120" s="43"/>
      <c r="E120" s="43"/>
      <c r="F120" s="43"/>
      <c r="G120" s="43"/>
      <c r="H120" s="43"/>
      <c r="I120" s="43"/>
      <c r="J120" s="43"/>
      <c r="K120" s="43"/>
      <c r="L120" s="43"/>
      <c r="M120" s="43"/>
      <c r="N120" s="43"/>
      <c r="O120" s="43"/>
      <c r="P120" s="43"/>
    </row>
    <row r="121" spans="1:16" ht="12.75">
      <c r="A121" s="619"/>
      <c r="B121" s="43"/>
      <c r="C121" s="43"/>
      <c r="D121" s="43"/>
      <c r="E121" s="43"/>
      <c r="F121" s="43"/>
      <c r="G121" s="43"/>
      <c r="H121" s="43"/>
      <c r="I121" s="43"/>
      <c r="J121" s="43"/>
      <c r="K121" s="43"/>
      <c r="L121" s="43"/>
      <c r="M121" s="43"/>
      <c r="N121" s="43"/>
      <c r="O121" s="43"/>
      <c r="P121" s="43"/>
    </row>
    <row r="122" spans="1:16" ht="12.75">
      <c r="A122" s="619"/>
      <c r="B122" s="43"/>
      <c r="C122" s="43"/>
      <c r="D122" s="43"/>
      <c r="E122" s="43"/>
      <c r="F122" s="43"/>
      <c r="G122" s="43"/>
      <c r="H122" s="43"/>
      <c r="I122" s="43"/>
      <c r="J122" s="43"/>
      <c r="K122" s="43"/>
      <c r="L122" s="43"/>
      <c r="M122" s="43"/>
      <c r="N122" s="43"/>
      <c r="O122" s="43"/>
      <c r="P122" s="43"/>
    </row>
    <row r="123" spans="1:16" ht="12.75">
      <c r="A123" s="619"/>
      <c r="B123" s="43"/>
      <c r="C123" s="43"/>
      <c r="D123" s="43"/>
      <c r="E123" s="43"/>
      <c r="F123" s="43"/>
      <c r="G123" s="43"/>
      <c r="H123" s="43"/>
      <c r="I123" s="43"/>
      <c r="J123" s="43"/>
      <c r="K123" s="43"/>
      <c r="L123" s="43"/>
      <c r="M123" s="43"/>
      <c r="N123" s="43"/>
      <c r="O123" s="43"/>
      <c r="P123" s="43"/>
    </row>
    <row r="124" spans="1:16" ht="12.75">
      <c r="A124" s="619"/>
      <c r="B124" s="43"/>
      <c r="C124" s="43"/>
      <c r="D124" s="43"/>
      <c r="E124" s="43"/>
      <c r="F124" s="43"/>
      <c r="G124" s="43"/>
      <c r="H124" s="43"/>
      <c r="I124" s="43"/>
      <c r="J124" s="43"/>
      <c r="K124" s="43"/>
      <c r="L124" s="43"/>
      <c r="M124" s="43"/>
      <c r="N124" s="43"/>
      <c r="O124" s="43"/>
      <c r="P124" s="43"/>
    </row>
    <row r="125" spans="1:16" ht="12.75">
      <c r="A125" s="619"/>
      <c r="B125" s="43"/>
      <c r="C125" s="43"/>
      <c r="D125" s="43"/>
      <c r="E125" s="43"/>
      <c r="F125" s="43"/>
      <c r="G125" s="43"/>
      <c r="H125" s="43"/>
      <c r="I125" s="43"/>
      <c r="J125" s="43"/>
      <c r="K125" s="43"/>
      <c r="L125" s="43"/>
      <c r="M125" s="43"/>
      <c r="N125" s="43"/>
      <c r="O125" s="43"/>
      <c r="P125" s="43"/>
    </row>
    <row r="126" spans="1:16" ht="12.75">
      <c r="A126" s="619"/>
      <c r="B126" s="43"/>
      <c r="C126" s="43"/>
      <c r="D126" s="43"/>
      <c r="E126" s="43"/>
      <c r="F126" s="43"/>
      <c r="G126" s="43"/>
      <c r="H126" s="43"/>
      <c r="I126" s="43"/>
      <c r="J126" s="43"/>
      <c r="K126" s="43"/>
      <c r="L126" s="43"/>
      <c r="M126" s="43"/>
      <c r="N126" s="43"/>
      <c r="O126" s="43"/>
      <c r="P126" s="43"/>
    </row>
    <row r="127" spans="1:16" ht="12.75">
      <c r="A127" s="619"/>
      <c r="B127" s="43"/>
      <c r="C127" s="43"/>
      <c r="D127" s="43"/>
      <c r="E127" s="43"/>
      <c r="F127" s="43"/>
      <c r="G127" s="43"/>
      <c r="H127" s="43"/>
      <c r="I127" s="43"/>
      <c r="J127" s="43"/>
      <c r="K127" s="43"/>
      <c r="L127" s="43"/>
      <c r="M127" s="43"/>
      <c r="N127" s="43"/>
      <c r="O127" s="43"/>
      <c r="P127" s="43"/>
    </row>
    <row r="128" spans="1:16" ht="12.75">
      <c r="A128" s="619"/>
      <c r="B128" s="43"/>
      <c r="C128" s="43"/>
      <c r="D128" s="43"/>
      <c r="E128" s="43"/>
      <c r="F128" s="43"/>
      <c r="G128" s="43"/>
      <c r="H128" s="43"/>
      <c r="I128" s="43"/>
      <c r="J128" s="43"/>
      <c r="K128" s="43"/>
      <c r="L128" s="43"/>
      <c r="M128" s="43"/>
      <c r="N128" s="43"/>
      <c r="O128" s="43"/>
      <c r="P128" s="43"/>
    </row>
    <row r="129" spans="1:16" ht="12.75">
      <c r="A129" s="619"/>
      <c r="B129" s="43"/>
      <c r="C129" s="43"/>
      <c r="D129" s="43"/>
      <c r="E129" s="43"/>
      <c r="F129" s="43"/>
      <c r="G129" s="43"/>
      <c r="H129" s="43"/>
      <c r="I129" s="43"/>
      <c r="J129" s="43"/>
      <c r="K129" s="43"/>
      <c r="L129" s="43"/>
      <c r="M129" s="43"/>
      <c r="N129" s="43"/>
      <c r="O129" s="43"/>
      <c r="P129" s="43"/>
    </row>
    <row r="130" spans="1:16" ht="12.75">
      <c r="A130" s="619"/>
      <c r="B130" s="43"/>
      <c r="C130" s="43"/>
      <c r="D130" s="43"/>
      <c r="E130" s="43"/>
      <c r="F130" s="43"/>
      <c r="G130" s="43"/>
      <c r="H130" s="43"/>
      <c r="I130" s="43"/>
      <c r="J130" s="43"/>
      <c r="K130" s="43"/>
      <c r="L130" s="43"/>
      <c r="M130" s="43"/>
      <c r="N130" s="43"/>
      <c r="O130" s="43"/>
      <c r="P130" s="43"/>
    </row>
    <row r="131" spans="1:16" ht="12.75">
      <c r="A131" s="619"/>
      <c r="B131" s="43"/>
      <c r="C131" s="43"/>
      <c r="D131" s="43"/>
      <c r="E131" s="43"/>
      <c r="F131" s="43"/>
      <c r="G131" s="43"/>
      <c r="H131" s="43"/>
      <c r="I131" s="43"/>
      <c r="J131" s="43"/>
      <c r="K131" s="43"/>
      <c r="L131" s="43"/>
      <c r="M131" s="43"/>
      <c r="N131" s="43"/>
      <c r="O131" s="43"/>
      <c r="P131" s="43"/>
    </row>
    <row r="132" spans="1:16" ht="12.75">
      <c r="A132" s="619"/>
      <c r="B132" s="43"/>
      <c r="C132" s="43"/>
      <c r="D132" s="43"/>
      <c r="E132" s="43"/>
      <c r="F132" s="43"/>
      <c r="G132" s="43"/>
      <c r="H132" s="43"/>
      <c r="I132" s="43"/>
      <c r="J132" s="43"/>
      <c r="K132" s="43"/>
      <c r="L132" s="43"/>
      <c r="M132" s="43"/>
      <c r="N132" s="43"/>
      <c r="O132" s="43"/>
      <c r="P132" s="43"/>
    </row>
    <row r="133" spans="1:16" ht="12.75">
      <c r="A133" s="619"/>
      <c r="B133" s="43"/>
      <c r="C133" s="43"/>
      <c r="D133" s="43"/>
      <c r="E133" s="43"/>
      <c r="F133" s="43"/>
      <c r="G133" s="43"/>
      <c r="H133" s="43"/>
      <c r="I133" s="43"/>
      <c r="J133" s="43"/>
      <c r="K133" s="43"/>
      <c r="L133" s="43"/>
      <c r="M133" s="43"/>
      <c r="N133" s="43"/>
      <c r="O133" s="43"/>
      <c r="P133" s="43"/>
    </row>
    <row r="134" spans="1:16" ht="12.75">
      <c r="A134" s="619"/>
      <c r="B134" s="43"/>
      <c r="C134" s="43"/>
      <c r="D134" s="43"/>
      <c r="E134" s="43"/>
      <c r="F134" s="43"/>
      <c r="G134" s="43"/>
      <c r="H134" s="43"/>
      <c r="I134" s="43"/>
      <c r="J134" s="43"/>
      <c r="K134" s="43"/>
      <c r="L134" s="43"/>
      <c r="M134" s="43"/>
      <c r="N134" s="43"/>
      <c r="O134" s="43"/>
      <c r="P134" s="43"/>
    </row>
    <row r="135" spans="1:16" ht="12.75">
      <c r="A135" s="619"/>
      <c r="B135" s="43"/>
      <c r="C135" s="43"/>
      <c r="D135" s="43"/>
      <c r="E135" s="43"/>
      <c r="F135" s="43"/>
      <c r="G135" s="43"/>
      <c r="H135" s="43"/>
      <c r="I135" s="43"/>
      <c r="J135" s="43"/>
      <c r="K135" s="43"/>
      <c r="L135" s="43"/>
      <c r="M135" s="43"/>
      <c r="N135" s="43"/>
      <c r="O135" s="43"/>
      <c r="P135" s="43"/>
    </row>
    <row r="136" spans="1:16" ht="12.75">
      <c r="A136" s="619"/>
      <c r="B136" s="43"/>
      <c r="C136" s="43"/>
      <c r="D136" s="43"/>
      <c r="E136" s="43"/>
      <c r="F136" s="43"/>
      <c r="G136" s="43"/>
      <c r="H136" s="43"/>
      <c r="I136" s="43"/>
      <c r="J136" s="43"/>
      <c r="K136" s="43"/>
      <c r="L136" s="43"/>
      <c r="M136" s="43"/>
      <c r="N136" s="43"/>
      <c r="O136" s="43"/>
      <c r="P136" s="43"/>
    </row>
    <row r="137" spans="1:16" ht="12.75">
      <c r="A137" s="619"/>
      <c r="B137" s="43"/>
      <c r="C137" s="43"/>
      <c r="D137" s="43"/>
      <c r="E137" s="43"/>
      <c r="F137" s="43"/>
      <c r="G137" s="43"/>
      <c r="H137" s="43"/>
      <c r="I137" s="43"/>
      <c r="J137" s="43"/>
      <c r="K137" s="43"/>
      <c r="L137" s="43"/>
      <c r="M137" s="43"/>
      <c r="N137" s="43"/>
      <c r="O137" s="43"/>
      <c r="P137" s="43"/>
    </row>
    <row r="138" spans="1:16" ht="12.75">
      <c r="A138" s="619"/>
      <c r="B138" s="43"/>
      <c r="C138" s="43"/>
      <c r="D138" s="43"/>
      <c r="E138" s="43"/>
      <c r="F138" s="43"/>
      <c r="G138" s="43"/>
      <c r="H138" s="43"/>
      <c r="I138" s="43"/>
      <c r="J138" s="43"/>
      <c r="K138" s="43"/>
      <c r="L138" s="43"/>
      <c r="M138" s="43"/>
      <c r="N138" s="43"/>
      <c r="O138" s="43"/>
      <c r="P138" s="43"/>
    </row>
    <row r="139" spans="1:16" ht="12.75">
      <c r="A139" s="619"/>
      <c r="B139" s="43"/>
      <c r="C139" s="43"/>
      <c r="D139" s="43"/>
      <c r="E139" s="43"/>
      <c r="F139" s="43"/>
      <c r="G139" s="43"/>
      <c r="H139" s="43"/>
      <c r="I139" s="43"/>
      <c r="J139" s="43"/>
      <c r="K139" s="43"/>
      <c r="L139" s="43"/>
      <c r="M139" s="43"/>
      <c r="N139" s="43"/>
      <c r="O139" s="43"/>
      <c r="P139" s="43"/>
    </row>
    <row r="140" spans="1:16" ht="12.75">
      <c r="A140" s="619"/>
      <c r="B140" s="43"/>
      <c r="C140" s="43"/>
      <c r="D140" s="43"/>
      <c r="E140" s="43"/>
      <c r="F140" s="43"/>
      <c r="G140" s="43"/>
      <c r="H140" s="43"/>
      <c r="I140" s="43"/>
      <c r="J140" s="43"/>
      <c r="K140" s="43"/>
      <c r="L140" s="43"/>
      <c r="M140" s="43"/>
      <c r="N140" s="43"/>
      <c r="O140" s="43"/>
      <c r="P140" s="43"/>
    </row>
    <row r="141" spans="1:16" ht="12.75">
      <c r="A141" s="619"/>
      <c r="B141" s="43"/>
      <c r="C141" s="43"/>
      <c r="D141" s="43"/>
      <c r="E141" s="43"/>
      <c r="F141" s="43"/>
      <c r="G141" s="43"/>
      <c r="H141" s="43"/>
      <c r="I141" s="43"/>
      <c r="J141" s="43"/>
      <c r="K141" s="43"/>
      <c r="L141" s="43"/>
      <c r="M141" s="43"/>
      <c r="N141" s="43"/>
      <c r="O141" s="43"/>
      <c r="P141" s="43"/>
    </row>
    <row r="142" spans="1:16" ht="12.75">
      <c r="A142" s="619"/>
      <c r="B142" s="43"/>
      <c r="C142" s="43"/>
      <c r="D142" s="43"/>
      <c r="E142" s="43"/>
      <c r="F142" s="43"/>
      <c r="G142" s="43"/>
      <c r="H142" s="43"/>
      <c r="I142" s="43"/>
      <c r="J142" s="43"/>
      <c r="K142" s="43"/>
      <c r="L142" s="43"/>
      <c r="M142" s="43"/>
      <c r="N142" s="43"/>
      <c r="O142" s="43"/>
      <c r="P142" s="43"/>
    </row>
    <row r="143" spans="1:16" ht="12.75">
      <c r="A143" s="619"/>
      <c r="B143" s="43"/>
      <c r="C143" s="43"/>
      <c r="D143" s="43"/>
      <c r="E143" s="43"/>
      <c r="F143" s="43"/>
      <c r="G143" s="43"/>
      <c r="H143" s="43"/>
      <c r="I143" s="43"/>
      <c r="J143" s="43"/>
      <c r="K143" s="43"/>
      <c r="L143" s="43"/>
      <c r="M143" s="43"/>
      <c r="N143" s="43"/>
      <c r="O143" s="43"/>
      <c r="P143" s="43"/>
    </row>
    <row r="144" spans="1:16" ht="12.75">
      <c r="A144" s="619"/>
      <c r="B144" s="43"/>
      <c r="C144" s="43"/>
      <c r="D144" s="43"/>
      <c r="E144" s="43"/>
      <c r="F144" s="43"/>
      <c r="G144" s="43"/>
      <c r="H144" s="43"/>
      <c r="I144" s="43"/>
      <c r="J144" s="43"/>
      <c r="K144" s="43"/>
      <c r="L144" s="43"/>
      <c r="M144" s="43"/>
      <c r="N144" s="43"/>
      <c r="O144" s="43"/>
      <c r="P144" s="43"/>
    </row>
    <row r="145" spans="1:16" ht="12.75">
      <c r="A145" s="619"/>
      <c r="B145" s="43"/>
      <c r="C145" s="43"/>
      <c r="D145" s="43"/>
      <c r="E145" s="43"/>
      <c r="F145" s="43"/>
      <c r="G145" s="43"/>
      <c r="H145" s="43"/>
      <c r="I145" s="43"/>
      <c r="J145" s="43"/>
      <c r="K145" s="43"/>
      <c r="L145" s="43"/>
      <c r="M145" s="43"/>
      <c r="N145" s="43"/>
      <c r="O145" s="43"/>
      <c r="P145" s="43"/>
    </row>
    <row r="146" spans="1:16" ht="12.75">
      <c r="A146" s="619"/>
      <c r="B146" s="43"/>
      <c r="C146" s="43"/>
      <c r="D146" s="43"/>
      <c r="E146" s="43"/>
      <c r="F146" s="43"/>
      <c r="G146" s="43"/>
      <c r="H146" s="43"/>
      <c r="I146" s="43"/>
      <c r="J146" s="43"/>
      <c r="K146" s="43"/>
      <c r="L146" s="43"/>
      <c r="M146" s="43"/>
      <c r="N146" s="43"/>
      <c r="O146" s="43"/>
      <c r="P146" s="43"/>
    </row>
    <row r="147" spans="1:16" ht="12.75">
      <c r="A147" s="619"/>
      <c r="B147" s="43"/>
      <c r="C147" s="43"/>
      <c r="D147" s="43"/>
      <c r="E147" s="43"/>
      <c r="F147" s="43"/>
      <c r="G147" s="43"/>
      <c r="H147" s="43"/>
      <c r="I147" s="43"/>
      <c r="J147" s="43"/>
      <c r="K147" s="43"/>
      <c r="L147" s="43"/>
      <c r="M147" s="43"/>
      <c r="N147" s="43"/>
      <c r="O147" s="43"/>
      <c r="P147" s="43"/>
    </row>
    <row r="148" spans="1:16" ht="12.75">
      <c r="A148" s="619"/>
      <c r="B148" s="43"/>
      <c r="C148" s="43"/>
      <c r="D148" s="43"/>
      <c r="E148" s="43"/>
      <c r="F148" s="43"/>
      <c r="G148" s="43"/>
      <c r="H148" s="43"/>
      <c r="I148" s="43"/>
      <c r="J148" s="43"/>
      <c r="K148" s="43"/>
      <c r="L148" s="43"/>
      <c r="M148" s="43"/>
      <c r="N148" s="43"/>
      <c r="O148" s="43"/>
      <c r="P148" s="43"/>
    </row>
    <row r="149" spans="1:16" ht="12.75">
      <c r="A149" s="619"/>
      <c r="B149" s="43"/>
      <c r="C149" s="43"/>
      <c r="D149" s="43"/>
      <c r="E149" s="43"/>
      <c r="F149" s="43"/>
      <c r="G149" s="43"/>
      <c r="H149" s="43"/>
      <c r="I149" s="43"/>
      <c r="J149" s="43"/>
      <c r="K149" s="43"/>
      <c r="L149" s="43"/>
      <c r="M149" s="43"/>
      <c r="N149" s="43"/>
      <c r="O149" s="43"/>
      <c r="P149" s="43"/>
    </row>
    <row r="150" spans="1:16" ht="12.75">
      <c r="A150" s="619"/>
      <c r="B150" s="43"/>
      <c r="C150" s="43"/>
      <c r="D150" s="43"/>
      <c r="E150" s="43"/>
      <c r="F150" s="43"/>
      <c r="G150" s="43"/>
      <c r="H150" s="43"/>
      <c r="I150" s="43"/>
      <c r="J150" s="43"/>
      <c r="K150" s="43"/>
      <c r="L150" s="43"/>
      <c r="M150" s="43"/>
      <c r="N150" s="43"/>
      <c r="O150" s="43"/>
      <c r="P150" s="43"/>
    </row>
    <row r="151" spans="1:16" ht="12.75">
      <c r="A151" s="619"/>
      <c r="B151" s="43"/>
      <c r="C151" s="43"/>
      <c r="D151" s="43"/>
      <c r="E151" s="43"/>
      <c r="F151" s="43"/>
      <c r="G151" s="43"/>
      <c r="H151" s="43"/>
      <c r="I151" s="43"/>
      <c r="J151" s="43"/>
      <c r="K151" s="43"/>
      <c r="L151" s="43"/>
      <c r="M151" s="43"/>
      <c r="N151" s="43"/>
      <c r="O151" s="43"/>
      <c r="P151" s="43"/>
    </row>
    <row r="152" spans="1:16" ht="12.75">
      <c r="A152" s="619"/>
      <c r="B152" s="43"/>
      <c r="C152" s="43"/>
      <c r="D152" s="43"/>
      <c r="E152" s="43"/>
      <c r="F152" s="43"/>
      <c r="G152" s="43"/>
      <c r="H152" s="43"/>
      <c r="I152" s="43"/>
      <c r="J152" s="43"/>
      <c r="K152" s="43"/>
      <c r="L152" s="43"/>
      <c r="M152" s="43"/>
      <c r="N152" s="43"/>
      <c r="O152" s="43"/>
      <c r="P152" s="43"/>
    </row>
    <row r="153" spans="1:16" ht="12.75">
      <c r="A153" s="619"/>
      <c r="B153" s="43"/>
      <c r="C153" s="43"/>
      <c r="D153" s="43"/>
      <c r="E153" s="43"/>
      <c r="F153" s="43"/>
      <c r="G153" s="43"/>
      <c r="H153" s="43"/>
      <c r="I153" s="43"/>
      <c r="J153" s="43"/>
      <c r="K153" s="43"/>
      <c r="L153" s="43"/>
      <c r="M153" s="43"/>
      <c r="N153" s="43"/>
      <c r="O153" s="43"/>
      <c r="P153" s="43"/>
    </row>
    <row r="154" spans="1:16" ht="12.75">
      <c r="A154" s="619"/>
      <c r="B154" s="43"/>
      <c r="C154" s="43"/>
      <c r="D154" s="43"/>
      <c r="E154" s="43"/>
      <c r="F154" s="43"/>
      <c r="G154" s="43"/>
      <c r="H154" s="43"/>
      <c r="I154" s="43"/>
      <c r="J154" s="43"/>
      <c r="K154" s="43"/>
      <c r="L154" s="43"/>
      <c r="M154" s="43"/>
      <c r="N154" s="43"/>
      <c r="O154" s="43"/>
      <c r="P154" s="43"/>
    </row>
    <row r="155" spans="1:16" ht="12.75">
      <c r="A155" s="619"/>
      <c r="B155" s="43"/>
      <c r="C155" s="43"/>
      <c r="D155" s="43"/>
      <c r="E155" s="43"/>
      <c r="F155" s="43"/>
      <c r="G155" s="43"/>
      <c r="H155" s="43"/>
      <c r="I155" s="43"/>
      <c r="J155" s="43"/>
      <c r="K155" s="43"/>
      <c r="L155" s="43"/>
      <c r="M155" s="43"/>
      <c r="N155" s="43"/>
      <c r="O155" s="43"/>
      <c r="P155" s="43"/>
    </row>
    <row r="156" spans="1:16" ht="12.75">
      <c r="A156" s="619"/>
      <c r="B156" s="43"/>
      <c r="C156" s="43"/>
      <c r="D156" s="43"/>
      <c r="E156" s="43"/>
      <c r="F156" s="43"/>
      <c r="G156" s="43"/>
      <c r="H156" s="43"/>
      <c r="I156" s="43"/>
      <c r="J156" s="43"/>
      <c r="K156" s="43"/>
      <c r="L156" s="43"/>
      <c r="M156" s="43"/>
      <c r="N156" s="43"/>
      <c r="O156" s="43"/>
      <c r="P156" s="43"/>
    </row>
    <row r="157" spans="1:16" ht="12.75">
      <c r="A157" s="619"/>
      <c r="B157" s="43"/>
      <c r="C157" s="43"/>
      <c r="D157" s="43"/>
      <c r="E157" s="43"/>
      <c r="F157" s="43"/>
      <c r="G157" s="43"/>
      <c r="H157" s="43"/>
      <c r="I157" s="43"/>
      <c r="J157" s="43"/>
      <c r="K157" s="43"/>
      <c r="L157" s="43"/>
      <c r="M157" s="43"/>
      <c r="N157" s="43"/>
      <c r="O157" s="43"/>
      <c r="P157" s="43"/>
    </row>
    <row r="158" spans="1:16" ht="12.75">
      <c r="A158" s="619"/>
      <c r="B158" s="43"/>
      <c r="C158" s="43"/>
      <c r="D158" s="43"/>
      <c r="E158" s="43"/>
      <c r="F158" s="43"/>
      <c r="G158" s="43"/>
      <c r="H158" s="43"/>
      <c r="I158" s="43"/>
      <c r="J158" s="43"/>
      <c r="K158" s="43"/>
      <c r="L158" s="43"/>
      <c r="M158" s="43"/>
      <c r="N158" s="43"/>
      <c r="O158" s="43"/>
      <c r="P158" s="43"/>
    </row>
    <row r="159" spans="1:16" ht="12.75">
      <c r="A159" s="619"/>
      <c r="B159" s="43"/>
      <c r="C159" s="43"/>
      <c r="D159" s="43"/>
      <c r="E159" s="43"/>
      <c r="F159" s="43"/>
      <c r="G159" s="43"/>
      <c r="H159" s="43"/>
      <c r="I159" s="43"/>
      <c r="J159" s="43"/>
      <c r="K159" s="43"/>
      <c r="L159" s="43"/>
      <c r="M159" s="43"/>
      <c r="N159" s="43"/>
      <c r="O159" s="43"/>
      <c r="P159" s="43"/>
    </row>
    <row r="160" spans="1:16" ht="12.75">
      <c r="A160" s="619"/>
      <c r="B160" s="43"/>
      <c r="C160" s="43"/>
      <c r="D160" s="43"/>
      <c r="E160" s="43"/>
      <c r="F160" s="43"/>
      <c r="G160" s="43"/>
      <c r="H160" s="43"/>
      <c r="I160" s="43"/>
      <c r="J160" s="43"/>
      <c r="K160" s="43"/>
      <c r="L160" s="43"/>
      <c r="M160" s="43"/>
      <c r="N160" s="43"/>
      <c r="O160" s="43"/>
      <c r="P160" s="43"/>
    </row>
    <row r="161" spans="1:16" ht="12.75">
      <c r="A161" s="619"/>
      <c r="B161" s="43"/>
      <c r="C161" s="43"/>
      <c r="D161" s="43"/>
      <c r="E161" s="43"/>
      <c r="F161" s="43"/>
      <c r="G161" s="43"/>
      <c r="H161" s="43"/>
      <c r="I161" s="43"/>
      <c r="J161" s="43"/>
      <c r="K161" s="43"/>
      <c r="L161" s="43"/>
      <c r="M161" s="43"/>
      <c r="N161" s="43"/>
      <c r="O161" s="43"/>
      <c r="P161" s="43"/>
    </row>
    <row r="162" spans="1:16" ht="12.75">
      <c r="A162" s="619"/>
      <c r="B162" s="43"/>
      <c r="C162" s="43"/>
      <c r="D162" s="43"/>
      <c r="E162" s="43"/>
      <c r="F162" s="43"/>
      <c r="G162" s="43"/>
      <c r="H162" s="43"/>
      <c r="I162" s="43"/>
      <c r="J162" s="43"/>
      <c r="K162" s="43"/>
      <c r="L162" s="43"/>
      <c r="M162" s="43"/>
      <c r="N162" s="43"/>
      <c r="O162" s="43"/>
      <c r="P162" s="43"/>
    </row>
    <row r="163" spans="1:16" ht="12.75">
      <c r="A163" s="619"/>
      <c r="B163" s="43"/>
      <c r="C163" s="43"/>
      <c r="D163" s="43"/>
      <c r="E163" s="43"/>
      <c r="F163" s="43"/>
      <c r="G163" s="43"/>
      <c r="H163" s="43"/>
      <c r="I163" s="43"/>
      <c r="J163" s="43"/>
      <c r="K163" s="43"/>
      <c r="L163" s="43"/>
      <c r="M163" s="43"/>
      <c r="N163" s="43"/>
      <c r="O163" s="43"/>
      <c r="P163" s="43"/>
    </row>
    <row r="164" spans="1:16" ht="12.75">
      <c r="A164" s="619"/>
      <c r="B164" s="43"/>
      <c r="C164" s="43"/>
      <c r="D164" s="43"/>
      <c r="E164" s="43"/>
      <c r="F164" s="43"/>
      <c r="G164" s="43"/>
      <c r="H164" s="43"/>
      <c r="I164" s="43"/>
      <c r="J164" s="43"/>
      <c r="K164" s="43"/>
      <c r="L164" s="43"/>
      <c r="M164" s="43"/>
      <c r="N164" s="43"/>
      <c r="O164" s="43"/>
      <c r="P164" s="43"/>
    </row>
    <row r="165" spans="1:16" ht="12.75">
      <c r="A165" s="619"/>
      <c r="B165" s="43"/>
      <c r="C165" s="43"/>
      <c r="D165" s="43"/>
      <c r="E165" s="43"/>
      <c r="F165" s="43"/>
      <c r="G165" s="43"/>
      <c r="H165" s="43"/>
      <c r="I165" s="43"/>
      <c r="J165" s="43"/>
      <c r="K165" s="43"/>
      <c r="L165" s="43"/>
      <c r="M165" s="43"/>
      <c r="N165" s="43"/>
      <c r="O165" s="43"/>
      <c r="P165" s="43"/>
    </row>
    <row r="166" spans="1:16" ht="12.75">
      <c r="A166" s="619"/>
      <c r="B166" s="43"/>
      <c r="C166" s="43"/>
      <c r="D166" s="43"/>
      <c r="E166" s="43"/>
      <c r="F166" s="43"/>
      <c r="G166" s="43"/>
      <c r="H166" s="43"/>
      <c r="I166" s="43"/>
      <c r="J166" s="43"/>
      <c r="K166" s="43"/>
      <c r="L166" s="43"/>
      <c r="M166" s="43"/>
      <c r="N166" s="43"/>
      <c r="O166" s="43"/>
      <c r="P166" s="43"/>
    </row>
    <row r="167" spans="1:16" ht="12.75">
      <c r="A167" s="619"/>
      <c r="B167" s="43"/>
      <c r="C167" s="43"/>
      <c r="D167" s="43"/>
      <c r="E167" s="43"/>
      <c r="F167" s="43"/>
      <c r="G167" s="43"/>
      <c r="H167" s="43"/>
      <c r="I167" s="43"/>
      <c r="J167" s="43"/>
      <c r="K167" s="43"/>
      <c r="L167" s="43"/>
      <c r="M167" s="43"/>
      <c r="N167" s="43"/>
      <c r="O167" s="43"/>
      <c r="P167" s="43"/>
    </row>
    <row r="168" spans="1:16" ht="12.75">
      <c r="A168" s="619"/>
      <c r="B168" s="43"/>
      <c r="C168" s="43"/>
      <c r="D168" s="43"/>
      <c r="E168" s="43"/>
      <c r="F168" s="43"/>
      <c r="G168" s="43"/>
      <c r="H168" s="43"/>
      <c r="I168" s="43"/>
      <c r="J168" s="43"/>
      <c r="K168" s="43"/>
      <c r="L168" s="43"/>
      <c r="M168" s="43"/>
      <c r="N168" s="43"/>
      <c r="O168" s="43"/>
      <c r="P168" s="43"/>
    </row>
    <row r="169" spans="1:16" ht="12.75">
      <c r="A169" s="619"/>
      <c r="B169" s="43"/>
      <c r="C169" s="43"/>
      <c r="D169" s="43"/>
      <c r="E169" s="43"/>
      <c r="F169" s="43"/>
      <c r="G169" s="43"/>
      <c r="H169" s="43"/>
      <c r="I169" s="43"/>
      <c r="J169" s="43"/>
      <c r="K169" s="43"/>
      <c r="L169" s="43"/>
      <c r="M169" s="43"/>
      <c r="N169" s="43"/>
      <c r="O169" s="43"/>
      <c r="P169" s="43"/>
    </row>
    <row r="170" spans="1:16" ht="12.75">
      <c r="A170" s="619"/>
      <c r="B170" s="43"/>
      <c r="C170" s="43"/>
      <c r="D170" s="43"/>
      <c r="E170" s="43"/>
      <c r="F170" s="43"/>
      <c r="G170" s="43"/>
      <c r="H170" s="43"/>
      <c r="I170" s="43"/>
      <c r="J170" s="43"/>
      <c r="K170" s="43"/>
      <c r="L170" s="43"/>
      <c r="M170" s="43"/>
      <c r="N170" s="43"/>
      <c r="O170" s="43"/>
      <c r="P170" s="43"/>
    </row>
    <row r="171" spans="1:16" ht="12.75">
      <c r="A171" s="619"/>
      <c r="B171" s="43"/>
      <c r="C171" s="43"/>
      <c r="D171" s="43"/>
      <c r="E171" s="43"/>
      <c r="F171" s="43"/>
      <c r="G171" s="43"/>
      <c r="H171" s="43"/>
      <c r="I171" s="43"/>
      <c r="J171" s="43"/>
      <c r="K171" s="43"/>
      <c r="L171" s="43"/>
      <c r="M171" s="43"/>
      <c r="N171" s="43"/>
      <c r="O171" s="43"/>
      <c r="P171" s="43"/>
    </row>
    <row r="172" spans="1:16" ht="12.75">
      <c r="A172" s="619"/>
      <c r="B172" s="43"/>
      <c r="C172" s="43"/>
      <c r="D172" s="43"/>
      <c r="E172" s="43"/>
      <c r="F172" s="43"/>
      <c r="G172" s="43"/>
      <c r="H172" s="43"/>
      <c r="I172" s="43"/>
      <c r="J172" s="43"/>
      <c r="K172" s="43"/>
      <c r="L172" s="43"/>
      <c r="M172" s="43"/>
      <c r="N172" s="43"/>
      <c r="O172" s="43"/>
      <c r="P172" s="43"/>
    </row>
    <row r="173" spans="1:16" ht="12.75">
      <c r="A173" s="619"/>
      <c r="B173" s="43"/>
      <c r="C173" s="43"/>
      <c r="D173" s="43"/>
      <c r="E173" s="43"/>
      <c r="F173" s="43"/>
      <c r="G173" s="43"/>
      <c r="H173" s="43"/>
      <c r="I173" s="43"/>
      <c r="J173" s="43"/>
      <c r="K173" s="43"/>
      <c r="L173" s="43"/>
      <c r="M173" s="43"/>
      <c r="N173" s="43"/>
      <c r="O173" s="43"/>
      <c r="P173" s="43"/>
    </row>
    <row r="174" spans="1:16" ht="12.75">
      <c r="A174" s="619"/>
      <c r="B174" s="43"/>
      <c r="C174" s="43"/>
      <c r="D174" s="43"/>
      <c r="E174" s="43"/>
      <c r="F174" s="43"/>
      <c r="G174" s="43"/>
      <c r="H174" s="43"/>
      <c r="I174" s="43"/>
      <c r="J174" s="43"/>
      <c r="K174" s="43"/>
      <c r="L174" s="43"/>
      <c r="M174" s="43"/>
      <c r="N174" s="43"/>
      <c r="O174" s="43"/>
      <c r="P174" s="43"/>
    </row>
    <row r="175" spans="1:16" ht="12.75">
      <c r="A175" s="619"/>
      <c r="B175" s="43"/>
      <c r="C175" s="43"/>
      <c r="D175" s="43"/>
      <c r="E175" s="43"/>
      <c r="F175" s="43"/>
      <c r="G175" s="43"/>
      <c r="H175" s="43"/>
      <c r="I175" s="43"/>
      <c r="J175" s="43"/>
      <c r="K175" s="43"/>
      <c r="L175" s="43"/>
      <c r="M175" s="43"/>
      <c r="N175" s="43"/>
      <c r="O175" s="43"/>
      <c r="P175" s="43"/>
    </row>
    <row r="176" spans="1:16" ht="12.75">
      <c r="A176" s="619"/>
      <c r="B176" s="43"/>
      <c r="C176" s="43"/>
      <c r="D176" s="43"/>
      <c r="E176" s="43"/>
      <c r="F176" s="43"/>
      <c r="G176" s="43"/>
      <c r="H176" s="43"/>
      <c r="I176" s="43"/>
      <c r="J176" s="43"/>
      <c r="K176" s="43"/>
      <c r="L176" s="43"/>
      <c r="M176" s="43"/>
      <c r="N176" s="43"/>
      <c r="O176" s="43"/>
      <c r="P176" s="43"/>
    </row>
    <row r="177" spans="1:16" ht="12.75">
      <c r="A177" s="619"/>
      <c r="B177" s="43"/>
      <c r="C177" s="43"/>
      <c r="D177" s="43"/>
      <c r="E177" s="43"/>
      <c r="F177" s="43"/>
      <c r="G177" s="43"/>
      <c r="H177" s="43"/>
      <c r="I177" s="43"/>
      <c r="J177" s="43"/>
      <c r="K177" s="43"/>
      <c r="L177" s="43"/>
      <c r="M177" s="43"/>
      <c r="N177" s="43"/>
      <c r="O177" s="43"/>
      <c r="P177" s="43"/>
    </row>
    <row r="178" spans="1:16" ht="12.75">
      <c r="A178" s="619"/>
      <c r="B178" s="43"/>
      <c r="C178" s="43"/>
      <c r="D178" s="43"/>
      <c r="E178" s="43"/>
      <c r="F178" s="43"/>
      <c r="G178" s="43"/>
      <c r="H178" s="43"/>
      <c r="I178" s="43"/>
      <c r="J178" s="43"/>
      <c r="K178" s="43"/>
      <c r="L178" s="43"/>
      <c r="M178" s="43"/>
      <c r="N178" s="43"/>
      <c r="O178" s="43"/>
      <c r="P178" s="43"/>
    </row>
    <row r="179" spans="1:16" ht="12.75">
      <c r="A179" s="619"/>
      <c r="B179" s="43"/>
      <c r="C179" s="43"/>
      <c r="D179" s="43"/>
      <c r="E179" s="43"/>
      <c r="F179" s="43"/>
      <c r="G179" s="43"/>
      <c r="H179" s="43"/>
      <c r="I179" s="43"/>
      <c r="J179" s="43"/>
      <c r="K179" s="43"/>
      <c r="L179" s="43"/>
      <c r="M179" s="43"/>
      <c r="N179" s="43"/>
      <c r="O179" s="43"/>
      <c r="P179" s="43"/>
    </row>
    <row r="180" spans="1:16" ht="12.75">
      <c r="A180" s="619"/>
      <c r="B180" s="43"/>
      <c r="C180" s="43"/>
      <c r="D180" s="43"/>
      <c r="E180" s="43"/>
      <c r="F180" s="43"/>
      <c r="G180" s="43"/>
      <c r="H180" s="43"/>
      <c r="I180" s="43"/>
      <c r="J180" s="43"/>
      <c r="K180" s="43"/>
      <c r="L180" s="43"/>
      <c r="M180" s="43"/>
      <c r="N180" s="43"/>
      <c r="O180" s="43"/>
      <c r="P180" s="43"/>
    </row>
    <row r="181" spans="1:16" ht="12.75">
      <c r="A181" s="619"/>
      <c r="B181" s="43"/>
      <c r="C181" s="43"/>
      <c r="D181" s="43"/>
      <c r="E181" s="43"/>
      <c r="F181" s="43"/>
      <c r="G181" s="43"/>
      <c r="H181" s="43"/>
      <c r="I181" s="43"/>
      <c r="J181" s="43"/>
      <c r="K181" s="43"/>
      <c r="L181" s="43"/>
      <c r="M181" s="43"/>
      <c r="N181" s="43"/>
      <c r="O181" s="43"/>
      <c r="P181" s="43"/>
    </row>
    <row r="182" spans="1:16" ht="12.75">
      <c r="A182" s="619"/>
      <c r="B182" s="43"/>
      <c r="C182" s="43"/>
      <c r="D182" s="43"/>
      <c r="E182" s="43"/>
      <c r="F182" s="43"/>
      <c r="G182" s="43"/>
      <c r="H182" s="43"/>
      <c r="I182" s="43"/>
      <c r="J182" s="43"/>
      <c r="K182" s="43"/>
      <c r="L182" s="43"/>
      <c r="M182" s="43"/>
      <c r="N182" s="43"/>
      <c r="O182" s="43"/>
      <c r="P182" s="43"/>
    </row>
    <row r="183" spans="1:16" ht="12.75">
      <c r="A183" s="619"/>
      <c r="B183" s="43"/>
      <c r="C183" s="43"/>
      <c r="D183" s="43"/>
      <c r="E183" s="43"/>
      <c r="F183" s="43"/>
      <c r="G183" s="43"/>
      <c r="H183" s="43"/>
      <c r="I183" s="43"/>
      <c r="J183" s="43"/>
      <c r="K183" s="43"/>
      <c r="L183" s="43"/>
      <c r="M183" s="43"/>
      <c r="N183" s="43"/>
      <c r="O183" s="43"/>
      <c r="P183" s="43"/>
    </row>
    <row r="184" spans="1:16" ht="12.75">
      <c r="A184" s="619"/>
      <c r="B184" s="43"/>
      <c r="C184" s="43"/>
      <c r="D184" s="43"/>
      <c r="E184" s="43"/>
      <c r="F184" s="43"/>
      <c r="G184" s="43"/>
      <c r="H184" s="43"/>
      <c r="I184" s="43"/>
      <c r="J184" s="43"/>
      <c r="K184" s="43"/>
      <c r="L184" s="43"/>
      <c r="M184" s="43"/>
      <c r="N184" s="43"/>
      <c r="O184" s="43"/>
      <c r="P184" s="43"/>
    </row>
    <row r="185" spans="1:16" ht="12.75">
      <c r="A185" s="619"/>
      <c r="B185" s="43"/>
      <c r="C185" s="43"/>
      <c r="D185" s="43"/>
      <c r="E185" s="43"/>
      <c r="F185" s="43"/>
      <c r="G185" s="43"/>
      <c r="H185" s="43"/>
      <c r="I185" s="43"/>
      <c r="J185" s="43"/>
      <c r="K185" s="43"/>
      <c r="L185" s="43"/>
      <c r="M185" s="43"/>
      <c r="N185" s="43"/>
      <c r="O185" s="43"/>
      <c r="P185" s="43"/>
    </row>
    <row r="186" spans="1:16" ht="12.75">
      <c r="A186" s="619"/>
      <c r="B186" s="43"/>
      <c r="C186" s="43"/>
      <c r="D186" s="43"/>
      <c r="E186" s="43"/>
      <c r="F186" s="43"/>
      <c r="G186" s="43"/>
      <c r="H186" s="43"/>
      <c r="I186" s="43"/>
      <c r="J186" s="43"/>
      <c r="K186" s="43"/>
      <c r="L186" s="43"/>
      <c r="M186" s="43"/>
      <c r="N186" s="43"/>
      <c r="O186" s="43"/>
      <c r="P186" s="43"/>
    </row>
    <row r="187" spans="1:16" ht="12.75">
      <c r="A187" s="619"/>
      <c r="B187" s="43"/>
      <c r="C187" s="43"/>
      <c r="D187" s="43"/>
      <c r="E187" s="43"/>
      <c r="F187" s="43"/>
      <c r="G187" s="43"/>
      <c r="H187" s="43"/>
      <c r="I187" s="43"/>
      <c r="J187" s="43"/>
      <c r="K187" s="43"/>
      <c r="L187" s="43"/>
      <c r="M187" s="43"/>
      <c r="N187" s="43"/>
      <c r="O187" s="43"/>
      <c r="P187" s="43"/>
    </row>
    <row r="188" spans="1:16" ht="12.75">
      <c r="A188" s="619"/>
      <c r="B188" s="43"/>
      <c r="C188" s="43"/>
      <c r="D188" s="43"/>
      <c r="E188" s="43"/>
      <c r="F188" s="43"/>
      <c r="G188" s="43"/>
      <c r="H188" s="43"/>
      <c r="I188" s="43"/>
      <c r="J188" s="43"/>
      <c r="K188" s="43"/>
      <c r="L188" s="43"/>
      <c r="M188" s="43"/>
      <c r="N188" s="43"/>
      <c r="O188" s="43"/>
      <c r="P188" s="43"/>
    </row>
    <row r="189" spans="1:16" ht="12.75">
      <c r="A189" s="619"/>
      <c r="B189" s="43"/>
      <c r="C189" s="43"/>
      <c r="D189" s="43"/>
      <c r="E189" s="43"/>
      <c r="F189" s="43"/>
      <c r="G189" s="43"/>
      <c r="H189" s="43"/>
      <c r="I189" s="43"/>
      <c r="J189" s="43"/>
      <c r="K189" s="43"/>
      <c r="L189" s="43"/>
      <c r="M189" s="43"/>
      <c r="N189" s="43"/>
      <c r="O189" s="43"/>
      <c r="P189" s="43"/>
    </row>
    <row r="190" spans="1:16" ht="12.75">
      <c r="A190" s="619"/>
      <c r="B190" s="43"/>
      <c r="C190" s="43"/>
      <c r="D190" s="43"/>
      <c r="E190" s="43"/>
      <c r="F190" s="43"/>
      <c r="G190" s="43"/>
      <c r="H190" s="43"/>
      <c r="I190" s="43"/>
      <c r="J190" s="43"/>
      <c r="K190" s="43"/>
      <c r="L190" s="43"/>
      <c r="M190" s="43"/>
      <c r="N190" s="43"/>
      <c r="O190" s="43"/>
      <c r="P190" s="43"/>
    </row>
    <row r="191" spans="1:16" ht="12.75">
      <c r="A191" s="619"/>
      <c r="B191" s="43"/>
      <c r="C191" s="43"/>
      <c r="D191" s="43"/>
      <c r="E191" s="43"/>
      <c r="F191" s="43"/>
      <c r="G191" s="43"/>
      <c r="H191" s="43"/>
      <c r="I191" s="43"/>
      <c r="J191" s="43"/>
      <c r="K191" s="43"/>
      <c r="L191" s="43"/>
      <c r="M191" s="43"/>
      <c r="N191" s="43"/>
      <c r="O191" s="43"/>
      <c r="P191" s="43"/>
    </row>
    <row r="192" spans="1:16" ht="12.75">
      <c r="A192" s="619"/>
      <c r="B192" s="43"/>
      <c r="C192" s="43"/>
      <c r="D192" s="43"/>
      <c r="E192" s="43"/>
      <c r="F192" s="43"/>
      <c r="G192" s="43"/>
      <c r="H192" s="43"/>
      <c r="I192" s="43"/>
      <c r="J192" s="43"/>
      <c r="K192" s="43"/>
      <c r="L192" s="43"/>
      <c r="M192" s="43"/>
      <c r="N192" s="43"/>
      <c r="O192" s="43"/>
      <c r="P192" s="43"/>
    </row>
    <row r="193" spans="1:16" ht="12.75">
      <c r="A193" s="619"/>
      <c r="B193" s="43"/>
      <c r="C193" s="43"/>
      <c r="D193" s="43"/>
      <c r="E193" s="43"/>
      <c r="F193" s="43"/>
      <c r="G193" s="43"/>
      <c r="H193" s="43"/>
      <c r="I193" s="43"/>
      <c r="J193" s="43"/>
      <c r="K193" s="43"/>
      <c r="L193" s="43"/>
      <c r="M193" s="43"/>
      <c r="N193" s="43"/>
      <c r="O193" s="43"/>
      <c r="P193" s="43"/>
    </row>
    <row r="194" spans="1:16" ht="12.75">
      <c r="A194" s="619"/>
      <c r="B194" s="43"/>
      <c r="C194" s="43"/>
      <c r="D194" s="43"/>
      <c r="E194" s="43"/>
      <c r="F194" s="43"/>
      <c r="G194" s="43"/>
      <c r="H194" s="43"/>
      <c r="I194" s="43"/>
      <c r="J194" s="43"/>
      <c r="K194" s="43"/>
      <c r="L194" s="43"/>
      <c r="M194" s="43"/>
      <c r="N194" s="43"/>
      <c r="O194" s="43"/>
      <c r="P194" s="43"/>
    </row>
    <row r="195" spans="1:16" ht="12.75">
      <c r="A195" s="619"/>
      <c r="B195" s="43"/>
      <c r="C195" s="43"/>
      <c r="D195" s="43"/>
      <c r="E195" s="43"/>
      <c r="F195" s="43"/>
      <c r="G195" s="43"/>
      <c r="H195" s="43"/>
      <c r="I195" s="43"/>
      <c r="J195" s="43"/>
      <c r="K195" s="43"/>
      <c r="L195" s="43"/>
      <c r="M195" s="43"/>
      <c r="N195" s="43"/>
      <c r="O195" s="43"/>
      <c r="P195" s="43"/>
    </row>
    <row r="196" spans="1:16" ht="12.75">
      <c r="A196" s="619"/>
      <c r="B196" s="43"/>
      <c r="C196" s="43"/>
      <c r="D196" s="43"/>
      <c r="E196" s="43"/>
      <c r="F196" s="43"/>
      <c r="G196" s="43"/>
      <c r="H196" s="43"/>
      <c r="I196" s="43"/>
      <c r="J196" s="43"/>
      <c r="K196" s="43"/>
      <c r="L196" s="43"/>
      <c r="M196" s="43"/>
      <c r="N196" s="43"/>
      <c r="O196" s="43"/>
      <c r="P196" s="43"/>
    </row>
    <row r="197" spans="1:16" ht="12.75">
      <c r="A197" s="619"/>
      <c r="B197" s="43"/>
      <c r="C197" s="43"/>
      <c r="D197" s="43"/>
      <c r="E197" s="43"/>
      <c r="F197" s="43"/>
      <c r="G197" s="43"/>
      <c r="H197" s="43"/>
      <c r="I197" s="43"/>
      <c r="J197" s="43"/>
      <c r="K197" s="43"/>
      <c r="L197" s="43"/>
      <c r="M197" s="43"/>
      <c r="N197" s="43"/>
      <c r="O197" s="43"/>
      <c r="P197" s="43"/>
    </row>
    <row r="198" spans="1:16" ht="12.75">
      <c r="A198" s="619"/>
      <c r="B198" s="43"/>
      <c r="C198" s="43"/>
      <c r="D198" s="43"/>
      <c r="E198" s="43"/>
      <c r="F198" s="43"/>
      <c r="G198" s="43"/>
      <c r="H198" s="43"/>
      <c r="I198" s="43"/>
      <c r="J198" s="43"/>
      <c r="K198" s="43"/>
      <c r="L198" s="43"/>
      <c r="M198" s="43"/>
      <c r="N198" s="43"/>
      <c r="O198" s="43"/>
      <c r="P198" s="43"/>
    </row>
    <row r="199" spans="1:16" ht="12.75">
      <c r="A199" s="619"/>
      <c r="B199" s="43"/>
      <c r="C199" s="43"/>
      <c r="D199" s="43"/>
      <c r="E199" s="43"/>
      <c r="F199" s="43"/>
      <c r="G199" s="43"/>
      <c r="H199" s="43"/>
      <c r="I199" s="43"/>
      <c r="J199" s="43"/>
      <c r="K199" s="43"/>
      <c r="L199" s="43"/>
      <c r="M199" s="43"/>
      <c r="N199" s="43"/>
      <c r="O199" s="43"/>
      <c r="P199" s="43"/>
    </row>
    <row r="200" spans="1:16" ht="12.75">
      <c r="A200" s="619"/>
      <c r="B200" s="43"/>
      <c r="C200" s="43"/>
      <c r="D200" s="43"/>
      <c r="E200" s="43"/>
      <c r="F200" s="43"/>
      <c r="G200" s="43"/>
      <c r="H200" s="43"/>
      <c r="I200" s="43"/>
      <c r="J200" s="43"/>
      <c r="K200" s="43"/>
      <c r="L200" s="43"/>
      <c r="M200" s="43"/>
      <c r="N200" s="43"/>
      <c r="O200" s="43"/>
      <c r="P200" s="43"/>
    </row>
    <row r="201" spans="1:16" ht="12.75">
      <c r="A201" s="619"/>
      <c r="B201" s="43"/>
      <c r="C201" s="43"/>
      <c r="D201" s="43"/>
      <c r="E201" s="43"/>
      <c r="F201" s="43"/>
      <c r="G201" s="43"/>
      <c r="H201" s="43"/>
      <c r="I201" s="43"/>
      <c r="J201" s="43"/>
      <c r="K201" s="43"/>
      <c r="L201" s="43"/>
      <c r="M201" s="43"/>
      <c r="N201" s="43"/>
      <c r="O201" s="43"/>
      <c r="P201" s="43"/>
    </row>
    <row r="202" spans="1:16" ht="12.75">
      <c r="A202" s="619"/>
      <c r="B202" s="43"/>
      <c r="C202" s="43"/>
      <c r="D202" s="43"/>
      <c r="E202" s="43"/>
      <c r="F202" s="43"/>
      <c r="G202" s="43"/>
      <c r="H202" s="43"/>
      <c r="I202" s="43"/>
      <c r="J202" s="43"/>
      <c r="K202" s="43"/>
      <c r="L202" s="43"/>
      <c r="M202" s="43"/>
      <c r="N202" s="43"/>
      <c r="O202" s="43"/>
      <c r="P202" s="43"/>
    </row>
    <row r="203" spans="1:16" ht="12.75">
      <c r="A203" s="619"/>
      <c r="B203" s="43"/>
      <c r="C203" s="43"/>
      <c r="D203" s="43"/>
      <c r="E203" s="43"/>
      <c r="F203" s="43"/>
      <c r="G203" s="43"/>
      <c r="H203" s="43"/>
      <c r="I203" s="43"/>
      <c r="J203" s="43"/>
      <c r="K203" s="43"/>
      <c r="L203" s="43"/>
      <c r="M203" s="43"/>
      <c r="N203" s="43"/>
      <c r="O203" s="43"/>
      <c r="P203" s="43"/>
    </row>
    <row r="204" spans="1:16" ht="12.75">
      <c r="A204" s="619"/>
      <c r="B204" s="43"/>
      <c r="C204" s="43"/>
      <c r="D204" s="43"/>
      <c r="E204" s="43"/>
      <c r="F204" s="43"/>
      <c r="G204" s="43"/>
      <c r="H204" s="43"/>
      <c r="I204" s="43"/>
      <c r="J204" s="43"/>
      <c r="K204" s="43"/>
      <c r="L204" s="43"/>
      <c r="M204" s="43"/>
      <c r="N204" s="43"/>
      <c r="O204" s="43"/>
      <c r="P204" s="43"/>
    </row>
    <row r="205" spans="1:16" ht="12.75">
      <c r="A205" s="619"/>
      <c r="B205" s="43"/>
      <c r="C205" s="43"/>
      <c r="D205" s="43"/>
      <c r="E205" s="43"/>
      <c r="F205" s="43"/>
      <c r="G205" s="43"/>
      <c r="H205" s="43"/>
      <c r="I205" s="43"/>
      <c r="J205" s="43"/>
      <c r="K205" s="43"/>
      <c r="L205" s="43"/>
      <c r="M205" s="43"/>
      <c r="N205" s="43"/>
      <c r="O205" s="43"/>
      <c r="P205" s="43"/>
    </row>
    <row r="206" spans="1:16" ht="12.75">
      <c r="A206" s="619"/>
      <c r="B206" s="43"/>
      <c r="C206" s="43"/>
      <c r="D206" s="43"/>
      <c r="E206" s="43"/>
      <c r="F206" s="43"/>
      <c r="G206" s="43"/>
      <c r="H206" s="43"/>
      <c r="I206" s="43"/>
      <c r="J206" s="43"/>
      <c r="K206" s="43"/>
      <c r="L206" s="43"/>
      <c r="M206" s="43"/>
      <c r="N206" s="43"/>
      <c r="O206" s="43"/>
      <c r="P206" s="43"/>
    </row>
    <row r="207" spans="1:16" ht="12.75">
      <c r="A207" s="619"/>
      <c r="B207" s="43"/>
      <c r="C207" s="43"/>
      <c r="D207" s="43"/>
      <c r="E207" s="43"/>
      <c r="F207" s="43"/>
      <c r="G207" s="43"/>
      <c r="H207" s="43"/>
      <c r="I207" s="43"/>
      <c r="J207" s="43"/>
      <c r="K207" s="43"/>
      <c r="L207" s="43"/>
      <c r="M207" s="43"/>
      <c r="N207" s="43"/>
      <c r="O207" s="43"/>
      <c r="P207" s="43"/>
    </row>
    <row r="208" spans="1:16" ht="12.75">
      <c r="A208" s="619"/>
      <c r="B208" s="43"/>
      <c r="C208" s="43"/>
      <c r="D208" s="43"/>
      <c r="E208" s="43"/>
      <c r="F208" s="43"/>
      <c r="G208" s="43"/>
      <c r="H208" s="43"/>
      <c r="I208" s="43"/>
      <c r="J208" s="43"/>
      <c r="K208" s="43"/>
      <c r="L208" s="43"/>
      <c r="M208" s="43"/>
      <c r="N208" s="43"/>
      <c r="O208" s="43"/>
      <c r="P208" s="43"/>
    </row>
    <row r="209" spans="1:16" ht="12.75">
      <c r="A209" s="619"/>
      <c r="B209" s="43"/>
      <c r="C209" s="43"/>
      <c r="D209" s="43"/>
      <c r="E209" s="43"/>
      <c r="F209" s="43"/>
      <c r="G209" s="43"/>
      <c r="H209" s="43"/>
      <c r="I209" s="43"/>
      <c r="J209" s="43"/>
      <c r="K209" s="43"/>
      <c r="L209" s="43"/>
      <c r="M209" s="43"/>
      <c r="N209" s="43"/>
      <c r="O209" s="43"/>
      <c r="P209" s="43"/>
    </row>
    <row r="210" spans="1:16" ht="12.75">
      <c r="A210" s="619"/>
      <c r="B210" s="43"/>
      <c r="C210" s="43"/>
      <c r="D210" s="43"/>
      <c r="E210" s="43"/>
      <c r="F210" s="43"/>
      <c r="G210" s="43"/>
      <c r="H210" s="43"/>
      <c r="I210" s="43"/>
      <c r="J210" s="43"/>
      <c r="K210" s="43"/>
      <c r="L210" s="43"/>
      <c r="M210" s="43"/>
      <c r="N210" s="43"/>
      <c r="O210" s="43"/>
      <c r="P210" s="43"/>
    </row>
    <row r="211" spans="1:16" ht="12.75">
      <c r="A211" s="619"/>
      <c r="B211" s="43"/>
      <c r="C211" s="43"/>
      <c r="D211" s="43"/>
      <c r="E211" s="43"/>
      <c r="F211" s="43"/>
      <c r="G211" s="43"/>
      <c r="H211" s="43"/>
      <c r="I211" s="43"/>
      <c r="J211" s="43"/>
      <c r="K211" s="43"/>
      <c r="L211" s="43"/>
      <c r="M211" s="43"/>
      <c r="N211" s="43"/>
      <c r="O211" s="43"/>
      <c r="P211" s="43"/>
    </row>
    <row r="212" spans="1:16" ht="12.75">
      <c r="A212" s="619"/>
      <c r="B212" s="43"/>
      <c r="C212" s="43"/>
      <c r="D212" s="43"/>
      <c r="E212" s="43"/>
      <c r="F212" s="43"/>
      <c r="G212" s="43"/>
      <c r="H212" s="43"/>
      <c r="I212" s="43"/>
      <c r="J212" s="43"/>
      <c r="K212" s="43"/>
      <c r="L212" s="43"/>
      <c r="M212" s="43"/>
      <c r="N212" s="43"/>
      <c r="O212" s="43"/>
      <c r="P212" s="43"/>
    </row>
    <row r="213" spans="1:16" ht="12.75">
      <c r="A213" s="619"/>
      <c r="B213" s="43"/>
      <c r="C213" s="43"/>
      <c r="D213" s="43"/>
      <c r="E213" s="43"/>
      <c r="F213" s="43"/>
      <c r="G213" s="43"/>
      <c r="H213" s="43"/>
      <c r="I213" s="43"/>
      <c r="J213" s="43"/>
      <c r="K213" s="43"/>
      <c r="L213" s="43"/>
      <c r="M213" s="43"/>
      <c r="N213" s="43"/>
      <c r="O213" s="43"/>
      <c r="P213" s="43"/>
    </row>
    <row r="214" spans="1:16" ht="12.75">
      <c r="A214" s="619"/>
      <c r="B214" s="43"/>
      <c r="C214" s="43"/>
      <c r="D214" s="43"/>
      <c r="E214" s="43"/>
      <c r="F214" s="43"/>
      <c r="G214" s="43"/>
      <c r="H214" s="43"/>
      <c r="I214" s="43"/>
      <c r="J214" s="43"/>
      <c r="K214" s="43"/>
      <c r="L214" s="43"/>
      <c r="M214" s="43"/>
      <c r="N214" s="43"/>
      <c r="O214" s="43"/>
      <c r="P214" s="43"/>
    </row>
    <row r="215" spans="1:16" ht="12.75">
      <c r="A215" s="619"/>
      <c r="B215" s="43"/>
      <c r="C215" s="43"/>
      <c r="D215" s="43"/>
      <c r="E215" s="43"/>
      <c r="F215" s="43"/>
      <c r="G215" s="43"/>
      <c r="H215" s="43"/>
      <c r="I215" s="43"/>
      <c r="J215" s="43"/>
      <c r="K215" s="43"/>
      <c r="L215" s="43"/>
      <c r="M215" s="43"/>
      <c r="N215" s="43"/>
      <c r="O215" s="43"/>
      <c r="P215" s="43"/>
    </row>
    <row r="216" spans="1:16" ht="12.75">
      <c r="A216" s="619"/>
      <c r="B216" s="43"/>
      <c r="C216" s="43"/>
      <c r="D216" s="43"/>
      <c r="E216" s="43"/>
      <c r="F216" s="43"/>
      <c r="G216" s="43"/>
      <c r="H216" s="43"/>
      <c r="I216" s="43"/>
      <c r="J216" s="43"/>
      <c r="K216" s="43"/>
      <c r="L216" s="43"/>
      <c r="M216" s="43"/>
      <c r="N216" s="43"/>
      <c r="O216" s="43"/>
      <c r="P216" s="43"/>
    </row>
    <row r="217" spans="1:16" ht="12.75">
      <c r="A217" s="619"/>
      <c r="B217" s="43"/>
      <c r="C217" s="43"/>
      <c r="D217" s="43"/>
      <c r="E217" s="43"/>
      <c r="F217" s="43"/>
      <c r="G217" s="43"/>
      <c r="H217" s="43"/>
      <c r="I217" s="43"/>
      <c r="J217" s="43"/>
      <c r="K217" s="43"/>
      <c r="L217" s="43"/>
      <c r="M217" s="43"/>
      <c r="N217" s="43"/>
      <c r="O217" s="43"/>
      <c r="P217" s="43"/>
    </row>
    <row r="218" spans="1:16" ht="12.75">
      <c r="A218" s="619"/>
      <c r="B218" s="43"/>
      <c r="C218" s="43"/>
      <c r="D218" s="43"/>
      <c r="E218" s="43"/>
      <c r="F218" s="43"/>
      <c r="G218" s="43"/>
      <c r="H218" s="43"/>
      <c r="I218" s="43"/>
      <c r="J218" s="43"/>
      <c r="K218" s="43"/>
      <c r="L218" s="43"/>
      <c r="M218" s="43"/>
      <c r="N218" s="43"/>
      <c r="O218" s="43"/>
      <c r="P218" s="43"/>
    </row>
    <row r="219" spans="1:16" ht="12.75">
      <c r="A219" s="619"/>
      <c r="B219" s="43"/>
      <c r="C219" s="43"/>
      <c r="D219" s="43"/>
      <c r="E219" s="43"/>
      <c r="F219" s="43"/>
      <c r="G219" s="43"/>
      <c r="H219" s="43"/>
      <c r="I219" s="43"/>
      <c r="J219" s="43"/>
      <c r="K219" s="43"/>
      <c r="L219" s="43"/>
      <c r="M219" s="43"/>
      <c r="N219" s="43"/>
      <c r="O219" s="43"/>
      <c r="P219" s="43"/>
    </row>
    <row r="220" spans="1:16" ht="12.75">
      <c r="A220" s="619"/>
      <c r="B220" s="43"/>
      <c r="C220" s="43"/>
      <c r="D220" s="43"/>
      <c r="E220" s="43"/>
      <c r="F220" s="43"/>
      <c r="G220" s="43"/>
      <c r="H220" s="43"/>
      <c r="I220" s="43"/>
      <c r="J220" s="43"/>
      <c r="K220" s="43"/>
      <c r="L220" s="43"/>
      <c r="M220" s="43"/>
      <c r="N220" s="43"/>
      <c r="O220" s="43"/>
      <c r="P220" s="43"/>
    </row>
    <row r="221" spans="1:16" ht="12.75">
      <c r="A221" s="619"/>
      <c r="B221" s="43"/>
      <c r="C221" s="43"/>
      <c r="D221" s="43"/>
      <c r="E221" s="43"/>
      <c r="F221" s="43"/>
      <c r="G221" s="43"/>
      <c r="H221" s="43"/>
      <c r="I221" s="43"/>
      <c r="J221" s="43"/>
      <c r="K221" s="43"/>
      <c r="L221" s="43"/>
      <c r="M221" s="43"/>
      <c r="N221" s="43"/>
      <c r="O221" s="43"/>
      <c r="P221" s="43"/>
    </row>
    <row r="222" spans="1:16" ht="12.75">
      <c r="A222" s="619"/>
      <c r="B222" s="43"/>
      <c r="C222" s="43"/>
      <c r="D222" s="43"/>
      <c r="E222" s="43"/>
      <c r="F222" s="43"/>
      <c r="G222" s="43"/>
      <c r="H222" s="43"/>
      <c r="I222" s="43"/>
      <c r="J222" s="43"/>
      <c r="K222" s="43"/>
      <c r="L222" s="43"/>
      <c r="M222" s="43"/>
      <c r="N222" s="43"/>
      <c r="O222" s="43"/>
      <c r="P222" s="43"/>
    </row>
    <row r="223" spans="1:16" ht="12.75">
      <c r="A223" s="619"/>
      <c r="B223" s="43"/>
      <c r="C223" s="43"/>
      <c r="D223" s="43"/>
      <c r="E223" s="43"/>
      <c r="F223" s="43"/>
      <c r="G223" s="43"/>
      <c r="H223" s="43"/>
      <c r="I223" s="43"/>
      <c r="J223" s="43"/>
      <c r="K223" s="43"/>
      <c r="L223" s="43"/>
      <c r="M223" s="43"/>
      <c r="N223" s="43"/>
      <c r="O223" s="43"/>
      <c r="P223" s="43"/>
    </row>
    <row r="224" spans="1:16" ht="12.75">
      <c r="A224" s="619"/>
      <c r="B224" s="43"/>
      <c r="C224" s="43"/>
      <c r="D224" s="43"/>
      <c r="E224" s="43"/>
      <c r="F224" s="43"/>
      <c r="G224" s="43"/>
      <c r="H224" s="43"/>
      <c r="I224" s="43"/>
      <c r="J224" s="43"/>
      <c r="K224" s="43"/>
      <c r="L224" s="43"/>
      <c r="M224" s="43"/>
      <c r="N224" s="43"/>
      <c r="O224" s="43"/>
      <c r="P224" s="43"/>
    </row>
    <row r="225" spans="1:16" ht="12.75">
      <c r="A225" s="619"/>
      <c r="B225" s="43"/>
      <c r="C225" s="43"/>
      <c r="D225" s="43"/>
      <c r="E225" s="43"/>
      <c r="F225" s="43"/>
      <c r="G225" s="43"/>
      <c r="H225" s="43"/>
      <c r="I225" s="43"/>
      <c r="J225" s="43"/>
      <c r="K225" s="43"/>
      <c r="L225" s="43"/>
      <c r="M225" s="43"/>
      <c r="N225" s="43"/>
      <c r="O225" s="43"/>
      <c r="P225" s="43"/>
    </row>
    <row r="226" spans="1:16" ht="12.75">
      <c r="A226" s="619"/>
      <c r="B226" s="43"/>
      <c r="C226" s="43"/>
      <c r="D226" s="43"/>
      <c r="E226" s="43"/>
      <c r="F226" s="43"/>
      <c r="G226" s="43"/>
      <c r="H226" s="43"/>
      <c r="I226" s="43"/>
      <c r="J226" s="43"/>
      <c r="K226" s="43"/>
      <c r="L226" s="43"/>
      <c r="M226" s="43"/>
      <c r="N226" s="43"/>
      <c r="O226" s="43"/>
      <c r="P226" s="43"/>
    </row>
    <row r="227" spans="1:16" ht="12.75">
      <c r="A227" s="619"/>
      <c r="B227" s="43"/>
      <c r="C227" s="43"/>
      <c r="D227" s="43"/>
      <c r="E227" s="43"/>
      <c r="F227" s="43"/>
      <c r="G227" s="43"/>
      <c r="H227" s="43"/>
      <c r="I227" s="43"/>
      <c r="J227" s="43"/>
      <c r="K227" s="43"/>
      <c r="L227" s="43"/>
      <c r="M227" s="43"/>
      <c r="N227" s="43"/>
      <c r="O227" s="43"/>
      <c r="P227" s="43"/>
    </row>
    <row r="228" spans="1:16" ht="12.75">
      <c r="A228" s="619"/>
      <c r="B228" s="43"/>
      <c r="C228" s="43"/>
      <c r="D228" s="43"/>
      <c r="E228" s="43"/>
      <c r="F228" s="43"/>
      <c r="G228" s="43"/>
      <c r="H228" s="43"/>
      <c r="I228" s="43"/>
      <c r="J228" s="43"/>
      <c r="K228" s="43"/>
      <c r="L228" s="43"/>
      <c r="M228" s="43"/>
      <c r="N228" s="43"/>
      <c r="O228" s="43"/>
      <c r="P228" s="43"/>
    </row>
    <row r="229" spans="1:16" ht="12.75">
      <c r="A229" s="619"/>
      <c r="B229" s="43"/>
      <c r="C229" s="43"/>
      <c r="D229" s="43"/>
      <c r="E229" s="43"/>
      <c r="F229" s="43"/>
      <c r="G229" s="43"/>
      <c r="H229" s="43"/>
      <c r="I229" s="43"/>
      <c r="J229" s="43"/>
      <c r="K229" s="43"/>
      <c r="L229" s="43"/>
      <c r="M229" s="43"/>
      <c r="N229" s="43"/>
      <c r="O229" s="43"/>
      <c r="P229" s="43"/>
    </row>
    <row r="230" spans="1:16" ht="12.75">
      <c r="A230" s="619"/>
      <c r="B230" s="43"/>
      <c r="C230" s="43"/>
      <c r="D230" s="43"/>
      <c r="E230" s="43"/>
      <c r="F230" s="43"/>
      <c r="G230" s="43"/>
      <c r="H230" s="43"/>
      <c r="I230" s="43"/>
      <c r="J230" s="43"/>
      <c r="K230" s="43"/>
      <c r="L230" s="43"/>
      <c r="M230" s="43"/>
      <c r="N230" s="43"/>
      <c r="O230" s="43"/>
      <c r="P230" s="43"/>
    </row>
    <row r="231" spans="1:16" ht="12.75">
      <c r="A231" s="619"/>
      <c r="B231" s="43"/>
      <c r="C231" s="43"/>
      <c r="D231" s="43"/>
      <c r="E231" s="43"/>
      <c r="F231" s="43"/>
      <c r="G231" s="43"/>
      <c r="H231" s="43"/>
      <c r="I231" s="43"/>
      <c r="J231" s="43"/>
      <c r="K231" s="43"/>
      <c r="L231" s="43"/>
      <c r="M231" s="43"/>
      <c r="N231" s="43"/>
      <c r="O231" s="43"/>
      <c r="P231" s="43"/>
    </row>
    <row r="232" spans="1:16" ht="12.75">
      <c r="A232" s="619"/>
      <c r="B232" s="43"/>
      <c r="C232" s="43"/>
      <c r="D232" s="43"/>
      <c r="E232" s="43"/>
      <c r="F232" s="43"/>
      <c r="G232" s="43"/>
      <c r="H232" s="43"/>
      <c r="I232" s="43"/>
      <c r="J232" s="43"/>
      <c r="K232" s="43"/>
      <c r="L232" s="43"/>
      <c r="M232" s="43"/>
      <c r="N232" s="43"/>
      <c r="O232" s="43"/>
      <c r="P232" s="43"/>
    </row>
    <row r="233" spans="1:16" ht="12.75">
      <c r="A233" s="619"/>
      <c r="B233" s="43"/>
      <c r="C233" s="43"/>
      <c r="D233" s="43"/>
      <c r="E233" s="43"/>
      <c r="F233" s="43"/>
      <c r="G233" s="43"/>
      <c r="H233" s="43"/>
      <c r="I233" s="43"/>
      <c r="J233" s="43"/>
      <c r="K233" s="43"/>
      <c r="L233" s="43"/>
      <c r="M233" s="43"/>
      <c r="N233" s="43"/>
      <c r="O233" s="43"/>
      <c r="P233" s="43"/>
    </row>
    <row r="234" spans="1:16" ht="12.75">
      <c r="A234" s="619"/>
      <c r="B234" s="43"/>
      <c r="C234" s="43"/>
      <c r="D234" s="43"/>
      <c r="E234" s="43"/>
      <c r="F234" s="43"/>
      <c r="G234" s="43"/>
      <c r="H234" s="43"/>
      <c r="I234" s="43"/>
      <c r="J234" s="43"/>
      <c r="K234" s="43"/>
      <c r="L234" s="43"/>
      <c r="M234" s="43"/>
      <c r="N234" s="43"/>
      <c r="O234" s="43"/>
      <c r="P234" s="43"/>
    </row>
    <row r="235" spans="1:16" ht="12.75">
      <c r="A235" s="619"/>
      <c r="B235" s="43"/>
      <c r="C235" s="43"/>
      <c r="D235" s="43"/>
      <c r="E235" s="43"/>
      <c r="F235" s="43"/>
      <c r="G235" s="43"/>
      <c r="H235" s="43"/>
      <c r="I235" s="43"/>
      <c r="J235" s="43"/>
      <c r="K235" s="43"/>
      <c r="L235" s="43"/>
      <c r="M235" s="43"/>
      <c r="N235" s="43"/>
      <c r="O235" s="43"/>
      <c r="P235" s="43"/>
    </row>
    <row r="236" spans="1:16" ht="12.75">
      <c r="A236" s="619"/>
      <c r="B236" s="43"/>
      <c r="C236" s="43"/>
      <c r="D236" s="43"/>
      <c r="E236" s="43"/>
      <c r="F236" s="43"/>
      <c r="G236" s="43"/>
      <c r="H236" s="43"/>
      <c r="I236" s="43"/>
      <c r="J236" s="43"/>
      <c r="K236" s="43"/>
      <c r="L236" s="43"/>
      <c r="M236" s="43"/>
      <c r="N236" s="43"/>
      <c r="O236" s="43"/>
      <c r="P236" s="43"/>
    </row>
    <row r="237" spans="1:16" ht="12.75">
      <c r="A237" s="619"/>
      <c r="B237" s="43"/>
      <c r="C237" s="43"/>
      <c r="D237" s="43"/>
      <c r="E237" s="43"/>
      <c r="F237" s="43"/>
      <c r="G237" s="43"/>
      <c r="H237" s="43"/>
      <c r="I237" s="43"/>
      <c r="J237" s="43"/>
      <c r="K237" s="43"/>
      <c r="L237" s="43"/>
      <c r="M237" s="43"/>
      <c r="N237" s="43"/>
      <c r="O237" s="43"/>
      <c r="P237" s="43"/>
    </row>
    <row r="238" spans="1:16" ht="12.75">
      <c r="A238" s="619"/>
      <c r="B238" s="43"/>
      <c r="C238" s="43"/>
      <c r="D238" s="43"/>
      <c r="E238" s="43"/>
      <c r="F238" s="43"/>
      <c r="G238" s="43"/>
      <c r="H238" s="43"/>
      <c r="I238" s="43"/>
      <c r="J238" s="43"/>
      <c r="K238" s="43"/>
      <c r="L238" s="43"/>
      <c r="M238" s="43"/>
      <c r="N238" s="43"/>
      <c r="O238" s="43"/>
      <c r="P238" s="43"/>
    </row>
    <row r="239" spans="1:16" ht="12.75">
      <c r="A239" s="619"/>
      <c r="B239" s="43"/>
      <c r="C239" s="43"/>
      <c r="D239" s="43"/>
      <c r="E239" s="43"/>
      <c r="F239" s="43"/>
      <c r="G239" s="43"/>
      <c r="H239" s="43"/>
      <c r="I239" s="43"/>
      <c r="J239" s="43"/>
      <c r="K239" s="43"/>
      <c r="L239" s="43"/>
      <c r="M239" s="43"/>
      <c r="N239" s="43"/>
      <c r="O239" s="43"/>
      <c r="P239" s="43"/>
    </row>
    <row r="240" spans="1:16" ht="12.75">
      <c r="A240" s="619"/>
      <c r="B240" s="43"/>
      <c r="C240" s="43"/>
      <c r="D240" s="43"/>
      <c r="E240" s="43"/>
      <c r="F240" s="43"/>
      <c r="G240" s="43"/>
      <c r="H240" s="43"/>
      <c r="I240" s="43"/>
      <c r="J240" s="43"/>
      <c r="K240" s="43"/>
      <c r="L240" s="43"/>
      <c r="M240" s="43"/>
      <c r="N240" s="43"/>
      <c r="O240" s="43"/>
      <c r="P240" s="43"/>
    </row>
    <row r="241" spans="1:16" ht="12.75">
      <c r="A241" s="619"/>
      <c r="B241" s="43"/>
      <c r="C241" s="43"/>
      <c r="D241" s="43"/>
      <c r="E241" s="43"/>
      <c r="F241" s="43"/>
      <c r="G241" s="43"/>
      <c r="H241" s="43"/>
      <c r="I241" s="43"/>
      <c r="J241" s="43"/>
      <c r="K241" s="43"/>
      <c r="L241" s="43"/>
      <c r="M241" s="43"/>
      <c r="N241" s="43"/>
      <c r="O241" s="43"/>
      <c r="P241" s="43"/>
    </row>
    <row r="242" spans="1:16" ht="12.75">
      <c r="A242" s="619"/>
      <c r="B242" s="43"/>
      <c r="C242" s="43"/>
      <c r="D242" s="43"/>
      <c r="E242" s="43"/>
      <c r="F242" s="43"/>
      <c r="G242" s="43"/>
      <c r="H242" s="43"/>
      <c r="I242" s="43"/>
      <c r="J242" s="43"/>
      <c r="K242" s="43"/>
      <c r="L242" s="43"/>
      <c r="M242" s="43"/>
      <c r="N242" s="43"/>
      <c r="O242" s="43"/>
      <c r="P242" s="43"/>
    </row>
    <row r="243" spans="1:16" ht="12.75">
      <c r="A243" s="619"/>
      <c r="B243" s="43"/>
      <c r="C243" s="43"/>
      <c r="D243" s="43"/>
      <c r="E243" s="43"/>
      <c r="F243" s="43"/>
      <c r="G243" s="43"/>
      <c r="H243" s="43"/>
      <c r="I243" s="43"/>
      <c r="J243" s="43"/>
      <c r="K243" s="43"/>
      <c r="L243" s="43"/>
      <c r="M243" s="43"/>
      <c r="N243" s="43"/>
      <c r="O243" s="43"/>
      <c r="P243" s="43"/>
    </row>
    <row r="244" spans="1:16" ht="12.75">
      <c r="A244" s="619"/>
      <c r="B244" s="43"/>
      <c r="C244" s="43"/>
      <c r="D244" s="43"/>
      <c r="E244" s="43"/>
      <c r="F244" s="43"/>
      <c r="G244" s="43"/>
      <c r="H244" s="43"/>
      <c r="I244" s="43"/>
      <c r="J244" s="43"/>
      <c r="K244" s="43"/>
      <c r="L244" s="43"/>
      <c r="M244" s="43"/>
      <c r="N244" s="43"/>
      <c r="O244" s="43"/>
      <c r="P244" s="43"/>
    </row>
    <row r="245" spans="1:16" ht="12.75">
      <c r="A245" s="619"/>
      <c r="B245" s="43"/>
      <c r="C245" s="43"/>
      <c r="D245" s="43"/>
      <c r="E245" s="43"/>
      <c r="F245" s="43"/>
      <c r="G245" s="43"/>
      <c r="H245" s="43"/>
      <c r="I245" s="43"/>
      <c r="J245" s="43"/>
      <c r="K245" s="43"/>
      <c r="L245" s="43"/>
      <c r="M245" s="43"/>
      <c r="N245" s="43"/>
      <c r="O245" s="43"/>
      <c r="P245" s="43"/>
    </row>
    <row r="246" spans="1:16" ht="12.75">
      <c r="A246" s="619"/>
      <c r="B246" s="43"/>
      <c r="C246" s="43"/>
      <c r="D246" s="43"/>
      <c r="E246" s="43"/>
      <c r="F246" s="43"/>
      <c r="G246" s="43"/>
      <c r="H246" s="43"/>
      <c r="I246" s="43"/>
      <c r="J246" s="43"/>
      <c r="K246" s="43"/>
      <c r="L246" s="43"/>
      <c r="M246" s="43"/>
      <c r="N246" s="43"/>
      <c r="O246" s="43"/>
      <c r="P246" s="43"/>
    </row>
    <row r="247" spans="1:16" ht="12.75">
      <c r="A247" s="619"/>
      <c r="B247" s="43"/>
      <c r="C247" s="43"/>
      <c r="D247" s="43"/>
      <c r="E247" s="43"/>
      <c r="F247" s="43"/>
      <c r="G247" s="43"/>
      <c r="H247" s="43"/>
      <c r="I247" s="43"/>
      <c r="J247" s="43"/>
      <c r="K247" s="43"/>
      <c r="L247" s="43"/>
      <c r="M247" s="43"/>
      <c r="N247" s="43"/>
      <c r="O247" s="43"/>
      <c r="P247" s="43"/>
    </row>
    <row r="248" spans="1:16" ht="12.75">
      <c r="A248" s="619"/>
      <c r="B248" s="43"/>
      <c r="C248" s="43"/>
      <c r="D248" s="43"/>
      <c r="E248" s="43"/>
      <c r="F248" s="43"/>
      <c r="G248" s="43"/>
      <c r="H248" s="43"/>
      <c r="I248" s="43"/>
      <c r="J248" s="43"/>
      <c r="K248" s="43"/>
      <c r="L248" s="43"/>
      <c r="M248" s="43"/>
      <c r="N248" s="43"/>
      <c r="O248" s="43"/>
      <c r="P248" s="43"/>
    </row>
    <row r="249" spans="1:16" ht="12.75">
      <c r="A249" s="619"/>
      <c r="B249" s="43"/>
      <c r="C249" s="43"/>
      <c r="D249" s="43"/>
      <c r="E249" s="43"/>
      <c r="F249" s="43"/>
      <c r="G249" s="43"/>
      <c r="H249" s="43"/>
      <c r="I249" s="43"/>
      <c r="J249" s="43"/>
      <c r="K249" s="43"/>
      <c r="L249" s="43"/>
      <c r="M249" s="43"/>
      <c r="N249" s="43"/>
      <c r="O249" s="43"/>
      <c r="P249" s="43"/>
    </row>
    <row r="250" spans="1:16" ht="12.75">
      <c r="A250" s="619"/>
      <c r="B250" s="43"/>
      <c r="C250" s="43"/>
      <c r="D250" s="43"/>
      <c r="E250" s="43"/>
      <c r="F250" s="43"/>
      <c r="G250" s="43"/>
      <c r="H250" s="43"/>
      <c r="I250" s="43"/>
      <c r="J250" s="43"/>
      <c r="K250" s="43"/>
      <c r="L250" s="43"/>
      <c r="M250" s="43"/>
      <c r="N250" s="43"/>
      <c r="O250" s="43"/>
      <c r="P250" s="43"/>
    </row>
    <row r="251" spans="1:16" ht="12.75">
      <c r="A251" s="619"/>
      <c r="B251" s="43"/>
      <c r="C251" s="43"/>
      <c r="D251" s="43"/>
      <c r="E251" s="43"/>
      <c r="F251" s="43"/>
      <c r="G251" s="43"/>
      <c r="H251" s="43"/>
      <c r="I251" s="43"/>
      <c r="J251" s="43"/>
      <c r="K251" s="43"/>
      <c r="L251" s="43"/>
      <c r="M251" s="43"/>
      <c r="N251" s="43"/>
      <c r="O251" s="43"/>
      <c r="P251" s="43"/>
    </row>
    <row r="252" spans="1:16" ht="12.75">
      <c r="A252" s="619"/>
      <c r="B252" s="43"/>
      <c r="C252" s="43"/>
      <c r="D252" s="43"/>
      <c r="E252" s="43"/>
      <c r="F252" s="43"/>
      <c r="G252" s="43"/>
      <c r="H252" s="43"/>
      <c r="I252" s="43"/>
      <c r="J252" s="43"/>
      <c r="K252" s="43"/>
      <c r="L252" s="43"/>
      <c r="M252" s="43"/>
      <c r="N252" s="43"/>
      <c r="O252" s="43"/>
      <c r="P252" s="43"/>
    </row>
    <row r="253" spans="1:16" ht="12.75">
      <c r="A253" s="619"/>
      <c r="B253" s="43"/>
      <c r="C253" s="43"/>
      <c r="D253" s="43"/>
      <c r="E253" s="43"/>
      <c r="F253" s="43"/>
      <c r="G253" s="43"/>
      <c r="H253" s="43"/>
      <c r="I253" s="43"/>
      <c r="J253" s="43"/>
      <c r="K253" s="43"/>
      <c r="L253" s="43"/>
      <c r="M253" s="43"/>
      <c r="N253" s="43"/>
      <c r="O253" s="43"/>
      <c r="P253" s="43"/>
    </row>
    <row r="254" spans="1:16" ht="12.75">
      <c r="A254" s="619"/>
      <c r="B254" s="43"/>
      <c r="C254" s="43"/>
      <c r="D254" s="43"/>
      <c r="E254" s="43"/>
      <c r="F254" s="43"/>
      <c r="G254" s="43"/>
      <c r="H254" s="43"/>
      <c r="I254" s="43"/>
      <c r="J254" s="43"/>
      <c r="K254" s="43"/>
      <c r="L254" s="43"/>
      <c r="M254" s="43"/>
      <c r="N254" s="43"/>
      <c r="O254" s="43"/>
      <c r="P254" s="43"/>
    </row>
    <row r="255" spans="1:16" ht="12.75">
      <c r="A255" s="619"/>
      <c r="B255" s="43"/>
      <c r="C255" s="43"/>
      <c r="D255" s="43"/>
      <c r="E255" s="43"/>
      <c r="F255" s="43"/>
      <c r="G255" s="43"/>
      <c r="H255" s="43"/>
      <c r="I255" s="43"/>
      <c r="J255" s="43"/>
      <c r="K255" s="43"/>
      <c r="L255" s="43"/>
      <c r="M255" s="43"/>
      <c r="N255" s="43"/>
      <c r="O255" s="43"/>
      <c r="P255" s="43"/>
    </row>
    <row r="256" spans="1:16" ht="12.75">
      <c r="A256" s="619"/>
      <c r="B256" s="43"/>
      <c r="C256" s="43"/>
      <c r="D256" s="43"/>
      <c r="E256" s="43"/>
      <c r="F256" s="43"/>
      <c r="G256" s="43"/>
      <c r="H256" s="43"/>
      <c r="I256" s="43"/>
      <c r="J256" s="43"/>
      <c r="K256" s="43"/>
      <c r="L256" s="43"/>
      <c r="M256" s="43"/>
      <c r="N256" s="43"/>
      <c r="O256" s="43"/>
      <c r="P256" s="43"/>
    </row>
    <row r="257" spans="1:16" ht="12.75">
      <c r="A257" s="619"/>
      <c r="B257" s="43"/>
      <c r="C257" s="43"/>
      <c r="D257" s="43"/>
      <c r="E257" s="43"/>
      <c r="F257" s="43"/>
      <c r="G257" s="43"/>
      <c r="H257" s="43"/>
      <c r="I257" s="43"/>
      <c r="J257" s="43"/>
      <c r="K257" s="43"/>
      <c r="L257" s="43"/>
      <c r="M257" s="43"/>
      <c r="N257" s="43"/>
      <c r="O257" s="43"/>
      <c r="P257" s="43"/>
    </row>
    <row r="258" spans="1:16" ht="12.75">
      <c r="A258" s="619"/>
      <c r="B258" s="43"/>
      <c r="C258" s="43"/>
      <c r="D258" s="43"/>
      <c r="E258" s="43"/>
      <c r="F258" s="43"/>
      <c r="G258" s="43"/>
      <c r="H258" s="43"/>
      <c r="I258" s="43"/>
      <c r="J258" s="43"/>
      <c r="K258" s="43"/>
      <c r="L258" s="43"/>
      <c r="M258" s="43"/>
      <c r="N258" s="43"/>
      <c r="O258" s="43"/>
      <c r="P258" s="43"/>
    </row>
    <row r="259" spans="1:16" ht="12.75">
      <c r="A259" s="619"/>
      <c r="B259" s="43"/>
      <c r="C259" s="43"/>
      <c r="D259" s="43"/>
      <c r="E259" s="43"/>
      <c r="F259" s="43"/>
      <c r="G259" s="43"/>
      <c r="H259" s="43"/>
      <c r="I259" s="43"/>
      <c r="J259" s="43"/>
      <c r="K259" s="43"/>
      <c r="L259" s="43"/>
      <c r="M259" s="43"/>
      <c r="N259" s="43"/>
      <c r="O259" s="43"/>
      <c r="P259" s="43"/>
    </row>
    <row r="260" spans="1:16" ht="12.75">
      <c r="A260" s="619"/>
      <c r="B260" s="43"/>
      <c r="C260" s="43"/>
      <c r="D260" s="43"/>
      <c r="E260" s="43"/>
      <c r="F260" s="43"/>
      <c r="G260" s="43"/>
      <c r="H260" s="43"/>
      <c r="I260" s="43"/>
      <c r="J260" s="43"/>
      <c r="K260" s="43"/>
      <c r="L260" s="43"/>
      <c r="M260" s="43"/>
      <c r="N260" s="43"/>
      <c r="O260" s="43"/>
      <c r="P260" s="43"/>
    </row>
    <row r="261" spans="1:16" ht="12.75">
      <c r="A261" s="619"/>
      <c r="B261" s="43"/>
      <c r="C261" s="43"/>
      <c r="D261" s="43"/>
      <c r="E261" s="43"/>
      <c r="F261" s="43"/>
      <c r="G261" s="43"/>
      <c r="H261" s="43"/>
      <c r="I261" s="43"/>
      <c r="J261" s="43"/>
      <c r="K261" s="43"/>
      <c r="L261" s="43"/>
      <c r="M261" s="43"/>
      <c r="N261" s="43"/>
      <c r="O261" s="43"/>
      <c r="P261" s="43"/>
    </row>
    <row r="262" spans="1:16" ht="12.75">
      <c r="A262" s="619"/>
      <c r="B262" s="43"/>
      <c r="C262" s="43"/>
      <c r="D262" s="43"/>
      <c r="E262" s="43"/>
      <c r="F262" s="43"/>
      <c r="G262" s="43"/>
      <c r="H262" s="43"/>
      <c r="I262" s="43"/>
      <c r="J262" s="43"/>
      <c r="K262" s="43"/>
      <c r="L262" s="43"/>
      <c r="M262" s="43"/>
      <c r="N262" s="43"/>
      <c r="O262" s="43"/>
      <c r="P262" s="43"/>
    </row>
    <row r="263" spans="1:16" ht="12.75">
      <c r="A263" s="619"/>
      <c r="B263" s="43"/>
      <c r="C263" s="43"/>
      <c r="D263" s="43"/>
      <c r="E263" s="43"/>
      <c r="F263" s="43"/>
      <c r="G263" s="43"/>
      <c r="H263" s="43"/>
      <c r="I263" s="43"/>
      <c r="J263" s="43"/>
      <c r="K263" s="43"/>
      <c r="L263" s="43"/>
      <c r="M263" s="43"/>
      <c r="N263" s="43"/>
      <c r="O263" s="43"/>
      <c r="P263" s="43"/>
    </row>
    <row r="264" spans="1:16" ht="12.75">
      <c r="A264" s="619"/>
      <c r="B264" s="43"/>
      <c r="C264" s="43"/>
      <c r="D264" s="43"/>
      <c r="E264" s="43"/>
      <c r="F264" s="43"/>
      <c r="G264" s="43"/>
      <c r="H264" s="43"/>
      <c r="I264" s="43"/>
      <c r="J264" s="43"/>
      <c r="K264" s="43"/>
      <c r="L264" s="43"/>
      <c r="M264" s="43"/>
      <c r="N264" s="43"/>
      <c r="O264" s="43"/>
      <c r="P264" s="43"/>
    </row>
    <row r="265" spans="1:16" ht="12.75">
      <c r="A265" s="619"/>
      <c r="B265" s="43"/>
      <c r="C265" s="43"/>
      <c r="D265" s="43"/>
      <c r="E265" s="43"/>
      <c r="F265" s="43"/>
      <c r="G265" s="43"/>
      <c r="H265" s="43"/>
      <c r="I265" s="43"/>
      <c r="J265" s="43"/>
      <c r="K265" s="43"/>
      <c r="L265" s="43"/>
      <c r="M265" s="43"/>
      <c r="N265" s="43"/>
      <c r="O265" s="43"/>
      <c r="P265" s="43"/>
    </row>
    <row r="266" spans="1:16" ht="12.75">
      <c r="A266" s="619"/>
      <c r="B266" s="43"/>
      <c r="C266" s="43"/>
      <c r="D266" s="43"/>
      <c r="E266" s="43"/>
      <c r="F266" s="43"/>
      <c r="G266" s="43"/>
      <c r="H266" s="43"/>
      <c r="I266" s="43"/>
      <c r="J266" s="43"/>
      <c r="K266" s="43"/>
      <c r="L266" s="43"/>
      <c r="M266" s="43"/>
      <c r="N266" s="43"/>
      <c r="O266" s="43"/>
      <c r="P266" s="43"/>
    </row>
    <row r="267" spans="1:16" ht="12.75">
      <c r="A267" s="619"/>
      <c r="B267" s="43"/>
      <c r="C267" s="43"/>
      <c r="D267" s="43"/>
      <c r="E267" s="43"/>
      <c r="F267" s="43"/>
      <c r="G267" s="43"/>
      <c r="H267" s="43"/>
      <c r="I267" s="43"/>
      <c r="J267" s="43"/>
      <c r="K267" s="43"/>
      <c r="L267" s="43"/>
      <c r="M267" s="43"/>
      <c r="N267" s="43"/>
      <c r="O267" s="43"/>
      <c r="P267" s="43"/>
    </row>
    <row r="268" spans="1:16" ht="12.75">
      <c r="A268" s="619"/>
      <c r="B268" s="43"/>
      <c r="C268" s="43"/>
      <c r="D268" s="43"/>
      <c r="E268" s="43"/>
      <c r="F268" s="43"/>
      <c r="G268" s="43"/>
      <c r="H268" s="43"/>
      <c r="I268" s="43"/>
      <c r="J268" s="43"/>
      <c r="K268" s="43"/>
      <c r="L268" s="43"/>
      <c r="M268" s="43"/>
      <c r="N268" s="43"/>
      <c r="O268" s="43"/>
      <c r="P268" s="43"/>
    </row>
    <row r="269" spans="1:16" ht="12.75">
      <c r="A269" s="619"/>
      <c r="B269" s="43"/>
      <c r="C269" s="43"/>
      <c r="D269" s="43"/>
      <c r="E269" s="43"/>
      <c r="F269" s="43"/>
      <c r="G269" s="43"/>
      <c r="H269" s="43"/>
      <c r="I269" s="43"/>
      <c r="J269" s="43"/>
      <c r="K269" s="43"/>
      <c r="L269" s="43"/>
      <c r="M269" s="43"/>
      <c r="N269" s="43"/>
      <c r="O269" s="43"/>
      <c r="P269" s="43"/>
    </row>
    <row r="270" spans="1:16" ht="12.75">
      <c r="A270" s="619"/>
      <c r="B270" s="43"/>
      <c r="C270" s="43"/>
      <c r="D270" s="43"/>
      <c r="E270" s="43"/>
      <c r="F270" s="43"/>
      <c r="G270" s="43"/>
      <c r="H270" s="43"/>
      <c r="I270" s="43"/>
      <c r="J270" s="43"/>
      <c r="K270" s="43"/>
      <c r="L270" s="43"/>
      <c r="M270" s="43"/>
      <c r="N270" s="43"/>
      <c r="O270" s="43"/>
      <c r="P270" s="43"/>
    </row>
    <row r="271" spans="1:16" ht="12.75">
      <c r="A271" s="619"/>
      <c r="B271" s="43"/>
      <c r="C271" s="43"/>
      <c r="D271" s="43"/>
      <c r="E271" s="43"/>
      <c r="F271" s="43"/>
      <c r="G271" s="43"/>
      <c r="H271" s="43"/>
      <c r="I271" s="43"/>
      <c r="J271" s="43"/>
      <c r="K271" s="43"/>
      <c r="L271" s="43"/>
      <c r="M271" s="43"/>
      <c r="N271" s="43"/>
      <c r="O271" s="43"/>
      <c r="P271" s="43"/>
    </row>
    <row r="272" spans="1:16" ht="12.75">
      <c r="A272" s="619"/>
      <c r="B272" s="43"/>
      <c r="C272" s="43"/>
      <c r="D272" s="43"/>
      <c r="E272" s="43"/>
      <c r="F272" s="43"/>
      <c r="G272" s="43"/>
      <c r="H272" s="43"/>
      <c r="I272" s="43"/>
      <c r="J272" s="43"/>
      <c r="K272" s="43"/>
      <c r="L272" s="43"/>
      <c r="M272" s="43"/>
      <c r="N272" s="43"/>
      <c r="O272" s="43"/>
      <c r="P272" s="43"/>
    </row>
    <row r="273" spans="1:16" ht="12.75">
      <c r="A273" s="619"/>
      <c r="B273" s="43"/>
      <c r="C273" s="43"/>
      <c r="D273" s="43"/>
      <c r="E273" s="43"/>
      <c r="F273" s="43"/>
      <c r="G273" s="43"/>
      <c r="H273" s="43"/>
      <c r="I273" s="43"/>
      <c r="J273" s="43"/>
      <c r="K273" s="43"/>
      <c r="L273" s="43"/>
      <c r="M273" s="43"/>
      <c r="N273" s="43"/>
      <c r="O273" s="43"/>
      <c r="P273" s="43"/>
    </row>
    <row r="274" spans="1:16" ht="12.75">
      <c r="A274" s="619"/>
      <c r="B274" s="43"/>
      <c r="C274" s="43"/>
      <c r="D274" s="43"/>
      <c r="E274" s="43"/>
      <c r="F274" s="43"/>
      <c r="G274" s="43"/>
      <c r="H274" s="43"/>
      <c r="I274" s="43"/>
      <c r="J274" s="43"/>
      <c r="K274" s="43"/>
      <c r="L274" s="43"/>
      <c r="M274" s="43"/>
      <c r="N274" s="43"/>
      <c r="O274" s="43"/>
      <c r="P274" s="43"/>
    </row>
    <row r="275" spans="1:16" ht="12.75">
      <c r="A275" s="619"/>
      <c r="B275" s="43"/>
      <c r="C275" s="43"/>
      <c r="D275" s="43"/>
      <c r="E275" s="43"/>
      <c r="F275" s="43"/>
      <c r="G275" s="43"/>
      <c r="H275" s="43"/>
      <c r="I275" s="43"/>
      <c r="J275" s="43"/>
      <c r="K275" s="43"/>
      <c r="L275" s="43"/>
      <c r="M275" s="43"/>
      <c r="N275" s="43"/>
      <c r="O275" s="43"/>
      <c r="P275" s="43"/>
    </row>
    <row r="276" spans="1:16" ht="12.75">
      <c r="A276" s="619"/>
      <c r="B276" s="43"/>
      <c r="C276" s="43"/>
      <c r="D276" s="43"/>
      <c r="E276" s="43"/>
      <c r="F276" s="43"/>
      <c r="G276" s="43"/>
      <c r="H276" s="43"/>
      <c r="I276" s="43"/>
      <c r="J276" s="43"/>
      <c r="K276" s="43"/>
      <c r="L276" s="43"/>
      <c r="M276" s="43"/>
      <c r="N276" s="43"/>
      <c r="O276" s="43"/>
      <c r="P276" s="43"/>
    </row>
    <row r="277" spans="1:16" ht="12.75">
      <c r="A277" s="619"/>
      <c r="B277" s="43"/>
      <c r="C277" s="43"/>
      <c r="D277" s="43"/>
      <c r="E277" s="43"/>
      <c r="F277" s="43"/>
      <c r="G277" s="43"/>
      <c r="H277" s="43"/>
      <c r="I277" s="43"/>
      <c r="J277" s="43"/>
      <c r="K277" s="43"/>
      <c r="L277" s="43"/>
      <c r="M277" s="43"/>
      <c r="N277" s="43"/>
      <c r="O277" s="43"/>
      <c r="P277" s="43"/>
    </row>
    <row r="278" spans="1:16" ht="12.75">
      <c r="A278" s="619"/>
      <c r="B278" s="43"/>
      <c r="C278" s="43"/>
      <c r="D278" s="43"/>
      <c r="E278" s="43"/>
      <c r="F278" s="43"/>
      <c r="G278" s="43"/>
      <c r="H278" s="43"/>
      <c r="I278" s="43"/>
      <c r="J278" s="43"/>
      <c r="K278" s="43"/>
      <c r="L278" s="43"/>
      <c r="M278" s="43"/>
      <c r="N278" s="43"/>
      <c r="O278" s="43"/>
      <c r="P278" s="43"/>
    </row>
    <row r="279" spans="1:16" ht="12.75">
      <c r="A279" s="619"/>
      <c r="B279" s="43"/>
      <c r="C279" s="43"/>
      <c r="D279" s="43"/>
      <c r="E279" s="43"/>
      <c r="F279" s="43"/>
      <c r="G279" s="43"/>
      <c r="H279" s="43"/>
      <c r="I279" s="43"/>
      <c r="J279" s="43"/>
      <c r="K279" s="43"/>
      <c r="L279" s="43"/>
      <c r="M279" s="43"/>
      <c r="N279" s="43"/>
      <c r="O279" s="43"/>
      <c r="P279" s="43"/>
    </row>
    <row r="280" spans="1:16" ht="12.75">
      <c r="A280" s="619"/>
      <c r="B280" s="43"/>
      <c r="C280" s="43"/>
      <c r="D280" s="43"/>
      <c r="E280" s="43"/>
      <c r="F280" s="43"/>
      <c r="G280" s="43"/>
      <c r="H280" s="43"/>
      <c r="I280" s="43"/>
      <c r="J280" s="43"/>
      <c r="K280" s="43"/>
      <c r="L280" s="43"/>
      <c r="M280" s="43"/>
      <c r="N280" s="43"/>
      <c r="O280" s="43"/>
      <c r="P280" s="43"/>
    </row>
    <row r="281" spans="1:16" ht="12.75">
      <c r="A281" s="619"/>
      <c r="B281" s="43"/>
      <c r="C281" s="43"/>
      <c r="D281" s="43"/>
      <c r="E281" s="43"/>
      <c r="F281" s="43"/>
      <c r="G281" s="43"/>
      <c r="H281" s="43"/>
      <c r="I281" s="43"/>
      <c r="J281" s="43"/>
      <c r="K281" s="43"/>
      <c r="L281" s="43"/>
      <c r="M281" s="43"/>
      <c r="N281" s="43"/>
      <c r="O281" s="43"/>
      <c r="P281" s="43"/>
    </row>
    <row r="282" spans="1:16" ht="12.75">
      <c r="A282" s="619"/>
      <c r="B282" s="43"/>
      <c r="C282" s="43"/>
      <c r="D282" s="43"/>
      <c r="E282" s="43"/>
      <c r="F282" s="43"/>
      <c r="G282" s="43"/>
      <c r="H282" s="43"/>
      <c r="I282" s="43"/>
      <c r="J282" s="43"/>
      <c r="K282" s="43"/>
      <c r="L282" s="43"/>
      <c r="M282" s="43"/>
      <c r="N282" s="43"/>
      <c r="O282" s="43"/>
      <c r="P282" s="43"/>
    </row>
    <row r="283" spans="1:16" ht="12.75">
      <c r="A283" s="619"/>
      <c r="B283" s="43"/>
      <c r="C283" s="43"/>
      <c r="D283" s="43"/>
      <c r="E283" s="43"/>
      <c r="F283" s="43"/>
      <c r="G283" s="43"/>
      <c r="H283" s="43"/>
      <c r="I283" s="43"/>
      <c r="J283" s="43"/>
      <c r="K283" s="43"/>
      <c r="L283" s="43"/>
      <c r="M283" s="43"/>
      <c r="N283" s="43"/>
      <c r="O283" s="43"/>
      <c r="P283" s="43"/>
    </row>
    <row r="284" spans="1:16" ht="12.75">
      <c r="A284" s="619"/>
      <c r="B284" s="43"/>
      <c r="C284" s="43"/>
      <c r="D284" s="43"/>
      <c r="E284" s="43"/>
      <c r="F284" s="43"/>
      <c r="G284" s="43"/>
      <c r="H284" s="43"/>
      <c r="I284" s="43"/>
      <c r="J284" s="43"/>
      <c r="K284" s="43"/>
      <c r="L284" s="43"/>
      <c r="M284" s="43"/>
      <c r="N284" s="43"/>
      <c r="O284" s="43"/>
      <c r="P284" s="43"/>
    </row>
    <row r="285" spans="1:16" ht="12.75">
      <c r="A285" s="619"/>
      <c r="B285" s="43"/>
      <c r="C285" s="43"/>
      <c r="D285" s="43"/>
      <c r="E285" s="43"/>
      <c r="F285" s="43"/>
      <c r="G285" s="43"/>
      <c r="H285" s="43"/>
      <c r="I285" s="43"/>
      <c r="J285" s="43"/>
      <c r="K285" s="43"/>
      <c r="L285" s="43"/>
      <c r="M285" s="43"/>
      <c r="N285" s="43"/>
      <c r="O285" s="43"/>
      <c r="P285" s="43"/>
    </row>
    <row r="286" spans="1:16" ht="12.75">
      <c r="A286" s="619"/>
      <c r="B286" s="43"/>
      <c r="C286" s="43"/>
      <c r="D286" s="43"/>
      <c r="E286" s="43"/>
      <c r="F286" s="43"/>
      <c r="G286" s="43"/>
      <c r="H286" s="43"/>
      <c r="I286" s="43"/>
      <c r="J286" s="43"/>
      <c r="K286" s="43"/>
      <c r="L286" s="43"/>
      <c r="M286" s="43"/>
      <c r="N286" s="43"/>
      <c r="O286" s="43"/>
      <c r="P286" s="43"/>
    </row>
    <row r="287" spans="1:16" ht="12.75">
      <c r="A287" s="619"/>
      <c r="B287" s="43"/>
      <c r="C287" s="43"/>
      <c r="D287" s="43"/>
      <c r="E287" s="43"/>
      <c r="F287" s="43"/>
      <c r="G287" s="43"/>
      <c r="H287" s="43"/>
      <c r="I287" s="43"/>
      <c r="J287" s="43"/>
      <c r="K287" s="43"/>
      <c r="L287" s="43"/>
      <c r="M287" s="43"/>
      <c r="N287" s="43"/>
      <c r="O287" s="43"/>
      <c r="P287" s="43"/>
    </row>
    <row r="288" spans="1:16" ht="12.75">
      <c r="A288" s="619"/>
      <c r="B288" s="43"/>
      <c r="C288" s="43"/>
      <c r="D288" s="43"/>
      <c r="E288" s="43"/>
      <c r="F288" s="43"/>
      <c r="G288" s="43"/>
      <c r="H288" s="43"/>
      <c r="I288" s="43"/>
      <c r="J288" s="43"/>
      <c r="K288" s="43"/>
      <c r="L288" s="43"/>
      <c r="M288" s="43"/>
      <c r="N288" s="43"/>
      <c r="O288" s="43"/>
      <c r="P288" s="43"/>
    </row>
    <row r="289" spans="1:16" ht="12.75">
      <c r="A289" s="619"/>
      <c r="B289" s="43"/>
      <c r="C289" s="43"/>
      <c r="D289" s="43"/>
      <c r="E289" s="43"/>
      <c r="F289" s="43"/>
      <c r="G289" s="43"/>
      <c r="H289" s="43"/>
      <c r="I289" s="43"/>
      <c r="J289" s="43"/>
      <c r="K289" s="43"/>
      <c r="L289" s="43"/>
      <c r="M289" s="43"/>
      <c r="N289" s="43"/>
      <c r="O289" s="43"/>
      <c r="P289" s="43"/>
    </row>
    <row r="290" spans="1:16" ht="12.75">
      <c r="A290" s="619"/>
      <c r="B290" s="43"/>
      <c r="C290" s="43"/>
      <c r="D290" s="43"/>
      <c r="E290" s="43"/>
      <c r="F290" s="43"/>
      <c r="G290" s="43"/>
      <c r="H290" s="43"/>
      <c r="I290" s="43"/>
      <c r="J290" s="43"/>
      <c r="K290" s="43"/>
      <c r="L290" s="43"/>
      <c r="M290" s="43"/>
      <c r="N290" s="43"/>
      <c r="O290" s="43"/>
      <c r="P290" s="43"/>
    </row>
    <row r="291" spans="1:16" ht="12.75">
      <c r="A291" s="619"/>
      <c r="B291" s="43"/>
      <c r="C291" s="43"/>
      <c r="D291" s="43"/>
      <c r="E291" s="43"/>
      <c r="F291" s="43"/>
      <c r="G291" s="43"/>
      <c r="H291" s="43"/>
      <c r="I291" s="43"/>
      <c r="J291" s="43"/>
      <c r="K291" s="43"/>
      <c r="L291" s="43"/>
      <c r="M291" s="43"/>
      <c r="N291" s="43"/>
      <c r="O291" s="43"/>
      <c r="P291" s="43"/>
    </row>
    <row r="292" spans="1:16" ht="12.75">
      <c r="A292" s="619"/>
      <c r="B292" s="43"/>
      <c r="C292" s="43"/>
      <c r="D292" s="43"/>
      <c r="E292" s="43"/>
      <c r="F292" s="43"/>
      <c r="G292" s="43"/>
      <c r="H292" s="43"/>
      <c r="I292" s="43"/>
      <c r="J292" s="43"/>
      <c r="K292" s="43"/>
      <c r="L292" s="43"/>
      <c r="M292" s="43"/>
      <c r="N292" s="43"/>
      <c r="O292" s="43"/>
      <c r="P292" s="43"/>
    </row>
    <row r="293" spans="1:16" ht="12.75">
      <c r="A293" s="619"/>
      <c r="B293" s="43"/>
      <c r="C293" s="43"/>
      <c r="D293" s="43"/>
      <c r="E293" s="43"/>
      <c r="F293" s="43"/>
      <c r="G293" s="43"/>
      <c r="H293" s="43"/>
      <c r="I293" s="43"/>
      <c r="J293" s="43"/>
      <c r="K293" s="43"/>
      <c r="L293" s="43"/>
      <c r="M293" s="43"/>
      <c r="N293" s="43"/>
      <c r="O293" s="43"/>
      <c r="P293" s="43"/>
    </row>
    <row r="294" spans="1:16" ht="12.75">
      <c r="A294" s="619"/>
      <c r="B294" s="43"/>
      <c r="C294" s="43"/>
      <c r="D294" s="43"/>
      <c r="E294" s="43"/>
      <c r="F294" s="43"/>
      <c r="G294" s="43"/>
      <c r="H294" s="43"/>
      <c r="I294" s="43"/>
      <c r="J294" s="43"/>
      <c r="K294" s="43"/>
      <c r="L294" s="43"/>
      <c r="M294" s="43"/>
      <c r="N294" s="43"/>
      <c r="O294" s="43"/>
      <c r="P294" s="43"/>
    </row>
    <row r="295" spans="1:16" ht="12.75">
      <c r="A295" s="619"/>
      <c r="B295" s="43"/>
      <c r="C295" s="43"/>
      <c r="D295" s="43"/>
      <c r="E295" s="43"/>
      <c r="F295" s="43"/>
      <c r="G295" s="43"/>
      <c r="H295" s="43"/>
      <c r="I295" s="43"/>
      <c r="J295" s="43"/>
      <c r="K295" s="43"/>
      <c r="L295" s="43"/>
      <c r="M295" s="43"/>
      <c r="N295" s="43"/>
      <c r="O295" s="43"/>
      <c r="P295" s="43"/>
    </row>
    <row r="296" spans="1:16" ht="12.75">
      <c r="A296" s="619"/>
      <c r="B296" s="43"/>
      <c r="C296" s="43"/>
      <c r="D296" s="43"/>
      <c r="E296" s="43"/>
      <c r="F296" s="43"/>
      <c r="G296" s="43"/>
      <c r="H296" s="43"/>
      <c r="I296" s="43"/>
      <c r="J296" s="43"/>
      <c r="K296" s="43"/>
      <c r="L296" s="43"/>
      <c r="M296" s="43"/>
      <c r="N296" s="43"/>
      <c r="O296" s="43"/>
      <c r="P296" s="43"/>
    </row>
    <row r="297" spans="1:16" ht="12.75">
      <c r="A297" s="619"/>
      <c r="B297" s="43"/>
      <c r="C297" s="43"/>
      <c r="D297" s="43"/>
      <c r="E297" s="43"/>
      <c r="F297" s="43"/>
      <c r="G297" s="43"/>
      <c r="H297" s="43"/>
      <c r="I297" s="43"/>
      <c r="J297" s="43"/>
      <c r="K297" s="43"/>
      <c r="L297" s="43"/>
      <c r="M297" s="43"/>
      <c r="N297" s="43"/>
      <c r="O297" s="43"/>
      <c r="P297" s="43"/>
    </row>
    <row r="298" spans="1:16" ht="12.75">
      <c r="A298" s="619"/>
      <c r="B298" s="43"/>
      <c r="C298" s="43"/>
      <c r="D298" s="43"/>
      <c r="E298" s="43"/>
      <c r="F298" s="43"/>
      <c r="G298" s="43"/>
      <c r="H298" s="43"/>
      <c r="I298" s="43"/>
      <c r="J298" s="43"/>
      <c r="K298" s="43"/>
      <c r="L298" s="43"/>
      <c r="M298" s="43"/>
      <c r="N298" s="43"/>
      <c r="O298" s="43"/>
      <c r="P298" s="43"/>
    </row>
    <row r="299" spans="1:16" ht="12.75">
      <c r="A299" s="619"/>
      <c r="B299" s="43"/>
      <c r="C299" s="43"/>
      <c r="D299" s="43"/>
      <c r="E299" s="43"/>
      <c r="F299" s="43"/>
      <c r="G299" s="43"/>
      <c r="H299" s="43"/>
      <c r="I299" s="43"/>
      <c r="J299" s="43"/>
      <c r="K299" s="43"/>
      <c r="L299" s="43"/>
      <c r="M299" s="43"/>
      <c r="N299" s="43"/>
      <c r="O299" s="43"/>
      <c r="P299" s="43"/>
    </row>
    <row r="300" spans="1:16" ht="12.75">
      <c r="A300" s="619"/>
      <c r="B300" s="43"/>
      <c r="C300" s="43"/>
      <c r="D300" s="43"/>
      <c r="E300" s="43"/>
      <c r="F300" s="43"/>
      <c r="G300" s="43"/>
      <c r="H300" s="43"/>
      <c r="I300" s="43"/>
      <c r="J300" s="43"/>
      <c r="K300" s="43"/>
      <c r="L300" s="43"/>
      <c r="M300" s="43"/>
      <c r="N300" s="43"/>
      <c r="O300" s="43"/>
      <c r="P300" s="43"/>
    </row>
    <row r="301" spans="1:16" ht="12.75">
      <c r="A301" s="619"/>
      <c r="B301" s="43"/>
      <c r="C301" s="43"/>
      <c r="D301" s="43"/>
      <c r="E301" s="43"/>
      <c r="F301" s="43"/>
      <c r="G301" s="43"/>
      <c r="H301" s="43"/>
      <c r="I301" s="43"/>
      <c r="J301" s="43"/>
      <c r="K301" s="43"/>
      <c r="L301" s="43"/>
      <c r="M301" s="43"/>
      <c r="N301" s="43"/>
      <c r="O301" s="43"/>
      <c r="P301" s="43"/>
    </row>
    <row r="302" spans="1:16" ht="12.75">
      <c r="A302" s="619"/>
      <c r="B302" s="43"/>
      <c r="C302" s="43"/>
      <c r="D302" s="43"/>
      <c r="E302" s="43"/>
      <c r="F302" s="43"/>
      <c r="G302" s="43"/>
      <c r="H302" s="43"/>
      <c r="I302" s="43"/>
      <c r="J302" s="43"/>
      <c r="K302" s="43"/>
      <c r="L302" s="43"/>
      <c r="M302" s="43"/>
      <c r="N302" s="43"/>
      <c r="O302" s="43"/>
      <c r="P302" s="43"/>
    </row>
    <row r="303" spans="1:16" ht="12.75">
      <c r="A303" s="619"/>
      <c r="B303" s="43"/>
      <c r="C303" s="43"/>
      <c r="D303" s="43"/>
      <c r="E303" s="43"/>
      <c r="F303" s="43"/>
      <c r="G303" s="43"/>
      <c r="H303" s="43"/>
      <c r="I303" s="43"/>
      <c r="J303" s="43"/>
      <c r="K303" s="43"/>
      <c r="L303" s="43"/>
      <c r="M303" s="43"/>
      <c r="N303" s="43"/>
      <c r="O303" s="43"/>
      <c r="P303" s="43"/>
    </row>
    <row r="304" spans="1:16" ht="12.75">
      <c r="A304" s="619"/>
      <c r="B304" s="43"/>
      <c r="C304" s="43"/>
      <c r="D304" s="43"/>
      <c r="E304" s="43"/>
      <c r="F304" s="43"/>
      <c r="G304" s="43"/>
      <c r="H304" s="43"/>
      <c r="I304" s="43"/>
      <c r="J304" s="43"/>
      <c r="K304" s="43"/>
      <c r="L304" s="43"/>
      <c r="M304" s="43"/>
      <c r="N304" s="43"/>
      <c r="O304" s="43"/>
      <c r="P304" s="43"/>
    </row>
    <row r="305" spans="1:16" ht="12.75">
      <c r="A305" s="619"/>
      <c r="B305" s="43"/>
      <c r="C305" s="43"/>
      <c r="D305" s="43"/>
      <c r="E305" s="43"/>
      <c r="F305" s="43"/>
      <c r="G305" s="43"/>
      <c r="H305" s="43"/>
      <c r="I305" s="43"/>
      <c r="J305" s="43"/>
      <c r="K305" s="43"/>
      <c r="L305" s="43"/>
      <c r="M305" s="43"/>
      <c r="N305" s="43"/>
      <c r="O305" s="43"/>
      <c r="P305" s="43"/>
    </row>
    <row r="306" spans="1:16" ht="12.75">
      <c r="A306" s="619"/>
      <c r="B306" s="43"/>
      <c r="C306" s="43"/>
      <c r="D306" s="43"/>
      <c r="E306" s="43"/>
      <c r="F306" s="43"/>
      <c r="G306" s="43"/>
      <c r="H306" s="43"/>
      <c r="I306" s="43"/>
      <c r="J306" s="43"/>
      <c r="K306" s="43"/>
      <c r="L306" s="43"/>
      <c r="M306" s="43"/>
      <c r="N306" s="43"/>
      <c r="O306" s="43"/>
      <c r="P306" s="43"/>
    </row>
    <row r="307" spans="1:16" ht="12.75">
      <c r="A307" s="619"/>
      <c r="B307" s="43"/>
      <c r="C307" s="43"/>
      <c r="D307" s="43"/>
      <c r="E307" s="43"/>
      <c r="F307" s="43"/>
      <c r="G307" s="43"/>
      <c r="H307" s="43"/>
      <c r="I307" s="43"/>
      <c r="J307" s="43"/>
      <c r="K307" s="43"/>
      <c r="L307" s="43"/>
      <c r="M307" s="43"/>
      <c r="N307" s="43"/>
      <c r="O307" s="43"/>
      <c r="P307" s="43"/>
    </row>
    <row r="308" spans="1:16" ht="12.75">
      <c r="A308" s="619"/>
      <c r="B308" s="43"/>
      <c r="C308" s="43"/>
      <c r="D308" s="43"/>
      <c r="E308" s="43"/>
      <c r="F308" s="43"/>
      <c r="G308" s="43"/>
      <c r="H308" s="43"/>
      <c r="I308" s="43"/>
      <c r="J308" s="43"/>
      <c r="K308" s="43"/>
      <c r="L308" s="43"/>
      <c r="M308" s="43"/>
      <c r="N308" s="43"/>
      <c r="O308" s="43"/>
      <c r="P308" s="43"/>
    </row>
    <row r="309" spans="1:16" ht="12.75">
      <c r="A309" s="619"/>
      <c r="B309" s="43"/>
      <c r="C309" s="43"/>
      <c r="D309" s="43"/>
      <c r="E309" s="43"/>
      <c r="F309" s="43"/>
      <c r="G309" s="43"/>
      <c r="H309" s="43"/>
      <c r="I309" s="43"/>
      <c r="J309" s="43"/>
      <c r="K309" s="43"/>
      <c r="L309" s="43"/>
      <c r="M309" s="43"/>
      <c r="N309" s="43"/>
      <c r="O309" s="43"/>
      <c r="P309" s="43"/>
    </row>
    <row r="310" spans="1:16" ht="12.75">
      <c r="A310" s="619"/>
      <c r="B310" s="43"/>
      <c r="C310" s="43"/>
      <c r="D310" s="43"/>
      <c r="E310" s="43"/>
      <c r="F310" s="43"/>
      <c r="G310" s="43"/>
      <c r="H310" s="43"/>
      <c r="I310" s="43"/>
      <c r="J310" s="43"/>
      <c r="K310" s="43"/>
      <c r="L310" s="43"/>
      <c r="M310" s="43"/>
      <c r="N310" s="43"/>
      <c r="O310" s="43"/>
      <c r="P310" s="43"/>
    </row>
    <row r="311" spans="1:16" ht="12.75">
      <c r="A311" s="619"/>
      <c r="B311" s="43"/>
      <c r="C311" s="43"/>
      <c r="D311" s="43"/>
      <c r="E311" s="43"/>
      <c r="F311" s="43"/>
      <c r="G311" s="43"/>
      <c r="H311" s="43"/>
      <c r="I311" s="43"/>
      <c r="J311" s="43"/>
      <c r="K311" s="43"/>
      <c r="L311" s="43"/>
      <c r="M311" s="43"/>
      <c r="N311" s="43"/>
      <c r="O311" s="43"/>
      <c r="P311" s="43"/>
    </row>
    <row r="312" spans="1:16" ht="12.75">
      <c r="A312" s="619"/>
      <c r="B312" s="43"/>
      <c r="C312" s="43"/>
      <c r="D312" s="43"/>
      <c r="E312" s="43"/>
      <c r="F312" s="43"/>
      <c r="G312" s="43"/>
      <c r="H312" s="43"/>
      <c r="I312" s="43"/>
      <c r="J312" s="43"/>
      <c r="K312" s="43"/>
      <c r="L312" s="43"/>
      <c r="M312" s="43"/>
      <c r="N312" s="43"/>
      <c r="O312" s="43"/>
      <c r="P312" s="43"/>
    </row>
    <row r="313" spans="1:16" ht="12.75">
      <c r="A313" s="619"/>
      <c r="B313" s="43"/>
      <c r="C313" s="43"/>
      <c r="D313" s="43"/>
      <c r="E313" s="43"/>
      <c r="F313" s="43"/>
      <c r="G313" s="43"/>
      <c r="H313" s="43"/>
      <c r="I313" s="43"/>
      <c r="J313" s="43"/>
      <c r="K313" s="43"/>
      <c r="L313" s="43"/>
      <c r="M313" s="43"/>
      <c r="N313" s="43"/>
      <c r="O313" s="43"/>
      <c r="P313" s="43"/>
    </row>
    <row r="314" spans="1:16" ht="12.75">
      <c r="A314" s="619"/>
      <c r="B314" s="43"/>
      <c r="C314" s="43"/>
      <c r="D314" s="43"/>
      <c r="E314" s="43"/>
      <c r="F314" s="43"/>
      <c r="G314" s="43"/>
      <c r="H314" s="43"/>
      <c r="I314" s="43"/>
      <c r="J314" s="43"/>
      <c r="K314" s="43"/>
      <c r="L314" s="43"/>
      <c r="M314" s="43"/>
      <c r="N314" s="43"/>
      <c r="O314" s="43"/>
      <c r="P314" s="43"/>
    </row>
    <row r="315" spans="1:16" ht="12.75">
      <c r="A315" s="619"/>
      <c r="B315" s="43"/>
      <c r="C315" s="43"/>
      <c r="D315" s="43"/>
      <c r="E315" s="43"/>
      <c r="F315" s="43"/>
      <c r="G315" s="43"/>
      <c r="H315" s="43"/>
      <c r="I315" s="43"/>
      <c r="J315" s="43"/>
      <c r="K315" s="43"/>
      <c r="L315" s="43"/>
      <c r="M315" s="43"/>
      <c r="N315" s="43"/>
      <c r="O315" s="43"/>
      <c r="P315" s="43"/>
    </row>
    <row r="316" spans="1:16" ht="12.75">
      <c r="A316" s="619"/>
      <c r="B316" s="43"/>
      <c r="C316" s="43"/>
      <c r="D316" s="43"/>
      <c r="E316" s="43"/>
      <c r="F316" s="43"/>
      <c r="G316" s="43"/>
      <c r="H316" s="43"/>
      <c r="I316" s="43"/>
      <c r="J316" s="43"/>
      <c r="K316" s="43"/>
      <c r="L316" s="43"/>
      <c r="M316" s="43"/>
      <c r="N316" s="43"/>
      <c r="O316" s="43"/>
      <c r="P316" s="43"/>
    </row>
    <row r="317" spans="1:16" ht="12.75">
      <c r="A317" s="619"/>
      <c r="B317" s="43"/>
      <c r="C317" s="43"/>
      <c r="D317" s="43"/>
      <c r="E317" s="43"/>
      <c r="F317" s="43"/>
      <c r="G317" s="43"/>
      <c r="H317" s="43"/>
      <c r="I317" s="43"/>
      <c r="J317" s="43"/>
      <c r="K317" s="43"/>
      <c r="L317" s="43"/>
      <c r="M317" s="43"/>
      <c r="N317" s="43"/>
      <c r="O317" s="43"/>
      <c r="P317" s="43"/>
    </row>
    <row r="318" spans="1:16" ht="12.75">
      <c r="A318" s="619"/>
      <c r="B318" s="43"/>
      <c r="C318" s="43"/>
      <c r="D318" s="43"/>
      <c r="E318" s="43"/>
      <c r="F318" s="43"/>
      <c r="G318" s="43"/>
      <c r="H318" s="43"/>
      <c r="I318" s="43"/>
      <c r="J318" s="43"/>
      <c r="K318" s="43"/>
      <c r="L318" s="43"/>
      <c r="M318" s="43"/>
      <c r="N318" s="43"/>
      <c r="O318" s="43"/>
      <c r="P318" s="43"/>
    </row>
    <row r="319" spans="1:16" ht="12.75">
      <c r="A319" s="619"/>
      <c r="B319" s="43"/>
      <c r="C319" s="43"/>
      <c r="D319" s="43"/>
      <c r="E319" s="43"/>
      <c r="F319" s="43"/>
      <c r="G319" s="43"/>
      <c r="H319" s="43"/>
      <c r="I319" s="43"/>
      <c r="J319" s="43"/>
      <c r="K319" s="43"/>
      <c r="L319" s="43"/>
      <c r="M319" s="43"/>
      <c r="N319" s="43"/>
      <c r="O319" s="43"/>
      <c r="P319" s="43"/>
    </row>
    <row r="320" spans="1:16" ht="12.75">
      <c r="A320" s="619"/>
      <c r="B320" s="43"/>
      <c r="C320" s="43"/>
      <c r="D320" s="43"/>
      <c r="E320" s="43"/>
      <c r="F320" s="43"/>
      <c r="G320" s="43"/>
      <c r="H320" s="43"/>
      <c r="I320" s="43"/>
      <c r="J320" s="43"/>
      <c r="K320" s="43"/>
      <c r="L320" s="43"/>
      <c r="M320" s="43"/>
      <c r="N320" s="43"/>
      <c r="O320" s="43"/>
      <c r="P320" s="43"/>
    </row>
    <row r="321" spans="1:16" ht="12.75">
      <c r="A321" s="619"/>
      <c r="B321" s="43"/>
      <c r="C321" s="43"/>
      <c r="D321" s="43"/>
      <c r="E321" s="43"/>
      <c r="F321" s="43"/>
      <c r="G321" s="43"/>
      <c r="H321" s="43"/>
      <c r="I321" s="43"/>
      <c r="J321" s="43"/>
      <c r="K321" s="43"/>
      <c r="L321" s="43"/>
      <c r="M321" s="43"/>
      <c r="N321" s="43"/>
      <c r="O321" s="43"/>
      <c r="P321" s="43"/>
    </row>
    <row r="322" spans="1:16" ht="12.75">
      <c r="A322" s="619"/>
      <c r="B322" s="43"/>
      <c r="C322" s="43"/>
      <c r="D322" s="43"/>
      <c r="E322" s="43"/>
      <c r="F322" s="43"/>
      <c r="G322" s="43"/>
      <c r="H322" s="43"/>
      <c r="I322" s="43"/>
      <c r="J322" s="43"/>
      <c r="K322" s="43"/>
      <c r="L322" s="43"/>
      <c r="M322" s="43"/>
      <c r="N322" s="43"/>
      <c r="O322" s="43"/>
      <c r="P322" s="43"/>
    </row>
    <row r="323" spans="1:16" ht="12.75">
      <c r="A323" s="619"/>
      <c r="B323" s="43"/>
      <c r="C323" s="43"/>
      <c r="D323" s="43"/>
      <c r="E323" s="43"/>
      <c r="F323" s="43"/>
      <c r="G323" s="43"/>
      <c r="H323" s="43"/>
      <c r="I323" s="43"/>
      <c r="J323" s="43"/>
      <c r="K323" s="43"/>
      <c r="L323" s="43"/>
      <c r="M323" s="43"/>
      <c r="N323" s="43"/>
      <c r="O323" s="43"/>
      <c r="P323" s="43"/>
    </row>
    <row r="324" spans="1:16" ht="12.75">
      <c r="A324" s="619"/>
      <c r="B324" s="43"/>
      <c r="C324" s="43"/>
      <c r="D324" s="43"/>
      <c r="E324" s="43"/>
      <c r="F324" s="43"/>
      <c r="G324" s="43"/>
      <c r="H324" s="43"/>
      <c r="I324" s="43"/>
      <c r="J324" s="43"/>
      <c r="K324" s="43"/>
      <c r="L324" s="43"/>
      <c r="M324" s="43"/>
      <c r="N324" s="43"/>
      <c r="O324" s="43"/>
      <c r="P324" s="43"/>
    </row>
    <row r="325" spans="1:16" ht="12.75">
      <c r="A325" s="619"/>
      <c r="B325" s="43"/>
      <c r="C325" s="43"/>
      <c r="D325" s="43"/>
      <c r="E325" s="43"/>
      <c r="F325" s="43"/>
      <c r="G325" s="43"/>
      <c r="H325" s="43"/>
      <c r="I325" s="43"/>
      <c r="J325" s="43"/>
      <c r="K325" s="43"/>
      <c r="L325" s="43"/>
      <c r="M325" s="43"/>
      <c r="N325" s="43"/>
      <c r="O325" s="43"/>
      <c r="P325" s="43"/>
    </row>
    <row r="326" spans="1:16" ht="12.75">
      <c r="A326" s="619"/>
      <c r="B326" s="43"/>
      <c r="C326" s="43"/>
      <c r="D326" s="43"/>
      <c r="E326" s="43"/>
      <c r="F326" s="43"/>
      <c r="G326" s="43"/>
      <c r="H326" s="43"/>
      <c r="I326" s="43"/>
      <c r="J326" s="43"/>
      <c r="K326" s="43"/>
      <c r="L326" s="43"/>
      <c r="M326" s="43"/>
      <c r="N326" s="43"/>
      <c r="O326" s="43"/>
      <c r="P326" s="43"/>
    </row>
    <row r="327" spans="1:16" ht="12.75">
      <c r="A327" s="619"/>
      <c r="B327" s="43"/>
      <c r="C327" s="43"/>
      <c r="D327" s="43"/>
      <c r="E327" s="43"/>
      <c r="F327" s="43"/>
      <c r="G327" s="43"/>
      <c r="H327" s="43"/>
      <c r="I327" s="43"/>
      <c r="J327" s="43"/>
      <c r="K327" s="43"/>
      <c r="L327" s="43"/>
      <c r="M327" s="43"/>
      <c r="N327" s="43"/>
      <c r="O327" s="43"/>
      <c r="P327" s="43"/>
    </row>
    <row r="328" spans="1:16" ht="12.75">
      <c r="A328" s="619"/>
      <c r="B328" s="43"/>
      <c r="C328" s="43"/>
      <c r="D328" s="43"/>
      <c r="E328" s="43"/>
      <c r="F328" s="43"/>
      <c r="G328" s="43"/>
      <c r="H328" s="43"/>
      <c r="I328" s="43"/>
      <c r="J328" s="43"/>
      <c r="K328" s="43"/>
      <c r="L328" s="43"/>
      <c r="M328" s="43"/>
      <c r="N328" s="43"/>
      <c r="O328" s="43"/>
      <c r="P328" s="43"/>
    </row>
    <row r="329" spans="1:16" ht="12.75">
      <c r="A329" s="619"/>
      <c r="B329" s="43"/>
      <c r="C329" s="43"/>
      <c r="D329" s="43"/>
      <c r="E329" s="43"/>
      <c r="F329" s="43"/>
      <c r="G329" s="43"/>
      <c r="H329" s="43"/>
      <c r="I329" s="43"/>
      <c r="J329" s="43"/>
      <c r="K329" s="43"/>
      <c r="L329" s="43"/>
      <c r="M329" s="43"/>
      <c r="N329" s="43"/>
      <c r="O329" s="43"/>
      <c r="P329" s="43"/>
    </row>
    <row r="330" spans="1:16" ht="12.75">
      <c r="A330" s="619"/>
      <c r="B330" s="43"/>
      <c r="C330" s="43"/>
      <c r="D330" s="43"/>
      <c r="E330" s="43"/>
      <c r="F330" s="43"/>
      <c r="G330" s="43"/>
      <c r="H330" s="43"/>
      <c r="I330" s="43"/>
      <c r="J330" s="43"/>
      <c r="K330" s="43"/>
      <c r="L330" s="43"/>
      <c r="M330" s="43"/>
      <c r="N330" s="43"/>
      <c r="O330" s="43"/>
      <c r="P330" s="43"/>
    </row>
    <row r="331" spans="1:16" ht="12.75">
      <c r="A331" s="619"/>
      <c r="B331" s="43"/>
      <c r="C331" s="43"/>
      <c r="D331" s="43"/>
      <c r="E331" s="43"/>
      <c r="F331" s="43"/>
      <c r="G331" s="43"/>
      <c r="H331" s="43"/>
      <c r="I331" s="43"/>
      <c r="J331" s="43"/>
      <c r="K331" s="43"/>
      <c r="L331" s="43"/>
      <c r="M331" s="43"/>
      <c r="N331" s="43"/>
      <c r="O331" s="43"/>
      <c r="P331" s="43"/>
    </row>
    <row r="332" spans="1:16" ht="12.75">
      <c r="A332" s="619"/>
      <c r="B332" s="43"/>
      <c r="C332" s="43"/>
      <c r="D332" s="43"/>
      <c r="E332" s="43"/>
      <c r="F332" s="43"/>
      <c r="G332" s="43"/>
      <c r="H332" s="43"/>
      <c r="I332" s="43"/>
      <c r="J332" s="43"/>
      <c r="K332" s="43"/>
      <c r="L332" s="43"/>
      <c r="M332" s="43"/>
      <c r="N332" s="43"/>
      <c r="O332" s="43"/>
      <c r="P332" s="43"/>
    </row>
    <row r="333" spans="1:16" ht="12.75">
      <c r="A333" s="619"/>
      <c r="B333" s="43"/>
      <c r="C333" s="43"/>
      <c r="D333" s="43"/>
      <c r="E333" s="43"/>
      <c r="F333" s="43"/>
      <c r="G333" s="43"/>
      <c r="H333" s="43"/>
      <c r="I333" s="43"/>
      <c r="J333" s="43"/>
      <c r="K333" s="43"/>
      <c r="L333" s="43"/>
      <c r="M333" s="43"/>
      <c r="N333" s="43"/>
      <c r="O333" s="43"/>
      <c r="P333" s="43"/>
    </row>
    <row r="334" spans="1:16" ht="12.75">
      <c r="A334" s="619"/>
      <c r="B334" s="43"/>
      <c r="C334" s="43"/>
      <c r="D334" s="43"/>
      <c r="E334" s="43"/>
      <c r="F334" s="43"/>
      <c r="G334" s="43"/>
      <c r="H334" s="43"/>
      <c r="I334" s="43"/>
      <c r="J334" s="43"/>
      <c r="K334" s="43"/>
      <c r="L334" s="43"/>
      <c r="M334" s="43"/>
      <c r="N334" s="43"/>
      <c r="O334" s="43"/>
      <c r="P334" s="43"/>
    </row>
    <row r="335" spans="1:16" ht="12.75">
      <c r="A335" s="619"/>
      <c r="B335" s="43"/>
      <c r="C335" s="43"/>
      <c r="D335" s="43"/>
      <c r="E335" s="43"/>
      <c r="F335" s="43"/>
      <c r="G335" s="43"/>
      <c r="H335" s="43"/>
      <c r="I335" s="43"/>
      <c r="J335" s="43"/>
      <c r="K335" s="43"/>
      <c r="L335" s="43"/>
      <c r="M335" s="43"/>
      <c r="N335" s="43"/>
      <c r="O335" s="43"/>
      <c r="P335" s="43"/>
    </row>
    <row r="336" spans="1:16" ht="12.75">
      <c r="A336" s="619"/>
      <c r="B336" s="43"/>
      <c r="C336" s="43"/>
      <c r="D336" s="43"/>
      <c r="E336" s="43"/>
      <c r="F336" s="43"/>
      <c r="G336" s="43"/>
      <c r="H336" s="43"/>
      <c r="I336" s="43"/>
      <c r="J336" s="43"/>
      <c r="K336" s="43"/>
      <c r="L336" s="43"/>
      <c r="M336" s="43"/>
      <c r="N336" s="43"/>
      <c r="O336" s="43"/>
      <c r="P336" s="43"/>
    </row>
    <row r="337" spans="1:16" ht="12.75">
      <c r="A337" s="619"/>
      <c r="B337" s="43"/>
      <c r="C337" s="43"/>
      <c r="D337" s="43"/>
      <c r="E337" s="43"/>
      <c r="F337" s="43"/>
      <c r="G337" s="43"/>
      <c r="H337" s="43"/>
      <c r="I337" s="43"/>
      <c r="J337" s="43"/>
      <c r="K337" s="43"/>
      <c r="L337" s="43"/>
      <c r="M337" s="43"/>
      <c r="N337" s="43"/>
      <c r="O337" s="43"/>
      <c r="P337" s="43"/>
    </row>
    <row r="338" spans="1:16" ht="12.75">
      <c r="A338" s="619"/>
      <c r="B338" s="43"/>
      <c r="C338" s="43"/>
      <c r="D338" s="43"/>
      <c r="E338" s="43"/>
      <c r="F338" s="43"/>
      <c r="G338" s="43"/>
      <c r="H338" s="43"/>
      <c r="I338" s="43"/>
      <c r="J338" s="43"/>
      <c r="K338" s="43"/>
      <c r="L338" s="43"/>
      <c r="M338" s="43"/>
      <c r="N338" s="43"/>
      <c r="O338" s="43"/>
      <c r="P338" s="43"/>
    </row>
    <row r="339" spans="1:16" ht="12.75">
      <c r="A339" s="619"/>
      <c r="B339" s="43"/>
      <c r="C339" s="43"/>
      <c r="D339" s="43"/>
      <c r="E339" s="43"/>
      <c r="F339" s="43"/>
      <c r="G339" s="43"/>
      <c r="H339" s="43"/>
      <c r="I339" s="43"/>
      <c r="J339" s="43"/>
      <c r="K339" s="43"/>
      <c r="L339" s="43"/>
      <c r="M339" s="43"/>
      <c r="N339" s="43"/>
      <c r="O339" s="43"/>
      <c r="P339" s="43"/>
    </row>
    <row r="340" spans="1:16" ht="12.75">
      <c r="A340" s="619"/>
      <c r="B340" s="43"/>
      <c r="C340" s="43"/>
      <c r="D340" s="43"/>
      <c r="E340" s="43"/>
      <c r="F340" s="43"/>
      <c r="G340" s="43"/>
      <c r="H340" s="43"/>
      <c r="I340" s="43"/>
      <c r="J340" s="43"/>
      <c r="K340" s="43"/>
      <c r="L340" s="43"/>
      <c r="M340" s="43"/>
      <c r="N340" s="43"/>
      <c r="O340" s="43"/>
      <c r="P340" s="43"/>
    </row>
    <row r="341" spans="1:16" ht="12.75">
      <c r="A341" s="619"/>
      <c r="B341" s="43"/>
      <c r="C341" s="43"/>
      <c r="D341" s="43"/>
      <c r="E341" s="43"/>
      <c r="F341" s="43"/>
      <c r="G341" s="43"/>
      <c r="H341" s="43"/>
      <c r="I341" s="43"/>
      <c r="J341" s="43"/>
      <c r="K341" s="43"/>
      <c r="L341" s="43"/>
      <c r="M341" s="43"/>
      <c r="N341" s="43"/>
      <c r="O341" s="43"/>
      <c r="P341" s="43"/>
    </row>
    <row r="342" spans="1:16" ht="12.75">
      <c r="A342" s="619"/>
      <c r="B342" s="43"/>
      <c r="C342" s="43"/>
      <c r="D342" s="43"/>
      <c r="E342" s="43"/>
      <c r="F342" s="43"/>
      <c r="G342" s="43"/>
      <c r="H342" s="43"/>
      <c r="I342" s="43"/>
      <c r="J342" s="43"/>
      <c r="K342" s="43"/>
      <c r="L342" s="43"/>
      <c r="M342" s="43"/>
      <c r="N342" s="43"/>
      <c r="O342" s="43"/>
      <c r="P342" s="43"/>
    </row>
    <row r="343" spans="1:16" ht="12.75">
      <c r="A343" s="619"/>
      <c r="B343" s="43"/>
      <c r="C343" s="43"/>
      <c r="D343" s="43"/>
      <c r="E343" s="43"/>
      <c r="F343" s="43"/>
      <c r="G343" s="43"/>
      <c r="H343" s="43"/>
      <c r="I343" s="43"/>
      <c r="J343" s="43"/>
      <c r="K343" s="43"/>
      <c r="L343" s="43"/>
      <c r="M343" s="43"/>
      <c r="N343" s="43"/>
      <c r="O343" s="43"/>
      <c r="P343" s="43"/>
    </row>
    <row r="344" spans="1:16" ht="12.75">
      <c r="A344" s="619"/>
      <c r="B344" s="43"/>
      <c r="C344" s="43"/>
      <c r="D344" s="43"/>
      <c r="E344" s="43"/>
      <c r="F344" s="43"/>
      <c r="G344" s="43"/>
      <c r="H344" s="43"/>
      <c r="I344" s="43"/>
      <c r="J344" s="43"/>
      <c r="K344" s="43"/>
      <c r="L344" s="43"/>
      <c r="M344" s="43"/>
      <c r="N344" s="43"/>
      <c r="O344" s="43"/>
      <c r="P344" s="43"/>
    </row>
    <row r="345" spans="1:16" ht="12.75">
      <c r="A345" s="619"/>
      <c r="B345" s="43"/>
      <c r="C345" s="43"/>
      <c r="D345" s="43"/>
      <c r="E345" s="43"/>
      <c r="F345" s="43"/>
      <c r="G345" s="43"/>
      <c r="H345" s="43"/>
      <c r="I345" s="43"/>
      <c r="J345" s="43"/>
      <c r="K345" s="43"/>
      <c r="L345" s="43"/>
      <c r="M345" s="43"/>
      <c r="N345" s="43"/>
      <c r="O345" s="43"/>
      <c r="P345" s="43"/>
    </row>
    <row r="346" spans="1:16" ht="12.75">
      <c r="A346" s="619"/>
      <c r="B346" s="43"/>
      <c r="C346" s="43"/>
      <c r="D346" s="43"/>
      <c r="E346" s="43"/>
      <c r="F346" s="43"/>
      <c r="G346" s="43"/>
      <c r="H346" s="43"/>
      <c r="I346" s="43"/>
      <c r="J346" s="43"/>
      <c r="K346" s="43"/>
      <c r="L346" s="43"/>
      <c r="M346" s="43"/>
      <c r="N346" s="43"/>
      <c r="O346" s="43"/>
      <c r="P346" s="43"/>
    </row>
    <row r="347" spans="1:16" ht="12.75">
      <c r="A347" s="619"/>
      <c r="B347" s="43"/>
      <c r="C347" s="43"/>
      <c r="D347" s="43"/>
      <c r="E347" s="43"/>
      <c r="F347" s="43"/>
      <c r="G347" s="43"/>
      <c r="H347" s="43"/>
      <c r="I347" s="43"/>
      <c r="J347" s="43"/>
      <c r="K347" s="43"/>
      <c r="L347" s="43"/>
      <c r="M347" s="43"/>
      <c r="N347" s="43"/>
      <c r="O347" s="43"/>
      <c r="P347" s="43"/>
    </row>
    <row r="348" spans="1:16" ht="12.75">
      <c r="A348" s="619"/>
      <c r="B348" s="43"/>
      <c r="C348" s="43"/>
      <c r="D348" s="43"/>
      <c r="E348" s="43"/>
      <c r="F348" s="43"/>
      <c r="G348" s="43"/>
      <c r="H348" s="43"/>
      <c r="I348" s="43"/>
      <c r="J348" s="43"/>
      <c r="K348" s="43"/>
      <c r="L348" s="43"/>
      <c r="M348" s="43"/>
      <c r="N348" s="43"/>
      <c r="O348" s="43"/>
      <c r="P348" s="43"/>
    </row>
    <row r="349" spans="1:16" ht="12.75">
      <c r="A349" s="619"/>
      <c r="B349" s="43"/>
      <c r="C349" s="43"/>
      <c r="D349" s="43"/>
      <c r="E349" s="43"/>
      <c r="F349" s="43"/>
      <c r="G349" s="43"/>
      <c r="H349" s="43"/>
      <c r="I349" s="43"/>
      <c r="J349" s="43"/>
      <c r="K349" s="43"/>
      <c r="L349" s="43"/>
      <c r="M349" s="43"/>
      <c r="N349" s="43"/>
      <c r="O349" s="43"/>
      <c r="P349" s="43"/>
    </row>
    <row r="350" spans="1:16" ht="12.75">
      <c r="A350" s="619"/>
      <c r="B350" s="43"/>
      <c r="C350" s="43"/>
      <c r="D350" s="43"/>
      <c r="E350" s="43"/>
      <c r="F350" s="43"/>
      <c r="G350" s="43"/>
      <c r="H350" s="43"/>
      <c r="I350" s="43"/>
      <c r="J350" s="43"/>
      <c r="K350" s="43"/>
      <c r="L350" s="43"/>
      <c r="M350" s="43"/>
      <c r="N350" s="43"/>
      <c r="O350" s="43"/>
      <c r="P350" s="43"/>
    </row>
    <row r="351" spans="1:16" ht="12.75">
      <c r="A351" s="619"/>
      <c r="B351" s="43"/>
      <c r="C351" s="43"/>
      <c r="D351" s="43"/>
      <c r="E351" s="43"/>
      <c r="F351" s="43"/>
      <c r="G351" s="43"/>
      <c r="H351" s="43"/>
      <c r="I351" s="43"/>
      <c r="J351" s="43"/>
      <c r="K351" s="43"/>
      <c r="L351" s="43"/>
      <c r="M351" s="43"/>
      <c r="N351" s="43"/>
      <c r="O351" s="43"/>
      <c r="P351" s="43"/>
    </row>
    <row r="352" spans="1:16" ht="12.75">
      <c r="A352" s="619"/>
      <c r="B352" s="43"/>
      <c r="C352" s="43"/>
      <c r="D352" s="43"/>
      <c r="E352" s="43"/>
      <c r="F352" s="43"/>
      <c r="G352" s="43"/>
      <c r="H352" s="43"/>
      <c r="I352" s="43"/>
      <c r="J352" s="43"/>
      <c r="K352" s="43"/>
      <c r="L352" s="43"/>
      <c r="M352" s="43"/>
      <c r="N352" s="43"/>
      <c r="O352" s="43"/>
      <c r="P352" s="43"/>
    </row>
    <row r="353" spans="1:16" ht="12.75">
      <c r="A353" s="619"/>
      <c r="B353" s="43"/>
      <c r="C353" s="43"/>
      <c r="D353" s="43"/>
      <c r="E353" s="43"/>
      <c r="F353" s="43"/>
      <c r="G353" s="43"/>
      <c r="H353" s="43"/>
      <c r="I353" s="43"/>
      <c r="J353" s="43"/>
      <c r="K353" s="43"/>
      <c r="L353" s="43"/>
      <c r="M353" s="43"/>
      <c r="N353" s="43"/>
      <c r="O353" s="43"/>
      <c r="P353" s="43"/>
    </row>
    <row r="354" spans="1:16" ht="12.75">
      <c r="A354" s="619"/>
      <c r="B354" s="43"/>
      <c r="C354" s="43"/>
      <c r="D354" s="43"/>
      <c r="E354" s="43"/>
      <c r="F354" s="43"/>
      <c r="G354" s="43"/>
      <c r="H354" s="43"/>
      <c r="I354" s="43"/>
      <c r="J354" s="43"/>
      <c r="K354" s="43"/>
      <c r="L354" s="43"/>
      <c r="M354" s="43"/>
      <c r="N354" s="43"/>
      <c r="O354" s="43"/>
      <c r="P354" s="43"/>
    </row>
    <row r="355" spans="1:16" ht="12.75">
      <c r="A355" s="619"/>
      <c r="B355" s="43"/>
      <c r="C355" s="43"/>
      <c r="D355" s="43"/>
      <c r="E355" s="43"/>
      <c r="F355" s="43"/>
      <c r="G355" s="43"/>
      <c r="H355" s="43"/>
      <c r="I355" s="43"/>
      <c r="J355" s="43"/>
      <c r="K355" s="43"/>
      <c r="L355" s="43"/>
      <c r="M355" s="43"/>
      <c r="N355" s="43"/>
      <c r="O355" s="43"/>
      <c r="P355" s="43"/>
    </row>
    <row r="356" spans="1:16" ht="12.75">
      <c r="A356" s="619"/>
      <c r="B356" s="43"/>
      <c r="C356" s="43"/>
      <c r="D356" s="43"/>
      <c r="E356" s="43"/>
      <c r="F356" s="43"/>
      <c r="G356" s="43"/>
      <c r="H356" s="43"/>
      <c r="I356" s="43"/>
      <c r="J356" s="43"/>
      <c r="K356" s="43"/>
      <c r="L356" s="43"/>
      <c r="M356" s="43"/>
      <c r="N356" s="43"/>
      <c r="O356" s="43"/>
      <c r="P356" s="43"/>
    </row>
    <row r="357" spans="1:16" ht="12.75">
      <c r="A357" s="619"/>
      <c r="B357" s="43"/>
      <c r="C357" s="43"/>
      <c r="D357" s="43"/>
      <c r="E357" s="43"/>
      <c r="F357" s="43"/>
      <c r="G357" s="43"/>
      <c r="H357" s="43"/>
      <c r="I357" s="43"/>
      <c r="J357" s="43"/>
      <c r="K357" s="43"/>
      <c r="L357" s="43"/>
      <c r="M357" s="43"/>
      <c r="N357" s="43"/>
      <c r="O357" s="43"/>
      <c r="P357" s="43"/>
    </row>
    <row r="358" spans="1:16" ht="12.75">
      <c r="A358" s="619"/>
      <c r="B358" s="43"/>
      <c r="C358" s="43"/>
      <c r="D358" s="43"/>
      <c r="E358" s="43"/>
      <c r="F358" s="43"/>
      <c r="G358" s="43"/>
      <c r="H358" s="43"/>
      <c r="I358" s="43"/>
      <c r="J358" s="43"/>
      <c r="K358" s="43"/>
      <c r="L358" s="43"/>
      <c r="M358" s="43"/>
      <c r="N358" s="43"/>
      <c r="O358" s="43"/>
      <c r="P358" s="43"/>
    </row>
    <row r="359" spans="1:16" ht="12.75">
      <c r="A359" s="619"/>
      <c r="B359" s="43"/>
      <c r="C359" s="43"/>
      <c r="D359" s="43"/>
      <c r="E359" s="43"/>
      <c r="F359" s="43"/>
      <c r="G359" s="43"/>
      <c r="H359" s="43"/>
      <c r="I359" s="43"/>
      <c r="J359" s="43"/>
      <c r="K359" s="43"/>
      <c r="L359" s="43"/>
      <c r="M359" s="43"/>
      <c r="N359" s="43"/>
      <c r="O359" s="43"/>
      <c r="P359" s="43"/>
    </row>
    <row r="360" spans="1:16" ht="12.75">
      <c r="A360" s="619"/>
      <c r="B360" s="43"/>
      <c r="C360" s="43"/>
      <c r="D360" s="43"/>
      <c r="E360" s="43"/>
      <c r="F360" s="43"/>
      <c r="G360" s="43"/>
      <c r="H360" s="43"/>
      <c r="I360" s="43"/>
      <c r="J360" s="43"/>
      <c r="K360" s="43"/>
      <c r="L360" s="43"/>
      <c r="M360" s="43"/>
      <c r="N360" s="43"/>
      <c r="O360" s="43"/>
      <c r="P360" s="43"/>
    </row>
    <row r="361" spans="1:16" ht="12.75">
      <c r="A361" s="619"/>
      <c r="B361" s="43"/>
      <c r="C361" s="43"/>
      <c r="D361" s="43"/>
      <c r="E361" s="43"/>
      <c r="F361" s="43"/>
      <c r="G361" s="43"/>
      <c r="H361" s="43"/>
      <c r="I361" s="43"/>
      <c r="J361" s="43"/>
      <c r="K361" s="43"/>
      <c r="L361" s="43"/>
      <c r="M361" s="43"/>
      <c r="N361" s="43"/>
      <c r="O361" s="43"/>
      <c r="P361" s="43"/>
    </row>
    <row r="362" spans="1:16" ht="12.75">
      <c r="A362" s="619"/>
      <c r="B362" s="43"/>
      <c r="C362" s="43"/>
      <c r="D362" s="43"/>
      <c r="E362" s="43"/>
      <c r="F362" s="43"/>
      <c r="G362" s="43"/>
      <c r="H362" s="43"/>
      <c r="I362" s="43"/>
      <c r="J362" s="43"/>
      <c r="K362" s="43"/>
      <c r="L362" s="43"/>
      <c r="M362" s="43"/>
      <c r="N362" s="43"/>
      <c r="O362" s="43"/>
      <c r="P362" s="43"/>
    </row>
    <row r="363" spans="1:16" ht="12.75">
      <c r="A363" s="619"/>
      <c r="B363" s="43"/>
      <c r="C363" s="43"/>
      <c r="D363" s="43"/>
      <c r="E363" s="43"/>
      <c r="F363" s="43"/>
      <c r="G363" s="43"/>
      <c r="H363" s="43"/>
      <c r="I363" s="43"/>
      <c r="J363" s="43"/>
      <c r="K363" s="43"/>
      <c r="L363" s="43"/>
      <c r="M363" s="43"/>
      <c r="N363" s="43"/>
      <c r="O363" s="43"/>
      <c r="P363" s="43"/>
    </row>
    <row r="364" spans="1:16" ht="12.75">
      <c r="A364" s="619"/>
      <c r="B364" s="43"/>
      <c r="C364" s="43"/>
      <c r="D364" s="43"/>
      <c r="E364" s="43"/>
      <c r="F364" s="43"/>
      <c r="G364" s="43"/>
      <c r="H364" s="43"/>
      <c r="I364" s="43"/>
      <c r="J364" s="43"/>
      <c r="K364" s="43"/>
      <c r="L364" s="43"/>
      <c r="M364" s="43"/>
      <c r="N364" s="43"/>
      <c r="O364" s="43"/>
      <c r="P364" s="43"/>
    </row>
    <row r="365" spans="1:16" ht="12.75">
      <c r="A365" s="619"/>
      <c r="B365" s="43"/>
      <c r="C365" s="43"/>
      <c r="D365" s="43"/>
      <c r="E365" s="43"/>
      <c r="F365" s="43"/>
      <c r="G365" s="43"/>
      <c r="H365" s="43"/>
      <c r="I365" s="43"/>
      <c r="J365" s="43"/>
      <c r="K365" s="43"/>
      <c r="L365" s="43"/>
      <c r="M365" s="43"/>
      <c r="N365" s="43"/>
      <c r="O365" s="43"/>
      <c r="P365" s="43"/>
    </row>
    <row r="366" spans="1:16" ht="12.75">
      <c r="A366" s="619"/>
      <c r="B366" s="43"/>
      <c r="C366" s="43"/>
      <c r="D366" s="43"/>
      <c r="E366" s="43"/>
      <c r="F366" s="43"/>
      <c r="G366" s="43"/>
      <c r="H366" s="43"/>
      <c r="I366" s="43"/>
      <c r="J366" s="43"/>
      <c r="K366" s="43"/>
      <c r="L366" s="43"/>
      <c r="M366" s="43"/>
      <c r="N366" s="43"/>
      <c r="O366" s="43"/>
      <c r="P366" s="43"/>
    </row>
    <row r="367" spans="1:16" ht="12.75">
      <c r="A367" s="619"/>
      <c r="B367" s="43"/>
      <c r="C367" s="43"/>
      <c r="D367" s="43"/>
      <c r="E367" s="43"/>
      <c r="F367" s="43"/>
      <c r="G367" s="43"/>
      <c r="H367" s="43"/>
      <c r="I367" s="43"/>
      <c r="J367" s="43"/>
      <c r="K367" s="43"/>
      <c r="L367" s="43"/>
      <c r="M367" s="43"/>
      <c r="N367" s="43"/>
      <c r="O367" s="43"/>
      <c r="P367" s="43"/>
    </row>
    <row r="368" spans="1:16" ht="12.75">
      <c r="A368" s="619"/>
      <c r="B368" s="43"/>
      <c r="C368" s="43"/>
      <c r="D368" s="43"/>
      <c r="E368" s="43"/>
      <c r="F368" s="43"/>
      <c r="G368" s="43"/>
      <c r="H368" s="43"/>
      <c r="I368" s="43"/>
      <c r="J368" s="43"/>
      <c r="K368" s="43"/>
      <c r="L368" s="43"/>
      <c r="M368" s="43"/>
      <c r="N368" s="43"/>
      <c r="O368" s="43"/>
      <c r="P368" s="43"/>
    </row>
    <row r="369" spans="1:16" ht="12.75">
      <c r="A369" s="619"/>
      <c r="B369" s="43"/>
      <c r="C369" s="43"/>
      <c r="D369" s="43"/>
      <c r="E369" s="43"/>
      <c r="F369" s="43"/>
      <c r="G369" s="43"/>
      <c r="H369" s="43"/>
      <c r="I369" s="43"/>
      <c r="J369" s="43"/>
      <c r="K369" s="43"/>
      <c r="L369" s="43"/>
      <c r="M369" s="43"/>
      <c r="N369" s="43"/>
      <c r="O369" s="43"/>
      <c r="P369" s="43"/>
    </row>
    <row r="370" spans="1:16" ht="12.75">
      <c r="A370" s="619"/>
      <c r="B370" s="43"/>
      <c r="C370" s="43"/>
      <c r="D370" s="43"/>
      <c r="E370" s="43"/>
      <c r="F370" s="43"/>
      <c r="G370" s="43"/>
      <c r="H370" s="43"/>
      <c r="I370" s="43"/>
      <c r="J370" s="43"/>
      <c r="K370" s="43"/>
      <c r="L370" s="43"/>
      <c r="M370" s="43"/>
      <c r="N370" s="43"/>
      <c r="O370" s="43"/>
      <c r="P370" s="43"/>
    </row>
    <row r="371" spans="1:16" ht="12.75">
      <c r="A371" s="619"/>
      <c r="B371" s="43"/>
      <c r="C371" s="43"/>
      <c r="D371" s="43"/>
      <c r="E371" s="43"/>
      <c r="F371" s="43"/>
      <c r="G371" s="43"/>
      <c r="H371" s="43"/>
      <c r="I371" s="43"/>
      <c r="J371" s="43"/>
      <c r="K371" s="43"/>
      <c r="L371" s="43"/>
      <c r="M371" s="43"/>
      <c r="N371" s="43"/>
      <c r="O371" s="43"/>
      <c r="P371" s="43"/>
    </row>
    <row r="372" spans="1:16" ht="12.75">
      <c r="A372" s="619"/>
      <c r="B372" s="43"/>
      <c r="C372" s="43"/>
      <c r="D372" s="43"/>
      <c r="E372" s="43"/>
      <c r="F372" s="43"/>
      <c r="G372" s="43"/>
      <c r="H372" s="43"/>
      <c r="I372" s="43"/>
      <c r="J372" s="43"/>
      <c r="K372" s="43"/>
      <c r="L372" s="43"/>
      <c r="M372" s="43"/>
      <c r="N372" s="43"/>
      <c r="O372" s="43"/>
      <c r="P372" s="43"/>
    </row>
    <row r="373" spans="1:16" ht="12.75">
      <c r="A373" s="619"/>
      <c r="B373" s="43"/>
      <c r="C373" s="43"/>
      <c r="D373" s="43"/>
      <c r="E373" s="43"/>
      <c r="F373" s="43"/>
      <c r="G373" s="43"/>
      <c r="H373" s="43"/>
      <c r="I373" s="43"/>
      <c r="J373" s="43"/>
      <c r="K373" s="43"/>
      <c r="L373" s="43"/>
      <c r="M373" s="43"/>
      <c r="N373" s="43"/>
      <c r="O373" s="43"/>
      <c r="P373" s="43"/>
    </row>
    <row r="374" spans="1:16" ht="12.75">
      <c r="A374" s="619"/>
      <c r="B374" s="43"/>
      <c r="C374" s="43"/>
      <c r="D374" s="43"/>
      <c r="E374" s="43"/>
      <c r="F374" s="43"/>
      <c r="G374" s="43"/>
      <c r="H374" s="43"/>
      <c r="I374" s="43"/>
      <c r="J374" s="43"/>
      <c r="K374" s="43"/>
      <c r="L374" s="43"/>
      <c r="M374" s="43"/>
      <c r="N374" s="43"/>
      <c r="O374" s="43"/>
      <c r="P374" s="43"/>
    </row>
    <row r="375" spans="1:16" ht="12.75">
      <c r="A375" s="619"/>
      <c r="B375" s="43"/>
      <c r="C375" s="43"/>
      <c r="D375" s="43"/>
      <c r="E375" s="43"/>
      <c r="F375" s="43"/>
      <c r="G375" s="43"/>
      <c r="H375" s="43"/>
      <c r="I375" s="43"/>
      <c r="J375" s="43"/>
      <c r="K375" s="43"/>
      <c r="L375" s="43"/>
      <c r="M375" s="43"/>
      <c r="N375" s="43"/>
      <c r="O375" s="43"/>
      <c r="P375" s="43"/>
    </row>
    <row r="376" spans="1:16" ht="12.75">
      <c r="A376" s="619"/>
      <c r="B376" s="43"/>
      <c r="C376" s="43"/>
      <c r="D376" s="43"/>
      <c r="E376" s="43"/>
      <c r="F376" s="43"/>
      <c r="G376" s="43"/>
      <c r="H376" s="43"/>
      <c r="I376" s="43"/>
      <c r="J376" s="43"/>
      <c r="K376" s="43"/>
      <c r="L376" s="43"/>
      <c r="M376" s="43"/>
      <c r="N376" s="43"/>
      <c r="O376" s="43"/>
      <c r="P376" s="43"/>
    </row>
    <row r="377" spans="1:16" ht="12.75">
      <c r="A377" s="619"/>
      <c r="B377" s="43"/>
      <c r="C377" s="43"/>
      <c r="D377" s="43"/>
      <c r="E377" s="43"/>
      <c r="F377" s="43"/>
      <c r="G377" s="43"/>
      <c r="H377" s="43"/>
      <c r="I377" s="43"/>
      <c r="J377" s="43"/>
      <c r="K377" s="43"/>
      <c r="L377" s="43"/>
      <c r="M377" s="43"/>
      <c r="N377" s="43"/>
      <c r="O377" s="43"/>
      <c r="P377" s="43"/>
    </row>
    <row r="378" spans="1:16" ht="12.75">
      <c r="A378" s="619"/>
      <c r="B378" s="43"/>
      <c r="C378" s="43"/>
      <c r="D378" s="43"/>
      <c r="E378" s="43"/>
      <c r="F378" s="43"/>
      <c r="G378" s="43"/>
      <c r="H378" s="43"/>
      <c r="I378" s="43"/>
      <c r="J378" s="43"/>
      <c r="K378" s="43"/>
      <c r="L378" s="43"/>
      <c r="M378" s="43"/>
      <c r="N378" s="43"/>
      <c r="O378" s="43"/>
      <c r="P378" s="43"/>
    </row>
    <row r="379" spans="1:16" ht="12.75">
      <c r="A379" s="619"/>
      <c r="B379" s="43"/>
      <c r="C379" s="43"/>
      <c r="D379" s="43"/>
      <c r="E379" s="43"/>
      <c r="F379" s="43"/>
      <c r="G379" s="43"/>
      <c r="H379" s="43"/>
      <c r="I379" s="43"/>
      <c r="J379" s="43"/>
      <c r="K379" s="43"/>
      <c r="L379" s="43"/>
      <c r="M379" s="43"/>
      <c r="N379" s="43"/>
      <c r="O379" s="43"/>
      <c r="P379" s="43"/>
    </row>
    <row r="380" spans="1:16" ht="12.75">
      <c r="A380" s="619"/>
      <c r="B380" s="43"/>
      <c r="C380" s="43"/>
      <c r="D380" s="43"/>
      <c r="E380" s="43"/>
      <c r="F380" s="43"/>
      <c r="G380" s="43"/>
      <c r="H380" s="43"/>
      <c r="I380" s="43"/>
      <c r="J380" s="43"/>
      <c r="K380" s="43"/>
      <c r="L380" s="43"/>
      <c r="M380" s="43"/>
      <c r="N380" s="43"/>
      <c r="O380" s="43"/>
      <c r="P380" s="43"/>
    </row>
    <row r="381" spans="1:16" ht="12.75">
      <c r="A381" s="619"/>
      <c r="B381" s="43"/>
      <c r="C381" s="43"/>
      <c r="D381" s="43"/>
      <c r="E381" s="43"/>
      <c r="F381" s="43"/>
      <c r="G381" s="43"/>
      <c r="H381" s="43"/>
      <c r="I381" s="43"/>
      <c r="J381" s="43"/>
      <c r="K381" s="43"/>
      <c r="L381" s="43"/>
      <c r="M381" s="43"/>
      <c r="N381" s="43"/>
      <c r="O381" s="43"/>
      <c r="P381" s="43"/>
    </row>
    <row r="382" spans="1:16" ht="12.75">
      <c r="A382" s="619"/>
      <c r="B382" s="43"/>
      <c r="C382" s="43"/>
      <c r="D382" s="43"/>
      <c r="E382" s="43"/>
      <c r="F382" s="43"/>
      <c r="G382" s="43"/>
      <c r="H382" s="43"/>
      <c r="I382" s="43"/>
      <c r="J382" s="43"/>
      <c r="K382" s="43"/>
      <c r="L382" s="43"/>
      <c r="M382" s="43"/>
      <c r="N382" s="43"/>
      <c r="O382" s="43"/>
      <c r="P382" s="43"/>
    </row>
    <row r="383" spans="1:16" ht="12.75">
      <c r="A383" s="619"/>
      <c r="B383" s="43"/>
      <c r="C383" s="43"/>
      <c r="D383" s="43"/>
      <c r="E383" s="43"/>
      <c r="F383" s="43"/>
      <c r="G383" s="43"/>
      <c r="H383" s="43"/>
      <c r="I383" s="43"/>
      <c r="J383" s="43"/>
      <c r="K383" s="43"/>
      <c r="L383" s="43"/>
      <c r="M383" s="43"/>
      <c r="N383" s="43"/>
      <c r="O383" s="43"/>
      <c r="P383" s="43"/>
    </row>
    <row r="384" spans="1:16" ht="12.75">
      <c r="A384" s="619"/>
      <c r="B384" s="43"/>
      <c r="C384" s="43"/>
      <c r="D384" s="43"/>
      <c r="E384" s="43"/>
      <c r="F384" s="43"/>
      <c r="G384" s="43"/>
      <c r="H384" s="43"/>
      <c r="I384" s="43"/>
      <c r="J384" s="43"/>
      <c r="K384" s="43"/>
      <c r="L384" s="43"/>
      <c r="M384" s="43"/>
      <c r="N384" s="43"/>
      <c r="O384" s="43"/>
      <c r="P384" s="43"/>
    </row>
    <row r="385" spans="1:16" ht="12.75">
      <c r="A385" s="619"/>
      <c r="B385" s="43"/>
      <c r="C385" s="43"/>
      <c r="D385" s="43"/>
      <c r="E385" s="43"/>
      <c r="F385" s="43"/>
      <c r="G385" s="43"/>
      <c r="H385" s="43"/>
      <c r="I385" s="43"/>
      <c r="J385" s="43"/>
      <c r="K385" s="43"/>
      <c r="L385" s="43"/>
      <c r="M385" s="43"/>
      <c r="N385" s="43"/>
      <c r="O385" s="43"/>
      <c r="P385" s="43"/>
    </row>
    <row r="386" spans="1:16" ht="12.75">
      <c r="A386" s="619"/>
      <c r="B386" s="43"/>
      <c r="C386" s="43"/>
      <c r="D386" s="43"/>
      <c r="E386" s="43"/>
      <c r="F386" s="43"/>
      <c r="G386" s="43"/>
      <c r="H386" s="43"/>
      <c r="I386" s="43"/>
      <c r="J386" s="43"/>
      <c r="K386" s="43"/>
      <c r="L386" s="43"/>
      <c r="M386" s="43"/>
      <c r="N386" s="43"/>
      <c r="O386" s="43"/>
      <c r="P386" s="43"/>
    </row>
    <row r="387" spans="1:16" ht="12.75">
      <c r="A387" s="619"/>
      <c r="B387" s="43"/>
      <c r="C387" s="43"/>
      <c r="D387" s="43"/>
      <c r="E387" s="43"/>
      <c r="F387" s="43"/>
      <c r="G387" s="43"/>
      <c r="H387" s="43"/>
      <c r="I387" s="43"/>
      <c r="J387" s="43"/>
      <c r="K387" s="43"/>
      <c r="L387" s="43"/>
      <c r="M387" s="43"/>
      <c r="N387" s="43"/>
      <c r="O387" s="43"/>
      <c r="P387" s="43"/>
    </row>
    <row r="388" spans="1:16" ht="12.75">
      <c r="A388" s="619"/>
      <c r="B388" s="43"/>
      <c r="C388" s="43"/>
      <c r="D388" s="43"/>
      <c r="E388" s="43"/>
      <c r="F388" s="43"/>
      <c r="G388" s="43"/>
      <c r="H388" s="43"/>
      <c r="I388" s="43"/>
      <c r="J388" s="43"/>
      <c r="K388" s="43"/>
      <c r="L388" s="43"/>
      <c r="M388" s="43"/>
      <c r="N388" s="43"/>
      <c r="O388" s="43"/>
      <c r="P388" s="43"/>
    </row>
    <row r="389" spans="1:16" ht="12.75">
      <c r="A389" s="619"/>
      <c r="B389" s="43"/>
      <c r="C389" s="43"/>
      <c r="D389" s="43"/>
      <c r="E389" s="43"/>
      <c r="F389" s="43"/>
      <c r="G389" s="43"/>
      <c r="H389" s="43"/>
      <c r="I389" s="43"/>
      <c r="J389" s="43"/>
      <c r="K389" s="43"/>
      <c r="L389" s="43"/>
      <c r="M389" s="43"/>
      <c r="N389" s="43"/>
      <c r="O389" s="43"/>
      <c r="P389" s="43"/>
    </row>
    <row r="390" spans="1:16" ht="12.75">
      <c r="A390" s="619"/>
      <c r="B390" s="43"/>
      <c r="C390" s="43"/>
      <c r="D390" s="43"/>
      <c r="E390" s="43"/>
      <c r="F390" s="43"/>
      <c r="G390" s="43"/>
      <c r="H390" s="43"/>
      <c r="I390" s="43"/>
      <c r="J390" s="43"/>
      <c r="K390" s="43"/>
      <c r="L390" s="43"/>
      <c r="M390" s="43"/>
      <c r="N390" s="43"/>
      <c r="O390" s="43"/>
      <c r="P390" s="43"/>
    </row>
    <row r="391" spans="1:16" ht="12.75">
      <c r="A391" s="619"/>
      <c r="B391" s="43"/>
      <c r="C391" s="43"/>
      <c r="D391" s="43"/>
      <c r="E391" s="43"/>
      <c r="F391" s="43"/>
      <c r="G391" s="43"/>
      <c r="H391" s="43"/>
      <c r="I391" s="43"/>
      <c r="J391" s="43"/>
      <c r="K391" s="43"/>
      <c r="L391" s="43"/>
      <c r="M391" s="43"/>
      <c r="N391" s="43"/>
      <c r="O391" s="43"/>
      <c r="P391" s="43"/>
    </row>
    <row r="392" spans="1:16" ht="12.75">
      <c r="A392" s="619"/>
      <c r="B392" s="43"/>
      <c r="C392" s="43"/>
      <c r="D392" s="43"/>
      <c r="E392" s="43"/>
      <c r="F392" s="43"/>
      <c r="G392" s="43"/>
      <c r="H392" s="43"/>
      <c r="I392" s="43"/>
      <c r="J392" s="43"/>
      <c r="K392" s="43"/>
      <c r="L392" s="43"/>
      <c r="M392" s="43"/>
      <c r="N392" s="43"/>
      <c r="O392" s="43"/>
      <c r="P392" s="43"/>
    </row>
    <row r="393" spans="1:16" ht="12.75">
      <c r="A393" s="619"/>
      <c r="B393" s="43"/>
      <c r="C393" s="43"/>
      <c r="D393" s="43"/>
      <c r="E393" s="43"/>
      <c r="F393" s="43"/>
      <c r="G393" s="43"/>
      <c r="H393" s="43"/>
      <c r="I393" s="43"/>
      <c r="J393" s="43"/>
      <c r="K393" s="43"/>
      <c r="L393" s="43"/>
      <c r="M393" s="43"/>
      <c r="N393" s="43"/>
      <c r="O393" s="43"/>
      <c r="P393" s="43"/>
    </row>
    <row r="394" spans="1:16" ht="12.75">
      <c r="A394" s="619"/>
      <c r="B394" s="43"/>
      <c r="C394" s="43"/>
      <c r="D394" s="43"/>
      <c r="E394" s="43"/>
      <c r="F394" s="43"/>
      <c r="G394" s="43"/>
      <c r="H394" s="43"/>
      <c r="I394" s="43"/>
      <c r="J394" s="43"/>
      <c r="K394" s="43"/>
      <c r="L394" s="43"/>
      <c r="M394" s="43"/>
      <c r="N394" s="43"/>
      <c r="O394" s="43"/>
      <c r="P394" s="43"/>
    </row>
    <row r="395" spans="1:16" ht="12.75">
      <c r="A395" s="619"/>
      <c r="B395" s="43"/>
      <c r="C395" s="43"/>
      <c r="D395" s="43"/>
      <c r="E395" s="43"/>
      <c r="F395" s="43"/>
      <c r="G395" s="43"/>
      <c r="H395" s="43"/>
      <c r="I395" s="43"/>
      <c r="J395" s="43"/>
      <c r="K395" s="43"/>
      <c r="L395" s="43"/>
      <c r="M395" s="43"/>
      <c r="N395" s="43"/>
      <c r="O395" s="43"/>
      <c r="P395" s="43"/>
    </row>
    <row r="396" spans="1:16" ht="12.75">
      <c r="A396" s="619"/>
      <c r="B396" s="43"/>
      <c r="C396" s="43"/>
      <c r="D396" s="43"/>
      <c r="E396" s="43"/>
      <c r="F396" s="43"/>
      <c r="G396" s="43"/>
      <c r="H396" s="43"/>
      <c r="I396" s="43"/>
      <c r="J396" s="43"/>
      <c r="K396" s="43"/>
      <c r="L396" s="43"/>
      <c r="M396" s="43"/>
      <c r="N396" s="43"/>
      <c r="O396" s="43"/>
      <c r="P396" s="43"/>
    </row>
    <row r="397" spans="1:16" ht="12.75">
      <c r="A397" s="619"/>
      <c r="B397" s="43"/>
      <c r="C397" s="43"/>
      <c r="D397" s="43"/>
      <c r="E397" s="43"/>
      <c r="F397" s="43"/>
      <c r="G397" s="43"/>
      <c r="H397" s="43"/>
      <c r="I397" s="43"/>
      <c r="J397" s="43"/>
      <c r="K397" s="43"/>
      <c r="L397" s="43"/>
      <c r="M397" s="43"/>
      <c r="N397" s="43"/>
      <c r="O397" s="43"/>
      <c r="P397" s="43"/>
    </row>
    <row r="398" spans="1:16" ht="12.75">
      <c r="A398" s="619"/>
      <c r="B398" s="43"/>
      <c r="C398" s="43"/>
      <c r="D398" s="43"/>
      <c r="E398" s="43"/>
      <c r="F398" s="43"/>
      <c r="G398" s="43"/>
      <c r="H398" s="43"/>
      <c r="I398" s="43"/>
      <c r="J398" s="43"/>
      <c r="K398" s="43"/>
      <c r="L398" s="43"/>
      <c r="M398" s="43"/>
      <c r="N398" s="43"/>
      <c r="O398" s="43"/>
      <c r="P398" s="43"/>
    </row>
    <row r="399" spans="1:16" ht="12.75">
      <c r="A399" s="619"/>
      <c r="B399" s="43"/>
      <c r="C399" s="43"/>
      <c r="D399" s="43"/>
      <c r="E399" s="43"/>
      <c r="F399" s="43"/>
      <c r="G399" s="43"/>
      <c r="H399" s="43"/>
      <c r="I399" s="43"/>
      <c r="J399" s="43"/>
      <c r="K399" s="43"/>
      <c r="L399" s="43"/>
      <c r="M399" s="43"/>
      <c r="N399" s="43"/>
      <c r="O399" s="43"/>
      <c r="P399" s="43"/>
    </row>
    <row r="400" spans="1:16" ht="12.75">
      <c r="A400" s="619"/>
      <c r="B400" s="43"/>
      <c r="C400" s="43"/>
      <c r="D400" s="43"/>
      <c r="E400" s="43"/>
      <c r="F400" s="43"/>
      <c r="G400" s="43"/>
      <c r="H400" s="43"/>
      <c r="I400" s="43"/>
      <c r="J400" s="43"/>
      <c r="K400" s="43"/>
      <c r="L400" s="43"/>
      <c r="M400" s="43"/>
      <c r="N400" s="43"/>
      <c r="O400" s="43"/>
      <c r="P400" s="43"/>
    </row>
    <row r="401" spans="1:16" ht="12.75">
      <c r="A401" s="619"/>
      <c r="B401" s="43"/>
      <c r="C401" s="43"/>
      <c r="D401" s="43"/>
      <c r="E401" s="43"/>
      <c r="F401" s="43"/>
      <c r="G401" s="43"/>
      <c r="H401" s="43"/>
      <c r="I401" s="43"/>
      <c r="J401" s="43"/>
      <c r="K401" s="43"/>
      <c r="L401" s="43"/>
      <c r="M401" s="43"/>
      <c r="N401" s="43"/>
      <c r="O401" s="43"/>
      <c r="P401" s="43"/>
    </row>
    <row r="402" spans="1:16" ht="12.75">
      <c r="A402" s="619"/>
      <c r="B402" s="43"/>
      <c r="C402" s="43"/>
      <c r="D402" s="43"/>
      <c r="E402" s="43"/>
      <c r="F402" s="43"/>
      <c r="G402" s="43"/>
      <c r="H402" s="43"/>
      <c r="I402" s="43"/>
      <c r="J402" s="43"/>
      <c r="K402" s="43"/>
      <c r="L402" s="43"/>
      <c r="M402" s="43"/>
      <c r="N402" s="43"/>
      <c r="O402" s="43"/>
      <c r="P402" s="43"/>
    </row>
    <row r="403" spans="1:16" ht="12.75">
      <c r="A403" s="619"/>
      <c r="B403" s="43"/>
      <c r="C403" s="43"/>
      <c r="D403" s="43"/>
      <c r="E403" s="43"/>
      <c r="F403" s="43"/>
      <c r="G403" s="43"/>
      <c r="H403" s="43"/>
      <c r="I403" s="43"/>
      <c r="J403" s="43"/>
      <c r="K403" s="43"/>
      <c r="L403" s="43"/>
      <c r="M403" s="43"/>
      <c r="N403" s="43"/>
      <c r="O403" s="43"/>
      <c r="P403" s="43"/>
    </row>
    <row r="404" spans="1:16" ht="12.75">
      <c r="A404" s="619"/>
      <c r="B404" s="43"/>
      <c r="C404" s="43"/>
      <c r="D404" s="43"/>
      <c r="E404" s="43"/>
      <c r="F404" s="43"/>
      <c r="G404" s="43"/>
      <c r="H404" s="43"/>
      <c r="I404" s="43"/>
      <c r="J404" s="43"/>
      <c r="K404" s="43"/>
      <c r="L404" s="43"/>
      <c r="M404" s="43"/>
      <c r="N404" s="43"/>
      <c r="O404" s="43"/>
      <c r="P404" s="43"/>
    </row>
    <row r="405" spans="1:16" ht="12.75">
      <c r="A405" s="619"/>
      <c r="B405" s="43"/>
      <c r="C405" s="43"/>
      <c r="D405" s="43"/>
      <c r="E405" s="43"/>
      <c r="F405" s="43"/>
      <c r="G405" s="43"/>
      <c r="H405" s="43"/>
      <c r="I405" s="43"/>
      <c r="J405" s="43"/>
      <c r="K405" s="43"/>
      <c r="L405" s="43"/>
      <c r="M405" s="43"/>
      <c r="N405" s="43"/>
      <c r="O405" s="43"/>
      <c r="P405" s="43"/>
    </row>
    <row r="406" spans="1:16" ht="12.75">
      <c r="A406" s="619"/>
      <c r="B406" s="43"/>
      <c r="C406" s="43"/>
      <c r="D406" s="43"/>
      <c r="E406" s="43"/>
      <c r="F406" s="43"/>
      <c r="G406" s="43"/>
      <c r="H406" s="43"/>
      <c r="I406" s="43"/>
      <c r="J406" s="43"/>
      <c r="K406" s="43"/>
      <c r="L406" s="43"/>
      <c r="M406" s="43"/>
      <c r="N406" s="43"/>
      <c r="O406" s="43"/>
      <c r="P406" s="43"/>
    </row>
    <row r="407" spans="1:16" ht="12.75">
      <c r="A407" s="619"/>
      <c r="B407" s="43"/>
      <c r="C407" s="43"/>
      <c r="D407" s="43"/>
      <c r="E407" s="43"/>
      <c r="F407" s="43"/>
      <c r="G407" s="43"/>
      <c r="H407" s="43"/>
      <c r="I407" s="43"/>
      <c r="J407" s="43"/>
      <c r="K407" s="43"/>
      <c r="L407" s="43"/>
      <c r="M407" s="43"/>
      <c r="N407" s="43"/>
      <c r="O407" s="43"/>
      <c r="P407" s="43"/>
    </row>
    <row r="408" spans="1:16" ht="12.75">
      <c r="A408" s="619"/>
      <c r="B408" s="43"/>
      <c r="C408" s="43"/>
      <c r="D408" s="43"/>
      <c r="E408" s="43"/>
      <c r="F408" s="43"/>
      <c r="G408" s="43"/>
      <c r="H408" s="43"/>
      <c r="I408" s="43"/>
      <c r="J408" s="43"/>
      <c r="K408" s="43"/>
      <c r="L408" s="43"/>
      <c r="M408" s="43"/>
      <c r="N408" s="43"/>
      <c r="O408" s="43"/>
      <c r="P408" s="43"/>
    </row>
    <row r="409" spans="1:16" ht="12.75">
      <c r="A409" s="619"/>
      <c r="B409" s="43"/>
      <c r="C409" s="43"/>
      <c r="D409" s="43"/>
      <c r="E409" s="43"/>
      <c r="F409" s="43"/>
      <c r="G409" s="43"/>
      <c r="H409" s="43"/>
      <c r="I409" s="43"/>
      <c r="J409" s="43"/>
      <c r="K409" s="43"/>
      <c r="L409" s="43"/>
      <c r="M409" s="43"/>
      <c r="N409" s="43"/>
      <c r="O409" s="43"/>
      <c r="P409" s="43"/>
    </row>
    <row r="410" spans="1:16" ht="12.75">
      <c r="A410" s="619"/>
      <c r="B410" s="43"/>
      <c r="C410" s="43"/>
      <c r="D410" s="43"/>
      <c r="E410" s="43"/>
      <c r="F410" s="43"/>
      <c r="G410" s="43"/>
      <c r="H410" s="43"/>
      <c r="I410" s="43"/>
      <c r="J410" s="43"/>
      <c r="K410" s="43"/>
      <c r="L410" s="43"/>
      <c r="M410" s="43"/>
      <c r="N410" s="43"/>
      <c r="O410" s="43"/>
      <c r="P410" s="43"/>
    </row>
    <row r="411" spans="1:16" ht="12.75">
      <c r="A411" s="619"/>
      <c r="B411" s="43"/>
      <c r="C411" s="43"/>
      <c r="D411" s="43"/>
      <c r="E411" s="43"/>
      <c r="F411" s="43"/>
      <c r="G411" s="43"/>
      <c r="H411" s="43"/>
      <c r="I411" s="43"/>
      <c r="J411" s="43"/>
      <c r="K411" s="43"/>
      <c r="L411" s="43"/>
      <c r="M411" s="43"/>
      <c r="N411" s="43"/>
      <c r="O411" s="43"/>
      <c r="P411" s="43"/>
    </row>
    <row r="412" spans="1:16" ht="12.75">
      <c r="A412" s="619"/>
      <c r="B412" s="43"/>
      <c r="C412" s="43"/>
      <c r="D412" s="43"/>
      <c r="E412" s="43"/>
      <c r="F412" s="43"/>
      <c r="G412" s="43"/>
      <c r="H412" s="43"/>
      <c r="I412" s="43"/>
      <c r="J412" s="43"/>
      <c r="K412" s="43"/>
      <c r="L412" s="43"/>
      <c r="M412" s="43"/>
      <c r="N412" s="43"/>
      <c r="O412" s="43"/>
      <c r="P412" s="43"/>
    </row>
    <row r="413" spans="1:16" ht="12.75">
      <c r="A413" s="619"/>
      <c r="B413" s="43"/>
      <c r="C413" s="43"/>
      <c r="D413" s="43"/>
      <c r="E413" s="43"/>
      <c r="F413" s="43"/>
      <c r="G413" s="43"/>
      <c r="H413" s="43"/>
      <c r="I413" s="43"/>
      <c r="J413" s="43"/>
      <c r="K413" s="43"/>
      <c r="L413" s="43"/>
      <c r="M413" s="43"/>
      <c r="N413" s="43"/>
      <c r="O413" s="43"/>
      <c r="P413" s="43"/>
    </row>
    <row r="414" spans="1:16" ht="12.75">
      <c r="A414" s="619"/>
      <c r="B414" s="43"/>
      <c r="C414" s="43"/>
      <c r="D414" s="43"/>
      <c r="E414" s="43"/>
      <c r="F414" s="43"/>
      <c r="G414" s="43"/>
      <c r="H414" s="43"/>
      <c r="I414" s="43"/>
      <c r="J414" s="43"/>
      <c r="K414" s="43"/>
      <c r="L414" s="43"/>
      <c r="M414" s="43"/>
      <c r="N414" s="43"/>
      <c r="O414" s="43"/>
      <c r="P414" s="43"/>
    </row>
    <row r="415" spans="1:16" ht="12.75">
      <c r="A415" s="619"/>
      <c r="B415" s="43"/>
      <c r="C415" s="43"/>
      <c r="D415" s="43"/>
      <c r="E415" s="43"/>
      <c r="F415" s="43"/>
      <c r="G415" s="43"/>
      <c r="H415" s="43"/>
      <c r="I415" s="43"/>
      <c r="J415" s="43"/>
      <c r="K415" s="43"/>
      <c r="L415" s="43"/>
      <c r="M415" s="43"/>
      <c r="N415" s="43"/>
      <c r="O415" s="43"/>
      <c r="P415" s="43"/>
    </row>
    <row r="416" spans="1:16" ht="12.75">
      <c r="A416" s="619"/>
      <c r="B416" s="43"/>
      <c r="C416" s="43"/>
      <c r="D416" s="43"/>
      <c r="E416" s="43"/>
      <c r="F416" s="43"/>
      <c r="G416" s="43"/>
      <c r="H416" s="43"/>
      <c r="I416" s="43"/>
      <c r="J416" s="43"/>
      <c r="K416" s="43"/>
      <c r="L416" s="43"/>
      <c r="M416" s="43"/>
      <c r="N416" s="43"/>
      <c r="O416" s="43"/>
      <c r="P416" s="43"/>
    </row>
    <row r="417" spans="1:16" ht="12.75">
      <c r="A417" s="619"/>
      <c r="B417" s="43"/>
      <c r="C417" s="43"/>
      <c r="D417" s="43"/>
      <c r="E417" s="43"/>
      <c r="F417" s="43"/>
      <c r="G417" s="43"/>
      <c r="H417" s="43"/>
      <c r="I417" s="43"/>
      <c r="J417" s="43"/>
      <c r="K417" s="43"/>
      <c r="L417" s="43"/>
      <c r="M417" s="43"/>
      <c r="N417" s="43"/>
      <c r="O417" s="43"/>
      <c r="P417" s="43"/>
    </row>
    <row r="418" spans="1:16" ht="12.75">
      <c r="A418" s="619"/>
      <c r="B418" s="43"/>
      <c r="C418" s="43"/>
      <c r="D418" s="43"/>
      <c r="E418" s="43"/>
      <c r="F418" s="43"/>
      <c r="G418" s="43"/>
      <c r="H418" s="43"/>
      <c r="I418" s="43"/>
      <c r="J418" s="43"/>
      <c r="K418" s="43"/>
      <c r="L418" s="43"/>
      <c r="M418" s="43"/>
      <c r="N418" s="43"/>
      <c r="O418" s="43"/>
      <c r="P418" s="43"/>
    </row>
    <row r="419" spans="1:16" ht="12.75">
      <c r="A419" s="619"/>
      <c r="B419" s="43"/>
      <c r="C419" s="43"/>
      <c r="D419" s="43"/>
      <c r="E419" s="43"/>
      <c r="F419" s="43"/>
      <c r="G419" s="43"/>
      <c r="H419" s="43"/>
      <c r="I419" s="43"/>
      <c r="J419" s="43"/>
      <c r="K419" s="43"/>
      <c r="L419" s="43"/>
      <c r="M419" s="43"/>
      <c r="N419" s="43"/>
      <c r="O419" s="43"/>
      <c r="P419" s="43"/>
    </row>
    <row r="420" spans="1:16" ht="12.75">
      <c r="A420" s="619"/>
      <c r="B420" s="43"/>
      <c r="C420" s="43"/>
      <c r="D420" s="43"/>
      <c r="E420" s="43"/>
      <c r="F420" s="43"/>
      <c r="G420" s="43"/>
      <c r="H420" s="43"/>
      <c r="I420" s="43"/>
      <c r="J420" s="43"/>
      <c r="K420" s="43"/>
      <c r="L420" s="43"/>
      <c r="M420" s="43"/>
      <c r="N420" s="43"/>
      <c r="O420" s="43"/>
      <c r="P420" s="43"/>
    </row>
    <row r="421" spans="1:16" ht="12.75">
      <c r="A421" s="619"/>
      <c r="B421" s="43"/>
      <c r="C421" s="43"/>
      <c r="D421" s="43"/>
      <c r="E421" s="43"/>
      <c r="F421" s="43"/>
      <c r="G421" s="43"/>
      <c r="H421" s="43"/>
      <c r="I421" s="43"/>
      <c r="J421" s="43"/>
      <c r="K421" s="43"/>
      <c r="L421" s="43"/>
      <c r="M421" s="43"/>
      <c r="N421" s="43"/>
      <c r="O421" s="43"/>
      <c r="P421" s="43"/>
    </row>
    <row r="422" spans="1:16" ht="12.75">
      <c r="A422" s="619"/>
      <c r="B422" s="43"/>
      <c r="C422" s="43"/>
      <c r="D422" s="43"/>
      <c r="E422" s="43"/>
      <c r="F422" s="43"/>
      <c r="G422" s="43"/>
      <c r="H422" s="43"/>
      <c r="I422" s="43"/>
      <c r="J422" s="43"/>
      <c r="K422" s="43"/>
      <c r="L422" s="43"/>
      <c r="M422" s="43"/>
      <c r="N422" s="43"/>
      <c r="O422" s="43"/>
      <c r="P422" s="43"/>
    </row>
    <row r="423" spans="1:16" ht="12.75">
      <c r="A423" s="619"/>
      <c r="B423" s="43"/>
      <c r="C423" s="43"/>
      <c r="D423" s="43"/>
      <c r="E423" s="43"/>
      <c r="F423" s="43"/>
      <c r="G423" s="43"/>
      <c r="H423" s="43"/>
      <c r="I423" s="43"/>
      <c r="J423" s="43"/>
      <c r="K423" s="43"/>
      <c r="L423" s="43"/>
      <c r="M423" s="43"/>
      <c r="N423" s="43"/>
      <c r="O423" s="43"/>
      <c r="P423" s="43"/>
    </row>
    <row r="424" spans="1:16" ht="12.75">
      <c r="A424" s="619"/>
      <c r="B424" s="43"/>
      <c r="C424" s="43"/>
      <c r="D424" s="43"/>
      <c r="E424" s="43"/>
      <c r="F424" s="43"/>
      <c r="G424" s="43"/>
      <c r="H424" s="43"/>
      <c r="I424" s="43"/>
      <c r="J424" s="43"/>
      <c r="K424" s="43"/>
      <c r="L424" s="43"/>
      <c r="M424" s="43"/>
      <c r="N424" s="43"/>
      <c r="O424" s="43"/>
      <c r="P424" s="43"/>
    </row>
    <row r="425" spans="1:16" ht="12.75">
      <c r="A425" s="619"/>
      <c r="B425" s="43"/>
      <c r="C425" s="43"/>
      <c r="D425" s="43"/>
      <c r="E425" s="43"/>
      <c r="F425" s="43"/>
      <c r="G425" s="43"/>
      <c r="H425" s="43"/>
      <c r="I425" s="43"/>
      <c r="J425" s="43"/>
      <c r="K425" s="43"/>
      <c r="L425" s="43"/>
      <c r="M425" s="43"/>
      <c r="N425" s="43"/>
      <c r="O425" s="43"/>
      <c r="P425" s="43"/>
    </row>
    <row r="426" spans="1:16" ht="12.75">
      <c r="A426" s="619"/>
      <c r="B426" s="43"/>
      <c r="C426" s="43"/>
      <c r="D426" s="43"/>
      <c r="E426" s="43"/>
      <c r="F426" s="43"/>
      <c r="G426" s="43"/>
      <c r="H426" s="43"/>
      <c r="I426" s="43"/>
      <c r="J426" s="43"/>
      <c r="K426" s="43"/>
      <c r="L426" s="43"/>
      <c r="M426" s="43"/>
      <c r="N426" s="43"/>
      <c r="O426" s="43"/>
      <c r="P426" s="43"/>
    </row>
    <row r="427" spans="1:16" ht="12.75">
      <c r="A427" s="619"/>
      <c r="B427" s="43"/>
      <c r="C427" s="43"/>
      <c r="D427" s="43"/>
      <c r="E427" s="43"/>
      <c r="F427" s="43"/>
      <c r="G427" s="43"/>
      <c r="H427" s="43"/>
      <c r="I427" s="43"/>
      <c r="J427" s="43"/>
      <c r="K427" s="43"/>
      <c r="L427" s="43"/>
      <c r="M427" s="43"/>
      <c r="N427" s="43"/>
      <c r="O427" s="43"/>
      <c r="P427" s="43"/>
    </row>
    <row r="428" spans="1:16" ht="12.75">
      <c r="A428" s="619"/>
      <c r="B428" s="43"/>
      <c r="C428" s="43"/>
      <c r="D428" s="43"/>
      <c r="E428" s="43"/>
      <c r="F428" s="43"/>
      <c r="G428" s="43"/>
      <c r="H428" s="43"/>
      <c r="I428" s="43"/>
      <c r="J428" s="43"/>
      <c r="K428" s="43"/>
      <c r="L428" s="43"/>
      <c r="M428" s="43"/>
      <c r="N428" s="43"/>
      <c r="O428" s="43"/>
      <c r="P428" s="43"/>
    </row>
    <row r="429" spans="1:16" ht="12.75">
      <c r="A429" s="619"/>
      <c r="B429" s="43"/>
      <c r="C429" s="43"/>
      <c r="D429" s="43"/>
      <c r="E429" s="43"/>
      <c r="F429" s="43"/>
      <c r="G429" s="43"/>
      <c r="H429" s="43"/>
      <c r="I429" s="43"/>
      <c r="J429" s="43"/>
      <c r="K429" s="43"/>
      <c r="L429" s="43"/>
      <c r="M429" s="43"/>
      <c r="N429" s="43"/>
      <c r="O429" s="43"/>
      <c r="P429" s="43"/>
    </row>
    <row r="430" spans="1:16" ht="12.75">
      <c r="A430" s="619"/>
      <c r="B430" s="43"/>
      <c r="C430" s="43"/>
      <c r="D430" s="43"/>
      <c r="E430" s="43"/>
      <c r="F430" s="43"/>
      <c r="G430" s="43"/>
      <c r="H430" s="43"/>
      <c r="I430" s="43"/>
      <c r="J430" s="43"/>
      <c r="K430" s="43"/>
      <c r="L430" s="43"/>
      <c r="M430" s="43"/>
      <c r="N430" s="43"/>
      <c r="O430" s="43"/>
      <c r="P430" s="43"/>
    </row>
    <row r="431" spans="1:16" ht="12.75">
      <c r="A431" s="619"/>
      <c r="B431" s="43"/>
      <c r="C431" s="43"/>
      <c r="D431" s="43"/>
      <c r="E431" s="43"/>
      <c r="F431" s="43"/>
      <c r="G431" s="43"/>
      <c r="H431" s="43"/>
      <c r="I431" s="43"/>
      <c r="J431" s="43"/>
      <c r="K431" s="43"/>
      <c r="L431" s="43"/>
      <c r="M431" s="43"/>
      <c r="N431" s="43"/>
      <c r="O431" s="43"/>
      <c r="P431" s="43"/>
    </row>
    <row r="432" spans="1:16" ht="12.75">
      <c r="A432" s="619"/>
      <c r="B432" s="43"/>
      <c r="C432" s="43"/>
      <c r="D432" s="43"/>
      <c r="E432" s="43"/>
      <c r="F432" s="43"/>
      <c r="G432" s="43"/>
      <c r="H432" s="43"/>
      <c r="I432" s="43"/>
      <c r="J432" s="43"/>
      <c r="K432" s="43"/>
      <c r="L432" s="43"/>
      <c r="M432" s="43"/>
      <c r="N432" s="43"/>
      <c r="O432" s="43"/>
      <c r="P432" s="43"/>
    </row>
    <row r="433" spans="1:16" ht="12.75">
      <c r="A433" s="619"/>
      <c r="B433" s="43"/>
      <c r="C433" s="43"/>
      <c r="D433" s="43"/>
      <c r="E433" s="43"/>
      <c r="F433" s="43"/>
      <c r="G433" s="43"/>
      <c r="H433" s="43"/>
      <c r="I433" s="43"/>
      <c r="J433" s="43"/>
      <c r="K433" s="43"/>
      <c r="L433" s="43"/>
      <c r="M433" s="43"/>
      <c r="N433" s="43"/>
      <c r="O433" s="43"/>
      <c r="P433" s="43"/>
    </row>
    <row r="434" spans="1:16" ht="12.75">
      <c r="A434" s="619"/>
      <c r="B434" s="43"/>
      <c r="C434" s="43"/>
      <c r="D434" s="43"/>
      <c r="E434" s="43"/>
      <c r="F434" s="43"/>
      <c r="G434" s="43"/>
      <c r="H434" s="43"/>
      <c r="I434" s="43"/>
      <c r="J434" s="43"/>
      <c r="K434" s="43"/>
      <c r="L434" s="43"/>
      <c r="M434" s="43"/>
      <c r="N434" s="43"/>
      <c r="O434" s="43"/>
      <c r="P434" s="43"/>
    </row>
    <row r="435" spans="1:16" ht="12.75">
      <c r="A435" s="619"/>
      <c r="B435" s="43"/>
      <c r="C435" s="43"/>
      <c r="D435" s="43"/>
      <c r="E435" s="43"/>
      <c r="F435" s="43"/>
      <c r="G435" s="43"/>
      <c r="H435" s="43"/>
      <c r="I435" s="43"/>
      <c r="J435" s="43"/>
      <c r="K435" s="43"/>
      <c r="L435" s="43"/>
      <c r="M435" s="43"/>
      <c r="N435" s="43"/>
      <c r="O435" s="43"/>
      <c r="P435" s="43"/>
    </row>
    <row r="436" spans="1:16" ht="12.75">
      <c r="A436" s="619"/>
      <c r="B436" s="43"/>
      <c r="C436" s="43"/>
      <c r="D436" s="43"/>
      <c r="E436" s="43"/>
      <c r="F436" s="43"/>
      <c r="G436" s="43"/>
      <c r="H436" s="43"/>
      <c r="I436" s="43"/>
      <c r="J436" s="43"/>
      <c r="K436" s="43"/>
      <c r="L436" s="43"/>
      <c r="M436" s="43"/>
      <c r="N436" s="43"/>
      <c r="O436" s="43"/>
      <c r="P436" s="43"/>
    </row>
    <row r="437" spans="1:16" ht="12.75">
      <c r="A437" s="619"/>
      <c r="B437" s="43"/>
      <c r="C437" s="43"/>
      <c r="D437" s="43"/>
      <c r="E437" s="43"/>
      <c r="F437" s="43"/>
      <c r="G437" s="43"/>
      <c r="H437" s="43"/>
      <c r="I437" s="43"/>
      <c r="J437" s="43"/>
      <c r="K437" s="43"/>
      <c r="L437" s="43"/>
      <c r="M437" s="43"/>
      <c r="N437" s="43"/>
      <c r="O437" s="43"/>
      <c r="P437" s="43"/>
    </row>
    <row r="438" spans="1:16" ht="12.75">
      <c r="A438" s="619"/>
      <c r="B438" s="43"/>
      <c r="C438" s="43"/>
      <c r="D438" s="43"/>
      <c r="E438" s="43"/>
      <c r="F438" s="43"/>
      <c r="G438" s="43"/>
      <c r="H438" s="43"/>
      <c r="I438" s="43"/>
      <c r="J438" s="43"/>
      <c r="K438" s="43"/>
      <c r="L438" s="43"/>
      <c r="M438" s="43"/>
      <c r="N438" s="43"/>
      <c r="O438" s="43"/>
      <c r="P438" s="43"/>
    </row>
    <row r="439" spans="1:16" ht="12.75">
      <c r="A439" s="619"/>
      <c r="B439" s="43"/>
      <c r="C439" s="43"/>
      <c r="D439" s="43"/>
      <c r="E439" s="43"/>
      <c r="F439" s="43"/>
      <c r="G439" s="43"/>
      <c r="H439" s="43"/>
      <c r="I439" s="43"/>
      <c r="J439" s="43"/>
      <c r="K439" s="43"/>
      <c r="L439" s="43"/>
      <c r="M439" s="43"/>
      <c r="N439" s="43"/>
      <c r="O439" s="43"/>
      <c r="P439" s="43"/>
    </row>
    <row r="440" spans="1:16" ht="12.75">
      <c r="A440" s="619"/>
      <c r="B440" s="43"/>
      <c r="C440" s="43"/>
      <c r="D440" s="43"/>
      <c r="E440" s="43"/>
      <c r="F440" s="43"/>
      <c r="G440" s="43"/>
      <c r="H440" s="43"/>
      <c r="I440" s="43"/>
      <c r="J440" s="43"/>
      <c r="K440" s="43"/>
      <c r="L440" s="43"/>
      <c r="M440" s="43"/>
      <c r="N440" s="43"/>
      <c r="O440" s="43"/>
      <c r="P440" s="43"/>
    </row>
    <row r="441" spans="1:16" ht="12.75">
      <c r="A441" s="619"/>
      <c r="B441" s="43"/>
      <c r="C441" s="43"/>
      <c r="D441" s="43"/>
      <c r="E441" s="43"/>
      <c r="F441" s="43"/>
      <c r="G441" s="43"/>
      <c r="H441" s="43"/>
      <c r="I441" s="43"/>
      <c r="J441" s="43"/>
      <c r="K441" s="43"/>
      <c r="L441" s="43"/>
      <c r="M441" s="43"/>
      <c r="N441" s="43"/>
      <c r="O441" s="43"/>
      <c r="P441" s="43"/>
    </row>
    <row r="442" spans="1:16" ht="12.75">
      <c r="A442" s="619"/>
      <c r="B442" s="43"/>
      <c r="C442" s="43"/>
      <c r="D442" s="43"/>
      <c r="E442" s="43"/>
      <c r="F442" s="43"/>
      <c r="G442" s="43"/>
      <c r="H442" s="43"/>
      <c r="I442" s="43"/>
      <c r="J442" s="43"/>
      <c r="K442" s="43"/>
      <c r="L442" s="43"/>
      <c r="M442" s="43"/>
      <c r="N442" s="43"/>
      <c r="O442" s="43"/>
      <c r="P442" s="43"/>
    </row>
    <row r="443" spans="1:16" ht="12.75">
      <c r="A443" s="619"/>
      <c r="B443" s="43"/>
      <c r="C443" s="43"/>
      <c r="D443" s="43"/>
      <c r="E443" s="43"/>
      <c r="F443" s="43"/>
      <c r="G443" s="43"/>
      <c r="H443" s="43"/>
      <c r="I443" s="43"/>
      <c r="J443" s="43"/>
      <c r="K443" s="43"/>
      <c r="L443" s="43"/>
      <c r="M443" s="43"/>
      <c r="N443" s="43"/>
      <c r="O443" s="43"/>
      <c r="P443" s="43"/>
    </row>
    <row r="444" spans="1:16" ht="12.75">
      <c r="A444" s="619"/>
      <c r="B444" s="43"/>
      <c r="C444" s="43"/>
      <c r="D444" s="43"/>
      <c r="E444" s="43"/>
      <c r="F444" s="43"/>
      <c r="G444" s="43"/>
      <c r="H444" s="43"/>
      <c r="I444" s="43"/>
      <c r="J444" s="43"/>
      <c r="K444" s="43"/>
      <c r="L444" s="43"/>
      <c r="M444" s="43"/>
      <c r="N444" s="43"/>
      <c r="O444" s="43"/>
      <c r="P444" s="43"/>
    </row>
    <row r="445" spans="1:16" ht="12.75">
      <c r="A445" s="619"/>
      <c r="B445" s="43"/>
      <c r="C445" s="43"/>
      <c r="D445" s="43"/>
      <c r="E445" s="43"/>
      <c r="F445" s="43"/>
      <c r="G445" s="43"/>
      <c r="H445" s="43"/>
      <c r="I445" s="43"/>
      <c r="J445" s="43"/>
      <c r="K445" s="43"/>
      <c r="L445" s="43"/>
      <c r="M445" s="43"/>
      <c r="N445" s="43"/>
      <c r="O445" s="43"/>
      <c r="P445" s="43"/>
    </row>
    <row r="446" spans="1:16" ht="12.75">
      <c r="A446" s="619"/>
      <c r="B446" s="43"/>
      <c r="C446" s="43"/>
      <c r="D446" s="43"/>
      <c r="E446" s="43"/>
      <c r="F446" s="43"/>
      <c r="G446" s="43"/>
      <c r="H446" s="43"/>
      <c r="I446" s="43"/>
      <c r="J446" s="43"/>
      <c r="K446" s="43"/>
      <c r="L446" s="43"/>
      <c r="M446" s="43"/>
      <c r="N446" s="43"/>
      <c r="O446" s="43"/>
      <c r="P446" s="43"/>
    </row>
    <row r="447" spans="1:16" ht="12.75">
      <c r="A447" s="619"/>
      <c r="B447" s="43"/>
      <c r="C447" s="43"/>
      <c r="D447" s="43"/>
      <c r="E447" s="43"/>
      <c r="F447" s="43"/>
      <c r="G447" s="43"/>
      <c r="H447" s="43"/>
      <c r="I447" s="43"/>
      <c r="J447" s="43"/>
      <c r="K447" s="43"/>
      <c r="L447" s="43"/>
      <c r="M447" s="43"/>
      <c r="N447" s="43"/>
      <c r="O447" s="43"/>
      <c r="P447" s="43"/>
    </row>
    <row r="448" spans="1:16" ht="12.75">
      <c r="A448" s="619"/>
      <c r="B448" s="43"/>
      <c r="C448" s="43"/>
      <c r="D448" s="43"/>
      <c r="E448" s="43"/>
      <c r="F448" s="43"/>
      <c r="G448" s="43"/>
      <c r="H448" s="43"/>
      <c r="I448" s="43"/>
      <c r="J448" s="43"/>
      <c r="K448" s="43"/>
      <c r="L448" s="43"/>
      <c r="M448" s="43"/>
      <c r="N448" s="43"/>
      <c r="O448" s="43"/>
      <c r="P448" s="43"/>
    </row>
    <row r="449" spans="1:16" ht="12.75">
      <c r="A449" s="619"/>
      <c r="B449" s="43"/>
      <c r="C449" s="43"/>
      <c r="D449" s="43"/>
      <c r="E449" s="43"/>
      <c r="F449" s="43"/>
      <c r="G449" s="43"/>
      <c r="H449" s="43"/>
      <c r="I449" s="43"/>
      <c r="J449" s="43"/>
      <c r="K449" s="43"/>
      <c r="L449" s="43"/>
      <c r="M449" s="43"/>
      <c r="N449" s="43"/>
      <c r="O449" s="43"/>
      <c r="P449" s="43"/>
    </row>
    <row r="450" spans="1:16" ht="12.75">
      <c r="A450" s="619"/>
      <c r="B450" s="43"/>
      <c r="C450" s="43"/>
      <c r="D450" s="43"/>
      <c r="E450" s="43"/>
      <c r="F450" s="43"/>
      <c r="G450" s="43"/>
      <c r="H450" s="43"/>
      <c r="I450" s="43"/>
      <c r="J450" s="43"/>
      <c r="K450" s="43"/>
      <c r="L450" s="43"/>
      <c r="M450" s="43"/>
      <c r="N450" s="43"/>
      <c r="O450" s="43"/>
      <c r="P450" s="43"/>
    </row>
    <row r="451" spans="1:16" ht="12.75">
      <c r="A451" s="619"/>
      <c r="B451" s="43"/>
      <c r="C451" s="43"/>
      <c r="D451" s="43"/>
      <c r="E451" s="43"/>
      <c r="F451" s="43"/>
      <c r="G451" s="43"/>
      <c r="H451" s="43"/>
      <c r="I451" s="43"/>
      <c r="J451" s="43"/>
      <c r="K451" s="43"/>
      <c r="L451" s="43"/>
      <c r="M451" s="43"/>
      <c r="N451" s="43"/>
      <c r="O451" s="43"/>
      <c r="P451" s="43"/>
    </row>
    <row r="452" spans="1:16" ht="12.75">
      <c r="A452" s="619"/>
      <c r="B452" s="43"/>
      <c r="C452" s="43"/>
      <c r="D452" s="43"/>
      <c r="E452" s="43"/>
      <c r="F452" s="43"/>
      <c r="G452" s="43"/>
      <c r="H452" s="43"/>
      <c r="I452" s="43"/>
      <c r="J452" s="43"/>
      <c r="K452" s="43"/>
      <c r="L452" s="43"/>
      <c r="M452" s="43"/>
      <c r="N452" s="43"/>
      <c r="O452" s="43"/>
      <c r="P452" s="43"/>
    </row>
    <row r="453" spans="1:16" ht="12.75">
      <c r="A453" s="619"/>
      <c r="B453" s="43"/>
      <c r="C453" s="43"/>
      <c r="D453" s="43"/>
      <c r="E453" s="43"/>
      <c r="F453" s="43"/>
      <c r="G453" s="43"/>
      <c r="H453" s="43"/>
      <c r="I453" s="43"/>
      <c r="J453" s="43"/>
      <c r="K453" s="43"/>
      <c r="L453" s="43"/>
      <c r="M453" s="43"/>
      <c r="N453" s="43"/>
      <c r="O453" s="43"/>
      <c r="P453" s="43"/>
    </row>
    <row r="454" spans="1:16" ht="12.75">
      <c r="A454" s="619"/>
      <c r="B454" s="43"/>
      <c r="C454" s="43"/>
      <c r="D454" s="43"/>
      <c r="E454" s="43"/>
      <c r="F454" s="43"/>
      <c r="G454" s="43"/>
      <c r="H454" s="43"/>
      <c r="I454" s="43"/>
      <c r="J454" s="43"/>
      <c r="K454" s="43"/>
      <c r="L454" s="43"/>
      <c r="M454" s="43"/>
      <c r="N454" s="43"/>
      <c r="O454" s="43"/>
      <c r="P454" s="43"/>
    </row>
    <row r="455" spans="1:16" ht="12.75">
      <c r="A455" s="619"/>
      <c r="B455" s="43"/>
      <c r="C455" s="43"/>
      <c r="D455" s="43"/>
      <c r="E455" s="43"/>
      <c r="F455" s="43"/>
      <c r="G455" s="43"/>
      <c r="H455" s="43"/>
      <c r="I455" s="43"/>
      <c r="J455" s="43"/>
      <c r="K455" s="43"/>
      <c r="L455" s="43"/>
      <c r="M455" s="43"/>
      <c r="N455" s="43"/>
      <c r="O455" s="43"/>
      <c r="P455" s="43"/>
    </row>
    <row r="456" spans="1:16" ht="12.75">
      <c r="A456" s="619"/>
      <c r="B456" s="43"/>
      <c r="C456" s="43"/>
      <c r="D456" s="43"/>
      <c r="E456" s="43"/>
      <c r="F456" s="43"/>
      <c r="G456" s="43"/>
      <c r="H456" s="43"/>
      <c r="I456" s="43"/>
      <c r="J456" s="43"/>
      <c r="K456" s="43"/>
      <c r="L456" s="43"/>
      <c r="M456" s="43"/>
      <c r="N456" s="43"/>
      <c r="O456" s="43"/>
      <c r="P456" s="43"/>
    </row>
    <row r="457" spans="1:16" ht="12.75">
      <c r="A457" s="619"/>
      <c r="B457" s="43"/>
      <c r="C457" s="43"/>
      <c r="D457" s="43"/>
      <c r="E457" s="43"/>
      <c r="F457" s="43"/>
      <c r="G457" s="43"/>
      <c r="H457" s="43"/>
      <c r="I457" s="43"/>
      <c r="J457" s="43"/>
      <c r="K457" s="43"/>
      <c r="L457" s="43"/>
      <c r="M457" s="43"/>
      <c r="N457" s="43"/>
      <c r="O457" s="43"/>
      <c r="P457" s="43"/>
    </row>
    <row r="458" spans="1:16" ht="12.75">
      <c r="A458" s="619"/>
      <c r="B458" s="43"/>
      <c r="C458" s="43"/>
      <c r="D458" s="43"/>
      <c r="E458" s="43"/>
      <c r="F458" s="43"/>
      <c r="G458" s="43"/>
      <c r="H458" s="43"/>
      <c r="I458" s="43"/>
      <c r="J458" s="43"/>
      <c r="K458" s="43"/>
      <c r="L458" s="43"/>
      <c r="M458" s="43"/>
      <c r="N458" s="43"/>
      <c r="O458" s="43"/>
      <c r="P458" s="43"/>
    </row>
    <row r="459" spans="1:16" ht="12.75">
      <c r="A459" s="619"/>
      <c r="B459" s="43"/>
      <c r="C459" s="43"/>
      <c r="D459" s="43"/>
      <c r="E459" s="43"/>
      <c r="F459" s="43"/>
      <c r="G459" s="43"/>
      <c r="H459" s="43"/>
      <c r="I459" s="43"/>
      <c r="J459" s="43"/>
      <c r="K459" s="43"/>
      <c r="L459" s="43"/>
      <c r="M459" s="43"/>
      <c r="N459" s="43"/>
      <c r="O459" s="43"/>
      <c r="P459" s="43"/>
    </row>
    <row r="460" spans="1:16" ht="12.75">
      <c r="A460" s="619"/>
      <c r="B460" s="43"/>
      <c r="C460" s="43"/>
      <c r="D460" s="43"/>
      <c r="E460" s="43"/>
      <c r="F460" s="43"/>
      <c r="G460" s="43"/>
      <c r="H460" s="43"/>
      <c r="I460" s="43"/>
      <c r="J460" s="43"/>
      <c r="K460" s="43"/>
      <c r="L460" s="43"/>
      <c r="M460" s="43"/>
      <c r="N460" s="43"/>
      <c r="O460" s="43"/>
      <c r="P460" s="43"/>
    </row>
    <row r="461" spans="1:16" ht="12.75">
      <c r="A461" s="619"/>
      <c r="B461" s="43"/>
      <c r="C461" s="43"/>
      <c r="D461" s="43"/>
      <c r="E461" s="43"/>
      <c r="F461" s="43"/>
      <c r="G461" s="43"/>
      <c r="H461" s="43"/>
      <c r="I461" s="43"/>
      <c r="J461" s="43"/>
      <c r="K461" s="43"/>
      <c r="L461" s="43"/>
      <c r="M461" s="43"/>
      <c r="N461" s="43"/>
      <c r="O461" s="43"/>
      <c r="P461" s="43"/>
    </row>
    <row r="462" spans="1:16" ht="12.75">
      <c r="A462" s="619"/>
      <c r="B462" s="43"/>
      <c r="C462" s="43"/>
      <c r="D462" s="43"/>
      <c r="E462" s="43"/>
      <c r="F462" s="43"/>
      <c r="G462" s="43"/>
      <c r="H462" s="43"/>
      <c r="I462" s="43"/>
      <c r="J462" s="43"/>
      <c r="K462" s="43"/>
      <c r="L462" s="43"/>
      <c r="M462" s="43"/>
      <c r="N462" s="43"/>
      <c r="O462" s="43"/>
      <c r="P462" s="43"/>
    </row>
    <row r="463" spans="1:16" ht="12.75">
      <c r="A463" s="619"/>
      <c r="B463" s="43"/>
      <c r="C463" s="43"/>
      <c r="D463" s="43"/>
      <c r="E463" s="43"/>
      <c r="F463" s="43"/>
      <c r="G463" s="43"/>
      <c r="H463" s="43"/>
      <c r="I463" s="43"/>
      <c r="J463" s="43"/>
      <c r="K463" s="43"/>
      <c r="L463" s="43"/>
      <c r="M463" s="43"/>
      <c r="N463" s="43"/>
      <c r="O463" s="43"/>
      <c r="P463" s="43"/>
    </row>
    <row r="464" spans="1:16" ht="12.75">
      <c r="A464" s="619"/>
      <c r="B464" s="43"/>
      <c r="C464" s="43"/>
      <c r="D464" s="43"/>
      <c r="E464" s="43"/>
      <c r="F464" s="43"/>
      <c r="G464" s="43"/>
      <c r="H464" s="43"/>
      <c r="I464" s="43"/>
      <c r="J464" s="43"/>
      <c r="K464" s="43"/>
      <c r="L464" s="43"/>
      <c r="M464" s="43"/>
      <c r="N464" s="43"/>
      <c r="O464" s="43"/>
      <c r="P464" s="43"/>
    </row>
    <row r="465" spans="1:16" ht="12.75">
      <c r="A465" s="619"/>
      <c r="B465" s="43"/>
      <c r="C465" s="43"/>
      <c r="D465" s="43"/>
      <c r="E465" s="43"/>
      <c r="F465" s="43"/>
      <c r="G465" s="43"/>
      <c r="H465" s="43"/>
      <c r="I465" s="43"/>
      <c r="J465" s="43"/>
      <c r="K465" s="43"/>
      <c r="L465" s="43"/>
      <c r="M465" s="43"/>
      <c r="N465" s="43"/>
      <c r="O465" s="43"/>
      <c r="P465" s="43"/>
    </row>
    <row r="466" spans="1:16" ht="12.75">
      <c r="A466" s="619"/>
      <c r="B466" s="43"/>
      <c r="C466" s="43"/>
      <c r="D466" s="43"/>
      <c r="E466" s="43"/>
      <c r="F466" s="43"/>
      <c r="G466" s="43"/>
      <c r="H466" s="43"/>
      <c r="I466" s="43"/>
      <c r="J466" s="43"/>
      <c r="K466" s="43"/>
      <c r="L466" s="43"/>
      <c r="M466" s="43"/>
      <c r="N466" s="43"/>
      <c r="O466" s="43"/>
      <c r="P466" s="43"/>
    </row>
    <row r="467" spans="1:16" ht="12.75">
      <c r="A467" s="619"/>
      <c r="B467" s="43"/>
      <c r="C467" s="43"/>
      <c r="D467" s="43"/>
      <c r="E467" s="43"/>
      <c r="F467" s="43"/>
      <c r="G467" s="43"/>
      <c r="H467" s="43"/>
      <c r="I467" s="43"/>
      <c r="J467" s="43"/>
      <c r="K467" s="43"/>
      <c r="L467" s="43"/>
      <c r="M467" s="43"/>
      <c r="N467" s="43"/>
      <c r="O467" s="43"/>
      <c r="P467" s="43"/>
    </row>
    <row r="468" spans="1:16" ht="12.75">
      <c r="A468" s="619"/>
      <c r="B468" s="43"/>
      <c r="C468" s="43"/>
      <c r="D468" s="43"/>
      <c r="E468" s="43"/>
      <c r="F468" s="43"/>
      <c r="G468" s="43"/>
      <c r="H468" s="43"/>
      <c r="I468" s="43"/>
      <c r="J468" s="43"/>
      <c r="K468" s="43"/>
      <c r="L468" s="43"/>
      <c r="M468" s="43"/>
      <c r="N468" s="43"/>
      <c r="O468" s="43"/>
      <c r="P468" s="43"/>
    </row>
    <row r="469" spans="1:16" ht="12.75">
      <c r="A469" s="619"/>
      <c r="B469" s="43"/>
      <c r="C469" s="43"/>
      <c r="D469" s="43"/>
      <c r="E469" s="43"/>
      <c r="F469" s="43"/>
      <c r="G469" s="43"/>
      <c r="H469" s="43"/>
      <c r="I469" s="43"/>
      <c r="J469" s="43"/>
      <c r="K469" s="43"/>
      <c r="L469" s="43"/>
      <c r="M469" s="43"/>
      <c r="N469" s="43"/>
      <c r="O469" s="43"/>
      <c r="P469" s="43"/>
    </row>
    <row r="470" spans="1:16" ht="12.75">
      <c r="A470" s="619"/>
      <c r="B470" s="43"/>
      <c r="C470" s="43"/>
      <c r="D470" s="43"/>
      <c r="E470" s="43"/>
      <c r="F470" s="43"/>
      <c r="G470" s="43"/>
      <c r="H470" s="43"/>
      <c r="I470" s="43"/>
      <c r="J470" s="43"/>
      <c r="K470" s="43"/>
      <c r="L470" s="43"/>
      <c r="M470" s="43"/>
      <c r="N470" s="43"/>
      <c r="O470" s="43"/>
      <c r="P470" s="43"/>
    </row>
    <row r="471" spans="1:16" ht="12.75">
      <c r="A471" s="619"/>
      <c r="B471" s="43"/>
      <c r="C471" s="43"/>
      <c r="D471" s="43"/>
      <c r="E471" s="43"/>
      <c r="F471" s="43"/>
      <c r="G471" s="43"/>
      <c r="H471" s="43"/>
      <c r="I471" s="43"/>
      <c r="J471" s="43"/>
      <c r="K471" s="43"/>
      <c r="L471" s="43"/>
      <c r="M471" s="43"/>
      <c r="N471" s="43"/>
      <c r="O471" s="43"/>
      <c r="P471" s="43"/>
    </row>
    <row r="472" spans="1:16" ht="12.75">
      <c r="A472" s="619"/>
      <c r="B472" s="43"/>
      <c r="C472" s="43"/>
      <c r="D472" s="43"/>
      <c r="E472" s="43"/>
      <c r="F472" s="43"/>
      <c r="G472" s="43"/>
      <c r="H472" s="43"/>
      <c r="I472" s="43"/>
      <c r="J472" s="43"/>
      <c r="K472" s="43"/>
      <c r="L472" s="43"/>
      <c r="M472" s="43"/>
      <c r="N472" s="43"/>
      <c r="O472" s="43"/>
      <c r="P472" s="43"/>
    </row>
    <row r="473" spans="1:16" ht="12.75">
      <c r="A473" s="619"/>
      <c r="B473" s="43"/>
      <c r="C473" s="43"/>
      <c r="D473" s="43"/>
      <c r="E473" s="43"/>
      <c r="F473" s="43"/>
      <c r="G473" s="43"/>
      <c r="H473" s="43"/>
      <c r="I473" s="43"/>
      <c r="J473" s="43"/>
      <c r="K473" s="43"/>
      <c r="L473" s="43"/>
      <c r="M473" s="43"/>
      <c r="N473" s="43"/>
      <c r="O473" s="43"/>
      <c r="P473" s="43"/>
    </row>
    <row r="474" spans="1:16" ht="12.75">
      <c r="A474" s="619"/>
      <c r="B474" s="43"/>
      <c r="C474" s="43"/>
      <c r="D474" s="43"/>
      <c r="E474" s="43"/>
      <c r="F474" s="43"/>
      <c r="G474" s="43"/>
      <c r="H474" s="43"/>
      <c r="I474" s="43"/>
      <c r="J474" s="43"/>
      <c r="K474" s="43"/>
      <c r="L474" s="43"/>
      <c r="M474" s="43"/>
      <c r="N474" s="43"/>
      <c r="O474" s="43"/>
      <c r="P474" s="43"/>
    </row>
    <row r="475" spans="1:16" ht="12.75">
      <c r="A475" s="619"/>
      <c r="B475" s="43"/>
      <c r="C475" s="43"/>
      <c r="D475" s="43"/>
      <c r="E475" s="43"/>
      <c r="F475" s="43"/>
      <c r="G475" s="43"/>
      <c r="H475" s="43"/>
      <c r="I475" s="43"/>
      <c r="J475" s="43"/>
      <c r="K475" s="43"/>
      <c r="L475" s="43"/>
      <c r="M475" s="43"/>
      <c r="N475" s="43"/>
      <c r="O475" s="43"/>
      <c r="P475" s="43"/>
    </row>
    <row r="476" spans="1:16" ht="12.75">
      <c r="A476" s="619"/>
      <c r="B476" s="43"/>
      <c r="C476" s="43"/>
      <c r="D476" s="43"/>
      <c r="E476" s="43"/>
      <c r="F476" s="43"/>
      <c r="G476" s="43"/>
      <c r="H476" s="43"/>
      <c r="I476" s="43"/>
      <c r="J476" s="43"/>
      <c r="K476" s="43"/>
      <c r="L476" s="43"/>
      <c r="M476" s="43"/>
      <c r="N476" s="43"/>
      <c r="O476" s="43"/>
      <c r="P476" s="43"/>
    </row>
    <row r="477" spans="1:16" ht="12.75">
      <c r="A477" s="619"/>
      <c r="B477" s="43"/>
      <c r="C477" s="43"/>
      <c r="D477" s="43"/>
      <c r="E477" s="43"/>
      <c r="F477" s="43"/>
      <c r="G477" s="43"/>
      <c r="H477" s="43"/>
      <c r="I477" s="43"/>
      <c r="J477" s="43"/>
      <c r="K477" s="43"/>
      <c r="L477" s="43"/>
      <c r="M477" s="43"/>
      <c r="N477" s="43"/>
      <c r="O477" s="43"/>
      <c r="P477" s="43"/>
    </row>
    <row r="478" spans="1:16" ht="12.75">
      <c r="A478" s="619"/>
      <c r="B478" s="43"/>
      <c r="C478" s="43"/>
      <c r="D478" s="43"/>
      <c r="E478" s="43"/>
      <c r="F478" s="43"/>
      <c r="G478" s="43"/>
      <c r="H478" s="43"/>
      <c r="I478" s="43"/>
      <c r="J478" s="43"/>
      <c r="K478" s="43"/>
      <c r="L478" s="43"/>
      <c r="M478" s="43"/>
      <c r="N478" s="43"/>
      <c r="O478" s="43"/>
      <c r="P478" s="43"/>
    </row>
    <row r="479" spans="1:16" ht="12.75">
      <c r="A479" s="619"/>
      <c r="B479" s="43"/>
      <c r="C479" s="43"/>
      <c r="D479" s="43"/>
      <c r="E479" s="43"/>
      <c r="F479" s="43"/>
      <c r="G479" s="43"/>
      <c r="H479" s="43"/>
      <c r="I479" s="43"/>
      <c r="J479" s="43"/>
      <c r="K479" s="43"/>
      <c r="L479" s="43"/>
      <c r="M479" s="43"/>
      <c r="N479" s="43"/>
      <c r="O479" s="43"/>
      <c r="P479" s="43"/>
    </row>
    <row r="480" spans="1:16" ht="12.75">
      <c r="A480" s="619"/>
      <c r="B480" s="43"/>
      <c r="C480" s="43"/>
      <c r="D480" s="43"/>
      <c r="E480" s="43"/>
      <c r="F480" s="43"/>
      <c r="G480" s="43"/>
      <c r="H480" s="43"/>
      <c r="I480" s="43"/>
      <c r="J480" s="43"/>
      <c r="K480" s="43"/>
      <c r="L480" s="43"/>
      <c r="M480" s="43"/>
      <c r="N480" s="43"/>
      <c r="O480" s="43"/>
      <c r="P480" s="43"/>
    </row>
    <row r="481" spans="1:16" ht="12.75">
      <c r="A481" s="619"/>
      <c r="B481" s="43"/>
      <c r="C481" s="43"/>
      <c r="D481" s="43"/>
      <c r="E481" s="43"/>
      <c r="F481" s="43"/>
      <c r="G481" s="43"/>
      <c r="H481" s="43"/>
      <c r="I481" s="43"/>
      <c r="J481" s="43"/>
      <c r="K481" s="43"/>
      <c r="L481" s="43"/>
      <c r="M481" s="43"/>
      <c r="N481" s="43"/>
      <c r="O481" s="43"/>
      <c r="P481" s="43"/>
    </row>
    <row r="482" spans="1:16" ht="12.75">
      <c r="A482" s="619"/>
      <c r="B482" s="43"/>
      <c r="C482" s="43"/>
      <c r="D482" s="43"/>
      <c r="E482" s="43"/>
      <c r="F482" s="43"/>
      <c r="G482" s="43"/>
      <c r="H482" s="43"/>
      <c r="I482" s="43"/>
      <c r="J482" s="43"/>
      <c r="K482" s="43"/>
      <c r="L482" s="43"/>
      <c r="M482" s="43"/>
      <c r="N482" s="43"/>
      <c r="O482" s="43"/>
      <c r="P482" s="43"/>
    </row>
    <row r="483" spans="1:16" ht="12.75">
      <c r="A483" s="619"/>
      <c r="B483" s="43"/>
      <c r="C483" s="43"/>
      <c r="D483" s="43"/>
      <c r="E483" s="43"/>
      <c r="F483" s="43"/>
      <c r="G483" s="43"/>
      <c r="H483" s="43"/>
      <c r="I483" s="43"/>
      <c r="J483" s="43"/>
      <c r="K483" s="43"/>
      <c r="L483" s="43"/>
      <c r="M483" s="43"/>
      <c r="N483" s="43"/>
      <c r="O483" s="43"/>
      <c r="P483" s="43"/>
    </row>
    <row r="484" spans="1:16" ht="12.75">
      <c r="A484" s="619"/>
      <c r="B484" s="43"/>
      <c r="C484" s="43"/>
      <c r="D484" s="43"/>
      <c r="E484" s="43"/>
      <c r="F484" s="43"/>
      <c r="G484" s="43"/>
      <c r="H484" s="43"/>
      <c r="I484" s="43"/>
      <c r="J484" s="43"/>
      <c r="K484" s="43"/>
      <c r="L484" s="43"/>
      <c r="M484" s="43"/>
      <c r="N484" s="43"/>
      <c r="O484" s="43"/>
      <c r="P484" s="43"/>
    </row>
    <row r="485" spans="1:16" ht="12.75">
      <c r="A485" s="619"/>
      <c r="B485" s="43"/>
      <c r="C485" s="43"/>
      <c r="D485" s="43"/>
      <c r="E485" s="43"/>
      <c r="F485" s="43"/>
      <c r="G485" s="43"/>
      <c r="H485" s="43"/>
      <c r="I485" s="43"/>
      <c r="J485" s="43"/>
      <c r="K485" s="43"/>
      <c r="L485" s="43"/>
      <c r="M485" s="43"/>
      <c r="N485" s="43"/>
      <c r="O485" s="43"/>
      <c r="P485" s="43"/>
    </row>
    <row r="486" spans="1:16" ht="12.75">
      <c r="A486" s="619"/>
      <c r="B486" s="43"/>
      <c r="C486" s="43"/>
      <c r="D486" s="43"/>
      <c r="E486" s="43"/>
      <c r="F486" s="43"/>
      <c r="G486" s="43"/>
      <c r="H486" s="43"/>
      <c r="I486" s="43"/>
      <c r="J486" s="43"/>
      <c r="K486" s="43"/>
      <c r="L486" s="43"/>
      <c r="M486" s="43"/>
      <c r="N486" s="43"/>
      <c r="O486" s="43"/>
      <c r="P486" s="43"/>
    </row>
    <row r="487" spans="1:16" ht="12.75">
      <c r="A487" s="619"/>
      <c r="B487" s="43"/>
      <c r="C487" s="43"/>
      <c r="D487" s="43"/>
      <c r="E487" s="43"/>
      <c r="F487" s="43"/>
      <c r="G487" s="43"/>
      <c r="H487" s="43"/>
      <c r="I487" s="43"/>
      <c r="J487" s="43"/>
      <c r="K487" s="43"/>
      <c r="L487" s="43"/>
      <c r="M487" s="43"/>
      <c r="N487" s="43"/>
      <c r="O487" s="43"/>
      <c r="P487" s="43"/>
    </row>
    <row r="488" spans="1:16" ht="12.75">
      <c r="A488" s="619"/>
      <c r="B488" s="43"/>
      <c r="C488" s="43"/>
      <c r="D488" s="43"/>
      <c r="E488" s="43"/>
      <c r="F488" s="43"/>
      <c r="G488" s="43"/>
      <c r="H488" s="43"/>
      <c r="I488" s="43"/>
      <c r="J488" s="43"/>
      <c r="K488" s="43"/>
      <c r="L488" s="43"/>
      <c r="M488" s="43"/>
      <c r="N488" s="43"/>
      <c r="O488" s="43"/>
      <c r="P488" s="43"/>
    </row>
    <row r="489" spans="1:16" ht="12.75">
      <c r="A489" s="619"/>
      <c r="B489" s="43"/>
      <c r="C489" s="43"/>
      <c r="D489" s="43"/>
      <c r="E489" s="43"/>
      <c r="F489" s="43"/>
      <c r="G489" s="43"/>
      <c r="H489" s="43"/>
      <c r="I489" s="43"/>
      <c r="J489" s="43"/>
      <c r="K489" s="43"/>
      <c r="L489" s="43"/>
      <c r="M489" s="43"/>
      <c r="N489" s="43"/>
      <c r="O489" s="43"/>
      <c r="P489" s="43"/>
    </row>
    <row r="490" spans="1:16" ht="12.75">
      <c r="A490" s="619"/>
      <c r="B490" s="43"/>
      <c r="C490" s="43"/>
      <c r="D490" s="43"/>
      <c r="E490" s="43"/>
      <c r="F490" s="43"/>
      <c r="G490" s="43"/>
      <c r="H490" s="43"/>
      <c r="I490" s="43"/>
      <c r="J490" s="43"/>
      <c r="K490" s="43"/>
      <c r="L490" s="43"/>
      <c r="M490" s="43"/>
      <c r="N490" s="43"/>
      <c r="O490" s="43"/>
      <c r="P490" s="43"/>
    </row>
    <row r="491" spans="1:16" ht="12.75">
      <c r="A491" s="619"/>
      <c r="B491" s="43"/>
      <c r="C491" s="43"/>
      <c r="D491" s="43"/>
      <c r="E491" s="43"/>
      <c r="F491" s="43"/>
      <c r="G491" s="43"/>
      <c r="H491" s="43"/>
      <c r="I491" s="43"/>
      <c r="J491" s="43"/>
      <c r="K491" s="43"/>
      <c r="L491" s="43"/>
      <c r="M491" s="43"/>
      <c r="N491" s="43"/>
      <c r="O491" s="43"/>
      <c r="P491" s="43"/>
    </row>
    <row r="492" spans="1:16" ht="12.75">
      <c r="A492" s="619"/>
      <c r="B492" s="43"/>
      <c r="C492" s="43"/>
      <c r="D492" s="43"/>
      <c r="E492" s="43"/>
      <c r="F492" s="43"/>
      <c r="G492" s="43"/>
      <c r="H492" s="43"/>
      <c r="I492" s="43"/>
      <c r="J492" s="43"/>
      <c r="K492" s="43"/>
      <c r="L492" s="43"/>
      <c r="M492" s="43"/>
      <c r="N492" s="43"/>
      <c r="O492" s="43"/>
      <c r="P492" s="43"/>
    </row>
    <row r="493" spans="1:16" ht="12.75">
      <c r="A493" s="619"/>
      <c r="B493" s="43"/>
      <c r="C493" s="43"/>
      <c r="D493" s="43"/>
      <c r="E493" s="43"/>
      <c r="F493" s="43"/>
      <c r="G493" s="43"/>
      <c r="H493" s="43"/>
      <c r="I493" s="43"/>
      <c r="J493" s="43"/>
      <c r="K493" s="43"/>
      <c r="L493" s="43"/>
      <c r="M493" s="43"/>
      <c r="N493" s="43"/>
      <c r="O493" s="43"/>
      <c r="P493" s="43"/>
    </row>
    <row r="494" spans="1:16" ht="12.75">
      <c r="A494" s="619"/>
      <c r="B494" s="43"/>
      <c r="C494" s="43"/>
      <c r="D494" s="43"/>
      <c r="E494" s="43"/>
      <c r="F494" s="43"/>
      <c r="G494" s="43"/>
      <c r="H494" s="43"/>
      <c r="I494" s="43"/>
      <c r="J494" s="43"/>
      <c r="K494" s="43"/>
      <c r="L494" s="43"/>
      <c r="M494" s="43"/>
      <c r="N494" s="43"/>
      <c r="O494" s="43"/>
      <c r="P494" s="43"/>
    </row>
    <row r="495" spans="1:16" ht="12.75">
      <c r="A495" s="619"/>
      <c r="B495" s="43"/>
      <c r="C495" s="43"/>
      <c r="D495" s="43"/>
      <c r="E495" s="43"/>
      <c r="F495" s="43"/>
      <c r="G495" s="43"/>
      <c r="H495" s="43"/>
      <c r="I495" s="43"/>
      <c r="J495" s="43"/>
      <c r="K495" s="43"/>
      <c r="L495" s="43"/>
      <c r="M495" s="43"/>
      <c r="N495" s="43"/>
      <c r="O495" s="43"/>
      <c r="P495" s="43"/>
    </row>
    <row r="496" spans="1:16" ht="12.75">
      <c r="A496" s="619"/>
      <c r="B496" s="43"/>
      <c r="C496" s="43"/>
      <c r="D496" s="43"/>
      <c r="E496" s="43"/>
      <c r="F496" s="43"/>
      <c r="G496" s="43"/>
      <c r="H496" s="43"/>
      <c r="I496" s="43"/>
      <c r="J496" s="43"/>
      <c r="K496" s="43"/>
      <c r="L496" s="43"/>
      <c r="M496" s="43"/>
      <c r="N496" s="43"/>
      <c r="O496" s="43"/>
      <c r="P496" s="43"/>
    </row>
    <row r="497" spans="1:16" ht="12.75">
      <c r="A497" s="619"/>
      <c r="B497" s="43"/>
      <c r="C497" s="43"/>
      <c r="D497" s="43"/>
      <c r="E497" s="43"/>
      <c r="F497" s="43"/>
      <c r="G497" s="43"/>
      <c r="H497" s="43"/>
      <c r="I497" s="43"/>
      <c r="J497" s="43"/>
      <c r="K497" s="43"/>
      <c r="L497" s="43"/>
      <c r="M497" s="43"/>
      <c r="N497" s="43"/>
      <c r="O497" s="43"/>
      <c r="P497" s="43"/>
    </row>
    <row r="498" spans="1:16" ht="12.75">
      <c r="A498" s="619"/>
      <c r="B498" s="43"/>
      <c r="C498" s="43"/>
      <c r="D498" s="43"/>
      <c r="E498" s="43"/>
      <c r="F498" s="43"/>
      <c r="G498" s="43"/>
      <c r="H498" s="43"/>
      <c r="I498" s="43"/>
      <c r="J498" s="43"/>
      <c r="K498" s="43"/>
      <c r="L498" s="43"/>
      <c r="M498" s="43"/>
      <c r="N498" s="43"/>
      <c r="O498" s="43"/>
      <c r="P498" s="43"/>
    </row>
    <row r="499" spans="1:16" ht="12.75">
      <c r="A499" s="619"/>
      <c r="B499" s="43"/>
      <c r="C499" s="43"/>
      <c r="D499" s="43"/>
      <c r="E499" s="43"/>
      <c r="F499" s="43"/>
      <c r="G499" s="43"/>
      <c r="H499" s="43"/>
      <c r="I499" s="43"/>
      <c r="J499" s="43"/>
      <c r="K499" s="43"/>
      <c r="L499" s="43"/>
      <c r="M499" s="43"/>
      <c r="N499" s="43"/>
      <c r="O499" s="43"/>
      <c r="P499" s="43"/>
    </row>
    <row r="500" spans="1:16" ht="12.75">
      <c r="A500" s="619"/>
      <c r="B500" s="43"/>
      <c r="C500" s="43"/>
      <c r="D500" s="43"/>
      <c r="E500" s="43"/>
      <c r="F500" s="43"/>
      <c r="G500" s="43"/>
      <c r="H500" s="43"/>
      <c r="I500" s="43"/>
      <c r="J500" s="43"/>
      <c r="K500" s="43"/>
      <c r="L500" s="43"/>
      <c r="M500" s="43"/>
      <c r="N500" s="43"/>
      <c r="O500" s="43"/>
      <c r="P500" s="43"/>
    </row>
    <row r="501" spans="1:16" ht="12.75">
      <c r="A501" s="619"/>
      <c r="B501" s="43"/>
      <c r="C501" s="43"/>
      <c r="D501" s="43"/>
      <c r="E501" s="43"/>
      <c r="F501" s="43"/>
      <c r="G501" s="43"/>
      <c r="H501" s="43"/>
      <c r="I501" s="43"/>
      <c r="J501" s="43"/>
      <c r="K501" s="43"/>
      <c r="L501" s="43"/>
      <c r="M501" s="43"/>
      <c r="N501" s="43"/>
      <c r="O501" s="43"/>
      <c r="P501" s="43"/>
    </row>
    <row r="502" spans="1:16" ht="12.75">
      <c r="A502" s="619"/>
      <c r="B502" s="43"/>
      <c r="C502" s="43"/>
      <c r="D502" s="43"/>
      <c r="E502" s="43"/>
      <c r="F502" s="43"/>
      <c r="G502" s="43"/>
      <c r="H502" s="43"/>
      <c r="I502" s="43"/>
      <c r="J502" s="43"/>
      <c r="K502" s="43"/>
      <c r="L502" s="43"/>
      <c r="M502" s="43"/>
      <c r="N502" s="43"/>
      <c r="O502" s="43"/>
      <c r="P502" s="43"/>
    </row>
    <row r="503" spans="1:16" ht="12.75">
      <c r="A503" s="619"/>
      <c r="B503" s="43"/>
      <c r="C503" s="43"/>
      <c r="D503" s="43"/>
      <c r="E503" s="43"/>
      <c r="F503" s="43"/>
      <c r="G503" s="43"/>
      <c r="H503" s="43"/>
      <c r="I503" s="43"/>
      <c r="J503" s="43"/>
      <c r="K503" s="43"/>
      <c r="L503" s="43"/>
      <c r="M503" s="43"/>
      <c r="N503" s="43"/>
      <c r="O503" s="43"/>
      <c r="P503" s="43"/>
    </row>
    <row r="504" spans="1:16" ht="12.75">
      <c r="A504" s="619"/>
      <c r="B504" s="43"/>
      <c r="C504" s="43"/>
      <c r="D504" s="43"/>
      <c r="E504" s="43"/>
      <c r="F504" s="43"/>
      <c r="G504" s="43"/>
      <c r="H504" s="43"/>
      <c r="I504" s="43"/>
      <c r="J504" s="43"/>
      <c r="K504" s="43"/>
      <c r="L504" s="43"/>
      <c r="M504" s="43"/>
      <c r="N504" s="43"/>
      <c r="O504" s="43"/>
      <c r="P504" s="43"/>
    </row>
    <row r="505" spans="1:16" ht="12.75">
      <c r="A505" s="619"/>
      <c r="B505" s="43"/>
      <c r="C505" s="43"/>
      <c r="D505" s="43"/>
      <c r="E505" s="43"/>
      <c r="F505" s="43"/>
      <c r="G505" s="43"/>
      <c r="H505" s="43"/>
      <c r="I505" s="43"/>
      <c r="J505" s="43"/>
      <c r="K505" s="43"/>
      <c r="L505" s="43"/>
      <c r="M505" s="43"/>
      <c r="N505" s="43"/>
      <c r="O505" s="43"/>
      <c r="P505" s="43"/>
    </row>
    <row r="506" spans="1:16" ht="12.75">
      <c r="A506" s="619"/>
      <c r="B506" s="43"/>
      <c r="C506" s="43"/>
      <c r="D506" s="43"/>
      <c r="E506" s="43"/>
      <c r="F506" s="43"/>
      <c r="G506" s="43"/>
      <c r="H506" s="43"/>
      <c r="I506" s="43"/>
      <c r="J506" s="43"/>
      <c r="K506" s="43"/>
      <c r="L506" s="43"/>
      <c r="M506" s="43"/>
      <c r="N506" s="43"/>
      <c r="O506" s="43"/>
      <c r="P506" s="43"/>
    </row>
    <row r="507" spans="1:16" ht="12.75">
      <c r="A507" s="619"/>
      <c r="B507" s="43"/>
      <c r="C507" s="43"/>
      <c r="D507" s="43"/>
      <c r="E507" s="43"/>
      <c r="F507" s="43"/>
      <c r="G507" s="43"/>
      <c r="H507" s="43"/>
      <c r="I507" s="43"/>
      <c r="J507" s="43"/>
      <c r="K507" s="43"/>
      <c r="L507" s="43"/>
      <c r="M507" s="43"/>
      <c r="N507" s="43"/>
      <c r="O507" s="43"/>
      <c r="P507" s="43"/>
    </row>
    <row r="508" spans="1:16" ht="12.75">
      <c r="A508" s="619"/>
      <c r="B508" s="43"/>
      <c r="C508" s="43"/>
      <c r="D508" s="43"/>
      <c r="E508" s="43"/>
      <c r="F508" s="43"/>
      <c r="G508" s="43"/>
      <c r="H508" s="43"/>
      <c r="I508" s="43"/>
      <c r="J508" s="43"/>
      <c r="K508" s="43"/>
      <c r="L508" s="43"/>
      <c r="M508" s="43"/>
      <c r="N508" s="43"/>
      <c r="O508" s="43"/>
      <c r="P508" s="43"/>
    </row>
    <row r="509" spans="1:16" ht="12.75">
      <c r="A509" s="619"/>
      <c r="B509" s="43"/>
      <c r="C509" s="43"/>
      <c r="D509" s="43"/>
      <c r="E509" s="43"/>
      <c r="F509" s="43"/>
      <c r="G509" s="43"/>
      <c r="H509" s="43"/>
      <c r="I509" s="43"/>
      <c r="J509" s="43"/>
      <c r="K509" s="43"/>
      <c r="L509" s="43"/>
      <c r="M509" s="43"/>
      <c r="N509" s="43"/>
      <c r="O509" s="43"/>
      <c r="P509" s="43"/>
    </row>
    <row r="510" spans="1:16" ht="12.75">
      <c r="A510" s="619"/>
      <c r="B510" s="43"/>
      <c r="C510" s="43"/>
      <c r="D510" s="43"/>
      <c r="E510" s="43"/>
      <c r="F510" s="43"/>
      <c r="G510" s="43"/>
      <c r="H510" s="43"/>
      <c r="I510" s="43"/>
      <c r="J510" s="43"/>
      <c r="K510" s="43"/>
      <c r="L510" s="43"/>
      <c r="M510" s="43"/>
      <c r="N510" s="43"/>
      <c r="O510" s="43"/>
      <c r="P510" s="43"/>
    </row>
    <row r="511" spans="1:16" ht="12.75">
      <c r="A511" s="619"/>
      <c r="B511" s="43"/>
      <c r="C511" s="43"/>
      <c r="D511" s="43"/>
      <c r="E511" s="43"/>
      <c r="F511" s="43"/>
      <c r="G511" s="43"/>
      <c r="H511" s="43"/>
      <c r="I511" s="43"/>
      <c r="J511" s="43"/>
      <c r="K511" s="43"/>
      <c r="L511" s="43"/>
      <c r="M511" s="43"/>
      <c r="N511" s="43"/>
      <c r="O511" s="43"/>
      <c r="P511" s="43"/>
    </row>
    <row r="512" spans="1:16" ht="12.75">
      <c r="A512" s="619"/>
      <c r="B512" s="43"/>
      <c r="C512" s="43"/>
      <c r="D512" s="43"/>
      <c r="E512" s="43"/>
      <c r="F512" s="43"/>
      <c r="G512" s="43"/>
      <c r="H512" s="43"/>
      <c r="I512" s="43"/>
      <c r="J512" s="43"/>
      <c r="K512" s="43"/>
      <c r="L512" s="43"/>
      <c r="M512" s="43"/>
      <c r="N512" s="43"/>
      <c r="O512" s="43"/>
      <c r="P512" s="43"/>
    </row>
    <row r="513" spans="1:16" ht="12.75">
      <c r="A513" s="619"/>
      <c r="B513" s="43"/>
      <c r="C513" s="43"/>
      <c r="D513" s="43"/>
      <c r="E513" s="43"/>
      <c r="F513" s="43"/>
      <c r="G513" s="43"/>
      <c r="H513" s="43"/>
      <c r="I513" s="43"/>
      <c r="J513" s="43"/>
      <c r="K513" s="43"/>
      <c r="L513" s="43"/>
      <c r="M513" s="43"/>
      <c r="N513" s="43"/>
      <c r="O513" s="43"/>
      <c r="P513" s="43"/>
    </row>
    <row r="514" spans="1:16" ht="12.75">
      <c r="A514" s="619"/>
      <c r="B514" s="43"/>
      <c r="C514" s="43"/>
      <c r="D514" s="43"/>
      <c r="E514" s="43"/>
      <c r="F514" s="43"/>
      <c r="G514" s="43"/>
      <c r="H514" s="43"/>
      <c r="I514" s="43"/>
      <c r="J514" s="43"/>
      <c r="K514" s="43"/>
      <c r="L514" s="43"/>
      <c r="M514" s="43"/>
      <c r="N514" s="43"/>
      <c r="O514" s="43"/>
      <c r="P514" s="43"/>
    </row>
    <row r="515" spans="1:16" ht="12.75">
      <c r="A515" s="619"/>
      <c r="B515" s="43"/>
      <c r="C515" s="43"/>
      <c r="D515" s="43"/>
      <c r="E515" s="43"/>
      <c r="F515" s="43"/>
      <c r="G515" s="43"/>
      <c r="H515" s="43"/>
      <c r="I515" s="43"/>
      <c r="J515" s="43"/>
      <c r="K515" s="43"/>
      <c r="L515" s="43"/>
      <c r="M515" s="43"/>
      <c r="N515" s="43"/>
      <c r="O515" s="43"/>
      <c r="P515" s="43"/>
    </row>
    <row r="516" spans="1:16" ht="12.75">
      <c r="A516" s="619"/>
      <c r="B516" s="43"/>
      <c r="C516" s="43"/>
      <c r="D516" s="43"/>
      <c r="E516" s="43"/>
      <c r="F516" s="43"/>
      <c r="G516" s="43"/>
      <c r="H516" s="43"/>
      <c r="I516" s="43"/>
      <c r="J516" s="43"/>
      <c r="K516" s="43"/>
      <c r="L516" s="43"/>
      <c r="M516" s="43"/>
      <c r="N516" s="43"/>
      <c r="O516" s="43"/>
      <c r="P516" s="43"/>
    </row>
    <row r="517" spans="1:16" ht="12.75">
      <c r="A517" s="619"/>
      <c r="B517" s="43"/>
      <c r="C517" s="43"/>
      <c r="D517" s="43"/>
      <c r="E517" s="43"/>
      <c r="F517" s="43"/>
      <c r="G517" s="43"/>
      <c r="H517" s="43"/>
      <c r="I517" s="43"/>
      <c r="J517" s="43"/>
      <c r="K517" s="43"/>
      <c r="L517" s="43"/>
      <c r="M517" s="43"/>
      <c r="N517" s="43"/>
      <c r="O517" s="43"/>
      <c r="P517" s="43"/>
    </row>
    <row r="518" spans="1:16" ht="12.75">
      <c r="A518" s="619"/>
      <c r="B518" s="43"/>
      <c r="C518" s="43"/>
      <c r="D518" s="43"/>
      <c r="E518" s="43"/>
      <c r="F518" s="43"/>
      <c r="G518" s="43"/>
      <c r="H518" s="43"/>
      <c r="I518" s="43"/>
      <c r="J518" s="43"/>
      <c r="K518" s="43"/>
      <c r="L518" s="43"/>
      <c r="M518" s="43"/>
      <c r="N518" s="43"/>
      <c r="O518" s="43"/>
      <c r="P518" s="43"/>
    </row>
    <row r="519" spans="1:16" ht="12.75">
      <c r="A519" s="619"/>
      <c r="B519" s="43"/>
      <c r="C519" s="43"/>
      <c r="D519" s="43"/>
      <c r="E519" s="43"/>
      <c r="F519" s="43"/>
      <c r="G519" s="43"/>
      <c r="H519" s="43"/>
      <c r="I519" s="43"/>
      <c r="J519" s="43"/>
      <c r="K519" s="43"/>
      <c r="L519" s="43"/>
      <c r="M519" s="43"/>
      <c r="N519" s="43"/>
      <c r="O519" s="43"/>
      <c r="P519" s="43"/>
    </row>
    <row r="520" spans="1:16" ht="12.75">
      <c r="A520" s="619"/>
      <c r="B520" s="43"/>
      <c r="C520" s="43"/>
      <c r="D520" s="43"/>
      <c r="E520" s="43"/>
      <c r="F520" s="43"/>
      <c r="G520" s="43"/>
      <c r="H520" s="43"/>
      <c r="I520" s="43"/>
      <c r="J520" s="43"/>
      <c r="K520" s="43"/>
      <c r="L520" s="43"/>
      <c r="M520" s="43"/>
      <c r="N520" s="43"/>
      <c r="O520" s="43"/>
      <c r="P520" s="43"/>
    </row>
    <row r="521" spans="1:16" ht="12.75">
      <c r="A521" s="619"/>
      <c r="B521" s="43"/>
      <c r="C521" s="43"/>
      <c r="D521" s="43"/>
      <c r="E521" s="43"/>
      <c r="F521" s="43"/>
      <c r="G521" s="43"/>
      <c r="H521" s="43"/>
      <c r="I521" s="43"/>
      <c r="J521" s="43"/>
      <c r="K521" s="43"/>
      <c r="L521" s="43"/>
      <c r="M521" s="43"/>
      <c r="N521" s="43"/>
      <c r="O521" s="43"/>
      <c r="P521" s="43"/>
    </row>
    <row r="522" spans="1:16" ht="12.75">
      <c r="A522" s="619"/>
      <c r="B522" s="43"/>
      <c r="C522" s="43"/>
      <c r="D522" s="43"/>
      <c r="E522" s="43"/>
      <c r="F522" s="43"/>
      <c r="G522" s="43"/>
      <c r="H522" s="43"/>
      <c r="I522" s="43"/>
      <c r="J522" s="43"/>
      <c r="K522" s="43"/>
      <c r="L522" s="43"/>
      <c r="M522" s="43"/>
      <c r="N522" s="43"/>
      <c r="O522" s="43"/>
      <c r="P522" s="43"/>
    </row>
    <row r="523" spans="1:16" ht="12.75">
      <c r="A523" s="619"/>
      <c r="B523" s="43"/>
      <c r="C523" s="43"/>
      <c r="D523" s="43"/>
      <c r="E523" s="43"/>
      <c r="F523" s="43"/>
      <c r="G523" s="43"/>
      <c r="H523" s="43"/>
      <c r="I523" s="43"/>
      <c r="J523" s="43"/>
      <c r="K523" s="43"/>
      <c r="L523" s="43"/>
      <c r="M523" s="43"/>
      <c r="N523" s="43"/>
      <c r="O523" s="43"/>
      <c r="P523" s="43"/>
    </row>
    <row r="524" spans="1:16" ht="12.75">
      <c r="A524" s="619"/>
      <c r="B524" s="43"/>
      <c r="C524" s="43"/>
      <c r="D524" s="43"/>
      <c r="E524" s="43"/>
      <c r="F524" s="43"/>
      <c r="G524" s="43"/>
      <c r="H524" s="43"/>
      <c r="I524" s="43"/>
      <c r="J524" s="43"/>
      <c r="K524" s="43"/>
      <c r="L524" s="43"/>
      <c r="M524" s="43"/>
      <c r="N524" s="43"/>
      <c r="O524" s="43"/>
      <c r="P524" s="43"/>
    </row>
    <row r="525" spans="1:16" ht="12.75">
      <c r="A525" s="619"/>
      <c r="B525" s="43"/>
      <c r="C525" s="43"/>
      <c r="D525" s="43"/>
      <c r="E525" s="43"/>
      <c r="F525" s="43"/>
      <c r="G525" s="43"/>
      <c r="H525" s="43"/>
      <c r="I525" s="43"/>
      <c r="J525" s="43"/>
      <c r="K525" s="43"/>
      <c r="L525" s="43"/>
      <c r="M525" s="43"/>
      <c r="N525" s="43"/>
      <c r="O525" s="43"/>
      <c r="P525" s="43"/>
    </row>
    <row r="526" spans="1:16" ht="12.75">
      <c r="A526" s="619"/>
      <c r="B526" s="43"/>
      <c r="C526" s="43"/>
      <c r="D526" s="43"/>
      <c r="E526" s="43"/>
      <c r="F526" s="43"/>
      <c r="G526" s="43"/>
      <c r="H526" s="43"/>
      <c r="I526" s="43"/>
      <c r="J526" s="43"/>
      <c r="K526" s="43"/>
      <c r="L526" s="43"/>
      <c r="M526" s="43"/>
      <c r="N526" s="43"/>
      <c r="O526" s="43"/>
      <c r="P526" s="43"/>
    </row>
    <row r="527" spans="1:16" ht="12.75">
      <c r="A527" s="619"/>
      <c r="B527" s="43"/>
      <c r="C527" s="43"/>
      <c r="D527" s="43"/>
      <c r="E527" s="43"/>
      <c r="F527" s="43"/>
      <c r="G527" s="43"/>
      <c r="H527" s="43"/>
      <c r="I527" s="43"/>
      <c r="J527" s="43"/>
      <c r="K527" s="43"/>
      <c r="L527" s="43"/>
      <c r="M527" s="43"/>
      <c r="N527" s="43"/>
      <c r="O527" s="43"/>
      <c r="P527" s="43"/>
    </row>
    <row r="528" spans="1:16" ht="12.75">
      <c r="A528" s="619"/>
      <c r="B528" s="43"/>
      <c r="C528" s="43"/>
      <c r="D528" s="43"/>
      <c r="E528" s="43"/>
      <c r="F528" s="43"/>
      <c r="G528" s="43"/>
      <c r="H528" s="43"/>
      <c r="I528" s="43"/>
      <c r="J528" s="43"/>
      <c r="K528" s="43"/>
      <c r="L528" s="43"/>
      <c r="M528" s="43"/>
      <c r="N528" s="43"/>
      <c r="O528" s="43"/>
      <c r="P528" s="43"/>
    </row>
    <row r="529" spans="1:16" ht="12.75">
      <c r="A529" s="619"/>
      <c r="B529" s="43"/>
      <c r="C529" s="43"/>
      <c r="D529" s="43"/>
      <c r="E529" s="43"/>
      <c r="F529" s="43"/>
      <c r="G529" s="43"/>
      <c r="H529" s="43"/>
      <c r="I529" s="43"/>
      <c r="J529" s="43"/>
      <c r="K529" s="43"/>
      <c r="L529" s="43"/>
      <c r="M529" s="43"/>
      <c r="N529" s="43"/>
      <c r="O529" s="43"/>
      <c r="P529" s="43"/>
    </row>
    <row r="530" spans="1:16" ht="12.75">
      <c r="A530" s="619"/>
      <c r="B530" s="43"/>
      <c r="C530" s="43"/>
      <c r="D530" s="43"/>
      <c r="E530" s="43"/>
      <c r="F530" s="43"/>
      <c r="G530" s="43"/>
      <c r="H530" s="43"/>
      <c r="I530" s="43"/>
      <c r="J530" s="43"/>
      <c r="K530" s="43"/>
      <c r="L530" s="43"/>
      <c r="M530" s="43"/>
      <c r="N530" s="43"/>
      <c r="O530" s="43"/>
      <c r="P530" s="43"/>
    </row>
    <row r="531" spans="1:16" ht="12.75">
      <c r="A531" s="619"/>
      <c r="B531" s="43"/>
      <c r="C531" s="43"/>
      <c r="D531" s="43"/>
      <c r="E531" s="43"/>
      <c r="F531" s="43"/>
      <c r="G531" s="43"/>
      <c r="H531" s="43"/>
      <c r="I531" s="43"/>
      <c r="J531" s="43"/>
      <c r="K531" s="43"/>
      <c r="L531" s="43"/>
      <c r="M531" s="43"/>
      <c r="N531" s="43"/>
      <c r="O531" s="43"/>
      <c r="P531" s="43"/>
    </row>
    <row r="532" spans="1:16" ht="12.75">
      <c r="A532" s="619"/>
      <c r="B532" s="43"/>
      <c r="C532" s="43"/>
      <c r="D532" s="43"/>
      <c r="E532" s="43"/>
      <c r="F532" s="43"/>
      <c r="G532" s="43"/>
      <c r="H532" s="43"/>
      <c r="I532" s="43"/>
      <c r="J532" s="43"/>
      <c r="K532" s="43"/>
      <c r="L532" s="43"/>
      <c r="M532" s="43"/>
      <c r="N532" s="43"/>
      <c r="O532" s="43"/>
      <c r="P532" s="43"/>
    </row>
    <row r="533" spans="1:16" ht="12.75">
      <c r="A533" s="619"/>
      <c r="B533" s="43"/>
      <c r="C533" s="43"/>
      <c r="D533" s="43"/>
      <c r="E533" s="43"/>
      <c r="F533" s="43"/>
      <c r="G533" s="43"/>
      <c r="H533" s="43"/>
      <c r="I533" s="43"/>
      <c r="J533" s="43"/>
      <c r="K533" s="43"/>
      <c r="L533" s="43"/>
      <c r="M533" s="43"/>
      <c r="N533" s="43"/>
      <c r="O533" s="43"/>
      <c r="P533" s="43"/>
    </row>
    <row r="534" spans="1:16" ht="12.75">
      <c r="A534" s="619"/>
      <c r="B534" s="43"/>
      <c r="C534" s="43"/>
      <c r="D534" s="43"/>
      <c r="E534" s="43"/>
      <c r="F534" s="43"/>
      <c r="G534" s="43"/>
      <c r="H534" s="43"/>
      <c r="I534" s="43"/>
      <c r="J534" s="43"/>
      <c r="K534" s="43"/>
      <c r="L534" s="43"/>
      <c r="M534" s="43"/>
      <c r="N534" s="43"/>
      <c r="O534" s="43"/>
      <c r="P534" s="43"/>
    </row>
    <row r="535" spans="1:16" ht="12.75">
      <c r="A535" s="619"/>
      <c r="B535" s="43"/>
      <c r="C535" s="43"/>
      <c r="D535" s="43"/>
      <c r="E535" s="43"/>
      <c r="F535" s="43"/>
      <c r="G535" s="43"/>
      <c r="H535" s="43"/>
      <c r="I535" s="43"/>
      <c r="J535" s="43"/>
      <c r="K535" s="43"/>
      <c r="L535" s="43"/>
      <c r="M535" s="43"/>
      <c r="N535" s="43"/>
      <c r="O535" s="43"/>
      <c r="P535" s="43"/>
    </row>
    <row r="536" spans="1:16" ht="12.75">
      <c r="A536" s="619"/>
      <c r="B536" s="43"/>
      <c r="C536" s="43"/>
      <c r="D536" s="43"/>
      <c r="E536" s="43"/>
      <c r="F536" s="43"/>
      <c r="G536" s="43"/>
      <c r="H536" s="43"/>
      <c r="I536" s="43"/>
      <c r="J536" s="43"/>
      <c r="K536" s="43"/>
      <c r="L536" s="43"/>
      <c r="M536" s="43"/>
      <c r="N536" s="43"/>
      <c r="O536" s="43"/>
      <c r="P536" s="43"/>
    </row>
    <row r="537" spans="1:16" ht="12.75">
      <c r="A537" s="619"/>
      <c r="B537" s="43"/>
      <c r="C537" s="43"/>
      <c r="D537" s="43"/>
      <c r="E537" s="43"/>
      <c r="F537" s="43"/>
      <c r="G537" s="43"/>
      <c r="H537" s="43"/>
      <c r="I537" s="43"/>
      <c r="J537" s="43"/>
      <c r="K537" s="43"/>
      <c r="L537" s="43"/>
      <c r="M537" s="43"/>
      <c r="N537" s="43"/>
      <c r="O537" s="43"/>
      <c r="P537" s="43"/>
    </row>
    <row r="538" spans="1:16" ht="12.75">
      <c r="A538" s="619"/>
      <c r="B538" s="43"/>
      <c r="C538" s="43"/>
      <c r="D538" s="43"/>
      <c r="E538" s="43"/>
      <c r="F538" s="43"/>
      <c r="G538" s="43"/>
      <c r="H538" s="43"/>
      <c r="I538" s="43"/>
      <c r="J538" s="43"/>
      <c r="K538" s="43"/>
      <c r="L538" s="43"/>
      <c r="M538" s="43"/>
      <c r="N538" s="43"/>
      <c r="O538" s="43"/>
      <c r="P538" s="43"/>
    </row>
    <row r="539" spans="1:16" ht="12.75">
      <c r="A539" s="619"/>
      <c r="B539" s="43"/>
      <c r="C539" s="43"/>
      <c r="D539" s="43"/>
      <c r="E539" s="43"/>
      <c r="F539" s="43"/>
      <c r="G539" s="43"/>
      <c r="H539" s="43"/>
      <c r="I539" s="43"/>
      <c r="J539" s="43"/>
      <c r="K539" s="43"/>
      <c r="L539" s="43"/>
      <c r="M539" s="43"/>
      <c r="N539" s="43"/>
      <c r="O539" s="43"/>
      <c r="P539" s="43"/>
    </row>
    <row r="540" spans="1:16" ht="12.75">
      <c r="A540" s="619"/>
      <c r="B540" s="43"/>
      <c r="C540" s="43"/>
      <c r="D540" s="43"/>
      <c r="E540" s="43"/>
      <c r="F540" s="43"/>
      <c r="G540" s="43"/>
      <c r="H540" s="43"/>
      <c r="I540" s="43"/>
      <c r="J540" s="43"/>
      <c r="K540" s="43"/>
      <c r="L540" s="43"/>
      <c r="M540" s="43"/>
      <c r="N540" s="43"/>
      <c r="O540" s="43"/>
      <c r="P540" s="43"/>
    </row>
    <row r="541" spans="1:16" ht="12.75">
      <c r="A541" s="619"/>
      <c r="B541" s="43"/>
      <c r="C541" s="43"/>
      <c r="D541" s="43"/>
      <c r="E541" s="43"/>
      <c r="F541" s="43"/>
      <c r="G541" s="43"/>
      <c r="H541" s="43"/>
      <c r="I541" s="43"/>
      <c r="J541" s="43"/>
      <c r="K541" s="43"/>
      <c r="L541" s="43"/>
      <c r="M541" s="43"/>
      <c r="N541" s="43"/>
      <c r="O541" s="43"/>
      <c r="P541" s="43"/>
    </row>
    <row r="542" spans="1:16" ht="12.75">
      <c r="A542" s="619"/>
      <c r="B542" s="43"/>
      <c r="C542" s="43"/>
      <c r="D542" s="43"/>
      <c r="E542" s="43"/>
      <c r="F542" s="43"/>
      <c r="G542" s="43"/>
      <c r="H542" s="43"/>
      <c r="I542" s="43"/>
      <c r="J542" s="43"/>
      <c r="K542" s="43"/>
      <c r="L542" s="43"/>
      <c r="M542" s="43"/>
      <c r="N542" s="43"/>
      <c r="O542" s="43"/>
      <c r="P542" s="43"/>
    </row>
    <row r="543" spans="1:16" ht="12.75">
      <c r="A543" s="619"/>
      <c r="B543" s="43"/>
      <c r="C543" s="43"/>
      <c r="D543" s="43"/>
      <c r="E543" s="43"/>
      <c r="F543" s="43"/>
      <c r="G543" s="43"/>
      <c r="H543" s="43"/>
      <c r="I543" s="43"/>
      <c r="J543" s="43"/>
      <c r="K543" s="43"/>
      <c r="L543" s="43"/>
      <c r="M543" s="43"/>
      <c r="N543" s="43"/>
      <c r="O543" s="43"/>
      <c r="P543" s="43"/>
    </row>
    <row r="544" spans="1:16" ht="12.75">
      <c r="A544" s="619"/>
      <c r="B544" s="43"/>
      <c r="C544" s="43"/>
      <c r="D544" s="43"/>
      <c r="E544" s="43"/>
      <c r="F544" s="43"/>
      <c r="G544" s="43"/>
      <c r="H544" s="43"/>
      <c r="I544" s="43"/>
      <c r="J544" s="43"/>
      <c r="K544" s="43"/>
      <c r="L544" s="43"/>
      <c r="M544" s="43"/>
      <c r="N544" s="43"/>
      <c r="O544" s="43"/>
      <c r="P544" s="43"/>
    </row>
    <row r="545" spans="1:16" ht="12.75">
      <c r="A545" s="619"/>
      <c r="B545" s="43"/>
      <c r="C545" s="43"/>
      <c r="D545" s="43"/>
      <c r="E545" s="43"/>
      <c r="F545" s="43"/>
      <c r="G545" s="43"/>
      <c r="H545" s="43"/>
      <c r="I545" s="43"/>
      <c r="J545" s="43"/>
      <c r="K545" s="43"/>
      <c r="L545" s="43"/>
      <c r="M545" s="43"/>
      <c r="N545" s="43"/>
      <c r="O545" s="43"/>
      <c r="P545" s="43"/>
    </row>
    <row r="546" spans="1:16" ht="12.75">
      <c r="A546" s="619"/>
      <c r="B546" s="43"/>
      <c r="C546" s="43"/>
      <c r="D546" s="43"/>
      <c r="E546" s="43"/>
      <c r="F546" s="43"/>
      <c r="G546" s="43"/>
      <c r="H546" s="43"/>
      <c r="I546" s="43"/>
      <c r="J546" s="43"/>
      <c r="K546" s="43"/>
      <c r="L546" s="43"/>
      <c r="M546" s="43"/>
      <c r="N546" s="43"/>
      <c r="O546" s="43"/>
      <c r="P546" s="43"/>
    </row>
    <row r="547" spans="1:16" ht="12.75">
      <c r="A547" s="619"/>
      <c r="B547" s="43"/>
      <c r="C547" s="43"/>
      <c r="D547" s="43"/>
      <c r="E547" s="43"/>
      <c r="F547" s="43"/>
      <c r="G547" s="43"/>
      <c r="H547" s="43"/>
      <c r="I547" s="43"/>
      <c r="J547" s="43"/>
      <c r="K547" s="43"/>
      <c r="L547" s="43"/>
      <c r="M547" s="43"/>
      <c r="N547" s="43"/>
      <c r="O547" s="43"/>
      <c r="P547" s="43"/>
    </row>
    <row r="548" spans="1:16" ht="12.75">
      <c r="A548" s="619"/>
      <c r="B548" s="43"/>
      <c r="C548" s="43"/>
      <c r="D548" s="43"/>
      <c r="E548" s="43"/>
      <c r="F548" s="43"/>
      <c r="G548" s="43"/>
      <c r="H548" s="43"/>
      <c r="I548" s="43"/>
      <c r="J548" s="43"/>
      <c r="K548" s="43"/>
      <c r="L548" s="43"/>
      <c r="M548" s="43"/>
      <c r="N548" s="43"/>
      <c r="O548" s="43"/>
      <c r="P548" s="43"/>
    </row>
    <row r="549" spans="1:16" ht="12.75">
      <c r="A549" s="619"/>
      <c r="B549" s="43"/>
      <c r="C549" s="43"/>
      <c r="D549" s="43"/>
      <c r="E549" s="43"/>
      <c r="F549" s="43"/>
      <c r="G549" s="43"/>
      <c r="H549" s="43"/>
      <c r="I549" s="43"/>
      <c r="J549" s="43"/>
      <c r="K549" s="43"/>
      <c r="L549" s="43"/>
      <c r="M549" s="43"/>
      <c r="N549" s="43"/>
      <c r="O549" s="43"/>
      <c r="P549" s="43"/>
    </row>
    <row r="550" spans="1:16" ht="12.75">
      <c r="A550" s="619"/>
      <c r="B550" s="43"/>
      <c r="C550" s="43"/>
      <c r="D550" s="43"/>
      <c r="E550" s="43"/>
      <c r="F550" s="43"/>
      <c r="G550" s="43"/>
      <c r="H550" s="43"/>
      <c r="I550" s="43"/>
      <c r="J550" s="43"/>
      <c r="K550" s="43"/>
      <c r="L550" s="43"/>
      <c r="M550" s="43"/>
      <c r="N550" s="43"/>
      <c r="O550" s="43"/>
      <c r="P550" s="43"/>
    </row>
    <row r="551" spans="1:16" ht="12.75">
      <c r="A551" s="619"/>
      <c r="B551" s="43"/>
      <c r="C551" s="43"/>
      <c r="D551" s="43"/>
      <c r="E551" s="43"/>
      <c r="F551" s="43"/>
      <c r="G551" s="43"/>
      <c r="H551" s="43"/>
      <c r="I551" s="43"/>
      <c r="J551" s="43"/>
      <c r="K551" s="43"/>
      <c r="L551" s="43"/>
      <c r="M551" s="43"/>
      <c r="N551" s="43"/>
      <c r="O551" s="43"/>
      <c r="P551" s="43"/>
    </row>
    <row r="552" spans="1:16" ht="12.75">
      <c r="A552" s="619"/>
      <c r="B552" s="43"/>
      <c r="C552" s="43"/>
      <c r="D552" s="43"/>
      <c r="E552" s="43"/>
      <c r="F552" s="43"/>
      <c r="G552" s="43"/>
      <c r="H552" s="43"/>
      <c r="I552" s="43"/>
      <c r="J552" s="43"/>
      <c r="K552" s="43"/>
      <c r="L552" s="43"/>
      <c r="M552" s="43"/>
      <c r="N552" s="43"/>
      <c r="O552" s="43"/>
      <c r="P552" s="43"/>
    </row>
    <row r="553" spans="1:16" ht="12.75">
      <c r="A553" s="619"/>
      <c r="B553" s="43"/>
      <c r="C553" s="43"/>
      <c r="D553" s="43"/>
      <c r="E553" s="43"/>
      <c r="F553" s="43"/>
      <c r="G553" s="43"/>
      <c r="H553" s="43"/>
      <c r="I553" s="43"/>
      <c r="J553" s="43"/>
      <c r="K553" s="43"/>
      <c r="L553" s="43"/>
      <c r="M553" s="43"/>
      <c r="N553" s="43"/>
      <c r="O553" s="43"/>
      <c r="P553" s="43"/>
    </row>
    <row r="554" spans="1:16" ht="12.75">
      <c r="A554" s="619"/>
      <c r="B554" s="43"/>
      <c r="C554" s="43"/>
      <c r="D554" s="43"/>
      <c r="E554" s="43"/>
      <c r="F554" s="43"/>
      <c r="G554" s="43"/>
      <c r="H554" s="43"/>
      <c r="I554" s="43"/>
      <c r="J554" s="43"/>
      <c r="K554" s="43"/>
      <c r="L554" s="43"/>
      <c r="M554" s="43"/>
      <c r="N554" s="43"/>
      <c r="O554" s="43"/>
      <c r="P554" s="43"/>
    </row>
    <row r="555" spans="1:16" ht="12.75">
      <c r="A555" s="619"/>
      <c r="B555" s="43"/>
      <c r="C555" s="43"/>
      <c r="D555" s="43"/>
      <c r="E555" s="43"/>
      <c r="F555" s="43"/>
      <c r="G555" s="43"/>
      <c r="H555" s="43"/>
      <c r="I555" s="43"/>
      <c r="J555" s="43"/>
      <c r="K555" s="43"/>
      <c r="L555" s="43"/>
      <c r="M555" s="43"/>
      <c r="N555" s="43"/>
      <c r="O555" s="43"/>
      <c r="P555" s="43"/>
    </row>
    <row r="556" spans="1:16" ht="12.75">
      <c r="A556" s="619"/>
      <c r="B556" s="43"/>
      <c r="C556" s="43"/>
      <c r="D556" s="43"/>
      <c r="E556" s="43"/>
      <c r="F556" s="43"/>
      <c r="G556" s="43"/>
      <c r="H556" s="43"/>
      <c r="I556" s="43"/>
      <c r="J556" s="43"/>
      <c r="K556" s="43"/>
      <c r="L556" s="43"/>
      <c r="M556" s="43"/>
      <c r="N556" s="43"/>
      <c r="O556" s="43"/>
      <c r="P556" s="43"/>
    </row>
    <row r="557" spans="1:16" ht="12.75">
      <c r="A557" s="619"/>
      <c r="B557" s="43"/>
      <c r="C557" s="43"/>
      <c r="D557" s="43"/>
      <c r="E557" s="43"/>
      <c r="F557" s="43"/>
      <c r="G557" s="43"/>
      <c r="H557" s="43"/>
      <c r="I557" s="43"/>
      <c r="J557" s="43"/>
      <c r="K557" s="43"/>
      <c r="L557" s="43"/>
      <c r="M557" s="43"/>
      <c r="N557" s="43"/>
      <c r="O557" s="43"/>
      <c r="P557" s="43"/>
    </row>
    <row r="558" spans="1:16" ht="12.75">
      <c r="A558" s="619"/>
      <c r="B558" s="43"/>
      <c r="C558" s="43"/>
      <c r="D558" s="43"/>
      <c r="E558" s="43"/>
      <c r="F558" s="43"/>
      <c r="G558" s="43"/>
      <c r="H558" s="43"/>
      <c r="I558" s="43"/>
      <c r="J558" s="43"/>
      <c r="K558" s="43"/>
      <c r="L558" s="43"/>
      <c r="M558" s="43"/>
      <c r="N558" s="43"/>
      <c r="O558" s="43"/>
      <c r="P558" s="43"/>
    </row>
    <row r="559" spans="1:16" ht="12.75">
      <c r="A559" s="619"/>
      <c r="B559" s="43"/>
      <c r="C559" s="43"/>
      <c r="D559" s="43"/>
      <c r="E559" s="43"/>
      <c r="F559" s="43"/>
      <c r="G559" s="43"/>
      <c r="H559" s="43"/>
      <c r="I559" s="43"/>
      <c r="J559" s="43"/>
      <c r="K559" s="43"/>
      <c r="L559" s="43"/>
      <c r="M559" s="43"/>
      <c r="N559" s="43"/>
      <c r="O559" s="43"/>
      <c r="P559" s="43"/>
    </row>
    <row r="560" spans="1:16" ht="12.75">
      <c r="A560" s="619"/>
      <c r="B560" s="43"/>
      <c r="C560" s="43"/>
      <c r="D560" s="43"/>
      <c r="E560" s="43"/>
      <c r="F560" s="43"/>
      <c r="G560" s="43"/>
      <c r="H560" s="43"/>
      <c r="I560" s="43"/>
      <c r="J560" s="43"/>
      <c r="K560" s="43"/>
      <c r="L560" s="43"/>
      <c r="M560" s="43"/>
      <c r="N560" s="43"/>
      <c r="O560" s="43"/>
      <c r="P560" s="43"/>
    </row>
    <row r="561" spans="1:16" ht="12.75">
      <c r="A561" s="619"/>
      <c r="B561" s="43"/>
      <c r="C561" s="43"/>
      <c r="D561" s="43"/>
      <c r="E561" s="43"/>
      <c r="F561" s="43"/>
      <c r="G561" s="43"/>
      <c r="H561" s="43"/>
      <c r="I561" s="43"/>
      <c r="J561" s="43"/>
      <c r="K561" s="43"/>
      <c r="L561" s="43"/>
      <c r="M561" s="43"/>
      <c r="N561" s="43"/>
      <c r="O561" s="43"/>
      <c r="P561" s="43"/>
    </row>
    <row r="562" spans="1:16" ht="12.75">
      <c r="A562" s="619"/>
      <c r="B562" s="43"/>
      <c r="C562" s="43"/>
      <c r="D562" s="43"/>
      <c r="E562" s="43"/>
      <c r="F562" s="43"/>
      <c r="G562" s="43"/>
      <c r="H562" s="43"/>
      <c r="I562" s="43"/>
      <c r="J562" s="43"/>
      <c r="K562" s="43"/>
      <c r="L562" s="43"/>
      <c r="M562" s="43"/>
      <c r="N562" s="43"/>
      <c r="O562" s="43"/>
      <c r="P562" s="43"/>
    </row>
    <row r="563" spans="1:16" ht="12.75">
      <c r="A563" s="619"/>
      <c r="B563" s="43"/>
      <c r="C563" s="43"/>
      <c r="D563" s="43"/>
      <c r="E563" s="43"/>
      <c r="F563" s="43"/>
      <c r="G563" s="43"/>
      <c r="H563" s="43"/>
      <c r="I563" s="43"/>
      <c r="J563" s="43"/>
      <c r="K563" s="43"/>
      <c r="L563" s="43"/>
      <c r="M563" s="43"/>
      <c r="N563" s="43"/>
      <c r="O563" s="43"/>
      <c r="P563" s="43"/>
    </row>
    <row r="564" spans="1:16" ht="12.75">
      <c r="A564" s="619"/>
      <c r="B564" s="43"/>
      <c r="C564" s="43"/>
      <c r="D564" s="43"/>
      <c r="E564" s="43"/>
      <c r="F564" s="43"/>
      <c r="G564" s="43"/>
      <c r="H564" s="43"/>
      <c r="I564" s="43"/>
      <c r="J564" s="43"/>
      <c r="K564" s="43"/>
      <c r="L564" s="43"/>
      <c r="M564" s="43"/>
      <c r="N564" s="43"/>
      <c r="O564" s="43"/>
      <c r="P564" s="43"/>
    </row>
    <row r="565" spans="1:16" ht="12.75">
      <c r="A565" s="619"/>
      <c r="B565" s="43"/>
      <c r="C565" s="43"/>
      <c r="D565" s="43"/>
      <c r="E565" s="43"/>
      <c r="F565" s="43"/>
      <c r="G565" s="43"/>
      <c r="H565" s="43"/>
      <c r="I565" s="43"/>
      <c r="J565" s="43"/>
      <c r="K565" s="43"/>
      <c r="L565" s="43"/>
      <c r="M565" s="43"/>
      <c r="N565" s="43"/>
      <c r="O565" s="43"/>
      <c r="P565" s="43"/>
    </row>
    <row r="566" spans="1:16" ht="12.75">
      <c r="A566" s="619"/>
      <c r="B566" s="43"/>
      <c r="C566" s="43"/>
      <c r="D566" s="43"/>
      <c r="E566" s="43"/>
      <c r="F566" s="43"/>
      <c r="G566" s="43"/>
      <c r="H566" s="43"/>
      <c r="I566" s="43"/>
      <c r="J566" s="43"/>
      <c r="K566" s="43"/>
      <c r="L566" s="43"/>
      <c r="M566" s="43"/>
      <c r="N566" s="43"/>
      <c r="O566" s="43"/>
      <c r="P566" s="43"/>
    </row>
    <row r="567" spans="1:16" ht="12.75">
      <c r="A567" s="619"/>
      <c r="B567" s="43"/>
      <c r="C567" s="43"/>
      <c r="D567" s="43"/>
      <c r="E567" s="43"/>
      <c r="F567" s="43"/>
      <c r="G567" s="43"/>
      <c r="H567" s="43"/>
      <c r="I567" s="43"/>
      <c r="J567" s="43"/>
      <c r="K567" s="43"/>
      <c r="L567" s="43"/>
      <c r="M567" s="43"/>
      <c r="N567" s="43"/>
      <c r="O567" s="43"/>
      <c r="P567" s="43"/>
    </row>
    <row r="568" spans="1:16" ht="12.75">
      <c r="A568" s="619"/>
      <c r="B568" s="43"/>
      <c r="C568" s="43"/>
      <c r="D568" s="43"/>
      <c r="E568" s="43"/>
      <c r="F568" s="43"/>
      <c r="G568" s="43"/>
      <c r="H568" s="43"/>
      <c r="I568" s="43"/>
      <c r="J568" s="43"/>
      <c r="K568" s="43"/>
      <c r="L568" s="43"/>
      <c r="M568" s="43"/>
      <c r="N568" s="43"/>
      <c r="O568" s="43"/>
      <c r="P568" s="43"/>
    </row>
    <row r="569" spans="1:16" ht="12.75">
      <c r="A569" s="619"/>
      <c r="B569" s="43"/>
      <c r="C569" s="43"/>
      <c r="D569" s="43"/>
      <c r="E569" s="43"/>
      <c r="F569" s="43"/>
      <c r="G569" s="43"/>
      <c r="H569" s="43"/>
      <c r="I569" s="43"/>
      <c r="J569" s="43"/>
      <c r="K569" s="43"/>
      <c r="L569" s="43"/>
      <c r="M569" s="43"/>
      <c r="N569" s="43"/>
      <c r="O569" s="43"/>
      <c r="P569" s="43"/>
    </row>
    <row r="570" spans="1:16" ht="12.75">
      <c r="A570" s="619"/>
      <c r="B570" s="43"/>
      <c r="C570" s="43"/>
      <c r="D570" s="43"/>
      <c r="E570" s="43"/>
      <c r="F570" s="43"/>
      <c r="G570" s="43"/>
      <c r="H570" s="43"/>
      <c r="I570" s="43"/>
      <c r="J570" s="43"/>
      <c r="K570" s="43"/>
      <c r="L570" s="43"/>
      <c r="M570" s="43"/>
      <c r="N570" s="43"/>
      <c r="O570" s="43"/>
      <c r="P570" s="43"/>
    </row>
    <row r="571" spans="1:16" ht="12.75">
      <c r="A571" s="619"/>
      <c r="B571" s="43"/>
      <c r="C571" s="43"/>
      <c r="D571" s="43"/>
      <c r="E571" s="43"/>
      <c r="F571" s="43"/>
      <c r="G571" s="43"/>
      <c r="H571" s="43"/>
      <c r="I571" s="43"/>
      <c r="J571" s="43"/>
      <c r="K571" s="43"/>
      <c r="L571" s="43"/>
      <c r="M571" s="43"/>
      <c r="N571" s="43"/>
      <c r="O571" s="43"/>
      <c r="P571" s="43"/>
    </row>
    <row r="572" spans="1:16" ht="12.75">
      <c r="A572" s="619"/>
      <c r="B572" s="43"/>
      <c r="C572" s="43"/>
      <c r="D572" s="43"/>
      <c r="E572" s="43"/>
      <c r="F572" s="43"/>
      <c r="G572" s="43"/>
      <c r="H572" s="43"/>
      <c r="I572" s="43"/>
      <c r="J572" s="43"/>
      <c r="K572" s="43"/>
      <c r="L572" s="43"/>
      <c r="M572" s="43"/>
      <c r="N572" s="43"/>
      <c r="O572" s="43"/>
      <c r="P572" s="43"/>
    </row>
    <row r="573" spans="1:16" ht="12.75">
      <c r="A573" s="619"/>
      <c r="B573" s="43"/>
      <c r="C573" s="43"/>
      <c r="D573" s="43"/>
      <c r="E573" s="43"/>
      <c r="F573" s="43"/>
      <c r="G573" s="43"/>
      <c r="H573" s="43"/>
      <c r="I573" s="43"/>
      <c r="J573" s="43"/>
      <c r="K573" s="43"/>
      <c r="L573" s="43"/>
      <c r="M573" s="43"/>
      <c r="N573" s="43"/>
      <c r="O573" s="43"/>
      <c r="P573" s="43"/>
    </row>
    <row r="574" spans="1:16" ht="12.75">
      <c r="A574" s="619"/>
      <c r="B574" s="43"/>
      <c r="C574" s="43"/>
      <c r="D574" s="43"/>
      <c r="E574" s="43"/>
      <c r="F574" s="43"/>
      <c r="G574" s="43"/>
      <c r="H574" s="43"/>
      <c r="I574" s="43"/>
      <c r="J574" s="43"/>
      <c r="K574" s="43"/>
      <c r="L574" s="43"/>
      <c r="M574" s="43"/>
      <c r="N574" s="43"/>
      <c r="O574" s="43"/>
      <c r="P574" s="43"/>
    </row>
    <row r="575" spans="1:16" ht="12.75">
      <c r="A575" s="619"/>
      <c r="B575" s="43"/>
      <c r="C575" s="43"/>
      <c r="D575" s="43"/>
      <c r="E575" s="43"/>
      <c r="F575" s="43"/>
      <c r="G575" s="43"/>
      <c r="H575" s="43"/>
      <c r="I575" s="43"/>
      <c r="J575" s="43"/>
      <c r="K575" s="43"/>
      <c r="L575" s="43"/>
      <c r="M575" s="43"/>
      <c r="N575" s="43"/>
      <c r="O575" s="43"/>
      <c r="P575" s="43"/>
    </row>
    <row r="576" spans="1:16" ht="12.75">
      <c r="A576" s="619"/>
      <c r="B576" s="43"/>
      <c r="C576" s="43"/>
      <c r="D576" s="43"/>
      <c r="E576" s="43"/>
      <c r="F576" s="43"/>
      <c r="G576" s="43"/>
      <c r="H576" s="43"/>
      <c r="I576" s="43"/>
      <c r="J576" s="43"/>
      <c r="K576" s="43"/>
      <c r="L576" s="43"/>
      <c r="M576" s="43"/>
      <c r="N576" s="43"/>
      <c r="O576" s="43"/>
      <c r="P576" s="43"/>
    </row>
    <row r="577" spans="1:16" ht="12.75">
      <c r="A577" s="619"/>
      <c r="B577" s="43"/>
      <c r="C577" s="43"/>
      <c r="D577" s="43"/>
      <c r="E577" s="43"/>
      <c r="F577" s="43"/>
      <c r="G577" s="43"/>
      <c r="H577" s="43"/>
      <c r="I577" s="43"/>
      <c r="J577" s="43"/>
      <c r="K577" s="43"/>
      <c r="L577" s="43"/>
      <c r="M577" s="43"/>
      <c r="N577" s="43"/>
      <c r="O577" s="43"/>
      <c r="P577" s="43"/>
    </row>
    <row r="578" spans="1:16" ht="12.75">
      <c r="A578" s="619"/>
      <c r="B578" s="43"/>
      <c r="C578" s="43"/>
      <c r="D578" s="43"/>
      <c r="E578" s="43"/>
      <c r="F578" s="43"/>
      <c r="G578" s="43"/>
      <c r="H578" s="43"/>
      <c r="I578" s="43"/>
      <c r="J578" s="43"/>
      <c r="K578" s="43"/>
      <c r="L578" s="43"/>
      <c r="M578" s="43"/>
      <c r="N578" s="43"/>
      <c r="O578" s="43"/>
      <c r="P578" s="43"/>
    </row>
    <row r="579" spans="1:16" ht="12.75">
      <c r="A579" s="619"/>
      <c r="B579" s="43"/>
      <c r="C579" s="43"/>
      <c r="D579" s="43"/>
      <c r="E579" s="43"/>
      <c r="F579" s="43"/>
      <c r="G579" s="43"/>
      <c r="H579" s="43"/>
      <c r="I579" s="43"/>
      <c r="J579" s="43"/>
      <c r="K579" s="43"/>
      <c r="L579" s="43"/>
      <c r="M579" s="43"/>
      <c r="N579" s="43"/>
      <c r="O579" s="43"/>
      <c r="P579" s="43"/>
    </row>
    <row r="580" spans="1:16" ht="12.75">
      <c r="A580" s="619"/>
      <c r="B580" s="43"/>
      <c r="C580" s="43"/>
      <c r="D580" s="43"/>
      <c r="E580" s="43"/>
      <c r="F580" s="43"/>
      <c r="G580" s="43"/>
      <c r="H580" s="43"/>
      <c r="I580" s="43"/>
      <c r="J580" s="43"/>
      <c r="K580" s="43"/>
      <c r="L580" s="43"/>
      <c r="M580" s="43"/>
      <c r="N580" s="43"/>
      <c r="O580" s="43"/>
      <c r="P580" s="43"/>
    </row>
    <row r="581" spans="1:16" ht="12.75">
      <c r="A581" s="619"/>
      <c r="B581" s="43"/>
      <c r="C581" s="43"/>
      <c r="D581" s="43"/>
      <c r="E581" s="43"/>
      <c r="F581" s="43"/>
      <c r="G581" s="43"/>
      <c r="H581" s="43"/>
      <c r="I581" s="43"/>
      <c r="J581" s="43"/>
      <c r="K581" s="43"/>
      <c r="L581" s="43"/>
      <c r="M581" s="43"/>
      <c r="N581" s="43"/>
      <c r="O581" s="43"/>
      <c r="P581" s="43"/>
    </row>
    <row r="582" spans="1:16" ht="12.75">
      <c r="A582" s="619"/>
      <c r="B582" s="43"/>
      <c r="C582" s="43"/>
      <c r="D582" s="43"/>
      <c r="E582" s="43"/>
      <c r="F582" s="43"/>
      <c r="G582" s="43"/>
      <c r="H582" s="43"/>
      <c r="I582" s="43"/>
      <c r="J582" s="43"/>
      <c r="K582" s="43"/>
      <c r="L582" s="43"/>
      <c r="M582" s="43"/>
      <c r="N582" s="43"/>
      <c r="O582" s="43"/>
      <c r="P582" s="43"/>
    </row>
    <row r="583" spans="1:16" ht="12.75">
      <c r="A583" s="619"/>
      <c r="B583" s="43"/>
      <c r="C583" s="43"/>
      <c r="D583" s="43"/>
      <c r="E583" s="43"/>
      <c r="F583" s="43"/>
      <c r="G583" s="43"/>
      <c r="H583" s="43"/>
      <c r="I583" s="43"/>
      <c r="J583" s="43"/>
      <c r="K583" s="43"/>
      <c r="L583" s="43"/>
      <c r="M583" s="43"/>
      <c r="N583" s="43"/>
      <c r="O583" s="43"/>
      <c r="P583" s="43"/>
    </row>
    <row r="584" spans="1:16" ht="12.75">
      <c r="A584" s="619"/>
      <c r="B584" s="43"/>
      <c r="C584" s="43"/>
      <c r="D584" s="43"/>
      <c r="E584" s="43"/>
      <c r="F584" s="43"/>
      <c r="G584" s="43"/>
      <c r="H584" s="43"/>
      <c r="I584" s="43"/>
      <c r="J584" s="43"/>
      <c r="K584" s="43"/>
      <c r="L584" s="43"/>
      <c r="M584" s="43"/>
      <c r="N584" s="43"/>
      <c r="O584" s="43"/>
      <c r="P584" s="43"/>
    </row>
    <row r="585" spans="1:16" ht="12.75">
      <c r="A585" s="619"/>
      <c r="B585" s="43"/>
      <c r="C585" s="43"/>
      <c r="D585" s="43"/>
      <c r="E585" s="43"/>
      <c r="F585" s="43"/>
      <c r="G585" s="43"/>
      <c r="H585" s="43"/>
      <c r="I585" s="43"/>
      <c r="J585" s="43"/>
      <c r="K585" s="43"/>
      <c r="L585" s="43"/>
      <c r="M585" s="43"/>
      <c r="N585" s="43"/>
      <c r="O585" s="43"/>
      <c r="P585" s="43"/>
    </row>
    <row r="586" spans="1:16" ht="12.75">
      <c r="A586" s="619"/>
      <c r="B586" s="43"/>
      <c r="C586" s="43"/>
      <c r="D586" s="43"/>
      <c r="E586" s="43"/>
      <c r="F586" s="43"/>
      <c r="G586" s="43"/>
      <c r="H586" s="43"/>
      <c r="I586" s="43"/>
      <c r="J586" s="43"/>
      <c r="K586" s="43"/>
      <c r="L586" s="43"/>
      <c r="M586" s="43"/>
      <c r="N586" s="43"/>
      <c r="O586" s="43"/>
      <c r="P586" s="43"/>
    </row>
    <row r="587" spans="1:16" ht="12.75">
      <c r="A587" s="619"/>
      <c r="B587" s="43"/>
      <c r="C587" s="43"/>
      <c r="D587" s="43"/>
      <c r="E587" s="43"/>
      <c r="F587" s="43"/>
      <c r="G587" s="43"/>
      <c r="H587" s="43"/>
      <c r="I587" s="43"/>
      <c r="J587" s="43"/>
      <c r="K587" s="43"/>
      <c r="L587" s="43"/>
      <c r="M587" s="43"/>
      <c r="N587" s="43"/>
      <c r="O587" s="43"/>
      <c r="P587" s="43"/>
    </row>
    <row r="588" spans="1:16" ht="12.75">
      <c r="A588" s="619"/>
      <c r="B588" s="43"/>
      <c r="C588" s="43"/>
      <c r="D588" s="43"/>
      <c r="E588" s="43"/>
      <c r="F588" s="43"/>
      <c r="G588" s="43"/>
      <c r="H588" s="43"/>
      <c r="I588" s="43"/>
      <c r="J588" s="43"/>
      <c r="K588" s="43"/>
      <c r="L588" s="43"/>
      <c r="M588" s="43"/>
      <c r="N588" s="43"/>
      <c r="O588" s="43"/>
      <c r="P588" s="43"/>
    </row>
    <row r="589" spans="1:16" ht="12.75">
      <c r="A589" s="619"/>
      <c r="B589" s="43"/>
      <c r="C589" s="43"/>
      <c r="D589" s="43"/>
      <c r="E589" s="43"/>
      <c r="F589" s="43"/>
      <c r="G589" s="43"/>
      <c r="H589" s="43"/>
      <c r="I589" s="43"/>
      <c r="J589" s="43"/>
      <c r="K589" s="43"/>
      <c r="L589" s="43"/>
      <c r="M589" s="43"/>
      <c r="N589" s="43"/>
      <c r="O589" s="43"/>
      <c r="P589" s="43"/>
    </row>
    <row r="590" spans="1:16" ht="12.75">
      <c r="A590" s="619"/>
      <c r="B590" s="43"/>
      <c r="C590" s="43"/>
      <c r="D590" s="43"/>
      <c r="E590" s="43"/>
      <c r="F590" s="43"/>
      <c r="G590" s="43"/>
      <c r="H590" s="43"/>
      <c r="I590" s="43"/>
      <c r="J590" s="43"/>
      <c r="K590" s="43"/>
      <c r="L590" s="43"/>
      <c r="M590" s="43"/>
      <c r="N590" s="43"/>
      <c r="O590" s="43"/>
      <c r="P590" s="43"/>
    </row>
    <row r="591" spans="1:16" ht="12.75">
      <c r="A591" s="619"/>
      <c r="B591" s="43"/>
      <c r="C591" s="43"/>
      <c r="D591" s="43"/>
      <c r="E591" s="43"/>
      <c r="F591" s="43"/>
      <c r="G591" s="43"/>
      <c r="H591" s="43"/>
      <c r="I591" s="43"/>
      <c r="J591" s="43"/>
      <c r="K591" s="43"/>
      <c r="L591" s="43"/>
      <c r="M591" s="43"/>
      <c r="N591" s="43"/>
      <c r="O591" s="43"/>
      <c r="P591" s="43"/>
    </row>
    <row r="592" spans="1:16" ht="12.75">
      <c r="A592" s="619"/>
      <c r="B592" s="43"/>
      <c r="C592" s="43"/>
      <c r="D592" s="43"/>
      <c r="E592" s="43"/>
      <c r="F592" s="43"/>
      <c r="G592" s="43"/>
      <c r="H592" s="43"/>
      <c r="I592" s="43"/>
      <c r="J592" s="43"/>
      <c r="K592" s="43"/>
      <c r="L592" s="43"/>
      <c r="M592" s="43"/>
      <c r="N592" s="43"/>
      <c r="O592" s="43"/>
      <c r="P592" s="43"/>
    </row>
    <row r="593" spans="1:16" ht="12.75">
      <c r="A593" s="619"/>
      <c r="B593" s="43"/>
      <c r="C593" s="43"/>
      <c r="D593" s="43"/>
      <c r="E593" s="43"/>
      <c r="F593" s="43"/>
      <c r="G593" s="43"/>
      <c r="H593" s="43"/>
      <c r="I593" s="43"/>
      <c r="J593" s="43"/>
      <c r="K593" s="43"/>
      <c r="L593" s="43"/>
      <c r="M593" s="43"/>
      <c r="N593" s="43"/>
      <c r="O593" s="43"/>
      <c r="P593" s="43"/>
    </row>
    <row r="594" spans="1:16" ht="12.75">
      <c r="A594" s="619"/>
      <c r="B594" s="43"/>
      <c r="C594" s="43"/>
      <c r="D594" s="43"/>
      <c r="E594" s="43"/>
      <c r="F594" s="43"/>
      <c r="G594" s="43"/>
      <c r="H594" s="43"/>
      <c r="I594" s="43"/>
      <c r="J594" s="43"/>
      <c r="K594" s="43"/>
      <c r="L594" s="43"/>
      <c r="M594" s="43"/>
      <c r="N594" s="43"/>
      <c r="O594" s="43"/>
      <c r="P594" s="43"/>
    </row>
    <row r="595" spans="1:16" ht="12.75">
      <c r="A595" s="619"/>
      <c r="B595" s="43"/>
      <c r="C595" s="43"/>
      <c r="D595" s="43"/>
      <c r="E595" s="43"/>
      <c r="F595" s="43"/>
      <c r="G595" s="43"/>
      <c r="H595" s="43"/>
      <c r="I595" s="43"/>
      <c r="J595" s="43"/>
      <c r="K595" s="43"/>
      <c r="L595" s="43"/>
      <c r="M595" s="43"/>
      <c r="N595" s="43"/>
      <c r="O595" s="43"/>
      <c r="P595" s="43"/>
    </row>
    <row r="596" spans="1:16" ht="12.75">
      <c r="A596" s="619"/>
      <c r="B596" s="43"/>
      <c r="C596" s="43"/>
      <c r="D596" s="43"/>
      <c r="E596" s="43"/>
      <c r="F596" s="43"/>
      <c r="G596" s="43"/>
      <c r="H596" s="43"/>
      <c r="I596" s="43"/>
      <c r="J596" s="43"/>
      <c r="K596" s="43"/>
      <c r="L596" s="43"/>
      <c r="M596" s="43"/>
      <c r="N596" s="43"/>
      <c r="O596" s="43"/>
      <c r="P596" s="43"/>
    </row>
    <row r="597" spans="1:16" ht="12.75">
      <c r="A597" s="619"/>
      <c r="B597" s="43"/>
      <c r="C597" s="43"/>
      <c r="D597" s="43"/>
      <c r="E597" s="43"/>
      <c r="F597" s="43"/>
      <c r="G597" s="43"/>
      <c r="H597" s="43"/>
      <c r="I597" s="43"/>
      <c r="J597" s="43"/>
      <c r="K597" s="43"/>
      <c r="L597" s="43"/>
      <c r="M597" s="43"/>
      <c r="N597" s="43"/>
      <c r="O597" s="43"/>
      <c r="P597" s="43"/>
    </row>
    <row r="598" spans="1:16" ht="12.75">
      <c r="A598" s="619"/>
      <c r="B598" s="43"/>
      <c r="C598" s="43"/>
      <c r="D598" s="43"/>
      <c r="E598" s="43"/>
      <c r="F598" s="43"/>
      <c r="G598" s="43"/>
      <c r="H598" s="43"/>
      <c r="I598" s="43"/>
      <c r="J598" s="43"/>
      <c r="K598" s="43"/>
      <c r="L598" s="43"/>
      <c r="M598" s="43"/>
      <c r="N598" s="43"/>
      <c r="O598" s="43"/>
      <c r="P598" s="43"/>
    </row>
    <row r="599" spans="1:16" ht="12.75">
      <c r="A599" s="619"/>
      <c r="B599" s="43"/>
      <c r="C599" s="43"/>
      <c r="D599" s="43"/>
      <c r="E599" s="43"/>
      <c r="F599" s="43"/>
      <c r="G599" s="43"/>
      <c r="H599" s="43"/>
      <c r="I599" s="43"/>
      <c r="J599" s="43"/>
      <c r="K599" s="43"/>
      <c r="L599" s="43"/>
      <c r="M599" s="43"/>
      <c r="N599" s="43"/>
      <c r="O599" s="43"/>
      <c r="P599" s="43"/>
    </row>
    <row r="600" spans="1:16" ht="12.75">
      <c r="A600" s="619"/>
      <c r="B600" s="43"/>
      <c r="C600" s="43"/>
      <c r="D600" s="43"/>
      <c r="E600" s="43"/>
      <c r="F600" s="43"/>
      <c r="G600" s="43"/>
      <c r="H600" s="43"/>
      <c r="I600" s="43"/>
      <c r="J600" s="43"/>
      <c r="K600" s="43"/>
      <c r="L600" s="43"/>
      <c r="M600" s="43"/>
      <c r="N600" s="43"/>
      <c r="O600" s="43"/>
      <c r="P600" s="43"/>
    </row>
    <row r="601" spans="1:16" ht="12.75">
      <c r="A601" s="619"/>
      <c r="B601" s="43"/>
      <c r="C601" s="43"/>
      <c r="D601" s="43"/>
      <c r="E601" s="43"/>
      <c r="F601" s="43"/>
      <c r="G601" s="43"/>
      <c r="H601" s="43"/>
      <c r="I601" s="43"/>
      <c r="J601" s="43"/>
      <c r="K601" s="43"/>
      <c r="L601" s="43"/>
      <c r="M601" s="43"/>
      <c r="N601" s="43"/>
      <c r="O601" s="43"/>
      <c r="P601" s="43"/>
    </row>
    <row r="602" spans="1:16" ht="12.75">
      <c r="A602" s="619"/>
      <c r="B602" s="43"/>
      <c r="C602" s="43"/>
      <c r="D602" s="43"/>
      <c r="E602" s="43"/>
      <c r="F602" s="43"/>
      <c r="G602" s="43"/>
      <c r="H602" s="43"/>
      <c r="I602" s="43"/>
      <c r="J602" s="43"/>
      <c r="K602" s="43"/>
      <c r="L602" s="43"/>
      <c r="M602" s="43"/>
      <c r="N602" s="43"/>
      <c r="O602" s="43"/>
      <c r="P602" s="43"/>
    </row>
    <row r="603" spans="1:16" ht="12.75">
      <c r="A603" s="619"/>
      <c r="B603" s="43"/>
      <c r="C603" s="43"/>
      <c r="D603" s="43"/>
      <c r="E603" s="43"/>
      <c r="F603" s="43"/>
      <c r="G603" s="43"/>
      <c r="H603" s="43"/>
      <c r="I603" s="43"/>
      <c r="J603" s="43"/>
      <c r="K603" s="43"/>
      <c r="L603" s="43"/>
      <c r="M603" s="43"/>
      <c r="N603" s="43"/>
      <c r="O603" s="43"/>
      <c r="P603" s="43"/>
    </row>
    <row r="604" spans="1:16" ht="12.75">
      <c r="A604" s="619"/>
      <c r="B604" s="43"/>
      <c r="C604" s="43"/>
      <c r="D604" s="43"/>
      <c r="E604" s="43"/>
      <c r="F604" s="43"/>
      <c r="G604" s="43"/>
      <c r="H604" s="43"/>
      <c r="I604" s="43"/>
      <c r="J604" s="43"/>
      <c r="K604" s="43"/>
      <c r="L604" s="43"/>
      <c r="M604" s="43"/>
      <c r="N604" s="43"/>
      <c r="O604" s="43"/>
      <c r="P604" s="43"/>
    </row>
    <row r="605" spans="1:16" ht="12.75">
      <c r="A605" s="619"/>
      <c r="B605" s="43"/>
      <c r="C605" s="43"/>
      <c r="D605" s="43"/>
      <c r="E605" s="43"/>
      <c r="F605" s="43"/>
      <c r="G605" s="43"/>
      <c r="H605" s="43"/>
      <c r="I605" s="43"/>
      <c r="J605" s="43"/>
      <c r="K605" s="43"/>
      <c r="L605" s="43"/>
      <c r="M605" s="43"/>
      <c r="N605" s="43"/>
      <c r="O605" s="43"/>
      <c r="P605" s="43"/>
    </row>
    <row r="606" spans="1:16" ht="12.75">
      <c r="A606" s="619"/>
      <c r="B606" s="43"/>
      <c r="C606" s="43"/>
      <c r="D606" s="43"/>
      <c r="E606" s="43"/>
      <c r="F606" s="43"/>
      <c r="G606" s="43"/>
      <c r="H606" s="43"/>
      <c r="I606" s="43"/>
      <c r="J606" s="43"/>
      <c r="K606" s="43"/>
      <c r="L606" s="43"/>
      <c r="M606" s="43"/>
      <c r="N606" s="43"/>
      <c r="O606" s="43"/>
      <c r="P606" s="43"/>
    </row>
    <row r="607" spans="1:16" ht="12.75">
      <c r="A607" s="619"/>
      <c r="B607" s="43"/>
      <c r="C607" s="43"/>
      <c r="D607" s="43"/>
      <c r="E607" s="43"/>
      <c r="F607" s="43"/>
      <c r="G607" s="43"/>
      <c r="H607" s="43"/>
      <c r="I607" s="43"/>
      <c r="J607" s="43"/>
      <c r="K607" s="43"/>
      <c r="L607" s="43"/>
      <c r="M607" s="43"/>
      <c r="N607" s="43"/>
      <c r="O607" s="43"/>
      <c r="P607" s="43"/>
    </row>
    <row r="608" spans="1:16" ht="12.75">
      <c r="A608" s="619"/>
      <c r="B608" s="43"/>
      <c r="C608" s="43"/>
      <c r="D608" s="43"/>
      <c r="E608" s="43"/>
      <c r="F608" s="43"/>
      <c r="G608" s="43"/>
      <c r="H608" s="43"/>
      <c r="I608" s="43"/>
      <c r="J608" s="43"/>
      <c r="K608" s="43"/>
      <c r="L608" s="43"/>
      <c r="M608" s="43"/>
      <c r="N608" s="43"/>
      <c r="O608" s="43"/>
      <c r="P608" s="43"/>
    </row>
    <row r="609" spans="1:16" ht="12.75">
      <c r="A609" s="619"/>
      <c r="B609" s="43"/>
      <c r="C609" s="43"/>
      <c r="D609" s="43"/>
      <c r="E609" s="43"/>
      <c r="F609" s="43"/>
      <c r="G609" s="43"/>
      <c r="H609" s="43"/>
      <c r="I609" s="43"/>
      <c r="J609" s="43"/>
      <c r="K609" s="43"/>
      <c r="L609" s="43"/>
      <c r="M609" s="43"/>
      <c r="N609" s="43"/>
      <c r="O609" s="43"/>
      <c r="P609" s="43"/>
    </row>
    <row r="610" spans="1:16" ht="12.75">
      <c r="A610" s="619"/>
      <c r="B610" s="43"/>
      <c r="C610" s="43"/>
      <c r="D610" s="43"/>
      <c r="E610" s="43"/>
      <c r="F610" s="43"/>
      <c r="G610" s="43"/>
      <c r="H610" s="43"/>
      <c r="I610" s="43"/>
      <c r="J610" s="43"/>
      <c r="K610" s="43"/>
      <c r="L610" s="43"/>
      <c r="M610" s="43"/>
      <c r="N610" s="43"/>
      <c r="O610" s="43"/>
      <c r="P610" s="43"/>
    </row>
    <row r="611" spans="1:16" ht="12.75">
      <c r="A611" s="619"/>
      <c r="B611" s="43"/>
      <c r="C611" s="43"/>
      <c r="D611" s="43"/>
      <c r="E611" s="43"/>
      <c r="F611" s="43"/>
      <c r="G611" s="43"/>
      <c r="H611" s="43"/>
      <c r="I611" s="43"/>
      <c r="J611" s="43"/>
      <c r="K611" s="43"/>
      <c r="L611" s="43"/>
      <c r="M611" s="43"/>
      <c r="N611" s="43"/>
      <c r="O611" s="43"/>
      <c r="P611" s="43"/>
    </row>
    <row r="612" spans="1:16" ht="12.75">
      <c r="A612" s="619"/>
      <c r="B612" s="43"/>
      <c r="C612" s="43"/>
      <c r="D612" s="43"/>
      <c r="E612" s="43"/>
      <c r="F612" s="43"/>
      <c r="G612" s="43"/>
      <c r="H612" s="43"/>
      <c r="I612" s="43"/>
      <c r="J612" s="43"/>
      <c r="K612" s="43"/>
      <c r="L612" s="43"/>
      <c r="M612" s="43"/>
      <c r="N612" s="43"/>
      <c r="O612" s="43"/>
      <c r="P612" s="43"/>
    </row>
    <row r="613" spans="1:16" ht="12.75">
      <c r="A613" s="619"/>
      <c r="B613" s="43"/>
      <c r="C613" s="43"/>
      <c r="D613" s="43"/>
      <c r="E613" s="43"/>
      <c r="F613" s="43"/>
      <c r="G613" s="43"/>
      <c r="H613" s="43"/>
      <c r="I613" s="43"/>
      <c r="J613" s="43"/>
      <c r="K613" s="43"/>
      <c r="L613" s="43"/>
      <c r="M613" s="43"/>
      <c r="N613" s="43"/>
      <c r="O613" s="43"/>
      <c r="P613" s="43"/>
    </row>
    <row r="614" spans="1:16" ht="12.75">
      <c r="A614" s="619"/>
      <c r="B614" s="43"/>
      <c r="C614" s="43"/>
      <c r="D614" s="43"/>
      <c r="E614" s="43"/>
      <c r="F614" s="43"/>
      <c r="G614" s="43"/>
      <c r="H614" s="43"/>
      <c r="I614" s="43"/>
      <c r="J614" s="43"/>
      <c r="K614" s="43"/>
      <c r="L614" s="43"/>
      <c r="M614" s="43"/>
      <c r="N614" s="43"/>
      <c r="O614" s="43"/>
      <c r="P614" s="43"/>
    </row>
    <row r="615" spans="1:16" ht="12.75">
      <c r="A615" s="619"/>
      <c r="B615" s="43"/>
      <c r="C615" s="43"/>
      <c r="D615" s="43"/>
      <c r="E615" s="43"/>
      <c r="F615" s="43"/>
      <c r="G615" s="43"/>
      <c r="H615" s="43"/>
      <c r="I615" s="43"/>
      <c r="J615" s="43"/>
      <c r="K615" s="43"/>
      <c r="L615" s="43"/>
      <c r="M615" s="43"/>
      <c r="N615" s="43"/>
      <c r="O615" s="43"/>
      <c r="P615" s="43"/>
    </row>
    <row r="616" spans="1:16" ht="12.75">
      <c r="A616" s="619"/>
      <c r="B616" s="43"/>
      <c r="C616" s="43"/>
      <c r="D616" s="43"/>
      <c r="E616" s="43"/>
      <c r="F616" s="43"/>
      <c r="G616" s="43"/>
      <c r="H616" s="43"/>
      <c r="I616" s="43"/>
      <c r="J616" s="43"/>
      <c r="K616" s="43"/>
      <c r="L616" s="43"/>
      <c r="M616" s="43"/>
      <c r="N616" s="43"/>
      <c r="O616" s="43"/>
      <c r="P616" s="43"/>
    </row>
    <row r="617" spans="1:16" ht="12.75">
      <c r="A617" s="619"/>
      <c r="B617" s="43"/>
      <c r="C617" s="43"/>
      <c r="D617" s="43"/>
      <c r="E617" s="43"/>
      <c r="F617" s="43"/>
      <c r="G617" s="43"/>
      <c r="H617" s="43"/>
      <c r="I617" s="43"/>
      <c r="J617" s="43"/>
      <c r="K617" s="43"/>
      <c r="L617" s="43"/>
      <c r="M617" s="43"/>
      <c r="N617" s="43"/>
      <c r="O617" s="43"/>
      <c r="P617" s="43"/>
    </row>
    <row r="618" spans="1:16" ht="12.75">
      <c r="A618" s="619"/>
      <c r="B618" s="43"/>
      <c r="C618" s="43"/>
      <c r="D618" s="43"/>
      <c r="E618" s="43"/>
      <c r="F618" s="43"/>
      <c r="G618" s="43"/>
      <c r="H618" s="43"/>
      <c r="I618" s="43"/>
      <c r="J618" s="43"/>
      <c r="K618" s="43"/>
      <c r="L618" s="43"/>
      <c r="M618" s="43"/>
      <c r="N618" s="43"/>
      <c r="O618" s="43"/>
      <c r="P618" s="43"/>
    </row>
    <row r="619" spans="1:16" ht="12.75">
      <c r="A619" s="619"/>
      <c r="B619" s="43"/>
      <c r="C619" s="43"/>
      <c r="D619" s="43"/>
      <c r="E619" s="43"/>
      <c r="F619" s="43"/>
      <c r="G619" s="43"/>
      <c r="H619" s="43"/>
      <c r="I619" s="43"/>
      <c r="J619" s="43"/>
      <c r="K619" s="43"/>
      <c r="L619" s="43"/>
      <c r="M619" s="43"/>
      <c r="N619" s="43"/>
      <c r="O619" s="43"/>
      <c r="P619" s="43"/>
    </row>
    <row r="620" spans="1:16" ht="12.75">
      <c r="A620" s="619"/>
      <c r="B620" s="43"/>
      <c r="C620" s="43"/>
      <c r="D620" s="43"/>
      <c r="E620" s="43"/>
      <c r="F620" s="43"/>
      <c r="G620" s="43"/>
      <c r="H620" s="43"/>
      <c r="I620" s="43"/>
      <c r="J620" s="43"/>
      <c r="K620" s="43"/>
      <c r="L620" s="43"/>
      <c r="M620" s="43"/>
      <c r="N620" s="43"/>
      <c r="O620" s="43"/>
      <c r="P620" s="43"/>
    </row>
    <row r="621" spans="1:16" ht="12.75">
      <c r="A621" s="619"/>
      <c r="B621" s="43"/>
      <c r="C621" s="43"/>
      <c r="D621" s="43"/>
      <c r="E621" s="43"/>
      <c r="F621" s="43"/>
      <c r="G621" s="43"/>
      <c r="H621" s="43"/>
      <c r="I621" s="43"/>
      <c r="J621" s="43"/>
      <c r="K621" s="43"/>
      <c r="L621" s="43"/>
      <c r="M621" s="43"/>
      <c r="N621" s="43"/>
      <c r="O621" s="43"/>
      <c r="P621" s="43"/>
    </row>
    <row r="622" spans="1:16" ht="12.75">
      <c r="A622" s="619"/>
      <c r="B622" s="43"/>
      <c r="C622" s="43"/>
      <c r="D622" s="43"/>
      <c r="E622" s="43"/>
      <c r="F622" s="43"/>
      <c r="G622" s="43"/>
      <c r="H622" s="43"/>
      <c r="I622" s="43"/>
      <c r="J622" s="43"/>
      <c r="K622" s="43"/>
      <c r="L622" s="43"/>
      <c r="M622" s="43"/>
      <c r="N622" s="43"/>
      <c r="O622" s="43"/>
      <c r="P622" s="43"/>
    </row>
    <row r="623" spans="1:16" ht="12.75">
      <c r="A623" s="619"/>
      <c r="B623" s="43"/>
      <c r="C623" s="43"/>
      <c r="D623" s="43"/>
      <c r="E623" s="43"/>
      <c r="F623" s="43"/>
      <c r="G623" s="43"/>
      <c r="H623" s="43"/>
      <c r="I623" s="43"/>
      <c r="J623" s="43"/>
      <c r="K623" s="43"/>
      <c r="L623" s="43"/>
      <c r="M623" s="43"/>
      <c r="N623" s="43"/>
      <c r="O623" s="43"/>
      <c r="P623" s="43"/>
    </row>
    <row r="624" spans="1:16" ht="12.75">
      <c r="A624" s="619"/>
      <c r="B624" s="43"/>
      <c r="C624" s="43"/>
      <c r="D624" s="43"/>
      <c r="E624" s="43"/>
      <c r="F624" s="43"/>
      <c r="G624" s="43"/>
      <c r="H624" s="43"/>
      <c r="I624" s="43"/>
      <c r="J624" s="43"/>
      <c r="K624" s="43"/>
      <c r="L624" s="43"/>
      <c r="M624" s="43"/>
      <c r="N624" s="43"/>
      <c r="O624" s="43"/>
      <c r="P624" s="43"/>
    </row>
    <row r="625" spans="1:16" ht="12.75">
      <c r="A625" s="619"/>
      <c r="B625" s="43"/>
      <c r="C625" s="43"/>
      <c r="D625" s="43"/>
      <c r="E625" s="43"/>
      <c r="F625" s="43"/>
      <c r="G625" s="43"/>
      <c r="H625" s="43"/>
      <c r="I625" s="43"/>
      <c r="J625" s="43"/>
      <c r="K625" s="43"/>
      <c r="L625" s="43"/>
      <c r="M625" s="43"/>
      <c r="N625" s="43"/>
      <c r="O625" s="43"/>
      <c r="P625" s="43"/>
    </row>
    <row r="626" spans="1:16" ht="12.75">
      <c r="A626" s="619"/>
      <c r="B626" s="43"/>
      <c r="C626" s="43"/>
      <c r="D626" s="43"/>
      <c r="E626" s="43"/>
      <c r="F626" s="43"/>
      <c r="G626" s="43"/>
      <c r="H626" s="43"/>
      <c r="I626" s="43"/>
      <c r="J626" s="43"/>
      <c r="K626" s="43"/>
      <c r="L626" s="43"/>
      <c r="M626" s="43"/>
      <c r="N626" s="43"/>
      <c r="O626" s="43"/>
      <c r="P626" s="43"/>
    </row>
    <row r="627" spans="1:16" ht="12.75">
      <c r="A627" s="619"/>
      <c r="B627" s="43"/>
      <c r="C627" s="43"/>
      <c r="D627" s="43"/>
      <c r="E627" s="43"/>
      <c r="F627" s="43"/>
      <c r="G627" s="43"/>
      <c r="H627" s="43"/>
      <c r="I627" s="43"/>
      <c r="J627" s="43"/>
      <c r="K627" s="43"/>
      <c r="L627" s="43"/>
      <c r="M627" s="43"/>
      <c r="N627" s="43"/>
      <c r="O627" s="43"/>
      <c r="P627" s="43"/>
    </row>
    <row r="628" spans="1:16" ht="12.75">
      <c r="A628" s="619"/>
      <c r="B628" s="43"/>
      <c r="C628" s="43"/>
      <c r="D628" s="43"/>
      <c r="E628" s="43"/>
      <c r="F628" s="43"/>
      <c r="G628" s="43"/>
      <c r="H628" s="43"/>
      <c r="I628" s="43"/>
      <c r="J628" s="43"/>
      <c r="K628" s="43"/>
      <c r="L628" s="43"/>
      <c r="M628" s="43"/>
      <c r="N628" s="43"/>
      <c r="O628" s="43"/>
      <c r="P628" s="43"/>
    </row>
    <row r="629" spans="1:16" ht="12.75">
      <c r="A629" s="619"/>
      <c r="B629" s="43"/>
      <c r="C629" s="43"/>
      <c r="D629" s="43"/>
      <c r="E629" s="43"/>
      <c r="F629" s="43"/>
      <c r="G629" s="43"/>
      <c r="H629" s="43"/>
      <c r="I629" s="43"/>
      <c r="J629" s="43"/>
      <c r="K629" s="43"/>
      <c r="L629" s="43"/>
      <c r="M629" s="43"/>
      <c r="N629" s="43"/>
      <c r="O629" s="43"/>
      <c r="P629" s="43"/>
    </row>
    <row r="630" spans="1:16" ht="12.75">
      <c r="A630" s="619"/>
      <c r="B630" s="43"/>
      <c r="C630" s="43"/>
      <c r="D630" s="43"/>
      <c r="E630" s="43"/>
      <c r="F630" s="43"/>
      <c r="G630" s="43"/>
      <c r="H630" s="43"/>
      <c r="I630" s="43"/>
      <c r="J630" s="43"/>
      <c r="K630" s="43"/>
      <c r="L630" s="43"/>
      <c r="M630" s="43"/>
      <c r="N630" s="43"/>
      <c r="O630" s="43"/>
      <c r="P630" s="43"/>
    </row>
    <row r="631" spans="1:16" ht="12.75">
      <c r="A631" s="619"/>
      <c r="B631" s="43"/>
      <c r="C631" s="43"/>
      <c r="D631" s="43"/>
      <c r="E631" s="43"/>
      <c r="F631" s="43"/>
      <c r="G631" s="43"/>
      <c r="H631" s="43"/>
      <c r="I631" s="43"/>
      <c r="J631" s="43"/>
      <c r="K631" s="43"/>
      <c r="L631" s="43"/>
      <c r="M631" s="43"/>
      <c r="N631" s="43"/>
      <c r="O631" s="43"/>
      <c r="P631" s="43"/>
    </row>
    <row r="632" spans="1:16" ht="12.75">
      <c r="A632" s="619"/>
      <c r="B632" s="43"/>
      <c r="C632" s="43"/>
      <c r="D632" s="43"/>
      <c r="E632" s="43"/>
      <c r="F632" s="43"/>
      <c r="G632" s="43"/>
      <c r="H632" s="43"/>
      <c r="I632" s="43"/>
      <c r="J632" s="43"/>
      <c r="K632" s="43"/>
      <c r="L632" s="43"/>
      <c r="M632" s="43"/>
      <c r="N632" s="43"/>
      <c r="O632" s="43"/>
      <c r="P632" s="43"/>
    </row>
    <row r="633" spans="1:16" ht="12.75">
      <c r="A633" s="619"/>
      <c r="B633" s="43"/>
      <c r="C633" s="43"/>
      <c r="D633" s="43"/>
      <c r="E633" s="43"/>
      <c r="F633" s="43"/>
      <c r="G633" s="43"/>
      <c r="H633" s="43"/>
      <c r="I633" s="43"/>
      <c r="J633" s="43"/>
      <c r="K633" s="43"/>
      <c r="L633" s="43"/>
      <c r="M633" s="43"/>
      <c r="N633" s="43"/>
      <c r="O633" s="43"/>
      <c r="P633" s="43"/>
    </row>
    <row r="634" spans="1:16" ht="12.75">
      <c r="A634" s="619"/>
      <c r="B634" s="43"/>
      <c r="C634" s="43"/>
      <c r="D634" s="43"/>
      <c r="E634" s="43"/>
      <c r="F634" s="43"/>
      <c r="G634" s="43"/>
      <c r="H634" s="43"/>
      <c r="I634" s="43"/>
      <c r="J634" s="43"/>
      <c r="K634" s="43"/>
      <c r="L634" s="43"/>
      <c r="M634" s="43"/>
      <c r="N634" s="43"/>
      <c r="O634" s="43"/>
      <c r="P634" s="43"/>
    </row>
    <row r="635" spans="1:16" ht="12.75">
      <c r="A635" s="619"/>
      <c r="B635" s="43"/>
      <c r="C635" s="43"/>
      <c r="D635" s="43"/>
      <c r="E635" s="43"/>
      <c r="F635" s="43"/>
      <c r="G635" s="43"/>
      <c r="H635" s="43"/>
      <c r="I635" s="43"/>
      <c r="J635" s="43"/>
      <c r="K635" s="43"/>
      <c r="L635" s="43"/>
      <c r="M635" s="43"/>
      <c r="N635" s="43"/>
      <c r="O635" s="43"/>
      <c r="P635" s="43"/>
    </row>
    <row r="636" spans="1:16" ht="12.75">
      <c r="A636" s="619"/>
      <c r="B636" s="43"/>
      <c r="C636" s="43"/>
      <c r="D636" s="43"/>
      <c r="E636" s="43"/>
      <c r="F636" s="43"/>
      <c r="G636" s="43"/>
      <c r="H636" s="43"/>
      <c r="I636" s="43"/>
      <c r="J636" s="43"/>
      <c r="K636" s="43"/>
      <c r="L636" s="43"/>
      <c r="M636" s="43"/>
      <c r="N636" s="43"/>
      <c r="O636" s="43"/>
      <c r="P636" s="43"/>
    </row>
    <row r="637" spans="1:16" ht="12.75">
      <c r="A637" s="619"/>
      <c r="B637" s="43"/>
      <c r="C637" s="43"/>
      <c r="D637" s="43"/>
      <c r="E637" s="43"/>
      <c r="F637" s="43"/>
      <c r="G637" s="43"/>
      <c r="H637" s="43"/>
      <c r="I637" s="43"/>
      <c r="J637" s="43"/>
      <c r="K637" s="43"/>
      <c r="L637" s="43"/>
      <c r="M637" s="43"/>
      <c r="N637" s="43"/>
      <c r="O637" s="43"/>
      <c r="P637" s="43"/>
    </row>
    <row r="638" spans="1:16" ht="12.75">
      <c r="A638" s="619"/>
      <c r="B638" s="43"/>
      <c r="C638" s="43"/>
      <c r="D638" s="43"/>
      <c r="E638" s="43"/>
      <c r="F638" s="43"/>
      <c r="G638" s="43"/>
      <c r="H638" s="43"/>
      <c r="I638" s="43"/>
      <c r="J638" s="43"/>
      <c r="K638" s="43"/>
      <c r="L638" s="43"/>
      <c r="M638" s="43"/>
      <c r="N638" s="43"/>
      <c r="O638" s="43"/>
      <c r="P638" s="43"/>
    </row>
    <row r="639" spans="1:16" ht="12.75">
      <c r="A639" s="619"/>
      <c r="B639" s="43"/>
      <c r="C639" s="43"/>
      <c r="D639" s="43"/>
      <c r="E639" s="43"/>
      <c r="F639" s="43"/>
      <c r="G639" s="43"/>
      <c r="H639" s="43"/>
      <c r="I639" s="43"/>
      <c r="J639" s="43"/>
      <c r="K639" s="43"/>
      <c r="L639" s="43"/>
      <c r="M639" s="43"/>
      <c r="N639" s="43"/>
      <c r="O639" s="43"/>
      <c r="P639" s="43"/>
    </row>
    <row r="640" spans="1:16" ht="12.75">
      <c r="A640" s="619"/>
      <c r="B640" s="43"/>
      <c r="C640" s="43"/>
      <c r="D640" s="43"/>
      <c r="E640" s="43"/>
      <c r="F640" s="43"/>
      <c r="G640" s="43"/>
      <c r="H640" s="43"/>
      <c r="I640" s="43"/>
      <c r="J640" s="43"/>
      <c r="K640" s="43"/>
      <c r="L640" s="43"/>
      <c r="M640" s="43"/>
      <c r="N640" s="43"/>
      <c r="O640" s="43"/>
      <c r="P640" s="43"/>
    </row>
    <row r="641" spans="1:16" ht="12.75">
      <c r="A641" s="619"/>
      <c r="B641" s="43"/>
      <c r="C641" s="43"/>
      <c r="D641" s="43"/>
      <c r="E641" s="43"/>
      <c r="F641" s="43"/>
      <c r="G641" s="43"/>
      <c r="H641" s="43"/>
      <c r="I641" s="43"/>
      <c r="J641" s="43"/>
      <c r="K641" s="43"/>
      <c r="L641" s="43"/>
      <c r="M641" s="43"/>
      <c r="N641" s="43"/>
      <c r="O641" s="43"/>
      <c r="P641" s="43"/>
    </row>
    <row r="642" spans="1:16" ht="12.75">
      <c r="A642" s="619"/>
      <c r="B642" s="43"/>
      <c r="C642" s="43"/>
      <c r="D642" s="43"/>
      <c r="E642" s="43"/>
      <c r="F642" s="43"/>
      <c r="G642" s="43"/>
      <c r="H642" s="43"/>
      <c r="I642" s="43"/>
      <c r="J642" s="43"/>
      <c r="K642" s="43"/>
      <c r="L642" s="43"/>
      <c r="M642" s="43"/>
      <c r="N642" s="43"/>
      <c r="O642" s="43"/>
      <c r="P642" s="43"/>
    </row>
    <row r="643" spans="1:16" ht="12.75">
      <c r="A643" s="619"/>
      <c r="B643" s="43"/>
      <c r="C643" s="43"/>
      <c r="D643" s="43"/>
      <c r="E643" s="43"/>
      <c r="F643" s="43"/>
      <c r="G643" s="43"/>
      <c r="H643" s="43"/>
      <c r="I643" s="43"/>
      <c r="J643" s="43"/>
      <c r="K643" s="43"/>
      <c r="L643" s="43"/>
      <c r="M643" s="43"/>
      <c r="N643" s="43"/>
      <c r="O643" s="43"/>
      <c r="P643" s="43"/>
    </row>
    <row r="644" spans="1:16" ht="12.75">
      <c r="A644" s="619"/>
      <c r="B644" s="43"/>
      <c r="C644" s="43"/>
      <c r="D644" s="43"/>
      <c r="E644" s="43"/>
      <c r="F644" s="43"/>
      <c r="G644" s="43"/>
      <c r="H644" s="43"/>
      <c r="I644" s="43"/>
      <c r="J644" s="43"/>
      <c r="K644" s="43"/>
      <c r="L644" s="43"/>
      <c r="M644" s="43"/>
      <c r="N644" s="43"/>
      <c r="O644" s="43"/>
      <c r="P644" s="43"/>
    </row>
    <row r="645" spans="1:16" ht="12.75">
      <c r="A645" s="619"/>
      <c r="B645" s="43"/>
      <c r="C645" s="43"/>
      <c r="D645" s="43"/>
      <c r="E645" s="43"/>
      <c r="F645" s="43"/>
      <c r="G645" s="43"/>
      <c r="H645" s="43"/>
      <c r="I645" s="43"/>
      <c r="J645" s="43"/>
      <c r="K645" s="43"/>
      <c r="L645" s="43"/>
      <c r="M645" s="43"/>
      <c r="N645" s="43"/>
      <c r="O645" s="43"/>
      <c r="P645" s="43"/>
    </row>
    <row r="646" spans="1:16" ht="12.75">
      <c r="A646" s="619"/>
      <c r="B646" s="43"/>
      <c r="C646" s="43"/>
      <c r="D646" s="43"/>
      <c r="E646" s="43"/>
      <c r="F646" s="43"/>
      <c r="G646" s="43"/>
      <c r="H646" s="43"/>
      <c r="I646" s="43"/>
      <c r="J646" s="43"/>
      <c r="K646" s="43"/>
      <c r="L646" s="43"/>
      <c r="M646" s="43"/>
      <c r="N646" s="43"/>
      <c r="O646" s="43"/>
      <c r="P646" s="43"/>
    </row>
    <row r="647" spans="1:16" ht="12.75">
      <c r="A647" s="619"/>
      <c r="B647" s="43"/>
      <c r="C647" s="43"/>
      <c r="D647" s="43"/>
      <c r="E647" s="43"/>
      <c r="F647" s="43"/>
      <c r="G647" s="43"/>
      <c r="H647" s="43"/>
      <c r="I647" s="43"/>
      <c r="J647" s="43"/>
      <c r="K647" s="43"/>
      <c r="L647" s="43"/>
      <c r="M647" s="43"/>
      <c r="N647" s="43"/>
      <c r="O647" s="43"/>
      <c r="P647" s="43"/>
    </row>
    <row r="648" spans="1:16" ht="12.75">
      <c r="A648" s="619"/>
      <c r="B648" s="43"/>
      <c r="C648" s="43"/>
      <c r="D648" s="43"/>
      <c r="E648" s="43"/>
      <c r="F648" s="43"/>
      <c r="G648" s="43"/>
      <c r="H648" s="43"/>
      <c r="I648" s="43"/>
      <c r="J648" s="43"/>
      <c r="K648" s="43"/>
      <c r="L648" s="43"/>
      <c r="M648" s="43"/>
      <c r="N648" s="43"/>
      <c r="O648" s="43"/>
      <c r="P648" s="43"/>
    </row>
    <row r="649" spans="1:16" ht="12.75">
      <c r="A649" s="619"/>
      <c r="B649" s="43"/>
      <c r="C649" s="43"/>
      <c r="D649" s="43"/>
      <c r="E649" s="43"/>
      <c r="F649" s="43"/>
      <c r="G649" s="43"/>
      <c r="H649" s="43"/>
      <c r="I649" s="43"/>
      <c r="J649" s="43"/>
      <c r="K649" s="43"/>
      <c r="L649" s="43"/>
      <c r="M649" s="43"/>
      <c r="N649" s="43"/>
      <c r="O649" s="43"/>
      <c r="P649" s="43"/>
    </row>
    <row r="650" spans="1:16" ht="12.75">
      <c r="A650" s="619"/>
      <c r="B650" s="43"/>
      <c r="C650" s="43"/>
      <c r="D650" s="43"/>
      <c r="E650" s="43"/>
      <c r="F650" s="43"/>
      <c r="G650" s="43"/>
      <c r="H650" s="43"/>
      <c r="I650" s="43"/>
      <c r="J650" s="43"/>
      <c r="K650" s="43"/>
      <c r="L650" s="43"/>
      <c r="M650" s="43"/>
      <c r="N650" s="43"/>
      <c r="O650" s="43"/>
      <c r="P650" s="43"/>
    </row>
    <row r="651" spans="1:16" ht="12.75">
      <c r="A651" s="619"/>
      <c r="B651" s="43"/>
      <c r="C651" s="43"/>
      <c r="D651" s="43"/>
      <c r="E651" s="43"/>
      <c r="F651" s="43"/>
      <c r="G651" s="43"/>
      <c r="H651" s="43"/>
      <c r="I651" s="43"/>
      <c r="J651" s="43"/>
      <c r="K651" s="43"/>
      <c r="L651" s="43"/>
      <c r="M651" s="43"/>
      <c r="N651" s="43"/>
      <c r="O651" s="43"/>
      <c r="P651" s="43"/>
    </row>
    <row r="652" spans="1:16" ht="12.75">
      <c r="A652" s="619"/>
      <c r="B652" s="43"/>
      <c r="C652" s="43"/>
      <c r="D652" s="43"/>
      <c r="E652" s="43"/>
      <c r="F652" s="43"/>
      <c r="G652" s="43"/>
      <c r="H652" s="43"/>
      <c r="I652" s="43"/>
      <c r="J652" s="43"/>
      <c r="K652" s="43"/>
      <c r="L652" s="43"/>
      <c r="M652" s="43"/>
      <c r="N652" s="43"/>
      <c r="O652" s="43"/>
      <c r="P652" s="43"/>
    </row>
    <row r="653" spans="1:16" ht="12.75">
      <c r="A653" s="619"/>
      <c r="B653" s="43"/>
      <c r="C653" s="43"/>
      <c r="D653" s="43"/>
      <c r="E653" s="43"/>
      <c r="F653" s="43"/>
      <c r="G653" s="43"/>
      <c r="H653" s="43"/>
      <c r="I653" s="43"/>
      <c r="J653" s="43"/>
      <c r="K653" s="43"/>
      <c r="L653" s="43"/>
      <c r="M653" s="43"/>
      <c r="N653" s="43"/>
      <c r="O653" s="43"/>
      <c r="P653" s="43"/>
    </row>
    <row r="654" spans="1:16" ht="12.75">
      <c r="A654" s="619"/>
      <c r="B654" s="43"/>
      <c r="C654" s="43"/>
      <c r="D654" s="43"/>
      <c r="E654" s="43"/>
      <c r="F654" s="43"/>
      <c r="G654" s="43"/>
      <c r="H654" s="43"/>
      <c r="I654" s="43"/>
      <c r="J654" s="43"/>
      <c r="K654" s="43"/>
      <c r="L654" s="43"/>
      <c r="M654" s="43"/>
      <c r="N654" s="43"/>
      <c r="O654" s="43"/>
      <c r="P654" s="43"/>
    </row>
    <row r="655" spans="1:16" ht="12.75">
      <c r="A655" s="619"/>
      <c r="B655" s="43"/>
      <c r="C655" s="43"/>
      <c r="D655" s="43"/>
      <c r="E655" s="43"/>
      <c r="F655" s="43"/>
      <c r="G655" s="43"/>
      <c r="H655" s="43"/>
      <c r="I655" s="43"/>
      <c r="J655" s="43"/>
      <c r="K655" s="43"/>
      <c r="L655" s="43"/>
      <c r="M655" s="43"/>
      <c r="N655" s="43"/>
      <c r="O655" s="43"/>
      <c r="P655" s="43"/>
    </row>
    <row r="656" spans="1:16" ht="12.75">
      <c r="A656" s="619"/>
      <c r="B656" s="43"/>
      <c r="C656" s="43"/>
      <c r="D656" s="43"/>
      <c r="E656" s="43"/>
      <c r="F656" s="43"/>
      <c r="G656" s="43"/>
      <c r="H656" s="43"/>
      <c r="I656" s="43"/>
      <c r="J656" s="43"/>
      <c r="K656" s="43"/>
      <c r="L656" s="43"/>
      <c r="M656" s="43"/>
      <c r="N656" s="43"/>
      <c r="O656" s="43"/>
      <c r="P656" s="43"/>
    </row>
    <row r="657" spans="1:16" ht="12.75">
      <c r="A657" s="619"/>
      <c r="B657" s="43"/>
      <c r="C657" s="43"/>
      <c r="D657" s="43"/>
      <c r="E657" s="43"/>
      <c r="F657" s="43"/>
      <c r="G657" s="43"/>
      <c r="H657" s="43"/>
      <c r="I657" s="43"/>
      <c r="J657" s="43"/>
      <c r="K657" s="43"/>
      <c r="L657" s="43"/>
      <c r="M657" s="43"/>
      <c r="N657" s="43"/>
      <c r="O657" s="43"/>
      <c r="P657" s="43"/>
    </row>
    <row r="658" spans="1:16" ht="12.75">
      <c r="A658" s="619"/>
      <c r="B658" s="43"/>
      <c r="C658" s="43"/>
      <c r="D658" s="43"/>
      <c r="E658" s="43"/>
      <c r="F658" s="43"/>
      <c r="G658" s="43"/>
      <c r="H658" s="43"/>
      <c r="I658" s="43"/>
      <c r="J658" s="43"/>
      <c r="K658" s="43"/>
      <c r="L658" s="43"/>
      <c r="M658" s="43"/>
      <c r="N658" s="43"/>
      <c r="O658" s="43"/>
      <c r="P658" s="43"/>
    </row>
    <row r="659" spans="1:16" ht="12.75">
      <c r="A659" s="619"/>
      <c r="B659" s="43"/>
      <c r="C659" s="43"/>
      <c r="D659" s="43"/>
      <c r="E659" s="43"/>
      <c r="F659" s="43"/>
      <c r="G659" s="43"/>
      <c r="H659" s="43"/>
      <c r="I659" s="43"/>
      <c r="J659" s="43"/>
      <c r="K659" s="43"/>
      <c r="L659" s="43"/>
      <c r="M659" s="43"/>
      <c r="N659" s="43"/>
      <c r="O659" s="43"/>
      <c r="P659" s="43"/>
    </row>
    <row r="660" spans="1:16" ht="12.75">
      <c r="A660" s="619"/>
      <c r="B660" s="43"/>
      <c r="C660" s="43"/>
      <c r="D660" s="43"/>
      <c r="E660" s="43"/>
      <c r="F660" s="43"/>
      <c r="G660" s="43"/>
      <c r="H660" s="43"/>
      <c r="I660" s="43"/>
      <c r="J660" s="43"/>
      <c r="K660" s="43"/>
      <c r="L660" s="43"/>
      <c r="M660" s="43"/>
      <c r="N660" s="43"/>
      <c r="O660" s="43"/>
      <c r="P660" s="43"/>
    </row>
    <row r="661" spans="1:16" ht="12.75">
      <c r="A661" s="619"/>
      <c r="B661" s="43"/>
      <c r="C661" s="43"/>
      <c r="D661" s="43"/>
      <c r="E661" s="43"/>
      <c r="F661" s="43"/>
      <c r="G661" s="43"/>
      <c r="H661" s="43"/>
      <c r="I661" s="43"/>
      <c r="J661" s="43"/>
      <c r="K661" s="43"/>
      <c r="L661" s="43"/>
      <c r="M661" s="43"/>
      <c r="N661" s="43"/>
      <c r="O661" s="43"/>
      <c r="P661" s="43"/>
    </row>
    <row r="662" spans="1:16" ht="12.75">
      <c r="A662" s="619"/>
      <c r="B662" s="43"/>
      <c r="C662" s="43"/>
      <c r="D662" s="43"/>
      <c r="E662" s="43"/>
      <c r="F662" s="43"/>
      <c r="G662" s="43"/>
      <c r="H662" s="43"/>
      <c r="I662" s="43"/>
      <c r="J662" s="43"/>
      <c r="K662" s="43"/>
      <c r="L662" s="43"/>
      <c r="M662" s="43"/>
      <c r="N662" s="43"/>
      <c r="O662" s="43"/>
      <c r="P662" s="43"/>
    </row>
    <row r="663" spans="1:16" ht="12.75">
      <c r="A663" s="619"/>
      <c r="B663" s="43"/>
      <c r="C663" s="43"/>
      <c r="D663" s="43"/>
      <c r="E663" s="43"/>
      <c r="F663" s="43"/>
      <c r="G663" s="43"/>
      <c r="H663" s="43"/>
      <c r="I663" s="43"/>
      <c r="J663" s="43"/>
      <c r="K663" s="43"/>
      <c r="L663" s="43"/>
      <c r="M663" s="43"/>
      <c r="N663" s="43"/>
      <c r="O663" s="43"/>
      <c r="P663" s="43"/>
    </row>
    <row r="664" spans="1:16" ht="12.75">
      <c r="A664" s="619"/>
      <c r="B664" s="43"/>
      <c r="C664" s="43"/>
      <c r="D664" s="43"/>
      <c r="E664" s="43"/>
      <c r="F664" s="43"/>
      <c r="G664" s="43"/>
      <c r="H664" s="43"/>
      <c r="I664" s="43"/>
      <c r="J664" s="43"/>
      <c r="K664" s="43"/>
      <c r="L664" s="43"/>
      <c r="M664" s="43"/>
      <c r="N664" s="43"/>
      <c r="O664" s="43"/>
      <c r="P664" s="43"/>
    </row>
    <row r="665" spans="1:16" ht="12.75">
      <c r="A665" s="619"/>
      <c r="B665" s="43"/>
      <c r="C665" s="43"/>
      <c r="D665" s="43"/>
      <c r="E665" s="43"/>
      <c r="F665" s="43"/>
      <c r="G665" s="43"/>
      <c r="H665" s="43"/>
      <c r="I665" s="43"/>
      <c r="J665" s="43"/>
      <c r="K665" s="43"/>
      <c r="L665" s="43"/>
      <c r="M665" s="43"/>
      <c r="N665" s="43"/>
      <c r="O665" s="43"/>
      <c r="P665" s="43"/>
    </row>
    <row r="666" spans="1:16" ht="12.75">
      <c r="A666" s="619"/>
      <c r="B666" s="43"/>
      <c r="C666" s="43"/>
      <c r="D666" s="43"/>
      <c r="E666" s="43"/>
      <c r="F666" s="43"/>
      <c r="G666" s="43"/>
      <c r="H666" s="43"/>
      <c r="I666" s="43"/>
      <c r="J666" s="43"/>
      <c r="K666" s="43"/>
      <c r="L666" s="43"/>
      <c r="M666" s="43"/>
      <c r="N666" s="43"/>
      <c r="O666" s="43"/>
      <c r="P666" s="43"/>
    </row>
    <row r="667" spans="1:16" ht="12.75">
      <c r="A667" s="619"/>
      <c r="B667" s="43"/>
      <c r="C667" s="43"/>
      <c r="D667" s="43"/>
      <c r="E667" s="43"/>
      <c r="F667" s="43"/>
      <c r="G667" s="43"/>
      <c r="H667" s="43"/>
      <c r="I667" s="43"/>
      <c r="J667" s="43"/>
      <c r="K667" s="43"/>
      <c r="L667" s="43"/>
      <c r="M667" s="43"/>
      <c r="N667" s="43"/>
      <c r="O667" s="43"/>
      <c r="P667" s="43"/>
    </row>
    <row r="668" spans="1:16" ht="12.75">
      <c r="A668" s="619"/>
      <c r="B668" s="43"/>
      <c r="C668" s="43"/>
      <c r="D668" s="43"/>
      <c r="E668" s="43"/>
      <c r="F668" s="43"/>
      <c r="G668" s="43"/>
      <c r="H668" s="43"/>
      <c r="I668" s="43"/>
      <c r="J668" s="43"/>
      <c r="K668" s="43"/>
      <c r="L668" s="43"/>
      <c r="M668" s="43"/>
      <c r="N668" s="43"/>
      <c r="O668" s="43"/>
      <c r="P668" s="43"/>
    </row>
    <row r="669" spans="1:16" ht="12.75">
      <c r="A669" s="619"/>
      <c r="B669" s="43"/>
      <c r="C669" s="43"/>
      <c r="D669" s="43"/>
      <c r="E669" s="43"/>
      <c r="F669" s="43"/>
      <c r="G669" s="43"/>
      <c r="H669" s="43"/>
      <c r="I669" s="43"/>
      <c r="J669" s="43"/>
      <c r="K669" s="43"/>
      <c r="L669" s="43"/>
      <c r="M669" s="43"/>
      <c r="N669" s="43"/>
      <c r="O669" s="43"/>
      <c r="P669" s="43"/>
    </row>
    <row r="670" spans="1:16" ht="12.75">
      <c r="A670" s="619"/>
      <c r="B670" s="43"/>
      <c r="C670" s="43"/>
      <c r="D670" s="43"/>
      <c r="E670" s="43"/>
      <c r="F670" s="43"/>
      <c r="G670" s="43"/>
      <c r="H670" s="43"/>
      <c r="I670" s="43"/>
      <c r="J670" s="43"/>
      <c r="K670" s="43"/>
      <c r="L670" s="43"/>
      <c r="M670" s="43"/>
      <c r="N670" s="43"/>
      <c r="O670" s="43"/>
      <c r="P670" s="43"/>
    </row>
    <row r="671" spans="1:16" ht="12.75">
      <c r="A671" s="619"/>
      <c r="B671" s="43"/>
      <c r="C671" s="43"/>
      <c r="D671" s="43"/>
      <c r="E671" s="43"/>
      <c r="F671" s="43"/>
      <c r="G671" s="43"/>
      <c r="H671" s="43"/>
      <c r="I671" s="43"/>
      <c r="J671" s="43"/>
      <c r="K671" s="43"/>
      <c r="L671" s="43"/>
      <c r="M671" s="43"/>
      <c r="N671" s="43"/>
      <c r="O671" s="43"/>
      <c r="P671" s="43"/>
    </row>
    <row r="672" spans="1:16" ht="12.75">
      <c r="A672" s="619"/>
      <c r="B672" s="43"/>
      <c r="C672" s="43"/>
      <c r="D672" s="43"/>
      <c r="E672" s="43"/>
      <c r="F672" s="43"/>
      <c r="G672" s="43"/>
      <c r="H672" s="43"/>
      <c r="I672" s="43"/>
      <c r="J672" s="43"/>
      <c r="K672" s="43"/>
      <c r="L672" s="43"/>
      <c r="M672" s="43"/>
      <c r="N672" s="43"/>
      <c r="O672" s="43"/>
      <c r="P672" s="43"/>
    </row>
    <row r="673" spans="1:16" ht="12.75">
      <c r="A673" s="619"/>
      <c r="B673" s="43"/>
      <c r="C673" s="43"/>
      <c r="D673" s="43"/>
      <c r="E673" s="43"/>
      <c r="F673" s="43"/>
      <c r="G673" s="43"/>
      <c r="H673" s="43"/>
      <c r="I673" s="43"/>
      <c r="J673" s="43"/>
      <c r="K673" s="43"/>
      <c r="L673" s="43"/>
      <c r="M673" s="43"/>
      <c r="N673" s="43"/>
      <c r="O673" s="43"/>
      <c r="P673" s="43"/>
    </row>
    <row r="674" spans="1:16" ht="12.75">
      <c r="A674" s="619"/>
      <c r="B674" s="43"/>
      <c r="C674" s="43"/>
      <c r="D674" s="43"/>
      <c r="E674" s="43"/>
      <c r="F674" s="43"/>
      <c r="G674" s="43"/>
      <c r="H674" s="43"/>
      <c r="I674" s="43"/>
      <c r="J674" s="43"/>
      <c r="K674" s="43"/>
      <c r="L674" s="43"/>
      <c r="M674" s="43"/>
      <c r="N674" s="43"/>
      <c r="O674" s="43"/>
      <c r="P674" s="43"/>
    </row>
    <row r="675" spans="1:16" ht="12.75">
      <c r="A675" s="619"/>
      <c r="B675" s="43"/>
      <c r="C675" s="43"/>
      <c r="D675" s="43"/>
      <c r="E675" s="43"/>
      <c r="F675" s="43"/>
      <c r="G675" s="43"/>
      <c r="H675" s="43"/>
      <c r="I675" s="43"/>
      <c r="J675" s="43"/>
      <c r="K675" s="43"/>
      <c r="L675" s="43"/>
      <c r="M675" s="43"/>
      <c r="N675" s="43"/>
      <c r="O675" s="43"/>
      <c r="P675" s="43"/>
    </row>
    <row r="676" spans="1:16" ht="12.75">
      <c r="A676" s="619"/>
      <c r="B676" s="43"/>
      <c r="C676" s="43"/>
      <c r="D676" s="43"/>
      <c r="E676" s="43"/>
      <c r="F676" s="43"/>
      <c r="G676" s="43"/>
      <c r="H676" s="43"/>
      <c r="I676" s="43"/>
      <c r="J676" s="43"/>
      <c r="K676" s="43"/>
      <c r="L676" s="43"/>
      <c r="M676" s="43"/>
      <c r="N676" s="43"/>
      <c r="O676" s="43"/>
      <c r="P676" s="43"/>
    </row>
    <row r="677" spans="1:16" ht="12.75">
      <c r="A677" s="619"/>
      <c r="B677" s="43"/>
      <c r="C677" s="43"/>
      <c r="D677" s="43"/>
      <c r="E677" s="43"/>
      <c r="F677" s="43"/>
      <c r="G677" s="43"/>
      <c r="H677" s="43"/>
      <c r="I677" s="43"/>
      <c r="J677" s="43"/>
      <c r="K677" s="43"/>
      <c r="L677" s="43"/>
      <c r="M677" s="43"/>
      <c r="N677" s="43"/>
      <c r="O677" s="43"/>
      <c r="P677" s="43"/>
    </row>
    <row r="678" spans="1:16" ht="12.75">
      <c r="A678" s="619"/>
      <c r="B678" s="43"/>
      <c r="C678" s="43"/>
      <c r="D678" s="43"/>
      <c r="E678" s="43"/>
      <c r="F678" s="43"/>
      <c r="G678" s="43"/>
      <c r="H678" s="43"/>
      <c r="I678" s="43"/>
      <c r="J678" s="43"/>
      <c r="K678" s="43"/>
      <c r="L678" s="43"/>
      <c r="M678" s="43"/>
      <c r="N678" s="43"/>
      <c r="O678" s="43"/>
      <c r="P678" s="43"/>
    </row>
    <row r="679" spans="1:16" ht="12.75">
      <c r="A679" s="619"/>
      <c r="B679" s="43"/>
      <c r="C679" s="43"/>
      <c r="D679" s="43"/>
      <c r="E679" s="43"/>
      <c r="F679" s="43"/>
      <c r="G679" s="43"/>
      <c r="H679" s="43"/>
      <c r="I679" s="43"/>
      <c r="J679" s="43"/>
      <c r="K679" s="43"/>
      <c r="L679" s="43"/>
      <c r="M679" s="43"/>
      <c r="N679" s="43"/>
      <c r="O679" s="43"/>
      <c r="P679" s="43"/>
    </row>
    <row r="680" spans="1:16" ht="12.75">
      <c r="A680" s="619"/>
      <c r="B680" s="43"/>
      <c r="C680" s="43"/>
      <c r="D680" s="43"/>
      <c r="E680" s="43"/>
      <c r="F680" s="43"/>
      <c r="G680" s="43"/>
      <c r="H680" s="43"/>
      <c r="I680" s="43"/>
      <c r="J680" s="43"/>
      <c r="K680" s="43"/>
      <c r="L680" s="43"/>
      <c r="M680" s="43"/>
      <c r="N680" s="43"/>
      <c r="O680" s="43"/>
      <c r="P680" s="43"/>
    </row>
    <row r="681" spans="1:16" ht="12.75">
      <c r="A681" s="619"/>
      <c r="B681" s="43"/>
      <c r="C681" s="43"/>
      <c r="D681" s="43"/>
      <c r="E681" s="43"/>
      <c r="F681" s="43"/>
      <c r="G681" s="43"/>
      <c r="H681" s="43"/>
      <c r="I681" s="43"/>
      <c r="J681" s="43"/>
      <c r="K681" s="43"/>
      <c r="L681" s="43"/>
      <c r="M681" s="43"/>
      <c r="N681" s="43"/>
      <c r="O681" s="43"/>
      <c r="P681" s="43"/>
    </row>
    <row r="682" spans="1:16" ht="12.75">
      <c r="A682" s="619"/>
      <c r="B682" s="43"/>
      <c r="C682" s="43"/>
      <c r="D682" s="43"/>
      <c r="E682" s="43"/>
      <c r="F682" s="43"/>
      <c r="G682" s="43"/>
      <c r="H682" s="43"/>
      <c r="I682" s="43"/>
      <c r="J682" s="43"/>
      <c r="K682" s="43"/>
      <c r="L682" s="43"/>
      <c r="M682" s="43"/>
      <c r="N682" s="43"/>
      <c r="O682" s="43"/>
      <c r="P682" s="43"/>
    </row>
    <row r="683" spans="1:16" ht="12.75">
      <c r="A683" s="619"/>
      <c r="B683" s="43"/>
      <c r="C683" s="43"/>
      <c r="D683" s="43"/>
      <c r="E683" s="43"/>
      <c r="F683" s="43"/>
      <c r="G683" s="43"/>
      <c r="H683" s="43"/>
      <c r="I683" s="43"/>
      <c r="J683" s="43"/>
      <c r="K683" s="43"/>
      <c r="L683" s="43"/>
      <c r="M683" s="43"/>
      <c r="N683" s="43"/>
      <c r="O683" s="43"/>
      <c r="P683" s="43"/>
    </row>
    <row r="684" spans="1:16" ht="12.75">
      <c r="A684" s="619"/>
      <c r="B684" s="43"/>
      <c r="C684" s="43"/>
      <c r="D684" s="43"/>
      <c r="E684" s="43"/>
      <c r="F684" s="43"/>
      <c r="G684" s="43"/>
      <c r="H684" s="43"/>
      <c r="I684" s="43"/>
      <c r="J684" s="43"/>
      <c r="K684" s="43"/>
      <c r="L684" s="43"/>
      <c r="M684" s="43"/>
      <c r="N684" s="43"/>
      <c r="O684" s="43"/>
      <c r="P684" s="43"/>
    </row>
    <row r="685" spans="1:16" ht="12.75">
      <c r="A685" s="619"/>
      <c r="B685" s="43"/>
      <c r="C685" s="43"/>
      <c r="D685" s="43"/>
      <c r="E685" s="43"/>
      <c r="F685" s="43"/>
      <c r="G685" s="43"/>
      <c r="H685" s="43"/>
      <c r="I685" s="43"/>
      <c r="J685" s="43"/>
      <c r="K685" s="43"/>
      <c r="L685" s="43"/>
      <c r="M685" s="43"/>
      <c r="N685" s="43"/>
      <c r="O685" s="43"/>
      <c r="P685" s="43"/>
    </row>
    <row r="686" spans="1:16" ht="12.75">
      <c r="A686" s="619"/>
      <c r="B686" s="43"/>
      <c r="C686" s="43"/>
      <c r="D686" s="43"/>
      <c r="E686" s="43"/>
      <c r="F686" s="43"/>
      <c r="G686" s="43"/>
      <c r="H686" s="43"/>
      <c r="I686" s="43"/>
      <c r="J686" s="43"/>
      <c r="K686" s="43"/>
      <c r="L686" s="43"/>
      <c r="M686" s="43"/>
      <c r="N686" s="43"/>
      <c r="O686" s="43"/>
      <c r="P686" s="43"/>
    </row>
    <row r="687" spans="1:16" ht="12.75">
      <c r="A687" s="619"/>
      <c r="B687" s="43"/>
      <c r="C687" s="43"/>
      <c r="D687" s="43"/>
      <c r="E687" s="43"/>
      <c r="F687" s="43"/>
      <c r="G687" s="43"/>
      <c r="H687" s="43"/>
      <c r="I687" s="43"/>
      <c r="J687" s="43"/>
      <c r="K687" s="43"/>
      <c r="L687" s="43"/>
      <c r="M687" s="43"/>
      <c r="N687" s="43"/>
      <c r="O687" s="43"/>
      <c r="P687" s="43"/>
    </row>
    <row r="688" spans="1:16" ht="12.75">
      <c r="A688" s="619"/>
      <c r="B688" s="43"/>
      <c r="C688" s="43"/>
      <c r="D688" s="43"/>
      <c r="E688" s="43"/>
      <c r="F688" s="43"/>
      <c r="G688" s="43"/>
      <c r="H688" s="43"/>
      <c r="I688" s="43"/>
      <c r="J688" s="43"/>
      <c r="K688" s="43"/>
      <c r="L688" s="43"/>
      <c r="M688" s="43"/>
      <c r="N688" s="43"/>
      <c r="O688" s="43"/>
      <c r="P688" s="43"/>
    </row>
    <row r="689" spans="1:16" ht="12.75">
      <c r="A689" s="619"/>
      <c r="B689" s="43"/>
      <c r="C689" s="43"/>
      <c r="D689" s="43"/>
      <c r="E689" s="43"/>
      <c r="F689" s="43"/>
      <c r="G689" s="43"/>
      <c r="H689" s="43"/>
      <c r="I689" s="43"/>
      <c r="J689" s="43"/>
      <c r="K689" s="43"/>
      <c r="L689" s="43"/>
      <c r="M689" s="43"/>
      <c r="N689" s="43"/>
      <c r="O689" s="43"/>
      <c r="P689" s="43"/>
    </row>
    <row r="690" spans="1:16" ht="12.75">
      <c r="A690" s="619"/>
      <c r="B690" s="43"/>
      <c r="C690" s="43"/>
      <c r="D690" s="43"/>
      <c r="E690" s="43"/>
      <c r="F690" s="43"/>
      <c r="G690" s="43"/>
      <c r="H690" s="43"/>
      <c r="I690" s="43"/>
      <c r="J690" s="43"/>
      <c r="K690" s="43"/>
      <c r="L690" s="43"/>
      <c r="M690" s="43"/>
      <c r="N690" s="43"/>
      <c r="O690" s="43"/>
      <c r="P690" s="43"/>
    </row>
    <row r="691" spans="1:16" ht="12.75">
      <c r="A691" s="619"/>
      <c r="B691" s="43"/>
      <c r="C691" s="43"/>
      <c r="D691" s="43"/>
      <c r="E691" s="43"/>
      <c r="F691" s="43"/>
      <c r="G691" s="43"/>
      <c r="H691" s="43"/>
      <c r="I691" s="43"/>
      <c r="J691" s="43"/>
      <c r="K691" s="43"/>
      <c r="L691" s="43"/>
      <c r="M691" s="43"/>
      <c r="N691" s="43"/>
      <c r="O691" s="43"/>
      <c r="P691" s="43"/>
    </row>
    <row r="692" spans="1:16" ht="12.75">
      <c r="A692" s="619"/>
      <c r="B692" s="43"/>
      <c r="C692" s="43"/>
      <c r="D692" s="43"/>
      <c r="E692" s="43"/>
      <c r="F692" s="43"/>
      <c r="G692" s="43"/>
      <c r="H692" s="43"/>
      <c r="I692" s="43"/>
      <c r="J692" s="43"/>
      <c r="K692" s="43"/>
      <c r="L692" s="43"/>
      <c r="M692" s="43"/>
      <c r="N692" s="43"/>
      <c r="O692" s="43"/>
      <c r="P692" s="43"/>
    </row>
    <row r="693" spans="1:16" ht="12.75">
      <c r="A693" s="619"/>
      <c r="B693" s="43"/>
      <c r="C693" s="43"/>
      <c r="D693" s="43"/>
      <c r="E693" s="43"/>
      <c r="F693" s="43"/>
      <c r="G693" s="43"/>
      <c r="H693" s="43"/>
      <c r="I693" s="43"/>
      <c r="J693" s="43"/>
      <c r="K693" s="43"/>
      <c r="L693" s="43"/>
      <c r="M693" s="43"/>
      <c r="N693" s="43"/>
      <c r="O693" s="43"/>
      <c r="P693" s="43"/>
    </row>
    <row r="694" spans="1:16" ht="12.75">
      <c r="A694" s="619"/>
      <c r="B694" s="43"/>
      <c r="C694" s="43"/>
      <c r="D694" s="43"/>
      <c r="E694" s="43"/>
      <c r="F694" s="43"/>
      <c r="G694" s="43"/>
      <c r="H694" s="43"/>
      <c r="I694" s="43"/>
      <c r="J694" s="43"/>
      <c r="K694" s="43"/>
      <c r="L694" s="43"/>
      <c r="M694" s="43"/>
      <c r="N694" s="43"/>
      <c r="O694" s="43"/>
      <c r="P694" s="43"/>
    </row>
    <row r="695" spans="1:16" ht="12.75">
      <c r="A695" s="619"/>
      <c r="B695" s="43"/>
      <c r="C695" s="43"/>
      <c r="D695" s="43"/>
      <c r="E695" s="43"/>
      <c r="F695" s="43"/>
      <c r="G695" s="43"/>
      <c r="H695" s="43"/>
      <c r="I695" s="43"/>
      <c r="J695" s="43"/>
      <c r="K695" s="43"/>
      <c r="L695" s="43"/>
      <c r="M695" s="43"/>
      <c r="N695" s="43"/>
      <c r="O695" s="43"/>
      <c r="P695" s="43"/>
    </row>
    <row r="696" spans="1:16" ht="12.75">
      <c r="A696" s="619"/>
      <c r="B696" s="43"/>
      <c r="C696" s="43"/>
      <c r="D696" s="43"/>
      <c r="E696" s="43"/>
      <c r="F696" s="43"/>
      <c r="G696" s="43"/>
      <c r="H696" s="43"/>
      <c r="I696" s="43"/>
      <c r="J696" s="43"/>
      <c r="K696" s="43"/>
      <c r="L696" s="43"/>
      <c r="M696" s="43"/>
      <c r="N696" s="43"/>
      <c r="O696" s="43"/>
      <c r="P696" s="43"/>
    </row>
    <row r="697" spans="1:16" ht="12.75">
      <c r="A697" s="619"/>
      <c r="B697" s="43"/>
      <c r="C697" s="43"/>
      <c r="D697" s="43"/>
      <c r="E697" s="43"/>
      <c r="F697" s="43"/>
      <c r="G697" s="43"/>
      <c r="H697" s="43"/>
      <c r="I697" s="43"/>
      <c r="J697" s="43"/>
      <c r="K697" s="43"/>
      <c r="L697" s="43"/>
      <c r="M697" s="43"/>
      <c r="N697" s="43"/>
      <c r="O697" s="43"/>
      <c r="P697" s="43"/>
    </row>
    <row r="698" spans="1:16" ht="12.75">
      <c r="A698" s="619"/>
      <c r="B698" s="43"/>
      <c r="C698" s="43"/>
      <c r="D698" s="43"/>
      <c r="E698" s="43"/>
      <c r="F698" s="43"/>
      <c r="G698" s="43"/>
      <c r="H698" s="43"/>
      <c r="I698" s="43"/>
      <c r="J698" s="43"/>
      <c r="K698" s="43"/>
      <c r="L698" s="43"/>
      <c r="M698" s="43"/>
      <c r="N698" s="43"/>
      <c r="O698" s="43"/>
      <c r="P698" s="43"/>
    </row>
    <row r="699" spans="1:16" ht="12.75">
      <c r="A699" s="619"/>
      <c r="B699" s="43"/>
      <c r="C699" s="43"/>
      <c r="D699" s="43"/>
      <c r="E699" s="43"/>
      <c r="F699" s="43"/>
      <c r="G699" s="43"/>
      <c r="H699" s="43"/>
      <c r="I699" s="43"/>
      <c r="J699" s="43"/>
      <c r="K699" s="43"/>
      <c r="L699" s="43"/>
      <c r="M699" s="43"/>
      <c r="N699" s="43"/>
      <c r="O699" s="43"/>
      <c r="P699" s="43"/>
    </row>
    <row r="700" spans="1:16" ht="12.75">
      <c r="A700" s="619"/>
      <c r="B700" s="43"/>
      <c r="C700" s="43"/>
      <c r="D700" s="43"/>
      <c r="E700" s="43"/>
      <c r="F700" s="43"/>
      <c r="G700" s="43"/>
      <c r="H700" s="43"/>
      <c r="I700" s="43"/>
      <c r="J700" s="43"/>
      <c r="K700" s="43"/>
      <c r="L700" s="43"/>
      <c r="M700" s="43"/>
      <c r="N700" s="43"/>
      <c r="O700" s="43"/>
      <c r="P700" s="43"/>
    </row>
    <row r="701" spans="1:16" ht="12.75">
      <c r="A701" s="619"/>
      <c r="B701" s="43"/>
      <c r="C701" s="43"/>
      <c r="D701" s="43"/>
      <c r="E701" s="43"/>
      <c r="F701" s="43"/>
      <c r="G701" s="43"/>
      <c r="H701" s="43"/>
      <c r="I701" s="43"/>
      <c r="J701" s="43"/>
      <c r="K701" s="43"/>
      <c r="L701" s="43"/>
      <c r="M701" s="43"/>
      <c r="N701" s="43"/>
      <c r="O701" s="43"/>
      <c r="P701" s="43"/>
    </row>
    <row r="702" spans="1:16" ht="12.75">
      <c r="A702" s="619"/>
      <c r="B702" s="43"/>
      <c r="C702" s="43"/>
      <c r="D702" s="43"/>
      <c r="E702" s="43"/>
      <c r="F702" s="43"/>
      <c r="G702" s="43"/>
      <c r="H702" s="43"/>
      <c r="I702" s="43"/>
      <c r="J702" s="43"/>
      <c r="K702" s="43"/>
      <c r="L702" s="43"/>
      <c r="M702" s="43"/>
      <c r="N702" s="43"/>
      <c r="O702" s="43"/>
      <c r="P702" s="43"/>
    </row>
    <row r="703" spans="1:16" ht="12.75">
      <c r="A703" s="619"/>
      <c r="B703" s="43"/>
      <c r="C703" s="43"/>
      <c r="D703" s="43"/>
      <c r="E703" s="43"/>
      <c r="F703" s="43"/>
      <c r="G703" s="43"/>
      <c r="H703" s="43"/>
      <c r="I703" s="43"/>
      <c r="J703" s="43"/>
      <c r="K703" s="43"/>
      <c r="L703" s="43"/>
      <c r="M703" s="43"/>
      <c r="N703" s="43"/>
      <c r="O703" s="43"/>
      <c r="P703" s="43"/>
    </row>
    <row r="704" spans="1:16" ht="12.75">
      <c r="A704" s="619"/>
      <c r="B704" s="43"/>
      <c r="C704" s="43"/>
      <c r="D704" s="43"/>
      <c r="E704" s="43"/>
      <c r="F704" s="43"/>
      <c r="G704" s="43"/>
      <c r="H704" s="43"/>
      <c r="I704" s="43"/>
      <c r="J704" s="43"/>
      <c r="K704" s="43"/>
      <c r="L704" s="43"/>
      <c r="M704" s="43"/>
      <c r="N704" s="43"/>
      <c r="O704" s="43"/>
      <c r="P704" s="43"/>
    </row>
    <row r="705" spans="1:16" ht="12.75">
      <c r="A705" s="619"/>
      <c r="B705" s="43"/>
      <c r="C705" s="43"/>
      <c r="D705" s="43"/>
      <c r="E705" s="43"/>
      <c r="F705" s="43"/>
      <c r="G705" s="43"/>
      <c r="H705" s="43"/>
      <c r="I705" s="43"/>
      <c r="J705" s="43"/>
      <c r="K705" s="43"/>
      <c r="L705" s="43"/>
      <c r="M705" s="43"/>
      <c r="N705" s="43"/>
      <c r="O705" s="43"/>
      <c r="P705" s="43"/>
    </row>
    <row r="706" spans="1:16" ht="12.75">
      <c r="A706" s="619"/>
      <c r="B706" s="43"/>
      <c r="C706" s="43"/>
      <c r="D706" s="43"/>
      <c r="E706" s="43"/>
      <c r="F706" s="43"/>
      <c r="G706" s="43"/>
      <c r="H706" s="43"/>
      <c r="I706" s="43"/>
      <c r="J706" s="43"/>
      <c r="K706" s="43"/>
      <c r="L706" s="43"/>
      <c r="M706" s="43"/>
      <c r="N706" s="43"/>
      <c r="O706" s="43"/>
      <c r="P706" s="43"/>
    </row>
    <row r="707" spans="1:16" ht="12.75">
      <c r="A707" s="619"/>
      <c r="B707" s="43"/>
      <c r="C707" s="43"/>
      <c r="D707" s="43"/>
      <c r="E707" s="43"/>
      <c r="F707" s="43"/>
      <c r="G707" s="43"/>
      <c r="H707" s="43"/>
      <c r="I707" s="43"/>
      <c r="J707" s="43"/>
      <c r="K707" s="43"/>
      <c r="L707" s="43"/>
      <c r="M707" s="43"/>
      <c r="N707" s="43"/>
      <c r="O707" s="43"/>
      <c r="P707" s="43"/>
    </row>
    <row r="708" spans="1:16" ht="12.75">
      <c r="A708" s="619"/>
      <c r="B708" s="43"/>
      <c r="C708" s="43"/>
      <c r="D708" s="43"/>
      <c r="E708" s="43"/>
      <c r="F708" s="43"/>
      <c r="G708" s="43"/>
      <c r="H708" s="43"/>
      <c r="I708" s="43"/>
      <c r="J708" s="43"/>
      <c r="K708" s="43"/>
      <c r="L708" s="43"/>
      <c r="M708" s="43"/>
      <c r="N708" s="43"/>
      <c r="O708" s="43"/>
      <c r="P708" s="43"/>
    </row>
    <row r="709" spans="1:16" ht="12.75">
      <c r="A709" s="619"/>
      <c r="B709" s="43"/>
      <c r="C709" s="43"/>
      <c r="D709" s="43"/>
      <c r="E709" s="43"/>
      <c r="F709" s="43"/>
      <c r="G709" s="43"/>
      <c r="H709" s="43"/>
      <c r="I709" s="43"/>
      <c r="J709" s="43"/>
      <c r="K709" s="43"/>
      <c r="L709" s="43"/>
      <c r="M709" s="43"/>
      <c r="N709" s="43"/>
      <c r="O709" s="43"/>
      <c r="P709" s="43"/>
    </row>
    <row r="710" spans="1:16" ht="12.75">
      <c r="A710" s="619"/>
      <c r="B710" s="43"/>
      <c r="C710" s="43"/>
      <c r="D710" s="43"/>
      <c r="E710" s="43"/>
      <c r="F710" s="43"/>
      <c r="G710" s="43"/>
      <c r="H710" s="43"/>
      <c r="I710" s="43"/>
      <c r="J710" s="43"/>
      <c r="K710" s="43"/>
      <c r="L710" s="43"/>
      <c r="M710" s="43"/>
      <c r="N710" s="43"/>
      <c r="O710" s="43"/>
      <c r="P710" s="43"/>
    </row>
    <row r="711" spans="1:16" ht="12.75">
      <c r="A711" s="619"/>
      <c r="B711" s="43"/>
      <c r="C711" s="43"/>
      <c r="D711" s="43"/>
      <c r="E711" s="43"/>
      <c r="F711" s="43"/>
      <c r="G711" s="43"/>
      <c r="H711" s="43"/>
      <c r="I711" s="43"/>
      <c r="J711" s="43"/>
      <c r="K711" s="43"/>
      <c r="L711" s="43"/>
      <c r="M711" s="43"/>
      <c r="N711" s="43"/>
      <c r="O711" s="43"/>
      <c r="P711" s="43"/>
    </row>
    <row r="712" spans="1:16" ht="12.75">
      <c r="A712" s="619"/>
      <c r="B712" s="43"/>
      <c r="C712" s="43"/>
      <c r="D712" s="43"/>
      <c r="E712" s="43"/>
      <c r="F712" s="43"/>
      <c r="G712" s="43"/>
      <c r="H712" s="43"/>
      <c r="I712" s="43"/>
      <c r="J712" s="43"/>
      <c r="K712" s="43"/>
      <c r="L712" s="43"/>
      <c r="M712" s="43"/>
      <c r="N712" s="43"/>
      <c r="O712" s="43"/>
      <c r="P712" s="43"/>
    </row>
    <row r="713" spans="1:16" ht="12.75">
      <c r="A713" s="619"/>
      <c r="B713" s="43"/>
      <c r="C713" s="43"/>
      <c r="D713" s="43"/>
      <c r="E713" s="43"/>
      <c r="F713" s="43"/>
      <c r="G713" s="43"/>
      <c r="H713" s="43"/>
      <c r="I713" s="43"/>
      <c r="J713" s="43"/>
      <c r="K713" s="43"/>
      <c r="L713" s="43"/>
      <c r="M713" s="43"/>
      <c r="N713" s="43"/>
      <c r="O713" s="43"/>
      <c r="P713" s="43"/>
    </row>
    <row r="714" spans="1:16" ht="12.75">
      <c r="A714" s="619"/>
      <c r="B714" s="43"/>
      <c r="C714" s="43"/>
      <c r="D714" s="43"/>
      <c r="E714" s="43"/>
      <c r="F714" s="43"/>
      <c r="G714" s="43"/>
      <c r="H714" s="43"/>
      <c r="I714" s="43"/>
      <c r="J714" s="43"/>
      <c r="K714" s="43"/>
      <c r="L714" s="43"/>
      <c r="M714" s="43"/>
      <c r="N714" s="43"/>
      <c r="O714" s="43"/>
      <c r="P714" s="43"/>
    </row>
    <row r="715" spans="1:16" ht="12.75">
      <c r="A715" s="619"/>
      <c r="B715" s="43"/>
      <c r="C715" s="43"/>
      <c r="D715" s="43"/>
      <c r="E715" s="43"/>
      <c r="F715" s="43"/>
      <c r="G715" s="43"/>
      <c r="H715" s="43"/>
      <c r="I715" s="43"/>
      <c r="J715" s="43"/>
      <c r="K715" s="43"/>
      <c r="L715" s="43"/>
      <c r="M715" s="43"/>
      <c r="N715" s="43"/>
      <c r="O715" s="43"/>
      <c r="P715" s="43"/>
    </row>
    <row r="716" spans="1:16" ht="12.75">
      <c r="A716" s="619"/>
      <c r="B716" s="43"/>
      <c r="C716" s="43"/>
      <c r="D716" s="43"/>
      <c r="E716" s="43"/>
      <c r="F716" s="43"/>
      <c r="G716" s="43"/>
      <c r="H716" s="43"/>
      <c r="I716" s="43"/>
      <c r="J716" s="43"/>
      <c r="K716" s="43"/>
      <c r="L716" s="43"/>
      <c r="M716" s="43"/>
      <c r="N716" s="43"/>
      <c r="O716" s="43"/>
      <c r="P716" s="43"/>
    </row>
    <row r="717" spans="1:16" ht="12.75">
      <c r="A717" s="619"/>
      <c r="B717" s="43"/>
      <c r="C717" s="43"/>
      <c r="D717" s="43"/>
      <c r="E717" s="43"/>
      <c r="F717" s="43"/>
      <c r="G717" s="43"/>
      <c r="H717" s="43"/>
      <c r="I717" s="43"/>
      <c r="J717" s="43"/>
      <c r="K717" s="43"/>
      <c r="L717" s="43"/>
      <c r="M717" s="43"/>
      <c r="N717" s="43"/>
      <c r="O717" s="43"/>
      <c r="P717" s="43"/>
    </row>
    <row r="718" spans="1:16" ht="12.75">
      <c r="A718" s="619"/>
      <c r="B718" s="43"/>
      <c r="C718" s="43"/>
      <c r="D718" s="43"/>
      <c r="E718" s="43"/>
      <c r="F718" s="43"/>
      <c r="G718" s="43"/>
      <c r="H718" s="43"/>
      <c r="I718" s="43"/>
      <c r="J718" s="43"/>
      <c r="K718" s="43"/>
      <c r="L718" s="43"/>
      <c r="M718" s="43"/>
      <c r="N718" s="43"/>
      <c r="O718" s="43"/>
      <c r="P718" s="43"/>
    </row>
    <row r="719" spans="1:16" ht="12.75">
      <c r="A719" s="619"/>
      <c r="B719" s="43"/>
      <c r="C719" s="43"/>
      <c r="D719" s="43"/>
      <c r="E719" s="43"/>
      <c r="F719" s="43"/>
      <c r="G719" s="43"/>
      <c r="H719" s="43"/>
      <c r="I719" s="43"/>
      <c r="J719" s="43"/>
      <c r="K719" s="43"/>
      <c r="L719" s="43"/>
      <c r="M719" s="43"/>
      <c r="N719" s="43"/>
      <c r="O719" s="43"/>
      <c r="P719" s="43"/>
    </row>
    <row r="720" spans="1:16" ht="12.75">
      <c r="A720" s="619"/>
      <c r="B720" s="43"/>
      <c r="C720" s="43"/>
      <c r="D720" s="43"/>
      <c r="E720" s="43"/>
      <c r="F720" s="43"/>
      <c r="G720" s="43"/>
      <c r="H720" s="43"/>
      <c r="I720" s="43"/>
      <c r="J720" s="43"/>
      <c r="K720" s="43"/>
      <c r="L720" s="43"/>
      <c r="M720" s="43"/>
      <c r="N720" s="43"/>
      <c r="O720" s="43"/>
      <c r="P720" s="43"/>
    </row>
    <row r="721" spans="1:16" ht="12.75">
      <c r="A721" s="619"/>
      <c r="B721" s="43"/>
      <c r="C721" s="43"/>
      <c r="D721" s="43"/>
      <c r="E721" s="43"/>
      <c r="F721" s="43"/>
      <c r="G721" s="43"/>
      <c r="H721" s="43"/>
      <c r="I721" s="43"/>
      <c r="J721" s="43"/>
      <c r="K721" s="43"/>
      <c r="L721" s="43"/>
      <c r="M721" s="43"/>
      <c r="N721" s="43"/>
      <c r="O721" s="43"/>
      <c r="P721" s="43"/>
    </row>
    <row r="722" spans="1:16" ht="12.75">
      <c r="A722" s="619"/>
      <c r="B722" s="43"/>
      <c r="C722" s="43"/>
      <c r="D722" s="43"/>
      <c r="E722" s="43"/>
      <c r="F722" s="43"/>
      <c r="G722" s="43"/>
      <c r="H722" s="43"/>
      <c r="I722" s="43"/>
      <c r="J722" s="43"/>
      <c r="K722" s="43"/>
      <c r="L722" s="43"/>
      <c r="M722" s="43"/>
      <c r="N722" s="43"/>
      <c r="O722" s="43"/>
      <c r="P722" s="43"/>
    </row>
    <row r="723" spans="1:16" ht="12.75">
      <c r="A723" s="619"/>
      <c r="B723" s="43"/>
      <c r="C723" s="43"/>
      <c r="D723" s="43"/>
      <c r="E723" s="43"/>
      <c r="F723" s="43"/>
      <c r="G723" s="43"/>
      <c r="H723" s="43"/>
      <c r="I723" s="43"/>
      <c r="J723" s="43"/>
      <c r="K723" s="43"/>
      <c r="L723" s="43"/>
      <c r="M723" s="43"/>
      <c r="N723" s="43"/>
      <c r="O723" s="43"/>
      <c r="P723" s="43"/>
    </row>
    <row r="724" spans="1:16" ht="12.75">
      <c r="A724" s="619"/>
      <c r="B724" s="43"/>
      <c r="C724" s="43"/>
      <c r="D724" s="43"/>
      <c r="E724" s="43"/>
      <c r="F724" s="43"/>
      <c r="G724" s="43"/>
      <c r="H724" s="43"/>
      <c r="I724" s="43"/>
      <c r="J724" s="43"/>
      <c r="K724" s="43"/>
      <c r="L724" s="43"/>
      <c r="M724" s="43"/>
      <c r="N724" s="43"/>
      <c r="O724" s="43"/>
      <c r="P724" s="43"/>
    </row>
    <row r="725" spans="1:16" ht="12.75">
      <c r="A725" s="619"/>
      <c r="B725" s="43"/>
      <c r="C725" s="43"/>
      <c r="D725" s="43"/>
      <c r="E725" s="43"/>
      <c r="F725" s="43"/>
      <c r="G725" s="43"/>
      <c r="H725" s="43"/>
      <c r="I725" s="43"/>
      <c r="J725" s="43"/>
      <c r="K725" s="43"/>
      <c r="L725" s="43"/>
      <c r="M725" s="43"/>
      <c r="N725" s="43"/>
      <c r="O725" s="43"/>
      <c r="P725" s="43"/>
    </row>
    <row r="726" spans="1:16" ht="12.75">
      <c r="A726" s="619"/>
      <c r="B726" s="43"/>
      <c r="C726" s="43"/>
      <c r="D726" s="43"/>
      <c r="E726" s="43"/>
      <c r="F726" s="43"/>
      <c r="G726" s="43"/>
      <c r="H726" s="43"/>
      <c r="I726" s="43"/>
      <c r="J726" s="43"/>
      <c r="K726" s="43"/>
      <c r="L726" s="43"/>
      <c r="M726" s="43"/>
      <c r="N726" s="43"/>
      <c r="O726" s="43"/>
      <c r="P726" s="43"/>
    </row>
    <row r="727" spans="1:16" ht="12.75">
      <c r="A727" s="619"/>
      <c r="B727" s="43"/>
      <c r="C727" s="43"/>
      <c r="D727" s="43"/>
      <c r="E727" s="43"/>
      <c r="F727" s="43"/>
      <c r="G727" s="43"/>
      <c r="H727" s="43"/>
      <c r="I727" s="43"/>
      <c r="J727" s="43"/>
      <c r="K727" s="43"/>
      <c r="L727" s="43"/>
      <c r="M727" s="43"/>
      <c r="N727" s="43"/>
      <c r="O727" s="43"/>
      <c r="P727" s="43"/>
    </row>
    <row r="728" spans="1:16" ht="12.75">
      <c r="A728" s="619"/>
      <c r="B728" s="43"/>
      <c r="C728" s="43"/>
      <c r="D728" s="43"/>
      <c r="E728" s="43"/>
      <c r="F728" s="43"/>
      <c r="G728" s="43"/>
      <c r="H728" s="43"/>
      <c r="I728" s="43"/>
      <c r="J728" s="43"/>
      <c r="K728" s="43"/>
      <c r="L728" s="43"/>
      <c r="M728" s="43"/>
      <c r="N728" s="43"/>
      <c r="O728" s="43"/>
      <c r="P728" s="43"/>
    </row>
    <row r="729" spans="1:16" ht="12.75">
      <c r="A729" s="619"/>
      <c r="B729" s="43"/>
      <c r="C729" s="43"/>
      <c r="D729" s="43"/>
      <c r="E729" s="43"/>
      <c r="F729" s="43"/>
      <c r="G729" s="43"/>
      <c r="H729" s="43"/>
      <c r="I729" s="43"/>
      <c r="J729" s="43"/>
      <c r="K729" s="43"/>
      <c r="L729" s="43"/>
      <c r="M729" s="43"/>
      <c r="N729" s="43"/>
      <c r="O729" s="43"/>
      <c r="P729" s="43"/>
    </row>
    <row r="730" spans="1:16" ht="12.75">
      <c r="A730" s="619"/>
      <c r="B730" s="43"/>
      <c r="C730" s="43"/>
      <c r="D730" s="43"/>
      <c r="E730" s="43"/>
      <c r="F730" s="43"/>
      <c r="G730" s="43"/>
      <c r="H730" s="43"/>
      <c r="I730" s="43"/>
      <c r="J730" s="43"/>
      <c r="K730" s="43"/>
      <c r="L730" s="43"/>
      <c r="M730" s="43"/>
      <c r="N730" s="43"/>
      <c r="O730" s="43"/>
      <c r="P730" s="43"/>
    </row>
    <row r="731" spans="1:16" ht="12.75">
      <c r="A731" s="619"/>
      <c r="B731" s="43"/>
      <c r="C731" s="43"/>
      <c r="D731" s="43"/>
      <c r="E731" s="43"/>
      <c r="F731" s="43"/>
      <c r="G731" s="43"/>
      <c r="H731" s="43"/>
      <c r="I731" s="43"/>
      <c r="J731" s="43"/>
      <c r="K731" s="43"/>
      <c r="L731" s="43"/>
      <c r="M731" s="43"/>
      <c r="N731" s="43"/>
      <c r="O731" s="43"/>
      <c r="P731" s="43"/>
    </row>
    <row r="732" spans="1:16" ht="12.75">
      <c r="A732" s="619"/>
      <c r="B732" s="43"/>
      <c r="C732" s="43"/>
      <c r="D732" s="43"/>
      <c r="E732" s="43"/>
      <c r="F732" s="43"/>
      <c r="G732" s="43"/>
      <c r="H732" s="43"/>
      <c r="I732" s="43"/>
      <c r="J732" s="43"/>
      <c r="K732" s="43"/>
      <c r="L732" s="43"/>
      <c r="M732" s="43"/>
      <c r="N732" s="43"/>
      <c r="O732" s="43"/>
      <c r="P732" s="43"/>
    </row>
    <row r="733" spans="1:16" ht="12.75">
      <c r="A733" s="619"/>
      <c r="B733" s="43"/>
      <c r="C733" s="43"/>
      <c r="D733" s="43"/>
      <c r="E733" s="43"/>
      <c r="F733" s="43"/>
      <c r="G733" s="43"/>
      <c r="H733" s="43"/>
      <c r="I733" s="43"/>
      <c r="J733" s="43"/>
      <c r="K733" s="43"/>
      <c r="L733" s="43"/>
      <c r="M733" s="43"/>
      <c r="N733" s="43"/>
      <c r="O733" s="43"/>
      <c r="P733" s="43"/>
    </row>
    <row r="734" spans="1:16" ht="12.75">
      <c r="A734" s="619"/>
      <c r="B734" s="43"/>
      <c r="C734" s="43"/>
      <c r="D734" s="43"/>
      <c r="E734" s="43"/>
      <c r="F734" s="43"/>
      <c r="G734" s="43"/>
      <c r="H734" s="43"/>
      <c r="I734" s="43"/>
      <c r="J734" s="43"/>
      <c r="K734" s="43"/>
      <c r="L734" s="43"/>
      <c r="M734" s="43"/>
      <c r="N734" s="43"/>
      <c r="O734" s="43"/>
      <c r="P734" s="43"/>
    </row>
    <row r="735" spans="1:16" ht="12.75">
      <c r="A735" s="619"/>
      <c r="B735" s="43"/>
      <c r="C735" s="43"/>
      <c r="D735" s="43"/>
      <c r="E735" s="43"/>
      <c r="F735" s="43"/>
      <c r="G735" s="43"/>
      <c r="H735" s="43"/>
      <c r="I735" s="43"/>
      <c r="J735" s="43"/>
      <c r="K735" s="43"/>
      <c r="L735" s="43"/>
      <c r="M735" s="43"/>
      <c r="N735" s="43"/>
      <c r="O735" s="43"/>
      <c r="P735" s="43"/>
    </row>
    <row r="736" spans="1:16" ht="12.75">
      <c r="A736" s="619"/>
      <c r="B736" s="43"/>
      <c r="C736" s="43"/>
      <c r="D736" s="43"/>
      <c r="E736" s="43"/>
      <c r="F736" s="43"/>
      <c r="G736" s="43"/>
      <c r="H736" s="43"/>
      <c r="I736" s="43"/>
      <c r="J736" s="43"/>
      <c r="K736" s="43"/>
      <c r="L736" s="43"/>
      <c r="M736" s="43"/>
      <c r="N736" s="43"/>
      <c r="O736" s="43"/>
      <c r="P736" s="43"/>
    </row>
    <row r="737" spans="1:16" ht="12.75">
      <c r="A737" s="619"/>
      <c r="B737" s="43"/>
      <c r="C737" s="43"/>
      <c r="D737" s="43"/>
      <c r="E737" s="43"/>
      <c r="F737" s="43"/>
      <c r="G737" s="43"/>
      <c r="H737" s="43"/>
      <c r="I737" s="43"/>
      <c r="J737" s="43"/>
      <c r="K737" s="43"/>
      <c r="L737" s="43"/>
      <c r="M737" s="43"/>
      <c r="N737" s="43"/>
      <c r="O737" s="43"/>
      <c r="P737" s="43"/>
    </row>
    <row r="738" spans="1:16" ht="12.75">
      <c r="A738" s="619"/>
      <c r="B738" s="43"/>
      <c r="C738" s="43"/>
      <c r="D738" s="43"/>
      <c r="E738" s="43"/>
      <c r="F738" s="43"/>
      <c r="G738" s="43"/>
      <c r="H738" s="43"/>
      <c r="I738" s="43"/>
      <c r="J738" s="43"/>
      <c r="K738" s="43"/>
      <c r="L738" s="43"/>
      <c r="M738" s="43"/>
      <c r="N738" s="43"/>
      <c r="O738" s="43"/>
      <c r="P738" s="43"/>
    </row>
    <row r="739" spans="1:16" ht="12.75">
      <c r="A739" s="619"/>
      <c r="B739" s="43"/>
      <c r="C739" s="43"/>
      <c r="D739" s="43"/>
      <c r="E739" s="43"/>
      <c r="F739" s="43"/>
      <c r="G739" s="43"/>
      <c r="H739" s="43"/>
      <c r="I739" s="43"/>
      <c r="J739" s="43"/>
      <c r="K739" s="43"/>
      <c r="L739" s="43"/>
      <c r="M739" s="43"/>
      <c r="N739" s="43"/>
      <c r="O739" s="43"/>
      <c r="P739" s="43"/>
    </row>
    <row r="740" spans="1:16" ht="12.75">
      <c r="A740" s="619"/>
      <c r="B740" s="43"/>
      <c r="C740" s="43"/>
      <c r="D740" s="43"/>
      <c r="E740" s="43"/>
      <c r="F740" s="43"/>
      <c r="G740" s="43"/>
      <c r="H740" s="43"/>
      <c r="I740" s="43"/>
      <c r="J740" s="43"/>
      <c r="K740" s="43"/>
      <c r="L740" s="43"/>
      <c r="M740" s="43"/>
      <c r="N740" s="43"/>
      <c r="O740" s="43"/>
      <c r="P740" s="43"/>
    </row>
    <row r="741" spans="1:16" ht="12.75">
      <c r="A741" s="619"/>
      <c r="B741" s="43"/>
      <c r="C741" s="43"/>
      <c r="D741" s="43"/>
      <c r="E741" s="43"/>
      <c r="F741" s="43"/>
      <c r="G741" s="43"/>
      <c r="H741" s="43"/>
      <c r="I741" s="43"/>
      <c r="J741" s="43"/>
      <c r="K741" s="43"/>
      <c r="L741" s="43"/>
      <c r="M741" s="43"/>
      <c r="N741" s="43"/>
      <c r="O741" s="43"/>
      <c r="P741" s="43"/>
    </row>
    <row r="742" spans="1:16" ht="12.75">
      <c r="A742" s="619"/>
      <c r="B742" s="43"/>
      <c r="C742" s="43"/>
      <c r="D742" s="43"/>
      <c r="E742" s="43"/>
      <c r="F742" s="43"/>
      <c r="G742" s="43"/>
      <c r="H742" s="43"/>
      <c r="I742" s="43"/>
      <c r="J742" s="43"/>
      <c r="K742" s="43"/>
      <c r="L742" s="43"/>
      <c r="M742" s="43"/>
      <c r="N742" s="43"/>
      <c r="O742" s="43"/>
      <c r="P742" s="43"/>
    </row>
    <row r="743" spans="1:16" ht="12.75">
      <c r="A743" s="619"/>
      <c r="B743" s="43"/>
      <c r="C743" s="43"/>
      <c r="D743" s="43"/>
      <c r="E743" s="43"/>
      <c r="F743" s="43"/>
      <c r="G743" s="43"/>
      <c r="H743" s="43"/>
      <c r="I743" s="43"/>
      <c r="J743" s="43"/>
      <c r="K743" s="43"/>
      <c r="L743" s="43"/>
      <c r="M743" s="43"/>
      <c r="N743" s="43"/>
      <c r="O743" s="43"/>
      <c r="P743" s="43"/>
    </row>
    <row r="744" spans="1:16" ht="12.75">
      <c r="A744" s="619"/>
      <c r="B744" s="43"/>
      <c r="C744" s="43"/>
      <c r="D744" s="43"/>
      <c r="E744" s="43"/>
      <c r="F744" s="43"/>
      <c r="G744" s="43"/>
      <c r="H744" s="43"/>
      <c r="I744" s="43"/>
      <c r="J744" s="43"/>
      <c r="K744" s="43"/>
      <c r="L744" s="43"/>
      <c r="M744" s="43"/>
      <c r="N744" s="43"/>
      <c r="O744" s="43"/>
      <c r="P744" s="43"/>
    </row>
    <row r="745" spans="1:16" ht="12.75">
      <c r="A745" s="619"/>
      <c r="B745" s="43"/>
      <c r="C745" s="43"/>
      <c r="D745" s="43"/>
      <c r="E745" s="43"/>
      <c r="F745" s="43"/>
      <c r="G745" s="43"/>
      <c r="H745" s="43"/>
      <c r="I745" s="43"/>
      <c r="J745" s="43"/>
      <c r="K745" s="43"/>
      <c r="L745" s="43"/>
      <c r="M745" s="43"/>
      <c r="N745" s="43"/>
      <c r="O745" s="43"/>
      <c r="P745" s="43"/>
    </row>
    <row r="746" spans="1:16" ht="12.75">
      <c r="A746" s="619"/>
      <c r="B746" s="43"/>
      <c r="C746" s="43"/>
      <c r="D746" s="43"/>
      <c r="E746" s="43"/>
      <c r="F746" s="43"/>
      <c r="G746" s="43"/>
      <c r="H746" s="43"/>
      <c r="I746" s="43"/>
      <c r="J746" s="43"/>
      <c r="K746" s="43"/>
      <c r="L746" s="43"/>
      <c r="M746" s="43"/>
      <c r="N746" s="43"/>
      <c r="O746" s="43"/>
      <c r="P746" s="43"/>
    </row>
    <row r="747" spans="1:16" ht="12.75">
      <c r="A747" s="619"/>
      <c r="B747" s="43"/>
      <c r="C747" s="43"/>
      <c r="D747" s="43"/>
      <c r="E747" s="43"/>
      <c r="F747" s="43"/>
      <c r="G747" s="43"/>
      <c r="H747" s="43"/>
      <c r="I747" s="43"/>
      <c r="J747" s="43"/>
      <c r="K747" s="43"/>
      <c r="L747" s="43"/>
      <c r="M747" s="43"/>
      <c r="N747" s="43"/>
      <c r="O747" s="43"/>
      <c r="P747" s="43"/>
    </row>
    <row r="748" spans="1:16" ht="12.75">
      <c r="A748" s="619"/>
      <c r="B748" s="43"/>
      <c r="C748" s="43"/>
      <c r="D748" s="43"/>
      <c r="E748" s="43"/>
      <c r="F748" s="43"/>
      <c r="G748" s="43"/>
      <c r="H748" s="43"/>
      <c r="I748" s="43"/>
      <c r="J748" s="43"/>
      <c r="K748" s="43"/>
      <c r="L748" s="43"/>
      <c r="M748" s="43"/>
      <c r="N748" s="43"/>
      <c r="O748" s="43"/>
      <c r="P748" s="43"/>
    </row>
    <row r="749" spans="1:16" ht="12.75">
      <c r="A749" s="619"/>
      <c r="B749" s="43"/>
      <c r="C749" s="43"/>
      <c r="D749" s="43"/>
      <c r="E749" s="43"/>
      <c r="F749" s="43"/>
      <c r="G749" s="43"/>
      <c r="H749" s="43"/>
      <c r="I749" s="43"/>
      <c r="J749" s="43"/>
      <c r="K749" s="43"/>
      <c r="L749" s="43"/>
      <c r="M749" s="43"/>
      <c r="N749" s="43"/>
      <c r="O749" s="43"/>
      <c r="P749" s="43"/>
    </row>
    <row r="750" spans="1:16" ht="12.75">
      <c r="A750" s="619"/>
      <c r="B750" s="43"/>
      <c r="C750" s="43"/>
      <c r="D750" s="43"/>
      <c r="E750" s="43"/>
      <c r="F750" s="43"/>
      <c r="G750" s="43"/>
      <c r="H750" s="43"/>
      <c r="I750" s="43"/>
      <c r="J750" s="43"/>
      <c r="K750" s="43"/>
      <c r="L750" s="43"/>
      <c r="M750" s="43"/>
      <c r="N750" s="43"/>
      <c r="O750" s="43"/>
      <c r="P750" s="43"/>
    </row>
    <row r="751" spans="1:16" ht="12.75">
      <c r="A751" s="619"/>
      <c r="B751" s="43"/>
      <c r="C751" s="43"/>
      <c r="D751" s="43"/>
      <c r="E751" s="43"/>
      <c r="F751" s="43"/>
      <c r="G751" s="43"/>
      <c r="H751" s="43"/>
      <c r="I751" s="43"/>
      <c r="J751" s="43"/>
      <c r="K751" s="43"/>
      <c r="L751" s="43"/>
      <c r="M751" s="43"/>
      <c r="N751" s="43"/>
      <c r="O751" s="43"/>
      <c r="P751" s="43"/>
    </row>
    <row r="752" spans="1:16" ht="12.75">
      <c r="A752" s="619"/>
      <c r="B752" s="43"/>
      <c r="C752" s="43"/>
      <c r="D752" s="43"/>
      <c r="E752" s="43"/>
      <c r="F752" s="43"/>
      <c r="G752" s="43"/>
      <c r="H752" s="43"/>
      <c r="I752" s="43"/>
      <c r="J752" s="43"/>
      <c r="K752" s="43"/>
      <c r="L752" s="43"/>
      <c r="M752" s="43"/>
      <c r="N752" s="43"/>
      <c r="O752" s="43"/>
      <c r="P752" s="43"/>
    </row>
    <row r="753" spans="1:16" ht="12.75">
      <c r="A753" s="619"/>
      <c r="B753" s="43"/>
      <c r="C753" s="43"/>
      <c r="D753" s="43"/>
      <c r="E753" s="43"/>
      <c r="F753" s="43"/>
      <c r="G753" s="43"/>
      <c r="H753" s="43"/>
      <c r="I753" s="43"/>
      <c r="J753" s="43"/>
      <c r="K753" s="43"/>
      <c r="L753" s="43"/>
      <c r="M753" s="43"/>
      <c r="N753" s="43"/>
      <c r="O753" s="43"/>
      <c r="P753" s="43"/>
    </row>
    <row r="754" spans="1:16" ht="12.75">
      <c r="A754" s="619"/>
      <c r="B754" s="43"/>
      <c r="C754" s="43"/>
      <c r="D754" s="43"/>
      <c r="E754" s="43"/>
      <c r="F754" s="43"/>
      <c r="G754" s="43"/>
      <c r="H754" s="43"/>
      <c r="I754" s="43"/>
      <c r="J754" s="43"/>
      <c r="K754" s="43"/>
      <c r="L754" s="43"/>
      <c r="M754" s="43"/>
      <c r="N754" s="43"/>
      <c r="O754" s="43"/>
      <c r="P754" s="43"/>
    </row>
    <row r="755" spans="1:16" ht="12.75">
      <c r="A755" s="619"/>
      <c r="B755" s="43"/>
      <c r="C755" s="43"/>
      <c r="D755" s="43"/>
      <c r="E755" s="43"/>
      <c r="F755" s="43"/>
      <c r="G755" s="43"/>
      <c r="H755" s="43"/>
      <c r="I755" s="43"/>
      <c r="J755" s="43"/>
      <c r="K755" s="43"/>
      <c r="L755" s="43"/>
      <c r="M755" s="43"/>
      <c r="N755" s="43"/>
      <c r="O755" s="43"/>
      <c r="P755" s="43"/>
    </row>
    <row r="756" spans="1:16" ht="12.75">
      <c r="A756" s="619"/>
      <c r="B756" s="43"/>
      <c r="C756" s="43"/>
      <c r="D756" s="43"/>
      <c r="E756" s="43"/>
      <c r="F756" s="43"/>
      <c r="G756" s="43"/>
      <c r="H756" s="43"/>
      <c r="I756" s="43"/>
      <c r="J756" s="43"/>
      <c r="K756" s="43"/>
      <c r="L756" s="43"/>
      <c r="M756" s="43"/>
      <c r="N756" s="43"/>
      <c r="O756" s="43"/>
      <c r="P756" s="43"/>
    </row>
    <row r="757" spans="1:16" ht="12.75">
      <c r="A757" s="619"/>
      <c r="B757" s="43"/>
      <c r="C757" s="43"/>
      <c r="D757" s="43"/>
      <c r="E757" s="43"/>
      <c r="F757" s="43"/>
      <c r="G757" s="43"/>
      <c r="H757" s="43"/>
      <c r="I757" s="43"/>
      <c r="J757" s="43"/>
      <c r="K757" s="43"/>
      <c r="L757" s="43"/>
      <c r="M757" s="43"/>
      <c r="N757" s="43"/>
      <c r="O757" s="43"/>
      <c r="P757" s="43"/>
    </row>
    <row r="758" spans="1:16" ht="12.75">
      <c r="A758" s="619"/>
      <c r="B758" s="43"/>
      <c r="C758" s="43"/>
      <c r="D758" s="43"/>
      <c r="E758" s="43"/>
      <c r="F758" s="43"/>
      <c r="G758" s="43"/>
      <c r="H758" s="43"/>
      <c r="I758" s="43"/>
      <c r="J758" s="43"/>
      <c r="K758" s="43"/>
      <c r="L758" s="43"/>
      <c r="M758" s="43"/>
      <c r="N758" s="43"/>
      <c r="O758" s="43"/>
      <c r="P758" s="43"/>
    </row>
    <row r="759" spans="1:16" ht="12.75">
      <c r="A759" s="619"/>
      <c r="B759" s="43"/>
      <c r="C759" s="43"/>
      <c r="D759" s="43"/>
      <c r="E759" s="43"/>
      <c r="F759" s="43"/>
      <c r="G759" s="43"/>
      <c r="H759" s="43"/>
      <c r="I759" s="43"/>
      <c r="J759" s="43"/>
      <c r="K759" s="43"/>
      <c r="L759" s="43"/>
      <c r="M759" s="43"/>
      <c r="N759" s="43"/>
      <c r="O759" s="43"/>
      <c r="P759" s="43"/>
    </row>
    <row r="760" spans="1:16" ht="12.75">
      <c r="A760" s="619"/>
      <c r="B760" s="43"/>
      <c r="C760" s="43"/>
      <c r="D760" s="43"/>
      <c r="E760" s="43"/>
      <c r="F760" s="43"/>
      <c r="G760" s="43"/>
      <c r="H760" s="43"/>
      <c r="I760" s="43"/>
      <c r="J760" s="43"/>
      <c r="K760" s="43"/>
      <c r="L760" s="43"/>
      <c r="M760" s="43"/>
      <c r="N760" s="43"/>
      <c r="O760" s="43"/>
      <c r="P760" s="43"/>
    </row>
    <row r="761" spans="1:16" ht="12.75">
      <c r="A761" s="619"/>
      <c r="B761" s="43"/>
      <c r="C761" s="43"/>
      <c r="D761" s="43"/>
      <c r="E761" s="43"/>
      <c r="F761" s="43"/>
      <c r="G761" s="43"/>
      <c r="H761" s="43"/>
      <c r="I761" s="43"/>
      <c r="J761" s="43"/>
      <c r="K761" s="43"/>
      <c r="L761" s="43"/>
      <c r="M761" s="43"/>
      <c r="N761" s="43"/>
      <c r="O761" s="43"/>
      <c r="P761" s="43"/>
    </row>
    <row r="762" spans="1:16" ht="12.75">
      <c r="A762" s="619"/>
      <c r="B762" s="43"/>
      <c r="C762" s="43"/>
      <c r="D762" s="43"/>
      <c r="E762" s="43"/>
      <c r="F762" s="43"/>
      <c r="G762" s="43"/>
      <c r="H762" s="43"/>
      <c r="I762" s="43"/>
      <c r="J762" s="43"/>
      <c r="K762" s="43"/>
      <c r="L762" s="43"/>
      <c r="M762" s="43"/>
      <c r="N762" s="43"/>
      <c r="O762" s="43"/>
      <c r="P762" s="43"/>
    </row>
    <row r="763" spans="1:16" ht="12.75">
      <c r="A763" s="619"/>
      <c r="B763" s="43"/>
      <c r="C763" s="43"/>
      <c r="D763" s="43"/>
      <c r="E763" s="43"/>
      <c r="F763" s="43"/>
      <c r="G763" s="43"/>
      <c r="H763" s="43"/>
      <c r="I763" s="43"/>
      <c r="J763" s="43"/>
      <c r="K763" s="43"/>
      <c r="L763" s="43"/>
      <c r="M763" s="43"/>
      <c r="N763" s="43"/>
      <c r="O763" s="43"/>
      <c r="P763" s="43"/>
    </row>
    <row r="764" spans="1:16" ht="12.75">
      <c r="A764" s="619"/>
      <c r="B764" s="43"/>
      <c r="C764" s="43"/>
      <c r="D764" s="43"/>
      <c r="E764" s="43"/>
      <c r="F764" s="43"/>
      <c r="G764" s="43"/>
      <c r="H764" s="43"/>
      <c r="I764" s="43"/>
      <c r="J764" s="43"/>
      <c r="K764" s="43"/>
      <c r="L764" s="43"/>
      <c r="M764" s="43"/>
      <c r="N764" s="43"/>
      <c r="O764" s="43"/>
      <c r="P764" s="43"/>
    </row>
    <row r="765" spans="1:16" ht="12.75">
      <c r="A765" s="619"/>
      <c r="B765" s="43"/>
      <c r="C765" s="43"/>
      <c r="D765" s="43"/>
      <c r="E765" s="43"/>
      <c r="F765" s="43"/>
      <c r="G765" s="43"/>
      <c r="H765" s="43"/>
      <c r="I765" s="43"/>
      <c r="J765" s="43"/>
      <c r="K765" s="43"/>
      <c r="L765" s="43"/>
      <c r="M765" s="43"/>
      <c r="N765" s="43"/>
      <c r="O765" s="43"/>
      <c r="P765" s="43"/>
    </row>
    <row r="766" spans="1:16" ht="12.75">
      <c r="A766" s="619"/>
      <c r="B766" s="43"/>
      <c r="C766" s="43"/>
      <c r="D766" s="43"/>
      <c r="E766" s="43"/>
      <c r="F766" s="43"/>
      <c r="G766" s="43"/>
      <c r="H766" s="43"/>
      <c r="I766" s="43"/>
      <c r="J766" s="43"/>
      <c r="K766" s="43"/>
      <c r="L766" s="43"/>
      <c r="M766" s="43"/>
      <c r="N766" s="43"/>
      <c r="O766" s="43"/>
      <c r="P766" s="43"/>
    </row>
    <row r="767" spans="1:16" ht="12.75">
      <c r="A767" s="619"/>
      <c r="B767" s="43"/>
      <c r="C767" s="43"/>
      <c r="D767" s="43"/>
      <c r="E767" s="43"/>
      <c r="F767" s="43"/>
      <c r="G767" s="43"/>
      <c r="H767" s="43"/>
      <c r="I767" s="43"/>
      <c r="J767" s="43"/>
      <c r="K767" s="43"/>
      <c r="L767" s="43"/>
      <c r="M767" s="43"/>
      <c r="N767" s="43"/>
      <c r="O767" s="43"/>
      <c r="P767" s="43"/>
    </row>
    <row r="768" spans="1:16" ht="12.75">
      <c r="A768" s="619"/>
      <c r="B768" s="43"/>
      <c r="C768" s="43"/>
      <c r="D768" s="43"/>
      <c r="E768" s="43"/>
      <c r="F768" s="43"/>
      <c r="G768" s="43"/>
      <c r="H768" s="43"/>
      <c r="I768" s="43"/>
      <c r="J768" s="43"/>
      <c r="K768" s="43"/>
      <c r="L768" s="43"/>
      <c r="M768" s="43"/>
      <c r="N768" s="43"/>
      <c r="O768" s="43"/>
      <c r="P768" s="43"/>
    </row>
    <row r="769" spans="1:16" ht="12.75">
      <c r="A769" s="619"/>
      <c r="B769" s="43"/>
      <c r="C769" s="43"/>
      <c r="D769" s="43"/>
      <c r="E769" s="43"/>
      <c r="F769" s="43"/>
      <c r="G769" s="43"/>
      <c r="H769" s="43"/>
      <c r="I769" s="43"/>
      <c r="J769" s="43"/>
      <c r="K769" s="43"/>
      <c r="L769" s="43"/>
      <c r="M769" s="43"/>
      <c r="N769" s="43"/>
      <c r="O769" s="43"/>
      <c r="P769" s="43"/>
    </row>
    <row r="770" spans="1:16" ht="12.75">
      <c r="A770" s="619"/>
      <c r="B770" s="43"/>
      <c r="C770" s="43"/>
      <c r="D770" s="43"/>
      <c r="E770" s="43"/>
      <c r="F770" s="43"/>
      <c r="G770" s="43"/>
      <c r="H770" s="43"/>
      <c r="I770" s="43"/>
      <c r="J770" s="43"/>
      <c r="K770" s="43"/>
      <c r="L770" s="43"/>
      <c r="M770" s="43"/>
      <c r="N770" s="43"/>
      <c r="O770" s="43"/>
      <c r="P770" s="43"/>
    </row>
    <row r="771" spans="1:16" ht="12.75">
      <c r="A771" s="619"/>
      <c r="B771" s="43"/>
      <c r="C771" s="43"/>
      <c r="D771" s="43"/>
      <c r="E771" s="43"/>
      <c r="F771" s="43"/>
      <c r="G771" s="43"/>
      <c r="H771" s="43"/>
      <c r="I771" s="43"/>
      <c r="J771" s="43"/>
      <c r="K771" s="43"/>
      <c r="L771" s="43"/>
      <c r="M771" s="43"/>
      <c r="N771" s="43"/>
      <c r="O771" s="43"/>
      <c r="P771" s="43"/>
    </row>
    <row r="772" spans="1:16" ht="12.75">
      <c r="A772" s="619"/>
      <c r="B772" s="43"/>
      <c r="C772" s="43"/>
      <c r="D772" s="43"/>
      <c r="E772" s="43"/>
      <c r="F772" s="43"/>
      <c r="G772" s="43"/>
      <c r="H772" s="43"/>
      <c r="I772" s="43"/>
      <c r="J772" s="43"/>
      <c r="K772" s="43"/>
      <c r="L772" s="43"/>
      <c r="M772" s="43"/>
      <c r="N772" s="43"/>
      <c r="O772" s="43"/>
      <c r="P772" s="43"/>
    </row>
    <row r="773" spans="1:16" ht="12.75">
      <c r="A773" s="619"/>
      <c r="B773" s="43"/>
      <c r="C773" s="43"/>
      <c r="D773" s="43"/>
      <c r="E773" s="43"/>
      <c r="F773" s="43"/>
      <c r="G773" s="43"/>
      <c r="H773" s="43"/>
      <c r="I773" s="43"/>
      <c r="J773" s="43"/>
      <c r="K773" s="43"/>
      <c r="L773" s="43"/>
      <c r="M773" s="43"/>
      <c r="N773" s="43"/>
      <c r="O773" s="43"/>
      <c r="P773" s="43"/>
    </row>
    <row r="774" spans="1:16" ht="12.75">
      <c r="A774" s="619"/>
      <c r="B774" s="43"/>
      <c r="C774" s="43"/>
      <c r="D774" s="43"/>
      <c r="E774" s="43"/>
      <c r="F774" s="43"/>
      <c r="G774" s="43"/>
      <c r="H774" s="43"/>
      <c r="I774" s="43"/>
      <c r="J774" s="43"/>
      <c r="K774" s="43"/>
      <c r="L774" s="43"/>
      <c r="M774" s="43"/>
      <c r="N774" s="43"/>
      <c r="O774" s="43"/>
      <c r="P774" s="43"/>
    </row>
    <row r="775" spans="1:16" ht="12.75">
      <c r="A775" s="619"/>
      <c r="B775" s="43"/>
      <c r="C775" s="43"/>
      <c r="D775" s="43"/>
      <c r="E775" s="43"/>
      <c r="F775" s="43"/>
      <c r="G775" s="43"/>
      <c r="H775" s="43"/>
      <c r="I775" s="43"/>
      <c r="J775" s="43"/>
      <c r="K775" s="43"/>
      <c r="L775" s="43"/>
      <c r="M775" s="43"/>
      <c r="N775" s="43"/>
      <c r="O775" s="43"/>
      <c r="P775" s="43"/>
    </row>
    <row r="776" spans="1:16" ht="12.75">
      <c r="A776" s="619"/>
      <c r="B776" s="43"/>
      <c r="C776" s="43"/>
      <c r="D776" s="43"/>
      <c r="E776" s="43"/>
      <c r="F776" s="43"/>
      <c r="G776" s="43"/>
      <c r="H776" s="43"/>
      <c r="I776" s="43"/>
      <c r="J776" s="43"/>
      <c r="K776" s="43"/>
      <c r="L776" s="43"/>
      <c r="M776" s="43"/>
      <c r="N776" s="43"/>
      <c r="O776" s="43"/>
      <c r="P776" s="43"/>
    </row>
    <row r="777" spans="1:16" ht="12.75">
      <c r="A777" s="619"/>
      <c r="B777" s="43"/>
      <c r="C777" s="43"/>
      <c r="D777" s="43"/>
      <c r="E777" s="43"/>
      <c r="F777" s="43"/>
      <c r="G777" s="43"/>
      <c r="H777" s="43"/>
      <c r="I777" s="43"/>
      <c r="J777" s="43"/>
      <c r="K777" s="43"/>
      <c r="L777" s="43"/>
      <c r="M777" s="43"/>
      <c r="N777" s="43"/>
      <c r="O777" s="43"/>
      <c r="P777" s="43"/>
    </row>
    <row r="778" spans="1:16" ht="12.75">
      <c r="A778" s="619"/>
      <c r="B778" s="43"/>
      <c r="C778" s="43"/>
      <c r="D778" s="43"/>
      <c r="E778" s="43"/>
      <c r="F778" s="43"/>
      <c r="G778" s="43"/>
      <c r="H778" s="43"/>
      <c r="I778" s="43"/>
      <c r="J778" s="43"/>
      <c r="K778" s="43"/>
      <c r="L778" s="43"/>
      <c r="M778" s="43"/>
      <c r="N778" s="43"/>
      <c r="O778" s="43"/>
      <c r="P778" s="43"/>
    </row>
    <row r="779" spans="1:16" ht="12.75">
      <c r="A779" s="619"/>
      <c r="B779" s="43"/>
      <c r="C779" s="43"/>
      <c r="D779" s="43"/>
      <c r="E779" s="43"/>
      <c r="F779" s="43"/>
      <c r="G779" s="43"/>
      <c r="H779" s="43"/>
      <c r="I779" s="43"/>
      <c r="J779" s="43"/>
      <c r="K779" s="43"/>
      <c r="L779" s="43"/>
      <c r="M779" s="43"/>
      <c r="N779" s="43"/>
      <c r="O779" s="43"/>
      <c r="P779" s="43"/>
    </row>
    <row r="780" spans="1:16" ht="12.75">
      <c r="A780" s="619"/>
      <c r="B780" s="43"/>
      <c r="C780" s="43"/>
      <c r="D780" s="43"/>
      <c r="E780" s="43"/>
      <c r="F780" s="43"/>
      <c r="G780" s="43"/>
      <c r="H780" s="43"/>
      <c r="I780" s="43"/>
      <c r="J780" s="43"/>
      <c r="K780" s="43"/>
      <c r="L780" s="43"/>
      <c r="M780" s="43"/>
      <c r="N780" s="43"/>
      <c r="O780" s="43"/>
      <c r="P780" s="43"/>
    </row>
    <row r="781" spans="1:16" ht="12.75">
      <c r="A781" s="619"/>
      <c r="B781" s="43"/>
      <c r="C781" s="43"/>
      <c r="D781" s="43"/>
      <c r="E781" s="43"/>
      <c r="F781" s="43"/>
      <c r="G781" s="43"/>
      <c r="H781" s="43"/>
      <c r="I781" s="43"/>
      <c r="J781" s="43"/>
      <c r="K781" s="43"/>
      <c r="L781" s="43"/>
      <c r="M781" s="43"/>
      <c r="N781" s="43"/>
      <c r="O781" s="43"/>
      <c r="P781" s="43"/>
    </row>
    <row r="782" spans="1:16" ht="12.75">
      <c r="A782" s="619"/>
      <c r="B782" s="43"/>
      <c r="C782" s="43"/>
      <c r="D782" s="43"/>
      <c r="E782" s="43"/>
      <c r="F782" s="43"/>
      <c r="G782" s="43"/>
      <c r="H782" s="43"/>
      <c r="I782" s="43"/>
      <c r="J782" s="43"/>
      <c r="K782" s="43"/>
      <c r="L782" s="43"/>
      <c r="M782" s="43"/>
      <c r="N782" s="43"/>
      <c r="O782" s="43"/>
      <c r="P782" s="43"/>
    </row>
    <row r="783" spans="1:16" ht="12.75">
      <c r="A783" s="619"/>
      <c r="B783" s="43"/>
      <c r="C783" s="43"/>
      <c r="D783" s="43"/>
      <c r="E783" s="43"/>
      <c r="F783" s="43"/>
      <c r="G783" s="43"/>
      <c r="H783" s="43"/>
      <c r="I783" s="43"/>
      <c r="J783" s="43"/>
      <c r="K783" s="43"/>
      <c r="L783" s="43"/>
      <c r="M783" s="43"/>
      <c r="N783" s="43"/>
      <c r="O783" s="43"/>
      <c r="P783" s="43"/>
    </row>
    <row r="784" spans="1:16" ht="12.75">
      <c r="A784" s="619"/>
      <c r="B784" s="43"/>
      <c r="C784" s="43"/>
      <c r="D784" s="43"/>
      <c r="E784" s="43"/>
      <c r="F784" s="43"/>
      <c r="G784" s="43"/>
      <c r="H784" s="43"/>
      <c r="I784" s="43"/>
      <c r="J784" s="43"/>
      <c r="K784" s="43"/>
      <c r="L784" s="43"/>
      <c r="M784" s="43"/>
      <c r="N784" s="43"/>
      <c r="O784" s="43"/>
      <c r="P784" s="43"/>
    </row>
    <row r="785" spans="1:16" ht="12.75">
      <c r="A785" s="619"/>
      <c r="B785" s="43"/>
      <c r="C785" s="43"/>
      <c r="D785" s="43"/>
      <c r="E785" s="43"/>
      <c r="F785" s="43"/>
      <c r="G785" s="43"/>
      <c r="H785" s="43"/>
      <c r="I785" s="43"/>
      <c r="J785" s="43"/>
      <c r="K785" s="43"/>
      <c r="L785" s="43"/>
      <c r="M785" s="43"/>
      <c r="N785" s="43"/>
      <c r="O785" s="43"/>
      <c r="P785" s="43"/>
    </row>
    <row r="786" spans="1:16" ht="12.75">
      <c r="A786" s="619"/>
      <c r="B786" s="43"/>
      <c r="C786" s="43"/>
      <c r="D786" s="43"/>
      <c r="E786" s="43"/>
      <c r="F786" s="43"/>
      <c r="G786" s="43"/>
      <c r="H786" s="43"/>
      <c r="I786" s="43"/>
      <c r="J786" s="43"/>
      <c r="K786" s="43"/>
      <c r="L786" s="43"/>
      <c r="M786" s="43"/>
      <c r="N786" s="43"/>
      <c r="O786" s="43"/>
      <c r="P786" s="43"/>
    </row>
    <row r="787" spans="1:16" ht="12.75">
      <c r="A787" s="619"/>
      <c r="B787" s="43"/>
      <c r="C787" s="43"/>
      <c r="D787" s="43"/>
      <c r="E787" s="43"/>
      <c r="F787" s="43"/>
      <c r="G787" s="43"/>
      <c r="H787" s="43"/>
      <c r="I787" s="43"/>
      <c r="J787" s="43"/>
      <c r="K787" s="43"/>
      <c r="L787" s="43"/>
      <c r="M787" s="43"/>
      <c r="N787" s="43"/>
      <c r="O787" s="43"/>
      <c r="P787" s="43"/>
    </row>
    <row r="788" spans="1:16" ht="12.75">
      <c r="A788" s="619"/>
      <c r="B788" s="43"/>
      <c r="C788" s="43"/>
      <c r="D788" s="43"/>
      <c r="E788" s="43"/>
      <c r="F788" s="43"/>
      <c r="G788" s="43"/>
      <c r="H788" s="43"/>
      <c r="I788" s="43"/>
      <c r="J788" s="43"/>
      <c r="K788" s="43"/>
      <c r="L788" s="43"/>
      <c r="M788" s="43"/>
      <c r="N788" s="43"/>
      <c r="O788" s="43"/>
      <c r="P788" s="43"/>
    </row>
    <row r="789" spans="1:16" ht="12.75">
      <c r="A789" s="619"/>
      <c r="B789" s="43"/>
      <c r="C789" s="43"/>
      <c r="D789" s="43"/>
      <c r="E789" s="43"/>
      <c r="F789" s="43"/>
      <c r="G789" s="43"/>
      <c r="H789" s="43"/>
      <c r="I789" s="43"/>
      <c r="J789" s="43"/>
      <c r="K789" s="43"/>
      <c r="L789" s="43"/>
      <c r="M789" s="43"/>
      <c r="N789" s="43"/>
      <c r="O789" s="43"/>
      <c r="P789" s="43"/>
    </row>
    <row r="790" spans="1:16" ht="12.75">
      <c r="A790" s="619"/>
      <c r="B790" s="43"/>
      <c r="C790" s="43"/>
      <c r="D790" s="43"/>
      <c r="E790" s="43"/>
      <c r="F790" s="43"/>
      <c r="G790" s="43"/>
      <c r="H790" s="43"/>
      <c r="I790" s="43"/>
      <c r="J790" s="43"/>
      <c r="K790" s="43"/>
      <c r="L790" s="43"/>
      <c r="M790" s="43"/>
      <c r="N790" s="43"/>
      <c r="O790" s="43"/>
      <c r="P790" s="43"/>
    </row>
    <row r="791" spans="1:16" ht="12.75">
      <c r="A791" s="619"/>
      <c r="B791" s="43"/>
      <c r="C791" s="43"/>
      <c r="D791" s="43"/>
      <c r="E791" s="43"/>
      <c r="F791" s="43"/>
      <c r="G791" s="43"/>
      <c r="H791" s="43"/>
      <c r="I791" s="43"/>
      <c r="J791" s="43"/>
      <c r="K791" s="43"/>
      <c r="L791" s="43"/>
      <c r="M791" s="43"/>
      <c r="N791" s="43"/>
      <c r="O791" s="43"/>
      <c r="P791" s="43"/>
    </row>
    <row r="792" spans="1:16" ht="12.75">
      <c r="A792" s="619"/>
      <c r="B792" s="43"/>
      <c r="C792" s="43"/>
      <c r="D792" s="43"/>
      <c r="E792" s="43"/>
      <c r="F792" s="43"/>
      <c r="G792" s="43"/>
      <c r="H792" s="43"/>
      <c r="I792" s="43"/>
      <c r="J792" s="43"/>
      <c r="K792" s="43"/>
      <c r="L792" s="43"/>
      <c r="M792" s="43"/>
      <c r="N792" s="43"/>
      <c r="O792" s="43"/>
      <c r="P792" s="43"/>
    </row>
    <row r="793" spans="1:16" ht="12.75">
      <c r="A793" s="619"/>
      <c r="B793" s="43"/>
      <c r="C793" s="43"/>
      <c r="D793" s="43"/>
      <c r="E793" s="43"/>
      <c r="F793" s="43"/>
      <c r="G793" s="43"/>
      <c r="H793" s="43"/>
      <c r="I793" s="43"/>
      <c r="J793" s="43"/>
      <c r="K793" s="43"/>
      <c r="L793" s="43"/>
      <c r="M793" s="43"/>
      <c r="N793" s="43"/>
      <c r="O793" s="43"/>
      <c r="P793" s="43"/>
    </row>
    <row r="794" spans="1:16" ht="12.75">
      <c r="A794" s="619"/>
      <c r="B794" s="43"/>
      <c r="C794" s="43"/>
      <c r="D794" s="43"/>
      <c r="E794" s="43"/>
      <c r="F794" s="43"/>
      <c r="G794" s="43"/>
      <c r="H794" s="43"/>
      <c r="I794" s="43"/>
      <c r="J794" s="43"/>
      <c r="K794" s="43"/>
      <c r="L794" s="43"/>
      <c r="M794" s="43"/>
      <c r="N794" s="43"/>
      <c r="O794" s="43"/>
      <c r="P794" s="43"/>
    </row>
    <row r="795" spans="1:16" ht="12.75">
      <c r="A795" s="619"/>
      <c r="B795" s="43"/>
      <c r="C795" s="43"/>
      <c r="D795" s="43"/>
      <c r="E795" s="43"/>
      <c r="F795" s="43"/>
      <c r="G795" s="43"/>
      <c r="H795" s="43"/>
      <c r="I795" s="43"/>
      <c r="J795" s="43"/>
      <c r="K795" s="43"/>
      <c r="L795" s="43"/>
      <c r="M795" s="43"/>
      <c r="N795" s="43"/>
      <c r="O795" s="43"/>
      <c r="P795" s="43"/>
    </row>
    <row r="796" spans="1:16" ht="12.75">
      <c r="A796" s="619"/>
      <c r="B796" s="43"/>
      <c r="C796" s="43"/>
      <c r="D796" s="43"/>
      <c r="E796" s="43"/>
      <c r="F796" s="43"/>
      <c r="G796" s="43"/>
      <c r="H796" s="43"/>
      <c r="I796" s="43"/>
      <c r="J796" s="43"/>
      <c r="K796" s="43"/>
      <c r="L796" s="43"/>
      <c r="M796" s="43"/>
      <c r="N796" s="43"/>
      <c r="O796" s="43"/>
      <c r="P796" s="43"/>
    </row>
    <row r="797" spans="1:16" ht="12.75">
      <c r="A797" s="619"/>
      <c r="B797" s="43"/>
      <c r="C797" s="43"/>
      <c r="D797" s="43"/>
      <c r="E797" s="43"/>
      <c r="F797" s="43"/>
      <c r="G797" s="43"/>
      <c r="H797" s="43"/>
      <c r="I797" s="43"/>
      <c r="J797" s="43"/>
      <c r="K797" s="43"/>
      <c r="L797" s="43"/>
      <c r="M797" s="43"/>
      <c r="N797" s="43"/>
      <c r="O797" s="43"/>
      <c r="P797" s="43"/>
    </row>
    <row r="798" spans="1:16" ht="12.75">
      <c r="A798" s="619"/>
      <c r="B798" s="43"/>
      <c r="C798" s="43"/>
      <c r="D798" s="43"/>
      <c r="E798" s="43"/>
      <c r="F798" s="43"/>
      <c r="G798" s="43"/>
      <c r="H798" s="43"/>
      <c r="I798" s="43"/>
      <c r="J798" s="43"/>
      <c r="K798" s="43"/>
      <c r="L798" s="43"/>
      <c r="M798" s="43"/>
      <c r="N798" s="43"/>
      <c r="O798" s="43"/>
      <c r="P798" s="43"/>
    </row>
    <row r="799" spans="1:16" ht="12.75">
      <c r="A799" s="619"/>
      <c r="B799" s="43"/>
      <c r="C799" s="43"/>
      <c r="D799" s="43"/>
      <c r="E799" s="43"/>
      <c r="F799" s="43"/>
      <c r="G799" s="43"/>
      <c r="H799" s="43"/>
      <c r="I799" s="43"/>
      <c r="J799" s="43"/>
      <c r="K799" s="43"/>
      <c r="L799" s="43"/>
      <c r="M799" s="43"/>
      <c r="N799" s="43"/>
      <c r="O799" s="43"/>
      <c r="P799" s="43"/>
    </row>
    <row r="800" spans="1:16" ht="12.75">
      <c r="A800" s="619"/>
      <c r="B800" s="43"/>
      <c r="C800" s="43"/>
      <c r="D800" s="43"/>
      <c r="E800" s="43"/>
      <c r="F800" s="43"/>
      <c r="G800" s="43"/>
      <c r="H800" s="43"/>
      <c r="I800" s="43"/>
      <c r="J800" s="43"/>
      <c r="K800" s="43"/>
      <c r="L800" s="43"/>
      <c r="M800" s="43"/>
      <c r="N800" s="43"/>
      <c r="O800" s="43"/>
      <c r="P800" s="43"/>
    </row>
    <row r="801" spans="1:16" ht="12.75">
      <c r="A801" s="619"/>
      <c r="B801" s="43"/>
      <c r="C801" s="43"/>
      <c r="D801" s="43"/>
      <c r="E801" s="43"/>
      <c r="F801" s="43"/>
      <c r="G801" s="43"/>
      <c r="H801" s="43"/>
      <c r="I801" s="43"/>
      <c r="J801" s="43"/>
      <c r="K801" s="43"/>
      <c r="L801" s="43"/>
      <c r="M801" s="43"/>
      <c r="N801" s="43"/>
      <c r="O801" s="43"/>
      <c r="P801" s="43"/>
    </row>
    <row r="802" spans="1:16" ht="12.75">
      <c r="A802" s="619"/>
      <c r="B802" s="43"/>
      <c r="C802" s="43"/>
      <c r="D802" s="43"/>
      <c r="E802" s="43"/>
      <c r="F802" s="43"/>
      <c r="G802" s="43"/>
      <c r="H802" s="43"/>
      <c r="I802" s="43"/>
      <c r="J802" s="43"/>
      <c r="K802" s="43"/>
      <c r="L802" s="43"/>
      <c r="M802" s="43"/>
      <c r="N802" s="43"/>
      <c r="O802" s="43"/>
      <c r="P802" s="43"/>
    </row>
    <row r="803" spans="1:16" ht="12.75">
      <c r="A803" s="619"/>
      <c r="B803" s="43"/>
      <c r="C803" s="43"/>
      <c r="D803" s="43"/>
      <c r="E803" s="43"/>
      <c r="F803" s="43"/>
      <c r="G803" s="43"/>
      <c r="H803" s="43"/>
      <c r="I803" s="43"/>
      <c r="J803" s="43"/>
      <c r="K803" s="43"/>
      <c r="L803" s="43"/>
      <c r="M803" s="43"/>
      <c r="N803" s="43"/>
      <c r="O803" s="43"/>
      <c r="P803" s="43"/>
    </row>
    <row r="804" spans="1:16" ht="12.75">
      <c r="A804" s="619"/>
      <c r="B804" s="43"/>
      <c r="C804" s="43"/>
      <c r="D804" s="43"/>
      <c r="E804" s="43"/>
      <c r="F804" s="43"/>
      <c r="G804" s="43"/>
      <c r="H804" s="43"/>
      <c r="I804" s="43"/>
      <c r="J804" s="43"/>
      <c r="K804" s="43"/>
      <c r="L804" s="43"/>
      <c r="M804" s="43"/>
      <c r="N804" s="43"/>
      <c r="O804" s="43"/>
      <c r="P804" s="43"/>
    </row>
    <row r="805" spans="1:16" ht="12.75">
      <c r="A805" s="619"/>
      <c r="B805" s="43"/>
      <c r="C805" s="43"/>
      <c r="D805" s="43"/>
      <c r="E805" s="43"/>
      <c r="F805" s="43"/>
      <c r="G805" s="43"/>
      <c r="H805" s="43"/>
      <c r="I805" s="43"/>
      <c r="J805" s="43"/>
      <c r="K805" s="43"/>
      <c r="L805" s="43"/>
      <c r="M805" s="43"/>
      <c r="N805" s="43"/>
      <c r="O805" s="43"/>
      <c r="P805" s="43"/>
    </row>
    <row r="806" spans="1:16" ht="12.75">
      <c r="A806" s="619"/>
      <c r="B806" s="43"/>
      <c r="C806" s="43"/>
      <c r="D806" s="43"/>
      <c r="E806" s="43"/>
      <c r="F806" s="43"/>
      <c r="G806" s="43"/>
      <c r="H806" s="43"/>
      <c r="I806" s="43"/>
      <c r="J806" s="43"/>
      <c r="K806" s="43"/>
      <c r="L806" s="43"/>
      <c r="M806" s="43"/>
      <c r="N806" s="43"/>
      <c r="O806" s="43"/>
      <c r="P806" s="43"/>
    </row>
    <row r="807" spans="1:16" ht="12.75">
      <c r="A807" s="619"/>
      <c r="B807" s="43"/>
      <c r="C807" s="43"/>
      <c r="D807" s="43"/>
      <c r="E807" s="43"/>
      <c r="F807" s="43"/>
      <c r="G807" s="43"/>
      <c r="H807" s="43"/>
      <c r="I807" s="43"/>
      <c r="J807" s="43"/>
      <c r="K807" s="43"/>
      <c r="L807" s="43"/>
      <c r="M807" s="43"/>
      <c r="N807" s="43"/>
      <c r="O807" s="43"/>
      <c r="P807" s="43"/>
    </row>
    <row r="808" spans="1:16" ht="12.75">
      <c r="A808" s="619"/>
      <c r="B808" s="43"/>
      <c r="C808" s="43"/>
      <c r="D808" s="43"/>
      <c r="E808" s="43"/>
      <c r="F808" s="43"/>
      <c r="G808" s="43"/>
      <c r="H808" s="43"/>
      <c r="I808" s="43"/>
      <c r="J808" s="43"/>
      <c r="K808" s="43"/>
      <c r="L808" s="43"/>
      <c r="M808" s="43"/>
      <c r="N808" s="43"/>
      <c r="O808" s="43"/>
      <c r="P808" s="43"/>
    </row>
    <row r="809" spans="1:16" ht="12.75">
      <c r="A809" s="619"/>
      <c r="B809" s="43"/>
      <c r="C809" s="43"/>
      <c r="D809" s="43"/>
      <c r="E809" s="43"/>
      <c r="F809" s="43"/>
      <c r="G809" s="43"/>
      <c r="H809" s="43"/>
      <c r="I809" s="43"/>
      <c r="J809" s="43"/>
      <c r="K809" s="43"/>
      <c r="L809" s="43"/>
      <c r="M809" s="43"/>
      <c r="N809" s="43"/>
      <c r="O809" s="43"/>
      <c r="P809" s="43"/>
    </row>
    <row r="810" spans="1:16" ht="12.75">
      <c r="A810" s="619"/>
      <c r="B810" s="43"/>
      <c r="C810" s="43"/>
      <c r="D810" s="43"/>
      <c r="E810" s="43"/>
      <c r="F810" s="43"/>
      <c r="G810" s="43"/>
      <c r="H810" s="43"/>
      <c r="I810" s="43"/>
      <c r="J810" s="43"/>
      <c r="K810" s="43"/>
      <c r="L810" s="43"/>
      <c r="M810" s="43"/>
      <c r="N810" s="43"/>
      <c r="O810" s="43"/>
      <c r="P810" s="43"/>
    </row>
    <row r="811" spans="1:16" ht="12.75">
      <c r="A811" s="619"/>
      <c r="B811" s="43"/>
      <c r="C811" s="43"/>
      <c r="D811" s="43"/>
      <c r="E811" s="43"/>
      <c r="F811" s="43"/>
      <c r="G811" s="43"/>
      <c r="H811" s="43"/>
      <c r="I811" s="43"/>
      <c r="J811" s="43"/>
      <c r="K811" s="43"/>
      <c r="L811" s="43"/>
      <c r="M811" s="43"/>
      <c r="N811" s="43"/>
      <c r="O811" s="43"/>
      <c r="P811" s="43"/>
    </row>
    <row r="812" spans="1:16" ht="12.75">
      <c r="A812" s="619"/>
      <c r="B812" s="43"/>
      <c r="C812" s="43"/>
      <c r="D812" s="43"/>
      <c r="E812" s="43"/>
      <c r="F812" s="43"/>
      <c r="G812" s="43"/>
      <c r="H812" s="43"/>
      <c r="I812" s="43"/>
      <c r="J812" s="43"/>
      <c r="K812" s="43"/>
      <c r="L812" s="43"/>
      <c r="M812" s="43"/>
      <c r="N812" s="43"/>
      <c r="O812" s="43"/>
      <c r="P812" s="43"/>
    </row>
    <row r="813" spans="1:16" ht="12.75">
      <c r="A813" s="619"/>
      <c r="B813" s="43"/>
      <c r="C813" s="43"/>
      <c r="D813" s="43"/>
      <c r="E813" s="43"/>
      <c r="F813" s="43"/>
      <c r="G813" s="43"/>
      <c r="H813" s="43"/>
      <c r="I813" s="43"/>
      <c r="J813" s="43"/>
      <c r="K813" s="43"/>
      <c r="L813" s="43"/>
      <c r="M813" s="43"/>
      <c r="N813" s="43"/>
      <c r="O813" s="43"/>
      <c r="P813" s="43"/>
    </row>
    <row r="814" spans="1:16" ht="12.75">
      <c r="A814" s="619"/>
      <c r="B814" s="43"/>
      <c r="C814" s="43"/>
      <c r="D814" s="43"/>
      <c r="E814" s="43"/>
      <c r="F814" s="43"/>
      <c r="G814" s="43"/>
      <c r="H814" s="43"/>
      <c r="I814" s="43"/>
      <c r="J814" s="43"/>
      <c r="K814" s="43"/>
      <c r="L814" s="43"/>
      <c r="M814" s="43"/>
      <c r="N814" s="43"/>
      <c r="O814" s="43"/>
      <c r="P814" s="43"/>
    </row>
    <row r="815" spans="1:16" ht="12.75">
      <c r="A815" s="619"/>
      <c r="B815" s="43"/>
      <c r="C815" s="43"/>
      <c r="D815" s="43"/>
      <c r="E815" s="43"/>
      <c r="F815" s="43"/>
      <c r="G815" s="43"/>
      <c r="H815" s="43"/>
      <c r="I815" s="43"/>
      <c r="J815" s="43"/>
      <c r="K815" s="43"/>
      <c r="L815" s="43"/>
      <c r="M815" s="43"/>
      <c r="N815" s="43"/>
      <c r="O815" s="43"/>
      <c r="P815" s="43"/>
    </row>
    <row r="816" spans="1:16" ht="12.75">
      <c r="A816" s="619"/>
      <c r="B816" s="43"/>
      <c r="C816" s="43"/>
      <c r="D816" s="43"/>
      <c r="E816" s="43"/>
      <c r="F816" s="43"/>
      <c r="G816" s="43"/>
      <c r="H816" s="43"/>
      <c r="I816" s="43"/>
      <c r="J816" s="43"/>
      <c r="K816" s="43"/>
      <c r="L816" s="43"/>
      <c r="M816" s="43"/>
      <c r="N816" s="43"/>
      <c r="O816" s="43"/>
      <c r="P816" s="43"/>
    </row>
    <row r="817" spans="1:16" ht="12.75">
      <c r="A817" s="619"/>
      <c r="B817" s="43"/>
      <c r="C817" s="43"/>
      <c r="D817" s="43"/>
      <c r="E817" s="43"/>
      <c r="F817" s="43"/>
      <c r="G817" s="43"/>
      <c r="H817" s="43"/>
      <c r="I817" s="43"/>
      <c r="J817" s="43"/>
      <c r="K817" s="43"/>
      <c r="L817" s="43"/>
      <c r="M817" s="43"/>
      <c r="N817" s="43"/>
      <c r="O817" s="43"/>
      <c r="P817" s="43"/>
    </row>
    <row r="818" spans="1:16" ht="12.75">
      <c r="A818" s="619"/>
      <c r="B818" s="43"/>
      <c r="C818" s="43"/>
      <c r="D818" s="43"/>
      <c r="E818" s="43"/>
      <c r="F818" s="43"/>
      <c r="G818" s="43"/>
      <c r="H818" s="43"/>
      <c r="I818" s="43"/>
      <c r="J818" s="43"/>
      <c r="K818" s="43"/>
      <c r="L818" s="43"/>
      <c r="M818" s="43"/>
      <c r="N818" s="43"/>
      <c r="O818" s="43"/>
      <c r="P818" s="43"/>
    </row>
    <row r="819" spans="1:16" ht="12.75">
      <c r="A819" s="619"/>
      <c r="B819" s="43"/>
      <c r="C819" s="43"/>
      <c r="D819" s="43"/>
      <c r="E819" s="43"/>
      <c r="F819" s="43"/>
      <c r="G819" s="43"/>
      <c r="H819" s="43"/>
      <c r="I819" s="43"/>
      <c r="J819" s="43"/>
      <c r="K819" s="43"/>
      <c r="L819" s="43"/>
      <c r="M819" s="43"/>
      <c r="N819" s="43"/>
      <c r="O819" s="43"/>
      <c r="P819" s="43"/>
    </row>
    <row r="820" spans="1:16" ht="12.75">
      <c r="A820" s="619"/>
      <c r="B820" s="43"/>
      <c r="C820" s="43"/>
      <c r="D820" s="43"/>
      <c r="E820" s="43"/>
      <c r="F820" s="43"/>
      <c r="G820" s="43"/>
      <c r="H820" s="43"/>
      <c r="I820" s="43"/>
      <c r="J820" s="43"/>
      <c r="K820" s="43"/>
      <c r="L820" s="43"/>
      <c r="M820" s="43"/>
      <c r="N820" s="43"/>
      <c r="O820" s="43"/>
      <c r="P820" s="43"/>
    </row>
    <row r="821" spans="1:16" ht="12.75">
      <c r="A821" s="619"/>
      <c r="B821" s="43"/>
      <c r="C821" s="43"/>
      <c r="D821" s="43"/>
      <c r="E821" s="43"/>
      <c r="F821" s="43"/>
      <c r="G821" s="43"/>
      <c r="H821" s="43"/>
      <c r="I821" s="43"/>
      <c r="J821" s="43"/>
      <c r="K821" s="43"/>
      <c r="L821" s="43"/>
      <c r="M821" s="43"/>
      <c r="N821" s="43"/>
      <c r="O821" s="43"/>
      <c r="P821" s="43"/>
    </row>
    <row r="822" spans="1:16" ht="12.75">
      <c r="A822" s="619"/>
      <c r="B822" s="43"/>
      <c r="C822" s="43"/>
      <c r="D822" s="43"/>
      <c r="E822" s="43"/>
      <c r="F822" s="43"/>
      <c r="G822" s="43"/>
      <c r="H822" s="43"/>
      <c r="I822" s="43"/>
      <c r="J822" s="43"/>
      <c r="K822" s="43"/>
      <c r="L822" s="43"/>
      <c r="M822" s="43"/>
      <c r="N822" s="43"/>
      <c r="O822" s="43"/>
      <c r="P822" s="43"/>
    </row>
    <row r="823" spans="1:16" ht="12.75">
      <c r="A823" s="619"/>
      <c r="B823" s="43"/>
      <c r="C823" s="43"/>
      <c r="D823" s="43"/>
      <c r="E823" s="43"/>
      <c r="F823" s="43"/>
      <c r="G823" s="43"/>
      <c r="H823" s="43"/>
      <c r="I823" s="43"/>
      <c r="J823" s="43"/>
      <c r="K823" s="43"/>
      <c r="L823" s="43"/>
      <c r="M823" s="43"/>
      <c r="N823" s="43"/>
      <c r="O823" s="43"/>
      <c r="P823" s="43"/>
    </row>
    <row r="824" spans="1:16" ht="12.75">
      <c r="A824" s="619"/>
      <c r="B824" s="43"/>
      <c r="C824" s="43"/>
      <c r="D824" s="43"/>
      <c r="E824" s="43"/>
      <c r="F824" s="43"/>
      <c r="G824" s="43"/>
      <c r="H824" s="43"/>
      <c r="I824" s="43"/>
      <c r="J824" s="43"/>
      <c r="K824" s="43"/>
      <c r="L824" s="43"/>
      <c r="M824" s="43"/>
      <c r="N824" s="43"/>
      <c r="O824" s="43"/>
      <c r="P824" s="43"/>
    </row>
    <row r="825" spans="1:16" ht="12.75">
      <c r="A825" s="619"/>
      <c r="B825" s="43"/>
      <c r="C825" s="43"/>
      <c r="D825" s="43"/>
      <c r="E825" s="43"/>
      <c r="F825" s="43"/>
      <c r="G825" s="43"/>
      <c r="H825" s="43"/>
      <c r="I825" s="43"/>
      <c r="J825" s="43"/>
      <c r="K825" s="43"/>
      <c r="L825" s="43"/>
      <c r="M825" s="43"/>
      <c r="N825" s="43"/>
      <c r="O825" s="43"/>
      <c r="P825" s="43"/>
    </row>
    <row r="826" spans="1:16" ht="12.75">
      <c r="A826" s="619"/>
      <c r="B826" s="43"/>
      <c r="C826" s="43"/>
      <c r="D826" s="43"/>
      <c r="E826" s="43"/>
      <c r="F826" s="43"/>
      <c r="G826" s="43"/>
      <c r="H826" s="43"/>
      <c r="I826" s="43"/>
      <c r="J826" s="43"/>
      <c r="K826" s="43"/>
      <c r="L826" s="43"/>
      <c r="M826" s="43"/>
      <c r="N826" s="43"/>
      <c r="O826" s="43"/>
      <c r="P826" s="43"/>
    </row>
    <row r="827" spans="1:16" ht="12.75">
      <c r="A827" s="619"/>
      <c r="B827" s="43"/>
      <c r="C827" s="43"/>
      <c r="D827" s="43"/>
      <c r="E827" s="43"/>
      <c r="F827" s="43"/>
      <c r="G827" s="43"/>
      <c r="H827" s="43"/>
      <c r="I827" s="43"/>
      <c r="J827" s="43"/>
      <c r="K827" s="43"/>
      <c r="L827" s="43"/>
      <c r="M827" s="43"/>
      <c r="N827" s="43"/>
      <c r="O827" s="43"/>
      <c r="P827" s="43"/>
    </row>
    <row r="828" spans="1:16" ht="12.75">
      <c r="A828" s="619"/>
      <c r="B828" s="43"/>
      <c r="C828" s="43"/>
      <c r="D828" s="43"/>
      <c r="E828" s="43"/>
      <c r="F828" s="43"/>
      <c r="G828" s="43"/>
      <c r="H828" s="43"/>
      <c r="I828" s="43"/>
      <c r="J828" s="43"/>
      <c r="K828" s="43"/>
      <c r="L828" s="43"/>
      <c r="M828" s="43"/>
      <c r="N828" s="43"/>
      <c r="O828" s="43"/>
      <c r="P828" s="43"/>
    </row>
    <row r="829" spans="1:16" ht="12.75">
      <c r="A829" s="619"/>
      <c r="B829" s="43"/>
      <c r="C829" s="43"/>
      <c r="D829" s="43"/>
      <c r="E829" s="43"/>
      <c r="F829" s="43"/>
      <c r="G829" s="43"/>
      <c r="H829" s="43"/>
      <c r="I829" s="43"/>
      <c r="J829" s="43"/>
      <c r="K829" s="43"/>
      <c r="L829" s="43"/>
      <c r="M829" s="43"/>
      <c r="N829" s="43"/>
      <c r="O829" s="43"/>
      <c r="P829" s="43"/>
    </row>
    <row r="830" spans="1:16" ht="12.75">
      <c r="A830" s="619"/>
      <c r="B830" s="43"/>
      <c r="C830" s="43"/>
      <c r="D830" s="43"/>
      <c r="E830" s="43"/>
      <c r="F830" s="43"/>
      <c r="G830" s="43"/>
      <c r="H830" s="43"/>
      <c r="I830" s="43"/>
      <c r="J830" s="43"/>
      <c r="K830" s="43"/>
      <c r="L830" s="43"/>
      <c r="M830" s="43"/>
      <c r="N830" s="43"/>
      <c r="O830" s="43"/>
      <c r="P830" s="43"/>
    </row>
    <row r="831" spans="1:16" ht="12.75">
      <c r="A831" s="619"/>
      <c r="B831" s="43"/>
      <c r="C831" s="43"/>
      <c r="D831" s="43"/>
      <c r="E831" s="43"/>
      <c r="F831" s="43"/>
      <c r="G831" s="43"/>
      <c r="H831" s="43"/>
      <c r="I831" s="43"/>
      <c r="J831" s="43"/>
      <c r="K831" s="43"/>
      <c r="L831" s="43"/>
      <c r="M831" s="43"/>
      <c r="N831" s="43"/>
      <c r="O831" s="43"/>
      <c r="P831" s="43"/>
    </row>
    <row r="832" spans="1:16" ht="12.75">
      <c r="A832" s="619"/>
      <c r="B832" s="43"/>
      <c r="C832" s="43"/>
      <c r="D832" s="43"/>
      <c r="E832" s="43"/>
      <c r="F832" s="43"/>
      <c r="G832" s="43"/>
      <c r="H832" s="43"/>
      <c r="I832" s="43"/>
      <c r="J832" s="43"/>
      <c r="K832" s="43"/>
      <c r="L832" s="43"/>
      <c r="M832" s="43"/>
      <c r="N832" s="43"/>
      <c r="O832" s="43"/>
      <c r="P832" s="43"/>
    </row>
    <row r="833" spans="1:16" ht="12.75">
      <c r="A833" s="619"/>
      <c r="B833" s="43"/>
      <c r="C833" s="43"/>
      <c r="D833" s="43"/>
      <c r="E833" s="43"/>
      <c r="F833" s="43"/>
      <c r="G833" s="43"/>
      <c r="H833" s="43"/>
      <c r="I833" s="43"/>
      <c r="J833" s="43"/>
      <c r="K833" s="43"/>
      <c r="L833" s="43"/>
      <c r="M833" s="43"/>
      <c r="N833" s="43"/>
      <c r="O833" s="43"/>
      <c r="P833" s="43"/>
    </row>
    <row r="834" spans="1:16" ht="12.75">
      <c r="A834" s="619"/>
      <c r="B834" s="43"/>
      <c r="C834" s="43"/>
      <c r="D834" s="43"/>
      <c r="E834" s="43"/>
      <c r="F834" s="43"/>
      <c r="G834" s="43"/>
      <c r="H834" s="43"/>
      <c r="I834" s="43"/>
      <c r="J834" s="43"/>
      <c r="K834" s="43"/>
      <c r="L834" s="43"/>
      <c r="M834" s="43"/>
      <c r="N834" s="43"/>
      <c r="O834" s="43"/>
      <c r="P834" s="43"/>
    </row>
    <row r="835" spans="1:16" ht="12.75">
      <c r="A835" s="619"/>
      <c r="B835" s="43"/>
      <c r="C835" s="43"/>
      <c r="D835" s="43"/>
      <c r="E835" s="43"/>
      <c r="F835" s="43"/>
      <c r="G835" s="43"/>
      <c r="H835" s="43"/>
      <c r="I835" s="43"/>
      <c r="J835" s="43"/>
      <c r="K835" s="43"/>
      <c r="L835" s="43"/>
      <c r="M835" s="43"/>
      <c r="N835" s="43"/>
      <c r="O835" s="43"/>
      <c r="P835" s="43"/>
    </row>
    <row r="836" spans="1:16" ht="12.75">
      <c r="A836" s="619"/>
      <c r="B836" s="43"/>
      <c r="C836" s="43"/>
      <c r="D836" s="43"/>
      <c r="E836" s="43"/>
      <c r="F836" s="43"/>
      <c r="G836" s="43"/>
      <c r="H836" s="43"/>
      <c r="I836" s="43"/>
      <c r="J836" s="43"/>
      <c r="K836" s="43"/>
      <c r="L836" s="43"/>
      <c r="M836" s="43"/>
      <c r="N836" s="43"/>
      <c r="O836" s="43"/>
      <c r="P836" s="43"/>
    </row>
    <row r="837" spans="1:16" ht="12.75">
      <c r="A837" s="619"/>
      <c r="B837" s="43"/>
      <c r="C837" s="43"/>
      <c r="D837" s="43"/>
      <c r="E837" s="43"/>
      <c r="F837" s="43"/>
      <c r="G837" s="43"/>
      <c r="H837" s="43"/>
      <c r="I837" s="43"/>
      <c r="J837" s="43"/>
      <c r="K837" s="43"/>
      <c r="L837" s="43"/>
      <c r="M837" s="43"/>
      <c r="N837" s="43"/>
      <c r="O837" s="43"/>
      <c r="P837" s="43"/>
    </row>
    <row r="838" spans="1:16" ht="12.75">
      <c r="A838" s="619"/>
      <c r="B838" s="43"/>
      <c r="C838" s="43"/>
      <c r="D838" s="43"/>
      <c r="E838" s="43"/>
      <c r="F838" s="43"/>
      <c r="G838" s="43"/>
      <c r="H838" s="43"/>
      <c r="I838" s="43"/>
      <c r="J838" s="43"/>
      <c r="K838" s="43"/>
      <c r="L838" s="43"/>
      <c r="M838" s="43"/>
      <c r="N838" s="43"/>
      <c r="O838" s="43"/>
      <c r="P838" s="43"/>
    </row>
    <row r="839" spans="1:16" ht="12.75">
      <c r="A839" s="619"/>
      <c r="B839" s="43"/>
      <c r="C839" s="43"/>
      <c r="D839" s="43"/>
      <c r="E839" s="43"/>
      <c r="F839" s="43"/>
      <c r="G839" s="43"/>
      <c r="H839" s="43"/>
      <c r="I839" s="43"/>
      <c r="J839" s="43"/>
      <c r="K839" s="43"/>
      <c r="L839" s="43"/>
      <c r="M839" s="43"/>
      <c r="N839" s="43"/>
      <c r="O839" s="43"/>
      <c r="P839" s="43"/>
    </row>
    <row r="840" spans="1:16" ht="12.75">
      <c r="A840" s="619"/>
      <c r="B840" s="43"/>
      <c r="C840" s="43"/>
      <c r="D840" s="43"/>
      <c r="E840" s="43"/>
      <c r="F840" s="43"/>
      <c r="G840" s="43"/>
      <c r="H840" s="43"/>
      <c r="I840" s="43"/>
      <c r="J840" s="43"/>
      <c r="K840" s="43"/>
      <c r="L840" s="43"/>
      <c r="M840" s="43"/>
      <c r="N840" s="43"/>
      <c r="O840" s="43"/>
      <c r="P840" s="43"/>
    </row>
    <row r="841" spans="1:16" ht="12.75">
      <c r="A841" s="619"/>
      <c r="B841" s="43"/>
      <c r="C841" s="43"/>
      <c r="D841" s="43"/>
      <c r="E841" s="43"/>
      <c r="F841" s="43"/>
      <c r="G841" s="43"/>
      <c r="H841" s="43"/>
      <c r="I841" s="43"/>
      <c r="J841" s="43"/>
      <c r="K841" s="43"/>
      <c r="L841" s="43"/>
      <c r="M841" s="43"/>
      <c r="N841" s="43"/>
      <c r="O841" s="43"/>
      <c r="P841" s="43"/>
    </row>
    <row r="842" spans="1:16" ht="12.75">
      <c r="A842" s="619"/>
      <c r="B842" s="43"/>
      <c r="C842" s="43"/>
      <c r="D842" s="43"/>
      <c r="E842" s="43"/>
      <c r="F842" s="43"/>
      <c r="G842" s="43"/>
      <c r="H842" s="43"/>
      <c r="I842" s="43"/>
      <c r="J842" s="43"/>
      <c r="K842" s="43"/>
      <c r="L842" s="43"/>
      <c r="M842" s="43"/>
      <c r="N842" s="43"/>
      <c r="O842" s="43"/>
      <c r="P842" s="43"/>
    </row>
    <row r="843" spans="1:16" ht="12.75">
      <c r="A843" s="619"/>
      <c r="B843" s="43"/>
      <c r="C843" s="43"/>
      <c r="D843" s="43"/>
      <c r="E843" s="43"/>
      <c r="F843" s="43"/>
      <c r="G843" s="43"/>
      <c r="H843" s="43"/>
      <c r="I843" s="43"/>
      <c r="J843" s="43"/>
      <c r="K843" s="43"/>
      <c r="L843" s="43"/>
      <c r="M843" s="43"/>
      <c r="N843" s="43"/>
      <c r="O843" s="43"/>
      <c r="P843" s="43"/>
    </row>
    <row r="844" spans="1:16" ht="12.75">
      <c r="A844" s="619"/>
      <c r="B844" s="43"/>
      <c r="C844" s="43"/>
      <c r="D844" s="43"/>
      <c r="E844" s="43"/>
      <c r="F844" s="43"/>
      <c r="G844" s="43"/>
      <c r="H844" s="43"/>
      <c r="I844" s="43"/>
      <c r="J844" s="43"/>
      <c r="K844" s="43"/>
      <c r="L844" s="43"/>
      <c r="M844" s="43"/>
      <c r="N844" s="43"/>
      <c r="O844" s="43"/>
      <c r="P844" s="43"/>
    </row>
    <row r="845" spans="1:16" ht="12.75">
      <c r="A845" s="619"/>
      <c r="B845" s="43"/>
      <c r="C845" s="43"/>
      <c r="D845" s="43"/>
      <c r="E845" s="43"/>
      <c r="F845" s="43"/>
      <c r="G845" s="43"/>
      <c r="H845" s="43"/>
      <c r="I845" s="43"/>
      <c r="J845" s="43"/>
      <c r="K845" s="43"/>
      <c r="L845" s="43"/>
      <c r="M845" s="43"/>
      <c r="N845" s="43"/>
      <c r="O845" s="43"/>
      <c r="P845" s="43"/>
    </row>
    <row r="846" spans="1:16" ht="12.75">
      <c r="A846" s="619"/>
      <c r="B846" s="43"/>
      <c r="C846" s="43"/>
      <c r="D846" s="43"/>
      <c r="E846" s="43"/>
      <c r="F846" s="43"/>
      <c r="G846" s="43"/>
      <c r="H846" s="43"/>
      <c r="I846" s="43"/>
      <c r="J846" s="43"/>
      <c r="K846" s="43"/>
      <c r="L846" s="43"/>
      <c r="M846" s="43"/>
      <c r="N846" s="43"/>
      <c r="O846" s="43"/>
      <c r="P846" s="43"/>
    </row>
    <row r="847" spans="1:16" ht="12.75">
      <c r="A847" s="619"/>
      <c r="B847" s="43"/>
      <c r="C847" s="43"/>
      <c r="D847" s="43"/>
      <c r="E847" s="43"/>
      <c r="F847" s="43"/>
      <c r="G847" s="43"/>
      <c r="H847" s="43"/>
      <c r="I847" s="43"/>
      <c r="J847" s="43"/>
      <c r="K847" s="43"/>
      <c r="L847" s="43"/>
      <c r="M847" s="43"/>
      <c r="N847" s="43"/>
      <c r="O847" s="43"/>
      <c r="P847" s="43"/>
    </row>
    <row r="848" spans="1:16" ht="12.75">
      <c r="A848" s="619"/>
      <c r="B848" s="43"/>
      <c r="C848" s="43"/>
      <c r="D848" s="43"/>
      <c r="E848" s="43"/>
      <c r="F848" s="43"/>
      <c r="G848" s="43"/>
      <c r="H848" s="43"/>
      <c r="I848" s="43"/>
      <c r="J848" s="43"/>
      <c r="K848" s="43"/>
      <c r="L848" s="43"/>
      <c r="M848" s="43"/>
      <c r="N848" s="43"/>
      <c r="O848" s="43"/>
      <c r="P848" s="43"/>
    </row>
    <row r="849" spans="1:16" ht="12.75">
      <c r="A849" s="619"/>
      <c r="B849" s="43"/>
      <c r="C849" s="43"/>
      <c r="D849" s="43"/>
      <c r="E849" s="43"/>
      <c r="F849" s="43"/>
      <c r="G849" s="43"/>
      <c r="H849" s="43"/>
      <c r="I849" s="43"/>
      <c r="J849" s="43"/>
      <c r="K849" s="43"/>
      <c r="L849" s="43"/>
      <c r="M849" s="43"/>
      <c r="N849" s="43"/>
      <c r="O849" s="43"/>
      <c r="P849" s="43"/>
    </row>
    <row r="850" spans="1:16" ht="12.75">
      <c r="A850" s="619"/>
      <c r="B850" s="43"/>
      <c r="C850" s="43"/>
      <c r="D850" s="43"/>
      <c r="E850" s="43"/>
      <c r="F850" s="43"/>
      <c r="G850" s="43"/>
      <c r="H850" s="43"/>
      <c r="I850" s="43"/>
      <c r="J850" s="43"/>
      <c r="K850" s="43"/>
      <c r="L850" s="43"/>
      <c r="M850" s="43"/>
      <c r="N850" s="43"/>
      <c r="O850" s="43"/>
      <c r="P850" s="43"/>
    </row>
    <row r="851" spans="1:16" ht="12.75">
      <c r="A851" s="619"/>
      <c r="B851" s="43"/>
      <c r="C851" s="43"/>
      <c r="D851" s="43"/>
      <c r="E851" s="43"/>
      <c r="F851" s="43"/>
      <c r="G851" s="43"/>
      <c r="H851" s="43"/>
      <c r="I851" s="43"/>
      <c r="J851" s="43"/>
      <c r="K851" s="43"/>
      <c r="L851" s="43"/>
      <c r="M851" s="43"/>
      <c r="N851" s="43"/>
      <c r="O851" s="43"/>
      <c r="P851" s="43"/>
    </row>
    <row r="852" spans="1:16" ht="12.75">
      <c r="A852" s="619"/>
      <c r="B852" s="43"/>
      <c r="C852" s="43"/>
      <c r="D852" s="43"/>
      <c r="E852" s="43"/>
      <c r="F852" s="43"/>
      <c r="G852" s="43"/>
      <c r="H852" s="43"/>
      <c r="I852" s="43"/>
      <c r="J852" s="43"/>
      <c r="K852" s="43"/>
      <c r="L852" s="43"/>
      <c r="M852" s="43"/>
      <c r="N852" s="43"/>
      <c r="O852" s="43"/>
      <c r="P852" s="43"/>
    </row>
    <row r="853" spans="1:16" ht="12.75">
      <c r="A853" s="619"/>
      <c r="B853" s="43"/>
      <c r="C853" s="43"/>
      <c r="D853" s="43"/>
      <c r="E853" s="43"/>
      <c r="F853" s="43"/>
      <c r="G853" s="43"/>
      <c r="H853" s="43"/>
      <c r="I853" s="43"/>
      <c r="J853" s="43"/>
      <c r="K853" s="43"/>
      <c r="L853" s="43"/>
      <c r="M853" s="43"/>
      <c r="N853" s="43"/>
      <c r="O853" s="43"/>
      <c r="P853" s="43"/>
    </row>
    <row r="854" spans="1:16" ht="12.75">
      <c r="A854" s="619"/>
      <c r="B854" s="43"/>
      <c r="C854" s="43"/>
      <c r="D854" s="43"/>
      <c r="E854" s="43"/>
      <c r="F854" s="43"/>
      <c r="G854" s="43"/>
      <c r="H854" s="43"/>
      <c r="I854" s="43"/>
      <c r="J854" s="43"/>
      <c r="K854" s="43"/>
      <c r="L854" s="43"/>
      <c r="M854" s="43"/>
      <c r="N854" s="43"/>
      <c r="O854" s="43"/>
      <c r="P854" s="43"/>
    </row>
    <row r="855" spans="1:16" ht="12.75">
      <c r="A855" s="619"/>
      <c r="B855" s="43"/>
      <c r="C855" s="43"/>
      <c r="D855" s="43"/>
      <c r="E855" s="43"/>
      <c r="F855" s="43"/>
      <c r="G855" s="43"/>
      <c r="H855" s="43"/>
      <c r="I855" s="43"/>
      <c r="J855" s="43"/>
      <c r="K855" s="43"/>
      <c r="L855" s="43"/>
      <c r="M855" s="43"/>
      <c r="N855" s="43"/>
      <c r="O855" s="43"/>
      <c r="P855" s="43"/>
    </row>
    <row r="856" spans="1:16" ht="12.75">
      <c r="A856" s="619"/>
      <c r="B856" s="43"/>
      <c r="C856" s="43"/>
      <c r="D856" s="43"/>
      <c r="E856" s="43"/>
      <c r="F856" s="43"/>
      <c r="G856" s="43"/>
      <c r="H856" s="43"/>
      <c r="I856" s="43"/>
      <c r="J856" s="43"/>
      <c r="K856" s="43"/>
      <c r="L856" s="43"/>
      <c r="M856" s="43"/>
      <c r="N856" s="43"/>
      <c r="O856" s="43"/>
      <c r="P856" s="43"/>
    </row>
    <row r="857" spans="1:16" ht="12.75">
      <c r="A857" s="619"/>
      <c r="B857" s="43"/>
      <c r="C857" s="43"/>
      <c r="D857" s="43"/>
      <c r="E857" s="43"/>
      <c r="F857" s="43"/>
      <c r="G857" s="43"/>
      <c r="H857" s="43"/>
      <c r="I857" s="43"/>
      <c r="J857" s="43"/>
      <c r="K857" s="43"/>
      <c r="L857" s="43"/>
      <c r="M857" s="43"/>
      <c r="N857" s="43"/>
      <c r="O857" s="43"/>
      <c r="P857" s="43"/>
    </row>
    <row r="858" spans="1:16" ht="12.75">
      <c r="A858" s="619"/>
      <c r="B858" s="43"/>
      <c r="C858" s="43"/>
      <c r="D858" s="43"/>
      <c r="E858" s="43"/>
      <c r="F858" s="43"/>
      <c r="G858" s="43"/>
      <c r="H858" s="43"/>
      <c r="I858" s="43"/>
      <c r="J858" s="43"/>
      <c r="K858" s="43"/>
      <c r="L858" s="43"/>
      <c r="M858" s="43"/>
      <c r="N858" s="43"/>
      <c r="O858" s="43"/>
      <c r="P858" s="43"/>
    </row>
    <row r="859" spans="1:16" ht="12.75">
      <c r="A859" s="619"/>
      <c r="B859" s="43"/>
      <c r="C859" s="43"/>
      <c r="D859" s="43"/>
      <c r="E859" s="43"/>
      <c r="F859" s="43"/>
      <c r="G859" s="43"/>
      <c r="H859" s="43"/>
      <c r="I859" s="43"/>
      <c r="J859" s="43"/>
      <c r="K859" s="43"/>
      <c r="L859" s="43"/>
      <c r="M859" s="43"/>
      <c r="N859" s="43"/>
      <c r="O859" s="43"/>
      <c r="P859" s="43"/>
    </row>
    <row r="860" spans="1:16" ht="12.75">
      <c r="A860" s="619"/>
      <c r="B860" s="43"/>
      <c r="C860" s="43"/>
      <c r="D860" s="43"/>
      <c r="E860" s="43"/>
      <c r="F860" s="43"/>
      <c r="G860" s="43"/>
      <c r="H860" s="43"/>
      <c r="I860" s="43"/>
      <c r="J860" s="43"/>
      <c r="K860" s="43"/>
      <c r="L860" s="43"/>
      <c r="M860" s="43"/>
      <c r="N860" s="43"/>
      <c r="O860" s="43"/>
      <c r="P860" s="43"/>
    </row>
    <row r="861" spans="1:16" ht="12.75">
      <c r="A861" s="619"/>
      <c r="B861" s="43"/>
      <c r="C861" s="43"/>
      <c r="D861" s="43"/>
      <c r="E861" s="43"/>
      <c r="F861" s="43"/>
      <c r="G861" s="43"/>
      <c r="H861" s="43"/>
      <c r="I861" s="43"/>
      <c r="J861" s="43"/>
      <c r="K861" s="43"/>
      <c r="L861" s="43"/>
      <c r="M861" s="43"/>
      <c r="N861" s="43"/>
      <c r="O861" s="43"/>
      <c r="P861" s="43"/>
    </row>
    <row r="862" spans="1:16" ht="12.75">
      <c r="A862" s="619"/>
      <c r="B862" s="43"/>
      <c r="C862" s="43"/>
      <c r="D862" s="43"/>
      <c r="E862" s="43"/>
      <c r="F862" s="43"/>
      <c r="G862" s="43"/>
      <c r="H862" s="43"/>
      <c r="I862" s="43"/>
      <c r="J862" s="43"/>
      <c r="K862" s="43"/>
      <c r="L862" s="43"/>
      <c r="M862" s="43"/>
      <c r="N862" s="43"/>
      <c r="O862" s="43"/>
      <c r="P862" s="43"/>
    </row>
    <row r="863" spans="1:16" ht="12.75">
      <c r="A863" s="619"/>
      <c r="B863" s="43"/>
      <c r="C863" s="43"/>
      <c r="D863" s="43"/>
      <c r="E863" s="43"/>
      <c r="F863" s="43"/>
      <c r="G863" s="43"/>
      <c r="H863" s="43"/>
      <c r="I863" s="43"/>
      <c r="J863" s="43"/>
      <c r="K863" s="43"/>
      <c r="L863" s="43"/>
      <c r="M863" s="43"/>
      <c r="N863" s="43"/>
      <c r="O863" s="43"/>
      <c r="P863" s="43"/>
    </row>
    <row r="864" spans="1:16" ht="12.75">
      <c r="A864" s="619"/>
      <c r="B864" s="43"/>
      <c r="C864" s="43"/>
      <c r="D864" s="43"/>
      <c r="E864" s="43"/>
      <c r="F864" s="43"/>
      <c r="G864" s="43"/>
      <c r="H864" s="43"/>
      <c r="I864" s="43"/>
      <c r="J864" s="43"/>
      <c r="K864" s="43"/>
      <c r="L864" s="43"/>
      <c r="M864" s="43"/>
      <c r="N864" s="43"/>
      <c r="O864" s="43"/>
      <c r="P864" s="43"/>
    </row>
    <row r="865" spans="1:16" ht="12.75">
      <c r="A865" s="619"/>
      <c r="B865" s="43"/>
      <c r="C865" s="43"/>
      <c r="D865" s="43"/>
      <c r="E865" s="43"/>
      <c r="F865" s="43"/>
      <c r="G865" s="43"/>
      <c r="H865" s="43"/>
      <c r="I865" s="43"/>
      <c r="J865" s="43"/>
      <c r="K865" s="43"/>
      <c r="L865" s="43"/>
      <c r="M865" s="43"/>
      <c r="N865" s="43"/>
      <c r="O865" s="43"/>
      <c r="P865" s="43"/>
    </row>
    <row r="866" spans="1:16" ht="12.75">
      <c r="A866" s="619"/>
      <c r="B866" s="43"/>
      <c r="C866" s="43"/>
      <c r="D866" s="43"/>
      <c r="E866" s="43"/>
      <c r="F866" s="43"/>
      <c r="G866" s="43"/>
      <c r="H866" s="43"/>
      <c r="I866" s="43"/>
      <c r="J866" s="43"/>
      <c r="K866" s="43"/>
      <c r="L866" s="43"/>
      <c r="M866" s="43"/>
      <c r="N866" s="43"/>
      <c r="O866" s="43"/>
      <c r="P866" s="43"/>
    </row>
    <row r="867" spans="1:16" ht="12.75">
      <c r="A867" s="619"/>
      <c r="B867" s="43"/>
      <c r="C867" s="43"/>
      <c r="D867" s="43"/>
      <c r="E867" s="43"/>
      <c r="F867" s="43"/>
      <c r="G867" s="43"/>
      <c r="H867" s="43"/>
      <c r="I867" s="43"/>
      <c r="J867" s="43"/>
      <c r="K867" s="43"/>
      <c r="L867" s="43"/>
      <c r="M867" s="43"/>
      <c r="N867" s="43"/>
      <c r="O867" s="43"/>
      <c r="P867" s="43"/>
    </row>
    <row r="868" spans="1:16" ht="12.75">
      <c r="A868" s="619"/>
      <c r="B868" s="43"/>
      <c r="C868" s="43"/>
      <c r="D868" s="43"/>
      <c r="E868" s="43"/>
      <c r="F868" s="43"/>
      <c r="G868" s="43"/>
      <c r="H868" s="43"/>
      <c r="I868" s="43"/>
      <c r="J868" s="43"/>
      <c r="K868" s="43"/>
      <c r="L868" s="43"/>
      <c r="M868" s="43"/>
      <c r="N868" s="43"/>
      <c r="O868" s="43"/>
      <c r="P868" s="43"/>
    </row>
    <row r="869" spans="1:16" ht="12.75">
      <c r="A869" s="619"/>
      <c r="B869" s="43"/>
      <c r="C869" s="43"/>
      <c r="D869" s="43"/>
      <c r="E869" s="43"/>
      <c r="F869" s="43"/>
      <c r="G869" s="43"/>
      <c r="H869" s="43"/>
      <c r="I869" s="43"/>
      <c r="J869" s="43"/>
      <c r="K869" s="43"/>
      <c r="L869" s="43"/>
      <c r="M869" s="43"/>
      <c r="N869" s="43"/>
      <c r="O869" s="43"/>
      <c r="P869" s="43"/>
    </row>
    <row r="870" spans="1:16" ht="12.75">
      <c r="A870" s="619"/>
      <c r="B870" s="43"/>
      <c r="C870" s="43"/>
      <c r="D870" s="43"/>
      <c r="E870" s="43"/>
      <c r="F870" s="43"/>
      <c r="G870" s="43"/>
      <c r="H870" s="43"/>
      <c r="I870" s="43"/>
      <c r="J870" s="43"/>
      <c r="K870" s="43"/>
      <c r="L870" s="43"/>
      <c r="M870" s="43"/>
      <c r="N870" s="43"/>
      <c r="O870" s="43"/>
      <c r="P870" s="43"/>
    </row>
    <row r="871" spans="1:16" ht="12.75">
      <c r="A871" s="619"/>
      <c r="B871" s="43"/>
      <c r="C871" s="43"/>
      <c r="D871" s="43"/>
      <c r="E871" s="43"/>
      <c r="F871" s="43"/>
      <c r="G871" s="43"/>
      <c r="H871" s="43"/>
      <c r="I871" s="43"/>
      <c r="J871" s="43"/>
      <c r="K871" s="43"/>
      <c r="L871" s="43"/>
      <c r="M871" s="43"/>
      <c r="N871" s="43"/>
      <c r="O871" s="43"/>
      <c r="P871" s="43"/>
    </row>
    <row r="872" spans="1:16" ht="12.75">
      <c r="A872" s="619"/>
      <c r="B872" s="43"/>
      <c r="C872" s="43"/>
      <c r="D872" s="43"/>
      <c r="E872" s="43"/>
      <c r="F872" s="43"/>
      <c r="G872" s="43"/>
      <c r="H872" s="43"/>
      <c r="I872" s="43"/>
      <c r="J872" s="43"/>
      <c r="K872" s="43"/>
      <c r="L872" s="43"/>
      <c r="M872" s="43"/>
      <c r="N872" s="43"/>
      <c r="O872" s="43"/>
      <c r="P872" s="43"/>
    </row>
    <row r="873" spans="1:16" ht="12.75">
      <c r="A873" s="619"/>
      <c r="B873" s="43"/>
      <c r="C873" s="43"/>
      <c r="D873" s="43"/>
      <c r="E873" s="43"/>
      <c r="F873" s="43"/>
      <c r="G873" s="43"/>
      <c r="H873" s="43"/>
      <c r="I873" s="43"/>
      <c r="J873" s="43"/>
      <c r="K873" s="43"/>
      <c r="L873" s="43"/>
      <c r="M873" s="43"/>
      <c r="N873" s="43"/>
      <c r="O873" s="43"/>
      <c r="P873" s="43"/>
    </row>
    <row r="874" spans="1:16" ht="12.75">
      <c r="A874" s="619"/>
      <c r="B874" s="43"/>
      <c r="C874" s="43"/>
      <c r="D874" s="43"/>
      <c r="E874" s="43"/>
      <c r="F874" s="43"/>
      <c r="G874" s="43"/>
      <c r="H874" s="43"/>
      <c r="I874" s="43"/>
      <c r="J874" s="43"/>
      <c r="K874" s="43"/>
      <c r="L874" s="43"/>
      <c r="M874" s="43"/>
      <c r="N874" s="43"/>
      <c r="O874" s="43"/>
      <c r="P874" s="43"/>
    </row>
    <row r="875" spans="1:16" ht="12.75">
      <c r="A875" s="619"/>
      <c r="B875" s="43"/>
      <c r="C875" s="43"/>
      <c r="D875" s="43"/>
      <c r="E875" s="43"/>
      <c r="F875" s="43"/>
      <c r="G875" s="43"/>
      <c r="H875" s="43"/>
      <c r="I875" s="43"/>
      <c r="J875" s="43"/>
      <c r="K875" s="43"/>
      <c r="L875" s="43"/>
      <c r="M875" s="43"/>
      <c r="N875" s="43"/>
      <c r="O875" s="43"/>
      <c r="P875" s="43"/>
    </row>
    <row r="876" spans="1:16" ht="12.75">
      <c r="A876" s="619"/>
      <c r="B876" s="43"/>
      <c r="C876" s="43"/>
      <c r="D876" s="43"/>
      <c r="E876" s="43"/>
      <c r="F876" s="43"/>
      <c r="G876" s="43"/>
      <c r="H876" s="43"/>
      <c r="I876" s="43"/>
      <c r="J876" s="43"/>
      <c r="K876" s="43"/>
      <c r="L876" s="43"/>
      <c r="M876" s="43"/>
      <c r="N876" s="43"/>
      <c r="O876" s="43"/>
      <c r="P876" s="43"/>
    </row>
    <row r="877" spans="1:16" ht="12.75">
      <c r="A877" s="619"/>
      <c r="B877" s="43"/>
      <c r="C877" s="43"/>
      <c r="D877" s="43"/>
      <c r="E877" s="43"/>
      <c r="F877" s="43"/>
      <c r="G877" s="43"/>
      <c r="H877" s="43"/>
      <c r="I877" s="43"/>
      <c r="J877" s="43"/>
      <c r="K877" s="43"/>
      <c r="L877" s="43"/>
      <c r="M877" s="43"/>
      <c r="N877" s="43"/>
      <c r="O877" s="43"/>
      <c r="P877" s="43"/>
    </row>
    <row r="878" spans="1:16" ht="12.75">
      <c r="A878" s="619"/>
      <c r="B878" s="43"/>
      <c r="C878" s="43"/>
      <c r="D878" s="43"/>
      <c r="E878" s="43"/>
      <c r="F878" s="43"/>
      <c r="G878" s="43"/>
      <c r="H878" s="43"/>
      <c r="I878" s="43"/>
      <c r="J878" s="43"/>
      <c r="K878" s="43"/>
      <c r="L878" s="43"/>
      <c r="M878" s="43"/>
      <c r="N878" s="43"/>
      <c r="O878" s="43"/>
      <c r="P878" s="43"/>
    </row>
    <row r="879" spans="1:16" ht="12.75">
      <c r="A879" s="619"/>
      <c r="B879" s="43"/>
      <c r="C879" s="43"/>
      <c r="D879" s="43"/>
      <c r="E879" s="43"/>
      <c r="F879" s="43"/>
      <c r="G879" s="43"/>
      <c r="H879" s="43"/>
      <c r="I879" s="43"/>
      <c r="J879" s="43"/>
      <c r="K879" s="43"/>
      <c r="L879" s="43"/>
      <c r="M879" s="43"/>
      <c r="N879" s="43"/>
      <c r="O879" s="43"/>
      <c r="P879" s="43"/>
    </row>
    <row r="880" spans="1:16" ht="12.75">
      <c r="A880" s="619"/>
      <c r="B880" s="43"/>
      <c r="C880" s="43"/>
      <c r="D880" s="43"/>
      <c r="E880" s="43"/>
      <c r="F880" s="43"/>
      <c r="G880" s="43"/>
      <c r="H880" s="43"/>
      <c r="I880" s="43"/>
      <c r="J880" s="43"/>
      <c r="K880" s="43"/>
      <c r="L880" s="43"/>
      <c r="M880" s="43"/>
      <c r="N880" s="43"/>
      <c r="O880" s="43"/>
      <c r="P880" s="43"/>
    </row>
    <row r="881" spans="1:16" ht="12.75">
      <c r="A881" s="619"/>
      <c r="B881" s="43"/>
      <c r="C881" s="43"/>
      <c r="D881" s="43"/>
      <c r="E881" s="43"/>
      <c r="F881" s="43"/>
      <c r="G881" s="43"/>
      <c r="H881" s="43"/>
      <c r="I881" s="43"/>
      <c r="J881" s="43"/>
      <c r="K881" s="43"/>
      <c r="L881" s="43"/>
      <c r="M881" s="43"/>
      <c r="N881" s="43"/>
      <c r="O881" s="43"/>
      <c r="P881" s="43"/>
    </row>
    <row r="882" spans="1:16" ht="12.75">
      <c r="A882" s="619"/>
      <c r="B882" s="43"/>
      <c r="C882" s="43"/>
      <c r="D882" s="43"/>
      <c r="E882" s="43"/>
      <c r="F882" s="43"/>
      <c r="G882" s="43"/>
      <c r="H882" s="43"/>
      <c r="I882" s="43"/>
      <c r="J882" s="43"/>
      <c r="K882" s="43"/>
      <c r="L882" s="43"/>
      <c r="M882" s="43"/>
      <c r="N882" s="43"/>
      <c r="O882" s="43"/>
      <c r="P882" s="43"/>
    </row>
    <row r="883" spans="1:16" ht="12.75">
      <c r="A883" s="619"/>
      <c r="B883" s="43"/>
      <c r="C883" s="43"/>
      <c r="D883" s="43"/>
      <c r="E883" s="43"/>
      <c r="F883" s="43"/>
      <c r="G883" s="43"/>
      <c r="H883" s="43"/>
      <c r="I883" s="43"/>
      <c r="J883" s="43"/>
      <c r="K883" s="43"/>
      <c r="L883" s="43"/>
      <c r="M883" s="43"/>
      <c r="N883" s="43"/>
      <c r="O883" s="43"/>
      <c r="P883" s="43"/>
    </row>
    <row r="884" spans="1:16" ht="12.75">
      <c r="A884" s="619"/>
      <c r="B884" s="43"/>
      <c r="C884" s="43"/>
      <c r="D884" s="43"/>
      <c r="E884" s="43"/>
      <c r="F884" s="43"/>
      <c r="G884" s="43"/>
      <c r="H884" s="43"/>
      <c r="I884" s="43"/>
      <c r="J884" s="43"/>
      <c r="K884" s="43"/>
      <c r="L884" s="43"/>
      <c r="M884" s="43"/>
      <c r="N884" s="43"/>
      <c r="O884" s="43"/>
      <c r="P884" s="43"/>
    </row>
    <row r="885" spans="1:16" ht="12.75">
      <c r="A885" s="619"/>
      <c r="B885" s="43"/>
      <c r="C885" s="43"/>
      <c r="D885" s="43"/>
      <c r="E885" s="43"/>
      <c r="F885" s="43"/>
      <c r="G885" s="43"/>
      <c r="H885" s="43"/>
      <c r="I885" s="43"/>
      <c r="J885" s="43"/>
      <c r="K885" s="43"/>
      <c r="L885" s="43"/>
      <c r="M885" s="43"/>
      <c r="N885" s="43"/>
      <c r="O885" s="43"/>
      <c r="P885" s="43"/>
    </row>
    <row r="886" spans="1:16" ht="12.75">
      <c r="A886" s="619"/>
      <c r="B886" s="43"/>
      <c r="C886" s="43"/>
      <c r="D886" s="43"/>
      <c r="E886" s="43"/>
      <c r="F886" s="43"/>
      <c r="G886" s="43"/>
      <c r="H886" s="43"/>
      <c r="I886" s="43"/>
      <c r="J886" s="43"/>
      <c r="K886" s="43"/>
      <c r="L886" s="43"/>
      <c r="M886" s="43"/>
      <c r="N886" s="43"/>
      <c r="O886" s="43"/>
      <c r="P886" s="43"/>
    </row>
    <row r="887" spans="1:16" ht="12.75">
      <c r="A887" s="619"/>
      <c r="B887" s="43"/>
      <c r="C887" s="43"/>
      <c r="D887" s="43"/>
      <c r="E887" s="43"/>
      <c r="F887" s="43"/>
      <c r="G887" s="43"/>
      <c r="H887" s="43"/>
      <c r="I887" s="43"/>
      <c r="J887" s="43"/>
      <c r="K887" s="43"/>
      <c r="L887" s="43"/>
      <c r="M887" s="43"/>
      <c r="N887" s="43"/>
      <c r="O887" s="43"/>
      <c r="P887" s="43"/>
    </row>
    <row r="888" spans="1:16" ht="12.75">
      <c r="A888" s="619"/>
      <c r="B888" s="43"/>
      <c r="C888" s="43"/>
      <c r="D888" s="43"/>
      <c r="E888" s="43"/>
      <c r="F888" s="43"/>
      <c r="G888" s="43"/>
      <c r="H888" s="43"/>
      <c r="I888" s="43"/>
      <c r="J888" s="43"/>
      <c r="K888" s="43"/>
      <c r="L888" s="43"/>
      <c r="M888" s="43"/>
      <c r="N888" s="43"/>
      <c r="O888" s="43"/>
      <c r="P888" s="43"/>
    </row>
    <row r="889" spans="1:16" ht="12.75">
      <c r="A889" s="619"/>
      <c r="B889" s="43"/>
      <c r="C889" s="43"/>
      <c r="D889" s="43"/>
      <c r="E889" s="43"/>
      <c r="F889" s="43"/>
      <c r="G889" s="43"/>
      <c r="H889" s="43"/>
      <c r="I889" s="43"/>
      <c r="J889" s="43"/>
      <c r="K889" s="43"/>
      <c r="L889" s="43"/>
      <c r="M889" s="43"/>
      <c r="N889" s="43"/>
      <c r="O889" s="43"/>
      <c r="P889" s="43"/>
    </row>
    <row r="890" spans="1:16" ht="12.75">
      <c r="A890" s="619"/>
      <c r="B890" s="43"/>
      <c r="C890" s="43"/>
      <c r="D890" s="43"/>
      <c r="E890" s="43"/>
      <c r="F890" s="43"/>
      <c r="G890" s="43"/>
      <c r="H890" s="43"/>
      <c r="I890" s="43"/>
      <c r="J890" s="43"/>
      <c r="K890" s="43"/>
      <c r="L890" s="43"/>
      <c r="M890" s="43"/>
      <c r="N890" s="43"/>
      <c r="O890" s="43"/>
      <c r="P890" s="43"/>
    </row>
    <row r="891" spans="1:16" ht="12.75">
      <c r="A891" s="619"/>
      <c r="B891" s="43"/>
      <c r="C891" s="43"/>
      <c r="D891" s="43"/>
      <c r="E891" s="43"/>
      <c r="F891" s="43"/>
      <c r="G891" s="43"/>
      <c r="H891" s="43"/>
      <c r="I891" s="43"/>
      <c r="J891" s="43"/>
      <c r="K891" s="43"/>
      <c r="L891" s="43"/>
      <c r="M891" s="43"/>
      <c r="N891" s="43"/>
      <c r="O891" s="43"/>
      <c r="P891" s="43"/>
    </row>
    <row r="892" spans="1:16" ht="12.75">
      <c r="A892" s="619"/>
      <c r="B892" s="43"/>
      <c r="C892" s="43"/>
      <c r="D892" s="43"/>
      <c r="E892" s="43"/>
      <c r="F892" s="43"/>
      <c r="G892" s="43"/>
      <c r="H892" s="43"/>
      <c r="I892" s="43"/>
      <c r="J892" s="43"/>
      <c r="K892" s="43"/>
      <c r="L892" s="43"/>
      <c r="M892" s="43"/>
      <c r="N892" s="43"/>
      <c r="O892" s="43"/>
      <c r="P892" s="43"/>
    </row>
    <row r="893" spans="1:16" ht="12.75">
      <c r="A893" s="619"/>
      <c r="B893" s="43"/>
      <c r="C893" s="43"/>
      <c r="D893" s="43"/>
      <c r="E893" s="43"/>
      <c r="F893" s="43"/>
      <c r="G893" s="43"/>
      <c r="H893" s="43"/>
      <c r="I893" s="43"/>
      <c r="J893" s="43"/>
      <c r="K893" s="43"/>
      <c r="L893" s="43"/>
      <c r="M893" s="43"/>
      <c r="N893" s="43"/>
      <c r="O893" s="43"/>
      <c r="P893" s="43"/>
    </row>
    <row r="894" spans="1:16" ht="12.75">
      <c r="A894" s="619"/>
      <c r="B894" s="43"/>
      <c r="C894" s="43"/>
      <c r="D894" s="43"/>
      <c r="E894" s="43"/>
      <c r="F894" s="43"/>
      <c r="G894" s="43"/>
      <c r="H894" s="43"/>
      <c r="I894" s="43"/>
      <c r="J894" s="43"/>
      <c r="K894" s="43"/>
      <c r="L894" s="43"/>
      <c r="M894" s="43"/>
      <c r="N894" s="43"/>
      <c r="O894" s="43"/>
      <c r="P894" s="43"/>
    </row>
    <row r="895" spans="1:16" ht="12.75">
      <c r="A895" s="619"/>
      <c r="B895" s="43"/>
      <c r="C895" s="43"/>
      <c r="D895" s="43"/>
      <c r="E895" s="43"/>
      <c r="F895" s="43"/>
      <c r="G895" s="43"/>
      <c r="H895" s="43"/>
      <c r="I895" s="43"/>
      <c r="J895" s="43"/>
      <c r="K895" s="43"/>
      <c r="L895" s="43"/>
      <c r="M895" s="43"/>
      <c r="N895" s="43"/>
      <c r="O895" s="43"/>
      <c r="P895" s="43"/>
    </row>
    <row r="896" spans="1:16" ht="12.75">
      <c r="A896" s="619"/>
      <c r="B896" s="43"/>
      <c r="C896" s="43"/>
      <c r="D896" s="43"/>
      <c r="E896" s="43"/>
      <c r="F896" s="43"/>
      <c r="G896" s="43"/>
      <c r="H896" s="43"/>
      <c r="I896" s="43"/>
      <c r="J896" s="43"/>
      <c r="K896" s="43"/>
      <c r="L896" s="43"/>
      <c r="M896" s="43"/>
      <c r="N896" s="43"/>
      <c r="O896" s="43"/>
      <c r="P896" s="43"/>
    </row>
    <row r="897" spans="1:16" ht="12.75">
      <c r="A897" s="619"/>
      <c r="B897" s="43"/>
      <c r="C897" s="43"/>
      <c r="D897" s="43"/>
      <c r="E897" s="43"/>
      <c r="F897" s="43"/>
      <c r="G897" s="43"/>
      <c r="H897" s="43"/>
      <c r="I897" s="43"/>
      <c r="J897" s="43"/>
      <c r="K897" s="43"/>
      <c r="L897" s="43"/>
      <c r="M897" s="43"/>
      <c r="N897" s="43"/>
      <c r="O897" s="43"/>
      <c r="P897" s="43"/>
    </row>
    <row r="898" spans="1:16" ht="12.75">
      <c r="A898" s="619"/>
      <c r="B898" s="43"/>
      <c r="C898" s="43"/>
      <c r="D898" s="43"/>
      <c r="E898" s="43"/>
      <c r="F898" s="43"/>
      <c r="G898" s="43"/>
      <c r="H898" s="43"/>
      <c r="I898" s="43"/>
      <c r="J898" s="43"/>
      <c r="K898" s="43"/>
      <c r="L898" s="43"/>
      <c r="M898" s="43"/>
      <c r="N898" s="43"/>
      <c r="O898" s="43"/>
      <c r="P898" s="43"/>
    </row>
    <row r="899" spans="1:16" ht="12.75">
      <c r="A899" s="619"/>
      <c r="B899" s="43"/>
      <c r="C899" s="43"/>
      <c r="D899" s="43"/>
      <c r="E899" s="43"/>
      <c r="F899" s="43"/>
      <c r="G899" s="43"/>
      <c r="H899" s="43"/>
      <c r="I899" s="43"/>
      <c r="J899" s="43"/>
      <c r="K899" s="43"/>
      <c r="L899" s="43"/>
      <c r="M899" s="43"/>
      <c r="N899" s="43"/>
      <c r="O899" s="43"/>
      <c r="P899" s="43"/>
    </row>
    <row r="900" spans="1:16" ht="12.75">
      <c r="A900" s="619"/>
      <c r="B900" s="43"/>
      <c r="C900" s="43"/>
      <c r="D900" s="43"/>
      <c r="E900" s="43"/>
      <c r="F900" s="43"/>
      <c r="G900" s="43"/>
      <c r="H900" s="43"/>
      <c r="I900" s="43"/>
      <c r="J900" s="43"/>
      <c r="K900" s="43"/>
      <c r="L900" s="43"/>
      <c r="M900" s="43"/>
      <c r="N900" s="43"/>
      <c r="O900" s="43"/>
      <c r="P900" s="43"/>
    </row>
    <row r="901" spans="1:16" ht="12.75">
      <c r="A901" s="619"/>
      <c r="B901" s="43"/>
      <c r="C901" s="43"/>
      <c r="D901" s="43"/>
      <c r="E901" s="43"/>
      <c r="F901" s="43"/>
      <c r="G901" s="43"/>
      <c r="H901" s="43"/>
      <c r="I901" s="43"/>
      <c r="J901" s="43"/>
      <c r="K901" s="43"/>
      <c r="L901" s="43"/>
      <c r="M901" s="43"/>
      <c r="N901" s="43"/>
      <c r="O901" s="43"/>
      <c r="P901" s="43"/>
    </row>
    <row r="902" spans="1:16" ht="12.75">
      <c r="A902" s="619"/>
      <c r="B902" s="43"/>
      <c r="C902" s="43"/>
      <c r="D902" s="43"/>
      <c r="E902" s="43"/>
      <c r="F902" s="43"/>
      <c r="G902" s="43"/>
      <c r="H902" s="43"/>
      <c r="I902" s="43"/>
      <c r="J902" s="43"/>
      <c r="K902" s="43"/>
      <c r="L902" s="43"/>
      <c r="M902" s="43"/>
      <c r="N902" s="43"/>
      <c r="O902" s="43"/>
      <c r="P902" s="43"/>
    </row>
    <row r="903" spans="1:16" ht="12.75">
      <c r="A903" s="619"/>
      <c r="B903" s="43"/>
      <c r="C903" s="43"/>
      <c r="D903" s="43"/>
      <c r="E903" s="43"/>
      <c r="F903" s="43"/>
      <c r="G903" s="43"/>
      <c r="H903" s="43"/>
      <c r="I903" s="43"/>
      <c r="J903" s="43"/>
      <c r="K903" s="43"/>
      <c r="L903" s="43"/>
      <c r="M903" s="43"/>
      <c r="N903" s="43"/>
      <c r="O903" s="43"/>
      <c r="P903" s="43"/>
    </row>
    <row r="904" spans="1:16" ht="12.75">
      <c r="A904" s="619"/>
      <c r="B904" s="43"/>
      <c r="C904" s="43"/>
      <c r="D904" s="43"/>
      <c r="E904" s="43"/>
      <c r="F904" s="43"/>
      <c r="G904" s="43"/>
      <c r="H904" s="43"/>
      <c r="I904" s="43"/>
      <c r="J904" s="43"/>
      <c r="K904" s="43"/>
      <c r="L904" s="43"/>
      <c r="M904" s="43"/>
      <c r="N904" s="43"/>
      <c r="O904" s="43"/>
      <c r="P904" s="43"/>
    </row>
    <row r="905" spans="1:16" ht="12.75">
      <c r="A905" s="619"/>
      <c r="B905" s="43"/>
      <c r="C905" s="43"/>
      <c r="D905" s="43"/>
      <c r="E905" s="43"/>
      <c r="F905" s="43"/>
      <c r="G905" s="43"/>
      <c r="H905" s="43"/>
      <c r="I905" s="43"/>
      <c r="J905" s="43"/>
      <c r="K905" s="43"/>
      <c r="L905" s="43"/>
      <c r="M905" s="43"/>
      <c r="N905" s="43"/>
      <c r="O905" s="43"/>
      <c r="P905" s="43"/>
    </row>
    <row r="906" spans="1:16" ht="12.75">
      <c r="A906" s="619"/>
      <c r="B906" s="43"/>
      <c r="C906" s="43"/>
      <c r="D906" s="43"/>
      <c r="E906" s="43"/>
      <c r="F906" s="43"/>
      <c r="G906" s="43"/>
      <c r="H906" s="43"/>
      <c r="I906" s="43"/>
      <c r="J906" s="43"/>
      <c r="K906" s="43"/>
      <c r="L906" s="43"/>
      <c r="M906" s="43"/>
      <c r="N906" s="43"/>
      <c r="O906" s="43"/>
      <c r="P906" s="43"/>
    </row>
    <row r="907" spans="1:16" ht="12.75">
      <c r="A907" s="619"/>
      <c r="B907" s="43"/>
      <c r="C907" s="43"/>
      <c r="D907" s="43"/>
      <c r="E907" s="43"/>
      <c r="F907" s="43"/>
      <c r="G907" s="43"/>
      <c r="H907" s="43"/>
      <c r="I907" s="43"/>
      <c r="J907" s="43"/>
      <c r="K907" s="43"/>
      <c r="L907" s="43"/>
      <c r="M907" s="43"/>
      <c r="N907" s="43"/>
      <c r="O907" s="43"/>
      <c r="P907" s="43"/>
    </row>
    <row r="908" spans="1:16" ht="12.75">
      <c r="A908" s="619"/>
      <c r="B908" s="43"/>
      <c r="C908" s="43"/>
      <c r="D908" s="43"/>
      <c r="E908" s="43"/>
      <c r="F908" s="43"/>
      <c r="G908" s="43"/>
      <c r="H908" s="43"/>
      <c r="I908" s="43"/>
      <c r="J908" s="43"/>
      <c r="K908" s="43"/>
      <c r="L908" s="43"/>
      <c r="M908" s="43"/>
      <c r="N908" s="43"/>
      <c r="O908" s="43"/>
      <c r="P908" s="43"/>
    </row>
    <row r="909" spans="1:16" ht="12.75">
      <c r="A909" s="619"/>
      <c r="B909" s="43"/>
      <c r="C909" s="43"/>
      <c r="D909" s="43"/>
      <c r="E909" s="43"/>
      <c r="F909" s="43"/>
      <c r="G909" s="43"/>
      <c r="H909" s="43"/>
      <c r="I909" s="43"/>
      <c r="J909" s="43"/>
      <c r="K909" s="43"/>
      <c r="L909" s="43"/>
      <c r="M909" s="43"/>
      <c r="N909" s="43"/>
      <c r="O909" s="43"/>
      <c r="P909" s="43"/>
    </row>
    <row r="910" spans="1:16" ht="12.75">
      <c r="A910" s="619"/>
      <c r="B910" s="43"/>
      <c r="C910" s="43"/>
      <c r="D910" s="43"/>
      <c r="E910" s="43"/>
      <c r="F910" s="43"/>
      <c r="G910" s="43"/>
      <c r="H910" s="43"/>
      <c r="I910" s="43"/>
      <c r="J910" s="43"/>
      <c r="K910" s="43"/>
      <c r="L910" s="43"/>
      <c r="M910" s="43"/>
      <c r="N910" s="43"/>
      <c r="O910" s="43"/>
      <c r="P910" s="43"/>
    </row>
    <row r="911" spans="1:16" ht="12.75">
      <c r="A911" s="619"/>
      <c r="B911" s="43"/>
      <c r="C911" s="43"/>
      <c r="D911" s="43"/>
      <c r="E911" s="43"/>
      <c r="F911" s="43"/>
      <c r="G911" s="43"/>
      <c r="H911" s="43"/>
      <c r="I911" s="43"/>
      <c r="J911" s="43"/>
      <c r="K911" s="43"/>
      <c r="L911" s="43"/>
      <c r="M911" s="43"/>
      <c r="N911" s="43"/>
      <c r="O911" s="43"/>
      <c r="P911" s="43"/>
    </row>
    <row r="912" spans="1:16" ht="12.75">
      <c r="A912" s="619"/>
      <c r="B912" s="43"/>
      <c r="C912" s="43"/>
      <c r="D912" s="43"/>
      <c r="E912" s="43"/>
      <c r="F912" s="43"/>
      <c r="G912" s="43"/>
      <c r="H912" s="43"/>
      <c r="I912" s="43"/>
      <c r="J912" s="43"/>
      <c r="K912" s="43"/>
      <c r="L912" s="43"/>
      <c r="M912" s="43"/>
      <c r="N912" s="43"/>
      <c r="O912" s="43"/>
      <c r="P912" s="43"/>
    </row>
    <row r="913" spans="1:16" ht="12.75">
      <c r="A913" s="619"/>
      <c r="B913" s="43"/>
      <c r="C913" s="43"/>
      <c r="D913" s="43"/>
      <c r="E913" s="43"/>
      <c r="F913" s="43"/>
      <c r="G913" s="43"/>
      <c r="H913" s="43"/>
      <c r="I913" s="43"/>
      <c r="J913" s="43"/>
      <c r="K913" s="43"/>
      <c r="L913" s="43"/>
      <c r="M913" s="43"/>
      <c r="N913" s="43"/>
      <c r="O913" s="43"/>
      <c r="P913" s="43"/>
    </row>
    <row r="914" spans="1:16" ht="12.75">
      <c r="A914" s="619"/>
      <c r="B914" s="43"/>
      <c r="C914" s="43"/>
      <c r="D914" s="43"/>
      <c r="E914" s="43"/>
      <c r="F914" s="43"/>
      <c r="G914" s="43"/>
      <c r="H914" s="43"/>
      <c r="I914" s="43"/>
      <c r="J914" s="43"/>
      <c r="K914" s="43"/>
      <c r="L914" s="43"/>
      <c r="M914" s="43"/>
      <c r="N914" s="43"/>
      <c r="O914" s="43"/>
      <c r="P914" s="43"/>
    </row>
    <row r="915" spans="1:16" ht="12.75">
      <c r="A915" s="619"/>
      <c r="B915" s="43"/>
      <c r="C915" s="43"/>
      <c r="D915" s="43"/>
      <c r="E915" s="43"/>
      <c r="F915" s="43"/>
      <c r="G915" s="43"/>
      <c r="H915" s="43"/>
      <c r="I915" s="43"/>
      <c r="J915" s="43"/>
      <c r="K915" s="43"/>
      <c r="L915" s="43"/>
      <c r="M915" s="43"/>
      <c r="N915" s="43"/>
      <c r="O915" s="43"/>
      <c r="P915" s="43"/>
    </row>
    <row r="916" spans="1:16" ht="12.75">
      <c r="A916" s="619"/>
      <c r="B916" s="43"/>
      <c r="C916" s="43"/>
      <c r="D916" s="43"/>
      <c r="E916" s="43"/>
      <c r="F916" s="43"/>
      <c r="G916" s="43"/>
      <c r="H916" s="43"/>
      <c r="I916" s="43"/>
      <c r="J916" s="43"/>
      <c r="K916" s="43"/>
      <c r="L916" s="43"/>
      <c r="M916" s="43"/>
      <c r="N916" s="43"/>
      <c r="O916" s="43"/>
      <c r="P916" s="43"/>
    </row>
    <row r="917" spans="1:16" ht="12.75">
      <c r="A917" s="619"/>
      <c r="B917" s="43"/>
      <c r="C917" s="43"/>
      <c r="D917" s="43"/>
      <c r="E917" s="43"/>
      <c r="F917" s="43"/>
      <c r="G917" s="43"/>
      <c r="H917" s="43"/>
      <c r="I917" s="43"/>
      <c r="J917" s="43"/>
      <c r="K917" s="43"/>
      <c r="L917" s="43"/>
      <c r="M917" s="43"/>
      <c r="N917" s="43"/>
      <c r="O917" s="43"/>
      <c r="P917" s="43"/>
    </row>
    <row r="918" spans="1:16" ht="12.75">
      <c r="A918" s="619"/>
      <c r="B918" s="43"/>
      <c r="C918" s="43"/>
      <c r="D918" s="43"/>
      <c r="E918" s="43"/>
      <c r="F918" s="43"/>
      <c r="G918" s="43"/>
      <c r="H918" s="43"/>
      <c r="I918" s="43"/>
      <c r="J918" s="43"/>
      <c r="K918" s="43"/>
      <c r="L918" s="43"/>
      <c r="M918" s="43"/>
      <c r="N918" s="43"/>
      <c r="O918" s="43"/>
      <c r="P918" s="43"/>
    </row>
    <row r="919" spans="1:16" ht="12.75">
      <c r="A919" s="619"/>
      <c r="B919" s="43"/>
      <c r="C919" s="43"/>
      <c r="D919" s="43"/>
      <c r="E919" s="43"/>
      <c r="F919" s="43"/>
      <c r="G919" s="43"/>
      <c r="H919" s="43"/>
      <c r="I919" s="43"/>
      <c r="J919" s="43"/>
      <c r="K919" s="43"/>
      <c r="L919" s="43"/>
      <c r="M919" s="43"/>
      <c r="N919" s="43"/>
      <c r="O919" s="43"/>
      <c r="P919" s="43"/>
    </row>
    <row r="920" spans="1:16" ht="12.75">
      <c r="A920" s="619"/>
      <c r="B920" s="43"/>
      <c r="C920" s="43"/>
      <c r="D920" s="43"/>
      <c r="E920" s="43"/>
      <c r="F920" s="43"/>
      <c r="G920" s="43"/>
      <c r="H920" s="43"/>
      <c r="I920" s="43"/>
      <c r="J920" s="43"/>
      <c r="K920" s="43"/>
      <c r="L920" s="43"/>
      <c r="M920" s="43"/>
      <c r="N920" s="43"/>
      <c r="O920" s="43"/>
      <c r="P920" s="43"/>
    </row>
    <row r="921" spans="1:16" ht="12.75">
      <c r="A921" s="619"/>
      <c r="B921" s="43"/>
      <c r="C921" s="43"/>
      <c r="D921" s="43"/>
      <c r="E921" s="43"/>
      <c r="F921" s="43"/>
      <c r="G921" s="43"/>
      <c r="H921" s="43"/>
      <c r="I921" s="43"/>
      <c r="J921" s="43"/>
      <c r="K921" s="43"/>
      <c r="L921" s="43"/>
      <c r="M921" s="43"/>
      <c r="N921" s="43"/>
      <c r="O921" s="43"/>
      <c r="P921" s="43"/>
    </row>
    <row r="922" spans="1:16" ht="12.75">
      <c r="A922" s="619"/>
      <c r="B922" s="43"/>
      <c r="C922" s="43"/>
      <c r="D922" s="43"/>
      <c r="E922" s="43"/>
      <c r="F922" s="43"/>
      <c r="G922" s="43"/>
      <c r="H922" s="43"/>
      <c r="I922" s="43"/>
      <c r="J922" s="43"/>
      <c r="K922" s="43"/>
      <c r="L922" s="43"/>
      <c r="M922" s="43"/>
      <c r="N922" s="43"/>
      <c r="O922" s="43"/>
      <c r="P922" s="43"/>
    </row>
    <row r="923" spans="1:16" ht="12.75">
      <c r="A923" s="619"/>
      <c r="B923" s="43"/>
      <c r="C923" s="43"/>
      <c r="D923" s="43"/>
      <c r="E923" s="43"/>
      <c r="F923" s="43"/>
      <c r="G923" s="43"/>
      <c r="H923" s="43"/>
      <c r="I923" s="43"/>
      <c r="J923" s="43"/>
      <c r="K923" s="43"/>
      <c r="L923" s="43"/>
      <c r="M923" s="43"/>
      <c r="N923" s="43"/>
      <c r="O923" s="43"/>
      <c r="P923" s="43"/>
    </row>
    <row r="924" spans="1:16" ht="12.75">
      <c r="A924" s="619"/>
      <c r="B924" s="43"/>
      <c r="C924" s="43"/>
      <c r="D924" s="43"/>
      <c r="E924" s="43"/>
      <c r="F924" s="43"/>
      <c r="G924" s="43"/>
      <c r="H924" s="43"/>
      <c r="I924" s="43"/>
      <c r="J924" s="43"/>
      <c r="K924" s="43"/>
      <c r="L924" s="43"/>
      <c r="M924" s="43"/>
      <c r="N924" s="43"/>
      <c r="O924" s="43"/>
      <c r="P924" s="43"/>
    </row>
    <row r="925" spans="1:16" ht="12.75">
      <c r="A925" s="619"/>
      <c r="B925" s="43"/>
      <c r="C925" s="43"/>
      <c r="D925" s="43"/>
      <c r="E925" s="43"/>
      <c r="F925" s="43"/>
      <c r="G925" s="43"/>
      <c r="H925" s="43"/>
      <c r="I925" s="43"/>
      <c r="J925" s="43"/>
      <c r="K925" s="43"/>
      <c r="L925" s="43"/>
      <c r="M925" s="43"/>
      <c r="N925" s="43"/>
      <c r="O925" s="43"/>
      <c r="P925" s="43"/>
    </row>
    <row r="926" spans="1:16" ht="12.75">
      <c r="A926" s="619"/>
      <c r="B926" s="43"/>
      <c r="C926" s="43"/>
      <c r="D926" s="43"/>
      <c r="E926" s="43"/>
      <c r="F926" s="43"/>
      <c r="G926" s="43"/>
      <c r="H926" s="43"/>
      <c r="I926" s="43"/>
      <c r="J926" s="43"/>
      <c r="K926" s="43"/>
      <c r="L926" s="43"/>
      <c r="M926" s="43"/>
      <c r="N926" s="43"/>
      <c r="O926" s="43"/>
      <c r="P926" s="43"/>
    </row>
    <row r="927" spans="1:16" ht="12.75">
      <c r="A927" s="619"/>
      <c r="B927" s="43"/>
      <c r="C927" s="43"/>
      <c r="D927" s="43"/>
      <c r="E927" s="43"/>
      <c r="F927" s="43"/>
      <c r="G927" s="43"/>
      <c r="H927" s="43"/>
      <c r="I927" s="43"/>
      <c r="J927" s="43"/>
      <c r="K927" s="43"/>
      <c r="L927" s="43"/>
      <c r="M927" s="43"/>
      <c r="N927" s="43"/>
      <c r="O927" s="43"/>
      <c r="P927" s="43"/>
    </row>
    <row r="928" spans="1:16" ht="12.75">
      <c r="A928" s="619"/>
      <c r="B928" s="43"/>
      <c r="C928" s="43"/>
      <c r="D928" s="43"/>
      <c r="E928" s="43"/>
      <c r="F928" s="43"/>
      <c r="G928" s="43"/>
      <c r="H928" s="43"/>
      <c r="I928" s="43"/>
      <c r="J928" s="43"/>
      <c r="K928" s="43"/>
      <c r="L928" s="43"/>
      <c r="M928" s="43"/>
      <c r="N928" s="43"/>
      <c r="O928" s="43"/>
      <c r="P928" s="43"/>
    </row>
    <row r="929" spans="1:16" ht="12.75">
      <c r="A929" s="619"/>
      <c r="B929" s="43"/>
      <c r="C929" s="43"/>
      <c r="D929" s="43"/>
      <c r="E929" s="43"/>
      <c r="F929" s="43"/>
      <c r="G929" s="43"/>
      <c r="H929" s="43"/>
      <c r="I929" s="43"/>
      <c r="J929" s="43"/>
      <c r="K929" s="43"/>
      <c r="L929" s="43"/>
      <c r="M929" s="43"/>
      <c r="N929" s="43"/>
      <c r="O929" s="43"/>
      <c r="P929" s="43"/>
    </row>
    <row r="930" spans="1:16" ht="12.75">
      <c r="A930" s="619"/>
      <c r="B930" s="43"/>
      <c r="C930" s="43"/>
      <c r="D930" s="43"/>
      <c r="E930" s="43"/>
      <c r="F930" s="43"/>
      <c r="G930" s="43"/>
      <c r="H930" s="43"/>
      <c r="I930" s="43"/>
      <c r="J930" s="43"/>
      <c r="K930" s="43"/>
      <c r="L930" s="43"/>
      <c r="M930" s="43"/>
      <c r="N930" s="43"/>
      <c r="O930" s="43"/>
      <c r="P930" s="43"/>
    </row>
    <row r="931" spans="1:16" ht="12.75">
      <c r="A931" s="619"/>
      <c r="B931" s="43"/>
      <c r="C931" s="43"/>
      <c r="D931" s="43"/>
      <c r="E931" s="43"/>
      <c r="F931" s="43"/>
      <c r="G931" s="43"/>
      <c r="H931" s="43"/>
      <c r="I931" s="43"/>
      <c r="J931" s="43"/>
      <c r="K931" s="43"/>
      <c r="L931" s="43"/>
      <c r="M931" s="43"/>
      <c r="N931" s="43"/>
      <c r="O931" s="43"/>
      <c r="P931" s="43"/>
    </row>
    <row r="932" spans="1:16" ht="12.75">
      <c r="A932" s="619"/>
      <c r="B932" s="43"/>
      <c r="C932" s="43"/>
      <c r="D932" s="43"/>
      <c r="E932" s="43"/>
      <c r="F932" s="43"/>
      <c r="G932" s="43"/>
      <c r="H932" s="43"/>
      <c r="I932" s="43"/>
      <c r="J932" s="43"/>
      <c r="K932" s="43"/>
      <c r="L932" s="43"/>
      <c r="M932" s="43"/>
      <c r="N932" s="43"/>
      <c r="O932" s="43"/>
      <c r="P932" s="43"/>
    </row>
    <row r="933" spans="1:16" ht="12.75">
      <c r="A933" s="619"/>
      <c r="B933" s="43"/>
      <c r="C933" s="43"/>
      <c r="D933" s="43"/>
      <c r="E933" s="43"/>
      <c r="F933" s="43"/>
      <c r="G933" s="43"/>
      <c r="H933" s="43"/>
      <c r="I933" s="43"/>
      <c r="J933" s="43"/>
      <c r="K933" s="43"/>
      <c r="L933" s="43"/>
      <c r="M933" s="43"/>
      <c r="N933" s="43"/>
      <c r="O933" s="43"/>
      <c r="P933" s="43"/>
    </row>
    <row r="934" spans="1:16" ht="12.75">
      <c r="A934" s="619"/>
      <c r="B934" s="43"/>
      <c r="C934" s="43"/>
      <c r="D934" s="43"/>
      <c r="E934" s="43"/>
      <c r="F934" s="43"/>
      <c r="G934" s="43"/>
      <c r="H934" s="43"/>
      <c r="I934" s="43"/>
      <c r="J934" s="43"/>
      <c r="K934" s="43"/>
      <c r="L934" s="43"/>
      <c r="M934" s="43"/>
      <c r="N934" s="43"/>
      <c r="O934" s="43"/>
      <c r="P934" s="43"/>
    </row>
    <row r="935" spans="1:16" ht="12.75">
      <c r="A935" s="619"/>
      <c r="B935" s="43"/>
      <c r="C935" s="43"/>
      <c r="D935" s="43"/>
      <c r="E935" s="43"/>
      <c r="F935" s="43"/>
      <c r="G935" s="43"/>
      <c r="H935" s="43"/>
      <c r="I935" s="43"/>
      <c r="J935" s="43"/>
      <c r="K935" s="43"/>
      <c r="L935" s="43"/>
      <c r="M935" s="43"/>
      <c r="N935" s="43"/>
      <c r="O935" s="43"/>
      <c r="P935" s="43"/>
    </row>
    <row r="936" spans="1:16" ht="12.75">
      <c r="A936" s="619"/>
      <c r="B936" s="43"/>
      <c r="C936" s="43"/>
      <c r="D936" s="43"/>
      <c r="E936" s="43"/>
      <c r="F936" s="43"/>
      <c r="G936" s="43"/>
      <c r="H936" s="43"/>
      <c r="I936" s="43"/>
      <c r="J936" s="43"/>
      <c r="K936" s="43"/>
      <c r="L936" s="43"/>
      <c r="M936" s="43"/>
      <c r="N936" s="43"/>
      <c r="O936" s="43"/>
      <c r="P936" s="43"/>
    </row>
    <row r="937" spans="1:16" ht="12.75">
      <c r="A937" s="619"/>
      <c r="B937" s="43"/>
      <c r="C937" s="43"/>
      <c r="D937" s="43"/>
      <c r="E937" s="43"/>
      <c r="F937" s="43"/>
      <c r="G937" s="43"/>
      <c r="H937" s="43"/>
      <c r="I937" s="43"/>
      <c r="J937" s="43"/>
      <c r="K937" s="43"/>
      <c r="L937" s="43"/>
      <c r="M937" s="43"/>
      <c r="N937" s="43"/>
      <c r="O937" s="43"/>
      <c r="P937" s="43"/>
    </row>
    <row r="938" spans="1:16" ht="12.75">
      <c r="A938" s="619"/>
      <c r="B938" s="43"/>
      <c r="C938" s="43"/>
      <c r="D938" s="43"/>
      <c r="E938" s="43"/>
      <c r="F938" s="43"/>
      <c r="G938" s="43"/>
      <c r="H938" s="43"/>
      <c r="I938" s="43"/>
      <c r="J938" s="43"/>
      <c r="K938" s="43"/>
      <c r="L938" s="43"/>
      <c r="M938" s="43"/>
      <c r="N938" s="43"/>
      <c r="O938" s="43"/>
      <c r="P938" s="43"/>
    </row>
    <row r="939" spans="1:16" ht="12.75">
      <c r="A939" s="619"/>
      <c r="B939" s="43"/>
      <c r="C939" s="43"/>
      <c r="D939" s="43"/>
      <c r="E939" s="43"/>
      <c r="F939" s="43"/>
      <c r="G939" s="43"/>
      <c r="H939" s="43"/>
      <c r="I939" s="43"/>
      <c r="J939" s="43"/>
      <c r="K939" s="43"/>
      <c r="L939" s="43"/>
      <c r="M939" s="43"/>
      <c r="N939" s="43"/>
      <c r="O939" s="43"/>
      <c r="P939" s="43"/>
    </row>
    <row r="940" spans="1:16" ht="12.75">
      <c r="A940" s="619"/>
      <c r="B940" s="43"/>
      <c r="C940" s="43"/>
      <c r="D940" s="43"/>
      <c r="E940" s="43"/>
      <c r="F940" s="43"/>
      <c r="G940" s="43"/>
      <c r="H940" s="43"/>
      <c r="I940" s="43"/>
      <c r="J940" s="43"/>
      <c r="K940" s="43"/>
      <c r="L940" s="43"/>
      <c r="M940" s="43"/>
      <c r="N940" s="43"/>
      <c r="O940" s="43"/>
      <c r="P940" s="43"/>
    </row>
    <row r="941" spans="1:16" ht="12.75">
      <c r="A941" s="619"/>
      <c r="B941" s="43"/>
      <c r="C941" s="43"/>
      <c r="D941" s="43"/>
      <c r="E941" s="43"/>
      <c r="F941" s="43"/>
      <c r="G941" s="43"/>
      <c r="H941" s="43"/>
      <c r="I941" s="43"/>
      <c r="J941" s="43"/>
      <c r="K941" s="43"/>
      <c r="L941" s="43"/>
      <c r="M941" s="43"/>
      <c r="N941" s="43"/>
      <c r="O941" s="43"/>
      <c r="P941" s="43"/>
    </row>
    <row r="942" spans="1:16" ht="12.75">
      <c r="A942" s="619"/>
      <c r="B942" s="43"/>
      <c r="C942" s="43"/>
      <c r="D942" s="43"/>
      <c r="E942" s="43"/>
      <c r="F942" s="43"/>
      <c r="G942" s="43"/>
      <c r="H942" s="43"/>
      <c r="I942" s="43"/>
      <c r="J942" s="43"/>
      <c r="K942" s="43"/>
      <c r="L942" s="43"/>
      <c r="M942" s="43"/>
      <c r="N942" s="43"/>
      <c r="O942" s="43"/>
      <c r="P942" s="43"/>
    </row>
    <row r="943" spans="1:16" ht="12.75">
      <c r="A943" s="619"/>
      <c r="B943" s="43"/>
      <c r="C943" s="43"/>
      <c r="D943" s="43"/>
      <c r="E943" s="43"/>
      <c r="F943" s="43"/>
      <c r="G943" s="43"/>
      <c r="H943" s="43"/>
      <c r="I943" s="43"/>
      <c r="J943" s="43"/>
      <c r="K943" s="43"/>
      <c r="L943" s="43"/>
      <c r="M943" s="43"/>
      <c r="N943" s="43"/>
      <c r="O943" s="43"/>
      <c r="P943" s="43"/>
    </row>
    <row r="944" spans="1:16" ht="12.75">
      <c r="A944" s="619"/>
      <c r="B944" s="43"/>
      <c r="C944" s="43"/>
      <c r="D944" s="43"/>
      <c r="E944" s="43"/>
      <c r="F944" s="43"/>
      <c r="G944" s="43"/>
      <c r="H944" s="43"/>
      <c r="I944" s="43"/>
      <c r="J944" s="43"/>
      <c r="K944" s="43"/>
      <c r="L944" s="43"/>
      <c r="M944" s="43"/>
      <c r="N944" s="43"/>
      <c r="O944" s="43"/>
      <c r="P944" s="43"/>
    </row>
    <row r="945" spans="1:16" ht="12.75">
      <c r="A945" s="619"/>
      <c r="B945" s="43"/>
      <c r="C945" s="43"/>
      <c r="D945" s="43"/>
      <c r="E945" s="43"/>
      <c r="F945" s="43"/>
      <c r="G945" s="43"/>
      <c r="H945" s="43"/>
      <c r="I945" s="43"/>
      <c r="J945" s="43"/>
      <c r="K945" s="43"/>
      <c r="L945" s="43"/>
      <c r="M945" s="43"/>
      <c r="N945" s="43"/>
      <c r="O945" s="43"/>
      <c r="P945" s="43"/>
    </row>
    <row r="946" spans="1:16" ht="12.75">
      <c r="A946" s="619"/>
      <c r="B946" s="43"/>
      <c r="C946" s="43"/>
      <c r="D946" s="43"/>
      <c r="E946" s="43"/>
      <c r="F946" s="43"/>
      <c r="G946" s="43"/>
      <c r="H946" s="43"/>
      <c r="I946" s="43"/>
      <c r="J946" s="43"/>
      <c r="K946" s="43"/>
      <c r="L946" s="43"/>
      <c r="M946" s="43"/>
      <c r="N946" s="43"/>
      <c r="O946" s="43"/>
      <c r="P946" s="43"/>
    </row>
    <row r="947" spans="1:16" ht="12.75">
      <c r="A947" s="619"/>
      <c r="B947" s="43"/>
      <c r="C947" s="43"/>
      <c r="D947" s="43"/>
      <c r="E947" s="43"/>
      <c r="F947" s="43"/>
      <c r="G947" s="43"/>
      <c r="H947" s="43"/>
      <c r="I947" s="43"/>
      <c r="J947" s="43"/>
      <c r="K947" s="43"/>
      <c r="L947" s="43"/>
      <c r="M947" s="43"/>
      <c r="N947" s="43"/>
      <c r="O947" s="43"/>
      <c r="P947" s="43"/>
    </row>
    <row r="948" spans="1:16" ht="12.75">
      <c r="A948" s="619"/>
      <c r="B948" s="43"/>
      <c r="C948" s="43"/>
      <c r="D948" s="43"/>
      <c r="E948" s="43"/>
      <c r="F948" s="43"/>
      <c r="G948" s="43"/>
      <c r="H948" s="43"/>
      <c r="I948" s="43"/>
      <c r="J948" s="43"/>
      <c r="K948" s="43"/>
      <c r="L948" s="43"/>
      <c r="M948" s="43"/>
      <c r="N948" s="43"/>
      <c r="O948" s="43"/>
      <c r="P948" s="43"/>
    </row>
    <row r="949" spans="1:16" ht="12.75">
      <c r="A949" s="619"/>
      <c r="B949" s="43"/>
      <c r="C949" s="43"/>
      <c r="D949" s="43"/>
      <c r="E949" s="43"/>
      <c r="F949" s="43"/>
      <c r="G949" s="43"/>
      <c r="H949" s="43"/>
      <c r="I949" s="43"/>
      <c r="J949" s="43"/>
      <c r="K949" s="43"/>
      <c r="L949" s="43"/>
      <c r="M949" s="43"/>
      <c r="N949" s="43"/>
      <c r="O949" s="43"/>
      <c r="P949" s="43"/>
    </row>
    <row r="950" spans="1:16" ht="12.75">
      <c r="A950" s="619"/>
      <c r="B950" s="43"/>
      <c r="C950" s="43"/>
      <c r="D950" s="43"/>
      <c r="E950" s="43"/>
      <c r="F950" s="43"/>
      <c r="G950" s="43"/>
      <c r="H950" s="43"/>
      <c r="I950" s="43"/>
      <c r="J950" s="43"/>
      <c r="K950" s="43"/>
      <c r="L950" s="43"/>
      <c r="M950" s="43"/>
      <c r="N950" s="43"/>
      <c r="O950" s="43"/>
      <c r="P950" s="43"/>
    </row>
    <row r="951" spans="1:16" ht="12.75">
      <c r="A951" s="619"/>
      <c r="B951" s="43"/>
      <c r="C951" s="43"/>
      <c r="D951" s="43"/>
      <c r="E951" s="43"/>
      <c r="F951" s="43"/>
      <c r="G951" s="43"/>
      <c r="H951" s="43"/>
      <c r="I951" s="43"/>
      <c r="J951" s="43"/>
      <c r="K951" s="43"/>
      <c r="L951" s="43"/>
      <c r="M951" s="43"/>
      <c r="N951" s="43"/>
      <c r="O951" s="43"/>
      <c r="P951" s="43"/>
    </row>
    <row r="952" spans="1:16" ht="12.75">
      <c r="A952" s="619"/>
      <c r="B952" s="43"/>
      <c r="C952" s="43"/>
      <c r="D952" s="43"/>
      <c r="E952" s="43"/>
      <c r="F952" s="43"/>
      <c r="G952" s="43"/>
      <c r="H952" s="43"/>
      <c r="I952" s="43"/>
      <c r="J952" s="43"/>
      <c r="K952" s="43"/>
      <c r="L952" s="43"/>
      <c r="M952" s="43"/>
      <c r="N952" s="43"/>
      <c r="O952" s="43"/>
      <c r="P952" s="43"/>
    </row>
    <row r="953" spans="1:16" ht="12.75">
      <c r="A953" s="619"/>
      <c r="B953" s="43"/>
      <c r="C953" s="43"/>
      <c r="D953" s="43"/>
      <c r="E953" s="43"/>
      <c r="F953" s="43"/>
      <c r="G953" s="43"/>
      <c r="H953" s="43"/>
      <c r="I953" s="43"/>
      <c r="J953" s="43"/>
      <c r="K953" s="43"/>
      <c r="L953" s="43"/>
      <c r="M953" s="43"/>
      <c r="N953" s="43"/>
      <c r="O953" s="43"/>
      <c r="P953" s="43"/>
    </row>
    <row r="954" spans="1:16" ht="12.75">
      <c r="A954" s="619"/>
      <c r="B954" s="43"/>
      <c r="C954" s="43"/>
      <c r="D954" s="43"/>
      <c r="E954" s="43"/>
      <c r="F954" s="43"/>
      <c r="G954" s="43"/>
      <c r="H954" s="43"/>
      <c r="I954" s="43"/>
      <c r="J954" s="43"/>
      <c r="K954" s="43"/>
      <c r="L954" s="43"/>
      <c r="M954" s="43"/>
      <c r="N954" s="43"/>
      <c r="O954" s="43"/>
      <c r="P954" s="43"/>
    </row>
    <row r="955" spans="1:16" ht="12.75">
      <c r="A955" s="619"/>
      <c r="B955" s="43"/>
      <c r="C955" s="43"/>
      <c r="D955" s="43"/>
      <c r="E955" s="43"/>
      <c r="F955" s="43"/>
      <c r="G955" s="43"/>
      <c r="H955" s="43"/>
      <c r="I955" s="43"/>
      <c r="J955" s="43"/>
      <c r="K955" s="43"/>
      <c r="L955" s="43"/>
      <c r="M955" s="43"/>
      <c r="N955" s="43"/>
      <c r="O955" s="43"/>
      <c r="P955" s="43"/>
    </row>
    <row r="956" spans="1:16" ht="12.75">
      <c r="A956" s="619"/>
      <c r="B956" s="43"/>
      <c r="C956" s="43"/>
      <c r="D956" s="43"/>
      <c r="E956" s="43"/>
      <c r="F956" s="43"/>
      <c r="G956" s="43"/>
      <c r="H956" s="43"/>
      <c r="I956" s="43"/>
      <c r="J956" s="43"/>
      <c r="K956" s="43"/>
      <c r="L956" s="43"/>
      <c r="M956" s="43"/>
      <c r="N956" s="43"/>
      <c r="O956" s="43"/>
      <c r="P956" s="43"/>
    </row>
    <row r="957" spans="1:16" ht="12.75">
      <c r="A957" s="619"/>
      <c r="B957" s="43"/>
      <c r="C957" s="43"/>
      <c r="D957" s="43"/>
      <c r="E957" s="43"/>
      <c r="F957" s="43"/>
      <c r="G957" s="43"/>
      <c r="H957" s="43"/>
      <c r="I957" s="43"/>
      <c r="J957" s="43"/>
      <c r="K957" s="43"/>
      <c r="L957" s="43"/>
      <c r="M957" s="43"/>
      <c r="N957" s="43"/>
      <c r="O957" s="43"/>
      <c r="P957" s="43"/>
    </row>
    <row r="958" spans="1:16" ht="12.75">
      <c r="A958" s="619"/>
      <c r="B958" s="43"/>
      <c r="C958" s="43"/>
      <c r="D958" s="43"/>
      <c r="E958" s="43"/>
      <c r="F958" s="43"/>
      <c r="G958" s="43"/>
      <c r="H958" s="43"/>
      <c r="I958" s="43"/>
      <c r="J958" s="43"/>
      <c r="K958" s="43"/>
      <c r="L958" s="43"/>
      <c r="M958" s="43"/>
      <c r="N958" s="43"/>
      <c r="O958" s="43"/>
      <c r="P958" s="43"/>
    </row>
    <row r="959" spans="1:16" ht="12.75">
      <c r="A959" s="619"/>
      <c r="B959" s="43"/>
      <c r="C959" s="43"/>
      <c r="D959" s="43"/>
      <c r="E959" s="43"/>
      <c r="F959" s="43"/>
      <c r="G959" s="43"/>
      <c r="H959" s="43"/>
      <c r="I959" s="43"/>
      <c r="J959" s="43"/>
      <c r="K959" s="43"/>
      <c r="L959" s="43"/>
      <c r="M959" s="43"/>
      <c r="N959" s="43"/>
      <c r="O959" s="43"/>
      <c r="P959" s="43"/>
    </row>
    <row r="960" spans="1:16" ht="12.75">
      <c r="A960" s="619"/>
      <c r="B960" s="43"/>
      <c r="C960" s="43"/>
      <c r="D960" s="43"/>
      <c r="E960" s="43"/>
      <c r="F960" s="43"/>
      <c r="G960" s="43"/>
      <c r="H960" s="43"/>
      <c r="I960" s="43"/>
      <c r="J960" s="43"/>
      <c r="K960" s="43"/>
      <c r="L960" s="43"/>
      <c r="M960" s="43"/>
      <c r="N960" s="43"/>
      <c r="O960" s="43"/>
      <c r="P960" s="43"/>
    </row>
    <row r="961" spans="1:16" ht="12.75">
      <c r="A961" s="619"/>
      <c r="B961" s="43"/>
      <c r="C961" s="43"/>
      <c r="D961" s="43"/>
      <c r="E961" s="43"/>
      <c r="F961" s="43"/>
      <c r="G961" s="43"/>
      <c r="H961" s="43"/>
      <c r="I961" s="43"/>
      <c r="J961" s="43"/>
      <c r="K961" s="43"/>
      <c r="L961" s="43"/>
      <c r="M961" s="43"/>
      <c r="N961" s="43"/>
      <c r="O961" s="43"/>
      <c r="P961" s="43"/>
    </row>
    <row r="962" spans="1:16" ht="12.75">
      <c r="A962" s="619"/>
      <c r="B962" s="43"/>
      <c r="C962" s="43"/>
      <c r="D962" s="43"/>
      <c r="E962" s="43"/>
      <c r="F962" s="43"/>
      <c r="G962" s="43"/>
      <c r="H962" s="43"/>
      <c r="I962" s="43"/>
      <c r="J962" s="43"/>
      <c r="K962" s="43"/>
      <c r="L962" s="43"/>
      <c r="M962" s="43"/>
      <c r="N962" s="43"/>
      <c r="O962" s="43"/>
      <c r="P962" s="43"/>
    </row>
    <row r="963" spans="1:16" ht="12.75">
      <c r="A963" s="619"/>
      <c r="B963" s="43"/>
      <c r="C963" s="43"/>
      <c r="D963" s="43"/>
      <c r="E963" s="43"/>
      <c r="F963" s="43"/>
      <c r="G963" s="43"/>
      <c r="H963" s="43"/>
      <c r="I963" s="43"/>
      <c r="J963" s="43"/>
      <c r="K963" s="43"/>
      <c r="L963" s="43"/>
      <c r="M963" s="43"/>
      <c r="N963" s="43"/>
      <c r="O963" s="43"/>
      <c r="P963" s="43"/>
    </row>
    <row r="964" spans="1:16" ht="12.75">
      <c r="A964" s="619"/>
      <c r="B964" s="43"/>
      <c r="C964" s="43"/>
      <c r="D964" s="43"/>
      <c r="E964" s="43"/>
      <c r="F964" s="43"/>
      <c r="G964" s="43"/>
      <c r="H964" s="43"/>
      <c r="I964" s="43"/>
      <c r="J964" s="43"/>
      <c r="K964" s="43"/>
      <c r="L964" s="43"/>
      <c r="M964" s="43"/>
      <c r="N964" s="43"/>
      <c r="O964" s="43"/>
      <c r="P964" s="43"/>
    </row>
    <row r="965" spans="1:16" ht="12.75">
      <c r="A965" s="619"/>
      <c r="B965" s="43"/>
      <c r="C965" s="43"/>
      <c r="D965" s="43"/>
      <c r="E965" s="43"/>
      <c r="F965" s="43"/>
      <c r="G965" s="43"/>
      <c r="H965" s="43"/>
      <c r="I965" s="43"/>
      <c r="J965" s="43"/>
      <c r="K965" s="43"/>
      <c r="L965" s="43"/>
      <c r="M965" s="43"/>
      <c r="N965" s="43"/>
      <c r="O965" s="43"/>
      <c r="P965" s="43"/>
    </row>
    <row r="966" spans="1:16" ht="12.75">
      <c r="A966" s="619"/>
      <c r="B966" s="43"/>
      <c r="C966" s="43"/>
      <c r="D966" s="43"/>
      <c r="E966" s="43"/>
      <c r="F966" s="43"/>
      <c r="G966" s="43"/>
      <c r="H966" s="43"/>
      <c r="I966" s="43"/>
      <c r="J966" s="43"/>
      <c r="K966" s="43"/>
      <c r="L966" s="43"/>
      <c r="M966" s="43"/>
      <c r="N966" s="43"/>
      <c r="O966" s="43"/>
      <c r="P966" s="43"/>
    </row>
    <row r="967" spans="1:16" ht="12.75">
      <c r="A967" s="619"/>
      <c r="B967" s="43"/>
      <c r="C967" s="43"/>
      <c r="D967" s="43"/>
      <c r="E967" s="43"/>
      <c r="F967" s="43"/>
      <c r="G967" s="43"/>
      <c r="H967" s="43"/>
      <c r="I967" s="43"/>
      <c r="J967" s="43"/>
      <c r="K967" s="43"/>
      <c r="L967" s="43"/>
      <c r="M967" s="43"/>
      <c r="N967" s="43"/>
      <c r="O967" s="43"/>
      <c r="P967" s="43"/>
    </row>
    <row r="968" spans="1:16" ht="12.75">
      <c r="A968" s="619"/>
      <c r="B968" s="43"/>
      <c r="C968" s="43"/>
      <c r="D968" s="43"/>
      <c r="E968" s="43"/>
      <c r="F968" s="43"/>
      <c r="G968" s="43"/>
      <c r="H968" s="43"/>
      <c r="I968" s="43"/>
      <c r="J968" s="43"/>
      <c r="K968" s="43"/>
      <c r="L968" s="43"/>
      <c r="M968" s="43"/>
      <c r="N968" s="43"/>
      <c r="O968" s="43"/>
      <c r="P968" s="43"/>
    </row>
    <row r="969" spans="1:16" ht="12.75">
      <c r="A969" s="619"/>
      <c r="B969" s="43"/>
      <c r="C969" s="43"/>
      <c r="D969" s="43"/>
      <c r="E969" s="43"/>
      <c r="F969" s="43"/>
      <c r="G969" s="43"/>
      <c r="H969" s="43"/>
      <c r="I969" s="43"/>
      <c r="J969" s="43"/>
      <c r="K969" s="43"/>
      <c r="L969" s="43"/>
      <c r="M969" s="43"/>
      <c r="N969" s="43"/>
      <c r="O969" s="43"/>
      <c r="P969" s="43"/>
    </row>
    <row r="970" spans="1:16" ht="12.75">
      <c r="A970" s="619"/>
      <c r="B970" s="43"/>
      <c r="C970" s="43"/>
      <c r="D970" s="43"/>
      <c r="E970" s="43"/>
      <c r="F970" s="43"/>
      <c r="G970" s="43"/>
      <c r="H970" s="43"/>
      <c r="I970" s="43"/>
      <c r="J970" s="43"/>
      <c r="K970" s="43"/>
      <c r="L970" s="43"/>
      <c r="M970" s="43"/>
      <c r="N970" s="43"/>
      <c r="O970" s="43"/>
      <c r="P970" s="43"/>
    </row>
    <row r="971" spans="1:16" ht="12.75">
      <c r="A971" s="619"/>
      <c r="B971" s="43"/>
      <c r="C971" s="43"/>
      <c r="D971" s="43"/>
      <c r="E971" s="43"/>
      <c r="F971" s="43"/>
      <c r="G971" s="43"/>
      <c r="H971" s="43"/>
      <c r="I971" s="43"/>
      <c r="J971" s="43"/>
      <c r="K971" s="43"/>
      <c r="L971" s="43"/>
      <c r="M971" s="43"/>
      <c r="N971" s="43"/>
      <c r="O971" s="43"/>
      <c r="P971" s="43"/>
    </row>
    <row r="972" spans="1:16" ht="12.75">
      <c r="A972" s="619"/>
      <c r="B972" s="43"/>
      <c r="C972" s="43"/>
      <c r="D972" s="43"/>
      <c r="E972" s="43"/>
      <c r="F972" s="43"/>
      <c r="G972" s="43"/>
      <c r="H972" s="43"/>
      <c r="I972" s="43"/>
      <c r="J972" s="43"/>
      <c r="K972" s="43"/>
      <c r="L972" s="43"/>
      <c r="M972" s="43"/>
      <c r="N972" s="43"/>
      <c r="O972" s="43"/>
      <c r="P972" s="43"/>
    </row>
    <row r="973" spans="1:16" ht="12.75">
      <c r="A973" s="619"/>
      <c r="B973" s="43"/>
      <c r="C973" s="43"/>
      <c r="D973" s="43"/>
      <c r="E973" s="43"/>
      <c r="F973" s="43"/>
      <c r="G973" s="43"/>
      <c r="H973" s="43"/>
      <c r="I973" s="43"/>
      <c r="J973" s="43"/>
      <c r="K973" s="43"/>
      <c r="L973" s="43"/>
      <c r="M973" s="43"/>
      <c r="N973" s="43"/>
      <c r="O973" s="43"/>
      <c r="P973" s="43"/>
    </row>
    <row r="974" spans="1:16" ht="12.75">
      <c r="A974" s="619"/>
      <c r="B974" s="43"/>
      <c r="C974" s="43"/>
      <c r="D974" s="43"/>
      <c r="E974" s="43"/>
      <c r="F974" s="43"/>
      <c r="G974" s="43"/>
      <c r="H974" s="43"/>
      <c r="I974" s="43"/>
      <c r="J974" s="43"/>
      <c r="K974" s="43"/>
      <c r="L974" s="43"/>
      <c r="M974" s="43"/>
      <c r="N974" s="43"/>
      <c r="O974" s="43"/>
      <c r="P974" s="43"/>
    </row>
    <row r="975" spans="1:16" ht="12.75">
      <c r="A975" s="619"/>
      <c r="B975" s="43"/>
      <c r="C975" s="43"/>
      <c r="D975" s="43"/>
      <c r="E975" s="43"/>
      <c r="F975" s="43"/>
      <c r="G975" s="43"/>
      <c r="H975" s="43"/>
      <c r="I975" s="43"/>
      <c r="J975" s="43"/>
      <c r="K975" s="43"/>
      <c r="L975" s="43"/>
      <c r="M975" s="43"/>
      <c r="N975" s="43"/>
      <c r="O975" s="43"/>
      <c r="P975" s="43"/>
    </row>
    <row r="976" spans="1:16" ht="12.75">
      <c r="A976" s="619"/>
      <c r="B976" s="43"/>
      <c r="C976" s="43"/>
      <c r="D976" s="43"/>
      <c r="E976" s="43"/>
      <c r="F976" s="43"/>
      <c r="G976" s="43"/>
      <c r="H976" s="43"/>
      <c r="I976" s="43"/>
      <c r="J976" s="43"/>
      <c r="K976" s="43"/>
      <c r="L976" s="43"/>
      <c r="M976" s="43"/>
      <c r="N976" s="43"/>
      <c r="O976" s="43"/>
      <c r="P976" s="43"/>
    </row>
    <row r="977" spans="1:16" ht="12.75">
      <c r="A977" s="619"/>
      <c r="B977" s="43"/>
      <c r="C977" s="43"/>
      <c r="D977" s="43"/>
      <c r="E977" s="43"/>
      <c r="F977" s="43"/>
      <c r="G977" s="43"/>
      <c r="H977" s="43"/>
      <c r="I977" s="43"/>
      <c r="J977" s="43"/>
      <c r="K977" s="43"/>
      <c r="L977" s="43"/>
      <c r="M977" s="43"/>
      <c r="N977" s="43"/>
      <c r="O977" s="43"/>
      <c r="P977" s="43"/>
    </row>
    <row r="978" spans="1:16" ht="12.75">
      <c r="A978" s="619"/>
      <c r="B978" s="43"/>
      <c r="C978" s="43"/>
      <c r="D978" s="43"/>
      <c r="E978" s="43"/>
      <c r="F978" s="43"/>
      <c r="G978" s="43"/>
      <c r="H978" s="43"/>
      <c r="I978" s="43"/>
      <c r="J978" s="43"/>
      <c r="K978" s="43"/>
      <c r="L978" s="43"/>
      <c r="M978" s="43"/>
      <c r="N978" s="43"/>
      <c r="O978" s="43"/>
      <c r="P978" s="43"/>
    </row>
    <row r="979" spans="1:16" ht="12.75">
      <c r="A979" s="619"/>
      <c r="B979" s="43"/>
      <c r="C979" s="43"/>
      <c r="D979" s="43"/>
      <c r="E979" s="43"/>
      <c r="F979" s="43"/>
      <c r="G979" s="43"/>
      <c r="H979" s="43"/>
      <c r="I979" s="43"/>
      <c r="J979" s="43"/>
      <c r="K979" s="43"/>
      <c r="L979" s="43"/>
      <c r="M979" s="43"/>
      <c r="N979" s="43"/>
      <c r="O979" s="43"/>
      <c r="P979" s="43"/>
    </row>
    <row r="980" spans="1:16" ht="12.75">
      <c r="A980" s="619"/>
      <c r="B980" s="43"/>
      <c r="C980" s="43"/>
      <c r="D980" s="43"/>
      <c r="E980" s="43"/>
      <c r="F980" s="43"/>
      <c r="G980" s="43"/>
      <c r="H980" s="43"/>
      <c r="I980" s="43"/>
      <c r="J980" s="43"/>
      <c r="K980" s="43"/>
      <c r="L980" s="43"/>
      <c r="M980" s="43"/>
      <c r="N980" s="43"/>
      <c r="O980" s="43"/>
      <c r="P980" s="43"/>
    </row>
    <row r="981" spans="1:16" ht="12.75">
      <c r="A981" s="619"/>
      <c r="B981" s="43"/>
      <c r="C981" s="43"/>
      <c r="D981" s="43"/>
      <c r="E981" s="43"/>
      <c r="F981" s="43"/>
      <c r="G981" s="43"/>
      <c r="H981" s="43"/>
      <c r="I981" s="43"/>
      <c r="J981" s="43"/>
      <c r="K981" s="43"/>
      <c r="L981" s="43"/>
      <c r="M981" s="43"/>
      <c r="N981" s="43"/>
      <c r="O981" s="43"/>
      <c r="P981" s="43"/>
    </row>
    <row r="982" spans="1:16" ht="12.75">
      <c r="A982" s="619"/>
      <c r="B982" s="43"/>
      <c r="C982" s="43"/>
      <c r="D982" s="43"/>
      <c r="E982" s="43"/>
      <c r="F982" s="43"/>
      <c r="G982" s="43"/>
      <c r="H982" s="43"/>
      <c r="I982" s="43"/>
      <c r="J982" s="43"/>
      <c r="K982" s="43"/>
      <c r="L982" s="43"/>
      <c r="M982" s="43"/>
      <c r="N982" s="43"/>
      <c r="O982" s="43"/>
      <c r="P982" s="43"/>
    </row>
    <row r="983" spans="1:16" ht="12.75">
      <c r="A983" s="619"/>
      <c r="B983" s="43"/>
      <c r="C983" s="43"/>
      <c r="D983" s="43"/>
      <c r="E983" s="43"/>
      <c r="F983" s="43"/>
      <c r="G983" s="43"/>
      <c r="H983" s="43"/>
      <c r="I983" s="43"/>
      <c r="J983" s="43"/>
      <c r="K983" s="43"/>
      <c r="L983" s="43"/>
      <c r="M983" s="43"/>
      <c r="N983" s="43"/>
      <c r="O983" s="43"/>
      <c r="P983" s="43"/>
    </row>
    <row r="984" spans="1:16" ht="12.75">
      <c r="A984" s="619"/>
      <c r="B984" s="43"/>
      <c r="C984" s="43"/>
      <c r="D984" s="43"/>
      <c r="E984" s="43"/>
      <c r="F984" s="43"/>
      <c r="G984" s="43"/>
      <c r="H984" s="43"/>
      <c r="I984" s="43"/>
      <c r="J984" s="43"/>
      <c r="K984" s="43"/>
      <c r="L984" s="43"/>
      <c r="M984" s="43"/>
      <c r="N984" s="43"/>
      <c r="O984" s="43"/>
      <c r="P984" s="43"/>
    </row>
    <row r="985" spans="1:16" ht="12.75">
      <c r="A985" s="619"/>
      <c r="B985" s="43"/>
      <c r="C985" s="43"/>
      <c r="D985" s="43"/>
      <c r="E985" s="43"/>
      <c r="F985" s="43"/>
      <c r="G985" s="43"/>
      <c r="H985" s="43"/>
      <c r="I985" s="43"/>
      <c r="J985" s="43"/>
      <c r="K985" s="43"/>
      <c r="L985" s="43"/>
      <c r="M985" s="43"/>
      <c r="N985" s="43"/>
      <c r="O985" s="43"/>
      <c r="P985" s="43"/>
    </row>
    <row r="986" spans="1:16" ht="12.75">
      <c r="A986" s="619"/>
      <c r="B986" s="43"/>
      <c r="C986" s="43"/>
      <c r="D986" s="43"/>
      <c r="E986" s="43"/>
      <c r="F986" s="43"/>
      <c r="G986" s="43"/>
      <c r="H986" s="43"/>
      <c r="I986" s="43"/>
      <c r="J986" s="43"/>
      <c r="K986" s="43"/>
      <c r="L986" s="43"/>
      <c r="M986" s="43"/>
      <c r="N986" s="43"/>
      <c r="O986" s="43"/>
      <c r="P986" s="43"/>
    </row>
    <row r="987" spans="1:16" ht="12.75">
      <c r="A987" s="619"/>
      <c r="B987" s="43"/>
      <c r="C987" s="43"/>
      <c r="D987" s="43"/>
      <c r="E987" s="43"/>
      <c r="F987" s="43"/>
      <c r="G987" s="43"/>
      <c r="H987" s="43"/>
      <c r="I987" s="43"/>
      <c r="J987" s="43"/>
      <c r="K987" s="43"/>
      <c r="L987" s="43"/>
      <c r="M987" s="43"/>
      <c r="N987" s="43"/>
      <c r="O987" s="43"/>
      <c r="P987" s="43"/>
    </row>
    <row r="988" spans="1:16" ht="12.75">
      <c r="A988" s="619"/>
      <c r="B988" s="43"/>
      <c r="C988" s="43"/>
      <c r="D988" s="43"/>
      <c r="E988" s="43"/>
      <c r="F988" s="43"/>
      <c r="G988" s="43"/>
      <c r="H988" s="43"/>
      <c r="I988" s="43"/>
      <c r="J988" s="43"/>
      <c r="K988" s="43"/>
      <c r="L988" s="43"/>
      <c r="M988" s="43"/>
      <c r="N988" s="43"/>
      <c r="O988" s="43"/>
      <c r="P988" s="43"/>
    </row>
  </sheetData>
  <mergeCells count="26">
    <mergeCell ref="A52:A53"/>
    <mergeCell ref="A54:A55"/>
    <mergeCell ref="A56:A57"/>
    <mergeCell ref="A58:A59"/>
    <mergeCell ref="A35:A36"/>
    <mergeCell ref="A37:A38"/>
    <mergeCell ref="A39:A40"/>
    <mergeCell ref="A41:A42"/>
    <mergeCell ref="A44:A45"/>
    <mergeCell ref="A46:A47"/>
    <mergeCell ref="A48:A49"/>
    <mergeCell ref="A26:A27"/>
    <mergeCell ref="A29:A30"/>
    <mergeCell ref="A31:A32"/>
    <mergeCell ref="A33:A34"/>
    <mergeCell ref="A50:A51"/>
    <mergeCell ref="A16:A17"/>
    <mergeCell ref="A18:A19"/>
    <mergeCell ref="A20:A21"/>
    <mergeCell ref="A22:A23"/>
    <mergeCell ref="A24:A25"/>
    <mergeCell ref="A3:A4"/>
    <mergeCell ref="A5:A6"/>
    <mergeCell ref="A7:A8"/>
    <mergeCell ref="A9:A10"/>
    <mergeCell ref="A14:A15"/>
  </mergeCells>
  <conditionalFormatting sqref="A1:A988">
    <cfRule type="notContainsBlanks" dxfId="2" priority="1">
      <formula>LEN(TRIM(A1))&gt;0</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U1317"/>
  <sheetViews>
    <sheetView workbookViewId="0"/>
  </sheetViews>
  <sheetFormatPr defaultColWidth="12.5703125" defaultRowHeight="15.75" customHeight="1"/>
  <cols>
    <col min="1" max="1" width="16.42578125" customWidth="1"/>
    <col min="2" max="2" width="13.5703125" customWidth="1"/>
    <col min="3" max="3" width="18.28515625" customWidth="1"/>
    <col min="4" max="5" width="12.5703125" customWidth="1"/>
    <col min="6" max="6" width="40.28515625" customWidth="1"/>
    <col min="7" max="7" width="48.7109375" customWidth="1"/>
    <col min="8" max="8" width="13.7109375" customWidth="1"/>
    <col min="9" max="9" width="18.140625" customWidth="1"/>
    <col min="10" max="10" width="17.5703125" customWidth="1"/>
    <col min="11" max="11" width="16.42578125" customWidth="1"/>
    <col min="12" max="12" width="15.5703125" customWidth="1"/>
    <col min="13" max="13" width="16.7109375" customWidth="1"/>
    <col min="14" max="14" width="55.42578125" customWidth="1"/>
    <col min="15" max="15" width="16.140625" customWidth="1"/>
    <col min="16" max="16" width="15.5703125" customWidth="1"/>
    <col min="17" max="17" width="27.85546875" customWidth="1"/>
    <col min="18" max="18" width="15.5703125" customWidth="1"/>
    <col min="19" max="19" width="17.5703125" customWidth="1"/>
    <col min="20" max="20" width="16.42578125" customWidth="1"/>
    <col min="21" max="21" width="18.140625" customWidth="1"/>
  </cols>
  <sheetData>
    <row r="1" spans="1:21" ht="25.5">
      <c r="A1" s="275" t="s">
        <v>11901</v>
      </c>
      <c r="B1" s="579" t="s">
        <v>2</v>
      </c>
      <c r="C1" s="579" t="s">
        <v>389</v>
      </c>
      <c r="D1" s="729" t="s">
        <v>11902</v>
      </c>
      <c r="E1" s="729" t="s">
        <v>11903</v>
      </c>
      <c r="F1" s="579" t="s">
        <v>6</v>
      </c>
      <c r="G1" s="579" t="s">
        <v>7</v>
      </c>
      <c r="H1" s="730" t="s">
        <v>391</v>
      </c>
      <c r="I1" s="579" t="s">
        <v>1820</v>
      </c>
      <c r="J1" s="729" t="s">
        <v>1821</v>
      </c>
      <c r="K1" s="729" t="s">
        <v>7812</v>
      </c>
      <c r="L1" s="579" t="s">
        <v>6060</v>
      </c>
      <c r="M1" s="731" t="s">
        <v>5</v>
      </c>
      <c r="N1" s="579" t="s">
        <v>1822</v>
      </c>
      <c r="O1" s="579" t="s">
        <v>5631</v>
      </c>
      <c r="P1" s="579" t="s">
        <v>5632</v>
      </c>
      <c r="Q1" s="579" t="s">
        <v>5894</v>
      </c>
      <c r="R1" s="579" t="s">
        <v>5630</v>
      </c>
      <c r="S1" s="579" t="s">
        <v>1818</v>
      </c>
      <c r="T1" s="275" t="s">
        <v>5305</v>
      </c>
      <c r="U1" s="579"/>
    </row>
    <row r="2" spans="1:21" ht="76.5">
      <c r="A2" s="44">
        <v>2022</v>
      </c>
      <c r="B2" s="732" t="s">
        <v>1858</v>
      </c>
      <c r="C2" s="462" t="s">
        <v>61</v>
      </c>
      <c r="D2" s="733" t="s">
        <v>11904</v>
      </c>
      <c r="E2" s="733"/>
      <c r="F2" s="734" t="s">
        <v>1459</v>
      </c>
      <c r="G2" s="462" t="s">
        <v>1460</v>
      </c>
      <c r="H2" s="735">
        <v>393300</v>
      </c>
      <c r="I2" s="462" t="s">
        <v>1827</v>
      </c>
      <c r="J2" s="733" t="s">
        <v>1847</v>
      </c>
      <c r="K2" s="733"/>
      <c r="L2" s="733" t="s">
        <v>6064</v>
      </c>
      <c r="M2" s="736">
        <v>44573</v>
      </c>
      <c r="N2" s="734" t="s">
        <v>1860</v>
      </c>
      <c r="O2" s="737"/>
      <c r="P2" s="44" t="s">
        <v>1808</v>
      </c>
      <c r="Q2" s="738"/>
      <c r="R2" s="739" t="s">
        <v>6080</v>
      </c>
      <c r="S2" s="733" t="s">
        <v>1834</v>
      </c>
      <c r="U2" s="462"/>
    </row>
    <row r="3" spans="1:21" ht="76.5">
      <c r="A3" s="44">
        <v>2022</v>
      </c>
      <c r="B3" s="732" t="s">
        <v>1861</v>
      </c>
      <c r="C3" s="462" t="s">
        <v>61</v>
      </c>
      <c r="D3" s="733" t="s">
        <v>1862</v>
      </c>
      <c r="E3" s="733"/>
      <c r="F3" s="734" t="s">
        <v>1863</v>
      </c>
      <c r="G3" s="462" t="s">
        <v>1864</v>
      </c>
      <c r="H3" s="735">
        <v>190300</v>
      </c>
      <c r="I3" s="462" t="s">
        <v>1846</v>
      </c>
      <c r="J3" s="733" t="s">
        <v>1847</v>
      </c>
      <c r="K3" s="733"/>
      <c r="L3" s="733" t="s">
        <v>6064</v>
      </c>
      <c r="M3" s="736">
        <v>44573</v>
      </c>
      <c r="N3" s="734" t="s">
        <v>1865</v>
      </c>
      <c r="O3" s="737"/>
      <c r="P3" s="44" t="s">
        <v>1808</v>
      </c>
      <c r="Q3" s="740"/>
      <c r="R3" s="739" t="s">
        <v>6081</v>
      </c>
      <c r="S3" s="733" t="s">
        <v>1843</v>
      </c>
      <c r="U3" s="462"/>
    </row>
    <row r="4" spans="1:21" ht="51">
      <c r="A4" s="44">
        <v>2022</v>
      </c>
      <c r="B4" s="732" t="s">
        <v>1866</v>
      </c>
      <c r="C4" s="462" t="s">
        <v>61</v>
      </c>
      <c r="D4" s="733" t="s">
        <v>1862</v>
      </c>
      <c r="E4" s="733"/>
      <c r="F4" s="734" t="s">
        <v>1868</v>
      </c>
      <c r="G4" s="462" t="s">
        <v>575</v>
      </c>
      <c r="H4" s="735" t="s">
        <v>1808</v>
      </c>
      <c r="I4" s="462" t="s">
        <v>1849</v>
      </c>
      <c r="J4" s="733" t="s">
        <v>1828</v>
      </c>
      <c r="K4" s="733"/>
      <c r="L4" s="733" t="s">
        <v>6064</v>
      </c>
      <c r="M4" s="736">
        <v>44588</v>
      </c>
      <c r="N4" s="734" t="s">
        <v>1869</v>
      </c>
      <c r="O4" s="737"/>
      <c r="P4" s="44" t="s">
        <v>1808</v>
      </c>
      <c r="Q4" s="740"/>
      <c r="R4" s="741" t="s">
        <v>6082</v>
      </c>
      <c r="S4" s="733" t="s">
        <v>1834</v>
      </c>
      <c r="U4" s="462"/>
    </row>
    <row r="5" spans="1:21" ht="51">
      <c r="A5" s="44">
        <v>2022</v>
      </c>
      <c r="B5" s="732" t="s">
        <v>1870</v>
      </c>
      <c r="C5" s="462" t="s">
        <v>61</v>
      </c>
      <c r="D5" s="733" t="s">
        <v>1862</v>
      </c>
      <c r="E5" s="733"/>
      <c r="F5" s="734" t="s">
        <v>1871</v>
      </c>
      <c r="G5" s="462" t="s">
        <v>1872</v>
      </c>
      <c r="H5" s="735">
        <v>544434</v>
      </c>
      <c r="I5" s="462" t="s">
        <v>1872</v>
      </c>
      <c r="J5" s="733" t="s">
        <v>1847</v>
      </c>
      <c r="K5" s="733"/>
      <c r="L5" s="733" t="s">
        <v>6064</v>
      </c>
      <c r="M5" s="736">
        <v>44588</v>
      </c>
      <c r="N5" s="734" t="s">
        <v>1873</v>
      </c>
      <c r="O5" s="737"/>
      <c r="P5" s="44" t="s">
        <v>1808</v>
      </c>
      <c r="Q5" s="740"/>
      <c r="R5" s="739" t="s">
        <v>6083</v>
      </c>
      <c r="S5" s="733" t="s">
        <v>1843</v>
      </c>
      <c r="U5" s="462"/>
    </row>
    <row r="6" spans="1:21" ht="63.75">
      <c r="B6" s="581">
        <v>44682</v>
      </c>
      <c r="C6" s="34" t="s">
        <v>1823</v>
      </c>
      <c r="D6" s="44" t="s">
        <v>1830</v>
      </c>
      <c r="E6" s="44"/>
      <c r="F6" s="188" t="s">
        <v>1825</v>
      </c>
      <c r="G6" s="34" t="s">
        <v>1826</v>
      </c>
      <c r="H6" s="45">
        <v>680240</v>
      </c>
      <c r="I6" s="34" t="s">
        <v>1827</v>
      </c>
      <c r="J6" s="44" t="s">
        <v>1828</v>
      </c>
      <c r="K6" s="44"/>
      <c r="L6" s="44" t="s">
        <v>6064</v>
      </c>
      <c r="M6" s="742">
        <v>44588</v>
      </c>
      <c r="N6" s="188" t="s">
        <v>1829</v>
      </c>
      <c r="O6" s="43"/>
      <c r="P6" s="44" t="s">
        <v>1808</v>
      </c>
      <c r="Q6" s="743" t="s">
        <v>6061</v>
      </c>
      <c r="R6" s="604" t="s">
        <v>6062</v>
      </c>
      <c r="S6" s="44" t="s">
        <v>1824</v>
      </c>
      <c r="U6" s="34"/>
    </row>
    <row r="7" spans="1:21" ht="76.5">
      <c r="A7" s="44">
        <v>2022</v>
      </c>
      <c r="B7" s="581">
        <v>44713</v>
      </c>
      <c r="C7" s="462" t="s">
        <v>61</v>
      </c>
      <c r="D7" s="44" t="s">
        <v>1831</v>
      </c>
      <c r="E7" s="44"/>
      <c r="F7" s="188" t="s">
        <v>1832</v>
      </c>
      <c r="G7" s="34" t="s">
        <v>1826</v>
      </c>
      <c r="H7" s="45">
        <v>210000</v>
      </c>
      <c r="I7" s="34" t="s">
        <v>1827</v>
      </c>
      <c r="J7" s="44" t="s">
        <v>1828</v>
      </c>
      <c r="K7" s="44"/>
      <c r="L7" s="44" t="s">
        <v>6064</v>
      </c>
      <c r="M7" s="744">
        <v>44614</v>
      </c>
      <c r="N7" s="188" t="s">
        <v>1833</v>
      </c>
      <c r="O7" s="43"/>
      <c r="P7" s="44" t="s">
        <v>1808</v>
      </c>
      <c r="Q7" s="745" t="s">
        <v>6065</v>
      </c>
      <c r="R7" s="602" t="s">
        <v>6066</v>
      </c>
      <c r="S7" s="44" t="s">
        <v>1824</v>
      </c>
      <c r="U7" s="34"/>
    </row>
    <row r="8" spans="1:21" ht="89.25">
      <c r="A8" s="44">
        <v>2022</v>
      </c>
      <c r="B8" s="581">
        <v>44743</v>
      </c>
      <c r="C8" s="462" t="s">
        <v>61</v>
      </c>
      <c r="D8" s="44" t="s">
        <v>575</v>
      </c>
      <c r="E8" s="44"/>
      <c r="F8" s="188" t="s">
        <v>1466</v>
      </c>
      <c r="G8" s="34" t="s">
        <v>1835</v>
      </c>
      <c r="H8" s="45">
        <v>310057.2</v>
      </c>
      <c r="I8" s="34" t="s">
        <v>1836</v>
      </c>
      <c r="J8" s="44" t="s">
        <v>1828</v>
      </c>
      <c r="K8" s="44"/>
      <c r="L8" s="44" t="s">
        <v>6064</v>
      </c>
      <c r="M8" s="746">
        <v>44594</v>
      </c>
      <c r="N8" s="188" t="s">
        <v>1837</v>
      </c>
      <c r="O8" s="43"/>
      <c r="P8" s="44" t="s">
        <v>1808</v>
      </c>
      <c r="Q8" s="465"/>
      <c r="R8" s="602" t="s">
        <v>6068</v>
      </c>
      <c r="S8" s="44" t="s">
        <v>1834</v>
      </c>
      <c r="U8" s="34"/>
    </row>
    <row r="9" spans="1:21" ht="76.5">
      <c r="A9" s="44">
        <v>2022</v>
      </c>
      <c r="B9" s="581">
        <v>44774</v>
      </c>
      <c r="C9" s="462" t="s">
        <v>61</v>
      </c>
      <c r="D9" s="44" t="s">
        <v>1838</v>
      </c>
      <c r="E9" s="44"/>
      <c r="F9" s="188" t="s">
        <v>1839</v>
      </c>
      <c r="G9" s="34" t="s">
        <v>1840</v>
      </c>
      <c r="H9" s="45">
        <v>25200</v>
      </c>
      <c r="I9" s="34" t="s">
        <v>1836</v>
      </c>
      <c r="J9" s="44" t="s">
        <v>1828</v>
      </c>
      <c r="K9" s="44"/>
      <c r="L9" s="44" t="s">
        <v>6071</v>
      </c>
      <c r="M9" s="746">
        <v>44614</v>
      </c>
      <c r="N9" s="188" t="s">
        <v>1841</v>
      </c>
      <c r="O9" s="43"/>
      <c r="P9" s="44" t="s">
        <v>1808</v>
      </c>
      <c r="Q9" s="743" t="s">
        <v>6069</v>
      </c>
      <c r="R9" s="602" t="s">
        <v>6070</v>
      </c>
      <c r="S9" s="44" t="s">
        <v>1824</v>
      </c>
      <c r="U9" s="34"/>
    </row>
    <row r="10" spans="1:21" ht="51">
      <c r="A10" s="44">
        <v>2022</v>
      </c>
      <c r="B10" s="581">
        <v>44805</v>
      </c>
      <c r="C10" s="462" t="s">
        <v>61</v>
      </c>
      <c r="D10" s="44" t="s">
        <v>575</v>
      </c>
      <c r="E10" s="44"/>
      <c r="F10" s="188" t="s">
        <v>1844</v>
      </c>
      <c r="G10" s="34" t="s">
        <v>1845</v>
      </c>
      <c r="H10" s="45">
        <v>5300</v>
      </c>
      <c r="I10" s="34" t="s">
        <v>1846</v>
      </c>
      <c r="J10" s="44" t="s">
        <v>1847</v>
      </c>
      <c r="K10" s="44"/>
      <c r="L10" s="44" t="s">
        <v>6073</v>
      </c>
      <c r="M10" s="746">
        <v>44602</v>
      </c>
      <c r="N10" s="188" t="s">
        <v>1848</v>
      </c>
      <c r="O10" s="43"/>
      <c r="P10" s="44" t="s">
        <v>1808</v>
      </c>
      <c r="Q10" s="747"/>
      <c r="R10" s="602" t="s">
        <v>6072</v>
      </c>
      <c r="S10" s="44" t="s">
        <v>1843</v>
      </c>
      <c r="U10" s="34"/>
    </row>
    <row r="11" spans="1:21" ht="63.75">
      <c r="A11" s="44">
        <v>2022</v>
      </c>
      <c r="B11" s="587">
        <v>44835</v>
      </c>
      <c r="C11" s="462" t="s">
        <v>61</v>
      </c>
      <c r="D11" s="44" t="s">
        <v>1849</v>
      </c>
      <c r="E11" s="44"/>
      <c r="F11" s="188" t="s">
        <v>1850</v>
      </c>
      <c r="G11" s="34" t="s">
        <v>1851</v>
      </c>
      <c r="H11" s="45">
        <v>1831800</v>
      </c>
      <c r="I11" s="34" t="s">
        <v>1836</v>
      </c>
      <c r="J11" s="44" t="s">
        <v>1828</v>
      </c>
      <c r="K11" s="44"/>
      <c r="L11" s="44" t="s">
        <v>6064</v>
      </c>
      <c r="M11" s="746">
        <v>44608</v>
      </c>
      <c r="N11" s="188" t="s">
        <v>1852</v>
      </c>
      <c r="O11" s="43"/>
      <c r="P11" s="44" t="s">
        <v>1808</v>
      </c>
      <c r="Q11" s="747"/>
      <c r="R11" s="602" t="s">
        <v>6075</v>
      </c>
      <c r="S11" s="44" t="s">
        <v>1824</v>
      </c>
      <c r="U11" s="34"/>
    </row>
    <row r="12" spans="1:21" ht="102">
      <c r="A12" s="44">
        <v>2022</v>
      </c>
      <c r="B12" s="748">
        <v>44866</v>
      </c>
      <c r="C12" s="462" t="s">
        <v>61</v>
      </c>
      <c r="D12" s="733" t="s">
        <v>394</v>
      </c>
      <c r="E12" s="733"/>
      <c r="F12" s="734" t="s">
        <v>571</v>
      </c>
      <c r="G12" s="462" t="s">
        <v>572</v>
      </c>
      <c r="H12" s="735" t="s">
        <v>11905</v>
      </c>
      <c r="I12" s="462" t="s">
        <v>1854</v>
      </c>
      <c r="J12" s="733" t="s">
        <v>2460</v>
      </c>
      <c r="K12" s="733"/>
      <c r="L12" s="733" t="s">
        <v>6064</v>
      </c>
      <c r="M12" s="736">
        <v>44608</v>
      </c>
      <c r="N12" s="734" t="s">
        <v>1856</v>
      </c>
      <c r="O12" s="737"/>
      <c r="P12" s="44" t="s">
        <v>1808</v>
      </c>
      <c r="Q12" s="749" t="s">
        <v>6076</v>
      </c>
      <c r="R12" s="739" t="s">
        <v>6077</v>
      </c>
      <c r="S12" s="733" t="s">
        <v>1824</v>
      </c>
      <c r="U12" s="462"/>
    </row>
    <row r="13" spans="1:21" ht="38.25">
      <c r="A13" s="44">
        <v>2022</v>
      </c>
      <c r="B13" s="587">
        <v>44896</v>
      </c>
      <c r="C13" s="462" t="s">
        <v>61</v>
      </c>
      <c r="D13" s="44" t="s">
        <v>1417</v>
      </c>
      <c r="E13" s="44"/>
      <c r="F13" s="188" t="s">
        <v>574</v>
      </c>
      <c r="G13" s="34" t="s">
        <v>575</v>
      </c>
      <c r="H13" s="45">
        <v>345000</v>
      </c>
      <c r="I13" s="34" t="s">
        <v>1827</v>
      </c>
      <c r="J13" s="44" t="s">
        <v>1828</v>
      </c>
      <c r="K13" s="44"/>
      <c r="L13" s="44" t="s">
        <v>6064</v>
      </c>
      <c r="M13" s="746">
        <v>44622</v>
      </c>
      <c r="N13" s="188" t="s">
        <v>1857</v>
      </c>
      <c r="O13" s="43"/>
      <c r="P13" s="44" t="s">
        <v>1808</v>
      </c>
      <c r="Q13" s="747"/>
      <c r="R13" s="602" t="s">
        <v>6078</v>
      </c>
      <c r="S13" s="44" t="s">
        <v>1824</v>
      </c>
      <c r="U13" s="34"/>
    </row>
    <row r="14" spans="1:21" ht="38.25">
      <c r="A14" s="44">
        <v>2022</v>
      </c>
      <c r="B14" s="34" t="s">
        <v>604</v>
      </c>
      <c r="C14" s="462" t="s">
        <v>61</v>
      </c>
      <c r="D14" s="44" t="s">
        <v>1420</v>
      </c>
      <c r="E14" s="44"/>
      <c r="F14" s="188" t="s">
        <v>1907</v>
      </c>
      <c r="G14" s="34" t="s">
        <v>575</v>
      </c>
      <c r="H14" s="45">
        <v>1201148.8799999999</v>
      </c>
      <c r="I14" s="34" t="s">
        <v>1827</v>
      </c>
      <c r="J14" s="44" t="s">
        <v>1828</v>
      </c>
      <c r="K14" s="44"/>
      <c r="L14" s="44" t="s">
        <v>6064</v>
      </c>
      <c r="M14" s="746">
        <v>44622</v>
      </c>
      <c r="N14" s="188" t="s">
        <v>1908</v>
      </c>
      <c r="O14" s="43"/>
      <c r="P14" s="44" t="s">
        <v>1808</v>
      </c>
      <c r="Q14" s="747"/>
      <c r="R14" s="602" t="s">
        <v>6111</v>
      </c>
      <c r="S14" s="44" t="s">
        <v>1824</v>
      </c>
      <c r="U14" s="34"/>
    </row>
    <row r="15" spans="1:21" ht="76.5">
      <c r="A15" s="44">
        <v>2022</v>
      </c>
      <c r="B15" s="34" t="s">
        <v>1909</v>
      </c>
      <c r="C15" s="462" t="s">
        <v>61</v>
      </c>
      <c r="D15" s="44" t="s">
        <v>575</v>
      </c>
      <c r="E15" s="44"/>
      <c r="F15" s="188" t="s">
        <v>1910</v>
      </c>
      <c r="G15" s="34" t="s">
        <v>575</v>
      </c>
      <c r="H15" s="45">
        <v>389200</v>
      </c>
      <c r="I15" s="34" t="s">
        <v>1827</v>
      </c>
      <c r="J15" s="44" t="s">
        <v>1828</v>
      </c>
      <c r="K15" s="44"/>
      <c r="L15" s="44" t="s">
        <v>6064</v>
      </c>
      <c r="M15" s="746">
        <v>44622</v>
      </c>
      <c r="N15" s="188" t="s">
        <v>1911</v>
      </c>
      <c r="O15" s="43"/>
      <c r="P15" s="44" t="s">
        <v>1808</v>
      </c>
      <c r="Q15" s="747"/>
      <c r="R15" s="602" t="s">
        <v>6112</v>
      </c>
      <c r="S15" s="44" t="s">
        <v>1824</v>
      </c>
      <c r="U15" s="34"/>
    </row>
    <row r="16" spans="1:21" ht="63.75">
      <c r="A16" s="44">
        <v>2022</v>
      </c>
      <c r="B16" s="34" t="s">
        <v>1912</v>
      </c>
      <c r="C16" s="462" t="s">
        <v>61</v>
      </c>
      <c r="D16" s="44" t="s">
        <v>575</v>
      </c>
      <c r="E16" s="44"/>
      <c r="F16" s="188" t="s">
        <v>1913</v>
      </c>
      <c r="G16" s="34" t="s">
        <v>575</v>
      </c>
      <c r="H16" s="45">
        <v>1381550</v>
      </c>
      <c r="I16" s="34" t="s">
        <v>1827</v>
      </c>
      <c r="J16" s="44" t="s">
        <v>1828</v>
      </c>
      <c r="K16" s="44"/>
      <c r="L16" s="44" t="s">
        <v>573</v>
      </c>
      <c r="M16" s="746">
        <v>44622</v>
      </c>
      <c r="N16" s="188" t="s">
        <v>1914</v>
      </c>
      <c r="O16" s="43"/>
      <c r="P16" s="44" t="s">
        <v>1808</v>
      </c>
      <c r="Q16" s="747"/>
      <c r="R16" s="602" t="s">
        <v>6113</v>
      </c>
      <c r="S16" s="44" t="s">
        <v>1824</v>
      </c>
      <c r="U16" s="34"/>
    </row>
    <row r="17" spans="1:21" ht="114.75">
      <c r="A17" s="44">
        <v>2022</v>
      </c>
      <c r="B17" s="462" t="s">
        <v>579</v>
      </c>
      <c r="C17" s="462" t="s">
        <v>61</v>
      </c>
      <c r="D17" s="750" t="s">
        <v>575</v>
      </c>
      <c r="E17" s="750"/>
      <c r="F17" s="734" t="s">
        <v>580</v>
      </c>
      <c r="G17" s="462" t="s">
        <v>581</v>
      </c>
      <c r="H17" s="751">
        <v>20000</v>
      </c>
      <c r="I17" s="462" t="s">
        <v>1915</v>
      </c>
      <c r="J17" s="733" t="s">
        <v>6370</v>
      </c>
      <c r="K17" s="733"/>
      <c r="L17" s="733" t="s">
        <v>2232</v>
      </c>
      <c r="M17" s="736">
        <v>44629</v>
      </c>
      <c r="N17" s="734" t="s">
        <v>1917</v>
      </c>
      <c r="O17" s="737"/>
      <c r="P17" s="44" t="s">
        <v>1808</v>
      </c>
      <c r="Q17" s="749" t="s">
        <v>6086</v>
      </c>
      <c r="R17" s="739" t="s">
        <v>6087</v>
      </c>
      <c r="S17" s="733" t="s">
        <v>1824</v>
      </c>
      <c r="U17" s="462"/>
    </row>
    <row r="18" spans="1:21" ht="76.5">
      <c r="A18" s="44">
        <v>2022</v>
      </c>
      <c r="B18" s="462" t="s">
        <v>582</v>
      </c>
      <c r="C18" s="462" t="s">
        <v>61</v>
      </c>
      <c r="D18" s="733" t="s">
        <v>68</v>
      </c>
      <c r="E18" s="733"/>
      <c r="F18" s="734" t="s">
        <v>583</v>
      </c>
      <c r="G18" s="462" t="s">
        <v>584</v>
      </c>
      <c r="H18" s="751">
        <v>300700</v>
      </c>
      <c r="I18" s="462" t="s">
        <v>1918</v>
      </c>
      <c r="J18" s="733" t="s">
        <v>2613</v>
      </c>
      <c r="K18" s="733"/>
      <c r="L18" s="733" t="s">
        <v>6064</v>
      </c>
      <c r="M18" s="736">
        <v>44629</v>
      </c>
      <c r="N18" s="734" t="s">
        <v>1920</v>
      </c>
      <c r="O18" s="733" t="s">
        <v>6088</v>
      </c>
      <c r="P18" s="733" t="s">
        <v>5654</v>
      </c>
      <c r="Q18" s="752" t="s">
        <v>6089</v>
      </c>
      <c r="R18" s="741" t="s">
        <v>6090</v>
      </c>
      <c r="S18" s="733" t="s">
        <v>1824</v>
      </c>
      <c r="U18" s="462"/>
    </row>
    <row r="19" spans="1:21" ht="114.75">
      <c r="A19" s="44">
        <v>2022</v>
      </c>
      <c r="B19" s="34" t="s">
        <v>1921</v>
      </c>
      <c r="C19" s="462" t="s">
        <v>61</v>
      </c>
      <c r="D19" s="44" t="s">
        <v>1838</v>
      </c>
      <c r="E19" s="44"/>
      <c r="F19" s="188" t="s">
        <v>1922</v>
      </c>
      <c r="G19" s="34" t="s">
        <v>1840</v>
      </c>
      <c r="H19" s="45">
        <v>121200</v>
      </c>
      <c r="I19" s="34" t="s">
        <v>1923</v>
      </c>
      <c r="J19" s="44" t="s">
        <v>1828</v>
      </c>
      <c r="K19" s="44"/>
      <c r="L19" s="44" t="s">
        <v>6064</v>
      </c>
      <c r="M19" s="35">
        <v>44636</v>
      </c>
      <c r="N19" s="188" t="s">
        <v>1924</v>
      </c>
      <c r="O19" s="43"/>
      <c r="P19" s="44" t="s">
        <v>1808</v>
      </c>
      <c r="Q19" s="743" t="s">
        <v>6117</v>
      </c>
      <c r="R19" s="602" t="s">
        <v>6118</v>
      </c>
      <c r="S19" s="44" t="s">
        <v>1824</v>
      </c>
      <c r="U19" s="34"/>
    </row>
    <row r="20" spans="1:21" ht="51">
      <c r="B20" s="34" t="s">
        <v>1925</v>
      </c>
      <c r="C20" s="34" t="s">
        <v>1926</v>
      </c>
      <c r="D20" s="44" t="s">
        <v>1417</v>
      </c>
      <c r="E20" s="44"/>
      <c r="F20" s="188" t="s">
        <v>1927</v>
      </c>
      <c r="G20" s="34" t="s">
        <v>1928</v>
      </c>
      <c r="H20" s="45" t="s">
        <v>22</v>
      </c>
      <c r="I20" s="34"/>
      <c r="J20" s="44"/>
      <c r="K20" s="44"/>
      <c r="L20" s="44" t="s">
        <v>6073</v>
      </c>
      <c r="M20" s="746">
        <v>44643</v>
      </c>
      <c r="N20" s="188" t="s">
        <v>1929</v>
      </c>
      <c r="O20" s="43"/>
      <c r="P20" s="44" t="s">
        <v>1808</v>
      </c>
      <c r="Q20" s="745" t="s">
        <v>6119</v>
      </c>
      <c r="R20" s="602" t="s">
        <v>6120</v>
      </c>
      <c r="S20" s="44"/>
      <c r="U20" s="34"/>
    </row>
    <row r="21" spans="1:21" ht="127.5">
      <c r="A21" s="44">
        <v>2022</v>
      </c>
      <c r="B21" s="34" t="s">
        <v>1930</v>
      </c>
      <c r="C21" s="462" t="s">
        <v>61</v>
      </c>
      <c r="D21" s="44" t="s">
        <v>1934</v>
      </c>
      <c r="E21" s="44"/>
      <c r="F21" s="188" t="s">
        <v>1931</v>
      </c>
      <c r="G21" s="34" t="s">
        <v>575</v>
      </c>
      <c r="H21" s="45">
        <v>749991.24</v>
      </c>
      <c r="I21" s="34" t="s">
        <v>1932</v>
      </c>
      <c r="J21" s="44" t="s">
        <v>1828</v>
      </c>
      <c r="K21" s="44"/>
      <c r="L21" s="44" t="s">
        <v>6073</v>
      </c>
      <c r="M21" s="746">
        <v>44650</v>
      </c>
      <c r="N21" s="188" t="s">
        <v>11906</v>
      </c>
      <c r="O21" s="43"/>
      <c r="P21" s="44" t="s">
        <v>1808</v>
      </c>
      <c r="Q21" s="745" t="s">
        <v>6121</v>
      </c>
      <c r="R21" s="602" t="s">
        <v>6122</v>
      </c>
      <c r="S21" s="44" t="s">
        <v>1824</v>
      </c>
      <c r="U21" s="34"/>
    </row>
    <row r="22" spans="1:21" ht="127.5">
      <c r="A22" s="44">
        <v>2022</v>
      </c>
      <c r="B22" s="34" t="s">
        <v>1935</v>
      </c>
      <c r="C22" s="462" t="s">
        <v>61</v>
      </c>
      <c r="D22" s="54" t="s">
        <v>3335</v>
      </c>
      <c r="E22" s="105"/>
      <c r="F22" s="188" t="s">
        <v>1936</v>
      </c>
      <c r="G22" s="34" t="s">
        <v>1937</v>
      </c>
      <c r="H22" s="45">
        <v>1302000</v>
      </c>
      <c r="I22" s="34" t="s">
        <v>1938</v>
      </c>
      <c r="J22" s="44" t="s">
        <v>1828</v>
      </c>
      <c r="K22" s="44"/>
      <c r="L22" s="44" t="s">
        <v>6064</v>
      </c>
      <c r="M22" s="746">
        <v>44657</v>
      </c>
      <c r="N22" s="188" t="s">
        <v>1939</v>
      </c>
      <c r="O22" s="43"/>
      <c r="P22" s="44" t="s">
        <v>1808</v>
      </c>
      <c r="Q22" s="745" t="s">
        <v>6123</v>
      </c>
      <c r="R22" s="602" t="s">
        <v>6124</v>
      </c>
      <c r="S22" s="44" t="s">
        <v>1824</v>
      </c>
      <c r="U22" s="34"/>
    </row>
    <row r="23" spans="1:21" ht="51">
      <c r="A23" s="44">
        <v>2022</v>
      </c>
      <c r="B23" s="34" t="s">
        <v>1461</v>
      </c>
      <c r="C23" s="462" t="s">
        <v>61</v>
      </c>
      <c r="D23" s="44" t="s">
        <v>1420</v>
      </c>
      <c r="E23" s="44"/>
      <c r="F23" s="188" t="s">
        <v>1463</v>
      </c>
      <c r="G23" s="34" t="s">
        <v>1851</v>
      </c>
      <c r="H23" s="45">
        <v>1203000</v>
      </c>
      <c r="I23" s="34" t="s">
        <v>1941</v>
      </c>
      <c r="J23" s="44" t="s">
        <v>1828</v>
      </c>
      <c r="K23" s="44"/>
      <c r="L23" s="44" t="s">
        <v>6064</v>
      </c>
      <c r="M23" s="746">
        <v>44664</v>
      </c>
      <c r="N23" s="188" t="s">
        <v>1942</v>
      </c>
      <c r="O23" s="43"/>
      <c r="P23" s="44" t="s">
        <v>1808</v>
      </c>
      <c r="Q23" s="745" t="s">
        <v>6125</v>
      </c>
      <c r="R23" s="604" t="s">
        <v>6126</v>
      </c>
      <c r="S23" s="44"/>
      <c r="U23" s="34"/>
    </row>
    <row r="24" spans="1:21" ht="191.25">
      <c r="A24" s="44">
        <v>2022</v>
      </c>
      <c r="B24" s="462" t="s">
        <v>606</v>
      </c>
      <c r="C24" s="462" t="s">
        <v>61</v>
      </c>
      <c r="D24" s="733" t="s">
        <v>394</v>
      </c>
      <c r="E24" s="733"/>
      <c r="F24" s="734" t="s">
        <v>1943</v>
      </c>
      <c r="G24" s="462" t="s">
        <v>608</v>
      </c>
      <c r="H24" s="751">
        <v>38400</v>
      </c>
      <c r="I24" s="462" t="s">
        <v>1849</v>
      </c>
      <c r="J24" s="733" t="s">
        <v>1828</v>
      </c>
      <c r="K24" s="733"/>
      <c r="L24" s="733" t="s">
        <v>6064</v>
      </c>
      <c r="M24" s="736">
        <v>44633</v>
      </c>
      <c r="N24" s="188" t="s">
        <v>1944</v>
      </c>
      <c r="O24" s="737"/>
      <c r="P24" s="44" t="s">
        <v>1808</v>
      </c>
      <c r="Q24" s="749" t="s">
        <v>6114</v>
      </c>
      <c r="R24" s="739" t="s">
        <v>6115</v>
      </c>
      <c r="S24" s="733" t="s">
        <v>575</v>
      </c>
      <c r="U24" s="462"/>
    </row>
    <row r="25" spans="1:21" ht="63.75">
      <c r="A25" s="44">
        <v>2022</v>
      </c>
      <c r="B25" s="34" t="s">
        <v>1945</v>
      </c>
      <c r="C25" s="462" t="s">
        <v>61</v>
      </c>
      <c r="D25" s="44" t="s">
        <v>1383</v>
      </c>
      <c r="E25" s="44"/>
      <c r="F25" s="188" t="s">
        <v>1947</v>
      </c>
      <c r="G25" s="34" t="s">
        <v>575</v>
      </c>
      <c r="H25" s="45">
        <v>24000</v>
      </c>
      <c r="I25" s="34"/>
      <c r="J25" s="44" t="s">
        <v>1828</v>
      </c>
      <c r="K25" s="44"/>
      <c r="L25" s="44" t="s">
        <v>6073</v>
      </c>
      <c r="M25" s="746">
        <v>44671</v>
      </c>
      <c r="N25" s="734" t="s">
        <v>1948</v>
      </c>
      <c r="O25" s="43"/>
      <c r="P25" s="44" t="s">
        <v>1808</v>
      </c>
      <c r="Q25" s="747"/>
      <c r="R25" s="602" t="s">
        <v>6128</v>
      </c>
      <c r="S25" s="44" t="s">
        <v>575</v>
      </c>
      <c r="U25" s="34"/>
    </row>
    <row r="26" spans="1:21" ht="140.25">
      <c r="A26" s="44">
        <v>2022</v>
      </c>
      <c r="B26" s="34" t="s">
        <v>1945</v>
      </c>
      <c r="C26" s="462" t="s">
        <v>61</v>
      </c>
      <c r="D26" s="44" t="s">
        <v>1383</v>
      </c>
      <c r="E26" s="44"/>
      <c r="F26" s="188" t="s">
        <v>1949</v>
      </c>
      <c r="G26" s="34" t="s">
        <v>575</v>
      </c>
      <c r="H26" s="45">
        <v>24000</v>
      </c>
      <c r="I26" s="34" t="s">
        <v>1938</v>
      </c>
      <c r="J26" s="44" t="s">
        <v>1828</v>
      </c>
      <c r="K26" s="44"/>
      <c r="L26" s="44" t="s">
        <v>6064</v>
      </c>
      <c r="M26" s="746">
        <v>44671</v>
      </c>
      <c r="N26" s="734" t="s">
        <v>11907</v>
      </c>
      <c r="O26" s="43"/>
      <c r="P26" s="44" t="s">
        <v>1808</v>
      </c>
      <c r="Q26" s="745" t="s">
        <v>6129</v>
      </c>
      <c r="R26" s="602" t="s">
        <v>6128</v>
      </c>
      <c r="S26" s="44" t="s">
        <v>575</v>
      </c>
      <c r="U26" s="34"/>
    </row>
    <row r="27" spans="1:21" ht="76.5">
      <c r="A27" s="44">
        <v>2022</v>
      </c>
      <c r="B27" s="34" t="s">
        <v>1951</v>
      </c>
      <c r="C27" s="462" t="s">
        <v>61</v>
      </c>
      <c r="D27" s="44" t="s">
        <v>575</v>
      </c>
      <c r="E27" s="44"/>
      <c r="F27" s="188" t="s">
        <v>1952</v>
      </c>
      <c r="G27" s="34" t="s">
        <v>575</v>
      </c>
      <c r="H27" s="45">
        <v>69200</v>
      </c>
      <c r="I27" s="34" t="s">
        <v>1938</v>
      </c>
      <c r="J27" s="44" t="s">
        <v>1828</v>
      </c>
      <c r="K27" s="44"/>
      <c r="L27" s="44" t="s">
        <v>6073</v>
      </c>
      <c r="M27" s="746">
        <v>44678</v>
      </c>
      <c r="N27" s="188" t="s">
        <v>1953</v>
      </c>
      <c r="O27" s="43"/>
      <c r="P27" s="44" t="s">
        <v>1808</v>
      </c>
      <c r="Q27" s="745" t="s">
        <v>6130</v>
      </c>
      <c r="R27" s="604" t="s">
        <v>6131</v>
      </c>
      <c r="S27" s="44" t="s">
        <v>575</v>
      </c>
      <c r="U27" s="34"/>
    </row>
    <row r="28" spans="1:21" ht="63.75">
      <c r="A28" s="44">
        <v>2022</v>
      </c>
      <c r="B28" s="34" t="s">
        <v>1075</v>
      </c>
      <c r="C28" s="462" t="s">
        <v>61</v>
      </c>
      <c r="D28" s="44" t="s">
        <v>62</v>
      </c>
      <c r="E28" s="44"/>
      <c r="F28" s="188" t="s">
        <v>1076</v>
      </c>
      <c r="G28" s="34" t="s">
        <v>1954</v>
      </c>
      <c r="H28" s="45">
        <v>1000000</v>
      </c>
      <c r="I28" s="34" t="s">
        <v>1955</v>
      </c>
      <c r="J28" s="44" t="s">
        <v>1828</v>
      </c>
      <c r="K28" s="44"/>
      <c r="L28" s="44" t="s">
        <v>6073</v>
      </c>
      <c r="M28" s="746">
        <v>44685</v>
      </c>
      <c r="N28" s="188" t="s">
        <v>1956</v>
      </c>
      <c r="O28" s="43"/>
      <c r="P28" s="44" t="s">
        <v>6132</v>
      </c>
      <c r="Q28" s="745" t="s">
        <v>6114</v>
      </c>
      <c r="R28" s="604" t="s">
        <v>6133</v>
      </c>
      <c r="S28" s="44" t="s">
        <v>1824</v>
      </c>
      <c r="U28" s="34"/>
    </row>
    <row r="29" spans="1:21" ht="89.25">
      <c r="B29" s="34" t="s">
        <v>1957</v>
      </c>
      <c r="C29" s="34" t="s">
        <v>1823</v>
      </c>
      <c r="D29" s="44" t="s">
        <v>62</v>
      </c>
      <c r="E29" s="44"/>
      <c r="F29" s="188" t="s">
        <v>1958</v>
      </c>
      <c r="G29" s="34" t="s">
        <v>1959</v>
      </c>
      <c r="H29" s="45">
        <v>1504308</v>
      </c>
      <c r="I29" s="34" t="s">
        <v>1960</v>
      </c>
      <c r="J29" s="44" t="s">
        <v>11908</v>
      </c>
      <c r="K29" s="44" t="s">
        <v>1904</v>
      </c>
      <c r="L29" s="44" t="s">
        <v>6137</v>
      </c>
      <c r="M29" s="746">
        <v>44706</v>
      </c>
      <c r="N29" s="188" t="s">
        <v>1961</v>
      </c>
      <c r="O29" s="44" t="s">
        <v>6134</v>
      </c>
      <c r="P29" s="44" t="s">
        <v>6132</v>
      </c>
      <c r="Q29" s="745" t="s">
        <v>6135</v>
      </c>
      <c r="R29" s="602" t="s">
        <v>6136</v>
      </c>
      <c r="S29" s="44" t="s">
        <v>1150</v>
      </c>
      <c r="U29" s="34"/>
    </row>
    <row r="30" spans="1:21" ht="38.25">
      <c r="B30" s="34" t="s">
        <v>1962</v>
      </c>
      <c r="C30" s="34" t="s">
        <v>2034</v>
      </c>
      <c r="D30" s="44" t="s">
        <v>575</v>
      </c>
      <c r="E30" s="44"/>
      <c r="F30" s="188" t="s">
        <v>1963</v>
      </c>
      <c r="G30" s="34"/>
      <c r="H30" s="45" t="s">
        <v>22</v>
      </c>
      <c r="I30" s="34"/>
      <c r="J30" s="44"/>
      <c r="K30" s="44"/>
      <c r="L30" s="44" t="s">
        <v>6140</v>
      </c>
      <c r="M30" s="746">
        <v>44706</v>
      </c>
      <c r="N30" s="188" t="s">
        <v>1964</v>
      </c>
      <c r="O30" s="43"/>
      <c r="P30" s="44" t="s">
        <v>1808</v>
      </c>
      <c r="Q30" s="745" t="s">
        <v>6138</v>
      </c>
      <c r="R30" s="604" t="s">
        <v>6139</v>
      </c>
      <c r="S30" s="44"/>
      <c r="U30" s="34"/>
    </row>
    <row r="31" spans="1:21" ht="76.5">
      <c r="A31" s="44">
        <v>2022</v>
      </c>
      <c r="B31" s="34" t="s">
        <v>1965</v>
      </c>
      <c r="C31" s="462" t="s">
        <v>61</v>
      </c>
      <c r="D31" s="44" t="s">
        <v>575</v>
      </c>
      <c r="E31" s="44"/>
      <c r="F31" s="188" t="s">
        <v>1966</v>
      </c>
      <c r="G31" s="34" t="s">
        <v>1967</v>
      </c>
      <c r="H31" s="45">
        <v>53175</v>
      </c>
      <c r="I31" s="34" t="s">
        <v>1968</v>
      </c>
      <c r="J31" s="44" t="s">
        <v>1828</v>
      </c>
      <c r="K31" s="44"/>
      <c r="L31" s="44" t="s">
        <v>6071</v>
      </c>
      <c r="M31" s="746">
        <v>44713</v>
      </c>
      <c r="N31" s="188" t="s">
        <v>1969</v>
      </c>
      <c r="O31" s="43"/>
      <c r="P31" s="44" t="s">
        <v>1808</v>
      </c>
      <c r="Q31" s="745" t="s">
        <v>6141</v>
      </c>
      <c r="R31" s="604" t="s">
        <v>6142</v>
      </c>
      <c r="S31" s="44" t="s">
        <v>1824</v>
      </c>
      <c r="U31" s="34"/>
    </row>
    <row r="32" spans="1:21" ht="165.75">
      <c r="A32" s="44">
        <v>2022</v>
      </c>
      <c r="B32" s="34" t="s">
        <v>1970</v>
      </c>
      <c r="C32" s="462" t="s">
        <v>61</v>
      </c>
      <c r="D32" s="44" t="s">
        <v>575</v>
      </c>
      <c r="E32" s="44"/>
      <c r="F32" s="188" t="s">
        <v>1971</v>
      </c>
      <c r="G32" s="34" t="s">
        <v>1967</v>
      </c>
      <c r="H32" s="45">
        <v>400300</v>
      </c>
      <c r="I32" s="34" t="s">
        <v>1968</v>
      </c>
      <c r="J32" s="44" t="s">
        <v>1828</v>
      </c>
      <c r="K32" s="44"/>
      <c r="L32" s="44" t="s">
        <v>6071</v>
      </c>
      <c r="M32" s="746">
        <v>44713</v>
      </c>
      <c r="N32" s="188" t="s">
        <v>1972</v>
      </c>
      <c r="O32" s="43"/>
      <c r="P32" s="44" t="s">
        <v>1808</v>
      </c>
      <c r="Q32" s="747"/>
      <c r="R32" s="604" t="s">
        <v>6143</v>
      </c>
      <c r="S32" s="44" t="s">
        <v>1824</v>
      </c>
      <c r="U32" s="34"/>
    </row>
    <row r="33" spans="1:21" ht="76.5">
      <c r="A33" s="44">
        <v>2022</v>
      </c>
      <c r="B33" s="34" t="s">
        <v>609</v>
      </c>
      <c r="C33" s="462" t="s">
        <v>61</v>
      </c>
      <c r="D33" s="44" t="s">
        <v>1383</v>
      </c>
      <c r="E33" s="44"/>
      <c r="F33" s="188" t="s">
        <v>11909</v>
      </c>
      <c r="G33" s="34" t="s">
        <v>11910</v>
      </c>
      <c r="H33" s="45">
        <v>316600</v>
      </c>
      <c r="I33" s="34" t="s">
        <v>1938</v>
      </c>
      <c r="J33" s="44" t="s">
        <v>1828</v>
      </c>
      <c r="K33" s="44"/>
      <c r="L33" s="44" t="s">
        <v>6071</v>
      </c>
      <c r="M33" s="746">
        <v>44713</v>
      </c>
      <c r="N33" s="188" t="s">
        <v>1973</v>
      </c>
      <c r="O33" s="43"/>
      <c r="P33" s="44" t="s">
        <v>1808</v>
      </c>
      <c r="Q33" s="747"/>
      <c r="R33" s="602" t="s">
        <v>6116</v>
      </c>
      <c r="S33" s="44" t="s">
        <v>1824</v>
      </c>
      <c r="U33" s="34"/>
    </row>
    <row r="34" spans="1:21" ht="127.5">
      <c r="A34" s="44">
        <v>2022</v>
      </c>
      <c r="B34" s="34" t="s">
        <v>1974</v>
      </c>
      <c r="C34" s="34" t="s">
        <v>61</v>
      </c>
      <c r="D34" s="583" t="s">
        <v>1383</v>
      </c>
      <c r="E34" s="583"/>
      <c r="F34" s="188" t="s">
        <v>1975</v>
      </c>
      <c r="G34" s="34"/>
      <c r="H34" s="45">
        <v>316600</v>
      </c>
      <c r="I34" s="34"/>
      <c r="J34" s="44"/>
      <c r="K34" s="44"/>
      <c r="L34" s="44" t="s">
        <v>6064</v>
      </c>
      <c r="M34" s="746">
        <v>44720</v>
      </c>
      <c r="N34" s="188" t="s">
        <v>1976</v>
      </c>
      <c r="O34" s="43"/>
      <c r="P34" s="44" t="s">
        <v>1808</v>
      </c>
      <c r="Q34" s="745" t="s">
        <v>6146</v>
      </c>
      <c r="R34" s="602" t="s">
        <v>6147</v>
      </c>
      <c r="S34" s="44"/>
      <c r="U34" s="34"/>
    </row>
    <row r="35" spans="1:21" ht="38.25">
      <c r="B35" s="34" t="s">
        <v>1977</v>
      </c>
      <c r="C35" s="34" t="s">
        <v>1978</v>
      </c>
      <c r="D35" s="583" t="s">
        <v>1383</v>
      </c>
      <c r="E35" s="583"/>
      <c r="F35" s="188" t="s">
        <v>1979</v>
      </c>
      <c r="G35" s="34" t="s">
        <v>575</v>
      </c>
      <c r="H35" s="45">
        <v>400300</v>
      </c>
      <c r="I35" s="34" t="s">
        <v>1938</v>
      </c>
      <c r="J35" s="44" t="s">
        <v>1828</v>
      </c>
      <c r="K35" s="44"/>
      <c r="L35" s="44"/>
      <c r="M35" s="746">
        <v>44720</v>
      </c>
      <c r="N35" s="188"/>
      <c r="O35" s="43"/>
      <c r="P35" s="44" t="s">
        <v>1808</v>
      </c>
      <c r="Q35" s="747"/>
      <c r="R35" s="604" t="s">
        <v>6148</v>
      </c>
      <c r="S35" s="44" t="s">
        <v>1824</v>
      </c>
      <c r="U35" s="34"/>
    </row>
    <row r="36" spans="1:21" ht="191.25">
      <c r="A36" s="44">
        <v>2022</v>
      </c>
      <c r="B36" s="34" t="s">
        <v>1078</v>
      </c>
      <c r="C36" s="462" t="s">
        <v>61</v>
      </c>
      <c r="D36" s="44" t="s">
        <v>1262</v>
      </c>
      <c r="E36" s="44"/>
      <c r="F36" s="188" t="s">
        <v>1079</v>
      </c>
      <c r="G36" s="34" t="s">
        <v>1080</v>
      </c>
      <c r="H36" s="45">
        <v>702000</v>
      </c>
      <c r="I36" s="34" t="s">
        <v>1981</v>
      </c>
      <c r="J36" s="44" t="s">
        <v>1828</v>
      </c>
      <c r="K36" s="44" t="s">
        <v>1904</v>
      </c>
      <c r="L36" s="44"/>
      <c r="M36" s="746">
        <v>44720</v>
      </c>
      <c r="N36" s="188" t="s">
        <v>1982</v>
      </c>
      <c r="O36" s="43"/>
      <c r="P36" s="44" t="s">
        <v>1808</v>
      </c>
      <c r="Q36" s="745" t="s">
        <v>6149</v>
      </c>
      <c r="R36" s="604" t="s">
        <v>6150</v>
      </c>
      <c r="S36" s="44" t="s">
        <v>2018</v>
      </c>
      <c r="U36" s="34"/>
    </row>
    <row r="37" spans="1:21" ht="38.25">
      <c r="A37" s="44">
        <v>2022</v>
      </c>
      <c r="B37" s="34" t="s">
        <v>618</v>
      </c>
      <c r="C37" s="462" t="s">
        <v>61</v>
      </c>
      <c r="D37" s="34" t="s">
        <v>197</v>
      </c>
      <c r="E37" s="34"/>
      <c r="F37" s="188" t="s">
        <v>619</v>
      </c>
      <c r="G37" s="34" t="s">
        <v>620</v>
      </c>
      <c r="H37" s="65">
        <v>2001920</v>
      </c>
      <c r="I37" s="625" t="s">
        <v>1983</v>
      </c>
      <c r="J37" s="34" t="s">
        <v>2474</v>
      </c>
      <c r="K37" s="34" t="s">
        <v>611</v>
      </c>
      <c r="L37" s="34"/>
      <c r="M37" s="746">
        <v>44727</v>
      </c>
      <c r="N37" s="188"/>
      <c r="O37" s="304"/>
      <c r="P37" s="34" t="s">
        <v>5654</v>
      </c>
      <c r="Q37" s="747"/>
      <c r="R37" s="602" t="s">
        <v>6153</v>
      </c>
      <c r="S37" s="34" t="s">
        <v>6151</v>
      </c>
      <c r="T37" s="105"/>
      <c r="U37" s="625"/>
    </row>
    <row r="38" spans="1:21" ht="38.25">
      <c r="A38" s="44">
        <v>2022</v>
      </c>
      <c r="B38" s="34" t="s">
        <v>621</v>
      </c>
      <c r="C38" s="462" t="s">
        <v>61</v>
      </c>
      <c r="D38" s="34" t="s">
        <v>197</v>
      </c>
      <c r="E38" s="34"/>
      <c r="F38" s="188" t="s">
        <v>622</v>
      </c>
      <c r="G38" s="34" t="s">
        <v>623</v>
      </c>
      <c r="H38" s="65">
        <v>2435960</v>
      </c>
      <c r="I38" s="34" t="s">
        <v>1984</v>
      </c>
      <c r="J38" s="34" t="s">
        <v>6154</v>
      </c>
      <c r="K38" s="34" t="s">
        <v>611</v>
      </c>
      <c r="L38" s="34"/>
      <c r="M38" s="746">
        <v>44734</v>
      </c>
      <c r="N38" s="188"/>
      <c r="O38" s="304">
        <v>64</v>
      </c>
      <c r="P38" s="34" t="s">
        <v>5654</v>
      </c>
      <c r="Q38" s="747"/>
      <c r="R38" s="602" t="s">
        <v>6155</v>
      </c>
      <c r="S38" s="34" t="s">
        <v>6151</v>
      </c>
      <c r="T38" s="105"/>
      <c r="U38" s="34"/>
    </row>
    <row r="39" spans="1:21" ht="127.5">
      <c r="A39" s="44">
        <v>2022</v>
      </c>
      <c r="B39" s="462" t="s">
        <v>1081</v>
      </c>
      <c r="C39" s="462" t="s">
        <v>61</v>
      </c>
      <c r="D39" s="462" t="s">
        <v>76</v>
      </c>
      <c r="E39" s="462"/>
      <c r="F39" s="734" t="s">
        <v>1082</v>
      </c>
      <c r="G39" s="462" t="s">
        <v>1083</v>
      </c>
      <c r="H39" s="735" t="s">
        <v>22</v>
      </c>
      <c r="I39" s="462" t="s">
        <v>1985</v>
      </c>
      <c r="J39" s="462" t="s">
        <v>1828</v>
      </c>
      <c r="K39" s="44" t="s">
        <v>1904</v>
      </c>
      <c r="L39" s="462" t="s">
        <v>6158</v>
      </c>
      <c r="M39" s="753">
        <v>44734</v>
      </c>
      <c r="N39" s="734" t="s">
        <v>1986</v>
      </c>
      <c r="O39" s="754"/>
      <c r="P39" s="462" t="s">
        <v>5654</v>
      </c>
      <c r="Q39" s="755" t="s">
        <v>6156</v>
      </c>
      <c r="R39" s="739" t="s">
        <v>6157</v>
      </c>
      <c r="S39" s="462" t="s">
        <v>2018</v>
      </c>
      <c r="T39" s="105"/>
      <c r="U39" s="462"/>
    </row>
    <row r="40" spans="1:21" ht="140.25">
      <c r="A40" s="44">
        <v>2022</v>
      </c>
      <c r="B40" s="34" t="s">
        <v>1465</v>
      </c>
      <c r="C40" s="462" t="s">
        <v>61</v>
      </c>
      <c r="D40" s="34" t="s">
        <v>1420</v>
      </c>
      <c r="E40" s="34"/>
      <c r="F40" s="188" t="s">
        <v>1466</v>
      </c>
      <c r="G40" s="34" t="s">
        <v>575</v>
      </c>
      <c r="H40" s="65">
        <v>75130</v>
      </c>
      <c r="I40" s="34" t="s">
        <v>22</v>
      </c>
      <c r="J40" s="34" t="s">
        <v>1828</v>
      </c>
      <c r="K40" s="34"/>
      <c r="L40" s="34" t="s">
        <v>6161</v>
      </c>
      <c r="M40" s="35">
        <v>44734</v>
      </c>
      <c r="N40" s="188" t="s">
        <v>11911</v>
      </c>
      <c r="O40" s="304"/>
      <c r="P40" s="34" t="s">
        <v>22</v>
      </c>
      <c r="Q40" s="743" t="s">
        <v>6159</v>
      </c>
      <c r="R40" s="604" t="s">
        <v>6160</v>
      </c>
      <c r="S40" s="34" t="s">
        <v>1862</v>
      </c>
      <c r="T40" s="105"/>
      <c r="U40" s="34"/>
    </row>
    <row r="41" spans="1:21" ht="127.5">
      <c r="A41" s="44">
        <v>2022</v>
      </c>
      <c r="B41" s="34" t="s">
        <v>1988</v>
      </c>
      <c r="C41" s="462" t="s">
        <v>61</v>
      </c>
      <c r="D41" s="34" t="s">
        <v>1383</v>
      </c>
      <c r="E41" s="34"/>
      <c r="F41" s="188" t="s">
        <v>1989</v>
      </c>
      <c r="G41" s="34" t="s">
        <v>575</v>
      </c>
      <c r="H41" s="65">
        <v>1186064</v>
      </c>
      <c r="I41" s="34" t="s">
        <v>22</v>
      </c>
      <c r="J41" s="34" t="s">
        <v>1828</v>
      </c>
      <c r="K41" s="34"/>
      <c r="L41" s="34" t="s">
        <v>6064</v>
      </c>
      <c r="M41" s="35">
        <v>44734</v>
      </c>
      <c r="N41" s="188" t="s">
        <v>1990</v>
      </c>
      <c r="O41" s="304"/>
      <c r="P41" s="34" t="s">
        <v>22</v>
      </c>
      <c r="Q41" s="465"/>
      <c r="R41" s="604" t="s">
        <v>6162</v>
      </c>
      <c r="S41" s="34" t="s">
        <v>1862</v>
      </c>
      <c r="T41" s="105"/>
      <c r="U41" s="34"/>
    </row>
    <row r="42" spans="1:21" ht="89.25">
      <c r="A42" s="105"/>
      <c r="B42" s="34" t="s">
        <v>1991</v>
      </c>
      <c r="C42" s="34" t="s">
        <v>1992</v>
      </c>
      <c r="D42" s="34" t="s">
        <v>1099</v>
      </c>
      <c r="E42" s="34"/>
      <c r="F42" s="188" t="s">
        <v>1993</v>
      </c>
      <c r="G42" s="34" t="s">
        <v>575</v>
      </c>
      <c r="H42" s="65" t="s">
        <v>22</v>
      </c>
      <c r="I42" s="34" t="s">
        <v>22</v>
      </c>
      <c r="J42" s="34" t="s">
        <v>1828</v>
      </c>
      <c r="K42" s="44" t="s">
        <v>1904</v>
      </c>
      <c r="L42" s="34" t="s">
        <v>6064</v>
      </c>
      <c r="M42" s="35">
        <v>44734</v>
      </c>
      <c r="N42" s="756" t="s">
        <v>1994</v>
      </c>
      <c r="O42" s="304"/>
      <c r="P42" s="34" t="s">
        <v>22</v>
      </c>
      <c r="Q42" s="465"/>
      <c r="R42" s="604" t="s">
        <v>6163</v>
      </c>
      <c r="S42" s="34" t="s">
        <v>1862</v>
      </c>
      <c r="T42" s="105"/>
      <c r="U42" s="34"/>
    </row>
    <row r="43" spans="1:21" ht="51">
      <c r="A43" s="105"/>
      <c r="B43" s="34" t="s">
        <v>1995</v>
      </c>
      <c r="C43" s="34" t="s">
        <v>1996</v>
      </c>
      <c r="D43" s="34" t="s">
        <v>62</v>
      </c>
      <c r="E43" s="34"/>
      <c r="F43" s="188" t="s">
        <v>1997</v>
      </c>
      <c r="G43" s="34" t="s">
        <v>575</v>
      </c>
      <c r="H43" s="65" t="s">
        <v>22</v>
      </c>
      <c r="I43" s="34" t="s">
        <v>22</v>
      </c>
      <c r="J43" s="34" t="s">
        <v>1828</v>
      </c>
      <c r="K43" s="44" t="s">
        <v>1904</v>
      </c>
      <c r="L43" s="335" t="s">
        <v>1867</v>
      </c>
      <c r="M43" s="35">
        <v>44734</v>
      </c>
      <c r="N43" s="756" t="s">
        <v>1998</v>
      </c>
      <c r="O43" s="304"/>
      <c r="P43" s="34" t="s">
        <v>22</v>
      </c>
      <c r="Q43" s="465"/>
      <c r="R43" s="604" t="s">
        <v>6164</v>
      </c>
      <c r="S43" s="34" t="s">
        <v>1862</v>
      </c>
      <c r="T43" s="105"/>
      <c r="U43" s="34"/>
    </row>
    <row r="44" spans="1:21" ht="89.25">
      <c r="A44" s="105"/>
      <c r="B44" s="34" t="s">
        <v>1999</v>
      </c>
      <c r="C44" s="34" t="s">
        <v>1842</v>
      </c>
      <c r="D44" s="34" t="s">
        <v>22</v>
      </c>
      <c r="E44" s="34"/>
      <c r="F44" s="188" t="s">
        <v>2000</v>
      </c>
      <c r="G44" s="34" t="s">
        <v>575</v>
      </c>
      <c r="H44" s="65" t="s">
        <v>22</v>
      </c>
      <c r="I44" s="34" t="s">
        <v>22</v>
      </c>
      <c r="J44" s="34" t="s">
        <v>1828</v>
      </c>
      <c r="K44" s="34"/>
      <c r="L44" s="34" t="s">
        <v>6064</v>
      </c>
      <c r="M44" s="35">
        <v>44734</v>
      </c>
      <c r="N44" s="188" t="s">
        <v>2001</v>
      </c>
      <c r="O44" s="304"/>
      <c r="P44" s="34" t="s">
        <v>22</v>
      </c>
      <c r="Q44" s="465"/>
      <c r="R44" s="604" t="s">
        <v>6165</v>
      </c>
      <c r="S44" s="34" t="s">
        <v>1862</v>
      </c>
      <c r="T44" s="105"/>
      <c r="U44" s="34"/>
    </row>
    <row r="45" spans="1:21" ht="102">
      <c r="A45" s="105"/>
      <c r="B45" s="34" t="s">
        <v>2002</v>
      </c>
      <c r="C45" s="34" t="s">
        <v>1883</v>
      </c>
      <c r="D45" s="34" t="s">
        <v>22</v>
      </c>
      <c r="E45" s="34"/>
      <c r="F45" s="188" t="s">
        <v>2003</v>
      </c>
      <c r="G45" s="34" t="s">
        <v>575</v>
      </c>
      <c r="H45" s="65" t="s">
        <v>22</v>
      </c>
      <c r="I45" s="34" t="s">
        <v>22</v>
      </c>
      <c r="J45" s="34" t="s">
        <v>1828</v>
      </c>
      <c r="K45" s="34"/>
      <c r="L45" s="34" t="s">
        <v>6168</v>
      </c>
      <c r="M45" s="35">
        <v>44736</v>
      </c>
      <c r="N45" s="188" t="s">
        <v>2004</v>
      </c>
      <c r="O45" s="304"/>
      <c r="P45" s="34" t="s">
        <v>22</v>
      </c>
      <c r="Q45" s="743" t="s">
        <v>6166</v>
      </c>
      <c r="R45" s="602" t="s">
        <v>6167</v>
      </c>
      <c r="S45" s="34" t="s">
        <v>1862</v>
      </c>
      <c r="T45" s="105"/>
      <c r="U45" s="34"/>
    </row>
    <row r="46" spans="1:21" ht="127.5">
      <c r="A46" s="105"/>
      <c r="B46" s="34" t="s">
        <v>2005</v>
      </c>
      <c r="C46" s="34" t="s">
        <v>2006</v>
      </c>
      <c r="D46" s="34" t="s">
        <v>22</v>
      </c>
      <c r="E46" s="34"/>
      <c r="F46" s="188" t="s">
        <v>2007</v>
      </c>
      <c r="G46" s="34" t="s">
        <v>575</v>
      </c>
      <c r="H46" s="65" t="s">
        <v>22</v>
      </c>
      <c r="I46" s="34" t="s">
        <v>22</v>
      </c>
      <c r="J46" s="34" t="s">
        <v>1828</v>
      </c>
      <c r="K46" s="34"/>
      <c r="L46" s="34" t="s">
        <v>6170</v>
      </c>
      <c r="M46" s="35">
        <v>44736</v>
      </c>
      <c r="N46" s="188" t="s">
        <v>2008</v>
      </c>
      <c r="O46" s="304"/>
      <c r="P46" s="34" t="s">
        <v>22</v>
      </c>
      <c r="Q46" s="465"/>
      <c r="R46" s="604" t="s">
        <v>6169</v>
      </c>
      <c r="S46" s="34" t="s">
        <v>1862</v>
      </c>
      <c r="T46" s="105"/>
      <c r="U46" s="34"/>
    </row>
    <row r="47" spans="1:21" ht="102">
      <c r="A47" s="44">
        <v>2022</v>
      </c>
      <c r="B47" s="34" t="s">
        <v>1084</v>
      </c>
      <c r="C47" s="462" t="s">
        <v>61</v>
      </c>
      <c r="D47" s="34" t="s">
        <v>62</v>
      </c>
      <c r="E47" s="34"/>
      <c r="F47" s="188" t="s">
        <v>1085</v>
      </c>
      <c r="G47" s="34" t="s">
        <v>1086</v>
      </c>
      <c r="H47" s="65">
        <v>923252</v>
      </c>
      <c r="I47" s="34" t="s">
        <v>2009</v>
      </c>
      <c r="J47" s="34" t="s">
        <v>6171</v>
      </c>
      <c r="K47" s="44" t="s">
        <v>1904</v>
      </c>
      <c r="L47" s="34" t="s">
        <v>6174</v>
      </c>
      <c r="M47" s="35">
        <v>44741</v>
      </c>
      <c r="N47" s="188" t="s">
        <v>2010</v>
      </c>
      <c r="O47" s="304"/>
      <c r="P47" s="34" t="s">
        <v>5650</v>
      </c>
      <c r="Q47" s="743" t="s">
        <v>6172</v>
      </c>
      <c r="R47" s="604" t="s">
        <v>6173</v>
      </c>
      <c r="S47" s="34" t="s">
        <v>2018</v>
      </c>
      <c r="T47" s="105"/>
      <c r="U47" s="34"/>
    </row>
    <row r="48" spans="1:21" ht="114.75">
      <c r="A48" s="44">
        <v>2022</v>
      </c>
      <c r="B48" s="34" t="s">
        <v>1087</v>
      </c>
      <c r="C48" s="462" t="s">
        <v>61</v>
      </c>
      <c r="D48" s="34" t="s">
        <v>62</v>
      </c>
      <c r="E48" s="34"/>
      <c r="F48" s="188" t="s">
        <v>1088</v>
      </c>
      <c r="G48" s="34" t="s">
        <v>1089</v>
      </c>
      <c r="H48" s="65">
        <v>494868.75</v>
      </c>
      <c r="I48" s="34" t="s">
        <v>2011</v>
      </c>
      <c r="J48" s="34" t="s">
        <v>6171</v>
      </c>
      <c r="K48" s="44" t="s">
        <v>1904</v>
      </c>
      <c r="L48" s="34" t="s">
        <v>6170</v>
      </c>
      <c r="M48" s="35">
        <v>44748</v>
      </c>
      <c r="N48" s="188" t="s">
        <v>2012</v>
      </c>
      <c r="O48" s="304"/>
      <c r="P48" s="34" t="s">
        <v>5650</v>
      </c>
      <c r="Q48" s="465"/>
      <c r="R48" s="602" t="s">
        <v>6176</v>
      </c>
      <c r="S48" s="34" t="s">
        <v>2018</v>
      </c>
      <c r="T48" s="105"/>
      <c r="U48" s="34"/>
    </row>
    <row r="49" spans="1:21" ht="25.5">
      <c r="A49" s="105"/>
      <c r="B49" s="34" t="s">
        <v>2013</v>
      </c>
      <c r="C49" s="34" t="s">
        <v>1867</v>
      </c>
      <c r="D49" s="34" t="s">
        <v>22</v>
      </c>
      <c r="E49" s="34"/>
      <c r="F49" s="188" t="s">
        <v>2015</v>
      </c>
      <c r="G49" s="34" t="s">
        <v>575</v>
      </c>
      <c r="H49" s="65" t="s">
        <v>22</v>
      </c>
      <c r="I49" s="34" t="s">
        <v>22</v>
      </c>
      <c r="J49" s="34" t="s">
        <v>1828</v>
      </c>
      <c r="K49" s="34"/>
      <c r="L49" s="34"/>
      <c r="M49" s="35">
        <v>44748</v>
      </c>
      <c r="N49" s="188" t="s">
        <v>2016</v>
      </c>
      <c r="O49" s="304"/>
      <c r="P49" s="34" t="s">
        <v>22</v>
      </c>
      <c r="Q49" s="465"/>
      <c r="R49" s="604" t="s">
        <v>6177</v>
      </c>
      <c r="S49" s="34" t="s">
        <v>1862</v>
      </c>
      <c r="T49" s="105"/>
      <c r="U49" s="34"/>
    </row>
    <row r="50" spans="1:21" ht="63.75">
      <c r="A50" s="105"/>
      <c r="B50" s="34" t="s">
        <v>2017</v>
      </c>
      <c r="C50" s="34" t="s">
        <v>1867</v>
      </c>
      <c r="D50" s="34" t="s">
        <v>62</v>
      </c>
      <c r="E50" s="34"/>
      <c r="F50" s="188" t="s">
        <v>2019</v>
      </c>
      <c r="G50" s="34" t="s">
        <v>1089</v>
      </c>
      <c r="H50" s="65">
        <v>494868.75</v>
      </c>
      <c r="I50" s="34" t="s">
        <v>2011</v>
      </c>
      <c r="J50" s="34" t="s">
        <v>6171</v>
      </c>
      <c r="K50" s="44" t="s">
        <v>1904</v>
      </c>
      <c r="L50" s="335" t="s">
        <v>1867</v>
      </c>
      <c r="M50" s="35">
        <v>44755</v>
      </c>
      <c r="N50" s="188" t="s">
        <v>2016</v>
      </c>
      <c r="O50" s="304"/>
      <c r="P50" s="34" t="s">
        <v>5650</v>
      </c>
      <c r="Q50" s="465"/>
      <c r="R50" s="604" t="s">
        <v>6178</v>
      </c>
      <c r="S50" s="34" t="s">
        <v>2018</v>
      </c>
      <c r="T50" s="105"/>
      <c r="U50" s="34"/>
    </row>
    <row r="51" spans="1:21" ht="63.75">
      <c r="A51" s="44">
        <v>2022</v>
      </c>
      <c r="B51" s="34" t="s">
        <v>2020</v>
      </c>
      <c r="C51" s="462" t="s">
        <v>61</v>
      </c>
      <c r="D51" s="34" t="s">
        <v>62</v>
      </c>
      <c r="E51" s="34"/>
      <c r="F51" s="188" t="s">
        <v>1088</v>
      </c>
      <c r="G51" s="34" t="s">
        <v>1089</v>
      </c>
      <c r="H51" s="65">
        <v>494868.75</v>
      </c>
      <c r="I51" s="34" t="s">
        <v>2011</v>
      </c>
      <c r="J51" s="34" t="s">
        <v>6171</v>
      </c>
      <c r="K51" s="44" t="s">
        <v>1904</v>
      </c>
      <c r="L51" s="34"/>
      <c r="M51" s="35">
        <v>44776</v>
      </c>
      <c r="N51" s="188"/>
      <c r="O51" s="304"/>
      <c r="P51" s="34" t="s">
        <v>6179</v>
      </c>
      <c r="Q51" s="465"/>
      <c r="R51" s="602" t="s">
        <v>6180</v>
      </c>
      <c r="S51" s="34" t="s">
        <v>2018</v>
      </c>
      <c r="T51" s="105"/>
      <c r="U51" s="34"/>
    </row>
    <row r="52" spans="1:21" ht="63.75">
      <c r="A52" s="105"/>
      <c r="B52" s="34" t="s">
        <v>2020</v>
      </c>
      <c r="C52" s="34" t="s">
        <v>1867</v>
      </c>
      <c r="D52" s="34" t="s">
        <v>62</v>
      </c>
      <c r="E52" s="34"/>
      <c r="F52" s="188" t="s">
        <v>2021</v>
      </c>
      <c r="G52" s="34" t="s">
        <v>1089</v>
      </c>
      <c r="H52" s="65">
        <v>494868.75</v>
      </c>
      <c r="I52" s="34" t="s">
        <v>2011</v>
      </c>
      <c r="J52" s="34" t="s">
        <v>6171</v>
      </c>
      <c r="K52" s="44" t="s">
        <v>1904</v>
      </c>
      <c r="L52" s="335" t="s">
        <v>1867</v>
      </c>
      <c r="M52" s="35">
        <v>44755</v>
      </c>
      <c r="N52" s="188" t="s">
        <v>2016</v>
      </c>
      <c r="O52" s="304"/>
      <c r="P52" s="34" t="s">
        <v>5650</v>
      </c>
      <c r="Q52" s="465"/>
      <c r="R52" s="602" t="s">
        <v>6180</v>
      </c>
      <c r="S52" s="34" t="s">
        <v>2018</v>
      </c>
      <c r="T52" s="105"/>
      <c r="U52" s="34"/>
    </row>
    <row r="53" spans="1:21" ht="153">
      <c r="A53" s="44">
        <v>2022</v>
      </c>
      <c r="B53" s="462" t="s">
        <v>2022</v>
      </c>
      <c r="C53" s="462" t="s">
        <v>61</v>
      </c>
      <c r="D53" s="462" t="s">
        <v>394</v>
      </c>
      <c r="E53" s="462"/>
      <c r="F53" s="734" t="s">
        <v>610</v>
      </c>
      <c r="G53" s="462" t="s">
        <v>575</v>
      </c>
      <c r="H53" s="735" t="s">
        <v>22</v>
      </c>
      <c r="I53" s="462" t="s">
        <v>22</v>
      </c>
      <c r="J53" s="462" t="s">
        <v>1828</v>
      </c>
      <c r="K53" s="462"/>
      <c r="L53" s="462" t="s">
        <v>6183</v>
      </c>
      <c r="M53" s="753">
        <v>44776</v>
      </c>
      <c r="N53" s="734" t="s">
        <v>2023</v>
      </c>
      <c r="O53" s="754"/>
      <c r="P53" s="44" t="s">
        <v>1808</v>
      </c>
      <c r="Q53" s="757"/>
      <c r="R53" s="739" t="s">
        <v>6182</v>
      </c>
      <c r="S53" s="462" t="s">
        <v>1862</v>
      </c>
      <c r="T53" s="105"/>
      <c r="U53" s="462"/>
    </row>
    <row r="54" spans="1:21" ht="63.75">
      <c r="A54" s="105"/>
      <c r="B54" s="34" t="s">
        <v>2024</v>
      </c>
      <c r="C54" s="34" t="s">
        <v>1867</v>
      </c>
      <c r="D54" s="6" t="s">
        <v>1262</v>
      </c>
      <c r="E54" s="34"/>
      <c r="F54" s="758" t="s">
        <v>2025</v>
      </c>
      <c r="G54" s="34" t="s">
        <v>2026</v>
      </c>
      <c r="H54" s="65"/>
      <c r="I54" s="34" t="s">
        <v>2027</v>
      </c>
      <c r="J54" s="34" t="s">
        <v>1828</v>
      </c>
      <c r="K54" s="34"/>
      <c r="L54" s="34"/>
      <c r="M54" s="35">
        <v>44776</v>
      </c>
      <c r="N54" s="188" t="s">
        <v>2028</v>
      </c>
      <c r="O54" s="304"/>
      <c r="P54" s="34" t="s">
        <v>5654</v>
      </c>
      <c r="Q54" s="465"/>
      <c r="R54" s="602" t="s">
        <v>6184</v>
      </c>
      <c r="S54" s="34" t="s">
        <v>2018</v>
      </c>
      <c r="T54" s="105"/>
      <c r="U54" s="34"/>
    </row>
    <row r="55" spans="1:21" ht="45">
      <c r="A55" s="44">
        <v>2022</v>
      </c>
      <c r="B55" s="34" t="s">
        <v>1467</v>
      </c>
      <c r="C55" s="462" t="s">
        <v>61</v>
      </c>
      <c r="D55" s="34" t="s">
        <v>1383</v>
      </c>
      <c r="E55" s="34"/>
      <c r="F55" s="759" t="s">
        <v>1469</v>
      </c>
      <c r="G55" s="34" t="s">
        <v>1451</v>
      </c>
      <c r="H55" s="65">
        <v>200000</v>
      </c>
      <c r="I55" s="34" t="s">
        <v>2030</v>
      </c>
      <c r="J55" s="34" t="s">
        <v>6185</v>
      </c>
      <c r="K55" s="34"/>
      <c r="L55" s="34" t="s">
        <v>6064</v>
      </c>
      <c r="M55" s="35">
        <v>44776</v>
      </c>
      <c r="N55" s="760" t="s">
        <v>2032</v>
      </c>
      <c r="O55" s="304"/>
      <c r="P55" s="44" t="s">
        <v>1808</v>
      </c>
      <c r="Q55" s="465"/>
      <c r="R55" s="602" t="s">
        <v>6187</v>
      </c>
      <c r="S55" s="34" t="s">
        <v>6186</v>
      </c>
      <c r="T55" s="105"/>
      <c r="U55" s="34"/>
    </row>
    <row r="56" spans="1:21" ht="102">
      <c r="A56" s="105"/>
      <c r="B56" s="34" t="s">
        <v>2033</v>
      </c>
      <c r="C56" s="34" t="s">
        <v>2034</v>
      </c>
      <c r="D56" s="34" t="s">
        <v>22</v>
      </c>
      <c r="E56" s="34"/>
      <c r="F56" s="761" t="s">
        <v>2035</v>
      </c>
      <c r="G56" s="34" t="s">
        <v>575</v>
      </c>
      <c r="H56" s="65" t="s">
        <v>22</v>
      </c>
      <c r="I56" s="34" t="s">
        <v>22</v>
      </c>
      <c r="J56" s="34" t="s">
        <v>1828</v>
      </c>
      <c r="K56" s="34"/>
      <c r="L56" s="34" t="s">
        <v>6189</v>
      </c>
      <c r="M56" s="35">
        <v>44776</v>
      </c>
      <c r="N56" s="463" t="s">
        <v>11912</v>
      </c>
      <c r="O56" s="304"/>
      <c r="P56" s="34" t="s">
        <v>22</v>
      </c>
      <c r="Q56" s="465"/>
      <c r="R56" s="604" t="s">
        <v>6188</v>
      </c>
      <c r="S56" s="34" t="s">
        <v>1862</v>
      </c>
      <c r="T56" s="105"/>
      <c r="U56" s="34"/>
    </row>
    <row r="57" spans="1:21" ht="127.5">
      <c r="A57" s="44">
        <v>2022</v>
      </c>
      <c r="B57" s="34" t="s">
        <v>1090</v>
      </c>
      <c r="C57" s="462" t="s">
        <v>61</v>
      </c>
      <c r="D57" s="34" t="s">
        <v>62</v>
      </c>
      <c r="E57" s="34"/>
      <c r="F57" s="759" t="s">
        <v>1091</v>
      </c>
      <c r="G57" s="34" t="s">
        <v>1092</v>
      </c>
      <c r="H57" s="65">
        <v>998550</v>
      </c>
      <c r="I57" s="34" t="s">
        <v>2038</v>
      </c>
      <c r="J57" s="34" t="s">
        <v>1879</v>
      </c>
      <c r="K57" s="44" t="s">
        <v>1904</v>
      </c>
      <c r="L57" s="34" t="s">
        <v>6189</v>
      </c>
      <c r="M57" s="762">
        <v>44783</v>
      </c>
      <c r="N57" s="188" t="s">
        <v>2039</v>
      </c>
      <c r="O57" s="43"/>
      <c r="P57" s="44" t="s">
        <v>5650</v>
      </c>
      <c r="Q57" s="763"/>
      <c r="R57" s="604" t="s">
        <v>6190</v>
      </c>
      <c r="S57" s="34" t="s">
        <v>2018</v>
      </c>
      <c r="T57" s="105"/>
      <c r="U57" s="34"/>
    </row>
    <row r="58" spans="1:21" ht="114.75">
      <c r="A58" s="44">
        <v>2022</v>
      </c>
      <c r="B58" s="462" t="s">
        <v>612</v>
      </c>
      <c r="C58" s="462" t="s">
        <v>61</v>
      </c>
      <c r="D58" s="462" t="s">
        <v>1877</v>
      </c>
      <c r="E58" s="462"/>
      <c r="F58" s="734" t="s">
        <v>613</v>
      </c>
      <c r="G58" s="462" t="s">
        <v>614</v>
      </c>
      <c r="H58" s="735">
        <v>174759.01</v>
      </c>
      <c r="I58" s="462" t="s">
        <v>2040</v>
      </c>
      <c r="J58" s="462" t="s">
        <v>6231</v>
      </c>
      <c r="K58" s="34" t="s">
        <v>611</v>
      </c>
      <c r="L58" s="462" t="s">
        <v>6092</v>
      </c>
      <c r="M58" s="753">
        <v>44783</v>
      </c>
      <c r="N58" s="734" t="s">
        <v>2042</v>
      </c>
      <c r="O58" s="754"/>
      <c r="P58" s="462" t="s">
        <v>5650</v>
      </c>
      <c r="Q58" s="764"/>
      <c r="R58" s="741" t="s">
        <v>6127</v>
      </c>
      <c r="S58" s="462" t="s">
        <v>2018</v>
      </c>
      <c r="T58" s="105"/>
      <c r="U58" s="462"/>
    </row>
    <row r="59" spans="1:21" ht="140.25">
      <c r="A59" s="44">
        <v>2022</v>
      </c>
      <c r="B59" s="462" t="s">
        <v>615</v>
      </c>
      <c r="C59" s="462" t="s">
        <v>61</v>
      </c>
      <c r="D59" s="462" t="s">
        <v>1877</v>
      </c>
      <c r="E59" s="462"/>
      <c r="F59" s="759" t="s">
        <v>616</v>
      </c>
      <c r="G59" s="462" t="s">
        <v>617</v>
      </c>
      <c r="H59" s="735">
        <v>60837.599999999999</v>
      </c>
      <c r="I59" s="462" t="s">
        <v>2043</v>
      </c>
      <c r="J59" s="462" t="s">
        <v>1828</v>
      </c>
      <c r="K59" s="34" t="s">
        <v>611</v>
      </c>
      <c r="L59" s="462" t="s">
        <v>6092</v>
      </c>
      <c r="M59" s="753">
        <v>44783</v>
      </c>
      <c r="N59" s="734" t="s">
        <v>11913</v>
      </c>
      <c r="O59" s="754"/>
      <c r="P59" s="462" t="s">
        <v>5654</v>
      </c>
      <c r="Q59" s="765"/>
      <c r="R59" s="741" t="s">
        <v>6145</v>
      </c>
      <c r="S59" s="462" t="s">
        <v>2018</v>
      </c>
      <c r="T59" s="105"/>
      <c r="U59" s="462"/>
    </row>
    <row r="60" spans="1:21" ht="153">
      <c r="A60" s="44">
        <v>2022</v>
      </c>
      <c r="B60" s="34" t="s">
        <v>1470</v>
      </c>
      <c r="C60" s="462" t="s">
        <v>61</v>
      </c>
      <c r="D60" s="34" t="s">
        <v>1383</v>
      </c>
      <c r="E60" s="34"/>
      <c r="F60" s="188" t="s">
        <v>1472</v>
      </c>
      <c r="G60" s="34" t="s">
        <v>1473</v>
      </c>
      <c r="H60" s="65">
        <v>300000</v>
      </c>
      <c r="I60" s="34"/>
      <c r="J60" s="34" t="s">
        <v>6193</v>
      </c>
      <c r="K60" s="34"/>
      <c r="L60" s="34" t="s">
        <v>6064</v>
      </c>
      <c r="M60" s="35">
        <v>44790</v>
      </c>
      <c r="N60" s="188" t="s">
        <v>2045</v>
      </c>
      <c r="O60" s="304"/>
      <c r="P60" s="44" t="s">
        <v>1808</v>
      </c>
      <c r="Q60" s="465"/>
      <c r="R60" s="604" t="s">
        <v>6194</v>
      </c>
      <c r="S60" s="34" t="s">
        <v>6186</v>
      </c>
      <c r="T60" s="105"/>
      <c r="U60" s="34"/>
    </row>
    <row r="61" spans="1:21" ht="38.25">
      <c r="A61" s="44">
        <v>2022</v>
      </c>
      <c r="B61" s="462" t="s">
        <v>624</v>
      </c>
      <c r="C61" s="462" t="s">
        <v>61</v>
      </c>
      <c r="D61" s="462" t="s">
        <v>1877</v>
      </c>
      <c r="E61" s="462"/>
      <c r="F61" s="734" t="s">
        <v>625</v>
      </c>
      <c r="G61" s="462" t="s">
        <v>626</v>
      </c>
      <c r="H61" s="735">
        <v>31804.6</v>
      </c>
      <c r="I61" s="462" t="s">
        <v>2046</v>
      </c>
      <c r="J61" s="462" t="s">
        <v>2476</v>
      </c>
      <c r="K61" s="34" t="s">
        <v>611</v>
      </c>
      <c r="L61" s="462" t="s">
        <v>6104</v>
      </c>
      <c r="M61" s="753">
        <v>44799</v>
      </c>
      <c r="N61" s="734" t="s">
        <v>2048</v>
      </c>
      <c r="O61" s="754"/>
      <c r="P61" s="462" t="s">
        <v>5654</v>
      </c>
      <c r="Q61" s="765"/>
      <c r="R61" s="741" t="s">
        <v>6191</v>
      </c>
      <c r="S61" s="462" t="s">
        <v>2018</v>
      </c>
      <c r="T61" s="105"/>
      <c r="U61" s="462"/>
    </row>
    <row r="62" spans="1:21" ht="102">
      <c r="A62" s="44">
        <v>2022</v>
      </c>
      <c r="B62" s="34" t="s">
        <v>1474</v>
      </c>
      <c r="C62" s="462" t="s">
        <v>61</v>
      </c>
      <c r="D62" s="34" t="s">
        <v>1420</v>
      </c>
      <c r="E62" s="34"/>
      <c r="F62" s="188" t="s">
        <v>1475</v>
      </c>
      <c r="G62" s="34" t="s">
        <v>575</v>
      </c>
      <c r="H62" s="65" t="s">
        <v>22</v>
      </c>
      <c r="I62" s="34" t="s">
        <v>22</v>
      </c>
      <c r="J62" s="34" t="s">
        <v>1828</v>
      </c>
      <c r="K62" s="34"/>
      <c r="L62" s="34" t="s">
        <v>6064</v>
      </c>
      <c r="M62" s="35">
        <v>44782</v>
      </c>
      <c r="N62" s="188" t="s">
        <v>2049</v>
      </c>
      <c r="O62" s="304"/>
      <c r="P62" s="34" t="s">
        <v>22</v>
      </c>
      <c r="Q62" s="465"/>
      <c r="R62" s="602" t="s">
        <v>6197</v>
      </c>
      <c r="S62" s="34" t="s">
        <v>1862</v>
      </c>
      <c r="T62" s="105"/>
      <c r="U62" s="34"/>
    </row>
    <row r="63" spans="1:21" ht="51">
      <c r="A63" s="44">
        <v>2022</v>
      </c>
      <c r="B63" s="34" t="s">
        <v>1093</v>
      </c>
      <c r="C63" s="462" t="s">
        <v>61</v>
      </c>
      <c r="D63" s="34" t="s">
        <v>62</v>
      </c>
      <c r="E63" s="34"/>
      <c r="F63" s="188" t="s">
        <v>1094</v>
      </c>
      <c r="G63" s="34" t="s">
        <v>1095</v>
      </c>
      <c r="H63" s="65">
        <v>1503212.5</v>
      </c>
      <c r="I63" s="34" t="s">
        <v>2050</v>
      </c>
      <c r="J63" s="34" t="s">
        <v>6198</v>
      </c>
      <c r="K63" s="44" t="s">
        <v>1904</v>
      </c>
      <c r="L63" s="34" t="s">
        <v>6104</v>
      </c>
      <c r="M63" s="35">
        <v>44811</v>
      </c>
      <c r="N63" s="188" t="s">
        <v>2052</v>
      </c>
      <c r="O63" s="304"/>
      <c r="P63" s="34" t="s">
        <v>5650</v>
      </c>
      <c r="Q63" s="465"/>
      <c r="R63" s="604" t="s">
        <v>6200</v>
      </c>
      <c r="S63" s="34" t="s">
        <v>2018</v>
      </c>
      <c r="T63" s="105"/>
      <c r="U63" s="34"/>
    </row>
    <row r="64" spans="1:21" ht="38.25">
      <c r="A64" s="105"/>
      <c r="B64" s="34" t="s">
        <v>2053</v>
      </c>
      <c r="C64" s="34" t="s">
        <v>1867</v>
      </c>
      <c r="D64" s="34" t="s">
        <v>62</v>
      </c>
      <c r="E64" s="34"/>
      <c r="F64" s="188" t="s">
        <v>2054</v>
      </c>
      <c r="G64" s="34" t="s">
        <v>2055</v>
      </c>
      <c r="H64" s="65" t="s">
        <v>22</v>
      </c>
      <c r="I64" s="34" t="s">
        <v>2056</v>
      </c>
      <c r="J64" s="34" t="s">
        <v>1828</v>
      </c>
      <c r="K64" s="44" t="s">
        <v>1904</v>
      </c>
      <c r="L64" s="335" t="s">
        <v>1867</v>
      </c>
      <c r="M64" s="35">
        <v>44818</v>
      </c>
      <c r="N64" s="188" t="s">
        <v>2028</v>
      </c>
      <c r="O64" s="304"/>
      <c r="P64" s="34" t="s">
        <v>5654</v>
      </c>
      <c r="Q64" s="465"/>
      <c r="R64" s="604" t="s">
        <v>6201</v>
      </c>
      <c r="S64" s="34" t="s">
        <v>2018</v>
      </c>
      <c r="T64" s="105"/>
      <c r="U64" s="34"/>
    </row>
    <row r="65" spans="1:21" ht="165.75">
      <c r="A65" s="44">
        <v>2022</v>
      </c>
      <c r="B65" s="34" t="s">
        <v>1476</v>
      </c>
      <c r="C65" s="462" t="s">
        <v>61</v>
      </c>
      <c r="D65" s="34" t="s">
        <v>1383</v>
      </c>
      <c r="E65" s="34"/>
      <c r="F65" s="188" t="s">
        <v>1477</v>
      </c>
      <c r="G65" s="34" t="s">
        <v>1478</v>
      </c>
      <c r="H65" s="65">
        <v>200000</v>
      </c>
      <c r="I65" s="34" t="s">
        <v>2057</v>
      </c>
      <c r="J65" s="34" t="s">
        <v>1879</v>
      </c>
      <c r="K65" s="34"/>
      <c r="L65" s="34" t="s">
        <v>6092</v>
      </c>
      <c r="M65" s="35">
        <v>44818</v>
      </c>
      <c r="N65" s="188" t="s">
        <v>2058</v>
      </c>
      <c r="O65" s="304"/>
      <c r="P65" s="34" t="s">
        <v>22</v>
      </c>
      <c r="Q65" s="465"/>
      <c r="R65" s="604" t="s">
        <v>6202</v>
      </c>
      <c r="S65" s="34" t="s">
        <v>2018</v>
      </c>
      <c r="T65" s="105"/>
      <c r="U65" s="34"/>
    </row>
    <row r="66" spans="1:21" ht="153">
      <c r="A66" s="44">
        <v>2022</v>
      </c>
      <c r="B66" s="34" t="s">
        <v>1479</v>
      </c>
      <c r="C66" s="462" t="s">
        <v>61</v>
      </c>
      <c r="D66" s="34" t="s">
        <v>1383</v>
      </c>
      <c r="E66" s="34"/>
      <c r="F66" s="188" t="s">
        <v>1481</v>
      </c>
      <c r="G66" s="34" t="s">
        <v>2059</v>
      </c>
      <c r="H66" s="65">
        <v>350500</v>
      </c>
      <c r="I66" s="34"/>
      <c r="J66" s="34" t="s">
        <v>1828</v>
      </c>
      <c r="K66" s="34"/>
      <c r="L66" s="34" t="s">
        <v>6064</v>
      </c>
      <c r="M66" s="35">
        <v>44818</v>
      </c>
      <c r="N66" s="188" t="s">
        <v>2060</v>
      </c>
      <c r="O66" s="304"/>
      <c r="P66" s="34" t="s">
        <v>22</v>
      </c>
      <c r="Q66" s="465"/>
      <c r="R66" s="604" t="s">
        <v>6203</v>
      </c>
      <c r="S66" s="34" t="s">
        <v>2018</v>
      </c>
      <c r="T66" s="105"/>
      <c r="U66" s="34"/>
    </row>
    <row r="67" spans="1:21" ht="89.25">
      <c r="A67" s="44">
        <v>2022</v>
      </c>
      <c r="B67" s="34" t="s">
        <v>1483</v>
      </c>
      <c r="C67" s="462" t="s">
        <v>61</v>
      </c>
      <c r="D67" s="34" t="s">
        <v>1420</v>
      </c>
      <c r="E67" s="34"/>
      <c r="F67" s="188" t="s">
        <v>1484</v>
      </c>
      <c r="G67" s="34" t="s">
        <v>575</v>
      </c>
      <c r="H67" s="65" t="s">
        <v>22</v>
      </c>
      <c r="I67" s="34" t="s">
        <v>22</v>
      </c>
      <c r="J67" s="34" t="s">
        <v>1828</v>
      </c>
      <c r="K67" s="34" t="s">
        <v>6205</v>
      </c>
      <c r="L67" s="34" t="s">
        <v>6206</v>
      </c>
      <c r="M67" s="35">
        <v>44818</v>
      </c>
      <c r="N67" s="188" t="s">
        <v>2061</v>
      </c>
      <c r="O67" s="304"/>
      <c r="P67" s="34" t="s">
        <v>22</v>
      </c>
      <c r="Q67" s="465"/>
      <c r="R67" s="604" t="s">
        <v>6204</v>
      </c>
      <c r="S67" s="34"/>
      <c r="T67" s="105"/>
      <c r="U67" s="34"/>
    </row>
    <row r="68" spans="1:21" ht="89.25">
      <c r="A68" s="44">
        <v>2022</v>
      </c>
      <c r="B68" s="34" t="s">
        <v>633</v>
      </c>
      <c r="C68" s="462" t="s">
        <v>61</v>
      </c>
      <c r="D68" s="34" t="s">
        <v>125</v>
      </c>
      <c r="E68" s="34"/>
      <c r="F68" s="188" t="s">
        <v>634</v>
      </c>
      <c r="G68" s="34" t="s">
        <v>635</v>
      </c>
      <c r="H68" s="65">
        <v>2251504</v>
      </c>
      <c r="I68" s="34" t="s">
        <v>2062</v>
      </c>
      <c r="J68" s="34" t="s">
        <v>6207</v>
      </c>
      <c r="K68" s="34" t="s">
        <v>611</v>
      </c>
      <c r="L68" s="34" t="s">
        <v>6137</v>
      </c>
      <c r="M68" s="35">
        <v>44825</v>
      </c>
      <c r="N68" s="188" t="s">
        <v>2063</v>
      </c>
      <c r="O68" s="304"/>
      <c r="P68" s="34" t="s">
        <v>5650</v>
      </c>
      <c r="Q68" s="465"/>
      <c r="R68" s="604" t="s">
        <v>6209</v>
      </c>
      <c r="S68" s="34" t="s">
        <v>6208</v>
      </c>
      <c r="T68" s="105"/>
      <c r="U68" s="34"/>
    </row>
    <row r="69" spans="1:21" ht="51">
      <c r="A69" s="44">
        <v>2022</v>
      </c>
      <c r="B69" s="462" t="s">
        <v>627</v>
      </c>
      <c r="C69" s="462" t="s">
        <v>61</v>
      </c>
      <c r="D69" s="462" t="s">
        <v>1877</v>
      </c>
      <c r="E69" s="462"/>
      <c r="F69" s="734" t="s">
        <v>628</v>
      </c>
      <c r="G69" s="462" t="s">
        <v>629</v>
      </c>
      <c r="H69" s="735">
        <v>10160</v>
      </c>
      <c r="I69" s="462" t="s">
        <v>2064</v>
      </c>
      <c r="J69" s="462" t="s">
        <v>6185</v>
      </c>
      <c r="K69" s="34" t="s">
        <v>611</v>
      </c>
      <c r="L69" s="462" t="s">
        <v>6108</v>
      </c>
      <c r="M69" s="753">
        <v>44825</v>
      </c>
      <c r="N69" s="734" t="s">
        <v>2065</v>
      </c>
      <c r="O69" s="754"/>
      <c r="P69" s="462" t="s">
        <v>5650</v>
      </c>
      <c r="Q69" s="765"/>
      <c r="R69" s="741" t="s">
        <v>6192</v>
      </c>
      <c r="S69" s="462" t="s">
        <v>2018</v>
      </c>
      <c r="T69" s="105"/>
      <c r="U69" s="462"/>
    </row>
    <row r="70" spans="1:21" ht="76.5">
      <c r="A70" s="44">
        <v>2022</v>
      </c>
      <c r="B70" s="34" t="s">
        <v>639</v>
      </c>
      <c r="C70" s="462" t="s">
        <v>61</v>
      </c>
      <c r="D70" s="34" t="s">
        <v>586</v>
      </c>
      <c r="E70" s="34"/>
      <c r="F70" s="188" t="s">
        <v>640</v>
      </c>
      <c r="G70" s="34" t="s">
        <v>641</v>
      </c>
      <c r="H70" s="65">
        <v>17575</v>
      </c>
      <c r="I70" s="34" t="s">
        <v>2066</v>
      </c>
      <c r="J70" s="34" t="s">
        <v>6193</v>
      </c>
      <c r="K70" s="34" t="s">
        <v>611</v>
      </c>
      <c r="L70" s="34" t="s">
        <v>6092</v>
      </c>
      <c r="M70" s="35">
        <v>44825</v>
      </c>
      <c r="N70" s="188" t="s">
        <v>2067</v>
      </c>
      <c r="O70" s="304"/>
      <c r="P70" s="34" t="s">
        <v>5654</v>
      </c>
      <c r="Q70" s="465"/>
      <c r="R70" s="604" t="s">
        <v>6212</v>
      </c>
      <c r="S70" s="34" t="s">
        <v>2018</v>
      </c>
      <c r="T70" s="105"/>
      <c r="U70" s="34"/>
    </row>
    <row r="71" spans="1:21" ht="165.75">
      <c r="A71" s="44">
        <v>2022</v>
      </c>
      <c r="B71" s="34" t="s">
        <v>1096</v>
      </c>
      <c r="C71" s="462" t="s">
        <v>61</v>
      </c>
      <c r="D71" s="34" t="s">
        <v>62</v>
      </c>
      <c r="E71" s="34"/>
      <c r="F71" s="188" t="s">
        <v>1097</v>
      </c>
      <c r="G71" s="34" t="s">
        <v>1095</v>
      </c>
      <c r="H71" s="65">
        <v>1000000</v>
      </c>
      <c r="I71" s="34" t="s">
        <v>2068</v>
      </c>
      <c r="J71" s="34" t="s">
        <v>6198</v>
      </c>
      <c r="K71" s="44" t="s">
        <v>1904</v>
      </c>
      <c r="L71" s="34" t="s">
        <v>6108</v>
      </c>
      <c r="M71" s="35">
        <v>44826</v>
      </c>
      <c r="N71" s="188" t="s">
        <v>2069</v>
      </c>
      <c r="O71" s="304"/>
      <c r="P71" s="34" t="s">
        <v>5650</v>
      </c>
      <c r="Q71" s="465"/>
      <c r="R71" s="604" t="s">
        <v>6214</v>
      </c>
      <c r="S71" s="34" t="s">
        <v>2018</v>
      </c>
      <c r="T71" s="105"/>
      <c r="U71" s="34"/>
    </row>
    <row r="72" spans="1:21" ht="140.25">
      <c r="A72" s="44">
        <v>2022</v>
      </c>
      <c r="B72" s="462" t="s">
        <v>630</v>
      </c>
      <c r="C72" s="462" t="s">
        <v>61</v>
      </c>
      <c r="D72" s="462" t="s">
        <v>1877</v>
      </c>
      <c r="E72" s="462"/>
      <c r="F72" s="734" t="s">
        <v>631</v>
      </c>
      <c r="G72" s="462" t="s">
        <v>632</v>
      </c>
      <c r="H72" s="735">
        <v>199727</v>
      </c>
      <c r="I72" s="462" t="s">
        <v>2070</v>
      </c>
      <c r="J72" s="462" t="s">
        <v>6171</v>
      </c>
      <c r="K72" s="34" t="s">
        <v>611</v>
      </c>
      <c r="L72" s="462" t="s">
        <v>6092</v>
      </c>
      <c r="M72" s="753">
        <v>44832</v>
      </c>
      <c r="N72" s="734" t="s">
        <v>2071</v>
      </c>
      <c r="O72" s="754"/>
      <c r="P72" s="462" t="s">
        <v>5654</v>
      </c>
      <c r="Q72" s="765"/>
      <c r="R72" s="741" t="s">
        <v>6196</v>
      </c>
      <c r="S72" s="462" t="s">
        <v>2018</v>
      </c>
      <c r="T72" s="105"/>
      <c r="U72" s="462"/>
    </row>
    <row r="73" spans="1:21" ht="114.75">
      <c r="A73" s="44">
        <v>2022</v>
      </c>
      <c r="B73" s="462" t="s">
        <v>636</v>
      </c>
      <c r="C73" s="462" t="s">
        <v>61</v>
      </c>
      <c r="D73" s="462" t="s">
        <v>1877</v>
      </c>
      <c r="E73" s="462"/>
      <c r="F73" s="734" t="s">
        <v>637</v>
      </c>
      <c r="G73" s="462" t="s">
        <v>638</v>
      </c>
      <c r="H73" s="735">
        <v>199950</v>
      </c>
      <c r="I73" s="462" t="s">
        <v>2072</v>
      </c>
      <c r="J73" s="462" t="s">
        <v>1879</v>
      </c>
      <c r="K73" s="34" t="s">
        <v>611</v>
      </c>
      <c r="L73" s="462" t="s">
        <v>6170</v>
      </c>
      <c r="M73" s="753">
        <v>44832</v>
      </c>
      <c r="N73" s="734" t="s">
        <v>2073</v>
      </c>
      <c r="O73" s="754"/>
      <c r="P73" s="462" t="s">
        <v>5654</v>
      </c>
      <c r="Q73" s="747"/>
      <c r="R73" s="741" t="s">
        <v>6211</v>
      </c>
      <c r="S73" s="462" t="s">
        <v>2018</v>
      </c>
      <c r="T73" s="105"/>
      <c r="U73" s="462"/>
    </row>
    <row r="74" spans="1:21" ht="127.5">
      <c r="A74" s="44">
        <v>2022</v>
      </c>
      <c r="B74" s="462" t="s">
        <v>642</v>
      </c>
      <c r="C74" s="462" t="s">
        <v>61</v>
      </c>
      <c r="D74" s="462" t="s">
        <v>1877</v>
      </c>
      <c r="E74" s="462"/>
      <c r="F74" s="734" t="s">
        <v>643</v>
      </c>
      <c r="G74" s="462" t="s">
        <v>644</v>
      </c>
      <c r="H74" s="735">
        <v>48250</v>
      </c>
      <c r="I74" s="462" t="s">
        <v>2072</v>
      </c>
      <c r="J74" s="462" t="s">
        <v>1879</v>
      </c>
      <c r="K74" s="34" t="s">
        <v>611</v>
      </c>
      <c r="L74" s="462" t="s">
        <v>6217</v>
      </c>
      <c r="M74" s="753">
        <v>44832</v>
      </c>
      <c r="N74" s="734" t="s">
        <v>2074</v>
      </c>
      <c r="O74" s="754"/>
      <c r="P74" s="462" t="s">
        <v>5650</v>
      </c>
      <c r="Q74" s="747"/>
      <c r="R74" s="741" t="s">
        <v>6216</v>
      </c>
      <c r="S74" s="462" t="s">
        <v>2018</v>
      </c>
      <c r="T74" s="105"/>
      <c r="U74" s="462"/>
    </row>
    <row r="75" spans="1:21" ht="102">
      <c r="A75" s="44">
        <v>2022</v>
      </c>
      <c r="B75" s="462" t="s">
        <v>645</v>
      </c>
      <c r="C75" s="462" t="s">
        <v>61</v>
      </c>
      <c r="D75" s="462" t="s">
        <v>1877</v>
      </c>
      <c r="E75" s="462"/>
      <c r="F75" s="734" t="s">
        <v>646</v>
      </c>
      <c r="G75" s="462" t="s">
        <v>647</v>
      </c>
      <c r="H75" s="735">
        <v>27532</v>
      </c>
      <c r="I75" s="462" t="s">
        <v>2075</v>
      </c>
      <c r="J75" s="733" t="s">
        <v>6171</v>
      </c>
      <c r="K75" s="34" t="s">
        <v>611</v>
      </c>
      <c r="L75" s="462" t="s">
        <v>6220</v>
      </c>
      <c r="M75" s="753">
        <v>44832</v>
      </c>
      <c r="N75" s="734" t="s">
        <v>2076</v>
      </c>
      <c r="O75" s="754"/>
      <c r="P75" s="462" t="s">
        <v>5654</v>
      </c>
      <c r="Q75" s="765"/>
      <c r="R75" s="741" t="s">
        <v>6219</v>
      </c>
      <c r="S75" s="462" t="s">
        <v>2018</v>
      </c>
      <c r="T75" s="105"/>
      <c r="U75" s="462"/>
    </row>
    <row r="76" spans="1:21" ht="165.75">
      <c r="A76" s="44">
        <v>2022</v>
      </c>
      <c r="B76" s="34" t="s">
        <v>2077</v>
      </c>
      <c r="C76" s="462" t="s">
        <v>61</v>
      </c>
      <c r="D76" s="34" t="s">
        <v>2078</v>
      </c>
      <c r="E76" s="34"/>
      <c r="F76" s="188" t="s">
        <v>2079</v>
      </c>
      <c r="G76" s="34" t="s">
        <v>575</v>
      </c>
      <c r="H76" s="65" t="s">
        <v>22</v>
      </c>
      <c r="I76" s="34" t="s">
        <v>22</v>
      </c>
      <c r="J76" s="34" t="s">
        <v>1828</v>
      </c>
      <c r="K76" s="34"/>
      <c r="L76" s="34" t="s">
        <v>6071</v>
      </c>
      <c r="M76" s="766">
        <v>44832</v>
      </c>
      <c r="N76" s="188" t="s">
        <v>2080</v>
      </c>
      <c r="O76" s="304"/>
      <c r="P76" s="34" t="s">
        <v>22</v>
      </c>
      <c r="Q76" s="63"/>
      <c r="R76" s="34"/>
      <c r="S76" s="34"/>
      <c r="T76" s="105"/>
      <c r="U76" s="34"/>
    </row>
    <row r="77" spans="1:21" ht="140.25">
      <c r="A77" s="44">
        <v>2022</v>
      </c>
      <c r="B77" s="34" t="s">
        <v>1098</v>
      </c>
      <c r="C77" s="462" t="s">
        <v>61</v>
      </c>
      <c r="D77" s="34" t="s">
        <v>1099</v>
      </c>
      <c r="E77" s="34"/>
      <c r="F77" s="188" t="s">
        <v>1100</v>
      </c>
      <c r="G77" s="34" t="s">
        <v>1101</v>
      </c>
      <c r="H77" s="65">
        <v>225000</v>
      </c>
      <c r="I77" s="34" t="s">
        <v>2081</v>
      </c>
      <c r="J77" s="34" t="s">
        <v>6224</v>
      </c>
      <c r="K77" s="44" t="s">
        <v>1904</v>
      </c>
      <c r="L77" s="34" t="s">
        <v>6092</v>
      </c>
      <c r="M77" s="35">
        <v>44832</v>
      </c>
      <c r="N77" s="188" t="s">
        <v>2083</v>
      </c>
      <c r="O77" s="304"/>
      <c r="P77" s="44" t="s">
        <v>1808</v>
      </c>
      <c r="Q77" s="465"/>
      <c r="R77" s="602" t="s">
        <v>6226</v>
      </c>
      <c r="S77" s="34" t="s">
        <v>2018</v>
      </c>
      <c r="T77" s="105"/>
      <c r="U77" s="34"/>
    </row>
    <row r="78" spans="1:21" ht="51">
      <c r="A78" s="44">
        <v>2022</v>
      </c>
      <c r="B78" s="34" t="s">
        <v>1485</v>
      </c>
      <c r="C78" s="462" t="s">
        <v>61</v>
      </c>
      <c r="D78" s="34" t="s">
        <v>1383</v>
      </c>
      <c r="E78" s="34"/>
      <c r="F78" s="188" t="s">
        <v>1486</v>
      </c>
      <c r="G78" s="34" t="s">
        <v>650</v>
      </c>
      <c r="H78" s="65">
        <v>300000</v>
      </c>
      <c r="I78" s="34" t="s">
        <v>2084</v>
      </c>
      <c r="J78" s="34" t="s">
        <v>2604</v>
      </c>
      <c r="K78" s="34"/>
      <c r="L78" s="34" t="s">
        <v>6064</v>
      </c>
      <c r="M78" s="35">
        <v>44839</v>
      </c>
      <c r="N78" s="188" t="s">
        <v>2086</v>
      </c>
      <c r="O78" s="304"/>
      <c r="P78" s="44" t="s">
        <v>1808</v>
      </c>
      <c r="Q78" s="465"/>
      <c r="R78" s="602" t="s">
        <v>6227</v>
      </c>
      <c r="S78" s="34" t="s">
        <v>2018</v>
      </c>
      <c r="T78" s="105"/>
      <c r="U78" s="34"/>
    </row>
    <row r="79" spans="1:21" ht="204">
      <c r="A79" s="44">
        <v>2022</v>
      </c>
      <c r="B79" s="34" t="s">
        <v>1487</v>
      </c>
      <c r="C79" s="462" t="s">
        <v>61</v>
      </c>
      <c r="D79" s="34" t="s">
        <v>1383</v>
      </c>
      <c r="E79" s="34"/>
      <c r="F79" s="188" t="s">
        <v>1488</v>
      </c>
      <c r="G79" s="34" t="s">
        <v>650</v>
      </c>
      <c r="H79" s="65">
        <v>200000</v>
      </c>
      <c r="I79" s="34" t="s">
        <v>2084</v>
      </c>
      <c r="J79" s="34" t="s">
        <v>2604</v>
      </c>
      <c r="K79" s="34"/>
      <c r="L79" s="34" t="s">
        <v>6064</v>
      </c>
      <c r="M79" s="35">
        <v>44839</v>
      </c>
      <c r="N79" s="188" t="s">
        <v>2087</v>
      </c>
      <c r="O79" s="304"/>
      <c r="P79" s="44" t="s">
        <v>1808</v>
      </c>
      <c r="Q79" s="465"/>
      <c r="R79" s="602" t="s">
        <v>6228</v>
      </c>
      <c r="S79" s="34" t="s">
        <v>2018</v>
      </c>
      <c r="T79" s="105"/>
      <c r="U79" s="34"/>
    </row>
    <row r="80" spans="1:21" ht="102">
      <c r="A80" s="44">
        <v>2022</v>
      </c>
      <c r="B80" s="462" t="s">
        <v>648</v>
      </c>
      <c r="C80" s="462" t="s">
        <v>61</v>
      </c>
      <c r="D80" s="462" t="s">
        <v>394</v>
      </c>
      <c r="E80" s="462"/>
      <c r="F80" s="734" t="s">
        <v>649</v>
      </c>
      <c r="G80" s="462" t="s">
        <v>650</v>
      </c>
      <c r="H80" s="735">
        <v>37075</v>
      </c>
      <c r="I80" s="462" t="s">
        <v>2084</v>
      </c>
      <c r="J80" s="462" t="s">
        <v>2604</v>
      </c>
      <c r="K80" s="462"/>
      <c r="L80" s="733" t="s">
        <v>6183</v>
      </c>
      <c r="M80" s="753">
        <v>44839</v>
      </c>
      <c r="N80" s="734" t="s">
        <v>2088</v>
      </c>
      <c r="O80" s="754"/>
      <c r="P80" s="44" t="s">
        <v>1808</v>
      </c>
      <c r="Q80" s="757"/>
      <c r="R80" s="739" t="s">
        <v>6222</v>
      </c>
      <c r="S80" s="462" t="s">
        <v>2018</v>
      </c>
      <c r="T80" s="105"/>
      <c r="U80" s="462"/>
    </row>
    <row r="81" spans="1:21" ht="76.5">
      <c r="A81" s="44">
        <v>2022</v>
      </c>
      <c r="B81" s="34" t="s">
        <v>2089</v>
      </c>
      <c r="C81" s="462" t="s">
        <v>61</v>
      </c>
      <c r="D81" s="34" t="s">
        <v>1383</v>
      </c>
      <c r="E81" s="34"/>
      <c r="F81" s="188" t="s">
        <v>11914</v>
      </c>
      <c r="G81" s="34" t="s">
        <v>1502</v>
      </c>
      <c r="H81" s="65">
        <v>200000</v>
      </c>
      <c r="I81" s="34"/>
      <c r="J81" s="34" t="s">
        <v>2449</v>
      </c>
      <c r="K81" s="34"/>
      <c r="L81" s="34" t="s">
        <v>6064</v>
      </c>
      <c r="M81" s="35">
        <v>44844</v>
      </c>
      <c r="N81" s="188" t="s">
        <v>11915</v>
      </c>
      <c r="O81" s="304"/>
      <c r="P81" s="44" t="s">
        <v>1808</v>
      </c>
      <c r="Q81" s="465"/>
      <c r="R81" s="602" t="s">
        <v>11916</v>
      </c>
      <c r="S81" s="34" t="s">
        <v>2018</v>
      </c>
      <c r="T81" s="105"/>
      <c r="U81" s="34"/>
    </row>
    <row r="82" spans="1:21" ht="12.75">
      <c r="A82" s="44">
        <v>2022</v>
      </c>
      <c r="B82" s="34" t="s">
        <v>1102</v>
      </c>
      <c r="C82" s="462" t="s">
        <v>61</v>
      </c>
      <c r="D82" s="44" t="s">
        <v>1099</v>
      </c>
      <c r="E82" s="44"/>
      <c r="F82" s="188" t="s">
        <v>1103</v>
      </c>
      <c r="G82" s="34" t="s">
        <v>1104</v>
      </c>
      <c r="H82" s="45">
        <v>186356</v>
      </c>
      <c r="I82" s="44" t="s">
        <v>2094</v>
      </c>
      <c r="J82" s="44" t="s">
        <v>6231</v>
      </c>
      <c r="K82" s="44" t="s">
        <v>1904</v>
      </c>
      <c r="L82" s="36"/>
      <c r="M82" s="742">
        <v>44846</v>
      </c>
      <c r="N82" s="607"/>
      <c r="O82" s="43"/>
      <c r="P82" s="44" t="s">
        <v>1808</v>
      </c>
      <c r="Q82" s="63"/>
      <c r="R82" s="34"/>
      <c r="S82" s="44" t="s">
        <v>2018</v>
      </c>
      <c r="T82" s="105"/>
      <c r="U82" s="44"/>
    </row>
    <row r="83" spans="1:21" ht="51">
      <c r="A83" s="44">
        <v>2022</v>
      </c>
      <c r="B83" s="462" t="s">
        <v>651</v>
      </c>
      <c r="C83" s="462" t="s">
        <v>61</v>
      </c>
      <c r="D83" s="462" t="s">
        <v>652</v>
      </c>
      <c r="E83" s="462"/>
      <c r="F83" s="734" t="s">
        <v>653</v>
      </c>
      <c r="G83" s="462" t="s">
        <v>654</v>
      </c>
      <c r="H83" s="735">
        <v>14793</v>
      </c>
      <c r="I83" s="462" t="s">
        <v>2095</v>
      </c>
      <c r="J83" s="462" t="s">
        <v>6193</v>
      </c>
      <c r="K83" s="462" t="s">
        <v>611</v>
      </c>
      <c r="L83" s="462" t="s">
        <v>6137</v>
      </c>
      <c r="M83" s="753">
        <v>44846</v>
      </c>
      <c r="N83" s="734"/>
      <c r="O83" s="754"/>
      <c r="P83" s="462" t="s">
        <v>5654</v>
      </c>
      <c r="Q83" s="765"/>
      <c r="R83" s="462"/>
      <c r="S83" s="462" t="s">
        <v>2018</v>
      </c>
      <c r="T83" s="105"/>
      <c r="U83" s="462"/>
    </row>
    <row r="84" spans="1:21" ht="51">
      <c r="A84" s="44">
        <v>2022</v>
      </c>
      <c r="B84" s="462" t="s">
        <v>655</v>
      </c>
      <c r="C84" s="462" t="s">
        <v>61</v>
      </c>
      <c r="D84" s="462" t="s">
        <v>1877</v>
      </c>
      <c r="E84" s="462"/>
      <c r="F84" s="734" t="s">
        <v>656</v>
      </c>
      <c r="G84" s="462" t="s">
        <v>657</v>
      </c>
      <c r="H84" s="735">
        <v>19555</v>
      </c>
      <c r="I84" s="462" t="s">
        <v>2096</v>
      </c>
      <c r="J84" s="462" t="s">
        <v>2476</v>
      </c>
      <c r="K84" s="34" t="s">
        <v>611</v>
      </c>
      <c r="L84" s="462" t="s">
        <v>6092</v>
      </c>
      <c r="M84" s="753">
        <v>44846</v>
      </c>
      <c r="N84" s="734" t="s">
        <v>11917</v>
      </c>
      <c r="O84" s="754"/>
      <c r="P84" s="462" t="s">
        <v>5654</v>
      </c>
      <c r="Q84" s="765"/>
      <c r="R84" s="462"/>
      <c r="S84" s="462" t="s">
        <v>2018</v>
      </c>
      <c r="T84" s="105"/>
      <c r="U84" s="462"/>
    </row>
    <row r="85" spans="1:21" ht="89.25">
      <c r="A85" s="44">
        <v>2022</v>
      </c>
      <c r="B85" s="462" t="s">
        <v>658</v>
      </c>
      <c r="C85" s="462" t="s">
        <v>61</v>
      </c>
      <c r="D85" s="462" t="s">
        <v>1877</v>
      </c>
      <c r="E85" s="462"/>
      <c r="F85" s="734" t="s">
        <v>659</v>
      </c>
      <c r="G85" s="462" t="s">
        <v>660</v>
      </c>
      <c r="H85" s="735">
        <v>194052.75</v>
      </c>
      <c r="I85" s="462" t="s">
        <v>2098</v>
      </c>
      <c r="J85" s="462" t="s">
        <v>6193</v>
      </c>
      <c r="K85" s="34" t="s">
        <v>611</v>
      </c>
      <c r="L85" s="462" t="s">
        <v>6104</v>
      </c>
      <c r="M85" s="753">
        <v>44846</v>
      </c>
      <c r="N85" s="734" t="s">
        <v>2099</v>
      </c>
      <c r="O85" s="754"/>
      <c r="P85" s="462" t="s">
        <v>5654</v>
      </c>
      <c r="Q85" s="765"/>
      <c r="R85" s="462"/>
      <c r="S85" s="462" t="s">
        <v>2018</v>
      </c>
      <c r="T85" s="105"/>
      <c r="U85" s="462"/>
    </row>
    <row r="86" spans="1:21" ht="89.25">
      <c r="A86" s="44">
        <v>2022</v>
      </c>
      <c r="B86" s="34" t="s">
        <v>667</v>
      </c>
      <c r="C86" s="462" t="s">
        <v>61</v>
      </c>
      <c r="D86" s="34" t="s">
        <v>125</v>
      </c>
      <c r="E86" s="34"/>
      <c r="F86" s="188" t="s">
        <v>668</v>
      </c>
      <c r="G86" s="34" t="s">
        <v>669</v>
      </c>
      <c r="H86" s="65">
        <v>2501824</v>
      </c>
      <c r="I86" s="34" t="s">
        <v>2100</v>
      </c>
      <c r="J86" s="34" t="s">
        <v>6185</v>
      </c>
      <c r="K86" s="34" t="s">
        <v>611</v>
      </c>
      <c r="L86" s="34" t="s">
        <v>6137</v>
      </c>
      <c r="M86" s="35">
        <v>44847</v>
      </c>
      <c r="N86" s="188" t="s">
        <v>11918</v>
      </c>
      <c r="O86" s="304"/>
      <c r="P86" s="34" t="s">
        <v>5654</v>
      </c>
      <c r="Q86" s="465"/>
      <c r="R86" s="604" t="s">
        <v>6237</v>
      </c>
      <c r="S86" s="34" t="s">
        <v>6208</v>
      </c>
      <c r="T86" s="105"/>
      <c r="U86" s="34"/>
    </row>
    <row r="87" spans="1:21" ht="12.75">
      <c r="A87" s="105"/>
      <c r="B87" s="34" t="s">
        <v>2102</v>
      </c>
      <c r="C87" s="34"/>
      <c r="D87" s="34"/>
      <c r="E87" s="34"/>
      <c r="F87" s="188"/>
      <c r="G87" s="34"/>
      <c r="H87" s="65"/>
      <c r="I87" s="34"/>
      <c r="J87" s="34"/>
      <c r="K87" s="34"/>
      <c r="L87" s="34"/>
      <c r="M87" s="35"/>
      <c r="N87" s="188"/>
      <c r="O87" s="304"/>
      <c r="P87" s="34"/>
      <c r="Q87" s="465"/>
      <c r="R87" s="34"/>
      <c r="S87" s="34"/>
      <c r="T87" s="105"/>
      <c r="U87" s="34"/>
    </row>
    <row r="88" spans="1:21" ht="127.5">
      <c r="A88" s="44">
        <v>2022</v>
      </c>
      <c r="B88" s="34" t="s">
        <v>1489</v>
      </c>
      <c r="C88" s="462" t="s">
        <v>61</v>
      </c>
      <c r="D88" s="34" t="s">
        <v>1383</v>
      </c>
      <c r="E88" s="34"/>
      <c r="F88" s="188" t="s">
        <v>1490</v>
      </c>
      <c r="G88" s="34" t="s">
        <v>1491</v>
      </c>
      <c r="H88" s="65">
        <v>200000</v>
      </c>
      <c r="I88" s="34"/>
      <c r="J88" s="34" t="s">
        <v>6231</v>
      </c>
      <c r="K88" s="34"/>
      <c r="L88" s="34" t="s">
        <v>6064</v>
      </c>
      <c r="M88" s="35">
        <v>44853</v>
      </c>
      <c r="N88" s="188" t="s">
        <v>2103</v>
      </c>
      <c r="O88" s="304"/>
      <c r="P88" s="44" t="s">
        <v>1808</v>
      </c>
      <c r="Q88" s="465"/>
      <c r="R88" s="602" t="s">
        <v>6238</v>
      </c>
      <c r="S88" s="34" t="s">
        <v>2018</v>
      </c>
      <c r="T88" s="105"/>
      <c r="U88" s="34"/>
    </row>
    <row r="89" spans="1:21" ht="191.25">
      <c r="A89" s="44">
        <v>2022</v>
      </c>
      <c r="B89" s="34" t="s">
        <v>1492</v>
      </c>
      <c r="C89" s="462" t="s">
        <v>61</v>
      </c>
      <c r="D89" s="34" t="s">
        <v>1383</v>
      </c>
      <c r="E89" s="34"/>
      <c r="F89" s="188" t="s">
        <v>1493</v>
      </c>
      <c r="G89" s="34" t="s">
        <v>2104</v>
      </c>
      <c r="H89" s="65">
        <v>1720880</v>
      </c>
      <c r="I89" s="34"/>
      <c r="J89" s="34" t="s">
        <v>1828</v>
      </c>
      <c r="K89" s="34"/>
      <c r="L89" s="34" t="s">
        <v>6064</v>
      </c>
      <c r="M89" s="35">
        <v>44853</v>
      </c>
      <c r="N89" s="188" t="s">
        <v>11919</v>
      </c>
      <c r="O89" s="304"/>
      <c r="P89" s="44" t="s">
        <v>1808</v>
      </c>
      <c r="Q89" s="465"/>
      <c r="R89" s="34"/>
      <c r="S89" s="34" t="s">
        <v>2018</v>
      </c>
      <c r="T89" s="105"/>
      <c r="U89" s="34"/>
    </row>
    <row r="90" spans="1:21" ht="102">
      <c r="A90" s="44">
        <v>2022</v>
      </c>
      <c r="B90" s="462" t="s">
        <v>661</v>
      </c>
      <c r="C90" s="462" t="s">
        <v>61</v>
      </c>
      <c r="D90" s="462" t="s">
        <v>1877</v>
      </c>
      <c r="E90" s="462"/>
      <c r="F90" s="734" t="s">
        <v>662</v>
      </c>
      <c r="G90" s="462" t="s">
        <v>663</v>
      </c>
      <c r="H90" s="735">
        <v>24430</v>
      </c>
      <c r="I90" s="462" t="s">
        <v>2106</v>
      </c>
      <c r="J90" s="462" t="s">
        <v>1879</v>
      </c>
      <c r="K90" s="34" t="s">
        <v>611</v>
      </c>
      <c r="L90" s="462" t="s">
        <v>6137</v>
      </c>
      <c r="M90" s="753">
        <v>44853</v>
      </c>
      <c r="N90" s="734" t="s">
        <v>2107</v>
      </c>
      <c r="O90" s="754"/>
      <c r="P90" s="462" t="s">
        <v>5654</v>
      </c>
      <c r="Q90" s="765"/>
      <c r="R90" s="739" t="s">
        <v>6235</v>
      </c>
      <c r="S90" s="462" t="s">
        <v>2018</v>
      </c>
      <c r="T90" s="105"/>
      <c r="U90" s="462"/>
    </row>
    <row r="91" spans="1:21" ht="140.25">
      <c r="A91" s="44">
        <v>2022</v>
      </c>
      <c r="B91" s="462" t="s">
        <v>664</v>
      </c>
      <c r="C91" s="462" t="s">
        <v>61</v>
      </c>
      <c r="D91" s="462" t="s">
        <v>1877</v>
      </c>
      <c r="E91" s="462"/>
      <c r="F91" s="734" t="s">
        <v>665</v>
      </c>
      <c r="G91" s="462" t="s">
        <v>666</v>
      </c>
      <c r="H91" s="735">
        <v>8500</v>
      </c>
      <c r="I91" s="462" t="s">
        <v>2108</v>
      </c>
      <c r="J91" s="462" t="s">
        <v>11920</v>
      </c>
      <c r="K91" s="34" t="s">
        <v>611</v>
      </c>
      <c r="L91" s="462" t="s">
        <v>6108</v>
      </c>
      <c r="M91" s="753">
        <v>44853</v>
      </c>
      <c r="N91" s="734" t="s">
        <v>2109</v>
      </c>
      <c r="O91" s="754"/>
      <c r="P91" s="462" t="s">
        <v>5650</v>
      </c>
      <c r="Q91" s="765"/>
      <c r="R91" s="739" t="s">
        <v>6236</v>
      </c>
      <c r="S91" s="462" t="s">
        <v>2018</v>
      </c>
      <c r="T91" s="105"/>
      <c r="U91" s="462"/>
    </row>
    <row r="92" spans="1:21" ht="102">
      <c r="A92" s="44">
        <v>2022</v>
      </c>
      <c r="B92" s="462" t="s">
        <v>670</v>
      </c>
      <c r="C92" s="462" t="s">
        <v>61</v>
      </c>
      <c r="D92" s="462" t="s">
        <v>1877</v>
      </c>
      <c r="E92" s="462"/>
      <c r="F92" s="734" t="s">
        <v>671</v>
      </c>
      <c r="G92" s="462" t="s">
        <v>672</v>
      </c>
      <c r="H92" s="735">
        <v>151700</v>
      </c>
      <c r="I92" s="462" t="s">
        <v>135</v>
      </c>
      <c r="J92" s="462" t="s">
        <v>1828</v>
      </c>
      <c r="K92" s="34" t="s">
        <v>611</v>
      </c>
      <c r="L92" s="462" t="s">
        <v>6170</v>
      </c>
      <c r="M92" s="753">
        <v>44853</v>
      </c>
      <c r="N92" s="734" t="s">
        <v>2110</v>
      </c>
      <c r="O92" s="754"/>
      <c r="P92" s="462" t="s">
        <v>5650</v>
      </c>
      <c r="Q92" s="765"/>
      <c r="R92" s="741" t="s">
        <v>6240</v>
      </c>
      <c r="S92" s="462" t="s">
        <v>2018</v>
      </c>
      <c r="T92" s="105"/>
      <c r="U92" s="462"/>
    </row>
    <row r="93" spans="1:21" ht="63.75">
      <c r="A93" s="44">
        <v>2022</v>
      </c>
      <c r="B93" s="34" t="s">
        <v>2111</v>
      </c>
      <c r="C93" s="462" t="s">
        <v>61</v>
      </c>
      <c r="D93" s="34" t="s">
        <v>586</v>
      </c>
      <c r="E93" s="34"/>
      <c r="F93" s="188" t="s">
        <v>587</v>
      </c>
      <c r="G93" s="34" t="s">
        <v>641</v>
      </c>
      <c r="H93" s="65">
        <v>5000</v>
      </c>
      <c r="I93" s="34" t="s">
        <v>2112</v>
      </c>
      <c r="J93" s="34" t="s">
        <v>1828</v>
      </c>
      <c r="K93" s="34" t="s">
        <v>611</v>
      </c>
      <c r="L93" s="34" t="s">
        <v>6092</v>
      </c>
      <c r="M93" s="35">
        <v>44860</v>
      </c>
      <c r="N93" s="188"/>
      <c r="O93" s="304"/>
      <c r="P93" s="34" t="s">
        <v>5654</v>
      </c>
      <c r="Q93" s="465"/>
      <c r="R93" s="604" t="s">
        <v>6245</v>
      </c>
      <c r="S93" s="34" t="s">
        <v>2018</v>
      </c>
      <c r="T93" s="105"/>
      <c r="U93" s="34"/>
    </row>
    <row r="94" spans="1:21" ht="76.5">
      <c r="A94" s="44">
        <v>2022</v>
      </c>
      <c r="B94" s="462" t="s">
        <v>673</v>
      </c>
      <c r="C94" s="462" t="s">
        <v>61</v>
      </c>
      <c r="D94" s="462" t="s">
        <v>1877</v>
      </c>
      <c r="E94" s="462"/>
      <c r="F94" s="734" t="s">
        <v>674</v>
      </c>
      <c r="G94" s="462" t="s">
        <v>675</v>
      </c>
      <c r="H94" s="735">
        <v>39600</v>
      </c>
      <c r="I94" s="462" t="s">
        <v>2116</v>
      </c>
      <c r="J94" s="462" t="s">
        <v>1879</v>
      </c>
      <c r="K94" s="34" t="s">
        <v>611</v>
      </c>
      <c r="L94" s="462" t="s">
        <v>6137</v>
      </c>
      <c r="M94" s="753">
        <v>44860</v>
      </c>
      <c r="N94" s="734" t="s">
        <v>2117</v>
      </c>
      <c r="O94" s="754">
        <v>60</v>
      </c>
      <c r="P94" s="462" t="s">
        <v>5654</v>
      </c>
      <c r="Q94" s="765"/>
      <c r="R94" s="741" t="s">
        <v>6242</v>
      </c>
      <c r="S94" s="462" t="s">
        <v>2018</v>
      </c>
      <c r="T94" s="105"/>
      <c r="U94" s="462"/>
    </row>
    <row r="95" spans="1:21" ht="63.75">
      <c r="A95" s="44">
        <v>2022</v>
      </c>
      <c r="B95" s="462" t="s">
        <v>676</v>
      </c>
      <c r="C95" s="462" t="s">
        <v>61</v>
      </c>
      <c r="D95" s="462" t="s">
        <v>1877</v>
      </c>
      <c r="E95" s="462"/>
      <c r="F95" s="734" t="s">
        <v>677</v>
      </c>
      <c r="G95" s="462" t="s">
        <v>678</v>
      </c>
      <c r="H95" s="735">
        <v>94130</v>
      </c>
      <c r="I95" s="462" t="s">
        <v>2118</v>
      </c>
      <c r="J95" s="462" t="s">
        <v>6193</v>
      </c>
      <c r="K95" s="34" t="s">
        <v>611</v>
      </c>
      <c r="L95" s="462" t="s">
        <v>6092</v>
      </c>
      <c r="M95" s="753">
        <v>44860</v>
      </c>
      <c r="N95" s="734" t="s">
        <v>2119</v>
      </c>
      <c r="O95" s="754"/>
      <c r="P95" s="462" t="s">
        <v>5654</v>
      </c>
      <c r="Q95" s="765"/>
      <c r="R95" s="741" t="s">
        <v>6244</v>
      </c>
      <c r="S95" s="462" t="s">
        <v>2018</v>
      </c>
      <c r="T95" s="105"/>
      <c r="U95" s="462"/>
    </row>
    <row r="96" spans="1:21" ht="102">
      <c r="A96" s="44">
        <v>2022</v>
      </c>
      <c r="B96" s="462" t="s">
        <v>679</v>
      </c>
      <c r="C96" s="462" t="s">
        <v>61</v>
      </c>
      <c r="D96" s="462" t="s">
        <v>1877</v>
      </c>
      <c r="E96" s="462"/>
      <c r="F96" s="734" t="s">
        <v>680</v>
      </c>
      <c r="G96" s="462" t="s">
        <v>681</v>
      </c>
      <c r="H96" s="735">
        <v>151870</v>
      </c>
      <c r="I96" s="462" t="s">
        <v>2120</v>
      </c>
      <c r="J96" s="462" t="s">
        <v>2604</v>
      </c>
      <c r="K96" s="34" t="s">
        <v>611</v>
      </c>
      <c r="L96" s="462" t="s">
        <v>6137</v>
      </c>
      <c r="M96" s="753">
        <v>44860</v>
      </c>
      <c r="N96" s="734" t="s">
        <v>2121</v>
      </c>
      <c r="O96" s="754"/>
      <c r="P96" s="462" t="s">
        <v>5654</v>
      </c>
      <c r="Q96" s="765"/>
      <c r="R96" s="741" t="s">
        <v>6248</v>
      </c>
      <c r="S96" s="462" t="s">
        <v>2018</v>
      </c>
      <c r="T96" s="105"/>
      <c r="U96" s="462"/>
    </row>
    <row r="97" spans="1:21" ht="63.75">
      <c r="A97" s="44">
        <v>2022</v>
      </c>
      <c r="B97" s="34" t="s">
        <v>1105</v>
      </c>
      <c r="C97" s="462" t="s">
        <v>61</v>
      </c>
      <c r="D97" s="34" t="s">
        <v>1099</v>
      </c>
      <c r="E97" s="34"/>
      <c r="F97" s="188" t="s">
        <v>1106</v>
      </c>
      <c r="G97" s="34" t="s">
        <v>1107</v>
      </c>
      <c r="H97" s="65">
        <v>50876.800000000003</v>
      </c>
      <c r="I97" s="34" t="s">
        <v>2122</v>
      </c>
      <c r="J97" s="34" t="s">
        <v>6224</v>
      </c>
      <c r="K97" s="44" t="s">
        <v>1904</v>
      </c>
      <c r="L97" s="34" t="s">
        <v>6108</v>
      </c>
      <c r="M97" s="35">
        <v>44875</v>
      </c>
      <c r="N97" s="188"/>
      <c r="O97" s="304"/>
      <c r="P97" s="34" t="s">
        <v>5654</v>
      </c>
      <c r="Q97" s="465"/>
      <c r="R97" s="604" t="s">
        <v>6252</v>
      </c>
      <c r="S97" s="34" t="s">
        <v>2018</v>
      </c>
      <c r="T97" s="105"/>
      <c r="U97" s="34"/>
    </row>
    <row r="98" spans="1:21" ht="63.75">
      <c r="A98" s="105"/>
      <c r="B98" s="34" t="s">
        <v>2123</v>
      </c>
      <c r="C98" s="34" t="s">
        <v>1883</v>
      </c>
      <c r="D98" s="34" t="s">
        <v>1877</v>
      </c>
      <c r="E98" s="34"/>
      <c r="F98" s="188" t="s">
        <v>2124</v>
      </c>
      <c r="G98" s="34" t="s">
        <v>2125</v>
      </c>
      <c r="H98" s="65"/>
      <c r="I98" s="34"/>
      <c r="J98" s="34" t="s">
        <v>2639</v>
      </c>
      <c r="K98" s="34"/>
      <c r="L98" s="34" t="s">
        <v>6253</v>
      </c>
      <c r="M98" s="35">
        <v>44875</v>
      </c>
      <c r="N98" s="188"/>
      <c r="O98" s="304"/>
      <c r="P98" s="34" t="s">
        <v>5654</v>
      </c>
      <c r="Q98" s="465"/>
      <c r="R98" s="34"/>
      <c r="S98" s="34" t="s">
        <v>2018</v>
      </c>
      <c r="T98" s="105"/>
      <c r="U98" s="34"/>
    </row>
    <row r="99" spans="1:21" ht="63.75">
      <c r="A99" s="44">
        <v>2022</v>
      </c>
      <c r="B99" s="462" t="s">
        <v>682</v>
      </c>
      <c r="C99" s="462" t="s">
        <v>61</v>
      </c>
      <c r="D99" s="9" t="s">
        <v>2230</v>
      </c>
      <c r="E99" s="44"/>
      <c r="F99" s="734" t="s">
        <v>683</v>
      </c>
      <c r="G99" s="462" t="s">
        <v>684</v>
      </c>
      <c r="H99" s="735">
        <v>73200</v>
      </c>
      <c r="I99" s="462" t="s">
        <v>2126</v>
      </c>
      <c r="J99" s="462" t="s">
        <v>6185</v>
      </c>
      <c r="K99" s="462"/>
      <c r="L99" s="462" t="s">
        <v>6170</v>
      </c>
      <c r="M99" s="753">
        <v>44875</v>
      </c>
      <c r="N99" s="734" t="s">
        <v>11921</v>
      </c>
      <c r="O99" s="754"/>
      <c r="P99" s="462" t="s">
        <v>5654</v>
      </c>
      <c r="Q99" s="765"/>
      <c r="R99" s="462"/>
      <c r="S99" s="462" t="s">
        <v>2018</v>
      </c>
      <c r="T99" s="105"/>
      <c r="U99" s="462"/>
    </row>
    <row r="100" spans="1:21" ht="38.25">
      <c r="A100" s="44">
        <v>2022</v>
      </c>
      <c r="B100" s="34" t="s">
        <v>1108</v>
      </c>
      <c r="C100" s="462" t="s">
        <v>61</v>
      </c>
      <c r="D100" s="34" t="s">
        <v>62</v>
      </c>
      <c r="E100" s="34"/>
      <c r="F100" s="188" t="s">
        <v>1109</v>
      </c>
      <c r="G100" s="34" t="s">
        <v>1110</v>
      </c>
      <c r="H100" s="65">
        <v>1534670</v>
      </c>
      <c r="I100" s="34" t="s">
        <v>2128</v>
      </c>
      <c r="J100" s="34" t="s">
        <v>2639</v>
      </c>
      <c r="K100" s="44" t="s">
        <v>1904</v>
      </c>
      <c r="L100" s="34" t="s">
        <v>6170</v>
      </c>
      <c r="M100" s="35">
        <v>44881</v>
      </c>
      <c r="N100" s="188"/>
      <c r="O100" s="304"/>
      <c r="P100" s="34" t="s">
        <v>5654</v>
      </c>
      <c r="Q100" s="465"/>
      <c r="R100" s="34"/>
      <c r="S100" s="34" t="s">
        <v>2018</v>
      </c>
      <c r="T100" s="105"/>
      <c r="U100" s="34"/>
    </row>
    <row r="101" spans="1:21" ht="89.25">
      <c r="A101" s="44">
        <v>2022</v>
      </c>
      <c r="B101" s="34" t="s">
        <v>1494</v>
      </c>
      <c r="C101" s="462" t="s">
        <v>61</v>
      </c>
      <c r="D101" s="34" t="s">
        <v>1383</v>
      </c>
      <c r="E101" s="34"/>
      <c r="F101" s="188" t="s">
        <v>1495</v>
      </c>
      <c r="G101" s="34" t="s">
        <v>1496</v>
      </c>
      <c r="H101" s="65">
        <v>300000</v>
      </c>
      <c r="I101" s="34" t="s">
        <v>2129</v>
      </c>
      <c r="J101" s="34" t="s">
        <v>11922</v>
      </c>
      <c r="K101" s="34"/>
      <c r="L101" s="34" t="s">
        <v>6064</v>
      </c>
      <c r="M101" s="35">
        <v>44881</v>
      </c>
      <c r="N101" s="188" t="s">
        <v>2131</v>
      </c>
      <c r="O101" s="304"/>
      <c r="P101" s="34" t="s">
        <v>5654</v>
      </c>
      <c r="Q101" s="465"/>
      <c r="R101" s="34"/>
      <c r="S101" s="34" t="s">
        <v>2018</v>
      </c>
      <c r="T101" s="105"/>
      <c r="U101" s="34"/>
    </row>
    <row r="102" spans="1:21" ht="25.5">
      <c r="A102" s="105"/>
      <c r="B102" s="34" t="s">
        <v>2132</v>
      </c>
      <c r="C102" s="34" t="s">
        <v>1883</v>
      </c>
      <c r="D102" s="34" t="s">
        <v>1383</v>
      </c>
      <c r="E102" s="34"/>
      <c r="F102" s="188" t="s">
        <v>2133</v>
      </c>
      <c r="G102" s="34" t="s">
        <v>2104</v>
      </c>
      <c r="H102" s="65"/>
      <c r="I102" s="34"/>
      <c r="J102" s="34" t="s">
        <v>1828</v>
      </c>
      <c r="K102" s="34"/>
      <c r="L102" s="34"/>
      <c r="M102" s="35">
        <v>44881</v>
      </c>
      <c r="N102" s="188"/>
      <c r="O102" s="304"/>
      <c r="P102" s="44" t="s">
        <v>1808</v>
      </c>
      <c r="Q102" s="465"/>
      <c r="R102" s="34"/>
      <c r="S102" s="34" t="s">
        <v>2018</v>
      </c>
      <c r="T102" s="105"/>
      <c r="U102" s="34"/>
    </row>
    <row r="103" spans="1:21" ht="25.5">
      <c r="A103" s="105"/>
      <c r="B103" s="34" t="s">
        <v>2134</v>
      </c>
      <c r="C103" s="34" t="s">
        <v>1883</v>
      </c>
      <c r="D103" s="34" t="s">
        <v>1383</v>
      </c>
      <c r="E103" s="34"/>
      <c r="F103" s="188" t="s">
        <v>2135</v>
      </c>
      <c r="G103" s="34" t="s">
        <v>2104</v>
      </c>
      <c r="H103" s="65"/>
      <c r="I103" s="34"/>
      <c r="J103" s="34" t="s">
        <v>1828</v>
      </c>
      <c r="K103" s="34"/>
      <c r="L103" s="34"/>
      <c r="M103" s="35">
        <v>44886</v>
      </c>
      <c r="N103" s="188"/>
      <c r="O103" s="304"/>
      <c r="P103" s="44" t="s">
        <v>1808</v>
      </c>
      <c r="Q103" s="465"/>
      <c r="R103" s="34"/>
      <c r="S103" s="34" t="s">
        <v>2018</v>
      </c>
      <c r="T103" s="105"/>
      <c r="U103" s="34"/>
    </row>
    <row r="104" spans="1:21" ht="76.5">
      <c r="A104" s="44">
        <v>2022</v>
      </c>
      <c r="B104" s="34" t="s">
        <v>576</v>
      </c>
      <c r="C104" s="462" t="s">
        <v>61</v>
      </c>
      <c r="D104" s="34" t="s">
        <v>125</v>
      </c>
      <c r="E104" s="34"/>
      <c r="F104" s="188" t="s">
        <v>577</v>
      </c>
      <c r="G104" s="34" t="s">
        <v>578</v>
      </c>
      <c r="H104" s="65">
        <v>2353196</v>
      </c>
      <c r="I104" s="34" t="s">
        <v>1875</v>
      </c>
      <c r="J104" s="34" t="s">
        <v>1828</v>
      </c>
      <c r="K104" s="34" t="s">
        <v>611</v>
      </c>
      <c r="L104" s="34" t="s">
        <v>6085</v>
      </c>
      <c r="M104" s="35">
        <v>44881</v>
      </c>
      <c r="N104" s="188" t="s">
        <v>1876</v>
      </c>
      <c r="O104" s="43"/>
      <c r="P104" s="44" t="s">
        <v>5654</v>
      </c>
      <c r="Q104" s="465"/>
      <c r="R104" s="604" t="s">
        <v>6084</v>
      </c>
      <c r="S104" s="34" t="s">
        <v>5334</v>
      </c>
      <c r="T104" s="105"/>
      <c r="U104" s="34"/>
    </row>
    <row r="105" spans="1:21" ht="63.75">
      <c r="A105" s="44">
        <v>2022</v>
      </c>
      <c r="B105" s="767" t="s">
        <v>685</v>
      </c>
      <c r="C105" s="462" t="s">
        <v>61</v>
      </c>
      <c r="D105" s="17" t="s">
        <v>1877</v>
      </c>
      <c r="E105" s="768"/>
      <c r="F105" s="769" t="s">
        <v>686</v>
      </c>
      <c r="G105" s="733" t="s">
        <v>520</v>
      </c>
      <c r="H105" s="455">
        <v>199890</v>
      </c>
      <c r="I105" s="462" t="s">
        <v>1878</v>
      </c>
      <c r="J105" s="462" t="s">
        <v>1879</v>
      </c>
      <c r="K105" s="34" t="s">
        <v>611</v>
      </c>
      <c r="L105" s="462" t="s">
        <v>6170</v>
      </c>
      <c r="M105" s="770">
        <v>44896</v>
      </c>
      <c r="N105" s="771" t="s">
        <v>11923</v>
      </c>
      <c r="O105" s="754"/>
      <c r="P105" s="462" t="s">
        <v>5654</v>
      </c>
      <c r="Q105" s="772"/>
      <c r="R105" s="773" t="s">
        <v>6250</v>
      </c>
      <c r="S105" s="462"/>
      <c r="T105" s="105"/>
      <c r="U105" s="462"/>
    </row>
    <row r="106" spans="1:21" ht="63.75">
      <c r="A106" s="44">
        <v>2022</v>
      </c>
      <c r="B106" s="34" t="s">
        <v>687</v>
      </c>
      <c r="C106" s="462" t="s">
        <v>61</v>
      </c>
      <c r="D106" s="34" t="s">
        <v>652</v>
      </c>
      <c r="E106" s="34"/>
      <c r="F106" s="774" t="s">
        <v>688</v>
      </c>
      <c r="G106" s="34" t="s">
        <v>689</v>
      </c>
      <c r="H106" s="65">
        <v>18425</v>
      </c>
      <c r="I106" s="34" t="s">
        <v>1881</v>
      </c>
      <c r="J106" s="34" t="s">
        <v>1879</v>
      </c>
      <c r="K106" s="34"/>
      <c r="L106" s="34" t="s">
        <v>6170</v>
      </c>
      <c r="M106" s="775">
        <v>44896</v>
      </c>
      <c r="N106" s="188" t="s">
        <v>11924</v>
      </c>
      <c r="O106" s="304"/>
      <c r="P106" s="34" t="s">
        <v>5650</v>
      </c>
      <c r="Q106" s="743" t="s">
        <v>6254</v>
      </c>
      <c r="R106" s="604" t="s">
        <v>6255</v>
      </c>
      <c r="S106" s="34"/>
      <c r="T106" s="105"/>
      <c r="U106" s="34"/>
    </row>
    <row r="107" spans="1:21" ht="38.25">
      <c r="A107" s="105"/>
      <c r="B107" s="776" t="s">
        <v>585</v>
      </c>
      <c r="C107" s="34" t="s">
        <v>1926</v>
      </c>
      <c r="D107" s="34" t="s">
        <v>586</v>
      </c>
      <c r="E107" s="34"/>
      <c r="F107" s="188" t="s">
        <v>1884</v>
      </c>
      <c r="G107" s="34"/>
      <c r="H107" s="65" t="s">
        <v>22</v>
      </c>
      <c r="I107" s="34"/>
      <c r="J107" s="34"/>
      <c r="K107" s="34"/>
      <c r="L107" s="34" t="s">
        <v>6092</v>
      </c>
      <c r="M107" s="35">
        <v>44907</v>
      </c>
      <c r="N107" s="188"/>
      <c r="O107" s="304"/>
      <c r="P107" s="44" t="s">
        <v>1808</v>
      </c>
      <c r="Q107" s="465"/>
      <c r="R107" s="604" t="s">
        <v>6091</v>
      </c>
      <c r="S107" s="34"/>
      <c r="T107" s="105"/>
      <c r="U107" s="34"/>
    </row>
    <row r="108" spans="1:21" ht="255">
      <c r="A108" s="44">
        <v>2022</v>
      </c>
      <c r="B108" s="34" t="s">
        <v>589</v>
      </c>
      <c r="C108" s="462" t="s">
        <v>61</v>
      </c>
      <c r="D108" s="34" t="s">
        <v>125</v>
      </c>
      <c r="E108" s="34"/>
      <c r="F108" s="188" t="s">
        <v>590</v>
      </c>
      <c r="G108" s="34" t="s">
        <v>1888</v>
      </c>
      <c r="H108" s="65">
        <v>2995096</v>
      </c>
      <c r="I108" s="34" t="s">
        <v>1889</v>
      </c>
      <c r="J108" s="34"/>
      <c r="K108" s="34" t="s">
        <v>611</v>
      </c>
      <c r="L108" s="34" t="s">
        <v>6071</v>
      </c>
      <c r="M108" s="35">
        <v>44909</v>
      </c>
      <c r="N108" s="188" t="s">
        <v>1890</v>
      </c>
      <c r="O108" s="304"/>
      <c r="P108" s="34" t="s">
        <v>5650</v>
      </c>
      <c r="Q108" s="743" t="s">
        <v>6096</v>
      </c>
      <c r="R108" s="34"/>
      <c r="S108" s="34"/>
      <c r="T108" s="105"/>
      <c r="U108" s="34"/>
    </row>
    <row r="109" spans="1:21" ht="89.25">
      <c r="A109" s="44">
        <v>2022</v>
      </c>
      <c r="B109" s="34" t="s">
        <v>592</v>
      </c>
      <c r="C109" s="462" t="s">
        <v>61</v>
      </c>
      <c r="D109" s="34" t="s">
        <v>125</v>
      </c>
      <c r="E109" s="34"/>
      <c r="F109" s="188" t="s">
        <v>593</v>
      </c>
      <c r="G109" s="34" t="s">
        <v>594</v>
      </c>
      <c r="H109" s="65">
        <v>2692520</v>
      </c>
      <c r="I109" s="34" t="s">
        <v>6098</v>
      </c>
      <c r="J109" s="34" t="s">
        <v>1828</v>
      </c>
      <c r="K109" s="34" t="s">
        <v>611</v>
      </c>
      <c r="L109" s="34" t="s">
        <v>6085</v>
      </c>
      <c r="M109" s="35">
        <v>44909</v>
      </c>
      <c r="N109" s="188" t="s">
        <v>6099</v>
      </c>
      <c r="O109" s="304"/>
      <c r="P109" s="34" t="s">
        <v>5654</v>
      </c>
      <c r="Q109" s="743" t="s">
        <v>6100</v>
      </c>
      <c r="R109" s="604" t="s">
        <v>6101</v>
      </c>
      <c r="S109" s="34"/>
      <c r="T109" s="105"/>
      <c r="U109" s="34"/>
    </row>
    <row r="110" spans="1:21" ht="89.25">
      <c r="A110" s="44">
        <v>2022</v>
      </c>
      <c r="B110" s="776" t="s">
        <v>595</v>
      </c>
      <c r="C110" s="462" t="s">
        <v>61</v>
      </c>
      <c r="D110" s="34" t="s">
        <v>125</v>
      </c>
      <c r="E110" s="34"/>
      <c r="F110" s="188" t="s">
        <v>596</v>
      </c>
      <c r="G110" s="34" t="s">
        <v>597</v>
      </c>
      <c r="H110" s="65">
        <v>1450894</v>
      </c>
      <c r="I110" s="34" t="s">
        <v>1895</v>
      </c>
      <c r="J110" s="34" t="s">
        <v>11925</v>
      </c>
      <c r="K110" s="34" t="s">
        <v>611</v>
      </c>
      <c r="L110" s="34" t="s">
        <v>6104</v>
      </c>
      <c r="M110" s="34" t="s">
        <v>1894</v>
      </c>
      <c r="N110" s="188" t="s">
        <v>1897</v>
      </c>
      <c r="O110" s="304"/>
      <c r="P110" s="34" t="s">
        <v>5650</v>
      </c>
      <c r="Q110" s="743" t="s">
        <v>6102</v>
      </c>
      <c r="R110" s="604" t="s">
        <v>6103</v>
      </c>
      <c r="S110" s="34"/>
      <c r="T110" s="105"/>
      <c r="U110" s="34"/>
    </row>
    <row r="111" spans="1:21" ht="89.25">
      <c r="A111" s="44">
        <v>2022</v>
      </c>
      <c r="B111" s="776" t="s">
        <v>598</v>
      </c>
      <c r="C111" s="462" t="s">
        <v>61</v>
      </c>
      <c r="D111" s="34" t="s">
        <v>125</v>
      </c>
      <c r="E111" s="34"/>
      <c r="F111" s="188" t="s">
        <v>599</v>
      </c>
      <c r="G111" s="34" t="s">
        <v>600</v>
      </c>
      <c r="H111" s="65">
        <v>1780736</v>
      </c>
      <c r="I111" s="34" t="s">
        <v>1898</v>
      </c>
      <c r="J111" s="34" t="s">
        <v>11908</v>
      </c>
      <c r="K111" s="34" t="s">
        <v>611</v>
      </c>
      <c r="L111" s="34" t="s">
        <v>6104</v>
      </c>
      <c r="M111" s="34" t="s">
        <v>1894</v>
      </c>
      <c r="N111" s="188" t="s">
        <v>1900</v>
      </c>
      <c r="O111" s="304"/>
      <c r="P111" s="34" t="s">
        <v>5654</v>
      </c>
      <c r="Q111" s="743" t="s">
        <v>6105</v>
      </c>
      <c r="R111" s="604" t="s">
        <v>6106</v>
      </c>
      <c r="S111" s="34"/>
      <c r="T111" s="105"/>
      <c r="U111" s="34"/>
    </row>
    <row r="112" spans="1:21" ht="76.5">
      <c r="A112" s="44">
        <v>2022</v>
      </c>
      <c r="B112" s="34" t="s">
        <v>601</v>
      </c>
      <c r="C112" s="462" t="s">
        <v>61</v>
      </c>
      <c r="D112" s="34" t="s">
        <v>125</v>
      </c>
      <c r="E112" s="34"/>
      <c r="F112" s="188" t="s">
        <v>602</v>
      </c>
      <c r="G112" s="34" t="s">
        <v>591</v>
      </c>
      <c r="H112" s="65">
        <v>2802604</v>
      </c>
      <c r="I112" s="34" t="s">
        <v>1902</v>
      </c>
      <c r="J112" s="34" t="s">
        <v>1828</v>
      </c>
      <c r="K112" s="34" t="s">
        <v>611</v>
      </c>
      <c r="L112" s="34" t="s">
        <v>6108</v>
      </c>
      <c r="M112" s="34" t="s">
        <v>1901</v>
      </c>
      <c r="N112" s="188" t="s">
        <v>1903</v>
      </c>
      <c r="O112" s="304"/>
      <c r="P112" s="34" t="s">
        <v>5650</v>
      </c>
      <c r="Q112" s="743" t="s">
        <v>6105</v>
      </c>
      <c r="R112" s="604" t="s">
        <v>6107</v>
      </c>
      <c r="S112" s="34"/>
      <c r="T112" s="105"/>
      <c r="U112" s="34"/>
    </row>
    <row r="113" spans="1:21" ht="114.75">
      <c r="A113" s="44">
        <v>2022</v>
      </c>
      <c r="B113" s="34" t="s">
        <v>75</v>
      </c>
      <c r="C113" s="462" t="s">
        <v>61</v>
      </c>
      <c r="D113" s="34" t="s">
        <v>76</v>
      </c>
      <c r="E113" s="34"/>
      <c r="F113" s="188" t="s">
        <v>78</v>
      </c>
      <c r="G113" s="34" t="s">
        <v>79</v>
      </c>
      <c r="H113" s="65">
        <v>1083679</v>
      </c>
      <c r="I113" s="34" t="s">
        <v>1905</v>
      </c>
      <c r="J113" s="34" t="s">
        <v>2655</v>
      </c>
      <c r="K113" s="44" t="s">
        <v>1904</v>
      </c>
      <c r="L113" s="34" t="s">
        <v>6092</v>
      </c>
      <c r="M113" s="34" t="s">
        <v>77</v>
      </c>
      <c r="N113" s="188" t="s">
        <v>1906</v>
      </c>
      <c r="O113" s="304"/>
      <c r="P113" s="34" t="s">
        <v>5654</v>
      </c>
      <c r="Q113" s="743" t="s">
        <v>6109</v>
      </c>
      <c r="R113" s="604" t="s">
        <v>6110</v>
      </c>
      <c r="S113" s="34"/>
      <c r="T113" s="105"/>
      <c r="U113" s="34"/>
    </row>
    <row r="114" spans="1:21" ht="63.75">
      <c r="A114" s="44">
        <v>2022</v>
      </c>
      <c r="B114" s="461" t="s">
        <v>690</v>
      </c>
      <c r="C114" s="462" t="s">
        <v>61</v>
      </c>
      <c r="D114" s="34" t="s">
        <v>125</v>
      </c>
      <c r="E114" s="34"/>
      <c r="F114" s="463" t="s">
        <v>691</v>
      </c>
      <c r="G114" s="461" t="s">
        <v>692</v>
      </c>
      <c r="H114" s="65">
        <v>7155412</v>
      </c>
      <c r="I114" s="34" t="s">
        <v>2136</v>
      </c>
      <c r="J114" s="34" t="s">
        <v>11926</v>
      </c>
      <c r="K114" s="34" t="s">
        <v>611</v>
      </c>
      <c r="L114" s="34" t="s">
        <v>6137</v>
      </c>
      <c r="M114" s="35"/>
      <c r="N114" s="463"/>
      <c r="O114" s="304">
        <v>62</v>
      </c>
      <c r="P114" s="34" t="s">
        <v>5654</v>
      </c>
      <c r="Q114" s="465"/>
      <c r="R114" s="461"/>
      <c r="S114" s="34"/>
      <c r="T114" s="105"/>
      <c r="U114" s="34"/>
    </row>
    <row r="115" spans="1:21" ht="51">
      <c r="A115" s="44">
        <v>2022</v>
      </c>
      <c r="B115" s="461" t="s">
        <v>690</v>
      </c>
      <c r="C115" s="462" t="s">
        <v>61</v>
      </c>
      <c r="D115" s="34" t="s">
        <v>125</v>
      </c>
      <c r="E115" s="34"/>
      <c r="F115" s="463" t="s">
        <v>11927</v>
      </c>
      <c r="G115" s="461" t="s">
        <v>694</v>
      </c>
      <c r="H115" s="464">
        <v>3897512</v>
      </c>
      <c r="I115" s="34" t="s">
        <v>2137</v>
      </c>
      <c r="J115" s="34" t="s">
        <v>11925</v>
      </c>
      <c r="K115" s="34" t="s">
        <v>611</v>
      </c>
      <c r="L115" s="34" t="s">
        <v>6108</v>
      </c>
      <c r="M115" s="35"/>
      <c r="N115" s="463"/>
      <c r="O115" s="304"/>
      <c r="P115" s="34" t="s">
        <v>5654</v>
      </c>
      <c r="Q115" s="465"/>
      <c r="R115" s="461"/>
      <c r="S115" s="34"/>
      <c r="T115" s="105"/>
      <c r="U115" s="34"/>
    </row>
    <row r="116" spans="1:21" ht="51">
      <c r="A116" s="44">
        <v>2022</v>
      </c>
      <c r="B116" s="461" t="s">
        <v>690</v>
      </c>
      <c r="C116" s="462" t="s">
        <v>61</v>
      </c>
      <c r="D116" s="34" t="s">
        <v>125</v>
      </c>
      <c r="E116" s="34"/>
      <c r="F116" s="463" t="s">
        <v>695</v>
      </c>
      <c r="G116" s="461" t="s">
        <v>696</v>
      </c>
      <c r="H116" s="464">
        <v>4161535.59</v>
      </c>
      <c r="I116" s="34" t="s">
        <v>2138</v>
      </c>
      <c r="J116" s="34" t="s">
        <v>1828</v>
      </c>
      <c r="K116" s="34" t="s">
        <v>611</v>
      </c>
      <c r="L116" s="34"/>
      <c r="M116" s="35"/>
      <c r="N116" s="463"/>
      <c r="O116" s="304"/>
      <c r="P116" s="34" t="s">
        <v>5654</v>
      </c>
      <c r="Q116" s="465"/>
      <c r="R116" s="461"/>
      <c r="S116" s="34"/>
      <c r="T116" s="105"/>
      <c r="U116" s="34"/>
    </row>
    <row r="117" spans="1:21" ht="114.75">
      <c r="A117" s="44">
        <v>2022</v>
      </c>
      <c r="B117" s="462" t="s">
        <v>2089</v>
      </c>
      <c r="C117" s="462" t="s">
        <v>61</v>
      </c>
      <c r="D117" s="34" t="s">
        <v>1500</v>
      </c>
      <c r="E117" s="34"/>
      <c r="F117" s="188" t="s">
        <v>2090</v>
      </c>
      <c r="G117" s="34" t="s">
        <v>1502</v>
      </c>
      <c r="H117" s="65">
        <v>200000</v>
      </c>
      <c r="I117" s="34" t="s">
        <v>2091</v>
      </c>
      <c r="J117" s="777" t="s">
        <v>6198</v>
      </c>
      <c r="K117" s="34"/>
      <c r="L117" s="34" t="s">
        <v>82</v>
      </c>
      <c r="M117" s="35">
        <v>44844</v>
      </c>
      <c r="N117" s="188" t="s">
        <v>2092</v>
      </c>
      <c r="O117" s="304"/>
      <c r="P117" s="34" t="s">
        <v>1808</v>
      </c>
      <c r="Q117" s="188"/>
      <c r="R117" s="34"/>
      <c r="S117" s="34" t="s">
        <v>1824</v>
      </c>
      <c r="T117" s="105"/>
      <c r="U117" s="34"/>
    </row>
    <row r="118" spans="1:21" ht="127.5">
      <c r="A118" s="44">
        <v>2022</v>
      </c>
      <c r="B118" s="462" t="s">
        <v>1489</v>
      </c>
      <c r="C118" s="462" t="s">
        <v>61</v>
      </c>
      <c r="D118" s="34" t="s">
        <v>1500</v>
      </c>
      <c r="E118" s="34"/>
      <c r="F118" s="188" t="s">
        <v>11928</v>
      </c>
      <c r="G118" s="34" t="s">
        <v>1491</v>
      </c>
      <c r="H118" s="65">
        <v>200000</v>
      </c>
      <c r="I118" s="34"/>
      <c r="J118" s="777" t="s">
        <v>6231</v>
      </c>
      <c r="K118" s="34"/>
      <c r="L118" s="34" t="s">
        <v>82</v>
      </c>
      <c r="M118" s="35">
        <v>44853</v>
      </c>
      <c r="N118" s="188" t="s">
        <v>11929</v>
      </c>
      <c r="O118" s="304"/>
      <c r="P118" s="34" t="s">
        <v>1808</v>
      </c>
      <c r="Q118" s="188"/>
      <c r="R118" s="34"/>
      <c r="S118" s="34" t="s">
        <v>1824</v>
      </c>
      <c r="T118" s="105"/>
      <c r="U118" s="34"/>
    </row>
    <row r="119" spans="1:21" ht="76.5">
      <c r="A119" s="9">
        <v>2022</v>
      </c>
      <c r="B119" s="112" t="s">
        <v>661</v>
      </c>
      <c r="C119" s="112" t="s">
        <v>61</v>
      </c>
      <c r="D119" s="6" t="s">
        <v>1877</v>
      </c>
      <c r="E119" s="6"/>
      <c r="F119" s="22" t="s">
        <v>11930</v>
      </c>
      <c r="G119" s="6" t="s">
        <v>11931</v>
      </c>
      <c r="H119" s="8">
        <v>24300</v>
      </c>
      <c r="I119" s="6" t="s">
        <v>2106</v>
      </c>
      <c r="J119" s="6" t="s">
        <v>2474</v>
      </c>
      <c r="K119" s="6"/>
      <c r="L119" s="6"/>
      <c r="M119" s="7">
        <v>44853</v>
      </c>
      <c r="N119" s="22" t="s">
        <v>11932</v>
      </c>
      <c r="O119" s="179"/>
      <c r="P119" s="6" t="s">
        <v>5654</v>
      </c>
      <c r="Q119" s="22"/>
      <c r="R119" s="6"/>
      <c r="S119" s="6"/>
      <c r="T119" s="54"/>
      <c r="U119" s="6"/>
    </row>
    <row r="120" spans="1:21" ht="89.25">
      <c r="A120" s="9">
        <v>2022</v>
      </c>
      <c r="B120" s="112" t="s">
        <v>664</v>
      </c>
      <c r="C120" s="112" t="s">
        <v>61</v>
      </c>
      <c r="D120" s="6" t="s">
        <v>1877</v>
      </c>
      <c r="E120" s="6"/>
      <c r="F120" s="22" t="s">
        <v>11933</v>
      </c>
      <c r="G120" s="6" t="s">
        <v>11934</v>
      </c>
      <c r="H120" s="8">
        <v>8500</v>
      </c>
      <c r="I120" s="6" t="s">
        <v>11935</v>
      </c>
      <c r="J120" s="6" t="s">
        <v>2639</v>
      </c>
      <c r="K120" s="6"/>
      <c r="L120" s="6"/>
      <c r="M120" s="7">
        <v>44853</v>
      </c>
      <c r="N120" s="22" t="s">
        <v>11936</v>
      </c>
      <c r="O120" s="179"/>
      <c r="P120" s="6" t="s">
        <v>5650</v>
      </c>
      <c r="Q120" s="22"/>
      <c r="R120" s="6"/>
      <c r="S120" s="6"/>
      <c r="T120" s="54"/>
      <c r="U120" s="6"/>
    </row>
    <row r="121" spans="1:21" ht="89.25">
      <c r="A121" s="9">
        <v>2022</v>
      </c>
      <c r="B121" s="112" t="s">
        <v>670</v>
      </c>
      <c r="C121" s="112" t="s">
        <v>61</v>
      </c>
      <c r="D121" s="6" t="s">
        <v>1877</v>
      </c>
      <c r="E121" s="6"/>
      <c r="F121" s="22" t="s">
        <v>671</v>
      </c>
      <c r="G121" s="6" t="s">
        <v>11937</v>
      </c>
      <c r="H121" s="8">
        <v>151700</v>
      </c>
      <c r="I121" s="6" t="s">
        <v>135</v>
      </c>
      <c r="J121" s="6" t="s">
        <v>1828</v>
      </c>
      <c r="K121" s="6"/>
      <c r="L121" s="6"/>
      <c r="M121" s="7">
        <v>44853</v>
      </c>
      <c r="N121" s="22" t="s">
        <v>11938</v>
      </c>
      <c r="O121" s="179"/>
      <c r="P121" s="6" t="s">
        <v>5650</v>
      </c>
      <c r="Q121" s="22"/>
      <c r="R121" s="6"/>
      <c r="S121" s="6"/>
      <c r="T121" s="54"/>
      <c r="U121" s="6"/>
    </row>
    <row r="122" spans="1:21" ht="127.5">
      <c r="A122" s="9">
        <v>2022</v>
      </c>
      <c r="B122" s="112" t="s">
        <v>2111</v>
      </c>
      <c r="C122" s="112" t="s">
        <v>61</v>
      </c>
      <c r="D122" s="6" t="s">
        <v>586</v>
      </c>
      <c r="E122" s="6"/>
      <c r="F122" s="22" t="s">
        <v>2114</v>
      </c>
      <c r="G122" s="6" t="s">
        <v>588</v>
      </c>
      <c r="H122" s="8">
        <v>5000</v>
      </c>
      <c r="I122" s="6" t="s">
        <v>2112</v>
      </c>
      <c r="J122" s="6" t="s">
        <v>6246</v>
      </c>
      <c r="K122" s="6"/>
      <c r="L122" s="6"/>
      <c r="M122" s="7">
        <v>44860</v>
      </c>
      <c r="N122" s="22" t="s">
        <v>2115</v>
      </c>
      <c r="O122" s="179"/>
      <c r="P122" s="6" t="s">
        <v>5654</v>
      </c>
      <c r="Q122" s="22"/>
      <c r="R122" s="6"/>
      <c r="S122" s="6"/>
      <c r="T122" s="54"/>
      <c r="U122" s="6"/>
    </row>
    <row r="123" spans="1:21" ht="89.25">
      <c r="A123" s="9">
        <v>2022</v>
      </c>
      <c r="B123" s="112" t="s">
        <v>673</v>
      </c>
      <c r="C123" s="112" t="s">
        <v>61</v>
      </c>
      <c r="D123" s="6" t="s">
        <v>1877</v>
      </c>
      <c r="E123" s="6"/>
      <c r="F123" s="22" t="s">
        <v>11939</v>
      </c>
      <c r="G123" s="6" t="s">
        <v>11940</v>
      </c>
      <c r="H123" s="8">
        <v>39600</v>
      </c>
      <c r="I123" s="6" t="s">
        <v>2116</v>
      </c>
      <c r="J123" s="6" t="s">
        <v>2474</v>
      </c>
      <c r="K123" s="6"/>
      <c r="L123" s="6"/>
      <c r="M123" s="7">
        <v>44860</v>
      </c>
      <c r="N123" s="22" t="s">
        <v>11941</v>
      </c>
      <c r="O123" s="179"/>
      <c r="P123" s="6" t="s">
        <v>5654</v>
      </c>
      <c r="Q123" s="22"/>
      <c r="R123" s="6"/>
      <c r="S123" s="6"/>
      <c r="T123" s="54"/>
      <c r="U123" s="6"/>
    </row>
    <row r="124" spans="1:21" ht="127.5">
      <c r="A124" s="9">
        <v>2022</v>
      </c>
      <c r="B124" s="112" t="s">
        <v>676</v>
      </c>
      <c r="C124" s="112" t="s">
        <v>61</v>
      </c>
      <c r="D124" s="6" t="s">
        <v>1877</v>
      </c>
      <c r="E124" s="6"/>
      <c r="F124" s="22" t="s">
        <v>677</v>
      </c>
      <c r="G124" s="6" t="s">
        <v>11942</v>
      </c>
      <c r="H124" s="8">
        <v>94130</v>
      </c>
      <c r="I124" s="6" t="s">
        <v>2118</v>
      </c>
      <c r="J124" s="6" t="s">
        <v>11943</v>
      </c>
      <c r="K124" s="6"/>
      <c r="L124" s="6"/>
      <c r="M124" s="7">
        <v>44860</v>
      </c>
      <c r="N124" s="22" t="s">
        <v>11944</v>
      </c>
      <c r="O124" s="179"/>
      <c r="P124" s="6" t="s">
        <v>5654</v>
      </c>
      <c r="Q124" s="22"/>
      <c r="R124" s="6"/>
      <c r="S124" s="6"/>
      <c r="T124" s="54"/>
      <c r="U124" s="6"/>
    </row>
    <row r="125" spans="1:21" ht="114.75">
      <c r="A125" s="9">
        <v>2022</v>
      </c>
      <c r="B125" s="112" t="s">
        <v>679</v>
      </c>
      <c r="C125" s="112" t="s">
        <v>61</v>
      </c>
      <c r="D125" s="6" t="s">
        <v>1877</v>
      </c>
      <c r="E125" s="6"/>
      <c r="F125" s="22" t="s">
        <v>11945</v>
      </c>
      <c r="G125" s="6" t="s">
        <v>681</v>
      </c>
      <c r="H125" s="8">
        <v>151870</v>
      </c>
      <c r="I125" s="6" t="s">
        <v>11946</v>
      </c>
      <c r="J125" s="6" t="s">
        <v>2604</v>
      </c>
      <c r="K125" s="6"/>
      <c r="L125" s="6"/>
      <c r="M125" s="7">
        <v>44860</v>
      </c>
      <c r="N125" s="22" t="s">
        <v>11947</v>
      </c>
      <c r="O125" s="179"/>
      <c r="P125" s="6" t="s">
        <v>5654</v>
      </c>
      <c r="Q125" s="22"/>
      <c r="R125" s="6"/>
      <c r="S125" s="6"/>
      <c r="T125" s="54"/>
      <c r="U125" s="6"/>
    </row>
    <row r="126" spans="1:21" ht="89.25">
      <c r="A126" s="9">
        <v>2022</v>
      </c>
      <c r="B126" s="112" t="s">
        <v>1494</v>
      </c>
      <c r="C126" s="112" t="s">
        <v>61</v>
      </c>
      <c r="D126" s="6" t="s">
        <v>1383</v>
      </c>
      <c r="E126" s="6"/>
      <c r="F126" s="22" t="s">
        <v>11948</v>
      </c>
      <c r="G126" s="6" t="s">
        <v>2620</v>
      </c>
      <c r="H126" s="8">
        <v>300000</v>
      </c>
      <c r="I126" s="6" t="s">
        <v>11949</v>
      </c>
      <c r="J126" s="6" t="s">
        <v>11922</v>
      </c>
      <c r="K126" s="6"/>
      <c r="L126" s="6"/>
      <c r="M126" s="7">
        <v>44881</v>
      </c>
      <c r="N126" s="22" t="s">
        <v>11950</v>
      </c>
      <c r="O126" s="179"/>
      <c r="P126" s="6" t="s">
        <v>1808</v>
      </c>
      <c r="Q126" s="22"/>
      <c r="R126" s="6"/>
      <c r="S126" s="6"/>
      <c r="T126" s="54"/>
      <c r="U126" s="6"/>
    </row>
    <row r="127" spans="1:21" ht="51">
      <c r="A127" s="9">
        <v>2022</v>
      </c>
      <c r="B127" s="112" t="s">
        <v>685</v>
      </c>
      <c r="C127" s="112" t="s">
        <v>61</v>
      </c>
      <c r="D127" s="6" t="s">
        <v>68</v>
      </c>
      <c r="E127" s="6"/>
      <c r="F127" s="22" t="s">
        <v>11951</v>
      </c>
      <c r="G127" s="6" t="s">
        <v>11952</v>
      </c>
      <c r="H127" s="8">
        <v>199890</v>
      </c>
      <c r="I127" s="6" t="s">
        <v>1881</v>
      </c>
      <c r="J127" s="6" t="s">
        <v>1879</v>
      </c>
      <c r="K127" s="6"/>
      <c r="L127" s="6" t="s">
        <v>82</v>
      </c>
      <c r="M127" s="7">
        <v>44896</v>
      </c>
      <c r="N127" s="22" t="s">
        <v>11953</v>
      </c>
      <c r="O127" s="179"/>
      <c r="P127" s="6" t="s">
        <v>5650</v>
      </c>
      <c r="Q127" s="179"/>
      <c r="R127" s="6"/>
      <c r="S127" s="6" t="s">
        <v>11954</v>
      </c>
      <c r="T127" s="54"/>
      <c r="U127" s="6"/>
    </row>
    <row r="128" spans="1:21" ht="76.5">
      <c r="A128" s="9">
        <v>2022</v>
      </c>
      <c r="B128" s="112" t="s">
        <v>687</v>
      </c>
      <c r="C128" s="112" t="s">
        <v>61</v>
      </c>
      <c r="D128" s="6" t="s">
        <v>652</v>
      </c>
      <c r="E128" s="6"/>
      <c r="F128" s="22" t="s">
        <v>11955</v>
      </c>
      <c r="G128" s="6" t="s">
        <v>746</v>
      </c>
      <c r="H128" s="8">
        <v>18425</v>
      </c>
      <c r="I128" s="6" t="s">
        <v>1881</v>
      </c>
      <c r="J128" s="6" t="s">
        <v>1879</v>
      </c>
      <c r="K128" s="6"/>
      <c r="L128" s="6" t="s">
        <v>82</v>
      </c>
      <c r="M128" s="7">
        <v>44896</v>
      </c>
      <c r="N128" s="22" t="s">
        <v>11956</v>
      </c>
      <c r="O128" s="179"/>
      <c r="P128" s="6" t="s">
        <v>5650</v>
      </c>
      <c r="Q128" s="179"/>
      <c r="R128" s="6"/>
      <c r="S128" s="6" t="s">
        <v>1862</v>
      </c>
      <c r="T128" s="54"/>
      <c r="U128" s="6"/>
    </row>
    <row r="129" spans="1:21" ht="76.5">
      <c r="A129" s="9">
        <v>2022</v>
      </c>
      <c r="B129" s="112" t="s">
        <v>585</v>
      </c>
      <c r="C129" s="112" t="s">
        <v>61</v>
      </c>
      <c r="D129" s="6" t="s">
        <v>586</v>
      </c>
      <c r="E129" s="6"/>
      <c r="F129" s="22" t="s">
        <v>587</v>
      </c>
      <c r="G129" s="6" t="s">
        <v>588</v>
      </c>
      <c r="H129" s="8">
        <v>17575</v>
      </c>
      <c r="I129" s="6" t="s">
        <v>1885</v>
      </c>
      <c r="J129" s="6" t="s">
        <v>2655</v>
      </c>
      <c r="K129" s="6"/>
      <c r="L129" s="6" t="s">
        <v>82</v>
      </c>
      <c r="M129" s="7">
        <v>44886</v>
      </c>
      <c r="N129" s="22" t="s">
        <v>1887</v>
      </c>
      <c r="O129" s="179"/>
      <c r="P129" s="6" t="s">
        <v>5654</v>
      </c>
      <c r="Q129" s="179"/>
      <c r="R129" s="6"/>
      <c r="S129" s="6" t="s">
        <v>1862</v>
      </c>
      <c r="T129" s="54"/>
      <c r="U129" s="6"/>
    </row>
    <row r="130" spans="1:21" ht="25.5">
      <c r="A130" s="9">
        <v>2021</v>
      </c>
      <c r="B130" s="144">
        <v>44197</v>
      </c>
      <c r="C130" s="112" t="s">
        <v>61</v>
      </c>
      <c r="D130" s="6" t="s">
        <v>928</v>
      </c>
      <c r="E130" s="6"/>
      <c r="F130" s="22" t="s">
        <v>698</v>
      </c>
      <c r="G130" s="6" t="s">
        <v>699</v>
      </c>
      <c r="H130" s="8">
        <v>414900</v>
      </c>
      <c r="I130" s="6" t="s">
        <v>2139</v>
      </c>
      <c r="J130" s="9" t="s">
        <v>1828</v>
      </c>
      <c r="K130" s="9" t="s">
        <v>611</v>
      </c>
      <c r="L130" s="6" t="s">
        <v>1824</v>
      </c>
      <c r="M130" s="22"/>
      <c r="N130" s="6"/>
      <c r="O130" s="52"/>
      <c r="P130" s="9" t="s">
        <v>1808</v>
      </c>
      <c r="Q130" s="297" t="s">
        <v>6262</v>
      </c>
      <c r="R130" s="6"/>
      <c r="S130" s="6" t="s">
        <v>11954</v>
      </c>
      <c r="T130" s="9"/>
      <c r="U130" s="6"/>
    </row>
    <row r="131" spans="1:21" ht="63.75">
      <c r="A131" s="9"/>
      <c r="B131" s="144">
        <v>44228</v>
      </c>
      <c r="C131" s="9" t="s">
        <v>1867</v>
      </c>
      <c r="D131" s="9" t="s">
        <v>62</v>
      </c>
      <c r="E131" s="9"/>
      <c r="F131" s="22" t="s">
        <v>2140</v>
      </c>
      <c r="G131" s="6" t="s">
        <v>2141</v>
      </c>
      <c r="H131" s="8"/>
      <c r="I131" s="6" t="s">
        <v>2142</v>
      </c>
      <c r="J131" s="9" t="s">
        <v>2467</v>
      </c>
      <c r="K131" s="9"/>
      <c r="L131" s="6" t="s">
        <v>6217</v>
      </c>
      <c r="M131" s="22"/>
      <c r="N131" s="6" t="s">
        <v>2143</v>
      </c>
      <c r="O131" s="52"/>
      <c r="P131" s="6" t="s">
        <v>5650</v>
      </c>
      <c r="Q131" s="297" t="s">
        <v>11957</v>
      </c>
      <c r="R131" s="6"/>
      <c r="S131" s="9"/>
      <c r="T131" s="9"/>
      <c r="U131" s="6"/>
    </row>
    <row r="132" spans="1:21" ht="12.75">
      <c r="A132" s="6"/>
      <c r="B132" s="144">
        <v>44256</v>
      </c>
      <c r="C132" s="9" t="s">
        <v>11958</v>
      </c>
      <c r="D132" s="9" t="s">
        <v>1862</v>
      </c>
      <c r="E132" s="9"/>
      <c r="F132" s="22" t="s">
        <v>11959</v>
      </c>
      <c r="G132" s="6"/>
      <c r="H132" s="8"/>
      <c r="I132" s="6"/>
      <c r="J132" s="459"/>
      <c r="K132" s="9"/>
      <c r="L132" s="9"/>
      <c r="M132" s="22"/>
      <c r="N132" s="6"/>
      <c r="O132" s="52"/>
      <c r="P132" s="6"/>
      <c r="Q132" s="6"/>
      <c r="R132" s="6"/>
      <c r="S132" s="9"/>
      <c r="T132" s="6"/>
      <c r="U132" s="6"/>
    </row>
    <row r="133" spans="1:21" ht="25.5">
      <c r="A133" s="6"/>
      <c r="B133" s="144">
        <v>44348</v>
      </c>
      <c r="C133" s="9" t="s">
        <v>1867</v>
      </c>
      <c r="D133" s="9" t="s">
        <v>62</v>
      </c>
      <c r="E133" s="9"/>
      <c r="F133" s="22" t="s">
        <v>2145</v>
      </c>
      <c r="G133" s="6" t="s">
        <v>2146</v>
      </c>
      <c r="H133" s="8"/>
      <c r="I133" s="6" t="s">
        <v>2147</v>
      </c>
      <c r="J133" s="9" t="s">
        <v>2449</v>
      </c>
      <c r="K133" s="9" t="s">
        <v>611</v>
      </c>
      <c r="L133" s="9" t="s">
        <v>6137</v>
      </c>
      <c r="M133" s="22"/>
      <c r="N133" s="6" t="s">
        <v>2143</v>
      </c>
      <c r="O133" s="52"/>
      <c r="P133" s="6" t="s">
        <v>5654</v>
      </c>
      <c r="Q133" s="297" t="s">
        <v>6266</v>
      </c>
      <c r="R133" s="6"/>
      <c r="S133" s="9" t="s">
        <v>2144</v>
      </c>
      <c r="T133" s="6" t="s">
        <v>6268</v>
      </c>
      <c r="U133" s="6"/>
    </row>
    <row r="134" spans="1:21" ht="140.25">
      <c r="A134" s="9"/>
      <c r="B134" s="144">
        <v>44378</v>
      </c>
      <c r="C134" s="9" t="s">
        <v>3096</v>
      </c>
      <c r="D134" s="34" t="s">
        <v>62</v>
      </c>
      <c r="E134" s="34"/>
      <c r="F134" s="22" t="s">
        <v>1112</v>
      </c>
      <c r="G134" s="6" t="s">
        <v>1113</v>
      </c>
      <c r="H134" s="8">
        <v>1578099.2</v>
      </c>
      <c r="I134" s="6" t="s">
        <v>2148</v>
      </c>
      <c r="J134" s="9" t="s">
        <v>2467</v>
      </c>
      <c r="K134" s="9" t="s">
        <v>1231</v>
      </c>
      <c r="L134" s="6" t="s">
        <v>6140</v>
      </c>
      <c r="M134" s="22"/>
      <c r="N134" s="6" t="s">
        <v>2149</v>
      </c>
      <c r="O134" s="52"/>
      <c r="P134" s="6" t="s">
        <v>5654</v>
      </c>
      <c r="Q134" s="297" t="s">
        <v>6269</v>
      </c>
      <c r="R134" s="6"/>
      <c r="S134" s="9" t="s">
        <v>1150</v>
      </c>
      <c r="T134" s="9"/>
      <c r="U134" s="34"/>
    </row>
    <row r="135" spans="1:21" ht="51">
      <c r="A135" s="9"/>
      <c r="B135" s="144">
        <v>44409</v>
      </c>
      <c r="C135" s="9" t="s">
        <v>1867</v>
      </c>
      <c r="D135" s="34" t="s">
        <v>62</v>
      </c>
      <c r="E135" s="34"/>
      <c r="F135" s="22" t="s">
        <v>2150</v>
      </c>
      <c r="G135" s="6" t="s">
        <v>2151</v>
      </c>
      <c r="H135" s="8"/>
      <c r="I135" s="6" t="s">
        <v>2152</v>
      </c>
      <c r="J135" s="9" t="s">
        <v>2467</v>
      </c>
      <c r="K135" s="9"/>
      <c r="L135" s="9" t="s">
        <v>1867</v>
      </c>
      <c r="M135" s="22"/>
      <c r="N135" s="139" t="s">
        <v>2016</v>
      </c>
      <c r="O135" s="52"/>
      <c r="P135" s="6" t="s">
        <v>5654</v>
      </c>
      <c r="Q135" s="297" t="s">
        <v>6271</v>
      </c>
      <c r="R135" s="6"/>
      <c r="S135" s="9"/>
      <c r="T135" s="9"/>
      <c r="U135" s="34"/>
    </row>
    <row r="136" spans="1:21" ht="63.75">
      <c r="A136" s="9"/>
      <c r="B136" s="144">
        <v>44440</v>
      </c>
      <c r="C136" s="9" t="s">
        <v>1867</v>
      </c>
      <c r="D136" s="9" t="s">
        <v>62</v>
      </c>
      <c r="E136" s="9"/>
      <c r="F136" s="22" t="s">
        <v>2153</v>
      </c>
      <c r="G136" s="6" t="s">
        <v>2154</v>
      </c>
      <c r="H136" s="8"/>
      <c r="I136" s="6" t="s">
        <v>2155</v>
      </c>
      <c r="J136" s="9" t="s">
        <v>2656</v>
      </c>
      <c r="K136" s="9"/>
      <c r="L136" s="9" t="s">
        <v>1867</v>
      </c>
      <c r="M136" s="22"/>
      <c r="N136" s="139" t="s">
        <v>2016</v>
      </c>
      <c r="O136" s="52"/>
      <c r="P136" s="6" t="s">
        <v>5650</v>
      </c>
      <c r="Q136" s="297" t="s">
        <v>6273</v>
      </c>
      <c r="R136" s="6"/>
      <c r="S136" s="9"/>
      <c r="T136" s="9"/>
      <c r="U136" s="6"/>
    </row>
    <row r="137" spans="1:21" ht="127.5">
      <c r="A137" s="9">
        <v>2021</v>
      </c>
      <c r="B137" s="145">
        <v>44531</v>
      </c>
      <c r="C137" s="112" t="s">
        <v>61</v>
      </c>
      <c r="D137" s="9" t="s">
        <v>456</v>
      </c>
      <c r="E137" s="9"/>
      <c r="F137" s="22" t="s">
        <v>700</v>
      </c>
      <c r="G137" s="6" t="s">
        <v>2156</v>
      </c>
      <c r="H137" s="8">
        <v>50735</v>
      </c>
      <c r="I137" s="6" t="s">
        <v>2157</v>
      </c>
      <c r="J137" s="9" t="s">
        <v>2656</v>
      </c>
      <c r="K137" s="9" t="s">
        <v>611</v>
      </c>
      <c r="L137" s="6" t="s">
        <v>6092</v>
      </c>
      <c r="M137" s="22"/>
      <c r="N137" s="6" t="s">
        <v>2158</v>
      </c>
      <c r="O137" s="52"/>
      <c r="P137" s="6" t="s">
        <v>5650</v>
      </c>
      <c r="Q137" s="291" t="s">
        <v>6276</v>
      </c>
      <c r="R137" s="6"/>
      <c r="S137" s="9" t="s">
        <v>6275</v>
      </c>
      <c r="T137" s="9"/>
      <c r="U137" s="6"/>
    </row>
    <row r="138" spans="1:21" ht="127.5">
      <c r="A138" s="9">
        <v>2021</v>
      </c>
      <c r="B138" s="9" t="s">
        <v>2159</v>
      </c>
      <c r="C138" s="112" t="s">
        <v>61</v>
      </c>
      <c r="D138" s="9" t="s">
        <v>456</v>
      </c>
      <c r="E138" s="9"/>
      <c r="F138" s="164" t="s">
        <v>700</v>
      </c>
      <c r="G138" s="158" t="s">
        <v>2160</v>
      </c>
      <c r="H138" s="470">
        <v>50735</v>
      </c>
      <c r="I138" s="6" t="s">
        <v>2157</v>
      </c>
      <c r="J138" s="9" t="s">
        <v>2656</v>
      </c>
      <c r="K138" s="9" t="s">
        <v>611</v>
      </c>
      <c r="L138" s="6" t="s">
        <v>6279</v>
      </c>
      <c r="M138" s="22"/>
      <c r="N138" s="6" t="s">
        <v>2158</v>
      </c>
      <c r="O138" s="52"/>
      <c r="P138" s="158" t="s">
        <v>5650</v>
      </c>
      <c r="Q138" s="291" t="s">
        <v>6276</v>
      </c>
      <c r="R138" s="158"/>
      <c r="S138" s="9" t="s">
        <v>6275</v>
      </c>
      <c r="T138" s="9"/>
      <c r="U138" s="6"/>
    </row>
    <row r="139" spans="1:21" ht="76.5">
      <c r="A139" s="9">
        <v>2021</v>
      </c>
      <c r="B139" s="9" t="s">
        <v>1114</v>
      </c>
      <c r="C139" s="112" t="s">
        <v>61</v>
      </c>
      <c r="D139" s="34" t="s">
        <v>62</v>
      </c>
      <c r="E139" s="34"/>
      <c r="F139" s="22" t="s">
        <v>1115</v>
      </c>
      <c r="G139" s="6" t="s">
        <v>1116</v>
      </c>
      <c r="H139" s="8">
        <v>1527776</v>
      </c>
      <c r="I139" s="160" t="s">
        <v>2161</v>
      </c>
      <c r="J139" s="9" t="s">
        <v>1828</v>
      </c>
      <c r="K139" s="9" t="s">
        <v>1904</v>
      </c>
      <c r="L139" s="6" t="s">
        <v>6283</v>
      </c>
      <c r="M139" s="164"/>
      <c r="N139" s="6" t="s">
        <v>2162</v>
      </c>
      <c r="O139" s="52"/>
      <c r="P139" s="6" t="s">
        <v>5650</v>
      </c>
      <c r="Q139" s="472" t="s">
        <v>6281</v>
      </c>
      <c r="R139" s="6"/>
      <c r="S139" s="9" t="s">
        <v>6280</v>
      </c>
      <c r="T139" s="9"/>
      <c r="U139" s="398"/>
    </row>
    <row r="140" spans="1:21" ht="102">
      <c r="A140" s="9">
        <v>2021</v>
      </c>
      <c r="B140" s="9" t="s">
        <v>1497</v>
      </c>
      <c r="C140" s="112" t="s">
        <v>61</v>
      </c>
      <c r="D140" s="9" t="s">
        <v>1417</v>
      </c>
      <c r="E140" s="9"/>
      <c r="F140" s="22" t="s">
        <v>1498</v>
      </c>
      <c r="G140" s="6" t="s">
        <v>808</v>
      </c>
      <c r="H140" s="8">
        <v>1232386.08</v>
      </c>
      <c r="I140" s="6" t="s">
        <v>2139</v>
      </c>
      <c r="J140" s="9" t="s">
        <v>1828</v>
      </c>
      <c r="K140" s="9" t="s">
        <v>2412</v>
      </c>
      <c r="L140" s="6" t="s">
        <v>6064</v>
      </c>
      <c r="M140" s="164"/>
      <c r="N140" s="6" t="s">
        <v>2164</v>
      </c>
      <c r="O140" s="52"/>
      <c r="P140" s="9" t="s">
        <v>1808</v>
      </c>
      <c r="Q140" s="472" t="s">
        <v>6284</v>
      </c>
      <c r="R140" s="6"/>
      <c r="S140" s="9" t="s">
        <v>2163</v>
      </c>
      <c r="T140" s="9"/>
      <c r="U140" s="6"/>
    </row>
    <row r="141" spans="1:21" ht="51">
      <c r="A141" s="9"/>
      <c r="B141" s="9" t="s">
        <v>2165</v>
      </c>
      <c r="C141" s="9" t="s">
        <v>1867</v>
      </c>
      <c r="D141" s="9" t="s">
        <v>62</v>
      </c>
      <c r="E141" s="9"/>
      <c r="F141" s="22" t="s">
        <v>2166</v>
      </c>
      <c r="G141" s="6" t="s">
        <v>2167</v>
      </c>
      <c r="H141" s="8"/>
      <c r="I141" s="6" t="s">
        <v>2168</v>
      </c>
      <c r="J141" s="9" t="s">
        <v>2656</v>
      </c>
      <c r="K141" s="9"/>
      <c r="L141" s="9" t="s">
        <v>1867</v>
      </c>
      <c r="M141" s="22"/>
      <c r="N141" s="139" t="s">
        <v>2016</v>
      </c>
      <c r="O141" s="52"/>
      <c r="P141" s="6" t="s">
        <v>5654</v>
      </c>
      <c r="Q141" s="6"/>
      <c r="R141" s="6"/>
      <c r="S141" s="9"/>
      <c r="T141" s="9"/>
      <c r="U141" s="6"/>
    </row>
    <row r="142" spans="1:21" ht="51">
      <c r="A142" s="9">
        <v>2021</v>
      </c>
      <c r="B142" s="9" t="s">
        <v>2169</v>
      </c>
      <c r="C142" s="112" t="s">
        <v>61</v>
      </c>
      <c r="D142" s="54" t="s">
        <v>6049</v>
      </c>
      <c r="E142" s="54"/>
      <c r="F142" s="22" t="s">
        <v>2170</v>
      </c>
      <c r="G142" s="6" t="s">
        <v>2171</v>
      </c>
      <c r="H142" s="8">
        <v>200000</v>
      </c>
      <c r="I142" s="6" t="s">
        <v>2139</v>
      </c>
      <c r="J142" s="9" t="s">
        <v>1828</v>
      </c>
      <c r="K142" s="9" t="s">
        <v>2412</v>
      </c>
      <c r="L142" s="6" t="s">
        <v>6064</v>
      </c>
      <c r="M142" s="164"/>
      <c r="N142" s="6"/>
      <c r="O142" s="52"/>
      <c r="P142" s="9" t="s">
        <v>1808</v>
      </c>
      <c r="Q142" s="473" t="s">
        <v>6288</v>
      </c>
      <c r="R142" s="6"/>
      <c r="S142" s="9" t="s">
        <v>6287</v>
      </c>
      <c r="T142" s="9"/>
      <c r="U142" s="6"/>
    </row>
    <row r="143" spans="1:21" ht="76.5">
      <c r="A143" s="9">
        <v>2021</v>
      </c>
      <c r="B143" s="9" t="s">
        <v>2173</v>
      </c>
      <c r="C143" s="112" t="s">
        <v>61</v>
      </c>
      <c r="D143" s="54" t="s">
        <v>6049</v>
      </c>
      <c r="E143" s="54"/>
      <c r="F143" s="22" t="s">
        <v>2174</v>
      </c>
      <c r="G143" s="158" t="s">
        <v>808</v>
      </c>
      <c r="H143" s="8">
        <v>5600000</v>
      </c>
      <c r="I143" s="6" t="s">
        <v>2139</v>
      </c>
      <c r="J143" s="9" t="s">
        <v>1828</v>
      </c>
      <c r="K143" s="9" t="s">
        <v>2412</v>
      </c>
      <c r="L143" s="6" t="s">
        <v>6064</v>
      </c>
      <c r="M143" s="164"/>
      <c r="N143" s="132" t="s">
        <v>2175</v>
      </c>
      <c r="O143" s="52"/>
      <c r="P143" s="9" t="s">
        <v>1808</v>
      </c>
      <c r="Q143" s="474" t="s">
        <v>6290</v>
      </c>
      <c r="R143" s="158"/>
      <c r="S143" s="9" t="s">
        <v>1824</v>
      </c>
      <c r="T143" s="9"/>
      <c r="U143" s="6"/>
    </row>
    <row r="144" spans="1:21" ht="114.75">
      <c r="A144" s="9">
        <v>2021</v>
      </c>
      <c r="B144" s="9" t="s">
        <v>702</v>
      </c>
      <c r="C144" s="112" t="s">
        <v>61</v>
      </c>
      <c r="D144" s="9" t="s">
        <v>394</v>
      </c>
      <c r="E144" s="9"/>
      <c r="F144" s="22" t="s">
        <v>703</v>
      </c>
      <c r="G144" s="6" t="s">
        <v>704</v>
      </c>
      <c r="H144" s="8">
        <v>9000</v>
      </c>
      <c r="I144" s="6"/>
      <c r="J144" s="9" t="s">
        <v>7465</v>
      </c>
      <c r="K144" s="9" t="s">
        <v>611</v>
      </c>
      <c r="L144" s="6" t="s">
        <v>6071</v>
      </c>
      <c r="M144" s="164"/>
      <c r="N144" s="6" t="s">
        <v>2176</v>
      </c>
      <c r="O144" s="52"/>
      <c r="P144" s="9" t="s">
        <v>1808</v>
      </c>
      <c r="Q144" s="472" t="s">
        <v>6294</v>
      </c>
      <c r="R144" s="6"/>
      <c r="S144" s="9" t="s">
        <v>6293</v>
      </c>
      <c r="T144" s="9"/>
      <c r="U144" s="6"/>
    </row>
    <row r="145" spans="1:21" ht="127.5">
      <c r="A145" s="9">
        <v>2021</v>
      </c>
      <c r="B145" s="9" t="s">
        <v>705</v>
      </c>
      <c r="C145" s="112" t="s">
        <v>61</v>
      </c>
      <c r="D145" s="9" t="s">
        <v>394</v>
      </c>
      <c r="E145" s="9"/>
      <c r="F145" s="164" t="s">
        <v>706</v>
      </c>
      <c r="G145" s="6" t="s">
        <v>707</v>
      </c>
      <c r="H145" s="8">
        <v>20000</v>
      </c>
      <c r="I145" s="6"/>
      <c r="J145" s="9" t="s">
        <v>2609</v>
      </c>
      <c r="K145" s="9" t="s">
        <v>611</v>
      </c>
      <c r="L145" s="6" t="s">
        <v>6071</v>
      </c>
      <c r="M145" s="164"/>
      <c r="N145" s="6" t="s">
        <v>2177</v>
      </c>
      <c r="O145" s="52"/>
      <c r="P145" s="9" t="s">
        <v>1808</v>
      </c>
      <c r="Q145" s="472" t="s">
        <v>6294</v>
      </c>
      <c r="R145" s="6"/>
      <c r="S145" s="9" t="s">
        <v>6293</v>
      </c>
      <c r="T145" s="9"/>
      <c r="U145" s="6"/>
    </row>
    <row r="146" spans="1:21" ht="89.25">
      <c r="A146" s="9">
        <v>2021</v>
      </c>
      <c r="B146" s="9" t="s">
        <v>2178</v>
      </c>
      <c r="C146" s="112" t="s">
        <v>61</v>
      </c>
      <c r="D146" s="54" t="s">
        <v>6049</v>
      </c>
      <c r="E146" s="54"/>
      <c r="F146" s="22" t="s">
        <v>2180</v>
      </c>
      <c r="G146" s="6" t="s">
        <v>575</v>
      </c>
      <c r="H146" s="8" t="s">
        <v>2179</v>
      </c>
      <c r="I146" s="6" t="s">
        <v>2181</v>
      </c>
      <c r="J146" s="9" t="s">
        <v>1828</v>
      </c>
      <c r="K146" s="9" t="s">
        <v>2412</v>
      </c>
      <c r="L146" s="6" t="s">
        <v>6064</v>
      </c>
      <c r="M146" s="164"/>
      <c r="N146" s="6" t="s">
        <v>2182</v>
      </c>
      <c r="O146" s="52"/>
      <c r="P146" s="9" t="s">
        <v>1808</v>
      </c>
      <c r="Q146" s="471" t="s">
        <v>6299</v>
      </c>
      <c r="R146" s="6"/>
      <c r="S146" s="9" t="s">
        <v>1824</v>
      </c>
      <c r="T146" s="9"/>
      <c r="U146" s="6"/>
    </row>
    <row r="147" spans="1:21" ht="178.5">
      <c r="A147" s="9">
        <v>2021</v>
      </c>
      <c r="B147" s="9" t="s">
        <v>1499</v>
      </c>
      <c r="C147" s="112" t="s">
        <v>61</v>
      </c>
      <c r="D147" s="9" t="s">
        <v>1500</v>
      </c>
      <c r="E147" s="9"/>
      <c r="F147" s="22" t="s">
        <v>1501</v>
      </c>
      <c r="G147" s="6" t="s">
        <v>1502</v>
      </c>
      <c r="H147" s="8">
        <v>200000</v>
      </c>
      <c r="I147" s="6"/>
      <c r="J147" s="9" t="s">
        <v>2449</v>
      </c>
      <c r="K147" s="9" t="s">
        <v>2412</v>
      </c>
      <c r="L147" s="6" t="s">
        <v>6064</v>
      </c>
      <c r="M147" s="164"/>
      <c r="N147" s="6" t="s">
        <v>2183</v>
      </c>
      <c r="O147" s="52"/>
      <c r="P147" s="9" t="s">
        <v>1808</v>
      </c>
      <c r="Q147" s="472" t="s">
        <v>6302</v>
      </c>
      <c r="R147" s="6"/>
      <c r="S147" s="9" t="s">
        <v>6293</v>
      </c>
      <c r="T147" s="9" t="s">
        <v>6064</v>
      </c>
      <c r="U147" s="6"/>
    </row>
    <row r="148" spans="1:21" ht="76.5">
      <c r="A148" s="9">
        <v>2021</v>
      </c>
      <c r="B148" s="9" t="s">
        <v>708</v>
      </c>
      <c r="C148" s="112" t="s">
        <v>61</v>
      </c>
      <c r="D148" s="6" t="s">
        <v>586</v>
      </c>
      <c r="E148" s="6"/>
      <c r="F148" s="22" t="s">
        <v>709</v>
      </c>
      <c r="G148" s="6" t="s">
        <v>2184</v>
      </c>
      <c r="H148" s="8">
        <v>28450</v>
      </c>
      <c r="I148" s="160" t="s">
        <v>2185</v>
      </c>
      <c r="J148" s="9" t="s">
        <v>2656</v>
      </c>
      <c r="K148" s="9" t="s">
        <v>611</v>
      </c>
      <c r="L148" s="6" t="s">
        <v>6306</v>
      </c>
      <c r="M148" s="164"/>
      <c r="N148" s="6" t="s">
        <v>2186</v>
      </c>
      <c r="O148" s="52"/>
      <c r="P148" s="6" t="s">
        <v>5654</v>
      </c>
      <c r="Q148" s="474" t="s">
        <v>6304</v>
      </c>
      <c r="R148" s="6"/>
      <c r="S148" s="9" t="s">
        <v>2144</v>
      </c>
      <c r="T148" s="9"/>
      <c r="U148" s="160"/>
    </row>
    <row r="149" spans="1:21" ht="76.5">
      <c r="A149" s="9">
        <v>2021</v>
      </c>
      <c r="B149" s="9" t="s">
        <v>711</v>
      </c>
      <c r="C149" s="112" t="s">
        <v>61</v>
      </c>
      <c r="D149" s="9" t="s">
        <v>2230</v>
      </c>
      <c r="E149" s="9"/>
      <c r="F149" s="22" t="s">
        <v>713</v>
      </c>
      <c r="G149" s="6" t="s">
        <v>2187</v>
      </c>
      <c r="H149" s="8">
        <v>222750</v>
      </c>
      <c r="I149" s="160" t="s">
        <v>2188</v>
      </c>
      <c r="J149" s="9" t="s">
        <v>1828</v>
      </c>
      <c r="K149" s="9" t="s">
        <v>1231</v>
      </c>
      <c r="L149" s="6" t="s">
        <v>6206</v>
      </c>
      <c r="M149" s="164"/>
      <c r="N149" s="6" t="s">
        <v>2189</v>
      </c>
      <c r="O149" s="52"/>
      <c r="P149" s="6" t="s">
        <v>5654</v>
      </c>
      <c r="Q149" s="474" t="s">
        <v>6307</v>
      </c>
      <c r="R149" s="6"/>
      <c r="S149" s="9" t="s">
        <v>2144</v>
      </c>
      <c r="T149" s="9"/>
      <c r="U149" s="160"/>
    </row>
    <row r="150" spans="1:21" ht="114.75">
      <c r="A150" s="9">
        <v>2021</v>
      </c>
      <c r="B150" s="9" t="s">
        <v>1503</v>
      </c>
      <c r="C150" s="112" t="s">
        <v>61</v>
      </c>
      <c r="D150" s="9" t="s">
        <v>1383</v>
      </c>
      <c r="E150" s="9"/>
      <c r="F150" s="22" t="s">
        <v>1504</v>
      </c>
      <c r="G150" s="6" t="s">
        <v>1505</v>
      </c>
      <c r="H150" s="8">
        <v>394700</v>
      </c>
      <c r="I150" s="6" t="s">
        <v>2190</v>
      </c>
      <c r="J150" s="9" t="s">
        <v>1828</v>
      </c>
      <c r="K150" s="9" t="s">
        <v>2412</v>
      </c>
      <c r="L150" s="6" t="s">
        <v>6064</v>
      </c>
      <c r="M150" s="164"/>
      <c r="N150" s="6" t="s">
        <v>2191</v>
      </c>
      <c r="O150" s="52"/>
      <c r="P150" s="9" t="s">
        <v>1808</v>
      </c>
      <c r="Q150" s="474" t="s">
        <v>6310</v>
      </c>
      <c r="R150" s="6"/>
      <c r="S150" s="9" t="s">
        <v>6309</v>
      </c>
      <c r="T150" s="9"/>
      <c r="U150" s="6"/>
    </row>
    <row r="151" spans="1:21" ht="140.25">
      <c r="A151" s="9">
        <v>2021</v>
      </c>
      <c r="B151" s="9" t="s">
        <v>2192</v>
      </c>
      <c r="C151" s="112" t="s">
        <v>61</v>
      </c>
      <c r="D151" s="54" t="s">
        <v>6049</v>
      </c>
      <c r="E151" s="54"/>
      <c r="F151" s="22" t="s">
        <v>2193</v>
      </c>
      <c r="G151" s="6" t="s">
        <v>575</v>
      </c>
      <c r="H151" s="8">
        <v>76800</v>
      </c>
      <c r="I151" s="6" t="s">
        <v>2190</v>
      </c>
      <c r="J151" s="9" t="s">
        <v>1828</v>
      </c>
      <c r="K151" s="9" t="s">
        <v>2412</v>
      </c>
      <c r="L151" s="6" t="s">
        <v>6064</v>
      </c>
      <c r="M151" s="164"/>
      <c r="N151" s="6" t="s">
        <v>11960</v>
      </c>
      <c r="O151" s="52"/>
      <c r="P151" s="9" t="s">
        <v>1808</v>
      </c>
      <c r="Q151" s="474" t="s">
        <v>6312</v>
      </c>
      <c r="R151" s="6"/>
      <c r="S151" s="9" t="s">
        <v>1824</v>
      </c>
      <c r="T151" s="9"/>
      <c r="U151" s="6"/>
    </row>
    <row r="152" spans="1:21" ht="165.75">
      <c r="A152" s="9">
        <v>2021</v>
      </c>
      <c r="B152" s="9" t="s">
        <v>1506</v>
      </c>
      <c r="C152" s="112" t="s">
        <v>61</v>
      </c>
      <c r="D152" s="9" t="s">
        <v>1383</v>
      </c>
      <c r="E152" s="9"/>
      <c r="F152" s="22" t="s">
        <v>2195</v>
      </c>
      <c r="G152" s="6" t="s">
        <v>1508</v>
      </c>
      <c r="H152" s="8">
        <v>200000</v>
      </c>
      <c r="I152" s="6"/>
      <c r="J152" s="9" t="s">
        <v>6314</v>
      </c>
      <c r="K152" s="9" t="s">
        <v>2412</v>
      </c>
      <c r="L152" s="6" t="s">
        <v>6064</v>
      </c>
      <c r="M152" s="164"/>
      <c r="N152" s="6" t="s">
        <v>2196</v>
      </c>
      <c r="O152" s="52"/>
      <c r="P152" s="9" t="s">
        <v>1808</v>
      </c>
      <c r="Q152" s="472" t="s">
        <v>6315</v>
      </c>
      <c r="R152" s="6"/>
      <c r="S152" s="9" t="s">
        <v>6293</v>
      </c>
      <c r="T152" s="9"/>
      <c r="U152" s="6"/>
    </row>
    <row r="153" spans="1:21" ht="229.5">
      <c r="A153" s="9">
        <v>2021</v>
      </c>
      <c r="B153" s="9" t="s">
        <v>715</v>
      </c>
      <c r="C153" s="112" t="s">
        <v>61</v>
      </c>
      <c r="D153" s="9" t="s">
        <v>394</v>
      </c>
      <c r="E153" s="9"/>
      <c r="F153" s="22" t="s">
        <v>716</v>
      </c>
      <c r="G153" s="6" t="s">
        <v>572</v>
      </c>
      <c r="H153" s="8">
        <v>8000</v>
      </c>
      <c r="I153" s="6"/>
      <c r="J153" s="9" t="s">
        <v>2460</v>
      </c>
      <c r="K153" s="9" t="s">
        <v>611</v>
      </c>
      <c r="L153" s="6" t="s">
        <v>6071</v>
      </c>
      <c r="M153" s="164"/>
      <c r="N153" s="6" t="s">
        <v>11961</v>
      </c>
      <c r="O153" s="52"/>
      <c r="P153" s="9" t="s">
        <v>1808</v>
      </c>
      <c r="Q153" s="472" t="s">
        <v>6317</v>
      </c>
      <c r="R153" s="6"/>
      <c r="S153" s="9" t="s">
        <v>6293</v>
      </c>
      <c r="T153" s="9"/>
      <c r="U153" s="6"/>
    </row>
    <row r="154" spans="1:21" ht="102">
      <c r="A154" s="9">
        <v>2021</v>
      </c>
      <c r="B154" s="9" t="s">
        <v>717</v>
      </c>
      <c r="C154" s="112" t="s">
        <v>61</v>
      </c>
      <c r="D154" s="6" t="s">
        <v>586</v>
      </c>
      <c r="E154" s="6"/>
      <c r="F154" s="449" t="s">
        <v>718</v>
      </c>
      <c r="G154" s="6" t="s">
        <v>2198</v>
      </c>
      <c r="H154" s="8">
        <v>8500</v>
      </c>
      <c r="I154" s="160" t="s">
        <v>2199</v>
      </c>
      <c r="J154" s="9" t="s">
        <v>1828</v>
      </c>
      <c r="K154" s="9" t="s">
        <v>611</v>
      </c>
      <c r="L154" s="6" t="s">
        <v>6104</v>
      </c>
      <c r="M154" s="164"/>
      <c r="N154" s="6" t="s">
        <v>2200</v>
      </c>
      <c r="O154" s="52"/>
      <c r="P154" s="6" t="s">
        <v>5654</v>
      </c>
      <c r="Q154" s="472" t="s">
        <v>6320</v>
      </c>
      <c r="R154" s="6"/>
      <c r="S154" s="9" t="s">
        <v>6319</v>
      </c>
      <c r="T154" s="9"/>
      <c r="U154" s="160"/>
    </row>
    <row r="155" spans="1:21" ht="63.75">
      <c r="A155" s="9">
        <v>2021</v>
      </c>
      <c r="B155" s="9" t="s">
        <v>1509</v>
      </c>
      <c r="C155" s="112" t="s">
        <v>61</v>
      </c>
      <c r="D155" s="9" t="s">
        <v>1417</v>
      </c>
      <c r="E155" s="9"/>
      <c r="F155" s="22" t="s">
        <v>1510</v>
      </c>
      <c r="G155" s="6" t="s">
        <v>1511</v>
      </c>
      <c r="H155" s="8">
        <v>314417.48</v>
      </c>
      <c r="I155" s="6" t="s">
        <v>2190</v>
      </c>
      <c r="J155" s="9" t="s">
        <v>1828</v>
      </c>
      <c r="K155" s="9" t="s">
        <v>2412</v>
      </c>
      <c r="L155" s="6" t="s">
        <v>6064</v>
      </c>
      <c r="M155" s="164"/>
      <c r="N155" s="6" t="s">
        <v>2201</v>
      </c>
      <c r="O155" s="52"/>
      <c r="P155" s="9" t="s">
        <v>1808</v>
      </c>
      <c r="Q155" s="474" t="s">
        <v>6322</v>
      </c>
      <c r="R155" s="6"/>
      <c r="S155" s="9" t="s">
        <v>1824</v>
      </c>
      <c r="T155" s="9"/>
      <c r="U155" s="6"/>
    </row>
    <row r="156" spans="1:21" ht="76.5">
      <c r="A156" s="9">
        <v>2021</v>
      </c>
      <c r="B156" s="9" t="s">
        <v>1512</v>
      </c>
      <c r="C156" s="112" t="s">
        <v>61</v>
      </c>
      <c r="D156" s="9" t="s">
        <v>1417</v>
      </c>
      <c r="E156" s="9"/>
      <c r="F156" s="22" t="s">
        <v>2202</v>
      </c>
      <c r="G156" s="6" t="s">
        <v>1511</v>
      </c>
      <c r="H156" s="8">
        <v>509255</v>
      </c>
      <c r="I156" s="6" t="s">
        <v>2190</v>
      </c>
      <c r="J156" s="9" t="s">
        <v>1828</v>
      </c>
      <c r="K156" s="9" t="s">
        <v>2412</v>
      </c>
      <c r="L156" s="6" t="s">
        <v>6064</v>
      </c>
      <c r="M156" s="164"/>
      <c r="N156" s="6" t="s">
        <v>2203</v>
      </c>
      <c r="O156" s="52"/>
      <c r="P156" s="9" t="s">
        <v>1808</v>
      </c>
      <c r="Q156" s="158"/>
      <c r="R156" s="6"/>
      <c r="S156" s="9" t="s">
        <v>1824</v>
      </c>
      <c r="T156" s="9"/>
      <c r="U156" s="6"/>
    </row>
    <row r="157" spans="1:21" ht="76.5">
      <c r="A157" s="9">
        <v>2021</v>
      </c>
      <c r="B157" s="9" t="s">
        <v>1117</v>
      </c>
      <c r="C157" s="112" t="s">
        <v>61</v>
      </c>
      <c r="D157" s="34" t="s">
        <v>62</v>
      </c>
      <c r="E157" s="34"/>
      <c r="F157" s="22" t="s">
        <v>1119</v>
      </c>
      <c r="G157" s="6" t="s">
        <v>1120</v>
      </c>
      <c r="H157" s="8">
        <v>2880000</v>
      </c>
      <c r="I157" s="6" t="s">
        <v>2204</v>
      </c>
      <c r="J157" s="9" t="s">
        <v>2449</v>
      </c>
      <c r="K157" s="9" t="s">
        <v>1904</v>
      </c>
      <c r="L157" s="6" t="s">
        <v>6327</v>
      </c>
      <c r="M157" s="164"/>
      <c r="N157" s="6" t="s">
        <v>2205</v>
      </c>
      <c r="O157" s="52"/>
      <c r="P157" s="6" t="s">
        <v>5654</v>
      </c>
      <c r="Q157" s="472" t="s">
        <v>6320</v>
      </c>
      <c r="R157" s="6"/>
      <c r="S157" s="9" t="s">
        <v>2144</v>
      </c>
      <c r="T157" s="9" t="s">
        <v>6328</v>
      </c>
      <c r="U157" s="34"/>
    </row>
    <row r="158" spans="1:21" ht="76.5">
      <c r="A158" s="9">
        <v>2021</v>
      </c>
      <c r="B158" s="9" t="s">
        <v>1514</v>
      </c>
      <c r="C158" s="112" t="s">
        <v>61</v>
      </c>
      <c r="D158" s="9" t="s">
        <v>1383</v>
      </c>
      <c r="E158" s="9"/>
      <c r="F158" s="22" t="s">
        <v>1515</v>
      </c>
      <c r="G158" s="6" t="s">
        <v>707</v>
      </c>
      <c r="H158" s="8">
        <v>200000</v>
      </c>
      <c r="I158" s="6"/>
      <c r="J158" s="9" t="s">
        <v>2609</v>
      </c>
      <c r="K158" s="9" t="s">
        <v>2412</v>
      </c>
      <c r="L158" s="6" t="s">
        <v>6064</v>
      </c>
      <c r="M158" s="164"/>
      <c r="N158" s="6" t="s">
        <v>11962</v>
      </c>
      <c r="O158" s="52"/>
      <c r="P158" s="9" t="s">
        <v>1808</v>
      </c>
      <c r="Q158" s="472" t="s">
        <v>6330</v>
      </c>
      <c r="R158" s="6"/>
      <c r="S158" s="9" t="s">
        <v>6293</v>
      </c>
      <c r="T158" s="9"/>
      <c r="U158" s="6"/>
    </row>
    <row r="159" spans="1:21" ht="89.25">
      <c r="A159" s="9">
        <v>2021</v>
      </c>
      <c r="B159" s="9" t="s">
        <v>720</v>
      </c>
      <c r="C159" s="112" t="s">
        <v>61</v>
      </c>
      <c r="D159" s="9" t="s">
        <v>394</v>
      </c>
      <c r="E159" s="9"/>
      <c r="F159" s="22" t="s">
        <v>721</v>
      </c>
      <c r="G159" s="6" t="s">
        <v>722</v>
      </c>
      <c r="H159" s="8">
        <v>10000</v>
      </c>
      <c r="I159" s="6"/>
      <c r="J159" s="9" t="s">
        <v>2467</v>
      </c>
      <c r="K159" s="9" t="s">
        <v>611</v>
      </c>
      <c r="L159" s="6" t="s">
        <v>6071</v>
      </c>
      <c r="M159" s="164"/>
      <c r="N159" s="6" t="s">
        <v>11963</v>
      </c>
      <c r="O159" s="52"/>
      <c r="P159" s="9" t="s">
        <v>1808</v>
      </c>
      <c r="Q159" s="474" t="s">
        <v>6332</v>
      </c>
      <c r="R159" s="6"/>
      <c r="S159" s="9" t="s">
        <v>6293</v>
      </c>
      <c r="T159" s="9"/>
      <c r="U159" s="6"/>
    </row>
    <row r="160" spans="1:21" ht="76.5">
      <c r="A160" s="9">
        <v>2021</v>
      </c>
      <c r="B160" s="9" t="s">
        <v>2208</v>
      </c>
      <c r="C160" s="112" t="s">
        <v>61</v>
      </c>
      <c r="D160" s="9" t="s">
        <v>1420</v>
      </c>
      <c r="E160" s="9"/>
      <c r="F160" s="22" t="s">
        <v>2209</v>
      </c>
      <c r="G160" s="6" t="s">
        <v>2210</v>
      </c>
      <c r="H160" s="8">
        <v>250000</v>
      </c>
      <c r="I160" s="6" t="s">
        <v>2190</v>
      </c>
      <c r="J160" s="9" t="s">
        <v>1828</v>
      </c>
      <c r="K160" s="9" t="s">
        <v>2412</v>
      </c>
      <c r="L160" s="6" t="s">
        <v>6064</v>
      </c>
      <c r="M160" s="164"/>
      <c r="N160" s="6" t="s">
        <v>2211</v>
      </c>
      <c r="O160" s="52"/>
      <c r="P160" s="9" t="s">
        <v>1808</v>
      </c>
      <c r="Q160" s="474" t="s">
        <v>6332</v>
      </c>
      <c r="R160" s="6"/>
      <c r="S160" s="9" t="s">
        <v>1824</v>
      </c>
      <c r="T160" s="9"/>
      <c r="U160" s="6"/>
    </row>
    <row r="161" spans="1:21" ht="89.25">
      <c r="A161" s="9">
        <v>2021</v>
      </c>
      <c r="B161" s="9" t="s">
        <v>2212</v>
      </c>
      <c r="C161" s="112" t="s">
        <v>61</v>
      </c>
      <c r="D161" s="54" t="s">
        <v>6049</v>
      </c>
      <c r="E161" s="54"/>
      <c r="F161" s="22" t="s">
        <v>2213</v>
      </c>
      <c r="G161" s="6" t="s">
        <v>2214</v>
      </c>
      <c r="H161" s="8">
        <v>200000</v>
      </c>
      <c r="I161" s="6"/>
      <c r="J161" s="9" t="s">
        <v>6314</v>
      </c>
      <c r="K161" s="9" t="s">
        <v>2412</v>
      </c>
      <c r="L161" s="6" t="s">
        <v>6064</v>
      </c>
      <c r="M161" s="164"/>
      <c r="N161" s="6" t="s">
        <v>2215</v>
      </c>
      <c r="O161" s="52"/>
      <c r="P161" s="9" t="s">
        <v>1808</v>
      </c>
      <c r="Q161" s="474" t="s">
        <v>6312</v>
      </c>
      <c r="R161" s="6"/>
      <c r="S161" s="9" t="s">
        <v>6293</v>
      </c>
      <c r="T161" s="9"/>
      <c r="U161" s="6"/>
    </row>
    <row r="162" spans="1:21" ht="51">
      <c r="A162" s="9">
        <v>2021</v>
      </c>
      <c r="B162" s="9" t="s">
        <v>1516</v>
      </c>
      <c r="C162" s="112" t="s">
        <v>61</v>
      </c>
      <c r="D162" s="9" t="s">
        <v>1500</v>
      </c>
      <c r="E162" s="9"/>
      <c r="F162" s="22" t="s">
        <v>1517</v>
      </c>
      <c r="G162" s="6" t="s">
        <v>2216</v>
      </c>
      <c r="H162" s="8">
        <v>2325008</v>
      </c>
      <c r="I162" s="6" t="s">
        <v>2190</v>
      </c>
      <c r="J162" s="9" t="s">
        <v>1828</v>
      </c>
      <c r="K162" s="9" t="s">
        <v>2412</v>
      </c>
      <c r="L162" s="6" t="s">
        <v>6064</v>
      </c>
      <c r="M162" s="164"/>
      <c r="N162" s="6" t="s">
        <v>2217</v>
      </c>
      <c r="O162" s="52"/>
      <c r="P162" s="9" t="s">
        <v>1808</v>
      </c>
      <c r="Q162" s="158"/>
      <c r="R162" s="6"/>
      <c r="S162" s="9" t="s">
        <v>1824</v>
      </c>
      <c r="T162" s="9"/>
      <c r="U162" s="6"/>
    </row>
    <row r="163" spans="1:21" ht="127.5">
      <c r="A163" s="9">
        <v>2021</v>
      </c>
      <c r="B163" s="9" t="s">
        <v>1519</v>
      </c>
      <c r="C163" s="112" t="s">
        <v>61</v>
      </c>
      <c r="D163" s="9" t="s">
        <v>1520</v>
      </c>
      <c r="E163" s="9"/>
      <c r="F163" s="22" t="s">
        <v>2218</v>
      </c>
      <c r="G163" s="6" t="s">
        <v>1389</v>
      </c>
      <c r="H163" s="8">
        <v>200000</v>
      </c>
      <c r="I163" s="6"/>
      <c r="J163" s="9" t="s">
        <v>2611</v>
      </c>
      <c r="K163" s="9" t="s">
        <v>2412</v>
      </c>
      <c r="L163" s="6" t="s">
        <v>6064</v>
      </c>
      <c r="M163" s="164"/>
      <c r="N163" s="149" t="s">
        <v>2219</v>
      </c>
      <c r="O163" s="52"/>
      <c r="P163" s="9" t="s">
        <v>1808</v>
      </c>
      <c r="Q163" s="474" t="s">
        <v>6339</v>
      </c>
      <c r="R163" s="6"/>
      <c r="S163" s="9" t="s">
        <v>6287</v>
      </c>
      <c r="T163" s="9" t="s">
        <v>6064</v>
      </c>
      <c r="U163" s="6"/>
    </row>
    <row r="164" spans="1:21" ht="140.25">
      <c r="A164" s="9">
        <v>2021</v>
      </c>
      <c r="B164" s="9" t="s">
        <v>1522</v>
      </c>
      <c r="C164" s="112" t="s">
        <v>61</v>
      </c>
      <c r="D164" s="9" t="s">
        <v>1520</v>
      </c>
      <c r="E164" s="9"/>
      <c r="F164" s="22" t="s">
        <v>1523</v>
      </c>
      <c r="G164" s="6" t="s">
        <v>1491</v>
      </c>
      <c r="H164" s="8">
        <v>170750</v>
      </c>
      <c r="I164" s="6"/>
      <c r="J164" s="9" t="s">
        <v>1442</v>
      </c>
      <c r="K164" s="9" t="s">
        <v>2412</v>
      </c>
      <c r="L164" s="6" t="s">
        <v>6064</v>
      </c>
      <c r="M164" s="164"/>
      <c r="N164" s="149" t="s">
        <v>2220</v>
      </c>
      <c r="O164" s="52"/>
      <c r="P164" s="9" t="s">
        <v>1808</v>
      </c>
      <c r="Q164" s="474" t="s">
        <v>6339</v>
      </c>
      <c r="R164" s="6"/>
      <c r="S164" s="9" t="s">
        <v>6287</v>
      </c>
      <c r="T164" s="9"/>
      <c r="U164" s="6"/>
    </row>
    <row r="165" spans="1:21" ht="89.25">
      <c r="A165" s="9">
        <v>2021</v>
      </c>
      <c r="B165" s="9" t="s">
        <v>1524</v>
      </c>
      <c r="C165" s="112" t="s">
        <v>61</v>
      </c>
      <c r="D165" s="9" t="s">
        <v>1520</v>
      </c>
      <c r="E165" s="9"/>
      <c r="F165" s="22" t="s">
        <v>1525</v>
      </c>
      <c r="G165" s="6" t="s">
        <v>575</v>
      </c>
      <c r="H165" s="8">
        <v>38350</v>
      </c>
      <c r="I165" s="6" t="s">
        <v>2190</v>
      </c>
      <c r="J165" s="9" t="s">
        <v>1828</v>
      </c>
      <c r="K165" s="9" t="s">
        <v>2412</v>
      </c>
      <c r="L165" s="6" t="s">
        <v>6064</v>
      </c>
      <c r="M165" s="164"/>
      <c r="N165" s="149" t="s">
        <v>11964</v>
      </c>
      <c r="O165" s="52"/>
      <c r="P165" s="9" t="s">
        <v>1808</v>
      </c>
      <c r="Q165" s="472" t="s">
        <v>6339</v>
      </c>
      <c r="R165" s="6"/>
      <c r="S165" s="9" t="s">
        <v>1824</v>
      </c>
      <c r="T165" s="9"/>
      <c r="U165" s="6"/>
    </row>
    <row r="166" spans="1:21" ht="89.25">
      <c r="A166" s="9">
        <v>2021</v>
      </c>
      <c r="B166" s="9" t="s">
        <v>1526</v>
      </c>
      <c r="C166" s="112" t="s">
        <v>61</v>
      </c>
      <c r="D166" s="9" t="s">
        <v>1520</v>
      </c>
      <c r="E166" s="9"/>
      <c r="F166" s="22" t="s">
        <v>1527</v>
      </c>
      <c r="G166" s="6" t="s">
        <v>1528</v>
      </c>
      <c r="H166" s="8">
        <v>32350</v>
      </c>
      <c r="I166" s="6" t="s">
        <v>2190</v>
      </c>
      <c r="J166" s="9" t="s">
        <v>1828</v>
      </c>
      <c r="K166" s="9" t="s">
        <v>2412</v>
      </c>
      <c r="L166" s="6" t="s">
        <v>6064</v>
      </c>
      <c r="M166" s="164"/>
      <c r="N166" s="149" t="s">
        <v>2222</v>
      </c>
      <c r="O166" s="52"/>
      <c r="P166" s="9" t="s">
        <v>1808</v>
      </c>
      <c r="Q166" s="474" t="s">
        <v>6343</v>
      </c>
      <c r="R166" s="6"/>
      <c r="S166" s="9" t="s">
        <v>1824</v>
      </c>
      <c r="T166" s="9"/>
      <c r="U166" s="6"/>
    </row>
    <row r="167" spans="1:21" ht="76.5">
      <c r="A167" s="9">
        <v>2021</v>
      </c>
      <c r="B167" s="9" t="s">
        <v>2223</v>
      </c>
      <c r="C167" s="112" t="s">
        <v>61</v>
      </c>
      <c r="D167" s="9" t="s">
        <v>1838</v>
      </c>
      <c r="E167" s="9"/>
      <c r="F167" s="22" t="s">
        <v>2224</v>
      </c>
      <c r="G167" s="6" t="s">
        <v>2225</v>
      </c>
      <c r="H167" s="8">
        <v>110000</v>
      </c>
      <c r="I167" s="6" t="s">
        <v>2190</v>
      </c>
      <c r="J167" s="9" t="s">
        <v>1828</v>
      </c>
      <c r="K167" s="9" t="s">
        <v>6345</v>
      </c>
      <c r="L167" s="6" t="s">
        <v>6064</v>
      </c>
      <c r="M167" s="164"/>
      <c r="N167" s="6" t="s">
        <v>2226</v>
      </c>
      <c r="O167" s="52"/>
      <c r="P167" s="9" t="s">
        <v>1808</v>
      </c>
      <c r="Q167" s="471" t="s">
        <v>6339</v>
      </c>
      <c r="R167" s="6"/>
      <c r="S167" s="9" t="s">
        <v>1824</v>
      </c>
      <c r="T167" s="9"/>
      <c r="U167" s="6"/>
    </row>
    <row r="168" spans="1:21" ht="102">
      <c r="A168" s="9">
        <v>2021</v>
      </c>
      <c r="B168" s="9" t="s">
        <v>72</v>
      </c>
      <c r="C168" s="112" t="s">
        <v>61</v>
      </c>
      <c r="D168" s="9" t="s">
        <v>2230</v>
      </c>
      <c r="E168" s="9"/>
      <c r="F168" s="22" t="s">
        <v>73</v>
      </c>
      <c r="G168" s="6" t="s">
        <v>2227</v>
      </c>
      <c r="H168" s="8">
        <v>349800</v>
      </c>
      <c r="I168" s="160" t="s">
        <v>2228</v>
      </c>
      <c r="J168" s="9" t="s">
        <v>2656</v>
      </c>
      <c r="K168" s="9" t="s">
        <v>1231</v>
      </c>
      <c r="L168" s="6" t="s">
        <v>6174</v>
      </c>
      <c r="M168" s="164"/>
      <c r="N168" s="6" t="s">
        <v>11965</v>
      </c>
      <c r="O168" s="52"/>
      <c r="P168" s="9" t="s">
        <v>5654</v>
      </c>
      <c r="Q168" s="472" t="s">
        <v>6347</v>
      </c>
      <c r="R168" s="6"/>
      <c r="S168" s="9" t="s">
        <v>2144</v>
      </c>
      <c r="T168" s="9"/>
      <c r="U168" s="160"/>
    </row>
    <row r="169" spans="1:21" ht="76.5">
      <c r="A169" s="9">
        <v>2021</v>
      </c>
      <c r="B169" s="9" t="s">
        <v>724</v>
      </c>
      <c r="C169" s="112" t="s">
        <v>61</v>
      </c>
      <c r="D169" s="9" t="s">
        <v>2232</v>
      </c>
      <c r="E169" s="9"/>
      <c r="F169" s="22" t="s">
        <v>725</v>
      </c>
      <c r="G169" s="6" t="s">
        <v>572</v>
      </c>
      <c r="H169" s="8">
        <v>8000</v>
      </c>
      <c r="I169" s="6"/>
      <c r="J169" s="9" t="s">
        <v>2460</v>
      </c>
      <c r="K169" s="9" t="s">
        <v>611</v>
      </c>
      <c r="L169" s="6" t="s">
        <v>6071</v>
      </c>
      <c r="M169" s="164"/>
      <c r="N169" s="6" t="s">
        <v>2231</v>
      </c>
      <c r="O169" s="52"/>
      <c r="P169" s="9" t="s">
        <v>1808</v>
      </c>
      <c r="Q169" s="472" t="s">
        <v>6347</v>
      </c>
      <c r="R169" s="6"/>
      <c r="S169" s="9" t="s">
        <v>6287</v>
      </c>
      <c r="T169" s="9"/>
      <c r="U169" s="6"/>
    </row>
    <row r="170" spans="1:21" ht="242.25">
      <c r="A170" s="9">
        <v>2021</v>
      </c>
      <c r="B170" s="9" t="s">
        <v>1121</v>
      </c>
      <c r="C170" s="112" t="s">
        <v>61</v>
      </c>
      <c r="D170" s="34" t="s">
        <v>62</v>
      </c>
      <c r="E170" s="34"/>
      <c r="F170" s="449" t="s">
        <v>1122</v>
      </c>
      <c r="G170" s="6" t="s">
        <v>1123</v>
      </c>
      <c r="H170" s="8">
        <v>2928900.41</v>
      </c>
      <c r="I170" s="6" t="s">
        <v>2233</v>
      </c>
      <c r="J170" s="9" t="s">
        <v>1828</v>
      </c>
      <c r="K170" s="9" t="s">
        <v>1904</v>
      </c>
      <c r="L170" s="6" t="s">
        <v>6353</v>
      </c>
      <c r="M170" s="164"/>
      <c r="N170" s="6" t="s">
        <v>11966</v>
      </c>
      <c r="O170" s="52"/>
      <c r="P170" s="6" t="s">
        <v>5654</v>
      </c>
      <c r="Q170" s="474" t="s">
        <v>6351</v>
      </c>
      <c r="R170" s="6"/>
      <c r="S170" s="9" t="s">
        <v>2144</v>
      </c>
      <c r="T170" s="9"/>
      <c r="U170" s="34"/>
    </row>
    <row r="171" spans="1:21" ht="191.25">
      <c r="A171" s="9">
        <v>2021</v>
      </c>
      <c r="B171" s="9" t="s">
        <v>1529</v>
      </c>
      <c r="C171" s="112" t="s">
        <v>61</v>
      </c>
      <c r="D171" s="9" t="s">
        <v>1520</v>
      </c>
      <c r="E171" s="9"/>
      <c r="F171" s="22" t="s">
        <v>1530</v>
      </c>
      <c r="G171" s="6" t="s">
        <v>1531</v>
      </c>
      <c r="H171" s="8">
        <v>90500</v>
      </c>
      <c r="I171" s="6" t="s">
        <v>2190</v>
      </c>
      <c r="J171" s="9" t="s">
        <v>1828</v>
      </c>
      <c r="K171" s="9" t="s">
        <v>2412</v>
      </c>
      <c r="L171" s="6" t="s">
        <v>6064</v>
      </c>
      <c r="M171" s="164"/>
      <c r="N171" s="6" t="s">
        <v>2235</v>
      </c>
      <c r="O171" s="52"/>
      <c r="P171" s="9" t="s">
        <v>1808</v>
      </c>
      <c r="Q171" s="158"/>
      <c r="R171" s="6"/>
      <c r="S171" s="9" t="s">
        <v>1824</v>
      </c>
      <c r="T171" s="9"/>
      <c r="U171" s="6"/>
    </row>
    <row r="172" spans="1:21" ht="204">
      <c r="A172" s="9">
        <v>2021</v>
      </c>
      <c r="B172" s="9" t="s">
        <v>1124</v>
      </c>
      <c r="C172" s="112" t="s">
        <v>61</v>
      </c>
      <c r="D172" s="34" t="s">
        <v>62</v>
      </c>
      <c r="E172" s="34"/>
      <c r="F172" s="22" t="s">
        <v>1125</v>
      </c>
      <c r="G172" s="6" t="s">
        <v>1113</v>
      </c>
      <c r="H172" s="8">
        <v>4512920</v>
      </c>
      <c r="I172" s="6" t="s">
        <v>2236</v>
      </c>
      <c r="J172" s="9" t="s">
        <v>2467</v>
      </c>
      <c r="K172" s="9" t="s">
        <v>1904</v>
      </c>
      <c r="L172" s="6" t="s">
        <v>6358</v>
      </c>
      <c r="M172" s="164"/>
      <c r="N172" s="6" t="s">
        <v>2237</v>
      </c>
      <c r="O172" s="52"/>
      <c r="P172" s="6" t="s">
        <v>5654</v>
      </c>
      <c r="Q172" s="474" t="s">
        <v>6269</v>
      </c>
      <c r="R172" s="6"/>
      <c r="S172" s="9" t="s">
        <v>6356</v>
      </c>
      <c r="T172" s="9"/>
      <c r="U172" s="34"/>
    </row>
    <row r="173" spans="1:21" ht="76.5">
      <c r="A173" s="9">
        <v>2021</v>
      </c>
      <c r="B173" s="9" t="s">
        <v>726</v>
      </c>
      <c r="C173" s="112" t="s">
        <v>61</v>
      </c>
      <c r="D173" s="9" t="s">
        <v>2230</v>
      </c>
      <c r="E173" s="9"/>
      <c r="F173" s="22" t="s">
        <v>727</v>
      </c>
      <c r="G173" s="6" t="s">
        <v>2238</v>
      </c>
      <c r="H173" s="8">
        <v>108540</v>
      </c>
      <c r="I173" s="160" t="s">
        <v>2239</v>
      </c>
      <c r="J173" s="9" t="s">
        <v>2656</v>
      </c>
      <c r="K173" s="9" t="s">
        <v>1231</v>
      </c>
      <c r="L173" s="6" t="s">
        <v>6360</v>
      </c>
      <c r="M173" s="164"/>
      <c r="N173" s="6" t="s">
        <v>2240</v>
      </c>
      <c r="O173" s="52"/>
      <c r="P173" s="6" t="s">
        <v>5654</v>
      </c>
      <c r="Q173" s="472" t="s">
        <v>6269</v>
      </c>
      <c r="R173" s="6"/>
      <c r="S173" s="9" t="s">
        <v>2144</v>
      </c>
      <c r="T173" s="9"/>
      <c r="U173" s="160"/>
    </row>
    <row r="174" spans="1:21" ht="76.5">
      <c r="A174" s="9">
        <v>2021</v>
      </c>
      <c r="B174" s="9" t="s">
        <v>729</v>
      </c>
      <c r="C174" s="112" t="s">
        <v>61</v>
      </c>
      <c r="D174" s="9" t="s">
        <v>2230</v>
      </c>
      <c r="E174" s="9"/>
      <c r="F174" s="22" t="s">
        <v>730</v>
      </c>
      <c r="G174" s="6" t="s">
        <v>2241</v>
      </c>
      <c r="H174" s="8">
        <v>108500</v>
      </c>
      <c r="I174" s="160" t="s">
        <v>2242</v>
      </c>
      <c r="J174" s="9" t="s">
        <v>2613</v>
      </c>
      <c r="K174" s="9" t="s">
        <v>1231</v>
      </c>
      <c r="L174" s="6" t="s">
        <v>6174</v>
      </c>
      <c r="M174" s="164"/>
      <c r="N174" s="6" t="s">
        <v>2243</v>
      </c>
      <c r="O174" s="52"/>
      <c r="P174" s="6" t="s">
        <v>5650</v>
      </c>
      <c r="Q174" s="474" t="s">
        <v>6269</v>
      </c>
      <c r="R174" s="6"/>
      <c r="S174" s="9" t="s">
        <v>2144</v>
      </c>
      <c r="T174" s="9" t="s">
        <v>6328</v>
      </c>
      <c r="U174" s="160"/>
    </row>
    <row r="175" spans="1:21" ht="76.5">
      <c r="A175" s="9">
        <v>2021</v>
      </c>
      <c r="B175" s="9" t="s">
        <v>1126</v>
      </c>
      <c r="C175" s="112" t="s">
        <v>61</v>
      </c>
      <c r="D175" s="34" t="s">
        <v>62</v>
      </c>
      <c r="E175" s="34"/>
      <c r="F175" s="22" t="s">
        <v>1128</v>
      </c>
      <c r="G175" s="6" t="s">
        <v>1129</v>
      </c>
      <c r="H175" s="8">
        <v>3300440</v>
      </c>
      <c r="I175" s="6" t="s">
        <v>2244</v>
      </c>
      <c r="J175" s="9" t="s">
        <v>2460</v>
      </c>
      <c r="K175" s="9" t="s">
        <v>1904</v>
      </c>
      <c r="L175" s="6" t="s">
        <v>6364</v>
      </c>
      <c r="M175" s="164"/>
      <c r="N175" s="6" t="s">
        <v>2245</v>
      </c>
      <c r="O175" s="52"/>
      <c r="P175" s="6" t="s">
        <v>5650</v>
      </c>
      <c r="Q175" s="474" t="s">
        <v>6339</v>
      </c>
      <c r="R175" s="6"/>
      <c r="S175" s="9" t="s">
        <v>6356</v>
      </c>
      <c r="T175" s="9"/>
      <c r="U175" s="34"/>
    </row>
    <row r="176" spans="1:21" ht="178.5">
      <c r="A176" s="9">
        <v>2021</v>
      </c>
      <c r="B176" s="9" t="s">
        <v>1532</v>
      </c>
      <c r="C176" s="112" t="s">
        <v>61</v>
      </c>
      <c r="D176" s="9" t="s">
        <v>1500</v>
      </c>
      <c r="E176" s="9"/>
      <c r="F176" s="22" t="s">
        <v>1533</v>
      </c>
      <c r="G176" s="6" t="s">
        <v>1410</v>
      </c>
      <c r="H176" s="8">
        <v>200000</v>
      </c>
      <c r="I176" s="6" t="s">
        <v>2190</v>
      </c>
      <c r="J176" s="9" t="s">
        <v>1828</v>
      </c>
      <c r="K176" s="9" t="s">
        <v>2412</v>
      </c>
      <c r="L176" s="6" t="s">
        <v>6064</v>
      </c>
      <c r="M176" s="164"/>
      <c r="N176" s="6" t="s">
        <v>11967</v>
      </c>
      <c r="O176" s="52"/>
      <c r="P176" s="9" t="s">
        <v>1808</v>
      </c>
      <c r="Q176" s="472" t="s">
        <v>6269</v>
      </c>
      <c r="R176" s="6"/>
      <c r="S176" s="9" t="s">
        <v>2163</v>
      </c>
      <c r="T176" s="9"/>
      <c r="U176" s="6"/>
    </row>
    <row r="177" spans="1:21" ht="178.5">
      <c r="A177" s="9">
        <v>2021</v>
      </c>
      <c r="B177" s="9" t="s">
        <v>1534</v>
      </c>
      <c r="C177" s="112" t="s">
        <v>61</v>
      </c>
      <c r="D177" s="9" t="s">
        <v>1520</v>
      </c>
      <c r="E177" s="9"/>
      <c r="F177" s="22" t="s">
        <v>1535</v>
      </c>
      <c r="G177" s="6" t="s">
        <v>704</v>
      </c>
      <c r="H177" s="8">
        <v>155400</v>
      </c>
      <c r="I177" s="6"/>
      <c r="J177" s="9" t="s">
        <v>1879</v>
      </c>
      <c r="K177" s="9" t="s">
        <v>2412</v>
      </c>
      <c r="L177" s="6" t="s">
        <v>6064</v>
      </c>
      <c r="M177" s="164"/>
      <c r="N177" s="6" t="s">
        <v>11968</v>
      </c>
      <c r="O177" s="52"/>
      <c r="P177" s="220" t="s">
        <v>1808</v>
      </c>
      <c r="Q177" s="474" t="s">
        <v>6269</v>
      </c>
      <c r="R177" s="6"/>
      <c r="S177" s="9" t="s">
        <v>6287</v>
      </c>
      <c r="T177" s="9"/>
      <c r="U177" s="6"/>
    </row>
    <row r="178" spans="1:21" ht="153">
      <c r="A178" s="9">
        <v>2021</v>
      </c>
      <c r="B178" s="9" t="s">
        <v>1536</v>
      </c>
      <c r="C178" s="112" t="s">
        <v>61</v>
      </c>
      <c r="D178" s="9" t="s">
        <v>1520</v>
      </c>
      <c r="E178" s="9"/>
      <c r="F178" s="22" t="s">
        <v>1537</v>
      </c>
      <c r="G178" s="6" t="s">
        <v>575</v>
      </c>
      <c r="H178" s="30">
        <v>196050</v>
      </c>
      <c r="I178" s="6" t="s">
        <v>2190</v>
      </c>
      <c r="J178" s="9" t="s">
        <v>1828</v>
      </c>
      <c r="K178" s="9" t="s">
        <v>2412</v>
      </c>
      <c r="L178" s="6" t="s">
        <v>6064</v>
      </c>
      <c r="M178" s="164"/>
      <c r="N178" s="6" t="s">
        <v>11969</v>
      </c>
      <c r="O178" s="52"/>
      <c r="P178" s="475" t="s">
        <v>1808</v>
      </c>
      <c r="Q178" s="472" t="s">
        <v>6368</v>
      </c>
      <c r="R178" s="6"/>
      <c r="S178" s="9" t="s">
        <v>1824</v>
      </c>
      <c r="T178" s="8" t="s">
        <v>11970</v>
      </c>
      <c r="U178" s="6"/>
    </row>
    <row r="179" spans="1:21" ht="102">
      <c r="A179" s="9">
        <v>2021</v>
      </c>
      <c r="B179" s="9" t="s">
        <v>1538</v>
      </c>
      <c r="C179" s="112" t="s">
        <v>61</v>
      </c>
      <c r="D179" s="9" t="s">
        <v>1500</v>
      </c>
      <c r="E179" s="9"/>
      <c r="F179" s="22" t="s">
        <v>1539</v>
      </c>
      <c r="G179" s="6" t="s">
        <v>2249</v>
      </c>
      <c r="H179" s="8">
        <v>105600</v>
      </c>
      <c r="I179" s="160" t="s">
        <v>2250</v>
      </c>
      <c r="J179" s="9" t="s">
        <v>6370</v>
      </c>
      <c r="K179" s="9" t="s">
        <v>2412</v>
      </c>
      <c r="L179" s="6" t="s">
        <v>6064</v>
      </c>
      <c r="M179" s="164"/>
      <c r="N179" s="6" t="s">
        <v>2251</v>
      </c>
      <c r="O179" s="52"/>
      <c r="P179" s="475" t="s">
        <v>1808</v>
      </c>
      <c r="Q179" s="472" t="s">
        <v>6371</v>
      </c>
      <c r="R179" s="6"/>
      <c r="S179" s="9" t="s">
        <v>6287</v>
      </c>
      <c r="T179" s="9"/>
      <c r="U179" s="160"/>
    </row>
    <row r="180" spans="1:21" ht="165.75">
      <c r="A180" s="9">
        <v>2021</v>
      </c>
      <c r="B180" s="9" t="s">
        <v>732</v>
      </c>
      <c r="C180" s="112" t="s">
        <v>61</v>
      </c>
      <c r="D180" s="9" t="s">
        <v>394</v>
      </c>
      <c r="E180" s="9"/>
      <c r="F180" s="22" t="s">
        <v>733</v>
      </c>
      <c r="G180" s="6" t="s">
        <v>734</v>
      </c>
      <c r="H180" s="8">
        <v>8000</v>
      </c>
      <c r="I180" s="6"/>
      <c r="J180" s="9" t="s">
        <v>2609</v>
      </c>
      <c r="K180" s="9" t="s">
        <v>611</v>
      </c>
      <c r="L180" s="6" t="s">
        <v>6071</v>
      </c>
      <c r="M180" s="164"/>
      <c r="N180" s="6" t="s">
        <v>11971</v>
      </c>
      <c r="O180" s="52"/>
      <c r="P180" s="475" t="s">
        <v>1808</v>
      </c>
      <c r="Q180" s="472" t="s">
        <v>6371</v>
      </c>
      <c r="R180" s="6"/>
      <c r="S180" s="9" t="s">
        <v>6373</v>
      </c>
      <c r="T180" s="9"/>
      <c r="U180" s="6"/>
    </row>
    <row r="181" spans="1:21" ht="76.5">
      <c r="A181" s="9">
        <v>2021</v>
      </c>
      <c r="B181" s="9" t="s">
        <v>1130</v>
      </c>
      <c r="C181" s="112" t="s">
        <v>61</v>
      </c>
      <c r="D181" s="34" t="s">
        <v>62</v>
      </c>
      <c r="E181" s="34"/>
      <c r="F181" s="22" t="s">
        <v>1132</v>
      </c>
      <c r="G181" s="6" t="s">
        <v>1133</v>
      </c>
      <c r="H181" s="8" t="s">
        <v>11972</v>
      </c>
      <c r="I181" s="6"/>
      <c r="J181" s="9" t="s">
        <v>2449</v>
      </c>
      <c r="K181" s="9" t="s">
        <v>1904</v>
      </c>
      <c r="L181" s="6" t="s">
        <v>6174</v>
      </c>
      <c r="M181" s="164"/>
      <c r="N181" s="6" t="s">
        <v>11973</v>
      </c>
      <c r="O181" s="52"/>
      <c r="P181" s="6" t="s">
        <v>5650</v>
      </c>
      <c r="Q181" s="474" t="s">
        <v>6375</v>
      </c>
      <c r="R181" s="6"/>
      <c r="S181" s="9" t="s">
        <v>6356</v>
      </c>
      <c r="T181" s="9" t="s">
        <v>6328</v>
      </c>
      <c r="U181" s="34"/>
    </row>
    <row r="182" spans="1:21" ht="76.5">
      <c r="A182" s="9">
        <v>2021</v>
      </c>
      <c r="B182" s="9" t="s">
        <v>735</v>
      </c>
      <c r="C182" s="112" t="s">
        <v>61</v>
      </c>
      <c r="D182" s="9" t="s">
        <v>394</v>
      </c>
      <c r="E182" s="9"/>
      <c r="F182" s="22" t="s">
        <v>736</v>
      </c>
      <c r="G182" s="6" t="s">
        <v>737</v>
      </c>
      <c r="H182" s="8">
        <v>10000</v>
      </c>
      <c r="I182" s="160" t="s">
        <v>2254</v>
      </c>
      <c r="J182" s="9" t="s">
        <v>2460</v>
      </c>
      <c r="K182" s="9" t="s">
        <v>611</v>
      </c>
      <c r="L182" s="6" t="s">
        <v>6071</v>
      </c>
      <c r="M182" s="164"/>
      <c r="N182" s="6" t="s">
        <v>11974</v>
      </c>
      <c r="O182" s="52"/>
      <c r="P182" s="475" t="s">
        <v>1808</v>
      </c>
      <c r="Q182" s="472" t="s">
        <v>6375</v>
      </c>
      <c r="R182" s="6"/>
      <c r="S182" s="9" t="s">
        <v>6287</v>
      </c>
      <c r="T182" s="9"/>
      <c r="U182" s="160"/>
    </row>
    <row r="183" spans="1:21" ht="153">
      <c r="A183" s="9">
        <v>2021</v>
      </c>
      <c r="B183" s="9" t="s">
        <v>738</v>
      </c>
      <c r="C183" s="112" t="s">
        <v>61</v>
      </c>
      <c r="D183" s="9" t="s">
        <v>652</v>
      </c>
      <c r="E183" s="9"/>
      <c r="F183" s="22" t="s">
        <v>739</v>
      </c>
      <c r="G183" s="6" t="s">
        <v>2256</v>
      </c>
      <c r="H183" s="8">
        <v>157139</v>
      </c>
      <c r="I183" s="160" t="s">
        <v>2257</v>
      </c>
      <c r="J183" s="9" t="s">
        <v>1879</v>
      </c>
      <c r="K183" s="9" t="s">
        <v>611</v>
      </c>
      <c r="L183" s="6" t="s">
        <v>6092</v>
      </c>
      <c r="M183" s="164"/>
      <c r="N183" s="6" t="s">
        <v>2258</v>
      </c>
      <c r="O183" s="52"/>
      <c r="P183" s="6" t="s">
        <v>5650</v>
      </c>
      <c r="Q183" s="472" t="s">
        <v>6375</v>
      </c>
      <c r="R183" s="6"/>
      <c r="S183" s="9" t="s">
        <v>2144</v>
      </c>
      <c r="T183" s="9"/>
      <c r="U183" s="160"/>
    </row>
    <row r="184" spans="1:21" ht="76.5">
      <c r="A184" s="9">
        <v>2021</v>
      </c>
      <c r="B184" s="9" t="s">
        <v>741</v>
      </c>
      <c r="C184" s="112" t="s">
        <v>61</v>
      </c>
      <c r="D184" s="9" t="s">
        <v>652</v>
      </c>
      <c r="E184" s="9"/>
      <c r="F184" s="22" t="s">
        <v>742</v>
      </c>
      <c r="G184" s="6" t="s">
        <v>2259</v>
      </c>
      <c r="H184" s="8">
        <v>28150</v>
      </c>
      <c r="I184" s="6" t="s">
        <v>2260</v>
      </c>
      <c r="J184" s="9" t="s">
        <v>1879</v>
      </c>
      <c r="K184" s="9" t="s">
        <v>611</v>
      </c>
      <c r="L184" s="6" t="s">
        <v>6279</v>
      </c>
      <c r="M184" s="164"/>
      <c r="N184" s="6" t="s">
        <v>2261</v>
      </c>
      <c r="O184" s="52"/>
      <c r="P184" s="6" t="s">
        <v>5654</v>
      </c>
      <c r="Q184" s="474" t="s">
        <v>6375</v>
      </c>
      <c r="R184" s="6"/>
      <c r="S184" s="9" t="s">
        <v>2144</v>
      </c>
      <c r="T184" s="9"/>
      <c r="U184" s="6"/>
    </row>
    <row r="185" spans="1:21" ht="165.75">
      <c r="A185" s="9">
        <v>2021</v>
      </c>
      <c r="B185" s="9" t="s">
        <v>744</v>
      </c>
      <c r="C185" s="112" t="s">
        <v>61</v>
      </c>
      <c r="D185" s="9" t="s">
        <v>652</v>
      </c>
      <c r="E185" s="9"/>
      <c r="F185" s="22" t="s">
        <v>745</v>
      </c>
      <c r="G185" s="6" t="s">
        <v>2262</v>
      </c>
      <c r="H185" s="8">
        <v>179435</v>
      </c>
      <c r="I185" s="160" t="s">
        <v>2263</v>
      </c>
      <c r="J185" s="9" t="s">
        <v>1879</v>
      </c>
      <c r="K185" s="9" t="s">
        <v>611</v>
      </c>
      <c r="L185" s="6" t="s">
        <v>6279</v>
      </c>
      <c r="M185" s="164"/>
      <c r="N185" s="6" t="s">
        <v>2264</v>
      </c>
      <c r="O185" s="52"/>
      <c r="P185" s="6" t="s">
        <v>5650</v>
      </c>
      <c r="Q185" s="472" t="s">
        <v>6375</v>
      </c>
      <c r="R185" s="6"/>
      <c r="S185" s="9" t="s">
        <v>2144</v>
      </c>
      <c r="T185" s="9"/>
      <c r="U185" s="160"/>
    </row>
    <row r="186" spans="1:21" ht="165.75">
      <c r="A186" s="9">
        <v>2021</v>
      </c>
      <c r="B186" s="9" t="s">
        <v>1134</v>
      </c>
      <c r="C186" s="112" t="s">
        <v>61</v>
      </c>
      <c r="D186" s="9" t="s">
        <v>652</v>
      </c>
      <c r="E186" s="9"/>
      <c r="F186" s="22" t="s">
        <v>1135</v>
      </c>
      <c r="G186" s="6" t="s">
        <v>1136</v>
      </c>
      <c r="H186" s="8">
        <v>916956.36</v>
      </c>
      <c r="I186" s="6"/>
      <c r="J186" s="9" t="s">
        <v>2613</v>
      </c>
      <c r="K186" s="9" t="s">
        <v>611</v>
      </c>
      <c r="L186" s="6" t="s">
        <v>6104</v>
      </c>
      <c r="M186" s="164"/>
      <c r="N186" s="6" t="s">
        <v>2265</v>
      </c>
      <c r="O186" s="52"/>
      <c r="P186" s="6" t="s">
        <v>5654</v>
      </c>
      <c r="Q186" s="474" t="s">
        <v>6382</v>
      </c>
      <c r="R186" s="6"/>
      <c r="S186" s="9" t="s">
        <v>2144</v>
      </c>
      <c r="T186" s="6" t="s">
        <v>6384</v>
      </c>
      <c r="U186" s="6"/>
    </row>
    <row r="187" spans="1:21" ht="127.5">
      <c r="A187" s="9">
        <v>2021</v>
      </c>
      <c r="B187" s="9" t="s">
        <v>747</v>
      </c>
      <c r="C187" s="112" t="s">
        <v>61</v>
      </c>
      <c r="D187" s="9" t="s">
        <v>652</v>
      </c>
      <c r="E187" s="9"/>
      <c r="F187" s="22" t="s">
        <v>748</v>
      </c>
      <c r="G187" s="6" t="s">
        <v>2266</v>
      </c>
      <c r="H187" s="8">
        <v>30842</v>
      </c>
      <c r="I187" s="160" t="s">
        <v>2267</v>
      </c>
      <c r="J187" s="9" t="s">
        <v>2656</v>
      </c>
      <c r="K187" s="9" t="s">
        <v>611</v>
      </c>
      <c r="L187" s="6" t="s">
        <v>6279</v>
      </c>
      <c r="M187" s="164"/>
      <c r="N187" s="6" t="s">
        <v>2268</v>
      </c>
      <c r="O187" s="52"/>
      <c r="P187" s="6" t="s">
        <v>5654</v>
      </c>
      <c r="Q187" s="474" t="s">
        <v>6382</v>
      </c>
      <c r="R187" s="6"/>
      <c r="S187" s="9" t="s">
        <v>2144</v>
      </c>
      <c r="T187" s="9"/>
      <c r="U187" s="160"/>
    </row>
    <row r="188" spans="1:21" ht="153">
      <c r="A188" s="9">
        <v>2021</v>
      </c>
      <c r="B188" s="9" t="s">
        <v>750</v>
      </c>
      <c r="C188" s="112" t="s">
        <v>61</v>
      </c>
      <c r="D188" s="9" t="s">
        <v>652</v>
      </c>
      <c r="E188" s="9"/>
      <c r="F188" s="22" t="s">
        <v>751</v>
      </c>
      <c r="G188" s="6" t="s">
        <v>2269</v>
      </c>
      <c r="H188" s="30">
        <v>378009.46</v>
      </c>
      <c r="I188" s="160" t="s">
        <v>2270</v>
      </c>
      <c r="J188" s="9" t="s">
        <v>1879</v>
      </c>
      <c r="K188" s="9" t="s">
        <v>611</v>
      </c>
      <c r="L188" s="6" t="s">
        <v>6137</v>
      </c>
      <c r="M188" s="164"/>
      <c r="N188" s="6" t="s">
        <v>2271</v>
      </c>
      <c r="O188" s="52"/>
      <c r="P188" s="6" t="s">
        <v>5654</v>
      </c>
      <c r="Q188" s="474" t="s">
        <v>6382</v>
      </c>
      <c r="R188" s="6"/>
      <c r="S188" s="9" t="s">
        <v>2144</v>
      </c>
      <c r="T188" s="8" t="s">
        <v>11975</v>
      </c>
      <c r="U188" s="160"/>
    </row>
    <row r="189" spans="1:21" ht="76.5">
      <c r="A189" s="9">
        <v>2021</v>
      </c>
      <c r="B189" s="9" t="s">
        <v>2272</v>
      </c>
      <c r="C189" s="112" t="s">
        <v>61</v>
      </c>
      <c r="D189" s="9" t="s">
        <v>1934</v>
      </c>
      <c r="E189" s="9"/>
      <c r="F189" s="22" t="s">
        <v>2273</v>
      </c>
      <c r="G189" s="6" t="s">
        <v>1547</v>
      </c>
      <c r="H189" s="8">
        <v>169850</v>
      </c>
      <c r="I189" s="6" t="s">
        <v>2190</v>
      </c>
      <c r="J189" s="9" t="s">
        <v>1828</v>
      </c>
      <c r="K189" s="9" t="s">
        <v>2412</v>
      </c>
      <c r="L189" s="6" t="s">
        <v>6064</v>
      </c>
      <c r="M189" s="164"/>
      <c r="N189" s="6"/>
      <c r="O189" s="52"/>
      <c r="P189" s="475" t="s">
        <v>1808</v>
      </c>
      <c r="Q189" s="474" t="s">
        <v>6382</v>
      </c>
      <c r="R189" s="6"/>
      <c r="S189" s="9" t="s">
        <v>1824</v>
      </c>
      <c r="T189" s="9"/>
      <c r="U189" s="6"/>
    </row>
    <row r="190" spans="1:21" ht="76.5">
      <c r="A190" s="9">
        <v>2021</v>
      </c>
      <c r="B190" s="9" t="s">
        <v>2274</v>
      </c>
      <c r="C190" s="112" t="s">
        <v>61</v>
      </c>
      <c r="D190" s="9" t="s">
        <v>1838</v>
      </c>
      <c r="E190" s="9"/>
      <c r="F190" s="22" t="s">
        <v>2276</v>
      </c>
      <c r="G190" s="6" t="s">
        <v>2277</v>
      </c>
      <c r="H190" s="8">
        <v>55000</v>
      </c>
      <c r="I190" s="6" t="s">
        <v>2190</v>
      </c>
      <c r="J190" s="9" t="s">
        <v>1828</v>
      </c>
      <c r="K190" s="9" t="s">
        <v>6345</v>
      </c>
      <c r="L190" s="6" t="s">
        <v>1838</v>
      </c>
      <c r="M190" s="164"/>
      <c r="N190" s="6"/>
      <c r="O190" s="52"/>
      <c r="P190" s="475" t="s">
        <v>1808</v>
      </c>
      <c r="Q190" s="474" t="s">
        <v>6382</v>
      </c>
      <c r="R190" s="6"/>
      <c r="S190" s="9" t="s">
        <v>2275</v>
      </c>
      <c r="T190" s="9"/>
      <c r="U190" s="6"/>
    </row>
    <row r="191" spans="1:21" ht="153">
      <c r="A191" s="9">
        <v>2021</v>
      </c>
      <c r="B191" s="9" t="s">
        <v>1541</v>
      </c>
      <c r="C191" s="112" t="s">
        <v>61</v>
      </c>
      <c r="D191" s="9" t="s">
        <v>1520</v>
      </c>
      <c r="E191" s="9"/>
      <c r="F191" s="22" t="s">
        <v>1542</v>
      </c>
      <c r="G191" s="6" t="s">
        <v>1543</v>
      </c>
      <c r="H191" s="8">
        <v>46400</v>
      </c>
      <c r="I191" s="6" t="s">
        <v>2190</v>
      </c>
      <c r="J191" s="9" t="s">
        <v>1828</v>
      </c>
      <c r="K191" s="9" t="s">
        <v>2412</v>
      </c>
      <c r="L191" s="6" t="s">
        <v>6064</v>
      </c>
      <c r="M191" s="164"/>
      <c r="N191" s="6" t="s">
        <v>11976</v>
      </c>
      <c r="O191" s="52"/>
      <c r="P191" s="475" t="s">
        <v>1808</v>
      </c>
      <c r="Q191" s="472" t="s">
        <v>6312</v>
      </c>
      <c r="R191" s="6"/>
      <c r="S191" s="9" t="s">
        <v>1824</v>
      </c>
      <c r="T191" s="9"/>
      <c r="U191" s="6"/>
    </row>
    <row r="192" spans="1:21" ht="178.5">
      <c r="A192" s="9">
        <v>2021</v>
      </c>
      <c r="B192" s="9" t="s">
        <v>1137</v>
      </c>
      <c r="C192" s="112" t="s">
        <v>61</v>
      </c>
      <c r="D192" s="9" t="s">
        <v>1099</v>
      </c>
      <c r="E192" s="9"/>
      <c r="F192" s="22" t="s">
        <v>1138</v>
      </c>
      <c r="G192" s="6" t="s">
        <v>2279</v>
      </c>
      <c r="H192" s="30">
        <v>246099.46</v>
      </c>
      <c r="I192" s="292" t="s">
        <v>2280</v>
      </c>
      <c r="J192" s="9" t="s">
        <v>6370</v>
      </c>
      <c r="K192" s="9" t="s">
        <v>1904</v>
      </c>
      <c r="L192" s="6" t="s">
        <v>6137</v>
      </c>
      <c r="M192" s="164"/>
      <c r="N192" s="6" t="s">
        <v>11977</v>
      </c>
      <c r="O192" s="52"/>
      <c r="P192" s="475" t="s">
        <v>1808</v>
      </c>
      <c r="Q192" s="472" t="s">
        <v>6382</v>
      </c>
      <c r="R192" s="6"/>
      <c r="S192" s="9" t="s">
        <v>6373</v>
      </c>
      <c r="T192" s="9"/>
      <c r="U192" s="292"/>
    </row>
    <row r="193" spans="1:21" ht="102">
      <c r="A193" s="9">
        <v>2021</v>
      </c>
      <c r="B193" s="9" t="s">
        <v>753</v>
      </c>
      <c r="C193" s="112" t="s">
        <v>61</v>
      </c>
      <c r="D193" s="9" t="s">
        <v>652</v>
      </c>
      <c r="E193" s="9"/>
      <c r="F193" s="22" t="s">
        <v>754</v>
      </c>
      <c r="G193" s="6" t="s">
        <v>755</v>
      </c>
      <c r="H193" s="30">
        <v>29572.21</v>
      </c>
      <c r="I193" s="6" t="s">
        <v>2190</v>
      </c>
      <c r="J193" s="9" t="s">
        <v>1828</v>
      </c>
      <c r="K193" s="9" t="s">
        <v>611</v>
      </c>
      <c r="L193" s="6" t="s">
        <v>6394</v>
      </c>
      <c r="M193" s="22"/>
      <c r="N193" s="6"/>
      <c r="O193" s="52"/>
      <c r="P193" s="6" t="s">
        <v>6391</v>
      </c>
      <c r="Q193" s="297" t="s">
        <v>6392</v>
      </c>
      <c r="R193" s="6"/>
      <c r="S193" s="9" t="s">
        <v>2144</v>
      </c>
      <c r="T193" s="8" t="s">
        <v>11978</v>
      </c>
      <c r="U193" s="6"/>
    </row>
    <row r="194" spans="1:21" ht="242.25">
      <c r="A194" s="9">
        <v>2021</v>
      </c>
      <c r="B194" s="9" t="s">
        <v>1544</v>
      </c>
      <c r="C194" s="112" t="s">
        <v>61</v>
      </c>
      <c r="D194" s="9" t="s">
        <v>1545</v>
      </c>
      <c r="E194" s="9"/>
      <c r="F194" s="22" t="s">
        <v>1546</v>
      </c>
      <c r="G194" s="6" t="s">
        <v>2282</v>
      </c>
      <c r="H194" s="8">
        <v>110000</v>
      </c>
      <c r="I194" s="6" t="s">
        <v>2190</v>
      </c>
      <c r="J194" s="9" t="s">
        <v>1828</v>
      </c>
      <c r="K194" s="9" t="s">
        <v>2412</v>
      </c>
      <c r="L194" s="6" t="s">
        <v>6064</v>
      </c>
      <c r="M194" s="164"/>
      <c r="N194" s="6" t="s">
        <v>11979</v>
      </c>
      <c r="O194" s="52"/>
      <c r="P194" s="475" t="s">
        <v>1808</v>
      </c>
      <c r="Q194" s="474" t="s">
        <v>6395</v>
      </c>
      <c r="R194" s="6"/>
      <c r="S194" s="9" t="s">
        <v>1824</v>
      </c>
      <c r="T194" s="9"/>
      <c r="U194" s="6"/>
    </row>
    <row r="195" spans="1:21" ht="25.5">
      <c r="A195" s="9">
        <v>2021</v>
      </c>
      <c r="B195" s="9" t="s">
        <v>1548</v>
      </c>
      <c r="C195" s="112" t="s">
        <v>61</v>
      </c>
      <c r="D195" s="9" t="s">
        <v>1549</v>
      </c>
      <c r="E195" s="9"/>
      <c r="F195" s="22" t="s">
        <v>1550</v>
      </c>
      <c r="G195" s="6" t="s">
        <v>808</v>
      </c>
      <c r="H195" s="8">
        <v>803882</v>
      </c>
      <c r="I195" s="6" t="s">
        <v>2190</v>
      </c>
      <c r="J195" s="9" t="s">
        <v>1828</v>
      </c>
      <c r="K195" s="9" t="s">
        <v>2412</v>
      </c>
      <c r="L195" s="6" t="s">
        <v>6064</v>
      </c>
      <c r="M195" s="535"/>
      <c r="N195" s="6"/>
      <c r="O195" s="52"/>
      <c r="P195" s="475" t="s">
        <v>1808</v>
      </c>
      <c r="Q195" s="476" t="s">
        <v>6397</v>
      </c>
      <c r="R195" s="6"/>
      <c r="S195" s="9" t="s">
        <v>1824</v>
      </c>
      <c r="T195" s="9"/>
      <c r="U195" s="6"/>
    </row>
    <row r="196" spans="1:21" ht="102">
      <c r="A196" s="9">
        <v>2021</v>
      </c>
      <c r="B196" s="9" t="s">
        <v>1551</v>
      </c>
      <c r="C196" s="112" t="s">
        <v>61</v>
      </c>
      <c r="D196" s="9" t="s">
        <v>1549</v>
      </c>
      <c r="E196" s="9"/>
      <c r="F196" s="22" t="s">
        <v>1552</v>
      </c>
      <c r="G196" s="6" t="s">
        <v>1511</v>
      </c>
      <c r="H196" s="8">
        <v>2789448.89</v>
      </c>
      <c r="I196" s="6" t="s">
        <v>2190</v>
      </c>
      <c r="J196" s="9" t="s">
        <v>1828</v>
      </c>
      <c r="K196" s="9" t="s">
        <v>2412</v>
      </c>
      <c r="L196" s="6" t="s">
        <v>6064</v>
      </c>
      <c r="M196" s="535"/>
      <c r="N196" s="6" t="s">
        <v>2284</v>
      </c>
      <c r="O196" s="52"/>
      <c r="P196" s="475" t="s">
        <v>1808</v>
      </c>
      <c r="Q196" s="474" t="s">
        <v>6399</v>
      </c>
      <c r="R196" s="6"/>
      <c r="S196" s="9" t="s">
        <v>1824</v>
      </c>
      <c r="T196" s="9"/>
      <c r="U196" s="6"/>
    </row>
    <row r="197" spans="1:21" ht="153">
      <c r="A197" s="9">
        <v>2021</v>
      </c>
      <c r="B197" s="9" t="s">
        <v>756</v>
      </c>
      <c r="C197" s="112" t="s">
        <v>61</v>
      </c>
      <c r="D197" s="6" t="s">
        <v>586</v>
      </c>
      <c r="E197" s="6"/>
      <c r="F197" s="22" t="s">
        <v>757</v>
      </c>
      <c r="G197" s="6" t="s">
        <v>2227</v>
      </c>
      <c r="H197" s="8">
        <v>20000</v>
      </c>
      <c r="I197" s="160" t="s">
        <v>2285</v>
      </c>
      <c r="J197" s="9" t="s">
        <v>2656</v>
      </c>
      <c r="K197" s="9" t="s">
        <v>611</v>
      </c>
      <c r="L197" s="6" t="s">
        <v>6174</v>
      </c>
      <c r="M197" s="535"/>
      <c r="N197" s="6" t="s">
        <v>2286</v>
      </c>
      <c r="O197" s="52"/>
      <c r="P197" s="6" t="s">
        <v>5654</v>
      </c>
      <c r="Q197" s="161"/>
      <c r="R197" s="6"/>
      <c r="S197" s="9" t="s">
        <v>2144</v>
      </c>
      <c r="T197" s="9"/>
      <c r="U197" s="160"/>
    </row>
    <row r="198" spans="1:21" ht="89.25">
      <c r="A198" s="9">
        <v>2021</v>
      </c>
      <c r="B198" s="9" t="s">
        <v>758</v>
      </c>
      <c r="C198" s="112" t="s">
        <v>61</v>
      </c>
      <c r="D198" s="9" t="s">
        <v>456</v>
      </c>
      <c r="E198" s="9"/>
      <c r="F198" s="22" t="s">
        <v>759</v>
      </c>
      <c r="G198" s="6" t="s">
        <v>2287</v>
      </c>
      <c r="H198" s="8">
        <v>46650</v>
      </c>
      <c r="I198" s="160" t="s">
        <v>2288</v>
      </c>
      <c r="J198" s="9" t="s">
        <v>2656</v>
      </c>
      <c r="K198" s="9" t="s">
        <v>611</v>
      </c>
      <c r="L198" s="6" t="s">
        <v>6394</v>
      </c>
      <c r="M198" s="535"/>
      <c r="N198" s="6" t="s">
        <v>11980</v>
      </c>
      <c r="O198" s="52"/>
      <c r="P198" s="6" t="s">
        <v>5654</v>
      </c>
      <c r="Q198" s="474" t="s">
        <v>6399</v>
      </c>
      <c r="R198" s="6"/>
      <c r="S198" s="9" t="s">
        <v>2144</v>
      </c>
      <c r="T198" s="9"/>
      <c r="U198" s="160"/>
    </row>
    <row r="199" spans="1:21" ht="51">
      <c r="A199" s="9"/>
      <c r="B199" s="9" t="s">
        <v>2290</v>
      </c>
      <c r="C199" s="9" t="s">
        <v>1867</v>
      </c>
      <c r="D199" s="9" t="s">
        <v>62</v>
      </c>
      <c r="E199" s="9"/>
      <c r="F199" s="22" t="s">
        <v>2291</v>
      </c>
      <c r="G199" s="6" t="s">
        <v>2292</v>
      </c>
      <c r="H199" s="8"/>
      <c r="I199" s="160" t="s">
        <v>2293</v>
      </c>
      <c r="J199" s="9" t="s">
        <v>2656</v>
      </c>
      <c r="K199" s="9"/>
      <c r="L199" s="9"/>
      <c r="M199" s="535"/>
      <c r="N199" s="139" t="s">
        <v>2016</v>
      </c>
      <c r="O199" s="52"/>
      <c r="P199" s="6" t="s">
        <v>5654</v>
      </c>
      <c r="Q199" s="478" t="s">
        <v>6404</v>
      </c>
      <c r="R199" s="6"/>
      <c r="S199" s="9"/>
      <c r="T199" s="9"/>
      <c r="U199" s="160"/>
    </row>
    <row r="200" spans="1:21" ht="51">
      <c r="A200" s="9"/>
      <c r="B200" s="9" t="s">
        <v>2294</v>
      </c>
      <c r="C200" s="9" t="s">
        <v>1867</v>
      </c>
      <c r="D200" s="9" t="s">
        <v>62</v>
      </c>
      <c r="E200" s="9"/>
      <c r="F200" s="22" t="s">
        <v>2295</v>
      </c>
      <c r="G200" s="6" t="s">
        <v>2296</v>
      </c>
      <c r="H200" s="8"/>
      <c r="I200" s="6" t="s">
        <v>2297</v>
      </c>
      <c r="J200" s="9" t="s">
        <v>2656</v>
      </c>
      <c r="K200" s="9"/>
      <c r="L200" s="9"/>
      <c r="M200" s="535"/>
      <c r="N200" s="139" t="s">
        <v>2016</v>
      </c>
      <c r="O200" s="52"/>
      <c r="P200" s="6" t="s">
        <v>5654</v>
      </c>
      <c r="Q200" s="478" t="s">
        <v>6406</v>
      </c>
      <c r="R200" s="6"/>
      <c r="S200" s="9"/>
      <c r="T200" s="9"/>
      <c r="U200" s="6"/>
    </row>
    <row r="201" spans="1:21" ht="140.25">
      <c r="A201" s="9">
        <v>2021</v>
      </c>
      <c r="B201" s="9" t="s">
        <v>1553</v>
      </c>
      <c r="C201" s="112" t="s">
        <v>61</v>
      </c>
      <c r="D201" s="9" t="s">
        <v>1549</v>
      </c>
      <c r="E201" s="9"/>
      <c r="F201" s="22" t="s">
        <v>1554</v>
      </c>
      <c r="G201" s="6" t="s">
        <v>575</v>
      </c>
      <c r="H201" s="13"/>
      <c r="I201" s="6" t="s">
        <v>2298</v>
      </c>
      <c r="J201" s="9" t="s">
        <v>1828</v>
      </c>
      <c r="K201" s="9" t="s">
        <v>11981</v>
      </c>
      <c r="L201" s="6" t="s">
        <v>6410</v>
      </c>
      <c r="M201" s="535"/>
      <c r="N201" s="6" t="s">
        <v>11982</v>
      </c>
      <c r="O201" s="52"/>
      <c r="P201" s="475" t="s">
        <v>1808</v>
      </c>
      <c r="Q201" s="472" t="s">
        <v>6408</v>
      </c>
      <c r="R201" s="6"/>
      <c r="S201" s="9" t="s">
        <v>1824</v>
      </c>
      <c r="T201" s="9"/>
      <c r="U201" s="6"/>
    </row>
    <row r="202" spans="1:21" ht="51">
      <c r="A202" s="9">
        <v>2021</v>
      </c>
      <c r="B202" s="9" t="s">
        <v>761</v>
      </c>
      <c r="C202" s="112" t="s">
        <v>61</v>
      </c>
      <c r="D202" s="9" t="s">
        <v>68</v>
      </c>
      <c r="E202" s="9"/>
      <c r="F202" s="22" t="s">
        <v>762</v>
      </c>
      <c r="G202" s="6" t="s">
        <v>763</v>
      </c>
      <c r="H202" s="13">
        <v>350000</v>
      </c>
      <c r="I202" s="6" t="s">
        <v>2300</v>
      </c>
      <c r="J202" s="9" t="s">
        <v>1828</v>
      </c>
      <c r="K202" s="9" t="s">
        <v>611</v>
      </c>
      <c r="L202" s="6" t="s">
        <v>6092</v>
      </c>
      <c r="M202" s="22"/>
      <c r="N202" s="6" t="s">
        <v>2301</v>
      </c>
      <c r="O202" s="52"/>
      <c r="P202" s="6" t="s">
        <v>5654</v>
      </c>
      <c r="Q202" s="6"/>
      <c r="R202" s="6"/>
      <c r="S202" s="9" t="s">
        <v>2144</v>
      </c>
      <c r="T202" s="9"/>
      <c r="U202" s="6"/>
    </row>
    <row r="203" spans="1:21" ht="89.25">
      <c r="A203" s="9">
        <v>2021</v>
      </c>
      <c r="B203" s="9" t="s">
        <v>2302</v>
      </c>
      <c r="C203" s="112" t="s">
        <v>61</v>
      </c>
      <c r="D203" s="54" t="s">
        <v>6049</v>
      </c>
      <c r="E203" s="54"/>
      <c r="F203" s="22" t="s">
        <v>2303</v>
      </c>
      <c r="G203" s="6" t="s">
        <v>2304</v>
      </c>
      <c r="H203" s="13">
        <v>200000</v>
      </c>
      <c r="I203" s="480" t="s">
        <v>2305</v>
      </c>
      <c r="J203" s="9" t="s">
        <v>5924</v>
      </c>
      <c r="K203" s="9" t="s">
        <v>2412</v>
      </c>
      <c r="L203" s="6" t="s">
        <v>6064</v>
      </c>
      <c r="M203" s="22"/>
      <c r="N203" s="6" t="s">
        <v>2306</v>
      </c>
      <c r="O203" s="52"/>
      <c r="P203" s="475" t="s">
        <v>1808</v>
      </c>
      <c r="Q203" s="9"/>
      <c r="R203" s="6"/>
      <c r="S203" s="9" t="s">
        <v>6287</v>
      </c>
      <c r="T203" s="9"/>
      <c r="U203" s="480"/>
    </row>
    <row r="204" spans="1:21" ht="38.25">
      <c r="A204" s="9">
        <v>2021</v>
      </c>
      <c r="B204" s="9" t="s">
        <v>2307</v>
      </c>
      <c r="C204" s="112" t="s">
        <v>61</v>
      </c>
      <c r="D204" s="54" t="s">
        <v>6049</v>
      </c>
      <c r="E204" s="54"/>
      <c r="F204" s="22" t="s">
        <v>2308</v>
      </c>
      <c r="G204" s="6" t="s">
        <v>2309</v>
      </c>
      <c r="H204" s="13">
        <v>190000</v>
      </c>
      <c r="I204" s="6" t="s">
        <v>2310</v>
      </c>
      <c r="J204" s="9" t="s">
        <v>2609</v>
      </c>
      <c r="K204" s="9" t="s">
        <v>2412</v>
      </c>
      <c r="L204" s="6" t="s">
        <v>6064</v>
      </c>
      <c r="M204" s="22"/>
      <c r="N204" s="6" t="s">
        <v>2311</v>
      </c>
      <c r="O204" s="52"/>
      <c r="P204" s="475" t="s">
        <v>1808</v>
      </c>
      <c r="Q204" s="6"/>
      <c r="R204" s="6"/>
      <c r="S204" s="9" t="s">
        <v>6287</v>
      </c>
      <c r="T204" s="9"/>
      <c r="U204" s="6"/>
    </row>
    <row r="205" spans="1:21" ht="51">
      <c r="A205" s="9">
        <v>2021</v>
      </c>
      <c r="B205" s="9" t="s">
        <v>1140</v>
      </c>
      <c r="C205" s="112" t="s">
        <v>61</v>
      </c>
      <c r="D205" s="9" t="s">
        <v>1141</v>
      </c>
      <c r="E205" s="9"/>
      <c r="F205" s="22" t="s">
        <v>1142</v>
      </c>
      <c r="G205" s="6" t="s">
        <v>1143</v>
      </c>
      <c r="H205" s="13">
        <v>114237.84</v>
      </c>
      <c r="I205" s="6"/>
      <c r="J205" s="9" t="s">
        <v>6370</v>
      </c>
      <c r="K205" s="9" t="s">
        <v>1904</v>
      </c>
      <c r="L205" s="6" t="s">
        <v>6217</v>
      </c>
      <c r="M205" s="22"/>
      <c r="N205" s="6" t="s">
        <v>2312</v>
      </c>
      <c r="O205" s="52"/>
      <c r="P205" s="475" t="s">
        <v>1808</v>
      </c>
      <c r="Q205" s="6"/>
      <c r="R205" s="6"/>
      <c r="S205" s="9" t="s">
        <v>6373</v>
      </c>
      <c r="T205" s="9"/>
      <c r="U205" s="6"/>
    </row>
    <row r="206" spans="1:21" ht="140.25">
      <c r="A206" s="9">
        <v>2021</v>
      </c>
      <c r="B206" s="9" t="s">
        <v>1144</v>
      </c>
      <c r="C206" s="112" t="s">
        <v>61</v>
      </c>
      <c r="D206" s="9" t="s">
        <v>1141</v>
      </c>
      <c r="E206" s="9"/>
      <c r="F206" s="22" t="s">
        <v>1145</v>
      </c>
      <c r="G206" s="6" t="s">
        <v>2313</v>
      </c>
      <c r="H206" s="13">
        <v>246150</v>
      </c>
      <c r="I206" s="6" t="s">
        <v>2314</v>
      </c>
      <c r="J206" s="9" t="s">
        <v>2609</v>
      </c>
      <c r="K206" s="9" t="s">
        <v>1904</v>
      </c>
      <c r="L206" s="6" t="s">
        <v>6411</v>
      </c>
      <c r="M206" s="22"/>
      <c r="N206" s="6" t="s">
        <v>2315</v>
      </c>
      <c r="O206" s="52"/>
      <c r="P206" s="6" t="s">
        <v>5650</v>
      </c>
      <c r="Q206" s="6"/>
      <c r="R206" s="6"/>
      <c r="S206" s="9" t="s">
        <v>6373</v>
      </c>
      <c r="T206" s="9"/>
      <c r="U206" s="6"/>
    </row>
    <row r="207" spans="1:21" ht="102">
      <c r="A207" s="9">
        <v>2021</v>
      </c>
      <c r="B207" s="9" t="s">
        <v>764</v>
      </c>
      <c r="C207" s="112" t="s">
        <v>61</v>
      </c>
      <c r="D207" s="9" t="s">
        <v>652</v>
      </c>
      <c r="E207" s="9"/>
      <c r="F207" s="22" t="s">
        <v>765</v>
      </c>
      <c r="G207" s="6" t="s">
        <v>766</v>
      </c>
      <c r="H207" s="13">
        <v>201000</v>
      </c>
      <c r="I207" s="6" t="s">
        <v>2316</v>
      </c>
      <c r="J207" s="9" t="s">
        <v>1828</v>
      </c>
      <c r="K207" s="9" t="s">
        <v>611</v>
      </c>
      <c r="L207" s="6" t="s">
        <v>6092</v>
      </c>
      <c r="M207" s="22"/>
      <c r="N207" s="6" t="s">
        <v>2317</v>
      </c>
      <c r="O207" s="52"/>
      <c r="P207" s="6" t="s">
        <v>5654</v>
      </c>
      <c r="Q207" s="6"/>
      <c r="R207" s="6"/>
      <c r="S207" s="9" t="s">
        <v>2144</v>
      </c>
      <c r="T207" s="9"/>
      <c r="U207" s="6"/>
    </row>
    <row r="208" spans="1:21" ht="25.5">
      <c r="A208" s="9">
        <v>2019</v>
      </c>
      <c r="B208" s="61">
        <v>43525</v>
      </c>
      <c r="C208" s="112" t="s">
        <v>61</v>
      </c>
      <c r="D208" s="54" t="s">
        <v>6049</v>
      </c>
      <c r="E208" s="54"/>
      <c r="F208" s="6" t="s">
        <v>2440</v>
      </c>
      <c r="G208" s="6" t="s">
        <v>2441</v>
      </c>
      <c r="H208" s="8">
        <v>9000000</v>
      </c>
      <c r="I208" s="6" t="s">
        <v>1938</v>
      </c>
      <c r="J208" s="9" t="s">
        <v>1828</v>
      </c>
      <c r="K208" s="9" t="s">
        <v>2412</v>
      </c>
      <c r="L208" s="6" t="s">
        <v>6064</v>
      </c>
      <c r="M208" s="6"/>
      <c r="N208" s="6"/>
      <c r="O208" s="52"/>
      <c r="P208" s="9"/>
      <c r="Q208" s="52"/>
      <c r="R208" s="52"/>
      <c r="S208" s="9" t="s">
        <v>1824</v>
      </c>
      <c r="T208" s="52"/>
      <c r="U208" s="6"/>
    </row>
    <row r="209" spans="1:21" ht="38.25">
      <c r="A209" s="9">
        <v>2019</v>
      </c>
      <c r="B209" s="61">
        <v>43556</v>
      </c>
      <c r="C209" s="112" t="s">
        <v>61</v>
      </c>
      <c r="D209" s="6" t="s">
        <v>652</v>
      </c>
      <c r="E209" s="6"/>
      <c r="F209" s="6" t="s">
        <v>800</v>
      </c>
      <c r="G209" s="6" t="s">
        <v>2442</v>
      </c>
      <c r="H209" s="8">
        <v>99860</v>
      </c>
      <c r="I209" s="160" t="s">
        <v>2443</v>
      </c>
      <c r="J209" s="9" t="s">
        <v>1828</v>
      </c>
      <c r="K209" s="9" t="s">
        <v>611</v>
      </c>
      <c r="L209" s="6" t="s">
        <v>6092</v>
      </c>
      <c r="M209" s="6"/>
      <c r="N209" s="6"/>
      <c r="O209" s="52"/>
      <c r="P209" s="9" t="s">
        <v>6132</v>
      </c>
      <c r="Q209" s="52"/>
      <c r="R209" s="52"/>
      <c r="S209" s="9" t="s">
        <v>6474</v>
      </c>
      <c r="T209" s="52"/>
      <c r="U209" s="160"/>
    </row>
    <row r="210" spans="1:21" ht="63.75">
      <c r="A210" s="9">
        <v>2019</v>
      </c>
      <c r="B210" s="61">
        <v>43586</v>
      </c>
      <c r="C210" s="112" t="s">
        <v>61</v>
      </c>
      <c r="D210" s="6" t="s">
        <v>652</v>
      </c>
      <c r="E210" s="6"/>
      <c r="F210" s="6" t="s">
        <v>802</v>
      </c>
      <c r="G210" s="6" t="s">
        <v>2444</v>
      </c>
      <c r="H210" s="8">
        <v>149860</v>
      </c>
      <c r="I210" s="160" t="s">
        <v>2445</v>
      </c>
      <c r="J210" s="9" t="s">
        <v>6795</v>
      </c>
      <c r="K210" s="9" t="s">
        <v>611</v>
      </c>
      <c r="L210" s="6" t="s">
        <v>6279</v>
      </c>
      <c r="M210" s="6"/>
      <c r="N210" s="6"/>
      <c r="O210" s="52"/>
      <c r="P210" s="9" t="s">
        <v>6132</v>
      </c>
      <c r="Q210" s="52"/>
      <c r="R210" s="52"/>
      <c r="S210" s="9" t="s">
        <v>2144</v>
      </c>
      <c r="T210" s="52"/>
      <c r="U210" s="160"/>
    </row>
    <row r="211" spans="1:21" ht="12.75">
      <c r="A211" s="9">
        <v>2019</v>
      </c>
      <c r="B211" s="61">
        <v>43617</v>
      </c>
      <c r="C211" s="112" t="s">
        <v>61</v>
      </c>
      <c r="D211" s="6" t="s">
        <v>1838</v>
      </c>
      <c r="E211" s="6"/>
      <c r="F211" s="6" t="s">
        <v>2446</v>
      </c>
      <c r="G211" s="6" t="s">
        <v>811</v>
      </c>
      <c r="H211" s="8">
        <v>119500</v>
      </c>
      <c r="I211" s="6" t="s">
        <v>1938</v>
      </c>
      <c r="J211" s="9" t="s">
        <v>1828</v>
      </c>
      <c r="K211" s="9" t="s">
        <v>6345</v>
      </c>
      <c r="L211" s="6" t="s">
        <v>1838</v>
      </c>
      <c r="M211" s="6"/>
      <c r="N211" s="6"/>
      <c r="O211" s="52"/>
      <c r="P211" s="9"/>
      <c r="Q211" s="52"/>
      <c r="R211" s="52"/>
      <c r="S211" s="9" t="s">
        <v>1824</v>
      </c>
      <c r="T211" s="52"/>
      <c r="U211" s="6"/>
    </row>
    <row r="212" spans="1:21" ht="25.5">
      <c r="A212" s="9">
        <v>2019</v>
      </c>
      <c r="B212" s="61">
        <v>43647</v>
      </c>
      <c r="C212" s="112" t="s">
        <v>61</v>
      </c>
      <c r="D212" s="6" t="s">
        <v>1383</v>
      </c>
      <c r="E212" s="6"/>
      <c r="F212" s="6" t="s">
        <v>1567</v>
      </c>
      <c r="G212" s="6" t="s">
        <v>2447</v>
      </c>
      <c r="H212" s="8">
        <v>200000</v>
      </c>
      <c r="I212" s="6" t="s">
        <v>2448</v>
      </c>
      <c r="J212" s="9" t="s">
        <v>2460</v>
      </c>
      <c r="K212" s="9" t="s">
        <v>2412</v>
      </c>
      <c r="L212" s="6" t="s">
        <v>6064</v>
      </c>
      <c r="M212" s="6"/>
      <c r="N212" s="6"/>
      <c r="O212" s="52"/>
      <c r="P212" s="9"/>
      <c r="Q212" s="52"/>
      <c r="R212" s="52"/>
      <c r="S212" s="9" t="s">
        <v>1824</v>
      </c>
      <c r="T212" s="52"/>
      <c r="U212" s="6"/>
    </row>
    <row r="213" spans="1:21" ht="38.25">
      <c r="A213" s="9">
        <v>2019</v>
      </c>
      <c r="B213" s="61">
        <v>43678</v>
      </c>
      <c r="C213" s="112" t="s">
        <v>61</v>
      </c>
      <c r="D213" s="6" t="s">
        <v>1383</v>
      </c>
      <c r="E213" s="6"/>
      <c r="F213" s="6" t="s">
        <v>1568</v>
      </c>
      <c r="G213" s="6" t="s">
        <v>1569</v>
      </c>
      <c r="H213" s="8">
        <v>200000</v>
      </c>
      <c r="I213" s="160" t="s">
        <v>1569</v>
      </c>
      <c r="J213" s="9" t="s">
        <v>1828</v>
      </c>
      <c r="K213" s="9" t="s">
        <v>2412</v>
      </c>
      <c r="L213" s="6" t="s">
        <v>6064</v>
      </c>
      <c r="M213" s="6"/>
      <c r="N213" s="6"/>
      <c r="O213" s="52"/>
      <c r="P213" s="9"/>
      <c r="Q213" s="52"/>
      <c r="R213" s="52"/>
      <c r="S213" s="9" t="s">
        <v>1824</v>
      </c>
      <c r="T213" s="52"/>
      <c r="U213" s="160"/>
    </row>
    <row r="214" spans="1:21" ht="63.75">
      <c r="A214" s="9">
        <v>2019</v>
      </c>
      <c r="B214" s="62">
        <v>43709</v>
      </c>
      <c r="C214" s="112" t="s">
        <v>61</v>
      </c>
      <c r="D214" s="6" t="s">
        <v>1383</v>
      </c>
      <c r="E214" s="6"/>
      <c r="F214" s="6" t="s">
        <v>1570</v>
      </c>
      <c r="G214" s="6" t="s">
        <v>1502</v>
      </c>
      <c r="H214" s="8">
        <v>200000</v>
      </c>
      <c r="I214" s="6" t="s">
        <v>2449</v>
      </c>
      <c r="J214" s="9" t="s">
        <v>2449</v>
      </c>
      <c r="K214" s="9" t="s">
        <v>2412</v>
      </c>
      <c r="L214" s="6" t="s">
        <v>6064</v>
      </c>
      <c r="M214" s="6"/>
      <c r="N214" s="6"/>
      <c r="O214" s="52"/>
      <c r="P214" s="9"/>
      <c r="Q214" s="52"/>
      <c r="R214" s="52"/>
      <c r="S214" s="9" t="s">
        <v>1824</v>
      </c>
      <c r="T214" s="52"/>
      <c r="U214" s="6"/>
    </row>
    <row r="215" spans="1:21" ht="38.25">
      <c r="A215" s="9">
        <v>2019</v>
      </c>
      <c r="B215" s="61">
        <v>43739</v>
      </c>
      <c r="C215" s="112" t="s">
        <v>61</v>
      </c>
      <c r="D215" s="6" t="s">
        <v>1383</v>
      </c>
      <c r="E215" s="6"/>
      <c r="F215" s="158" t="s">
        <v>2450</v>
      </c>
      <c r="G215" s="158" t="s">
        <v>1572</v>
      </c>
      <c r="H215" s="470">
        <v>200000</v>
      </c>
      <c r="I215" s="6" t="s">
        <v>2451</v>
      </c>
      <c r="J215" s="6" t="s">
        <v>11983</v>
      </c>
      <c r="K215" s="9" t="s">
        <v>2412</v>
      </c>
      <c r="L215" s="6" t="s">
        <v>6064</v>
      </c>
      <c r="M215" s="158"/>
      <c r="N215" s="158"/>
      <c r="O215" s="52"/>
      <c r="P215" s="9"/>
      <c r="Q215" s="52"/>
      <c r="R215" s="52"/>
      <c r="S215" s="9" t="s">
        <v>1824</v>
      </c>
      <c r="T215" s="52"/>
      <c r="U215" s="6"/>
    </row>
    <row r="216" spans="1:21" ht="25.5">
      <c r="A216" s="9">
        <v>2019</v>
      </c>
      <c r="B216" s="62">
        <v>43770</v>
      </c>
      <c r="C216" s="112" t="s">
        <v>61</v>
      </c>
      <c r="D216" s="6" t="s">
        <v>1383</v>
      </c>
      <c r="E216" s="6"/>
      <c r="F216" s="6" t="s">
        <v>1573</v>
      </c>
      <c r="G216" s="6" t="s">
        <v>1574</v>
      </c>
      <c r="H216" s="8">
        <v>200000</v>
      </c>
      <c r="I216" s="6" t="s">
        <v>1879</v>
      </c>
      <c r="J216" s="9" t="s">
        <v>11984</v>
      </c>
      <c r="K216" s="9" t="s">
        <v>2412</v>
      </c>
      <c r="L216" s="6" t="s">
        <v>6064</v>
      </c>
      <c r="M216" s="6"/>
      <c r="N216" s="6"/>
      <c r="O216" s="52"/>
      <c r="P216" s="9"/>
      <c r="Q216" s="52"/>
      <c r="R216" s="52"/>
      <c r="S216" s="9" t="s">
        <v>1824</v>
      </c>
      <c r="T216" s="52"/>
      <c r="U216" s="6"/>
    </row>
    <row r="217" spans="1:21" ht="25.5">
      <c r="A217" s="9">
        <v>2019</v>
      </c>
      <c r="B217" s="62">
        <v>43800</v>
      </c>
      <c r="C217" s="112" t="s">
        <v>61</v>
      </c>
      <c r="D217" s="6" t="s">
        <v>1383</v>
      </c>
      <c r="E217" s="6"/>
      <c r="F217" s="6" t="s">
        <v>1575</v>
      </c>
      <c r="G217" s="6" t="s">
        <v>1576</v>
      </c>
      <c r="H217" s="8">
        <v>500000</v>
      </c>
      <c r="I217" s="6" t="s">
        <v>2451</v>
      </c>
      <c r="J217" s="9" t="s">
        <v>2472</v>
      </c>
      <c r="K217" s="9" t="s">
        <v>2412</v>
      </c>
      <c r="L217" s="6" t="s">
        <v>6064</v>
      </c>
      <c r="M217" s="6"/>
      <c r="N217" s="6"/>
      <c r="O217" s="52"/>
      <c r="P217" s="9"/>
      <c r="Q217" s="52"/>
      <c r="R217" s="52"/>
      <c r="S217" s="9" t="s">
        <v>1824</v>
      </c>
      <c r="T217" s="52"/>
      <c r="U217" s="6"/>
    </row>
    <row r="218" spans="1:21" ht="25.5">
      <c r="A218" s="9">
        <v>2019</v>
      </c>
      <c r="B218" s="6" t="s">
        <v>804</v>
      </c>
      <c r="C218" s="112" t="s">
        <v>61</v>
      </c>
      <c r="D218" s="6" t="s">
        <v>113</v>
      </c>
      <c r="E218" s="6"/>
      <c r="F218" s="6" t="s">
        <v>805</v>
      </c>
      <c r="G218" s="6" t="s">
        <v>699</v>
      </c>
      <c r="H218" s="8">
        <v>711200</v>
      </c>
      <c r="I218" s="6" t="s">
        <v>1846</v>
      </c>
      <c r="J218" s="9" t="s">
        <v>1828</v>
      </c>
      <c r="K218" s="9" t="s">
        <v>611</v>
      </c>
      <c r="L218" s="6" t="s">
        <v>6494</v>
      </c>
      <c r="M218" s="6"/>
      <c r="N218" s="6"/>
      <c r="O218" s="52"/>
      <c r="P218" s="9"/>
      <c r="Q218" s="52"/>
      <c r="R218" s="52"/>
      <c r="S218" s="9" t="s">
        <v>1824</v>
      </c>
      <c r="T218" s="52"/>
      <c r="U218" s="6"/>
    </row>
    <row r="219" spans="1:21" ht="25.5">
      <c r="A219" s="52"/>
      <c r="B219" s="6" t="s">
        <v>2452</v>
      </c>
      <c r="C219" s="9" t="s">
        <v>2328</v>
      </c>
      <c r="D219" s="6" t="s">
        <v>68</v>
      </c>
      <c r="E219" s="6"/>
      <c r="F219" s="6" t="s">
        <v>2454</v>
      </c>
      <c r="G219" s="6" t="s">
        <v>2455</v>
      </c>
      <c r="H219" s="8" t="s">
        <v>2453</v>
      </c>
      <c r="I219" s="6" t="s">
        <v>1846</v>
      </c>
      <c r="J219" s="9" t="s">
        <v>1828</v>
      </c>
      <c r="K219" s="9"/>
      <c r="L219" s="292" t="s">
        <v>1867</v>
      </c>
      <c r="M219" s="6"/>
      <c r="N219" s="6"/>
      <c r="O219" s="52"/>
      <c r="P219" s="9" t="s">
        <v>6132</v>
      </c>
      <c r="Q219" s="52"/>
      <c r="R219" s="52"/>
      <c r="S219" s="9"/>
      <c r="T219" s="52"/>
      <c r="U219" s="6"/>
    </row>
    <row r="220" spans="1:21" ht="38.25">
      <c r="A220" s="9">
        <v>2019</v>
      </c>
      <c r="B220" s="6" t="s">
        <v>2456</v>
      </c>
      <c r="C220" s="112" t="s">
        <v>61</v>
      </c>
      <c r="D220" s="6" t="s">
        <v>2457</v>
      </c>
      <c r="E220" s="6"/>
      <c r="F220" s="6" t="s">
        <v>2458</v>
      </c>
      <c r="G220" s="158" t="s">
        <v>2459</v>
      </c>
      <c r="H220" s="8">
        <v>200000</v>
      </c>
      <c r="I220" s="6" t="s">
        <v>2460</v>
      </c>
      <c r="J220" s="9" t="s">
        <v>2639</v>
      </c>
      <c r="K220" s="9" t="s">
        <v>2412</v>
      </c>
      <c r="L220" s="6" t="s">
        <v>6137</v>
      </c>
      <c r="M220" s="6"/>
      <c r="N220" s="6"/>
      <c r="O220" s="52"/>
      <c r="P220" s="9"/>
      <c r="Q220" s="52"/>
      <c r="R220" s="52"/>
      <c r="S220" s="9" t="s">
        <v>1824</v>
      </c>
      <c r="T220" s="52"/>
      <c r="U220" s="6"/>
    </row>
    <row r="221" spans="1:21" ht="51">
      <c r="A221" s="9">
        <v>2019</v>
      </c>
      <c r="B221" s="6" t="s">
        <v>1577</v>
      </c>
      <c r="C221" s="112" t="s">
        <v>61</v>
      </c>
      <c r="D221" s="6" t="s">
        <v>1383</v>
      </c>
      <c r="E221" s="6"/>
      <c r="F221" s="6" t="s">
        <v>1578</v>
      </c>
      <c r="G221" s="6" t="s">
        <v>575</v>
      </c>
      <c r="H221" s="8">
        <v>130600</v>
      </c>
      <c r="I221" s="6" t="s">
        <v>1938</v>
      </c>
      <c r="J221" s="9" t="s">
        <v>1828</v>
      </c>
      <c r="K221" s="9" t="s">
        <v>2412</v>
      </c>
      <c r="L221" s="6" t="s">
        <v>6494</v>
      </c>
      <c r="M221" s="6"/>
      <c r="N221" s="6"/>
      <c r="O221" s="52"/>
      <c r="P221" s="9"/>
      <c r="Q221" s="52"/>
      <c r="R221" s="52"/>
      <c r="S221" s="9" t="s">
        <v>1824</v>
      </c>
      <c r="T221" s="52"/>
      <c r="U221" s="6"/>
    </row>
    <row r="222" spans="1:21" ht="12.75">
      <c r="A222" s="9">
        <v>2019</v>
      </c>
      <c r="B222" s="6" t="s">
        <v>2461</v>
      </c>
      <c r="C222" s="112" t="s">
        <v>61</v>
      </c>
      <c r="D222" s="6" t="s">
        <v>1838</v>
      </c>
      <c r="E222" s="6"/>
      <c r="F222" s="158" t="s">
        <v>2462</v>
      </c>
      <c r="G222" s="6" t="s">
        <v>811</v>
      </c>
      <c r="H222" s="8">
        <v>792000</v>
      </c>
      <c r="I222" s="6" t="s">
        <v>1938</v>
      </c>
      <c r="J222" s="9" t="s">
        <v>1828</v>
      </c>
      <c r="K222" s="9" t="s">
        <v>6345</v>
      </c>
      <c r="L222" s="6" t="s">
        <v>1838</v>
      </c>
      <c r="M222" s="158"/>
      <c r="N222" s="158"/>
      <c r="O222" s="52"/>
      <c r="P222" s="9"/>
      <c r="Q222" s="52"/>
      <c r="R222" s="52"/>
      <c r="S222" s="9" t="s">
        <v>1824</v>
      </c>
      <c r="T222" s="52"/>
      <c r="U222" s="6"/>
    </row>
    <row r="223" spans="1:21" ht="38.25">
      <c r="A223" s="9">
        <v>2019</v>
      </c>
      <c r="B223" s="6" t="s">
        <v>806</v>
      </c>
      <c r="C223" s="112" t="s">
        <v>61</v>
      </c>
      <c r="D223" s="6" t="s">
        <v>125</v>
      </c>
      <c r="E223" s="6"/>
      <c r="F223" s="6" t="s">
        <v>807</v>
      </c>
      <c r="G223" s="6" t="s">
        <v>808</v>
      </c>
      <c r="H223" s="8">
        <v>500000</v>
      </c>
      <c r="I223" s="6" t="s">
        <v>1938</v>
      </c>
      <c r="J223" s="9" t="s">
        <v>1828</v>
      </c>
      <c r="K223" s="9" t="s">
        <v>2412</v>
      </c>
      <c r="L223" s="6" t="s">
        <v>6505</v>
      </c>
      <c r="M223" s="6"/>
      <c r="N223" s="6"/>
      <c r="O223" s="52"/>
      <c r="P223" s="9"/>
      <c r="Q223" s="52"/>
      <c r="R223" s="52"/>
      <c r="S223" s="9" t="s">
        <v>1824</v>
      </c>
      <c r="T223" s="52"/>
      <c r="U223" s="6"/>
    </row>
    <row r="224" spans="1:21" ht="63.75">
      <c r="A224" s="9">
        <v>2019</v>
      </c>
      <c r="B224" s="6" t="s">
        <v>1199</v>
      </c>
      <c r="C224" s="112" t="s">
        <v>61</v>
      </c>
      <c r="D224" s="34" t="s">
        <v>62</v>
      </c>
      <c r="E224" s="34"/>
      <c r="F224" s="6" t="s">
        <v>1200</v>
      </c>
      <c r="G224" s="6" t="s">
        <v>2463</v>
      </c>
      <c r="H224" s="8">
        <v>1434349.2</v>
      </c>
      <c r="I224" s="160" t="s">
        <v>2464</v>
      </c>
      <c r="J224" s="9" t="s">
        <v>5656</v>
      </c>
      <c r="K224" s="9" t="s">
        <v>1904</v>
      </c>
      <c r="L224" s="6" t="s">
        <v>6170</v>
      </c>
      <c r="M224" s="6"/>
      <c r="N224" s="6"/>
      <c r="O224" s="52"/>
      <c r="P224" s="9" t="s">
        <v>6132</v>
      </c>
      <c r="Q224" s="52"/>
      <c r="R224" s="52"/>
      <c r="S224" s="9" t="s">
        <v>6356</v>
      </c>
      <c r="T224" s="52"/>
      <c r="U224" s="398"/>
    </row>
    <row r="225" spans="1:21" ht="25.5">
      <c r="A225" s="9">
        <v>2019</v>
      </c>
      <c r="B225" s="6" t="s">
        <v>2465</v>
      </c>
      <c r="C225" s="112" t="s">
        <v>61</v>
      </c>
      <c r="D225" s="54" t="s">
        <v>6049</v>
      </c>
      <c r="E225" s="54"/>
      <c r="F225" s="6" t="s">
        <v>2466</v>
      </c>
      <c r="G225" s="6" t="s">
        <v>722</v>
      </c>
      <c r="H225" s="8">
        <v>172000</v>
      </c>
      <c r="I225" s="6" t="s">
        <v>2467</v>
      </c>
      <c r="J225" s="9" t="s">
        <v>2467</v>
      </c>
      <c r="K225" s="9" t="s">
        <v>2412</v>
      </c>
      <c r="L225" s="6" t="s">
        <v>6064</v>
      </c>
      <c r="M225" s="6"/>
      <c r="N225" s="6"/>
      <c r="O225" s="52"/>
      <c r="P225" s="9"/>
      <c r="Q225" s="52"/>
      <c r="R225" s="52"/>
      <c r="S225" s="9" t="s">
        <v>1824</v>
      </c>
      <c r="T225" s="52"/>
      <c r="U225" s="6"/>
    </row>
    <row r="226" spans="1:21" ht="25.5">
      <c r="A226" s="9">
        <v>2019</v>
      </c>
      <c r="B226" s="6" t="s">
        <v>2468</v>
      </c>
      <c r="C226" s="112" t="s">
        <v>61</v>
      </c>
      <c r="D226" s="54" t="s">
        <v>6049</v>
      </c>
      <c r="E226" s="54"/>
      <c r="F226" s="6" t="s">
        <v>2469</v>
      </c>
      <c r="G226" s="6" t="s">
        <v>1478</v>
      </c>
      <c r="H226" s="8">
        <v>172000</v>
      </c>
      <c r="I226" s="6" t="s">
        <v>1879</v>
      </c>
      <c r="J226" s="9" t="s">
        <v>1879</v>
      </c>
      <c r="K226" s="9" t="s">
        <v>2412</v>
      </c>
      <c r="L226" s="6" t="s">
        <v>6064</v>
      </c>
      <c r="M226" s="6"/>
      <c r="N226" s="6"/>
      <c r="O226" s="52"/>
      <c r="P226" s="9"/>
      <c r="Q226" s="52"/>
      <c r="R226" s="52"/>
      <c r="S226" s="9" t="s">
        <v>1824</v>
      </c>
      <c r="T226" s="52"/>
      <c r="U226" s="6"/>
    </row>
    <row r="227" spans="1:21" ht="25.5">
      <c r="A227" s="9">
        <v>2019</v>
      </c>
      <c r="B227" s="6" t="s">
        <v>1618</v>
      </c>
      <c r="C227" s="112" t="s">
        <v>61</v>
      </c>
      <c r="D227" s="54" t="s">
        <v>6049</v>
      </c>
      <c r="E227" s="54"/>
      <c r="F227" s="6" t="s">
        <v>2470</v>
      </c>
      <c r="G227" s="6" t="s">
        <v>2471</v>
      </c>
      <c r="H227" s="8">
        <v>172000</v>
      </c>
      <c r="I227" s="6" t="s">
        <v>2472</v>
      </c>
      <c r="J227" s="9" t="s">
        <v>5656</v>
      </c>
      <c r="K227" s="9" t="s">
        <v>2412</v>
      </c>
      <c r="L227" s="6" t="s">
        <v>6064</v>
      </c>
      <c r="M227" s="6"/>
      <c r="N227" s="6"/>
      <c r="O227" s="52"/>
      <c r="P227" s="9"/>
      <c r="Q227" s="52"/>
      <c r="R227" s="52"/>
      <c r="S227" s="9" t="s">
        <v>1824</v>
      </c>
      <c r="T227" s="52"/>
      <c r="U227" s="6"/>
    </row>
    <row r="228" spans="1:21" ht="25.5">
      <c r="A228" s="9">
        <v>2019</v>
      </c>
      <c r="B228" s="6" t="s">
        <v>1620</v>
      </c>
      <c r="C228" s="112" t="s">
        <v>61</v>
      </c>
      <c r="D228" s="54" t="s">
        <v>6049</v>
      </c>
      <c r="E228" s="54"/>
      <c r="F228" s="6" t="s">
        <v>2473</v>
      </c>
      <c r="G228" s="6" t="s">
        <v>581</v>
      </c>
      <c r="H228" s="8">
        <v>172000</v>
      </c>
      <c r="I228" s="6" t="s">
        <v>2474</v>
      </c>
      <c r="J228" s="9" t="s">
        <v>6370</v>
      </c>
      <c r="K228" s="9" t="s">
        <v>2412</v>
      </c>
      <c r="L228" s="6" t="s">
        <v>6064</v>
      </c>
      <c r="M228" s="6"/>
      <c r="N228" s="6"/>
      <c r="O228" s="52"/>
      <c r="P228" s="9"/>
      <c r="Q228" s="52"/>
      <c r="R228" s="52"/>
      <c r="S228" s="9" t="s">
        <v>1824</v>
      </c>
      <c r="T228" s="52"/>
      <c r="U228" s="6"/>
    </row>
    <row r="229" spans="1:21" ht="25.5">
      <c r="A229" s="9">
        <v>2019</v>
      </c>
      <c r="B229" s="6" t="s">
        <v>823</v>
      </c>
      <c r="C229" s="112" t="s">
        <v>61</v>
      </c>
      <c r="D229" s="54" t="s">
        <v>6049</v>
      </c>
      <c r="E229" s="54"/>
      <c r="F229" s="6" t="s">
        <v>2475</v>
      </c>
      <c r="G229" s="6" t="s">
        <v>956</v>
      </c>
      <c r="H229" s="8">
        <v>172000</v>
      </c>
      <c r="I229" s="6" t="s">
        <v>2476</v>
      </c>
      <c r="J229" s="9" t="s">
        <v>6822</v>
      </c>
      <c r="K229" s="9" t="s">
        <v>2412</v>
      </c>
      <c r="L229" s="6" t="s">
        <v>6064</v>
      </c>
      <c r="M229" s="6"/>
      <c r="N229" s="6"/>
      <c r="O229" s="52"/>
      <c r="P229" s="9"/>
      <c r="Q229" s="52"/>
      <c r="R229" s="52"/>
      <c r="S229" s="9" t="s">
        <v>1824</v>
      </c>
      <c r="T229" s="52"/>
      <c r="U229" s="6"/>
    </row>
    <row r="230" spans="1:21" ht="51">
      <c r="A230" s="9">
        <v>2019</v>
      </c>
      <c r="B230" s="6" t="s">
        <v>827</v>
      </c>
      <c r="C230" s="112" t="s">
        <v>61</v>
      </c>
      <c r="D230" s="34" t="s">
        <v>62</v>
      </c>
      <c r="E230" s="34"/>
      <c r="F230" s="6" t="s">
        <v>2477</v>
      </c>
      <c r="G230" s="6" t="s">
        <v>2478</v>
      </c>
      <c r="H230" s="8">
        <v>1319221.3999999999</v>
      </c>
      <c r="I230" s="160" t="s">
        <v>2479</v>
      </c>
      <c r="J230" s="9" t="s">
        <v>2467</v>
      </c>
      <c r="K230" s="9" t="s">
        <v>1904</v>
      </c>
      <c r="L230" s="6" t="s">
        <v>6170</v>
      </c>
      <c r="M230" s="6"/>
      <c r="N230" s="6"/>
      <c r="O230" s="52"/>
      <c r="P230" s="9" t="s">
        <v>6132</v>
      </c>
      <c r="Q230" s="52"/>
      <c r="R230" s="52"/>
      <c r="S230" s="9" t="s">
        <v>6426</v>
      </c>
      <c r="T230" s="52"/>
      <c r="U230" s="398"/>
    </row>
    <row r="231" spans="1:21" ht="25.5">
      <c r="A231" s="52"/>
      <c r="B231" s="6" t="s">
        <v>1626</v>
      </c>
      <c r="C231" s="9" t="s">
        <v>2328</v>
      </c>
      <c r="D231" s="6" t="s">
        <v>62</v>
      </c>
      <c r="E231" s="6"/>
      <c r="F231" s="6" t="s">
        <v>2480</v>
      </c>
      <c r="G231" s="6" t="s">
        <v>2481</v>
      </c>
      <c r="H231" s="8" t="s">
        <v>2453</v>
      </c>
      <c r="I231" s="6" t="s">
        <v>1827</v>
      </c>
      <c r="J231" s="9" t="s">
        <v>1828</v>
      </c>
      <c r="K231" s="9"/>
      <c r="L231" s="292" t="s">
        <v>1867</v>
      </c>
      <c r="M231" s="6"/>
      <c r="N231" s="6"/>
      <c r="O231" s="52"/>
      <c r="P231" s="9" t="s">
        <v>6132</v>
      </c>
      <c r="Q231" s="52"/>
      <c r="R231" s="52"/>
      <c r="S231" s="9" t="s">
        <v>1824</v>
      </c>
      <c r="T231" s="52"/>
      <c r="U231" s="6"/>
    </row>
    <row r="232" spans="1:21" ht="25.5">
      <c r="A232" s="52"/>
      <c r="B232" s="6" t="s">
        <v>1628</v>
      </c>
      <c r="C232" s="9" t="s">
        <v>2328</v>
      </c>
      <c r="D232" s="56"/>
      <c r="E232" s="56"/>
      <c r="F232" s="6" t="s">
        <v>2482</v>
      </c>
      <c r="G232" s="6" t="s">
        <v>2483</v>
      </c>
      <c r="H232" s="8" t="s">
        <v>2453</v>
      </c>
      <c r="I232" s="6" t="s">
        <v>1827</v>
      </c>
      <c r="J232" s="9" t="s">
        <v>1828</v>
      </c>
      <c r="K232" s="9"/>
      <c r="L232" s="292" t="s">
        <v>1867</v>
      </c>
      <c r="M232" s="778">
        <v>43642</v>
      </c>
      <c r="N232" s="6"/>
      <c r="O232" s="52"/>
      <c r="P232" s="9"/>
      <c r="Q232" s="52"/>
      <c r="R232" s="52"/>
      <c r="S232" s="9" t="s">
        <v>1824</v>
      </c>
      <c r="T232" s="52"/>
      <c r="U232" s="6"/>
    </row>
    <row r="233" spans="1:21" ht="25.5">
      <c r="A233" s="52"/>
      <c r="B233" s="6" t="s">
        <v>1630</v>
      </c>
      <c r="C233" s="9" t="s">
        <v>2328</v>
      </c>
      <c r="D233" s="6" t="s">
        <v>62</v>
      </c>
      <c r="E233" s="6"/>
      <c r="F233" s="6" t="s">
        <v>2484</v>
      </c>
      <c r="G233" s="6" t="s">
        <v>2483</v>
      </c>
      <c r="H233" s="8" t="s">
        <v>2453</v>
      </c>
      <c r="I233" s="6" t="s">
        <v>1827</v>
      </c>
      <c r="J233" s="9" t="s">
        <v>1828</v>
      </c>
      <c r="K233" s="9"/>
      <c r="L233" s="292" t="s">
        <v>1867</v>
      </c>
      <c r="M233" s="6"/>
      <c r="N233" s="6"/>
      <c r="O233" s="52"/>
      <c r="P233" s="9"/>
      <c r="Q233" s="52"/>
      <c r="R233" s="52"/>
      <c r="S233" s="9" t="s">
        <v>1824</v>
      </c>
      <c r="T233" s="52"/>
      <c r="U233" s="6"/>
    </row>
    <row r="234" spans="1:21" ht="38.25">
      <c r="A234" s="52"/>
      <c r="B234" s="6" t="s">
        <v>1633</v>
      </c>
      <c r="C234" s="9" t="s">
        <v>2328</v>
      </c>
      <c r="D234" s="56"/>
      <c r="E234" s="56"/>
      <c r="F234" s="6" t="s">
        <v>2485</v>
      </c>
      <c r="G234" s="6" t="s">
        <v>2486</v>
      </c>
      <c r="H234" s="8" t="s">
        <v>2453</v>
      </c>
      <c r="I234" s="6" t="s">
        <v>1827</v>
      </c>
      <c r="J234" s="9" t="s">
        <v>1828</v>
      </c>
      <c r="K234" s="9"/>
      <c r="L234" s="292" t="s">
        <v>1867</v>
      </c>
      <c r="M234" s="778">
        <v>43642</v>
      </c>
      <c r="N234" s="6"/>
      <c r="O234" s="52"/>
      <c r="P234" s="9"/>
      <c r="Q234" s="52"/>
      <c r="R234" s="52"/>
      <c r="S234" s="9" t="s">
        <v>1824</v>
      </c>
      <c r="T234" s="52"/>
      <c r="U234" s="6"/>
    </row>
    <row r="235" spans="1:21" ht="38.25">
      <c r="A235" s="52"/>
      <c r="B235" s="6" t="s">
        <v>830</v>
      </c>
      <c r="C235" s="9" t="s">
        <v>2328</v>
      </c>
      <c r="D235" s="6" t="s">
        <v>62</v>
      </c>
      <c r="E235" s="6"/>
      <c r="F235" s="6" t="s">
        <v>2487</v>
      </c>
      <c r="G235" s="6" t="s">
        <v>2488</v>
      </c>
      <c r="H235" s="8" t="s">
        <v>2453</v>
      </c>
      <c r="I235" s="6" t="s">
        <v>1827</v>
      </c>
      <c r="J235" s="9" t="s">
        <v>1828</v>
      </c>
      <c r="K235" s="9"/>
      <c r="L235" s="292" t="s">
        <v>1867</v>
      </c>
      <c r="M235" s="6"/>
      <c r="N235" s="6"/>
      <c r="O235" s="52"/>
      <c r="P235" s="9"/>
      <c r="Q235" s="52"/>
      <c r="R235" s="52"/>
      <c r="S235" s="9" t="s">
        <v>1824</v>
      </c>
      <c r="T235" s="52"/>
      <c r="U235" s="6"/>
    </row>
    <row r="236" spans="1:21" ht="25.5">
      <c r="A236" s="52"/>
      <c r="B236" s="6" t="s">
        <v>1635</v>
      </c>
      <c r="C236" s="9" t="s">
        <v>2328</v>
      </c>
      <c r="D236" s="56"/>
      <c r="E236" s="56"/>
      <c r="F236" s="6" t="s">
        <v>2489</v>
      </c>
      <c r="G236" s="6" t="s">
        <v>2490</v>
      </c>
      <c r="H236" s="8" t="s">
        <v>2453</v>
      </c>
      <c r="I236" s="6" t="s">
        <v>1827</v>
      </c>
      <c r="J236" s="9" t="s">
        <v>1828</v>
      </c>
      <c r="K236" s="9"/>
      <c r="L236" s="292" t="s">
        <v>1867</v>
      </c>
      <c r="M236" s="778">
        <v>43642</v>
      </c>
      <c r="N236" s="6"/>
      <c r="O236" s="52"/>
      <c r="P236" s="9"/>
      <c r="Q236" s="52"/>
      <c r="R236" s="52"/>
      <c r="S236" s="9" t="s">
        <v>1824</v>
      </c>
      <c r="T236" s="52"/>
      <c r="U236" s="6"/>
    </row>
    <row r="237" spans="1:21" ht="25.5">
      <c r="A237" s="52"/>
      <c r="B237" s="6" t="s">
        <v>1637</v>
      </c>
      <c r="C237" s="9" t="s">
        <v>2328</v>
      </c>
      <c r="D237" s="56"/>
      <c r="E237" s="56"/>
      <c r="F237" s="6" t="s">
        <v>2491</v>
      </c>
      <c r="G237" s="6" t="s">
        <v>2492</v>
      </c>
      <c r="H237" s="8" t="s">
        <v>2453</v>
      </c>
      <c r="I237" s="6" t="s">
        <v>1827</v>
      </c>
      <c r="J237" s="9" t="s">
        <v>1828</v>
      </c>
      <c r="K237" s="9"/>
      <c r="L237" s="292" t="s">
        <v>1867</v>
      </c>
      <c r="M237" s="778">
        <v>43642</v>
      </c>
      <c r="N237" s="6"/>
      <c r="O237" s="52"/>
      <c r="P237" s="9"/>
      <c r="Q237" s="52"/>
      <c r="R237" s="52"/>
      <c r="S237" s="9" t="s">
        <v>1824</v>
      </c>
      <c r="T237" s="52"/>
      <c r="U237" s="6"/>
    </row>
    <row r="238" spans="1:21" ht="25.5">
      <c r="A238" s="52"/>
      <c r="B238" s="6" t="s">
        <v>1639</v>
      </c>
      <c r="C238" s="9" t="s">
        <v>2328</v>
      </c>
      <c r="D238" s="56"/>
      <c r="E238" s="56"/>
      <c r="F238" s="6" t="s">
        <v>2493</v>
      </c>
      <c r="G238" s="6" t="s">
        <v>2494</v>
      </c>
      <c r="H238" s="8" t="s">
        <v>2453</v>
      </c>
      <c r="I238" s="6" t="s">
        <v>1827</v>
      </c>
      <c r="J238" s="9" t="s">
        <v>1828</v>
      </c>
      <c r="K238" s="9"/>
      <c r="L238" s="292" t="s">
        <v>1867</v>
      </c>
      <c r="M238" s="778">
        <v>43642</v>
      </c>
      <c r="N238" s="6"/>
      <c r="O238" s="52"/>
      <c r="P238" s="9" t="s">
        <v>6132</v>
      </c>
      <c r="Q238" s="52"/>
      <c r="R238" s="52"/>
      <c r="S238" s="9" t="s">
        <v>1824</v>
      </c>
      <c r="T238" s="52"/>
      <c r="U238" s="6"/>
    </row>
    <row r="239" spans="1:21" ht="25.5">
      <c r="A239" s="52"/>
      <c r="B239" s="6" t="s">
        <v>1642</v>
      </c>
      <c r="C239" s="9" t="s">
        <v>2328</v>
      </c>
      <c r="D239" s="6" t="s">
        <v>652</v>
      </c>
      <c r="E239" s="6"/>
      <c r="F239" s="6" t="s">
        <v>2495</v>
      </c>
      <c r="G239" s="6" t="s">
        <v>2496</v>
      </c>
      <c r="H239" s="8" t="s">
        <v>2453</v>
      </c>
      <c r="I239" s="6" t="s">
        <v>1827</v>
      </c>
      <c r="J239" s="9" t="s">
        <v>1828</v>
      </c>
      <c r="K239" s="9"/>
      <c r="L239" s="292" t="s">
        <v>1867</v>
      </c>
      <c r="M239" s="6"/>
      <c r="N239" s="6"/>
      <c r="O239" s="52"/>
      <c r="P239" s="9" t="s">
        <v>6132</v>
      </c>
      <c r="Q239" s="52"/>
      <c r="R239" s="52"/>
      <c r="S239" s="9" t="s">
        <v>1824</v>
      </c>
      <c r="T239" s="52"/>
      <c r="U239" s="6"/>
    </row>
    <row r="240" spans="1:21" ht="25.5">
      <c r="A240" s="52"/>
      <c r="B240" s="6" t="s">
        <v>1643</v>
      </c>
      <c r="C240" s="9" t="s">
        <v>2328</v>
      </c>
      <c r="D240" s="56"/>
      <c r="E240" s="56"/>
      <c r="F240" s="6" t="s">
        <v>2497</v>
      </c>
      <c r="G240" s="6" t="s">
        <v>2498</v>
      </c>
      <c r="H240" s="8" t="s">
        <v>2453</v>
      </c>
      <c r="I240" s="6" t="s">
        <v>1827</v>
      </c>
      <c r="J240" s="9" t="s">
        <v>1828</v>
      </c>
      <c r="K240" s="9"/>
      <c r="L240" s="292" t="s">
        <v>1867</v>
      </c>
      <c r="M240" s="778">
        <v>43642</v>
      </c>
      <c r="N240" s="6"/>
      <c r="O240" s="52"/>
      <c r="P240" s="9" t="s">
        <v>6132</v>
      </c>
      <c r="Q240" s="52"/>
      <c r="R240" s="52"/>
      <c r="S240" s="9" t="s">
        <v>1824</v>
      </c>
      <c r="T240" s="52"/>
      <c r="U240" s="6"/>
    </row>
    <row r="241" spans="1:21" ht="51">
      <c r="A241" s="9">
        <v>2019</v>
      </c>
      <c r="B241" s="6" t="s">
        <v>809</v>
      </c>
      <c r="C241" s="112" t="s">
        <v>61</v>
      </c>
      <c r="D241" s="6" t="s">
        <v>113</v>
      </c>
      <c r="E241" s="6"/>
      <c r="F241" s="6" t="s">
        <v>2499</v>
      </c>
      <c r="G241" s="6" t="s">
        <v>811</v>
      </c>
      <c r="H241" s="8">
        <v>182200</v>
      </c>
      <c r="I241" s="6" t="s">
        <v>1938</v>
      </c>
      <c r="J241" s="9" t="s">
        <v>1828</v>
      </c>
      <c r="K241" s="9" t="s">
        <v>611</v>
      </c>
      <c r="L241" s="6" t="s">
        <v>6064</v>
      </c>
      <c r="M241" s="6"/>
      <c r="N241" s="6"/>
      <c r="O241" s="52"/>
      <c r="P241" s="9"/>
      <c r="Q241" s="52"/>
      <c r="R241" s="52"/>
      <c r="S241" s="9" t="s">
        <v>1824</v>
      </c>
      <c r="T241" s="52"/>
      <c r="U241" s="6"/>
    </row>
    <row r="242" spans="1:21" ht="63.75">
      <c r="A242" s="9">
        <v>2019</v>
      </c>
      <c r="B242" s="6" t="s">
        <v>1204</v>
      </c>
      <c r="C242" s="112" t="s">
        <v>61</v>
      </c>
      <c r="D242" s="6" t="s">
        <v>1141</v>
      </c>
      <c r="E242" s="6"/>
      <c r="F242" s="6" t="s">
        <v>1205</v>
      </c>
      <c r="G242" s="6" t="s">
        <v>1206</v>
      </c>
      <c r="H242" s="30">
        <v>126407.57</v>
      </c>
      <c r="I242" s="6" t="s">
        <v>2500</v>
      </c>
      <c r="J242" s="9" t="s">
        <v>6370</v>
      </c>
      <c r="K242" s="9" t="s">
        <v>1904</v>
      </c>
      <c r="L242" s="6" t="s">
        <v>6137</v>
      </c>
      <c r="M242" s="6"/>
      <c r="N242" s="6"/>
      <c r="O242" s="52"/>
      <c r="P242" s="9"/>
      <c r="Q242" s="52"/>
      <c r="R242" s="52"/>
      <c r="S242" s="9" t="s">
        <v>6373</v>
      </c>
      <c r="T242" s="6" t="s">
        <v>11985</v>
      </c>
      <c r="U242" s="6"/>
    </row>
    <row r="243" spans="1:21" ht="51">
      <c r="A243" s="9">
        <v>2019</v>
      </c>
      <c r="B243" s="6" t="s">
        <v>812</v>
      </c>
      <c r="C243" s="112" t="s">
        <v>61</v>
      </c>
      <c r="D243" s="6" t="s">
        <v>68</v>
      </c>
      <c r="E243" s="6"/>
      <c r="F243" s="6" t="s">
        <v>813</v>
      </c>
      <c r="G243" s="6" t="s">
        <v>2501</v>
      </c>
      <c r="H243" s="8">
        <v>199388</v>
      </c>
      <c r="I243" s="160" t="s">
        <v>2502</v>
      </c>
      <c r="J243" s="9" t="s">
        <v>2449</v>
      </c>
      <c r="K243" s="9" t="s">
        <v>1231</v>
      </c>
      <c r="L243" s="6" t="s">
        <v>6092</v>
      </c>
      <c r="M243" s="6"/>
      <c r="N243" s="6"/>
      <c r="O243" s="52"/>
      <c r="P243" s="9" t="s">
        <v>6132</v>
      </c>
      <c r="Q243" s="52"/>
      <c r="R243" s="52"/>
      <c r="S243" s="9" t="s">
        <v>2144</v>
      </c>
      <c r="T243" s="52"/>
      <c r="U243" s="160"/>
    </row>
    <row r="244" spans="1:21" ht="38.25">
      <c r="A244" s="9">
        <v>2019</v>
      </c>
      <c r="B244" s="6" t="s">
        <v>815</v>
      </c>
      <c r="C244" s="112" t="s">
        <v>61</v>
      </c>
      <c r="D244" s="6" t="s">
        <v>652</v>
      </c>
      <c r="E244" s="6"/>
      <c r="F244" s="6" t="s">
        <v>816</v>
      </c>
      <c r="G244" s="6" t="s">
        <v>2503</v>
      </c>
      <c r="H244" s="8">
        <v>146362</v>
      </c>
      <c r="I244" s="160" t="s">
        <v>2504</v>
      </c>
      <c r="J244" s="9" t="s">
        <v>1828</v>
      </c>
      <c r="K244" s="9" t="s">
        <v>611</v>
      </c>
      <c r="L244" s="6" t="s">
        <v>6140</v>
      </c>
      <c r="M244" s="6"/>
      <c r="N244" s="6"/>
      <c r="O244" s="52"/>
      <c r="P244" s="9" t="s">
        <v>6132</v>
      </c>
      <c r="Q244" s="52"/>
      <c r="R244" s="52"/>
      <c r="S244" s="9" t="s">
        <v>2144</v>
      </c>
      <c r="T244" s="52"/>
      <c r="U244" s="160"/>
    </row>
    <row r="245" spans="1:21" ht="51">
      <c r="A245" s="52"/>
      <c r="B245" s="6" t="s">
        <v>847</v>
      </c>
      <c r="C245" s="9" t="s">
        <v>2328</v>
      </c>
      <c r="D245" s="56"/>
      <c r="E245" s="56"/>
      <c r="F245" s="6" t="s">
        <v>2505</v>
      </c>
      <c r="G245" s="6" t="s">
        <v>2506</v>
      </c>
      <c r="H245" s="8"/>
      <c r="I245" s="6" t="s">
        <v>2507</v>
      </c>
      <c r="J245" s="9" t="s">
        <v>1828</v>
      </c>
      <c r="K245" s="9"/>
      <c r="L245" s="292" t="s">
        <v>1867</v>
      </c>
      <c r="M245" s="778">
        <v>43684</v>
      </c>
      <c r="N245" s="6"/>
      <c r="O245" s="52"/>
      <c r="P245" s="9"/>
      <c r="Q245" s="52"/>
      <c r="R245" s="52"/>
      <c r="S245" s="9"/>
      <c r="T245" s="52"/>
      <c r="U245" s="6"/>
    </row>
    <row r="246" spans="1:21" ht="38.25">
      <c r="A246" s="9">
        <v>2019</v>
      </c>
      <c r="B246" s="6" t="s">
        <v>850</v>
      </c>
      <c r="C246" s="112" t="s">
        <v>61</v>
      </c>
      <c r="D246" s="6" t="s">
        <v>1383</v>
      </c>
      <c r="E246" s="6"/>
      <c r="F246" s="6" t="s">
        <v>1579</v>
      </c>
      <c r="G246" s="6" t="s">
        <v>1580</v>
      </c>
      <c r="H246" s="8">
        <v>500000</v>
      </c>
      <c r="I246" s="6" t="s">
        <v>722</v>
      </c>
      <c r="J246" s="9" t="s">
        <v>2467</v>
      </c>
      <c r="K246" s="9" t="s">
        <v>2412</v>
      </c>
      <c r="L246" s="6" t="s">
        <v>6064</v>
      </c>
      <c r="M246" s="6"/>
      <c r="N246" s="6"/>
      <c r="O246" s="52"/>
      <c r="P246" s="9" t="s">
        <v>6132</v>
      </c>
      <c r="Q246" s="52"/>
      <c r="R246" s="52"/>
      <c r="S246" s="9" t="s">
        <v>1824</v>
      </c>
      <c r="T246" s="52"/>
      <c r="U246" s="6"/>
    </row>
    <row r="247" spans="1:21" ht="25.5">
      <c r="A247" s="9">
        <v>2019</v>
      </c>
      <c r="B247" s="6" t="s">
        <v>1581</v>
      </c>
      <c r="C247" s="112" t="s">
        <v>61</v>
      </c>
      <c r="D247" s="6" t="s">
        <v>1383</v>
      </c>
      <c r="E247" s="6"/>
      <c r="F247" s="6" t="s">
        <v>1582</v>
      </c>
      <c r="G247" s="6" t="s">
        <v>1505</v>
      </c>
      <c r="H247" s="8">
        <v>500000</v>
      </c>
      <c r="I247" s="6" t="s">
        <v>2508</v>
      </c>
      <c r="J247" s="9" t="s">
        <v>1828</v>
      </c>
      <c r="K247" s="9" t="s">
        <v>2412</v>
      </c>
      <c r="L247" s="6" t="s">
        <v>6064</v>
      </c>
      <c r="M247" s="6"/>
      <c r="N247" s="6"/>
      <c r="O247" s="52"/>
      <c r="P247" s="9"/>
      <c r="Q247" s="52"/>
      <c r="R247" s="52"/>
      <c r="S247" s="9" t="s">
        <v>1824</v>
      </c>
      <c r="T247" s="52"/>
      <c r="U247" s="6"/>
    </row>
    <row r="248" spans="1:21" ht="25.5">
      <c r="A248" s="52"/>
      <c r="B248" s="6" t="s">
        <v>1648</v>
      </c>
      <c r="C248" s="9" t="s">
        <v>2328</v>
      </c>
      <c r="D248" s="56"/>
      <c r="E248" s="56"/>
      <c r="F248" s="6" t="s">
        <v>2509</v>
      </c>
      <c r="G248" s="6" t="s">
        <v>2510</v>
      </c>
      <c r="H248" s="8"/>
      <c r="I248" s="6" t="s">
        <v>2508</v>
      </c>
      <c r="J248" s="9" t="s">
        <v>1828</v>
      </c>
      <c r="K248" s="9"/>
      <c r="L248" s="292" t="s">
        <v>1867</v>
      </c>
      <c r="M248" s="778">
        <v>43756</v>
      </c>
      <c r="N248" s="6"/>
      <c r="O248" s="52"/>
      <c r="P248" s="9" t="s">
        <v>6132</v>
      </c>
      <c r="Q248" s="52"/>
      <c r="R248" s="52"/>
      <c r="S248" s="9" t="s">
        <v>1824</v>
      </c>
      <c r="T248" s="52"/>
      <c r="U248" s="6"/>
    </row>
    <row r="249" spans="1:21" ht="51">
      <c r="A249" s="9">
        <v>2019</v>
      </c>
      <c r="B249" s="6" t="s">
        <v>60</v>
      </c>
      <c r="C249" s="112" t="s">
        <v>61</v>
      </c>
      <c r="D249" s="34" t="s">
        <v>62</v>
      </c>
      <c r="E249" s="34"/>
      <c r="F249" s="6" t="s">
        <v>63</v>
      </c>
      <c r="G249" s="6" t="s">
        <v>2511</v>
      </c>
      <c r="H249" s="8">
        <v>3792164.92</v>
      </c>
      <c r="I249" s="160" t="s">
        <v>2512</v>
      </c>
      <c r="J249" s="9" t="s">
        <v>1828</v>
      </c>
      <c r="K249" s="9" t="s">
        <v>1904</v>
      </c>
      <c r="L249" s="6" t="s">
        <v>6140</v>
      </c>
      <c r="M249" s="6"/>
      <c r="N249" s="6"/>
      <c r="O249" s="52"/>
      <c r="P249" s="9" t="s">
        <v>6132</v>
      </c>
      <c r="Q249" s="52"/>
      <c r="R249" s="52"/>
      <c r="S249" s="9" t="s">
        <v>6426</v>
      </c>
      <c r="T249" s="52"/>
      <c r="U249" s="398"/>
    </row>
    <row r="250" spans="1:21" ht="38.25">
      <c r="A250" s="9">
        <v>2019</v>
      </c>
      <c r="B250" s="6" t="s">
        <v>1207</v>
      </c>
      <c r="C250" s="112" t="s">
        <v>61</v>
      </c>
      <c r="D250" s="34" t="s">
        <v>62</v>
      </c>
      <c r="E250" s="34"/>
      <c r="F250" s="6" t="s">
        <v>2513</v>
      </c>
      <c r="G250" s="6" t="s">
        <v>2514</v>
      </c>
      <c r="H250" s="8">
        <v>819000</v>
      </c>
      <c r="I250" s="160" t="s">
        <v>2515</v>
      </c>
      <c r="J250" s="9" t="s">
        <v>1828</v>
      </c>
      <c r="K250" s="9" t="s">
        <v>1904</v>
      </c>
      <c r="L250" s="6" t="s">
        <v>6217</v>
      </c>
      <c r="M250" s="6"/>
      <c r="N250" s="6"/>
      <c r="O250" s="52"/>
      <c r="P250" s="9" t="s">
        <v>6132</v>
      </c>
      <c r="Q250" s="52"/>
      <c r="R250" s="52"/>
      <c r="S250" s="9" t="s">
        <v>6426</v>
      </c>
      <c r="T250" s="52"/>
      <c r="U250" s="398"/>
    </row>
    <row r="251" spans="1:21" ht="63.75">
      <c r="A251" s="9">
        <v>2019</v>
      </c>
      <c r="B251" s="6" t="s">
        <v>1210</v>
      </c>
      <c r="C251" s="112" t="s">
        <v>61</v>
      </c>
      <c r="D251" s="34" t="s">
        <v>62</v>
      </c>
      <c r="E251" s="34"/>
      <c r="F251" s="6" t="s">
        <v>1211</v>
      </c>
      <c r="G251" s="6" t="s">
        <v>2516</v>
      </c>
      <c r="H251" s="8">
        <v>950981.8</v>
      </c>
      <c r="I251" s="160" t="s">
        <v>2517</v>
      </c>
      <c r="J251" s="9" t="s">
        <v>1828</v>
      </c>
      <c r="K251" s="9" t="s">
        <v>1904</v>
      </c>
      <c r="L251" s="6" t="s">
        <v>6170</v>
      </c>
      <c r="M251" s="6"/>
      <c r="N251" s="6"/>
      <c r="O251" s="52"/>
      <c r="P251" s="9" t="s">
        <v>6179</v>
      </c>
      <c r="Q251" s="52"/>
      <c r="R251" s="52"/>
      <c r="S251" s="9" t="s">
        <v>6426</v>
      </c>
      <c r="T251" s="52"/>
      <c r="U251" s="398"/>
    </row>
    <row r="252" spans="1:21" ht="63.75">
      <c r="A252" s="9">
        <v>2019</v>
      </c>
      <c r="B252" s="6" t="s">
        <v>818</v>
      </c>
      <c r="C252" s="112" t="s">
        <v>61</v>
      </c>
      <c r="D252" s="6" t="s">
        <v>394</v>
      </c>
      <c r="E252" s="6"/>
      <c r="F252" s="6" t="s">
        <v>819</v>
      </c>
      <c r="G252" s="6" t="s">
        <v>820</v>
      </c>
      <c r="H252" s="8">
        <v>37500</v>
      </c>
      <c r="I252" s="166" t="s">
        <v>2518</v>
      </c>
      <c r="J252" s="9" t="s">
        <v>2656</v>
      </c>
      <c r="K252" s="9" t="s">
        <v>611</v>
      </c>
      <c r="L252" s="6" t="s">
        <v>6071</v>
      </c>
      <c r="M252" s="6"/>
      <c r="N252" s="6"/>
      <c r="O252" s="52"/>
      <c r="P252" s="9"/>
      <c r="Q252" s="52"/>
      <c r="R252" s="52"/>
      <c r="S252" s="9" t="s">
        <v>1824</v>
      </c>
      <c r="T252" s="52"/>
      <c r="U252" s="166"/>
    </row>
    <row r="253" spans="1:21" ht="63.75">
      <c r="A253" s="52"/>
      <c r="B253" s="167" t="s">
        <v>2519</v>
      </c>
      <c r="C253" s="9" t="s">
        <v>1823</v>
      </c>
      <c r="D253" s="6" t="s">
        <v>2520</v>
      </c>
      <c r="E253" s="6"/>
      <c r="F253" s="6" t="s">
        <v>2521</v>
      </c>
      <c r="G253" s="6" t="s">
        <v>2412</v>
      </c>
      <c r="H253" s="8" t="s">
        <v>22</v>
      </c>
      <c r="I253" s="6" t="s">
        <v>575</v>
      </c>
      <c r="J253" s="9" t="s">
        <v>1828</v>
      </c>
      <c r="K253" s="9"/>
      <c r="L253" s="6" t="s">
        <v>6064</v>
      </c>
      <c r="M253" s="6"/>
      <c r="N253" s="6" t="s">
        <v>11986</v>
      </c>
      <c r="O253" s="52"/>
      <c r="P253" s="9" t="s">
        <v>22</v>
      </c>
      <c r="Q253" s="52"/>
      <c r="R253" s="52"/>
      <c r="S253" s="9"/>
      <c r="T253" s="52"/>
      <c r="U253" s="6"/>
    </row>
    <row r="254" spans="1:21" ht="204">
      <c r="A254" s="52"/>
      <c r="B254" s="6" t="s">
        <v>2523</v>
      </c>
      <c r="C254" s="9" t="s">
        <v>1823</v>
      </c>
      <c r="D254" s="34" t="s">
        <v>62</v>
      </c>
      <c r="E254" s="34"/>
      <c r="F254" s="6" t="s">
        <v>2525</v>
      </c>
      <c r="G254" s="6" t="s">
        <v>1231</v>
      </c>
      <c r="H254" s="8" t="s">
        <v>22</v>
      </c>
      <c r="I254" s="6" t="s">
        <v>575</v>
      </c>
      <c r="J254" s="9" t="s">
        <v>1828</v>
      </c>
      <c r="K254" s="9"/>
      <c r="L254" s="6" t="s">
        <v>6064</v>
      </c>
      <c r="M254" s="6"/>
      <c r="N254" s="6" t="s">
        <v>2526</v>
      </c>
      <c r="O254" s="52"/>
      <c r="P254" s="9" t="s">
        <v>22</v>
      </c>
      <c r="Q254" s="52"/>
      <c r="R254" s="52"/>
      <c r="S254" s="9"/>
      <c r="T254" s="52"/>
      <c r="U254" s="34"/>
    </row>
    <row r="255" spans="1:21" ht="51">
      <c r="A255" s="52"/>
      <c r="B255" s="6" t="s">
        <v>2527</v>
      </c>
      <c r="C255" s="9" t="s">
        <v>1823</v>
      </c>
      <c r="D255" s="6" t="s">
        <v>125</v>
      </c>
      <c r="E255" s="6"/>
      <c r="F255" s="6" t="s">
        <v>2528</v>
      </c>
      <c r="G255" s="6" t="s">
        <v>2412</v>
      </c>
      <c r="H255" s="8" t="s">
        <v>22</v>
      </c>
      <c r="I255" s="6" t="s">
        <v>575</v>
      </c>
      <c r="J255" s="9" t="s">
        <v>1828</v>
      </c>
      <c r="K255" s="9"/>
      <c r="L255" s="6" t="s">
        <v>6064</v>
      </c>
      <c r="M255" s="6"/>
      <c r="N255" s="6" t="s">
        <v>2529</v>
      </c>
      <c r="O255" s="52"/>
      <c r="P255" s="9" t="s">
        <v>22</v>
      </c>
      <c r="Q255" s="52"/>
      <c r="R255" s="52"/>
      <c r="S255" s="9"/>
      <c r="T255" s="52"/>
      <c r="U255" s="6"/>
    </row>
    <row r="256" spans="1:21" ht="38.25">
      <c r="A256" s="52"/>
      <c r="B256" s="6" t="s">
        <v>2530</v>
      </c>
      <c r="C256" s="9" t="s">
        <v>1823</v>
      </c>
      <c r="D256" s="6" t="s">
        <v>125</v>
      </c>
      <c r="E256" s="6"/>
      <c r="F256" s="6" t="s">
        <v>2531</v>
      </c>
      <c r="G256" s="6" t="s">
        <v>2412</v>
      </c>
      <c r="H256" s="8" t="s">
        <v>22</v>
      </c>
      <c r="I256" s="6" t="s">
        <v>575</v>
      </c>
      <c r="J256" s="9" t="s">
        <v>1828</v>
      </c>
      <c r="K256" s="9"/>
      <c r="L256" s="6" t="s">
        <v>6064</v>
      </c>
      <c r="M256" s="6"/>
      <c r="N256" s="6" t="s">
        <v>2532</v>
      </c>
      <c r="O256" s="52"/>
      <c r="P256" s="9" t="s">
        <v>22</v>
      </c>
      <c r="Q256" s="52"/>
      <c r="R256" s="52"/>
      <c r="S256" s="9"/>
      <c r="T256" s="52"/>
      <c r="U256" s="6"/>
    </row>
    <row r="257" spans="1:21" ht="178.5">
      <c r="A257" s="52"/>
      <c r="B257" s="6" t="s">
        <v>2533</v>
      </c>
      <c r="C257" s="9" t="s">
        <v>1823</v>
      </c>
      <c r="D257" s="6" t="s">
        <v>125</v>
      </c>
      <c r="E257" s="6"/>
      <c r="F257" s="6" t="s">
        <v>2534</v>
      </c>
      <c r="G257" s="6" t="s">
        <v>1231</v>
      </c>
      <c r="H257" s="8" t="s">
        <v>22</v>
      </c>
      <c r="I257" s="6" t="s">
        <v>575</v>
      </c>
      <c r="J257" s="9" t="s">
        <v>1828</v>
      </c>
      <c r="K257" s="9"/>
      <c r="L257" s="6" t="s">
        <v>6064</v>
      </c>
      <c r="M257" s="6"/>
      <c r="N257" s="6" t="s">
        <v>2535</v>
      </c>
      <c r="O257" s="52"/>
      <c r="P257" s="9" t="s">
        <v>22</v>
      </c>
      <c r="Q257" s="52"/>
      <c r="R257" s="52"/>
      <c r="S257" s="9"/>
      <c r="T257" s="52"/>
      <c r="U257" s="6"/>
    </row>
    <row r="258" spans="1:21" ht="114.75">
      <c r="A258" s="52"/>
      <c r="B258" s="6" t="s">
        <v>2536</v>
      </c>
      <c r="C258" s="9" t="s">
        <v>1823</v>
      </c>
      <c r="D258" s="6" t="s">
        <v>125</v>
      </c>
      <c r="E258" s="6"/>
      <c r="F258" s="6" t="s">
        <v>2537</v>
      </c>
      <c r="G258" s="6" t="s">
        <v>611</v>
      </c>
      <c r="H258" s="8" t="s">
        <v>22</v>
      </c>
      <c r="I258" s="6" t="s">
        <v>575</v>
      </c>
      <c r="J258" s="9" t="s">
        <v>1828</v>
      </c>
      <c r="K258" s="9"/>
      <c r="L258" s="6" t="s">
        <v>6064</v>
      </c>
      <c r="M258" s="6"/>
      <c r="N258" s="6" t="s">
        <v>2538</v>
      </c>
      <c r="O258" s="52"/>
      <c r="P258" s="9" t="s">
        <v>22</v>
      </c>
      <c r="Q258" s="52"/>
      <c r="R258" s="52"/>
      <c r="S258" s="9"/>
      <c r="T258" s="52"/>
      <c r="U258" s="6"/>
    </row>
    <row r="259" spans="1:21" ht="127.5">
      <c r="A259" s="52"/>
      <c r="B259" s="6" t="s">
        <v>2539</v>
      </c>
      <c r="C259" s="9" t="s">
        <v>1823</v>
      </c>
      <c r="D259" s="6" t="s">
        <v>125</v>
      </c>
      <c r="E259" s="6"/>
      <c r="F259" s="6" t="s">
        <v>2540</v>
      </c>
      <c r="G259" s="6" t="s">
        <v>611</v>
      </c>
      <c r="H259" s="8" t="s">
        <v>22</v>
      </c>
      <c r="I259" s="6" t="s">
        <v>575</v>
      </c>
      <c r="J259" s="9" t="s">
        <v>1828</v>
      </c>
      <c r="K259" s="9"/>
      <c r="L259" s="6" t="s">
        <v>6064</v>
      </c>
      <c r="M259" s="6"/>
      <c r="N259" s="6" t="s">
        <v>2541</v>
      </c>
      <c r="O259" s="52"/>
      <c r="P259" s="9" t="s">
        <v>22</v>
      </c>
      <c r="Q259" s="52"/>
      <c r="R259" s="52"/>
      <c r="S259" s="9"/>
      <c r="T259" s="52"/>
      <c r="U259" s="6"/>
    </row>
    <row r="260" spans="1:21" ht="51">
      <c r="A260" s="9">
        <v>2019</v>
      </c>
      <c r="B260" s="6" t="s">
        <v>1583</v>
      </c>
      <c r="C260" s="112" t="s">
        <v>61</v>
      </c>
      <c r="D260" s="6" t="s">
        <v>1383</v>
      </c>
      <c r="E260" s="6"/>
      <c r="F260" s="6" t="s">
        <v>1584</v>
      </c>
      <c r="G260" s="6" t="s">
        <v>1585</v>
      </c>
      <c r="H260" s="8">
        <v>100000</v>
      </c>
      <c r="I260" s="6" t="s">
        <v>1585</v>
      </c>
      <c r="J260" s="9" t="s">
        <v>1828</v>
      </c>
      <c r="K260" s="9" t="s">
        <v>2412</v>
      </c>
      <c r="L260" s="6" t="s">
        <v>6064</v>
      </c>
      <c r="M260" s="6"/>
      <c r="N260" s="6" t="s">
        <v>2542</v>
      </c>
      <c r="O260" s="52"/>
      <c r="P260" s="9" t="s">
        <v>22</v>
      </c>
      <c r="Q260" s="52"/>
      <c r="R260" s="52"/>
      <c r="S260" s="9" t="s">
        <v>1824</v>
      </c>
      <c r="T260" s="52"/>
      <c r="U260" s="6"/>
    </row>
    <row r="261" spans="1:21" ht="114.75">
      <c r="A261" s="9">
        <v>2019</v>
      </c>
      <c r="B261" s="6" t="s">
        <v>1213</v>
      </c>
      <c r="C261" s="112" t="s">
        <v>61</v>
      </c>
      <c r="D261" s="6" t="s">
        <v>1141</v>
      </c>
      <c r="E261" s="6"/>
      <c r="F261" s="6" t="s">
        <v>1214</v>
      </c>
      <c r="G261" s="6" t="s">
        <v>1215</v>
      </c>
      <c r="H261" s="8">
        <v>96071.35</v>
      </c>
      <c r="I261" s="6" t="s">
        <v>2543</v>
      </c>
      <c r="J261" s="9" t="s">
        <v>6370</v>
      </c>
      <c r="K261" s="9" t="s">
        <v>1904</v>
      </c>
      <c r="L261" s="6" t="s">
        <v>6137</v>
      </c>
      <c r="M261" s="6"/>
      <c r="N261" s="6" t="s">
        <v>2544</v>
      </c>
      <c r="O261" s="52"/>
      <c r="P261" s="9"/>
      <c r="Q261" s="52"/>
      <c r="R261" s="52"/>
      <c r="S261" s="9" t="s">
        <v>6373</v>
      </c>
      <c r="T261" s="52"/>
      <c r="U261" s="6"/>
    </row>
    <row r="262" spans="1:21" ht="89.25">
      <c r="A262" s="9">
        <v>2019</v>
      </c>
      <c r="B262" s="6" t="s">
        <v>1586</v>
      </c>
      <c r="C262" s="112" t="s">
        <v>61</v>
      </c>
      <c r="D262" s="6" t="s">
        <v>1383</v>
      </c>
      <c r="E262" s="6"/>
      <c r="F262" s="6" t="s">
        <v>1587</v>
      </c>
      <c r="G262" s="6" t="s">
        <v>1588</v>
      </c>
      <c r="H262" s="8">
        <v>58000</v>
      </c>
      <c r="I262" s="6"/>
      <c r="J262" s="9" t="s">
        <v>1828</v>
      </c>
      <c r="K262" s="9" t="s">
        <v>2412</v>
      </c>
      <c r="L262" s="6" t="s">
        <v>6064</v>
      </c>
      <c r="M262" s="6"/>
      <c r="N262" s="6" t="s">
        <v>11987</v>
      </c>
      <c r="O262" s="52"/>
      <c r="P262" s="9"/>
      <c r="Q262" s="52"/>
      <c r="R262" s="52"/>
      <c r="S262" s="9" t="s">
        <v>6309</v>
      </c>
      <c r="T262" s="52"/>
      <c r="U262" s="6"/>
    </row>
    <row r="263" spans="1:21" ht="51">
      <c r="A263" s="9">
        <v>2019</v>
      </c>
      <c r="B263" s="6" t="s">
        <v>1589</v>
      </c>
      <c r="C263" s="112" t="s">
        <v>61</v>
      </c>
      <c r="D263" s="6" t="s">
        <v>1383</v>
      </c>
      <c r="E263" s="6"/>
      <c r="F263" s="6" t="s">
        <v>1590</v>
      </c>
      <c r="G263" s="6" t="s">
        <v>849</v>
      </c>
      <c r="H263" s="8">
        <v>200000</v>
      </c>
      <c r="I263" s="6" t="s">
        <v>2546</v>
      </c>
      <c r="J263" s="9" t="s">
        <v>6314</v>
      </c>
      <c r="K263" s="9" t="s">
        <v>2412</v>
      </c>
      <c r="L263" s="6" t="s">
        <v>6064</v>
      </c>
      <c r="M263" s="6"/>
      <c r="N263" s="6" t="s">
        <v>2547</v>
      </c>
      <c r="O263" s="52"/>
      <c r="P263" s="9"/>
      <c r="Q263" s="52"/>
      <c r="R263" s="52"/>
      <c r="S263" s="9" t="s">
        <v>1824</v>
      </c>
      <c r="T263" s="52"/>
      <c r="U263" s="6"/>
    </row>
    <row r="264" spans="1:21" ht="76.5">
      <c r="A264" s="9">
        <v>2019</v>
      </c>
      <c r="B264" s="6" t="s">
        <v>1591</v>
      </c>
      <c r="C264" s="112" t="s">
        <v>61</v>
      </c>
      <c r="D264" s="6" t="s">
        <v>1383</v>
      </c>
      <c r="E264" s="6"/>
      <c r="F264" s="6" t="s">
        <v>1592</v>
      </c>
      <c r="G264" s="6" t="s">
        <v>1593</v>
      </c>
      <c r="H264" s="8">
        <v>200000</v>
      </c>
      <c r="I264" s="6" t="s">
        <v>2548</v>
      </c>
      <c r="J264" s="9" t="s">
        <v>2467</v>
      </c>
      <c r="K264" s="9" t="s">
        <v>2412</v>
      </c>
      <c r="L264" s="6" t="s">
        <v>6064</v>
      </c>
      <c r="M264" s="6"/>
      <c r="N264" s="6" t="s">
        <v>11988</v>
      </c>
      <c r="O264" s="52"/>
      <c r="P264" s="9"/>
      <c r="Q264" s="52"/>
      <c r="R264" s="52"/>
      <c r="S264" s="9" t="s">
        <v>1824</v>
      </c>
      <c r="T264" s="52"/>
      <c r="U264" s="6"/>
    </row>
    <row r="265" spans="1:21" ht="76.5">
      <c r="A265" s="9">
        <v>2019</v>
      </c>
      <c r="B265" s="6" t="s">
        <v>1594</v>
      </c>
      <c r="C265" s="112" t="s">
        <v>61</v>
      </c>
      <c r="D265" s="6" t="s">
        <v>1383</v>
      </c>
      <c r="E265" s="6"/>
      <c r="F265" s="6" t="s">
        <v>1595</v>
      </c>
      <c r="G265" s="6" t="s">
        <v>844</v>
      </c>
      <c r="H265" s="8">
        <v>200000</v>
      </c>
      <c r="I265" s="6" t="s">
        <v>2550</v>
      </c>
      <c r="J265" s="9" t="s">
        <v>2609</v>
      </c>
      <c r="K265" s="9" t="s">
        <v>2412</v>
      </c>
      <c r="L265" s="6" t="s">
        <v>6064</v>
      </c>
      <c r="M265" s="6"/>
      <c r="N265" s="6" t="s">
        <v>11989</v>
      </c>
      <c r="O265" s="52"/>
      <c r="P265" s="9"/>
      <c r="Q265" s="52"/>
      <c r="R265" s="52"/>
      <c r="S265" s="9" t="s">
        <v>1824</v>
      </c>
      <c r="T265" s="52"/>
      <c r="U265" s="6"/>
    </row>
    <row r="266" spans="1:21" ht="63.75">
      <c r="A266" s="9">
        <v>2019</v>
      </c>
      <c r="B266" s="6" t="s">
        <v>1596</v>
      </c>
      <c r="C266" s="112" t="s">
        <v>61</v>
      </c>
      <c r="D266" s="6" t="s">
        <v>1383</v>
      </c>
      <c r="E266" s="6"/>
      <c r="F266" s="6" t="s">
        <v>1597</v>
      </c>
      <c r="G266" s="6" t="s">
        <v>1598</v>
      </c>
      <c r="H266" s="8">
        <v>200000</v>
      </c>
      <c r="I266" s="6" t="s">
        <v>2030</v>
      </c>
      <c r="J266" s="9" t="s">
        <v>2611</v>
      </c>
      <c r="K266" s="9" t="s">
        <v>2412</v>
      </c>
      <c r="L266" s="6" t="s">
        <v>6064</v>
      </c>
      <c r="M266" s="6"/>
      <c r="N266" s="6" t="s">
        <v>11990</v>
      </c>
      <c r="O266" s="52"/>
      <c r="P266" s="9"/>
      <c r="Q266" s="52"/>
      <c r="R266" s="52"/>
      <c r="S266" s="9" t="s">
        <v>1824</v>
      </c>
      <c r="T266" s="52"/>
      <c r="U266" s="6"/>
    </row>
    <row r="267" spans="1:21" ht="102">
      <c r="A267" s="9">
        <v>2019</v>
      </c>
      <c r="B267" s="6" t="s">
        <v>1599</v>
      </c>
      <c r="C267" s="112" t="s">
        <v>61</v>
      </c>
      <c r="D267" s="6" t="s">
        <v>1383</v>
      </c>
      <c r="E267" s="6"/>
      <c r="F267" s="6" t="s">
        <v>1600</v>
      </c>
      <c r="G267" s="6" t="s">
        <v>854</v>
      </c>
      <c r="H267" s="8">
        <v>200000</v>
      </c>
      <c r="I267" s="167" t="s">
        <v>2553</v>
      </c>
      <c r="J267" s="9" t="s">
        <v>6370</v>
      </c>
      <c r="K267" s="9" t="s">
        <v>2412</v>
      </c>
      <c r="L267" s="6" t="s">
        <v>6064</v>
      </c>
      <c r="M267" s="6"/>
      <c r="N267" s="6" t="s">
        <v>11991</v>
      </c>
      <c r="O267" s="52"/>
      <c r="P267" s="9"/>
      <c r="Q267" s="52"/>
      <c r="R267" s="52"/>
      <c r="S267" s="9" t="s">
        <v>1824</v>
      </c>
      <c r="T267" s="52"/>
      <c r="U267" s="6"/>
    </row>
    <row r="268" spans="1:21" ht="51">
      <c r="A268" s="9">
        <v>2019</v>
      </c>
      <c r="B268" s="6" t="s">
        <v>1601</v>
      </c>
      <c r="C268" s="112" t="s">
        <v>61</v>
      </c>
      <c r="D268" s="6" t="s">
        <v>1383</v>
      </c>
      <c r="E268" s="6"/>
      <c r="F268" s="6" t="s">
        <v>1602</v>
      </c>
      <c r="G268" s="6" t="s">
        <v>1346</v>
      </c>
      <c r="H268" s="8">
        <v>200000</v>
      </c>
      <c r="I268" s="6" t="s">
        <v>2555</v>
      </c>
      <c r="J268" s="9" t="s">
        <v>5712</v>
      </c>
      <c r="K268" s="9" t="s">
        <v>2412</v>
      </c>
      <c r="L268" s="6" t="s">
        <v>6064</v>
      </c>
      <c r="M268" s="6"/>
      <c r="N268" s="6" t="s">
        <v>11992</v>
      </c>
      <c r="O268" s="52"/>
      <c r="P268" s="9"/>
      <c r="Q268" s="52"/>
      <c r="R268" s="52"/>
      <c r="S268" s="9" t="s">
        <v>1824</v>
      </c>
      <c r="T268" s="52"/>
      <c r="U268" s="6"/>
    </row>
    <row r="269" spans="1:21" ht="51">
      <c r="A269" s="9">
        <v>2019</v>
      </c>
      <c r="B269" s="6" t="s">
        <v>1603</v>
      </c>
      <c r="C269" s="112" t="s">
        <v>61</v>
      </c>
      <c r="D269" s="6" t="s">
        <v>1383</v>
      </c>
      <c r="E269" s="6"/>
      <c r="F269" s="6" t="s">
        <v>1604</v>
      </c>
      <c r="G269" s="6" t="s">
        <v>1605</v>
      </c>
      <c r="H269" s="8">
        <v>200000</v>
      </c>
      <c r="I269" s="6" t="s">
        <v>2557</v>
      </c>
      <c r="J269" s="9" t="s">
        <v>2613</v>
      </c>
      <c r="K269" s="9" t="s">
        <v>2412</v>
      </c>
      <c r="L269" s="6" t="s">
        <v>6064</v>
      </c>
      <c r="M269" s="6"/>
      <c r="N269" s="6" t="s">
        <v>11993</v>
      </c>
      <c r="O269" s="52"/>
      <c r="P269" s="9"/>
      <c r="Q269" s="52"/>
      <c r="R269" s="52"/>
      <c r="S269" s="9" t="s">
        <v>1824</v>
      </c>
      <c r="T269" s="52"/>
      <c r="U269" s="6"/>
    </row>
    <row r="270" spans="1:21" ht="63.75">
      <c r="A270" s="9">
        <v>2019</v>
      </c>
      <c r="B270" s="6" t="s">
        <v>1606</v>
      </c>
      <c r="C270" s="112" t="s">
        <v>61</v>
      </c>
      <c r="D270" s="6" t="s">
        <v>1383</v>
      </c>
      <c r="E270" s="6"/>
      <c r="F270" s="6" t="s">
        <v>2559</v>
      </c>
      <c r="G270" s="6" t="s">
        <v>1608</v>
      </c>
      <c r="H270" s="8">
        <v>200000</v>
      </c>
      <c r="I270" s="6" t="s">
        <v>2560</v>
      </c>
      <c r="J270" s="9" t="s">
        <v>6783</v>
      </c>
      <c r="K270" s="9" t="s">
        <v>2412</v>
      </c>
      <c r="L270" s="6" t="s">
        <v>6064</v>
      </c>
      <c r="M270" s="6"/>
      <c r="N270" s="6" t="s">
        <v>11994</v>
      </c>
      <c r="O270" s="52"/>
      <c r="P270" s="9"/>
      <c r="Q270" s="52"/>
      <c r="R270" s="52"/>
      <c r="S270" s="9" t="s">
        <v>1824</v>
      </c>
      <c r="T270" s="52"/>
      <c r="U270" s="6"/>
    </row>
    <row r="271" spans="1:21" ht="63.75">
      <c r="A271" s="9">
        <v>2019</v>
      </c>
      <c r="B271" s="6" t="s">
        <v>1609</v>
      </c>
      <c r="C271" s="112" t="s">
        <v>61</v>
      </c>
      <c r="D271" s="6" t="s">
        <v>1383</v>
      </c>
      <c r="E271" s="6"/>
      <c r="F271" s="6" t="s">
        <v>1610</v>
      </c>
      <c r="G271" s="6" t="s">
        <v>1611</v>
      </c>
      <c r="H271" s="8"/>
      <c r="I271" s="6" t="s">
        <v>2562</v>
      </c>
      <c r="J271" s="9" t="s">
        <v>1828</v>
      </c>
      <c r="K271" s="9" t="s">
        <v>2412</v>
      </c>
      <c r="L271" s="6" t="s">
        <v>6064</v>
      </c>
      <c r="M271" s="6"/>
      <c r="N271" s="6" t="s">
        <v>2563</v>
      </c>
      <c r="O271" s="52"/>
      <c r="P271" s="9"/>
      <c r="Q271" s="52"/>
      <c r="R271" s="52"/>
      <c r="S271" s="9" t="s">
        <v>1824</v>
      </c>
      <c r="T271" s="52"/>
      <c r="U271" s="6"/>
    </row>
    <row r="272" spans="1:21" ht="76.5">
      <c r="A272" s="9">
        <v>2019</v>
      </c>
      <c r="B272" s="6" t="s">
        <v>821</v>
      </c>
      <c r="C272" s="112" t="s">
        <v>61</v>
      </c>
      <c r="D272" s="6" t="s">
        <v>1383</v>
      </c>
      <c r="E272" s="6"/>
      <c r="F272" s="6" t="s">
        <v>822</v>
      </c>
      <c r="G272" s="6" t="s">
        <v>704</v>
      </c>
      <c r="H272" s="8">
        <v>60000</v>
      </c>
      <c r="I272" s="6" t="s">
        <v>2564</v>
      </c>
      <c r="J272" s="9" t="s">
        <v>1879</v>
      </c>
      <c r="K272" s="9" t="s">
        <v>2412</v>
      </c>
      <c r="L272" s="6" t="s">
        <v>6071</v>
      </c>
      <c r="M272" s="6"/>
      <c r="N272" s="6" t="s">
        <v>2565</v>
      </c>
      <c r="O272" s="52"/>
      <c r="P272" s="9"/>
      <c r="Q272" s="52"/>
      <c r="R272" s="52"/>
      <c r="S272" s="9" t="s">
        <v>1824</v>
      </c>
      <c r="T272" s="52"/>
      <c r="U272" s="6"/>
    </row>
    <row r="273" spans="1:21" ht="51">
      <c r="A273" s="9">
        <v>2019</v>
      </c>
      <c r="B273" s="6" t="s">
        <v>1612</v>
      </c>
      <c r="C273" s="112" t="s">
        <v>61</v>
      </c>
      <c r="D273" s="6" t="s">
        <v>1383</v>
      </c>
      <c r="E273" s="6"/>
      <c r="F273" s="6" t="s">
        <v>1613</v>
      </c>
      <c r="G273" s="9" t="s">
        <v>1614</v>
      </c>
      <c r="H273" s="8">
        <v>500000</v>
      </c>
      <c r="I273" s="6" t="s">
        <v>2566</v>
      </c>
      <c r="J273" s="9" t="s">
        <v>1828</v>
      </c>
      <c r="K273" s="9" t="s">
        <v>2412</v>
      </c>
      <c r="L273" s="6" t="s">
        <v>6064</v>
      </c>
      <c r="M273" s="6"/>
      <c r="N273" s="6" t="s">
        <v>2567</v>
      </c>
      <c r="O273" s="52"/>
      <c r="P273" s="9"/>
      <c r="Q273" s="52"/>
      <c r="R273" s="52"/>
      <c r="S273" s="9" t="s">
        <v>1824</v>
      </c>
      <c r="T273" s="52"/>
      <c r="U273" s="6"/>
    </row>
    <row r="274" spans="1:21" ht="63.75">
      <c r="A274" s="9">
        <v>2019</v>
      </c>
      <c r="B274" s="6" t="s">
        <v>1615</v>
      </c>
      <c r="C274" s="112" t="s">
        <v>61</v>
      </c>
      <c r="D274" s="6" t="s">
        <v>1383</v>
      </c>
      <c r="E274" s="6"/>
      <c r="F274" s="6" t="s">
        <v>1616</v>
      </c>
      <c r="G274" s="6" t="s">
        <v>1617</v>
      </c>
      <c r="H274" s="8">
        <v>500000</v>
      </c>
      <c r="I274" s="6" t="s">
        <v>2562</v>
      </c>
      <c r="J274" s="9" t="s">
        <v>1828</v>
      </c>
      <c r="K274" s="9" t="s">
        <v>2412</v>
      </c>
      <c r="L274" s="6" t="s">
        <v>6071</v>
      </c>
      <c r="M274" s="6"/>
      <c r="N274" s="6" t="s">
        <v>2568</v>
      </c>
      <c r="O274" s="52"/>
      <c r="P274" s="9"/>
      <c r="Q274" s="52"/>
      <c r="R274" s="52"/>
      <c r="S274" s="9" t="s">
        <v>1824</v>
      </c>
      <c r="T274" s="52"/>
      <c r="U274" s="6"/>
    </row>
    <row r="275" spans="1:21" ht="51">
      <c r="A275" s="9">
        <v>2019</v>
      </c>
      <c r="B275" s="6" t="s">
        <v>1618</v>
      </c>
      <c r="C275" s="112" t="s">
        <v>61</v>
      </c>
      <c r="D275" s="6" t="s">
        <v>1383</v>
      </c>
      <c r="E275" s="6"/>
      <c r="F275" s="6" t="s">
        <v>1619</v>
      </c>
      <c r="G275" s="6" t="s">
        <v>840</v>
      </c>
      <c r="H275" s="8">
        <v>500000</v>
      </c>
      <c r="I275" s="6" t="s">
        <v>2562</v>
      </c>
      <c r="J275" s="9" t="s">
        <v>1828</v>
      </c>
      <c r="K275" s="9" t="s">
        <v>2412</v>
      </c>
      <c r="L275" s="6" t="s">
        <v>6064</v>
      </c>
      <c r="M275" s="6"/>
      <c r="N275" s="6" t="s">
        <v>2569</v>
      </c>
      <c r="O275" s="52"/>
      <c r="P275" s="9"/>
      <c r="Q275" s="52"/>
      <c r="R275" s="52"/>
      <c r="S275" s="9" t="s">
        <v>1824</v>
      </c>
      <c r="T275" s="52"/>
      <c r="U275" s="6"/>
    </row>
    <row r="276" spans="1:21" ht="63.75">
      <c r="A276" s="9">
        <v>2019</v>
      </c>
      <c r="B276" s="6" t="s">
        <v>1620</v>
      </c>
      <c r="C276" s="112" t="s">
        <v>61</v>
      </c>
      <c r="D276" s="6" t="s">
        <v>1383</v>
      </c>
      <c r="E276" s="6"/>
      <c r="F276" s="6" t="s">
        <v>1621</v>
      </c>
      <c r="G276" s="6" t="s">
        <v>1622</v>
      </c>
      <c r="H276" s="8">
        <v>500000</v>
      </c>
      <c r="I276" s="6" t="s">
        <v>2570</v>
      </c>
      <c r="J276" s="9" t="s">
        <v>2659</v>
      </c>
      <c r="K276" s="9" t="s">
        <v>2412</v>
      </c>
      <c r="L276" s="6" t="s">
        <v>6064</v>
      </c>
      <c r="M276" s="6"/>
      <c r="N276" s="6" t="s">
        <v>2572</v>
      </c>
      <c r="O276" s="52"/>
      <c r="P276" s="9"/>
      <c r="Q276" s="52"/>
      <c r="R276" s="52"/>
      <c r="S276" s="9" t="s">
        <v>1824</v>
      </c>
      <c r="T276" s="52"/>
      <c r="U276" s="6"/>
    </row>
    <row r="277" spans="1:21" ht="127.5">
      <c r="A277" s="9">
        <v>2019</v>
      </c>
      <c r="B277" s="6" t="s">
        <v>823</v>
      </c>
      <c r="C277" s="112" t="s">
        <v>61</v>
      </c>
      <c r="D277" s="6" t="s">
        <v>2520</v>
      </c>
      <c r="E277" s="6"/>
      <c r="F277" s="6" t="s">
        <v>825</v>
      </c>
      <c r="G277" s="6" t="s">
        <v>826</v>
      </c>
      <c r="H277" s="8">
        <v>28800</v>
      </c>
      <c r="I277" s="6" t="s">
        <v>2573</v>
      </c>
      <c r="J277" s="9" t="s">
        <v>1828</v>
      </c>
      <c r="K277" s="9" t="s">
        <v>611</v>
      </c>
      <c r="L277" s="6" t="s">
        <v>6137</v>
      </c>
      <c r="M277" s="6"/>
      <c r="N277" s="6" t="s">
        <v>2574</v>
      </c>
      <c r="O277" s="52"/>
      <c r="P277" s="9" t="s">
        <v>6179</v>
      </c>
      <c r="Q277" s="52"/>
      <c r="R277" s="52"/>
      <c r="S277" s="9" t="s">
        <v>2144</v>
      </c>
      <c r="T277" s="52"/>
      <c r="U277" s="6"/>
    </row>
    <row r="278" spans="1:21" ht="63.75">
      <c r="A278" s="9">
        <v>2019</v>
      </c>
      <c r="B278" s="6" t="s">
        <v>827</v>
      </c>
      <c r="C278" s="112" t="s">
        <v>61</v>
      </c>
      <c r="D278" s="6" t="s">
        <v>2520</v>
      </c>
      <c r="E278" s="6"/>
      <c r="F278" s="6" t="s">
        <v>828</v>
      </c>
      <c r="G278" s="6" t="s">
        <v>829</v>
      </c>
      <c r="H278" s="8">
        <v>16346.44</v>
      </c>
      <c r="I278" s="6" t="s">
        <v>2575</v>
      </c>
      <c r="J278" s="9" t="s">
        <v>6822</v>
      </c>
      <c r="K278" s="9" t="s">
        <v>611</v>
      </c>
      <c r="L278" s="6" t="s">
        <v>6597</v>
      </c>
      <c r="M278" s="6"/>
      <c r="N278" s="6" t="s">
        <v>11995</v>
      </c>
      <c r="O278" s="52"/>
      <c r="P278" s="9" t="s">
        <v>6132</v>
      </c>
      <c r="Q278" s="52"/>
      <c r="R278" s="52"/>
      <c r="S278" s="9" t="s">
        <v>2144</v>
      </c>
      <c r="T278" s="52"/>
      <c r="U278" s="6"/>
    </row>
    <row r="279" spans="1:21" ht="76.5">
      <c r="A279" s="9">
        <v>2019</v>
      </c>
      <c r="B279" s="6" t="s">
        <v>1623</v>
      </c>
      <c r="C279" s="112" t="s">
        <v>61</v>
      </c>
      <c r="D279" s="6" t="s">
        <v>1383</v>
      </c>
      <c r="E279" s="6"/>
      <c r="F279" s="6" t="s">
        <v>1624</v>
      </c>
      <c r="G279" s="6" t="s">
        <v>1625</v>
      </c>
      <c r="H279" s="8">
        <v>500000</v>
      </c>
      <c r="I279" s="6" t="s">
        <v>2562</v>
      </c>
      <c r="J279" s="9" t="s">
        <v>1828</v>
      </c>
      <c r="K279" s="9" t="s">
        <v>2412</v>
      </c>
      <c r="L279" s="6" t="s">
        <v>6064</v>
      </c>
      <c r="M279" s="6"/>
      <c r="N279" s="6" t="s">
        <v>2577</v>
      </c>
      <c r="O279" s="52"/>
      <c r="P279" s="9"/>
      <c r="Q279" s="52"/>
      <c r="R279" s="52"/>
      <c r="S279" s="9" t="s">
        <v>1824</v>
      </c>
      <c r="T279" s="52"/>
      <c r="U279" s="6"/>
    </row>
    <row r="280" spans="1:21" ht="114.75">
      <c r="A280" s="9">
        <v>2019</v>
      </c>
      <c r="B280" s="6" t="s">
        <v>1626</v>
      </c>
      <c r="C280" s="112" t="s">
        <v>61</v>
      </c>
      <c r="D280" s="6" t="s">
        <v>1383</v>
      </c>
      <c r="E280" s="6"/>
      <c r="F280" s="6" t="s">
        <v>1627</v>
      </c>
      <c r="G280" s="6" t="s">
        <v>842</v>
      </c>
      <c r="H280" s="8">
        <v>200000</v>
      </c>
      <c r="I280" s="6" t="s">
        <v>2578</v>
      </c>
      <c r="J280" s="9" t="s">
        <v>6822</v>
      </c>
      <c r="K280" s="9" t="s">
        <v>2412</v>
      </c>
      <c r="L280" s="6" t="s">
        <v>6064</v>
      </c>
      <c r="M280" s="6"/>
      <c r="N280" s="6" t="s">
        <v>2579</v>
      </c>
      <c r="O280" s="52"/>
      <c r="P280" s="9"/>
      <c r="Q280" s="52"/>
      <c r="R280" s="52"/>
      <c r="S280" s="9" t="s">
        <v>1824</v>
      </c>
      <c r="T280" s="52"/>
      <c r="U280" s="6"/>
    </row>
    <row r="281" spans="1:21" ht="89.25">
      <c r="A281" s="9">
        <v>2019</v>
      </c>
      <c r="B281" s="6" t="s">
        <v>1628</v>
      </c>
      <c r="C281" s="112" t="s">
        <v>61</v>
      </c>
      <c r="D281" s="6" t="s">
        <v>1383</v>
      </c>
      <c r="E281" s="6"/>
      <c r="F281" s="6" t="s">
        <v>1629</v>
      </c>
      <c r="G281" s="6" t="s">
        <v>826</v>
      </c>
      <c r="H281" s="8">
        <v>4750</v>
      </c>
      <c r="I281" s="6" t="s">
        <v>2573</v>
      </c>
      <c r="J281" s="9" t="s">
        <v>1828</v>
      </c>
      <c r="K281" s="9" t="s">
        <v>2412</v>
      </c>
      <c r="L281" s="6" t="s">
        <v>6064</v>
      </c>
      <c r="M281" s="6"/>
      <c r="N281" s="6" t="s">
        <v>2580</v>
      </c>
      <c r="O281" s="52"/>
      <c r="P281" s="9" t="s">
        <v>6179</v>
      </c>
      <c r="Q281" s="52"/>
      <c r="R281" s="52"/>
      <c r="S281" s="9" t="s">
        <v>2144</v>
      </c>
      <c r="T281" s="52"/>
      <c r="U281" s="6"/>
    </row>
    <row r="282" spans="1:21" ht="102">
      <c r="A282" s="9">
        <v>2019</v>
      </c>
      <c r="B282" s="6" t="s">
        <v>1630</v>
      </c>
      <c r="C282" s="112" t="s">
        <v>61</v>
      </c>
      <c r="D282" s="6" t="s">
        <v>1383</v>
      </c>
      <c r="E282" s="6"/>
      <c r="F282" s="6" t="s">
        <v>1631</v>
      </c>
      <c r="G282" s="6" t="s">
        <v>1632</v>
      </c>
      <c r="H282" s="8">
        <v>500000</v>
      </c>
      <c r="I282" s="6" t="s">
        <v>2562</v>
      </c>
      <c r="J282" s="9" t="s">
        <v>1828</v>
      </c>
      <c r="K282" s="9" t="s">
        <v>2412</v>
      </c>
      <c r="L282" s="6" t="s">
        <v>6064</v>
      </c>
      <c r="M282" s="6"/>
      <c r="N282" s="6" t="s">
        <v>2581</v>
      </c>
      <c r="O282" s="52"/>
      <c r="P282" s="9"/>
      <c r="Q282" s="52"/>
      <c r="R282" s="52"/>
      <c r="S282" s="9" t="s">
        <v>1824</v>
      </c>
      <c r="T282" s="52"/>
      <c r="U282" s="6"/>
    </row>
    <row r="283" spans="1:21" ht="102">
      <c r="A283" s="9">
        <v>2019</v>
      </c>
      <c r="B283" s="6" t="s">
        <v>1633</v>
      </c>
      <c r="C283" s="112" t="s">
        <v>61</v>
      </c>
      <c r="D283" s="6" t="s">
        <v>1383</v>
      </c>
      <c r="E283" s="6"/>
      <c r="F283" s="6" t="s">
        <v>1634</v>
      </c>
      <c r="G283" s="6" t="s">
        <v>832</v>
      </c>
      <c r="H283" s="8">
        <v>200000</v>
      </c>
      <c r="I283" s="6" t="s">
        <v>2582</v>
      </c>
      <c r="J283" s="9" t="s">
        <v>6822</v>
      </c>
      <c r="K283" s="9" t="s">
        <v>2412</v>
      </c>
      <c r="L283" s="6" t="s">
        <v>6064</v>
      </c>
      <c r="M283" s="6"/>
      <c r="N283" s="6" t="s">
        <v>11996</v>
      </c>
      <c r="O283" s="52"/>
      <c r="P283" s="9"/>
      <c r="Q283" s="52"/>
      <c r="R283" s="52"/>
      <c r="S283" s="9" t="s">
        <v>1824</v>
      </c>
      <c r="T283" s="52"/>
      <c r="U283" s="6"/>
    </row>
    <row r="284" spans="1:21" ht="102">
      <c r="A284" s="9">
        <v>2019</v>
      </c>
      <c r="B284" s="6" t="s">
        <v>830</v>
      </c>
      <c r="C284" s="112" t="s">
        <v>61</v>
      </c>
      <c r="D284" s="6" t="s">
        <v>394</v>
      </c>
      <c r="E284" s="6"/>
      <c r="F284" s="6" t="s">
        <v>831</v>
      </c>
      <c r="G284" s="6" t="s">
        <v>832</v>
      </c>
      <c r="H284" s="8">
        <v>39700</v>
      </c>
      <c r="I284" s="6" t="s">
        <v>2584</v>
      </c>
      <c r="J284" s="9" t="s">
        <v>6783</v>
      </c>
      <c r="K284" s="9" t="s">
        <v>611</v>
      </c>
      <c r="L284" s="6" t="s">
        <v>6071</v>
      </c>
      <c r="M284" s="6"/>
      <c r="N284" s="6" t="s">
        <v>2585</v>
      </c>
      <c r="O284" s="52"/>
      <c r="P284" s="9"/>
      <c r="Q284" s="52"/>
      <c r="R284" s="52"/>
      <c r="S284" s="9" t="s">
        <v>1824</v>
      </c>
      <c r="T284" s="52"/>
      <c r="U284" s="6"/>
    </row>
    <row r="285" spans="1:21" ht="114.75">
      <c r="A285" s="9">
        <v>2019</v>
      </c>
      <c r="B285" s="6" t="s">
        <v>1635</v>
      </c>
      <c r="C285" s="112" t="s">
        <v>61</v>
      </c>
      <c r="D285" s="6" t="s">
        <v>1383</v>
      </c>
      <c r="E285" s="6"/>
      <c r="F285" s="6" t="s">
        <v>1636</v>
      </c>
      <c r="G285" s="6" t="s">
        <v>1585</v>
      </c>
      <c r="H285" s="8">
        <v>500000</v>
      </c>
      <c r="I285" s="6" t="s">
        <v>2562</v>
      </c>
      <c r="J285" s="9" t="s">
        <v>1828</v>
      </c>
      <c r="K285" s="9" t="s">
        <v>2412</v>
      </c>
      <c r="L285" s="6" t="s">
        <v>6064</v>
      </c>
      <c r="M285" s="6"/>
      <c r="N285" s="6" t="s">
        <v>11997</v>
      </c>
      <c r="O285" s="52"/>
      <c r="P285" s="9"/>
      <c r="Q285" s="52"/>
      <c r="R285" s="52"/>
      <c r="S285" s="9" t="s">
        <v>1824</v>
      </c>
      <c r="T285" s="52"/>
      <c r="U285" s="6"/>
    </row>
    <row r="286" spans="1:21" ht="89.25">
      <c r="A286" s="9">
        <v>2019</v>
      </c>
      <c r="B286" s="6" t="s">
        <v>1637</v>
      </c>
      <c r="C286" s="112" t="s">
        <v>61</v>
      </c>
      <c r="D286" s="6" t="s">
        <v>1383</v>
      </c>
      <c r="E286" s="6"/>
      <c r="F286" s="6" t="s">
        <v>1638</v>
      </c>
      <c r="G286" s="6" t="s">
        <v>840</v>
      </c>
      <c r="H286" s="8">
        <v>172000</v>
      </c>
      <c r="I286" s="6" t="s">
        <v>2562</v>
      </c>
      <c r="J286" s="9" t="s">
        <v>1828</v>
      </c>
      <c r="K286" s="9" t="s">
        <v>2412</v>
      </c>
      <c r="L286" s="6" t="s">
        <v>6064</v>
      </c>
      <c r="M286" s="6"/>
      <c r="N286" s="6" t="s">
        <v>2587</v>
      </c>
      <c r="O286" s="52"/>
      <c r="P286" s="9"/>
      <c r="Q286" s="52"/>
      <c r="R286" s="52"/>
      <c r="S286" s="9" t="s">
        <v>1824</v>
      </c>
      <c r="T286" s="52"/>
      <c r="U286" s="6"/>
    </row>
    <row r="287" spans="1:21" ht="76.5">
      <c r="A287" s="9">
        <v>2019</v>
      </c>
      <c r="B287" s="6" t="s">
        <v>1639</v>
      </c>
      <c r="C287" s="112" t="s">
        <v>61</v>
      </c>
      <c r="D287" s="6" t="s">
        <v>1383</v>
      </c>
      <c r="E287" s="6"/>
      <c r="F287" s="6" t="s">
        <v>1640</v>
      </c>
      <c r="G287" s="6" t="s">
        <v>1641</v>
      </c>
      <c r="H287" s="8">
        <v>172000</v>
      </c>
      <c r="I287" s="6" t="s">
        <v>2588</v>
      </c>
      <c r="J287" s="9" t="s">
        <v>2449</v>
      </c>
      <c r="K287" s="9" t="s">
        <v>2412</v>
      </c>
      <c r="L287" s="6" t="s">
        <v>6064</v>
      </c>
      <c r="M287" s="6"/>
      <c r="N287" s="6" t="s">
        <v>2589</v>
      </c>
      <c r="O287" s="52"/>
      <c r="P287" s="9"/>
      <c r="Q287" s="52"/>
      <c r="R287" s="52"/>
      <c r="S287" s="9" t="s">
        <v>1824</v>
      </c>
      <c r="T287" s="52"/>
      <c r="U287" s="6"/>
    </row>
    <row r="288" spans="1:21" ht="76.5">
      <c r="A288" s="9">
        <v>2019</v>
      </c>
      <c r="B288" s="6" t="s">
        <v>833</v>
      </c>
      <c r="C288" s="112" t="s">
        <v>61</v>
      </c>
      <c r="D288" s="6" t="s">
        <v>394</v>
      </c>
      <c r="E288" s="6"/>
      <c r="F288" s="6" t="s">
        <v>834</v>
      </c>
      <c r="G288" s="6" t="s">
        <v>835</v>
      </c>
      <c r="H288" s="8">
        <v>82500</v>
      </c>
      <c r="I288" s="6" t="s">
        <v>2590</v>
      </c>
      <c r="J288" s="9" t="s">
        <v>2449</v>
      </c>
      <c r="K288" s="9" t="s">
        <v>611</v>
      </c>
      <c r="L288" s="6" t="s">
        <v>6071</v>
      </c>
      <c r="M288" s="6"/>
      <c r="N288" s="6" t="s">
        <v>2591</v>
      </c>
      <c r="O288" s="52"/>
      <c r="P288" s="9"/>
      <c r="Q288" s="52"/>
      <c r="R288" s="52"/>
      <c r="S288" s="9" t="s">
        <v>6373</v>
      </c>
      <c r="T288" s="52"/>
      <c r="U288" s="6"/>
    </row>
    <row r="289" spans="1:21" ht="114.75">
      <c r="A289" s="9">
        <v>2019</v>
      </c>
      <c r="B289" s="6" t="s">
        <v>836</v>
      </c>
      <c r="C289" s="112" t="s">
        <v>61</v>
      </c>
      <c r="D289" s="6" t="s">
        <v>394</v>
      </c>
      <c r="E289" s="6"/>
      <c r="F289" s="6" t="s">
        <v>837</v>
      </c>
      <c r="G289" s="6" t="s">
        <v>838</v>
      </c>
      <c r="H289" s="8">
        <v>88500</v>
      </c>
      <c r="I289" s="6" t="s">
        <v>2592</v>
      </c>
      <c r="J289" s="9" t="s">
        <v>6822</v>
      </c>
      <c r="K289" s="9" t="s">
        <v>611</v>
      </c>
      <c r="L289" s="6" t="s">
        <v>6071</v>
      </c>
      <c r="M289" s="6"/>
      <c r="N289" s="6" t="s">
        <v>2593</v>
      </c>
      <c r="O289" s="52"/>
      <c r="P289" s="9"/>
      <c r="Q289" s="52"/>
      <c r="R289" s="52"/>
      <c r="S289" s="9" t="s">
        <v>6373</v>
      </c>
      <c r="T289" s="52"/>
      <c r="U289" s="6"/>
    </row>
    <row r="290" spans="1:21" ht="76.5">
      <c r="A290" s="9">
        <v>2019</v>
      </c>
      <c r="B290" s="6" t="s">
        <v>1642</v>
      </c>
      <c r="C290" s="112" t="s">
        <v>61</v>
      </c>
      <c r="D290" s="6" t="s">
        <v>1383</v>
      </c>
      <c r="E290" s="6"/>
      <c r="F290" s="6" t="s">
        <v>1627</v>
      </c>
      <c r="G290" s="6" t="s">
        <v>842</v>
      </c>
      <c r="H290" s="8">
        <v>172000</v>
      </c>
      <c r="I290" s="6" t="s">
        <v>2578</v>
      </c>
      <c r="J290" s="9" t="s">
        <v>5647</v>
      </c>
      <c r="K290" s="9" t="s">
        <v>2412</v>
      </c>
      <c r="L290" s="6" t="s">
        <v>6064</v>
      </c>
      <c r="M290" s="6"/>
      <c r="N290" s="6" t="s">
        <v>2594</v>
      </c>
      <c r="O290" s="52"/>
      <c r="P290" s="9"/>
      <c r="Q290" s="52"/>
      <c r="R290" s="52"/>
      <c r="S290" s="9" t="s">
        <v>1824</v>
      </c>
      <c r="T290" s="52"/>
      <c r="U290" s="6"/>
    </row>
    <row r="291" spans="1:21" ht="89.25">
      <c r="A291" s="9">
        <v>2019</v>
      </c>
      <c r="B291" s="6" t="s">
        <v>1643</v>
      </c>
      <c r="C291" s="112" t="s">
        <v>61</v>
      </c>
      <c r="D291" s="6" t="s">
        <v>1383</v>
      </c>
      <c r="E291" s="6"/>
      <c r="F291" s="6" t="s">
        <v>1644</v>
      </c>
      <c r="G291" s="6" t="s">
        <v>1346</v>
      </c>
      <c r="H291" s="8">
        <v>172000</v>
      </c>
      <c r="I291" s="6" t="s">
        <v>2595</v>
      </c>
      <c r="J291" s="9" t="s">
        <v>6795</v>
      </c>
      <c r="K291" s="9" t="s">
        <v>2412</v>
      </c>
      <c r="L291" s="6" t="s">
        <v>6064</v>
      </c>
      <c r="M291" s="6"/>
      <c r="N291" s="6" t="s">
        <v>2596</v>
      </c>
      <c r="O291" s="52"/>
      <c r="P291" s="9"/>
      <c r="Q291" s="52"/>
      <c r="R291" s="52"/>
      <c r="S291" s="9" t="s">
        <v>1824</v>
      </c>
      <c r="T291" s="52"/>
      <c r="U291" s="6"/>
    </row>
    <row r="292" spans="1:21" ht="114.75">
      <c r="A292" s="9">
        <v>2019</v>
      </c>
      <c r="B292" s="6" t="s">
        <v>809</v>
      </c>
      <c r="C292" s="112" t="s">
        <v>61</v>
      </c>
      <c r="D292" s="6" t="s">
        <v>394</v>
      </c>
      <c r="E292" s="6"/>
      <c r="F292" s="6" t="s">
        <v>839</v>
      </c>
      <c r="G292" s="6" t="s">
        <v>840</v>
      </c>
      <c r="H292" s="8">
        <v>87000</v>
      </c>
      <c r="I292" s="6" t="s">
        <v>2562</v>
      </c>
      <c r="J292" s="9" t="s">
        <v>1828</v>
      </c>
      <c r="K292" s="9" t="s">
        <v>611</v>
      </c>
      <c r="L292" s="6" t="s">
        <v>6071</v>
      </c>
      <c r="M292" s="6"/>
      <c r="N292" s="6" t="s">
        <v>2597</v>
      </c>
      <c r="O292" s="52"/>
      <c r="P292" s="9"/>
      <c r="Q292" s="52"/>
      <c r="R292" s="52"/>
      <c r="S292" s="9" t="s">
        <v>6373</v>
      </c>
      <c r="T292" s="52"/>
      <c r="U292" s="6"/>
    </row>
    <row r="293" spans="1:21" ht="51">
      <c r="A293" s="9">
        <v>2019</v>
      </c>
      <c r="B293" s="6" t="s">
        <v>1645</v>
      </c>
      <c r="C293" s="112" t="s">
        <v>61</v>
      </c>
      <c r="D293" s="6" t="s">
        <v>1383</v>
      </c>
      <c r="E293" s="6"/>
      <c r="F293" s="6" t="s">
        <v>1646</v>
      </c>
      <c r="G293" s="6" t="s">
        <v>849</v>
      </c>
      <c r="H293" s="8">
        <v>172000</v>
      </c>
      <c r="I293" s="6" t="s">
        <v>2546</v>
      </c>
      <c r="J293" s="9" t="s">
        <v>6314</v>
      </c>
      <c r="K293" s="9" t="s">
        <v>2412</v>
      </c>
      <c r="L293" s="6" t="s">
        <v>6064</v>
      </c>
      <c r="M293" s="6"/>
      <c r="N293" s="6" t="s">
        <v>2598</v>
      </c>
      <c r="O293" s="52"/>
      <c r="P293" s="9"/>
      <c r="Q293" s="52"/>
      <c r="R293" s="52"/>
      <c r="S293" s="9" t="s">
        <v>1824</v>
      </c>
      <c r="T293" s="52"/>
      <c r="U293" s="6"/>
    </row>
    <row r="294" spans="1:21" ht="102">
      <c r="A294" s="9">
        <v>2019</v>
      </c>
      <c r="B294" s="6" t="s">
        <v>812</v>
      </c>
      <c r="C294" s="112" t="s">
        <v>61</v>
      </c>
      <c r="D294" s="6" t="s">
        <v>394</v>
      </c>
      <c r="E294" s="6"/>
      <c r="F294" s="6" t="s">
        <v>841</v>
      </c>
      <c r="G294" s="6" t="s">
        <v>842</v>
      </c>
      <c r="H294" s="8">
        <v>91000</v>
      </c>
      <c r="I294" s="6" t="s">
        <v>2599</v>
      </c>
      <c r="J294" s="9" t="s">
        <v>5647</v>
      </c>
      <c r="K294" s="9" t="s">
        <v>611</v>
      </c>
      <c r="L294" s="6" t="s">
        <v>6071</v>
      </c>
      <c r="M294" s="6"/>
      <c r="N294" s="6" t="s">
        <v>2600</v>
      </c>
      <c r="O294" s="52"/>
      <c r="P294" s="9"/>
      <c r="Q294" s="52"/>
      <c r="R294" s="52"/>
      <c r="S294" s="9" t="s">
        <v>6373</v>
      </c>
      <c r="T294" s="52"/>
      <c r="U294" s="6"/>
    </row>
    <row r="295" spans="1:21" ht="140.25">
      <c r="A295" s="9">
        <v>2019</v>
      </c>
      <c r="B295" s="6" t="s">
        <v>815</v>
      </c>
      <c r="C295" s="112" t="s">
        <v>61</v>
      </c>
      <c r="D295" s="6" t="s">
        <v>394</v>
      </c>
      <c r="E295" s="6"/>
      <c r="F295" s="6" t="s">
        <v>843</v>
      </c>
      <c r="G295" s="6" t="s">
        <v>844</v>
      </c>
      <c r="H295" s="8">
        <v>37000</v>
      </c>
      <c r="I295" s="6" t="s">
        <v>2601</v>
      </c>
      <c r="J295" s="9" t="s">
        <v>2609</v>
      </c>
      <c r="K295" s="9" t="s">
        <v>611</v>
      </c>
      <c r="L295" s="6" t="s">
        <v>6071</v>
      </c>
      <c r="M295" s="6"/>
      <c r="N295" s="6" t="s">
        <v>2602</v>
      </c>
      <c r="O295" s="52"/>
      <c r="P295" s="9"/>
      <c r="Q295" s="52"/>
      <c r="R295" s="52"/>
      <c r="S295" s="9" t="s">
        <v>6373</v>
      </c>
      <c r="T295" s="52"/>
      <c r="U295" s="6"/>
    </row>
    <row r="296" spans="1:21" ht="153">
      <c r="A296" s="9">
        <v>2019</v>
      </c>
      <c r="B296" s="6" t="s">
        <v>845</v>
      </c>
      <c r="C296" s="112" t="s">
        <v>61</v>
      </c>
      <c r="D296" s="6" t="s">
        <v>394</v>
      </c>
      <c r="E296" s="6"/>
      <c r="F296" s="6" t="s">
        <v>846</v>
      </c>
      <c r="G296" s="6" t="s">
        <v>844</v>
      </c>
      <c r="H296" s="8">
        <v>79000</v>
      </c>
      <c r="I296" s="6" t="s">
        <v>2601</v>
      </c>
      <c r="J296" s="9" t="s">
        <v>2609</v>
      </c>
      <c r="K296" s="9" t="s">
        <v>611</v>
      </c>
      <c r="L296" s="6" t="s">
        <v>6071</v>
      </c>
      <c r="M296" s="6"/>
      <c r="N296" s="6" t="s">
        <v>2603</v>
      </c>
      <c r="O296" s="52"/>
      <c r="P296" s="9"/>
      <c r="Q296" s="52"/>
      <c r="R296" s="52"/>
      <c r="S296" s="9" t="s">
        <v>6373</v>
      </c>
      <c r="T296" s="52"/>
      <c r="U296" s="6"/>
    </row>
    <row r="297" spans="1:21" ht="165.75">
      <c r="A297" s="9">
        <v>2019</v>
      </c>
      <c r="B297" s="6" t="s">
        <v>847</v>
      </c>
      <c r="C297" s="112" t="s">
        <v>61</v>
      </c>
      <c r="D297" s="6" t="s">
        <v>394</v>
      </c>
      <c r="E297" s="6"/>
      <c r="F297" s="6" t="s">
        <v>848</v>
      </c>
      <c r="G297" s="6" t="s">
        <v>849</v>
      </c>
      <c r="H297" s="8">
        <v>38250</v>
      </c>
      <c r="I297" s="6" t="s">
        <v>2604</v>
      </c>
      <c r="J297" s="9" t="s">
        <v>6314</v>
      </c>
      <c r="K297" s="9" t="s">
        <v>611</v>
      </c>
      <c r="L297" s="6" t="s">
        <v>6071</v>
      </c>
      <c r="M297" s="6"/>
      <c r="N297" s="6" t="s">
        <v>2605</v>
      </c>
      <c r="O297" s="52"/>
      <c r="P297" s="9"/>
      <c r="Q297" s="52"/>
      <c r="R297" s="52"/>
      <c r="S297" s="9" t="s">
        <v>6373</v>
      </c>
      <c r="T297" s="52"/>
      <c r="U297" s="6"/>
    </row>
    <row r="298" spans="1:21" ht="165.75">
      <c r="A298" s="9">
        <v>2019</v>
      </c>
      <c r="B298" s="6" t="s">
        <v>850</v>
      </c>
      <c r="C298" s="112" t="s">
        <v>61</v>
      </c>
      <c r="D298" s="6" t="s">
        <v>2520</v>
      </c>
      <c r="E298" s="6"/>
      <c r="F298" s="6" t="s">
        <v>851</v>
      </c>
      <c r="G298" s="6" t="s">
        <v>852</v>
      </c>
      <c r="H298" s="8">
        <v>7560</v>
      </c>
      <c r="I298" s="6" t="s">
        <v>2606</v>
      </c>
      <c r="J298" s="9" t="s">
        <v>1828</v>
      </c>
      <c r="K298" s="9" t="s">
        <v>611</v>
      </c>
      <c r="L298" s="6" t="s">
        <v>6137</v>
      </c>
      <c r="M298" s="6"/>
      <c r="N298" s="6" t="s">
        <v>2607</v>
      </c>
      <c r="O298" s="52"/>
      <c r="P298" s="9" t="s">
        <v>6179</v>
      </c>
      <c r="Q298" s="52"/>
      <c r="R298" s="52"/>
      <c r="S298" s="9" t="s">
        <v>2144</v>
      </c>
      <c r="T298" s="52"/>
      <c r="U298" s="6"/>
    </row>
    <row r="299" spans="1:21" ht="38.25">
      <c r="A299" s="9">
        <v>2019</v>
      </c>
      <c r="B299" s="6" t="s">
        <v>1581</v>
      </c>
      <c r="C299" s="112" t="s">
        <v>61</v>
      </c>
      <c r="D299" s="6" t="s">
        <v>1383</v>
      </c>
      <c r="E299" s="6"/>
      <c r="F299" s="6" t="s">
        <v>1647</v>
      </c>
      <c r="G299" s="6" t="s">
        <v>1641</v>
      </c>
      <c r="H299" s="8">
        <v>172000</v>
      </c>
      <c r="I299" s="6" t="s">
        <v>2449</v>
      </c>
      <c r="J299" s="9" t="s">
        <v>2449</v>
      </c>
      <c r="K299" s="9" t="s">
        <v>2412</v>
      </c>
      <c r="L299" s="6" t="s">
        <v>6064</v>
      </c>
      <c r="M299" s="6"/>
      <c r="N299" s="6" t="s">
        <v>2608</v>
      </c>
      <c r="O299" s="52"/>
      <c r="P299" s="9"/>
      <c r="Q299" s="52"/>
      <c r="R299" s="52"/>
      <c r="S299" s="9" t="s">
        <v>1824</v>
      </c>
      <c r="T299" s="52"/>
      <c r="U299" s="6"/>
    </row>
    <row r="300" spans="1:21" ht="76.5">
      <c r="A300" s="9">
        <v>2019</v>
      </c>
      <c r="B300" s="6" t="s">
        <v>1648</v>
      </c>
      <c r="C300" s="112" t="s">
        <v>61</v>
      </c>
      <c r="D300" s="6" t="s">
        <v>1383</v>
      </c>
      <c r="E300" s="6"/>
      <c r="F300" s="6" t="s">
        <v>1649</v>
      </c>
      <c r="G300" s="6" t="s">
        <v>844</v>
      </c>
      <c r="H300" s="8">
        <v>172000</v>
      </c>
      <c r="I300" s="6" t="s">
        <v>2609</v>
      </c>
      <c r="J300" s="9" t="s">
        <v>2609</v>
      </c>
      <c r="K300" s="9" t="s">
        <v>2412</v>
      </c>
      <c r="L300" s="6" t="s">
        <v>6064</v>
      </c>
      <c r="M300" s="6"/>
      <c r="N300" s="6" t="s">
        <v>2610</v>
      </c>
      <c r="O300" s="52"/>
      <c r="P300" s="9"/>
      <c r="Q300" s="52"/>
      <c r="R300" s="52"/>
      <c r="S300" s="9" t="s">
        <v>1824</v>
      </c>
      <c r="T300" s="52"/>
      <c r="U300" s="6"/>
    </row>
    <row r="301" spans="1:21" ht="102">
      <c r="A301" s="9">
        <v>2019</v>
      </c>
      <c r="B301" s="6" t="s">
        <v>1650</v>
      </c>
      <c r="C301" s="112" t="s">
        <v>61</v>
      </c>
      <c r="D301" s="6" t="s">
        <v>1383</v>
      </c>
      <c r="E301" s="6"/>
      <c r="F301" s="6" t="s">
        <v>1651</v>
      </c>
      <c r="G301" s="6" t="s">
        <v>1598</v>
      </c>
      <c r="H301" s="8">
        <v>172000</v>
      </c>
      <c r="I301" s="6" t="s">
        <v>2611</v>
      </c>
      <c r="J301" s="9" t="s">
        <v>2611</v>
      </c>
      <c r="K301" s="9" t="s">
        <v>2412</v>
      </c>
      <c r="L301" s="6" t="s">
        <v>6064</v>
      </c>
      <c r="M301" s="6"/>
      <c r="N301" s="6" t="s">
        <v>2612</v>
      </c>
      <c r="O301" s="52"/>
      <c r="P301" s="9"/>
      <c r="Q301" s="52"/>
      <c r="R301" s="52"/>
      <c r="S301" s="9" t="s">
        <v>1824</v>
      </c>
      <c r="T301" s="52"/>
      <c r="U301" s="6"/>
    </row>
    <row r="302" spans="1:21" ht="102">
      <c r="A302" s="9">
        <v>2019</v>
      </c>
      <c r="B302" s="6" t="s">
        <v>60</v>
      </c>
      <c r="C302" s="112" t="s">
        <v>61</v>
      </c>
      <c r="D302" s="6" t="s">
        <v>1383</v>
      </c>
      <c r="E302" s="6"/>
      <c r="F302" s="6" t="s">
        <v>1652</v>
      </c>
      <c r="G302" s="6" t="s">
        <v>1605</v>
      </c>
      <c r="H302" s="8">
        <v>172000</v>
      </c>
      <c r="I302" s="6" t="s">
        <v>2613</v>
      </c>
      <c r="J302" s="9" t="s">
        <v>2613</v>
      </c>
      <c r="K302" s="9" t="s">
        <v>2412</v>
      </c>
      <c r="L302" s="6" t="s">
        <v>6064</v>
      </c>
      <c r="M302" s="6"/>
      <c r="N302" s="6" t="s">
        <v>2614</v>
      </c>
      <c r="O302" s="52"/>
      <c r="P302" s="9"/>
      <c r="Q302" s="52"/>
      <c r="R302" s="52"/>
      <c r="S302" s="9" t="s">
        <v>1824</v>
      </c>
      <c r="T302" s="52"/>
      <c r="U302" s="6"/>
    </row>
    <row r="303" spans="1:21" ht="140.25">
      <c r="A303" s="52"/>
      <c r="B303" s="6" t="s">
        <v>1207</v>
      </c>
      <c r="C303" s="9" t="s">
        <v>1926</v>
      </c>
      <c r="D303" s="6" t="s">
        <v>62</v>
      </c>
      <c r="E303" s="6"/>
      <c r="F303" s="6" t="s">
        <v>2616</v>
      </c>
      <c r="G303" s="6" t="s">
        <v>2617</v>
      </c>
      <c r="H303" s="779" t="s">
        <v>2615</v>
      </c>
      <c r="I303" s="6" t="s">
        <v>2618</v>
      </c>
      <c r="J303" s="9" t="s">
        <v>1828</v>
      </c>
      <c r="K303" s="9" t="s">
        <v>2412</v>
      </c>
      <c r="L303" s="6" t="s">
        <v>6217</v>
      </c>
      <c r="M303" s="6"/>
      <c r="N303" s="6" t="s">
        <v>2619</v>
      </c>
      <c r="O303" s="52"/>
      <c r="P303" s="9" t="s">
        <v>6132</v>
      </c>
      <c r="Q303" s="52"/>
      <c r="R303" s="52"/>
      <c r="S303" s="9" t="s">
        <v>1824</v>
      </c>
      <c r="T303" s="52"/>
      <c r="U303" s="6"/>
    </row>
    <row r="304" spans="1:21" ht="153">
      <c r="A304" s="9">
        <v>2019</v>
      </c>
      <c r="B304" s="6" t="s">
        <v>1210</v>
      </c>
      <c r="C304" s="112" t="s">
        <v>61</v>
      </c>
      <c r="D304" s="6" t="s">
        <v>1383</v>
      </c>
      <c r="E304" s="6"/>
      <c r="F304" s="6" t="s">
        <v>1653</v>
      </c>
      <c r="G304" s="6" t="s">
        <v>842</v>
      </c>
      <c r="H304" s="8">
        <v>91800</v>
      </c>
      <c r="I304" s="6" t="s">
        <v>2620</v>
      </c>
      <c r="J304" s="9" t="s">
        <v>5647</v>
      </c>
      <c r="K304" s="9" t="s">
        <v>2412</v>
      </c>
      <c r="L304" s="6" t="s">
        <v>6071</v>
      </c>
      <c r="M304" s="6"/>
      <c r="N304" s="6" t="s">
        <v>2621</v>
      </c>
      <c r="O304" s="52"/>
      <c r="P304" s="9"/>
      <c r="Q304" s="52"/>
      <c r="R304" s="52"/>
      <c r="S304" s="9" t="s">
        <v>1824</v>
      </c>
      <c r="T304" s="52"/>
      <c r="U304" s="6"/>
    </row>
    <row r="305" spans="1:21" ht="114.75">
      <c r="A305" s="9">
        <v>2019</v>
      </c>
      <c r="B305" s="6" t="s">
        <v>818</v>
      </c>
      <c r="C305" s="112" t="s">
        <v>61</v>
      </c>
      <c r="D305" s="6" t="s">
        <v>1383</v>
      </c>
      <c r="E305" s="6"/>
      <c r="F305" s="6" t="s">
        <v>853</v>
      </c>
      <c r="G305" s="6" t="s">
        <v>854</v>
      </c>
      <c r="H305" s="8">
        <v>37500</v>
      </c>
      <c r="I305" s="6" t="s">
        <v>581</v>
      </c>
      <c r="J305" s="9" t="s">
        <v>6370</v>
      </c>
      <c r="K305" s="9" t="s">
        <v>2412</v>
      </c>
      <c r="L305" s="6" t="s">
        <v>6071</v>
      </c>
      <c r="M305" s="6"/>
      <c r="N305" s="6" t="s">
        <v>11998</v>
      </c>
      <c r="O305" s="52"/>
      <c r="P305" s="9"/>
      <c r="Q305" s="52"/>
      <c r="R305" s="52"/>
      <c r="S305" s="9" t="s">
        <v>1824</v>
      </c>
      <c r="T305" s="52"/>
      <c r="U305" s="6"/>
    </row>
    <row r="306" spans="1:21" ht="165.75">
      <c r="A306" s="9">
        <v>2019</v>
      </c>
      <c r="B306" s="6" t="s">
        <v>855</v>
      </c>
      <c r="C306" s="112" t="s">
        <v>61</v>
      </c>
      <c r="D306" s="6" t="s">
        <v>2520</v>
      </c>
      <c r="E306" s="6"/>
      <c r="F306" s="9" t="s">
        <v>825</v>
      </c>
      <c r="G306" s="6" t="s">
        <v>826</v>
      </c>
      <c r="H306" s="8">
        <v>4536</v>
      </c>
      <c r="I306" s="6" t="s">
        <v>2623</v>
      </c>
      <c r="J306" s="9" t="s">
        <v>1828</v>
      </c>
      <c r="K306" s="9" t="s">
        <v>611</v>
      </c>
      <c r="L306" s="6" t="s">
        <v>6137</v>
      </c>
      <c r="M306" s="9"/>
      <c r="N306" s="6" t="s">
        <v>2624</v>
      </c>
      <c r="O306" s="52"/>
      <c r="P306" s="9" t="s">
        <v>6179</v>
      </c>
      <c r="Q306" s="52"/>
      <c r="R306" s="52"/>
      <c r="S306" s="9" t="s">
        <v>2144</v>
      </c>
      <c r="T306" s="52"/>
      <c r="U306" s="6"/>
    </row>
    <row r="307" spans="1:21" ht="165.75">
      <c r="A307" s="9">
        <v>2019</v>
      </c>
      <c r="B307" s="6" t="s">
        <v>856</v>
      </c>
      <c r="C307" s="112" t="s">
        <v>61</v>
      </c>
      <c r="D307" s="6" t="s">
        <v>2520</v>
      </c>
      <c r="E307" s="6"/>
      <c r="F307" s="6" t="s">
        <v>857</v>
      </c>
      <c r="G307" s="6" t="s">
        <v>2625</v>
      </c>
      <c r="H307" s="8">
        <v>55000</v>
      </c>
      <c r="I307" s="6" t="s">
        <v>2626</v>
      </c>
      <c r="J307" s="9" t="s">
        <v>2656</v>
      </c>
      <c r="K307" s="9" t="s">
        <v>611</v>
      </c>
      <c r="L307" s="6" t="s">
        <v>6104</v>
      </c>
      <c r="M307" s="6"/>
      <c r="N307" s="6" t="s">
        <v>2627</v>
      </c>
      <c r="O307" s="52"/>
      <c r="P307" s="9" t="s">
        <v>6132</v>
      </c>
      <c r="Q307" s="52"/>
      <c r="R307" s="52"/>
      <c r="S307" s="9" t="s">
        <v>2144</v>
      </c>
      <c r="T307" s="52"/>
      <c r="U307" s="6"/>
    </row>
    <row r="308" spans="1:21" ht="127.5">
      <c r="A308" s="9">
        <v>2019</v>
      </c>
      <c r="B308" s="6" t="s">
        <v>859</v>
      </c>
      <c r="C308" s="112" t="s">
        <v>61</v>
      </c>
      <c r="D308" s="6" t="s">
        <v>394</v>
      </c>
      <c r="E308" s="6"/>
      <c r="F308" s="6" t="s">
        <v>860</v>
      </c>
      <c r="G308" s="6" t="s">
        <v>854</v>
      </c>
      <c r="H308" s="8">
        <v>79000</v>
      </c>
      <c r="I308" s="6" t="s">
        <v>581</v>
      </c>
      <c r="J308" s="9" t="s">
        <v>6370</v>
      </c>
      <c r="K308" s="9" t="s">
        <v>611</v>
      </c>
      <c r="L308" s="6" t="s">
        <v>6071</v>
      </c>
      <c r="M308" s="6"/>
      <c r="N308" s="6" t="s">
        <v>2628</v>
      </c>
      <c r="O308" s="52"/>
      <c r="P308" s="9"/>
      <c r="Q308" s="52"/>
      <c r="R308" s="52"/>
      <c r="S308" s="9" t="s">
        <v>6373</v>
      </c>
      <c r="T308" s="52"/>
      <c r="U308" s="6"/>
    </row>
    <row r="309" spans="1:21" ht="127.5">
      <c r="A309" s="9">
        <v>2019</v>
      </c>
      <c r="B309" s="6" t="s">
        <v>861</v>
      </c>
      <c r="C309" s="112" t="s">
        <v>61</v>
      </c>
      <c r="D309" s="6" t="s">
        <v>2520</v>
      </c>
      <c r="E309" s="6"/>
      <c r="F309" s="6" t="s">
        <v>862</v>
      </c>
      <c r="G309" s="6" t="s">
        <v>863</v>
      </c>
      <c r="H309" s="8">
        <v>1400</v>
      </c>
      <c r="I309" s="6" t="s">
        <v>2629</v>
      </c>
      <c r="J309" s="9" t="s">
        <v>1828</v>
      </c>
      <c r="K309" s="9" t="s">
        <v>611</v>
      </c>
      <c r="L309" s="6" t="s">
        <v>6597</v>
      </c>
      <c r="M309" s="6"/>
      <c r="N309" s="6" t="s">
        <v>11999</v>
      </c>
      <c r="O309" s="52"/>
      <c r="P309" s="9" t="s">
        <v>6132</v>
      </c>
      <c r="Q309" s="52"/>
      <c r="R309" s="52"/>
      <c r="S309" s="9" t="s">
        <v>2144</v>
      </c>
      <c r="T309" s="52"/>
      <c r="U309" s="6"/>
    </row>
    <row r="310" spans="1:21" ht="140.25">
      <c r="A310" s="9">
        <v>2019</v>
      </c>
      <c r="B310" s="6" t="s">
        <v>864</v>
      </c>
      <c r="C310" s="112" t="s">
        <v>61</v>
      </c>
      <c r="D310" s="6" t="s">
        <v>394</v>
      </c>
      <c r="E310" s="6"/>
      <c r="F310" s="6" t="s">
        <v>865</v>
      </c>
      <c r="G310" s="6" t="s">
        <v>866</v>
      </c>
      <c r="H310" s="8">
        <v>82800</v>
      </c>
      <c r="I310" s="6" t="s">
        <v>572</v>
      </c>
      <c r="J310" s="9" t="s">
        <v>2460</v>
      </c>
      <c r="K310" s="9" t="s">
        <v>611</v>
      </c>
      <c r="L310" s="6" t="s">
        <v>6071</v>
      </c>
      <c r="M310" s="6"/>
      <c r="N310" s="6" t="s">
        <v>2631</v>
      </c>
      <c r="O310" s="52"/>
      <c r="P310" s="9"/>
      <c r="Q310" s="52"/>
      <c r="R310" s="52"/>
      <c r="S310" s="9" t="s">
        <v>6373</v>
      </c>
      <c r="T310" s="52"/>
      <c r="U310" s="6"/>
    </row>
    <row r="311" spans="1:21" ht="140.25">
      <c r="A311" s="9">
        <v>2019</v>
      </c>
      <c r="B311" s="6" t="s">
        <v>867</v>
      </c>
      <c r="C311" s="112" t="s">
        <v>61</v>
      </c>
      <c r="D311" s="6" t="s">
        <v>394</v>
      </c>
      <c r="E311" s="6"/>
      <c r="F311" s="6" t="s">
        <v>868</v>
      </c>
      <c r="G311" s="6" t="s">
        <v>849</v>
      </c>
      <c r="H311" s="8">
        <v>79000</v>
      </c>
      <c r="I311" s="6" t="s">
        <v>650</v>
      </c>
      <c r="J311" s="9" t="s">
        <v>6314</v>
      </c>
      <c r="K311" s="9" t="s">
        <v>611</v>
      </c>
      <c r="L311" s="6" t="s">
        <v>6071</v>
      </c>
      <c r="M311" s="6"/>
      <c r="N311" s="6" t="s">
        <v>2632</v>
      </c>
      <c r="O311" s="52"/>
      <c r="P311" s="9"/>
      <c r="Q311" s="52"/>
      <c r="R311" s="52"/>
      <c r="S311" s="9" t="s">
        <v>6373</v>
      </c>
      <c r="T311" s="52"/>
      <c r="U311" s="6"/>
    </row>
    <row r="312" spans="1:21" ht="191.25">
      <c r="A312" s="9">
        <v>2019</v>
      </c>
      <c r="B312" s="6" t="s">
        <v>2633</v>
      </c>
      <c r="C312" s="112" t="s">
        <v>61</v>
      </c>
      <c r="D312" s="6" t="s">
        <v>1838</v>
      </c>
      <c r="E312" s="6"/>
      <c r="F312" s="6" t="s">
        <v>2634</v>
      </c>
      <c r="G312" s="6" t="s">
        <v>575</v>
      </c>
      <c r="H312" s="8">
        <v>43140</v>
      </c>
      <c r="I312" s="6" t="s">
        <v>575</v>
      </c>
      <c r="J312" s="9" t="s">
        <v>1828</v>
      </c>
      <c r="K312" s="9" t="s">
        <v>6345</v>
      </c>
      <c r="L312" s="6" t="s">
        <v>6064</v>
      </c>
      <c r="M312" s="6"/>
      <c r="N312" s="6" t="s">
        <v>2635</v>
      </c>
      <c r="O312" s="52"/>
      <c r="P312" s="9"/>
      <c r="Q312" s="52"/>
      <c r="R312" s="52"/>
      <c r="S312" s="9" t="s">
        <v>1824</v>
      </c>
      <c r="T312" s="52"/>
      <c r="U312" s="6"/>
    </row>
    <row r="313" spans="1:21" ht="140.25">
      <c r="A313" s="9">
        <v>2019</v>
      </c>
      <c r="B313" s="6" t="s">
        <v>869</v>
      </c>
      <c r="C313" s="112" t="s">
        <v>61</v>
      </c>
      <c r="D313" s="6" t="s">
        <v>394</v>
      </c>
      <c r="E313" s="6"/>
      <c r="F313" s="6" t="s">
        <v>870</v>
      </c>
      <c r="G313" s="6" t="s">
        <v>722</v>
      </c>
      <c r="H313" s="8">
        <v>90000</v>
      </c>
      <c r="I313" s="6" t="s">
        <v>722</v>
      </c>
      <c r="J313" s="9" t="s">
        <v>2467</v>
      </c>
      <c r="K313" s="9" t="s">
        <v>611</v>
      </c>
      <c r="L313" s="6" t="s">
        <v>6071</v>
      </c>
      <c r="M313" s="6"/>
      <c r="N313" s="6" t="s">
        <v>2636</v>
      </c>
      <c r="O313" s="52"/>
      <c r="P313" s="9"/>
      <c r="Q313" s="52"/>
      <c r="R313" s="52"/>
      <c r="S313" s="9" t="s">
        <v>6373</v>
      </c>
      <c r="T313" s="52"/>
      <c r="U313" s="6"/>
    </row>
    <row r="314" spans="1:21" ht="191.25">
      <c r="A314" s="9">
        <v>2019</v>
      </c>
      <c r="B314" s="6" t="s">
        <v>1216</v>
      </c>
      <c r="C314" s="112" t="s">
        <v>61</v>
      </c>
      <c r="D314" s="6" t="s">
        <v>1141</v>
      </c>
      <c r="E314" s="6"/>
      <c r="F314" s="6" t="s">
        <v>1217</v>
      </c>
      <c r="G314" s="6" t="s">
        <v>1218</v>
      </c>
      <c r="H314" s="8">
        <v>92275.68</v>
      </c>
      <c r="I314" s="6" t="s">
        <v>2474</v>
      </c>
      <c r="J314" s="9" t="s">
        <v>12000</v>
      </c>
      <c r="K314" s="9" t="s">
        <v>1904</v>
      </c>
      <c r="L314" s="557"/>
      <c r="M314" s="6"/>
      <c r="N314" s="6" t="s">
        <v>2637</v>
      </c>
      <c r="O314" s="52"/>
      <c r="P314" s="9"/>
      <c r="Q314" s="52"/>
      <c r="R314" s="52"/>
      <c r="S314" s="9" t="s">
        <v>6373</v>
      </c>
      <c r="T314" s="52"/>
      <c r="U314" s="6"/>
    </row>
    <row r="315" spans="1:21" ht="178.5">
      <c r="A315" s="9">
        <v>2019</v>
      </c>
      <c r="B315" s="6" t="s">
        <v>1654</v>
      </c>
      <c r="C315" s="112" t="s">
        <v>61</v>
      </c>
      <c r="D315" s="6" t="s">
        <v>1383</v>
      </c>
      <c r="E315" s="6"/>
      <c r="F315" s="6" t="s">
        <v>1655</v>
      </c>
      <c r="G315" s="6" t="s">
        <v>1656</v>
      </c>
      <c r="H315" s="8">
        <v>50000</v>
      </c>
      <c r="I315" s="6" t="s">
        <v>1828</v>
      </c>
      <c r="J315" s="9" t="s">
        <v>1828</v>
      </c>
      <c r="K315" s="9" t="s">
        <v>2412</v>
      </c>
      <c r="L315" s="6" t="s">
        <v>6064</v>
      </c>
      <c r="M315" s="6"/>
      <c r="N315" s="6" t="s">
        <v>2638</v>
      </c>
      <c r="O315" s="52"/>
      <c r="P315" s="9"/>
      <c r="Q315" s="52"/>
      <c r="R315" s="52"/>
      <c r="S315" s="9" t="s">
        <v>6634</v>
      </c>
      <c r="T315" s="52"/>
      <c r="U315" s="6"/>
    </row>
    <row r="316" spans="1:21" ht="178.5">
      <c r="A316" s="9">
        <v>2019</v>
      </c>
      <c r="B316" s="6" t="s">
        <v>1657</v>
      </c>
      <c r="C316" s="112" t="s">
        <v>61</v>
      </c>
      <c r="D316" s="6" t="s">
        <v>1383</v>
      </c>
      <c r="E316" s="6"/>
      <c r="F316" s="6" t="s">
        <v>1658</v>
      </c>
      <c r="G316" s="6" t="s">
        <v>572</v>
      </c>
      <c r="H316" s="8">
        <v>172000</v>
      </c>
      <c r="I316" s="6" t="s">
        <v>2639</v>
      </c>
      <c r="J316" s="9" t="s">
        <v>2639</v>
      </c>
      <c r="K316" s="9" t="s">
        <v>2412</v>
      </c>
      <c r="L316" s="6" t="s">
        <v>6064</v>
      </c>
      <c r="M316" s="6"/>
      <c r="N316" s="6" t="s">
        <v>2640</v>
      </c>
      <c r="O316" s="52"/>
      <c r="P316" s="9"/>
      <c r="Q316" s="52"/>
      <c r="R316" s="52"/>
      <c r="S316" s="9" t="s">
        <v>6634</v>
      </c>
      <c r="T316" s="52"/>
      <c r="U316" s="6"/>
    </row>
    <row r="317" spans="1:21" ht="165.75">
      <c r="A317" s="9">
        <v>2019</v>
      </c>
      <c r="B317" s="6" t="s">
        <v>1219</v>
      </c>
      <c r="C317" s="112" t="s">
        <v>61</v>
      </c>
      <c r="D317" s="34" t="s">
        <v>62</v>
      </c>
      <c r="E317" s="34"/>
      <c r="F317" s="6" t="s">
        <v>1220</v>
      </c>
      <c r="G317" s="6" t="s">
        <v>1179</v>
      </c>
      <c r="H317" s="8">
        <v>1717600</v>
      </c>
      <c r="I317" s="6" t="s">
        <v>2641</v>
      </c>
      <c r="J317" s="9" t="s">
        <v>2656</v>
      </c>
      <c r="K317" s="9" t="s">
        <v>1904</v>
      </c>
      <c r="L317" s="6" t="s">
        <v>6217</v>
      </c>
      <c r="M317" s="6"/>
      <c r="N317" s="6" t="s">
        <v>2642</v>
      </c>
      <c r="O317" s="52"/>
      <c r="P317" s="9" t="s">
        <v>6179</v>
      </c>
      <c r="Q317" s="52"/>
      <c r="R317" s="52"/>
      <c r="S317" s="9" t="s">
        <v>2144</v>
      </c>
      <c r="T317" s="52"/>
      <c r="U317" s="34"/>
    </row>
    <row r="318" spans="1:21" ht="63.75">
      <c r="A318" s="52"/>
      <c r="B318" s="6" t="s">
        <v>2643</v>
      </c>
      <c r="C318" s="9" t="s">
        <v>1823</v>
      </c>
      <c r="D318" s="34" t="s">
        <v>62</v>
      </c>
      <c r="E318" s="34"/>
      <c r="F318" s="6" t="s">
        <v>2644</v>
      </c>
      <c r="G318" s="6" t="s">
        <v>1231</v>
      </c>
      <c r="H318" s="8"/>
      <c r="I318" s="6" t="s">
        <v>575</v>
      </c>
      <c r="J318" s="9"/>
      <c r="K318" s="9"/>
      <c r="L318" s="6" t="s">
        <v>6064</v>
      </c>
      <c r="M318" s="6"/>
      <c r="N318" s="6" t="s">
        <v>12001</v>
      </c>
      <c r="O318" s="52"/>
      <c r="P318" s="9"/>
      <c r="Q318" s="52"/>
      <c r="R318" s="52"/>
      <c r="S318" s="9"/>
      <c r="T318" s="52"/>
      <c r="U318" s="34"/>
    </row>
    <row r="319" spans="1:21" ht="153">
      <c r="A319" s="9">
        <v>2019</v>
      </c>
      <c r="B319" s="6" t="s">
        <v>1659</v>
      </c>
      <c r="C319" s="112" t="s">
        <v>61</v>
      </c>
      <c r="D319" s="6" t="s">
        <v>1383</v>
      </c>
      <c r="E319" s="6"/>
      <c r="F319" s="6" t="s">
        <v>1660</v>
      </c>
      <c r="G319" s="6" t="s">
        <v>1482</v>
      </c>
      <c r="H319" s="8">
        <v>287052</v>
      </c>
      <c r="I319" s="6" t="s">
        <v>2646</v>
      </c>
      <c r="J319" s="9" t="s">
        <v>2656</v>
      </c>
      <c r="K319" s="9" t="s">
        <v>2412</v>
      </c>
      <c r="L319" s="6" t="s">
        <v>6064</v>
      </c>
      <c r="M319" s="6"/>
      <c r="N319" s="6" t="s">
        <v>2647</v>
      </c>
      <c r="O319" s="52"/>
      <c r="P319" s="9"/>
      <c r="Q319" s="52"/>
      <c r="R319" s="52"/>
      <c r="S319" s="9" t="s">
        <v>1824</v>
      </c>
      <c r="T319" s="52"/>
      <c r="U319" s="6"/>
    </row>
    <row r="320" spans="1:21" ht="178.5">
      <c r="A320" s="9">
        <v>2019</v>
      </c>
      <c r="B320" s="6" t="s">
        <v>1221</v>
      </c>
      <c r="C320" s="112" t="s">
        <v>61</v>
      </c>
      <c r="D320" s="6" t="s">
        <v>62</v>
      </c>
      <c r="E320" s="6"/>
      <c r="F320" s="6" t="s">
        <v>1222</v>
      </c>
      <c r="G320" s="6" t="s">
        <v>1223</v>
      </c>
      <c r="H320" s="8">
        <v>468445.54</v>
      </c>
      <c r="I320" s="6" t="s">
        <v>2648</v>
      </c>
      <c r="J320" s="9" t="s">
        <v>2656</v>
      </c>
      <c r="K320" s="9" t="s">
        <v>1904</v>
      </c>
      <c r="L320" s="6" t="s">
        <v>6170</v>
      </c>
      <c r="M320" s="6"/>
      <c r="N320" s="6" t="s">
        <v>2649</v>
      </c>
      <c r="O320" s="52"/>
      <c r="P320" s="9" t="s">
        <v>6132</v>
      </c>
      <c r="Q320" s="52"/>
      <c r="R320" s="52"/>
      <c r="S320" s="9" t="s">
        <v>2144</v>
      </c>
      <c r="T320" s="52"/>
      <c r="U320" s="6"/>
    </row>
    <row r="321" spans="1:21" ht="114.75">
      <c r="A321" s="9">
        <v>2019</v>
      </c>
      <c r="B321" s="6" t="s">
        <v>1224</v>
      </c>
      <c r="C321" s="112" t="s">
        <v>61</v>
      </c>
      <c r="D321" s="6" t="s">
        <v>62</v>
      </c>
      <c r="E321" s="6"/>
      <c r="F321" s="6" t="s">
        <v>1225</v>
      </c>
      <c r="G321" s="6" t="s">
        <v>1226</v>
      </c>
      <c r="H321" s="8">
        <v>495000</v>
      </c>
      <c r="I321" s="6" t="s">
        <v>2650</v>
      </c>
      <c r="J321" s="9" t="s">
        <v>2656</v>
      </c>
      <c r="K321" s="9" t="s">
        <v>1904</v>
      </c>
      <c r="L321" s="6" t="s">
        <v>6170</v>
      </c>
      <c r="M321" s="6"/>
      <c r="N321" s="6" t="s">
        <v>2651</v>
      </c>
      <c r="O321" s="52"/>
      <c r="P321" s="9" t="s">
        <v>6132</v>
      </c>
      <c r="Q321" s="52"/>
      <c r="R321" s="52"/>
      <c r="S321" s="9" t="s">
        <v>2144</v>
      </c>
      <c r="T321" s="52"/>
      <c r="U321" s="6"/>
    </row>
    <row r="322" spans="1:21" ht="114.75">
      <c r="A322" s="9">
        <v>2019</v>
      </c>
      <c r="B322" s="6" t="s">
        <v>1227</v>
      </c>
      <c r="C322" s="112" t="s">
        <v>61</v>
      </c>
      <c r="D322" s="6" t="s">
        <v>62</v>
      </c>
      <c r="E322" s="6"/>
      <c r="F322" s="6" t="s">
        <v>2652</v>
      </c>
      <c r="G322" s="6" t="s">
        <v>1229</v>
      </c>
      <c r="H322" s="8">
        <v>500000</v>
      </c>
      <c r="I322" s="6" t="s">
        <v>2653</v>
      </c>
      <c r="J322" s="9" t="s">
        <v>2656</v>
      </c>
      <c r="K322" s="9" t="s">
        <v>1904</v>
      </c>
      <c r="L322" s="6" t="s">
        <v>6092</v>
      </c>
      <c r="M322" s="6"/>
      <c r="N322" s="6" t="s">
        <v>2654</v>
      </c>
      <c r="O322" s="52"/>
      <c r="P322" s="9" t="s">
        <v>6179</v>
      </c>
      <c r="Q322" s="52"/>
      <c r="R322" s="52"/>
      <c r="S322" s="9" t="s">
        <v>2144</v>
      </c>
      <c r="T322" s="52"/>
      <c r="U322" s="6"/>
    </row>
    <row r="323" spans="1:21" ht="25.5">
      <c r="A323" s="9">
        <v>2019</v>
      </c>
      <c r="B323" s="6" t="s">
        <v>871</v>
      </c>
      <c r="C323" s="112" t="s">
        <v>61</v>
      </c>
      <c r="D323" s="6" t="s">
        <v>394</v>
      </c>
      <c r="E323" s="6"/>
      <c r="F323" s="6" t="s">
        <v>872</v>
      </c>
      <c r="G323" s="6" t="s">
        <v>820</v>
      </c>
      <c r="H323" s="8">
        <v>79000</v>
      </c>
      <c r="I323" s="166" t="s">
        <v>2655</v>
      </c>
      <c r="J323" s="9" t="s">
        <v>2656</v>
      </c>
      <c r="K323" s="9" t="s">
        <v>611</v>
      </c>
      <c r="L323" s="6" t="s">
        <v>6071</v>
      </c>
      <c r="M323" s="6"/>
      <c r="N323" s="6"/>
      <c r="O323" s="52"/>
      <c r="P323" s="9"/>
      <c r="Q323" s="52"/>
      <c r="R323" s="52"/>
      <c r="S323" s="9" t="s">
        <v>6373</v>
      </c>
      <c r="T323" s="52"/>
      <c r="U323" s="166"/>
    </row>
    <row r="324" spans="1:21" ht="25.5">
      <c r="A324" s="9">
        <v>2019</v>
      </c>
      <c r="B324" s="6" t="s">
        <v>873</v>
      </c>
      <c r="C324" s="112" t="s">
        <v>61</v>
      </c>
      <c r="D324" s="6" t="s">
        <v>2232</v>
      </c>
      <c r="E324" s="6"/>
      <c r="F324" s="6" t="s">
        <v>874</v>
      </c>
      <c r="G324" s="6" t="s">
        <v>820</v>
      </c>
      <c r="H324" s="8">
        <v>34500</v>
      </c>
      <c r="I324" s="169" t="s">
        <v>2656</v>
      </c>
      <c r="J324" s="9" t="s">
        <v>2656</v>
      </c>
      <c r="K324" s="9" t="s">
        <v>611</v>
      </c>
      <c r="L324" s="6" t="s">
        <v>6071</v>
      </c>
      <c r="M324" s="6"/>
      <c r="N324" s="6"/>
      <c r="O324" s="52"/>
      <c r="P324" s="9"/>
      <c r="Q324" s="52"/>
      <c r="R324" s="52"/>
      <c r="S324" s="9" t="s">
        <v>6373</v>
      </c>
      <c r="T324" s="52"/>
      <c r="U324" s="169"/>
    </row>
    <row r="325" spans="1:21" ht="38.25">
      <c r="A325" s="9">
        <v>2019</v>
      </c>
      <c r="B325" s="6" t="s">
        <v>2657</v>
      </c>
      <c r="C325" s="112" t="s">
        <v>61</v>
      </c>
      <c r="D325" s="54" t="s">
        <v>6049</v>
      </c>
      <c r="E325" s="54"/>
      <c r="F325" s="6" t="s">
        <v>2658</v>
      </c>
      <c r="G325" s="6" t="s">
        <v>1622</v>
      </c>
      <c r="H325" s="8">
        <v>172000</v>
      </c>
      <c r="I325" s="6" t="s">
        <v>2659</v>
      </c>
      <c r="J325" s="9" t="s">
        <v>2659</v>
      </c>
      <c r="K325" s="9" t="s">
        <v>2412</v>
      </c>
      <c r="L325" s="6" t="s">
        <v>6064</v>
      </c>
      <c r="M325" s="6"/>
      <c r="N325" s="6"/>
      <c r="O325" s="52"/>
      <c r="P325" s="9"/>
      <c r="Q325" s="52"/>
      <c r="R325" s="52"/>
      <c r="S325" s="9" t="s">
        <v>1824</v>
      </c>
      <c r="T325" s="52"/>
      <c r="U325" s="6"/>
    </row>
    <row r="326" spans="1:21" ht="51">
      <c r="A326" s="9">
        <v>2019</v>
      </c>
      <c r="B326" s="6" t="s">
        <v>875</v>
      </c>
      <c r="C326" s="112" t="s">
        <v>61</v>
      </c>
      <c r="D326" s="6" t="s">
        <v>113</v>
      </c>
      <c r="E326" s="6"/>
      <c r="F326" s="6" t="s">
        <v>876</v>
      </c>
      <c r="G326" s="6" t="s">
        <v>575</v>
      </c>
      <c r="H326" s="8"/>
      <c r="I326" s="6" t="s">
        <v>2298</v>
      </c>
      <c r="J326" s="9" t="s">
        <v>1828</v>
      </c>
      <c r="K326" s="9" t="s">
        <v>611</v>
      </c>
      <c r="L326" s="6" t="s">
        <v>1824</v>
      </c>
      <c r="M326" s="6"/>
      <c r="N326" s="6"/>
      <c r="O326" s="52"/>
      <c r="P326" s="475" t="s">
        <v>1808</v>
      </c>
      <c r="Q326" s="52"/>
      <c r="R326" s="52"/>
      <c r="S326" s="9" t="s">
        <v>1824</v>
      </c>
      <c r="T326" s="52"/>
      <c r="U326" s="6"/>
    </row>
    <row r="327" spans="1:21" ht="12.75">
      <c r="A327" s="9">
        <v>2019</v>
      </c>
      <c r="B327" s="6" t="s">
        <v>877</v>
      </c>
      <c r="C327" s="112" t="s">
        <v>61</v>
      </c>
      <c r="D327" s="6" t="s">
        <v>68</v>
      </c>
      <c r="E327" s="6"/>
      <c r="F327" s="9" t="s">
        <v>878</v>
      </c>
      <c r="G327" s="6" t="s">
        <v>879</v>
      </c>
      <c r="H327" s="8">
        <v>186604.41</v>
      </c>
      <c r="I327" s="6" t="s">
        <v>2660</v>
      </c>
      <c r="J327" s="9" t="s">
        <v>1828</v>
      </c>
      <c r="K327" s="9" t="s">
        <v>611</v>
      </c>
      <c r="L327" s="6" t="s">
        <v>6064</v>
      </c>
      <c r="M327" s="9"/>
      <c r="N327" s="9"/>
      <c r="O327" s="52"/>
      <c r="P327" s="9" t="s">
        <v>6132</v>
      </c>
      <c r="Q327" s="52"/>
      <c r="R327" s="52"/>
      <c r="S327" s="9" t="s">
        <v>2144</v>
      </c>
      <c r="T327" s="52"/>
      <c r="U327" s="6"/>
    </row>
    <row r="328" spans="1:21" ht="25.5">
      <c r="A328" s="9">
        <v>2019</v>
      </c>
      <c r="B328" s="6" t="s">
        <v>1230</v>
      </c>
      <c r="C328" s="112" t="s">
        <v>61</v>
      </c>
      <c r="D328" s="6" t="s">
        <v>1231</v>
      </c>
      <c r="E328" s="6"/>
      <c r="F328" s="6" t="s">
        <v>1232</v>
      </c>
      <c r="G328" s="6" t="s">
        <v>575</v>
      </c>
      <c r="H328" s="8"/>
      <c r="I328" s="6" t="s">
        <v>575</v>
      </c>
      <c r="J328" s="9" t="s">
        <v>1828</v>
      </c>
      <c r="K328" s="9" t="s">
        <v>1231</v>
      </c>
      <c r="L328" s="6" t="s">
        <v>6064</v>
      </c>
      <c r="M328" s="6"/>
      <c r="N328" s="6"/>
      <c r="O328" s="52"/>
      <c r="P328" s="475" t="s">
        <v>1808</v>
      </c>
      <c r="Q328" s="52"/>
      <c r="R328" s="52"/>
      <c r="S328" s="9" t="s">
        <v>1824</v>
      </c>
      <c r="T328" s="52"/>
      <c r="U328" s="6"/>
    </row>
    <row r="329" spans="1:21" ht="38.25">
      <c r="A329" s="9">
        <v>2019</v>
      </c>
      <c r="B329" s="6" t="s">
        <v>2661</v>
      </c>
      <c r="C329" s="112" t="s">
        <v>61</v>
      </c>
      <c r="D329" s="6" t="s">
        <v>1838</v>
      </c>
      <c r="E329" s="6"/>
      <c r="F329" s="6" t="s">
        <v>2662</v>
      </c>
      <c r="G329" s="6" t="s">
        <v>575</v>
      </c>
      <c r="H329" s="8">
        <v>50000</v>
      </c>
      <c r="I329" s="6" t="s">
        <v>2298</v>
      </c>
      <c r="J329" s="9" t="s">
        <v>1828</v>
      </c>
      <c r="K329" s="9" t="s">
        <v>6345</v>
      </c>
      <c r="L329" s="6" t="s">
        <v>6064</v>
      </c>
      <c r="M329" s="6"/>
      <c r="N329" s="6"/>
      <c r="O329" s="52"/>
      <c r="P329" s="475" t="s">
        <v>1808</v>
      </c>
      <c r="Q329" s="52"/>
      <c r="R329" s="52"/>
      <c r="S329" s="9" t="s">
        <v>1824</v>
      </c>
      <c r="T329" s="52"/>
      <c r="U329" s="6"/>
    </row>
    <row r="330" spans="1:21" ht="51">
      <c r="A330" s="9">
        <v>2019</v>
      </c>
      <c r="B330" s="6" t="s">
        <v>880</v>
      </c>
      <c r="C330" s="112" t="s">
        <v>61</v>
      </c>
      <c r="D330" s="6" t="s">
        <v>394</v>
      </c>
      <c r="E330" s="6"/>
      <c r="F330" s="6" t="s">
        <v>881</v>
      </c>
      <c r="G330" s="6" t="s">
        <v>882</v>
      </c>
      <c r="H330" s="8">
        <v>74000</v>
      </c>
      <c r="I330" s="6" t="s">
        <v>882</v>
      </c>
      <c r="J330" s="9" t="s">
        <v>1828</v>
      </c>
      <c r="K330" s="9" t="s">
        <v>611</v>
      </c>
      <c r="L330" s="6" t="s">
        <v>6071</v>
      </c>
      <c r="M330" s="6"/>
      <c r="N330" s="6"/>
      <c r="O330" s="52"/>
      <c r="P330" s="475" t="s">
        <v>1808</v>
      </c>
      <c r="Q330" s="52"/>
      <c r="R330" s="52"/>
      <c r="S330" s="9" t="s">
        <v>6373</v>
      </c>
      <c r="T330" s="52"/>
      <c r="U330" s="6"/>
    </row>
    <row r="331" spans="1:21" ht="38.25">
      <c r="A331" s="9">
        <v>2019</v>
      </c>
      <c r="B331" s="6" t="s">
        <v>2663</v>
      </c>
      <c r="C331" s="112" t="s">
        <v>61</v>
      </c>
      <c r="D331" s="6" t="s">
        <v>1838</v>
      </c>
      <c r="E331" s="6"/>
      <c r="F331" s="6" t="s">
        <v>2664</v>
      </c>
      <c r="G331" s="6"/>
      <c r="H331" s="8">
        <v>65300</v>
      </c>
      <c r="I331" s="6" t="s">
        <v>1862</v>
      </c>
      <c r="J331" s="9" t="s">
        <v>1828</v>
      </c>
      <c r="K331" s="9" t="s">
        <v>6345</v>
      </c>
      <c r="L331" s="6" t="s">
        <v>1838</v>
      </c>
      <c r="M331" s="6"/>
      <c r="N331" s="6"/>
      <c r="O331" s="52"/>
      <c r="P331" s="475" t="s">
        <v>1808</v>
      </c>
      <c r="Q331" s="52"/>
      <c r="R331" s="52"/>
      <c r="S331" s="9" t="s">
        <v>1824</v>
      </c>
      <c r="T331" s="52"/>
      <c r="U331" s="6"/>
    </row>
    <row r="332" spans="1:21" ht="63.75">
      <c r="A332" s="9">
        <v>2019</v>
      </c>
      <c r="B332" s="6" t="s">
        <v>883</v>
      </c>
      <c r="C332" s="112" t="s">
        <v>61</v>
      </c>
      <c r="D332" s="6" t="s">
        <v>68</v>
      </c>
      <c r="E332" s="6"/>
      <c r="F332" s="6" t="s">
        <v>884</v>
      </c>
      <c r="G332" s="6" t="s">
        <v>885</v>
      </c>
      <c r="H332" s="8">
        <v>199300</v>
      </c>
      <c r="I332" s="6" t="s">
        <v>2665</v>
      </c>
      <c r="J332" s="9" t="s">
        <v>1828</v>
      </c>
      <c r="K332" s="9" t="s">
        <v>611</v>
      </c>
      <c r="L332" s="6" t="s">
        <v>6092</v>
      </c>
      <c r="M332" s="6"/>
      <c r="N332" s="6"/>
      <c r="O332" s="52"/>
      <c r="P332" s="9" t="s">
        <v>6132</v>
      </c>
      <c r="Q332" s="52"/>
      <c r="R332" s="52"/>
      <c r="S332" s="9" t="s">
        <v>2144</v>
      </c>
      <c r="T332" s="52"/>
      <c r="U332" s="6"/>
    </row>
    <row r="333" spans="1:21" ht="51">
      <c r="A333" s="9">
        <v>2019</v>
      </c>
      <c r="B333" s="6" t="s">
        <v>886</v>
      </c>
      <c r="C333" s="112" t="s">
        <v>61</v>
      </c>
      <c r="D333" s="6" t="s">
        <v>652</v>
      </c>
      <c r="E333" s="6"/>
      <c r="F333" s="9" t="s">
        <v>2666</v>
      </c>
      <c r="G333" s="6" t="s">
        <v>888</v>
      </c>
      <c r="H333" s="8">
        <v>182454</v>
      </c>
      <c r="I333" s="6" t="s">
        <v>2667</v>
      </c>
      <c r="J333" s="9" t="s">
        <v>6231</v>
      </c>
      <c r="K333" s="9" t="s">
        <v>611</v>
      </c>
      <c r="L333" s="6" t="s">
        <v>6220</v>
      </c>
      <c r="M333" s="9"/>
      <c r="N333" s="9"/>
      <c r="O333" s="52"/>
      <c r="P333" s="9" t="s">
        <v>6132</v>
      </c>
      <c r="Q333" s="52"/>
      <c r="R333" s="52"/>
      <c r="S333" s="9" t="s">
        <v>2144</v>
      </c>
      <c r="T333" s="52"/>
      <c r="U333" s="6"/>
    </row>
    <row r="334" spans="1:21" ht="76.5">
      <c r="A334" s="9">
        <v>2019</v>
      </c>
      <c r="B334" s="6" t="s">
        <v>889</v>
      </c>
      <c r="C334" s="112" t="s">
        <v>61</v>
      </c>
      <c r="D334" s="6" t="s">
        <v>586</v>
      </c>
      <c r="E334" s="6"/>
      <c r="F334" s="6" t="s">
        <v>2668</v>
      </c>
      <c r="G334" s="6" t="s">
        <v>2669</v>
      </c>
      <c r="H334" s="8">
        <v>2350</v>
      </c>
      <c r="I334" s="6" t="s">
        <v>2670</v>
      </c>
      <c r="J334" s="9" t="s">
        <v>1828</v>
      </c>
      <c r="K334" s="9" t="s">
        <v>611</v>
      </c>
      <c r="L334" s="6" t="s">
        <v>6092</v>
      </c>
      <c r="M334" s="6"/>
      <c r="N334" s="6"/>
      <c r="O334" s="52"/>
      <c r="P334" s="9" t="s">
        <v>6132</v>
      </c>
      <c r="Q334" s="52"/>
      <c r="R334" s="52"/>
      <c r="S334" s="9" t="s">
        <v>2144</v>
      </c>
      <c r="T334" s="52"/>
      <c r="U334" s="6"/>
    </row>
    <row r="335" spans="1:21" ht="12.75">
      <c r="A335" s="9">
        <v>2019</v>
      </c>
      <c r="B335" s="6" t="s">
        <v>2671</v>
      </c>
      <c r="C335" s="112" t="s">
        <v>61</v>
      </c>
      <c r="D335" s="6" t="s">
        <v>1838</v>
      </c>
      <c r="E335" s="6"/>
      <c r="F335" s="6" t="s">
        <v>2672</v>
      </c>
      <c r="G335" s="6" t="s">
        <v>575</v>
      </c>
      <c r="H335" s="8">
        <v>200000</v>
      </c>
      <c r="I335" s="6" t="s">
        <v>2298</v>
      </c>
      <c r="J335" s="9" t="s">
        <v>1828</v>
      </c>
      <c r="K335" s="9" t="s">
        <v>6345</v>
      </c>
      <c r="L335" s="6" t="s">
        <v>1838</v>
      </c>
      <c r="M335" s="6"/>
      <c r="N335" s="6"/>
      <c r="O335" s="52"/>
      <c r="P335" s="475" t="s">
        <v>1808</v>
      </c>
      <c r="Q335" s="52"/>
      <c r="R335" s="52"/>
      <c r="S335" s="9" t="s">
        <v>1824</v>
      </c>
      <c r="T335" s="52"/>
      <c r="U335" s="6"/>
    </row>
    <row r="336" spans="1:21" ht="25.5">
      <c r="A336" s="9">
        <v>2019</v>
      </c>
      <c r="B336" s="6" t="s">
        <v>1233</v>
      </c>
      <c r="C336" s="112" t="s">
        <v>61</v>
      </c>
      <c r="D336" s="6" t="s">
        <v>1141</v>
      </c>
      <c r="E336" s="6"/>
      <c r="F336" s="6" t="s">
        <v>1234</v>
      </c>
      <c r="G336" s="64" t="s">
        <v>1215</v>
      </c>
      <c r="H336" s="8">
        <v>16685</v>
      </c>
      <c r="I336" s="6" t="s">
        <v>2673</v>
      </c>
      <c r="J336" s="9" t="s">
        <v>2474</v>
      </c>
      <c r="K336" s="9" t="s">
        <v>1904</v>
      </c>
      <c r="L336" s="6" t="s">
        <v>6137</v>
      </c>
      <c r="M336" s="6"/>
      <c r="N336" s="6"/>
      <c r="O336" s="52"/>
      <c r="P336" s="475" t="s">
        <v>1808</v>
      </c>
      <c r="Q336" s="52"/>
      <c r="R336" s="52"/>
      <c r="S336" s="9" t="s">
        <v>6373</v>
      </c>
      <c r="T336" s="52"/>
      <c r="U336" s="6"/>
    </row>
    <row r="337" spans="1:21" ht="25.5">
      <c r="A337" s="9">
        <v>2019</v>
      </c>
      <c r="B337" s="6" t="s">
        <v>1235</v>
      </c>
      <c r="C337" s="112" t="s">
        <v>61</v>
      </c>
      <c r="D337" s="6" t="s">
        <v>1141</v>
      </c>
      <c r="E337" s="6"/>
      <c r="F337" s="6" t="s">
        <v>1236</v>
      </c>
      <c r="G337" s="64" t="s">
        <v>1215</v>
      </c>
      <c r="H337" s="8">
        <v>77500</v>
      </c>
      <c r="I337" s="6" t="s">
        <v>2673</v>
      </c>
      <c r="J337" s="9" t="s">
        <v>2474</v>
      </c>
      <c r="K337" s="9" t="s">
        <v>1904</v>
      </c>
      <c r="L337" s="6" t="s">
        <v>6137</v>
      </c>
      <c r="M337" s="6"/>
      <c r="N337" s="6"/>
      <c r="O337" s="52"/>
      <c r="P337" s="475" t="s">
        <v>1808</v>
      </c>
      <c r="Q337" s="52"/>
      <c r="R337" s="52"/>
      <c r="S337" s="9" t="s">
        <v>6373</v>
      </c>
      <c r="T337" s="52"/>
      <c r="U337" s="6"/>
    </row>
    <row r="338" spans="1:21" ht="25.5">
      <c r="A338" s="9">
        <v>2019</v>
      </c>
      <c r="B338" s="6" t="s">
        <v>1237</v>
      </c>
      <c r="C338" s="112" t="s">
        <v>61</v>
      </c>
      <c r="D338" s="6" t="s">
        <v>1141</v>
      </c>
      <c r="E338" s="6"/>
      <c r="F338" s="6" t="s">
        <v>1238</v>
      </c>
      <c r="G338" s="64" t="s">
        <v>1215</v>
      </c>
      <c r="H338" s="8">
        <v>110050</v>
      </c>
      <c r="I338" s="6" t="s">
        <v>2673</v>
      </c>
      <c r="J338" s="9" t="s">
        <v>2474</v>
      </c>
      <c r="K338" s="9" t="s">
        <v>1904</v>
      </c>
      <c r="L338" s="6" t="s">
        <v>6137</v>
      </c>
      <c r="M338" s="6"/>
      <c r="N338" s="6"/>
      <c r="O338" s="52"/>
      <c r="P338" s="475" t="s">
        <v>1808</v>
      </c>
      <c r="Q338" s="52"/>
      <c r="R338" s="52"/>
      <c r="S338" s="9" t="s">
        <v>6373</v>
      </c>
      <c r="T338" s="52"/>
      <c r="U338" s="6"/>
    </row>
    <row r="339" spans="1:21" ht="38.25">
      <c r="A339" s="9">
        <v>2019</v>
      </c>
      <c r="B339" s="6" t="s">
        <v>892</v>
      </c>
      <c r="C339" s="112" t="s">
        <v>61</v>
      </c>
      <c r="D339" s="6" t="s">
        <v>586</v>
      </c>
      <c r="E339" s="6"/>
      <c r="F339" s="6" t="s">
        <v>893</v>
      </c>
      <c r="G339" s="6" t="s">
        <v>894</v>
      </c>
      <c r="H339" s="8">
        <v>18800</v>
      </c>
      <c r="I339" s="6" t="s">
        <v>2674</v>
      </c>
      <c r="J339" s="9" t="s">
        <v>1828</v>
      </c>
      <c r="K339" s="9" t="s">
        <v>611</v>
      </c>
      <c r="L339" s="6" t="s">
        <v>6104</v>
      </c>
      <c r="M339" s="6"/>
      <c r="N339" s="6"/>
      <c r="O339" s="52"/>
      <c r="P339" s="475" t="s">
        <v>5654</v>
      </c>
      <c r="Q339" s="52"/>
      <c r="R339" s="52"/>
      <c r="S339" s="9" t="s">
        <v>2144</v>
      </c>
      <c r="T339" s="52"/>
      <c r="U339" s="6"/>
    </row>
    <row r="340" spans="1:21" ht="25.5">
      <c r="A340" s="9">
        <v>2019</v>
      </c>
      <c r="B340" s="6" t="s">
        <v>895</v>
      </c>
      <c r="C340" s="112" t="s">
        <v>61</v>
      </c>
      <c r="D340" s="6" t="s">
        <v>394</v>
      </c>
      <c r="E340" s="6"/>
      <c r="F340" s="6" t="s">
        <v>896</v>
      </c>
      <c r="G340" s="6" t="s">
        <v>897</v>
      </c>
      <c r="H340" s="8">
        <v>120000</v>
      </c>
      <c r="I340" s="6" t="s">
        <v>2675</v>
      </c>
      <c r="J340" s="9" t="s">
        <v>2676</v>
      </c>
      <c r="K340" s="9" t="s">
        <v>611</v>
      </c>
      <c r="L340" s="6" t="s">
        <v>6071</v>
      </c>
      <c r="M340" s="6"/>
      <c r="N340" s="6"/>
      <c r="O340" s="52"/>
      <c r="P340" s="475" t="s">
        <v>1808</v>
      </c>
      <c r="Q340" s="52"/>
      <c r="R340" s="52"/>
      <c r="S340" s="9" t="s">
        <v>6373</v>
      </c>
      <c r="T340" s="52"/>
      <c r="U340" s="6"/>
    </row>
    <row r="341" spans="1:21" ht="63.75">
      <c r="A341" s="9">
        <v>2019</v>
      </c>
      <c r="B341" s="6" t="s">
        <v>898</v>
      </c>
      <c r="C341" s="112" t="s">
        <v>61</v>
      </c>
      <c r="D341" s="6" t="s">
        <v>586</v>
      </c>
      <c r="E341" s="6"/>
      <c r="F341" s="9" t="s">
        <v>899</v>
      </c>
      <c r="G341" s="6" t="s">
        <v>900</v>
      </c>
      <c r="H341" s="8">
        <v>8440</v>
      </c>
      <c r="I341" s="6" t="s">
        <v>2677</v>
      </c>
      <c r="J341" s="9" t="s">
        <v>1828</v>
      </c>
      <c r="K341" s="9" t="s">
        <v>611</v>
      </c>
      <c r="L341" s="6" t="s">
        <v>6137</v>
      </c>
      <c r="M341" s="9"/>
      <c r="N341" s="9"/>
      <c r="O341" s="52"/>
      <c r="P341" s="9" t="s">
        <v>6179</v>
      </c>
      <c r="Q341" s="52"/>
      <c r="R341" s="52"/>
      <c r="S341" s="9" t="s">
        <v>2144</v>
      </c>
      <c r="T341" s="52"/>
      <c r="U341" s="6"/>
    </row>
    <row r="342" spans="1:21" ht="25.5">
      <c r="A342" s="9">
        <v>2019</v>
      </c>
      <c r="B342" s="6" t="s">
        <v>901</v>
      </c>
      <c r="C342" s="112" t="s">
        <v>61</v>
      </c>
      <c r="D342" s="6" t="s">
        <v>586</v>
      </c>
      <c r="E342" s="6"/>
      <c r="F342" s="6" t="s">
        <v>902</v>
      </c>
      <c r="G342" s="6" t="s">
        <v>903</v>
      </c>
      <c r="H342" s="8">
        <v>14400</v>
      </c>
      <c r="I342" s="6" t="s">
        <v>2575</v>
      </c>
      <c r="J342" s="9" t="s">
        <v>2476</v>
      </c>
      <c r="K342" s="9" t="s">
        <v>611</v>
      </c>
      <c r="L342" s="6" t="s">
        <v>6220</v>
      </c>
      <c r="M342" s="6"/>
      <c r="N342" s="6"/>
      <c r="O342" s="52"/>
      <c r="P342" s="9" t="s">
        <v>6132</v>
      </c>
      <c r="Q342" s="52"/>
      <c r="R342" s="52"/>
      <c r="S342" s="9" t="s">
        <v>2144</v>
      </c>
      <c r="T342" s="52"/>
      <c r="U342" s="6"/>
    </row>
    <row r="343" spans="1:21" ht="38.25">
      <c r="A343" s="9">
        <v>2019</v>
      </c>
      <c r="B343" s="6" t="s">
        <v>904</v>
      </c>
      <c r="C343" s="112" t="s">
        <v>61</v>
      </c>
      <c r="D343" s="6" t="s">
        <v>586</v>
      </c>
      <c r="E343" s="6"/>
      <c r="F343" s="6" t="s">
        <v>905</v>
      </c>
      <c r="G343" s="6" t="s">
        <v>906</v>
      </c>
      <c r="H343" s="8">
        <v>10360</v>
      </c>
      <c r="I343" s="6" t="s">
        <v>2678</v>
      </c>
      <c r="J343" s="9" t="s">
        <v>1828</v>
      </c>
      <c r="K343" s="9" t="s">
        <v>611</v>
      </c>
      <c r="L343" s="6" t="s">
        <v>6137</v>
      </c>
      <c r="M343" s="6"/>
      <c r="N343" s="6"/>
      <c r="O343" s="52"/>
      <c r="P343" s="9" t="s">
        <v>6179</v>
      </c>
      <c r="Q343" s="52"/>
      <c r="R343" s="52"/>
      <c r="S343" s="9" t="s">
        <v>2144</v>
      </c>
      <c r="T343" s="52"/>
      <c r="U343" s="6"/>
    </row>
    <row r="344" spans="1:21" ht="25.5">
      <c r="A344" s="9">
        <v>2019</v>
      </c>
      <c r="B344" s="6" t="s">
        <v>907</v>
      </c>
      <c r="C344" s="112" t="s">
        <v>61</v>
      </c>
      <c r="D344" s="6" t="s">
        <v>68</v>
      </c>
      <c r="E344" s="6"/>
      <c r="F344" s="6" t="s">
        <v>2679</v>
      </c>
      <c r="G344" s="6" t="s">
        <v>909</v>
      </c>
      <c r="H344" s="8">
        <v>200000</v>
      </c>
      <c r="I344" s="6" t="s">
        <v>2680</v>
      </c>
      <c r="J344" s="9" t="s">
        <v>2449</v>
      </c>
      <c r="K344" s="9" t="s">
        <v>1231</v>
      </c>
      <c r="L344" s="6" t="s">
        <v>6137</v>
      </c>
      <c r="M344" s="6"/>
      <c r="N344" s="6"/>
      <c r="O344" s="52"/>
      <c r="P344" s="9" t="s">
        <v>6179</v>
      </c>
      <c r="Q344" s="52"/>
      <c r="R344" s="52"/>
      <c r="S344" s="9" t="s">
        <v>6373</v>
      </c>
      <c r="T344" s="52"/>
      <c r="U344" s="6"/>
    </row>
    <row r="345" spans="1:21" ht="51">
      <c r="A345" s="9">
        <v>2019</v>
      </c>
      <c r="B345" s="6" t="s">
        <v>910</v>
      </c>
      <c r="C345" s="112" t="s">
        <v>61</v>
      </c>
      <c r="D345" s="9" t="s">
        <v>2230</v>
      </c>
      <c r="E345" s="9"/>
      <c r="F345" s="6" t="s">
        <v>911</v>
      </c>
      <c r="G345" s="6" t="s">
        <v>912</v>
      </c>
      <c r="H345" s="8">
        <v>200018.5</v>
      </c>
      <c r="I345" s="6" t="s">
        <v>2681</v>
      </c>
      <c r="J345" s="9" t="s">
        <v>1828</v>
      </c>
      <c r="K345" s="9" t="s">
        <v>611</v>
      </c>
      <c r="L345" s="6" t="s">
        <v>6092</v>
      </c>
      <c r="M345" s="6"/>
      <c r="N345" s="6"/>
      <c r="O345" s="52"/>
      <c r="P345" s="9" t="s">
        <v>6132</v>
      </c>
      <c r="Q345" s="52"/>
      <c r="R345" s="52"/>
      <c r="S345" s="9" t="s">
        <v>2144</v>
      </c>
      <c r="T345" s="52"/>
      <c r="U345" s="6"/>
    </row>
    <row r="346" spans="1:21" ht="25.5">
      <c r="A346" s="9">
        <v>2019</v>
      </c>
      <c r="B346" s="6" t="s">
        <v>913</v>
      </c>
      <c r="C346" s="112" t="s">
        <v>61</v>
      </c>
      <c r="D346" s="6" t="s">
        <v>652</v>
      </c>
      <c r="E346" s="6"/>
      <c r="F346" s="6" t="s">
        <v>914</v>
      </c>
      <c r="G346" s="6" t="s">
        <v>915</v>
      </c>
      <c r="H346" s="8">
        <v>73365</v>
      </c>
      <c r="I346" s="6" t="s">
        <v>2682</v>
      </c>
      <c r="J346" s="9" t="s">
        <v>6171</v>
      </c>
      <c r="K346" s="9" t="s">
        <v>611</v>
      </c>
      <c r="L346" s="6" t="s">
        <v>6644</v>
      </c>
      <c r="M346" s="6"/>
      <c r="N346" s="6"/>
      <c r="O346" s="52"/>
      <c r="P346" s="9" t="s">
        <v>6132</v>
      </c>
      <c r="Q346" s="52"/>
      <c r="R346" s="52"/>
      <c r="S346" s="9" t="s">
        <v>6373</v>
      </c>
      <c r="T346" s="52"/>
      <c r="U346" s="6"/>
    </row>
    <row r="347" spans="1:21" ht="38.25">
      <c r="A347" s="9">
        <v>2019</v>
      </c>
      <c r="B347" s="6" t="s">
        <v>916</v>
      </c>
      <c r="C347" s="112" t="s">
        <v>61</v>
      </c>
      <c r="D347" s="9" t="s">
        <v>2230</v>
      </c>
      <c r="E347" s="9"/>
      <c r="F347" s="6" t="s">
        <v>917</v>
      </c>
      <c r="G347" s="6" t="s">
        <v>918</v>
      </c>
      <c r="H347" s="8">
        <v>199926</v>
      </c>
      <c r="I347" s="6" t="s">
        <v>2683</v>
      </c>
      <c r="J347" s="9" t="s">
        <v>2476</v>
      </c>
      <c r="K347" s="9" t="s">
        <v>611</v>
      </c>
      <c r="L347" s="6" t="s">
        <v>6137</v>
      </c>
      <c r="M347" s="6"/>
      <c r="N347" s="6"/>
      <c r="O347" s="52"/>
      <c r="P347" s="9" t="s">
        <v>6132</v>
      </c>
      <c r="Q347" s="52"/>
      <c r="R347" s="52"/>
      <c r="S347" s="9" t="s">
        <v>6373</v>
      </c>
      <c r="T347" s="52"/>
      <c r="U347" s="6"/>
    </row>
    <row r="348" spans="1:21" ht="25.5">
      <c r="A348" s="9">
        <v>2019</v>
      </c>
      <c r="B348" s="6" t="s">
        <v>919</v>
      </c>
      <c r="C348" s="112" t="s">
        <v>61</v>
      </c>
      <c r="D348" s="9" t="s">
        <v>2230</v>
      </c>
      <c r="E348" s="9"/>
      <c r="F348" s="6" t="s">
        <v>920</v>
      </c>
      <c r="G348" s="6" t="s">
        <v>921</v>
      </c>
      <c r="H348" s="8">
        <v>167255.802</v>
      </c>
      <c r="I348" s="6" t="s">
        <v>2684</v>
      </c>
      <c r="J348" s="9" t="s">
        <v>2611</v>
      </c>
      <c r="K348" s="9" t="s">
        <v>611</v>
      </c>
      <c r="L348" s="6" t="s">
        <v>6092</v>
      </c>
      <c r="M348" s="6"/>
      <c r="N348" s="6"/>
      <c r="O348" s="52"/>
      <c r="P348" s="9" t="s">
        <v>6132</v>
      </c>
      <c r="Q348" s="52"/>
      <c r="R348" s="52"/>
      <c r="S348" s="9" t="s">
        <v>2144</v>
      </c>
      <c r="T348" s="52"/>
      <c r="U348" s="6"/>
    </row>
    <row r="349" spans="1:21" ht="25.5">
      <c r="A349" s="9">
        <v>2019</v>
      </c>
      <c r="B349" s="6" t="s">
        <v>1239</v>
      </c>
      <c r="C349" s="112" t="s">
        <v>61</v>
      </c>
      <c r="D349" s="6" t="s">
        <v>1141</v>
      </c>
      <c r="E349" s="6"/>
      <c r="F349" s="6" t="s">
        <v>1240</v>
      </c>
      <c r="G349" s="6" t="s">
        <v>1241</v>
      </c>
      <c r="H349" s="8">
        <v>57545.95</v>
      </c>
      <c r="I349" s="6" t="s">
        <v>2685</v>
      </c>
      <c r="J349" s="9" t="s">
        <v>2639</v>
      </c>
      <c r="K349" s="9" t="s">
        <v>1904</v>
      </c>
      <c r="L349" s="6" t="s">
        <v>6092</v>
      </c>
      <c r="M349" s="6"/>
      <c r="N349" s="6"/>
      <c r="O349" s="52"/>
      <c r="P349" s="475" t="s">
        <v>1808</v>
      </c>
      <c r="Q349" s="52"/>
      <c r="R349" s="52"/>
      <c r="S349" s="9" t="s">
        <v>6373</v>
      </c>
      <c r="T349" s="52"/>
      <c r="U349" s="6"/>
    </row>
    <row r="350" spans="1:21" ht="63.75">
      <c r="A350" s="9">
        <v>2019</v>
      </c>
      <c r="B350" s="6" t="s">
        <v>922</v>
      </c>
      <c r="C350" s="112" t="s">
        <v>61</v>
      </c>
      <c r="D350" s="9" t="s">
        <v>456</v>
      </c>
      <c r="E350" s="9"/>
      <c r="F350" s="6" t="s">
        <v>923</v>
      </c>
      <c r="G350" s="6" t="s">
        <v>924</v>
      </c>
      <c r="H350" s="8">
        <v>48100</v>
      </c>
      <c r="I350" s="6" t="s">
        <v>2686</v>
      </c>
      <c r="J350" s="9" t="s">
        <v>12002</v>
      </c>
      <c r="K350" s="9" t="s">
        <v>611</v>
      </c>
      <c r="L350" s="6" t="s">
        <v>6092</v>
      </c>
      <c r="M350" s="6"/>
      <c r="N350" s="6"/>
      <c r="O350" s="52"/>
      <c r="P350" s="9" t="s">
        <v>6132</v>
      </c>
      <c r="Q350" s="52"/>
      <c r="R350" s="52"/>
      <c r="S350" s="9" t="s">
        <v>2144</v>
      </c>
      <c r="T350" s="52"/>
      <c r="U350" s="6"/>
    </row>
    <row r="351" spans="1:21" ht="38.25">
      <c r="A351" s="6">
        <v>2018</v>
      </c>
      <c r="B351" s="61">
        <v>43101</v>
      </c>
      <c r="C351" s="112" t="s">
        <v>61</v>
      </c>
      <c r="D351" s="6" t="s">
        <v>3335</v>
      </c>
      <c r="E351" s="6"/>
      <c r="F351" s="6" t="s">
        <v>1661</v>
      </c>
      <c r="G351" s="6" t="s">
        <v>2319</v>
      </c>
      <c r="H351" s="493">
        <v>2747800</v>
      </c>
      <c r="I351" s="6" t="s">
        <v>1938</v>
      </c>
      <c r="J351" s="6" t="s">
        <v>1828</v>
      </c>
      <c r="K351" s="6" t="s">
        <v>82</v>
      </c>
      <c r="L351" s="6" t="s">
        <v>6064</v>
      </c>
      <c r="M351" s="6"/>
      <c r="N351" s="6"/>
      <c r="O351" s="52"/>
      <c r="P351" s="475" t="s">
        <v>1808</v>
      </c>
      <c r="Q351" s="6"/>
      <c r="R351" s="297" t="s">
        <v>6646</v>
      </c>
      <c r="S351" s="6" t="s">
        <v>1824</v>
      </c>
      <c r="T351" s="54"/>
      <c r="U351" s="6"/>
    </row>
    <row r="352" spans="1:21" ht="63.75">
      <c r="A352" s="6">
        <v>2018</v>
      </c>
      <c r="B352" s="61">
        <v>43132</v>
      </c>
      <c r="C352" s="112" t="s">
        <v>61</v>
      </c>
      <c r="D352" s="34" t="s">
        <v>62</v>
      </c>
      <c r="E352" s="34"/>
      <c r="F352" s="6" t="s">
        <v>1242</v>
      </c>
      <c r="G352" s="6" t="s">
        <v>2688</v>
      </c>
      <c r="H352" s="8">
        <v>710458.07</v>
      </c>
      <c r="I352" s="160" t="s">
        <v>2689</v>
      </c>
      <c r="J352" s="6" t="s">
        <v>6314</v>
      </c>
      <c r="K352" s="6" t="s">
        <v>1904</v>
      </c>
      <c r="L352" s="6" t="s">
        <v>6170</v>
      </c>
      <c r="M352" s="6"/>
      <c r="N352" s="6"/>
      <c r="O352" s="52"/>
      <c r="P352" s="6" t="s">
        <v>6132</v>
      </c>
      <c r="Q352" s="6"/>
      <c r="R352" s="297" t="s">
        <v>6648</v>
      </c>
      <c r="S352" s="6"/>
      <c r="T352" s="54"/>
      <c r="U352" s="398"/>
    </row>
    <row r="353" spans="1:21" ht="51">
      <c r="A353" s="6">
        <v>2018</v>
      </c>
      <c r="B353" s="61">
        <v>43160</v>
      </c>
      <c r="C353" s="112" t="s">
        <v>61</v>
      </c>
      <c r="D353" s="34" t="s">
        <v>62</v>
      </c>
      <c r="E353" s="34"/>
      <c r="F353" s="6" t="s">
        <v>1244</v>
      </c>
      <c r="G353" s="6" t="s">
        <v>2690</v>
      </c>
      <c r="H353" s="8">
        <v>2839000</v>
      </c>
      <c r="I353" s="160" t="s">
        <v>2691</v>
      </c>
      <c r="J353" s="6" t="s">
        <v>2656</v>
      </c>
      <c r="K353" s="6" t="s">
        <v>1231</v>
      </c>
      <c r="L353" s="6" t="s">
        <v>6217</v>
      </c>
      <c r="M353" s="6"/>
      <c r="N353" s="6"/>
      <c r="O353" s="52"/>
      <c r="P353" s="6" t="s">
        <v>6132</v>
      </c>
      <c r="Q353" s="6"/>
      <c r="R353" s="291" t="s">
        <v>6650</v>
      </c>
      <c r="S353" s="6"/>
      <c r="T353" s="54"/>
      <c r="U353" s="398"/>
    </row>
    <row r="354" spans="1:21" ht="38.25">
      <c r="A354" s="6">
        <v>2018</v>
      </c>
      <c r="B354" s="61">
        <v>43191</v>
      </c>
      <c r="C354" s="112" t="s">
        <v>61</v>
      </c>
      <c r="D354" s="6" t="s">
        <v>68</v>
      </c>
      <c r="E354" s="6"/>
      <c r="F354" s="6" t="s">
        <v>926</v>
      </c>
      <c r="G354" s="6" t="s">
        <v>2692</v>
      </c>
      <c r="H354" s="8">
        <v>900000</v>
      </c>
      <c r="I354" s="160" t="s">
        <v>2693</v>
      </c>
      <c r="J354" s="6" t="s">
        <v>1828</v>
      </c>
      <c r="K354" s="6" t="s">
        <v>1874</v>
      </c>
      <c r="L354" s="6" t="s">
        <v>6217</v>
      </c>
      <c r="M354" s="6"/>
      <c r="N354" s="6"/>
      <c r="O354" s="52"/>
      <c r="P354" s="6" t="s">
        <v>6132</v>
      </c>
      <c r="Q354" s="6"/>
      <c r="R354" s="291" t="s">
        <v>6652</v>
      </c>
      <c r="S354" s="6"/>
      <c r="T354" s="54"/>
      <c r="U354" s="160"/>
    </row>
    <row r="355" spans="1:21" ht="25.5">
      <c r="A355" s="6">
        <v>2018</v>
      </c>
      <c r="B355" s="61">
        <v>43374</v>
      </c>
      <c r="C355" s="112" t="s">
        <v>61</v>
      </c>
      <c r="D355" s="6" t="s">
        <v>928</v>
      </c>
      <c r="E355" s="6"/>
      <c r="F355" s="158" t="s">
        <v>929</v>
      </c>
      <c r="G355" s="158" t="s">
        <v>699</v>
      </c>
      <c r="H355" s="470">
        <v>709420</v>
      </c>
      <c r="I355" s="6" t="s">
        <v>1938</v>
      </c>
      <c r="J355" s="6" t="s">
        <v>1828</v>
      </c>
      <c r="K355" s="6" t="s">
        <v>611</v>
      </c>
      <c r="L355" s="6" t="s">
        <v>6064</v>
      </c>
      <c r="M355" s="171">
        <v>43145</v>
      </c>
      <c r="N355" s="158"/>
      <c r="O355" s="52"/>
      <c r="P355" s="475" t="s">
        <v>1808</v>
      </c>
      <c r="Q355" s="172"/>
      <c r="R355" s="472" t="s">
        <v>6660</v>
      </c>
      <c r="S355" s="6" t="s">
        <v>1824</v>
      </c>
      <c r="T355" s="54"/>
      <c r="U355" s="6"/>
    </row>
    <row r="356" spans="1:21" ht="25.5">
      <c r="A356" s="6">
        <v>2018</v>
      </c>
      <c r="B356" s="62">
        <v>43405</v>
      </c>
      <c r="C356" s="112" t="s">
        <v>61</v>
      </c>
      <c r="D356" s="34" t="s">
        <v>1500</v>
      </c>
      <c r="E356" s="34"/>
      <c r="F356" s="6" t="s">
        <v>1662</v>
      </c>
      <c r="G356" s="6" t="s">
        <v>1663</v>
      </c>
      <c r="H356" s="8">
        <v>200000</v>
      </c>
      <c r="I356" s="6" t="s">
        <v>1938</v>
      </c>
      <c r="J356" s="6" t="s">
        <v>1828</v>
      </c>
      <c r="K356" s="6" t="s">
        <v>82</v>
      </c>
      <c r="L356" s="6" t="s">
        <v>6064</v>
      </c>
      <c r="M356" s="7">
        <v>43179</v>
      </c>
      <c r="N356" s="6"/>
      <c r="O356" s="52"/>
      <c r="P356" s="475" t="s">
        <v>1808</v>
      </c>
      <c r="Q356" s="6"/>
      <c r="R356" s="297" t="s">
        <v>6662</v>
      </c>
      <c r="S356" s="6" t="s">
        <v>1824</v>
      </c>
      <c r="T356" s="54"/>
      <c r="U356" s="34"/>
    </row>
    <row r="357" spans="1:21" ht="25.5">
      <c r="A357" s="6">
        <v>2018</v>
      </c>
      <c r="B357" s="62">
        <v>43435</v>
      </c>
      <c r="C357" s="112" t="s">
        <v>61</v>
      </c>
      <c r="D357" s="34" t="s">
        <v>1500</v>
      </c>
      <c r="E357" s="34"/>
      <c r="F357" s="6" t="s">
        <v>1664</v>
      </c>
      <c r="G357" s="6" t="s">
        <v>650</v>
      </c>
      <c r="H357" s="8">
        <v>200000</v>
      </c>
      <c r="I357" s="6"/>
      <c r="J357" s="6" t="s">
        <v>6314</v>
      </c>
      <c r="K357" s="6" t="s">
        <v>82</v>
      </c>
      <c r="L357" s="6" t="s">
        <v>6064</v>
      </c>
      <c r="M357" s="6"/>
      <c r="N357" s="6"/>
      <c r="O357" s="52"/>
      <c r="P357" s="475" t="s">
        <v>1808</v>
      </c>
      <c r="Q357" s="6"/>
      <c r="R357" s="297" t="s">
        <v>6664</v>
      </c>
      <c r="S357" s="6" t="s">
        <v>1824</v>
      </c>
      <c r="T357" s="54"/>
      <c r="U357" s="34"/>
    </row>
    <row r="358" spans="1:21" ht="38.25">
      <c r="A358" s="6">
        <v>2018</v>
      </c>
      <c r="B358" s="6" t="s">
        <v>1665</v>
      </c>
      <c r="C358" s="112" t="s">
        <v>61</v>
      </c>
      <c r="D358" s="34" t="s">
        <v>1500</v>
      </c>
      <c r="E358" s="34"/>
      <c r="F358" s="6" t="s">
        <v>1666</v>
      </c>
      <c r="G358" s="6" t="s">
        <v>581</v>
      </c>
      <c r="H358" s="8">
        <v>200000</v>
      </c>
      <c r="I358" s="6"/>
      <c r="J358" s="6" t="s">
        <v>6370</v>
      </c>
      <c r="K358" s="6" t="s">
        <v>82</v>
      </c>
      <c r="L358" s="6" t="s">
        <v>6064</v>
      </c>
      <c r="M358" s="6"/>
      <c r="N358" s="6"/>
      <c r="O358" s="52"/>
      <c r="P358" s="475" t="s">
        <v>1808</v>
      </c>
      <c r="Q358" s="6"/>
      <c r="R358" s="291" t="s">
        <v>6666</v>
      </c>
      <c r="S358" s="6" t="s">
        <v>1824</v>
      </c>
      <c r="T358" s="54"/>
      <c r="U358" s="34"/>
    </row>
    <row r="359" spans="1:21" ht="38.25">
      <c r="A359" s="6">
        <v>2018</v>
      </c>
      <c r="B359" s="6" t="s">
        <v>1667</v>
      </c>
      <c r="C359" s="112" t="s">
        <v>61</v>
      </c>
      <c r="D359" s="34" t="s">
        <v>1500</v>
      </c>
      <c r="E359" s="34"/>
      <c r="F359" s="6" t="s">
        <v>1666</v>
      </c>
      <c r="G359" s="6" t="s">
        <v>722</v>
      </c>
      <c r="H359" s="8">
        <v>200000</v>
      </c>
      <c r="I359" s="6"/>
      <c r="J359" s="6" t="s">
        <v>2467</v>
      </c>
      <c r="K359" s="6" t="s">
        <v>82</v>
      </c>
      <c r="L359" s="6" t="s">
        <v>6064</v>
      </c>
      <c r="M359" s="6"/>
      <c r="N359" s="6"/>
      <c r="O359" s="52"/>
      <c r="P359" s="475" t="s">
        <v>1808</v>
      </c>
      <c r="Q359" s="6"/>
      <c r="R359" s="291" t="s">
        <v>6668</v>
      </c>
      <c r="S359" s="6" t="s">
        <v>1824</v>
      </c>
      <c r="T359" s="54"/>
      <c r="U359" s="34"/>
    </row>
    <row r="360" spans="1:21" ht="25.5">
      <c r="A360" s="6">
        <v>2018</v>
      </c>
      <c r="B360" s="6" t="s">
        <v>1668</v>
      </c>
      <c r="C360" s="112" t="s">
        <v>61</v>
      </c>
      <c r="D360" s="34" t="s">
        <v>1500</v>
      </c>
      <c r="E360" s="34"/>
      <c r="F360" s="6" t="s">
        <v>1666</v>
      </c>
      <c r="G360" s="158" t="s">
        <v>1669</v>
      </c>
      <c r="H360" s="8">
        <v>200000</v>
      </c>
      <c r="I360" s="6"/>
      <c r="J360" s="6" t="s">
        <v>7201</v>
      </c>
      <c r="K360" s="6" t="s">
        <v>82</v>
      </c>
      <c r="L360" s="6" t="s">
        <v>6064</v>
      </c>
      <c r="M360" s="6"/>
      <c r="N360" s="158"/>
      <c r="O360" s="52"/>
      <c r="P360" s="475" t="s">
        <v>1808</v>
      </c>
      <c r="Q360" s="6"/>
      <c r="R360" s="297" t="s">
        <v>6670</v>
      </c>
      <c r="S360" s="6" t="s">
        <v>1824</v>
      </c>
      <c r="T360" s="54"/>
      <c r="U360" s="34"/>
    </row>
    <row r="361" spans="1:21" ht="25.5">
      <c r="A361" s="6">
        <v>2018</v>
      </c>
      <c r="B361" s="6" t="s">
        <v>1670</v>
      </c>
      <c r="C361" s="112" t="s">
        <v>61</v>
      </c>
      <c r="D361" s="34" t="s">
        <v>1500</v>
      </c>
      <c r="E361" s="34"/>
      <c r="F361" s="6" t="s">
        <v>1666</v>
      </c>
      <c r="G361" s="6" t="s">
        <v>1671</v>
      </c>
      <c r="H361" s="8">
        <v>200000</v>
      </c>
      <c r="I361" s="6"/>
      <c r="J361" s="6" t="s">
        <v>7204</v>
      </c>
      <c r="K361" s="6" t="s">
        <v>82</v>
      </c>
      <c r="L361" s="6" t="s">
        <v>6064</v>
      </c>
      <c r="M361" s="6"/>
      <c r="N361" s="6"/>
      <c r="O361" s="52"/>
      <c r="P361" s="475" t="s">
        <v>1808</v>
      </c>
      <c r="Q361" s="6"/>
      <c r="R361" s="291" t="s">
        <v>6672</v>
      </c>
      <c r="S361" s="6" t="s">
        <v>1824</v>
      </c>
      <c r="T361" s="54"/>
      <c r="U361" s="34"/>
    </row>
    <row r="362" spans="1:21" ht="38.25">
      <c r="A362" s="6">
        <v>2018</v>
      </c>
      <c r="B362" s="6" t="s">
        <v>1672</v>
      </c>
      <c r="C362" s="112" t="s">
        <v>61</v>
      </c>
      <c r="D362" s="34" t="s">
        <v>1500</v>
      </c>
      <c r="E362" s="34"/>
      <c r="F362" s="158" t="s">
        <v>1673</v>
      </c>
      <c r="G362" s="6" t="s">
        <v>707</v>
      </c>
      <c r="H362" s="8">
        <v>200000</v>
      </c>
      <c r="I362" s="6"/>
      <c r="J362" s="6" t="s">
        <v>2609</v>
      </c>
      <c r="K362" s="6" t="s">
        <v>82</v>
      </c>
      <c r="L362" s="6" t="s">
        <v>6064</v>
      </c>
      <c r="M362" s="158"/>
      <c r="N362" s="6"/>
      <c r="O362" s="52"/>
      <c r="P362" s="475" t="s">
        <v>1808</v>
      </c>
      <c r="Q362" s="172"/>
      <c r="R362" s="472" t="s">
        <v>6674</v>
      </c>
      <c r="S362" s="6" t="s">
        <v>1824</v>
      </c>
      <c r="T362" s="54"/>
      <c r="U362" s="34"/>
    </row>
    <row r="363" spans="1:21" ht="38.25">
      <c r="A363" s="6">
        <v>2018</v>
      </c>
      <c r="B363" s="6" t="s">
        <v>1674</v>
      </c>
      <c r="C363" s="112" t="s">
        <v>61</v>
      </c>
      <c r="D363" s="34" t="s">
        <v>1500</v>
      </c>
      <c r="E363" s="34"/>
      <c r="F363" s="6" t="s">
        <v>1675</v>
      </c>
      <c r="G363" s="6" t="s">
        <v>1502</v>
      </c>
      <c r="H363" s="8">
        <v>200000</v>
      </c>
      <c r="I363" s="6"/>
      <c r="J363" s="6" t="s">
        <v>2449</v>
      </c>
      <c r="K363" s="6" t="s">
        <v>82</v>
      </c>
      <c r="L363" s="6" t="s">
        <v>6064</v>
      </c>
      <c r="M363" s="6"/>
      <c r="N363" s="6"/>
      <c r="O363" s="52"/>
      <c r="P363" s="475" t="s">
        <v>1808</v>
      </c>
      <c r="Q363" s="6"/>
      <c r="R363" s="291" t="s">
        <v>6676</v>
      </c>
      <c r="S363" s="6" t="s">
        <v>1824</v>
      </c>
      <c r="T363" s="54"/>
      <c r="U363" s="34"/>
    </row>
    <row r="364" spans="1:21" ht="25.5">
      <c r="A364" s="6">
        <v>2018</v>
      </c>
      <c r="B364" s="6" t="s">
        <v>1676</v>
      </c>
      <c r="C364" s="112" t="s">
        <v>61</v>
      </c>
      <c r="D364" s="34" t="s">
        <v>1500</v>
      </c>
      <c r="E364" s="34"/>
      <c r="F364" s="6" t="s">
        <v>1677</v>
      </c>
      <c r="G364" s="6" t="s">
        <v>1389</v>
      </c>
      <c r="H364" s="8">
        <v>200000</v>
      </c>
      <c r="I364" s="6"/>
      <c r="J364" s="6" t="s">
        <v>2611</v>
      </c>
      <c r="K364" s="6" t="s">
        <v>82</v>
      </c>
      <c r="L364" s="6" t="s">
        <v>6064</v>
      </c>
      <c r="M364" s="6"/>
      <c r="N364" s="6"/>
      <c r="O364" s="52"/>
      <c r="P364" s="475" t="s">
        <v>1808</v>
      </c>
      <c r="Q364" s="6"/>
      <c r="R364" s="297" t="s">
        <v>6678</v>
      </c>
      <c r="S364" s="6" t="s">
        <v>1824</v>
      </c>
      <c r="T364" s="54"/>
      <c r="U364" s="34"/>
    </row>
    <row r="365" spans="1:21" ht="25.5">
      <c r="A365" s="6">
        <v>2018</v>
      </c>
      <c r="B365" s="6" t="s">
        <v>1678</v>
      </c>
      <c r="C365" s="112" t="s">
        <v>61</v>
      </c>
      <c r="D365" s="34" t="s">
        <v>1500</v>
      </c>
      <c r="E365" s="34"/>
      <c r="F365" s="6" t="s">
        <v>1679</v>
      </c>
      <c r="G365" s="6" t="s">
        <v>1680</v>
      </c>
      <c r="H365" s="8">
        <v>200000</v>
      </c>
      <c r="I365" s="6"/>
      <c r="J365" s="6" t="s">
        <v>2659</v>
      </c>
      <c r="K365" s="6" t="s">
        <v>82</v>
      </c>
      <c r="L365" s="6" t="s">
        <v>6064</v>
      </c>
      <c r="M365" s="6"/>
      <c r="N365" s="6"/>
      <c r="O365" s="52"/>
      <c r="P365" s="475" t="s">
        <v>1808</v>
      </c>
      <c r="Q365" s="6"/>
      <c r="R365" s="291" t="s">
        <v>6680</v>
      </c>
      <c r="S365" s="6" t="s">
        <v>1824</v>
      </c>
      <c r="T365" s="54"/>
      <c r="U365" s="34"/>
    </row>
    <row r="366" spans="1:21" ht="51">
      <c r="A366" s="6">
        <v>2018</v>
      </c>
      <c r="B366" s="6" t="s">
        <v>1246</v>
      </c>
      <c r="C366" s="112" t="s">
        <v>61</v>
      </c>
      <c r="D366" s="34" t="s">
        <v>62</v>
      </c>
      <c r="E366" s="34"/>
      <c r="F366" s="6" t="s">
        <v>1247</v>
      </c>
      <c r="G366" s="6" t="s">
        <v>2703</v>
      </c>
      <c r="H366" s="8">
        <v>1170000</v>
      </c>
      <c r="I366" s="160" t="s">
        <v>2704</v>
      </c>
      <c r="J366" s="6" t="s">
        <v>2449</v>
      </c>
      <c r="K366" s="6" t="s">
        <v>1231</v>
      </c>
      <c r="L366" s="6" t="s">
        <v>6217</v>
      </c>
      <c r="M366" s="6"/>
      <c r="N366" s="6"/>
      <c r="O366" s="52"/>
      <c r="P366" s="6" t="s">
        <v>6132</v>
      </c>
      <c r="Q366" s="6"/>
      <c r="R366" s="291" t="s">
        <v>6682</v>
      </c>
      <c r="S366" s="6" t="s">
        <v>1824</v>
      </c>
      <c r="T366" s="54"/>
      <c r="U366" s="398"/>
    </row>
    <row r="367" spans="1:21" ht="38.25">
      <c r="A367" s="6">
        <v>2018</v>
      </c>
      <c r="B367" s="6" t="s">
        <v>1249</v>
      </c>
      <c r="C367" s="112" t="s">
        <v>61</v>
      </c>
      <c r="D367" s="34" t="s">
        <v>62</v>
      </c>
      <c r="E367" s="34"/>
      <c r="F367" s="6" t="s">
        <v>1250</v>
      </c>
      <c r="G367" s="6" t="s">
        <v>2705</v>
      </c>
      <c r="H367" s="8">
        <v>869853.5</v>
      </c>
      <c r="I367" s="6" t="s">
        <v>2706</v>
      </c>
      <c r="J367" s="6" t="s">
        <v>2449</v>
      </c>
      <c r="K367" s="6" t="s">
        <v>1231</v>
      </c>
      <c r="L367" s="6" t="s">
        <v>6170</v>
      </c>
      <c r="M367" s="6"/>
      <c r="N367" s="6"/>
      <c r="O367" s="52"/>
      <c r="P367" s="6" t="s">
        <v>6132</v>
      </c>
      <c r="Q367" s="6"/>
      <c r="R367" s="297" t="s">
        <v>6684</v>
      </c>
      <c r="S367" s="6"/>
      <c r="T367" s="54"/>
      <c r="U367" s="34"/>
    </row>
    <row r="368" spans="1:21" ht="38.25">
      <c r="A368" s="6">
        <v>2018</v>
      </c>
      <c r="B368" s="6" t="s">
        <v>1681</v>
      </c>
      <c r="C368" s="112" t="s">
        <v>61</v>
      </c>
      <c r="D368" s="34" t="s">
        <v>1500</v>
      </c>
      <c r="E368" s="34"/>
      <c r="F368" s="6" t="s">
        <v>1682</v>
      </c>
      <c r="G368" s="6" t="s">
        <v>1683</v>
      </c>
      <c r="H368" s="8">
        <v>200000</v>
      </c>
      <c r="I368" s="6" t="s">
        <v>2508</v>
      </c>
      <c r="J368" s="6" t="s">
        <v>1828</v>
      </c>
      <c r="K368" s="6" t="s">
        <v>82</v>
      </c>
      <c r="L368" s="6" t="s">
        <v>6064</v>
      </c>
      <c r="M368" s="6"/>
      <c r="N368" s="6"/>
      <c r="O368" s="52"/>
      <c r="P368" s="475" t="s">
        <v>1808</v>
      </c>
      <c r="Q368" s="6"/>
      <c r="R368" s="291" t="s">
        <v>6686</v>
      </c>
      <c r="S368" s="6" t="s">
        <v>1824</v>
      </c>
      <c r="T368" s="54"/>
      <c r="U368" s="34"/>
    </row>
    <row r="369" spans="1:21" ht="51">
      <c r="A369" s="6">
        <v>2018</v>
      </c>
      <c r="B369" s="6" t="s">
        <v>1684</v>
      </c>
      <c r="C369" s="112" t="s">
        <v>61</v>
      </c>
      <c r="D369" s="34" t="s">
        <v>1500</v>
      </c>
      <c r="E369" s="34"/>
      <c r="F369" s="6" t="s">
        <v>1685</v>
      </c>
      <c r="G369" s="6" t="s">
        <v>2707</v>
      </c>
      <c r="H369" s="8">
        <v>200000</v>
      </c>
      <c r="I369" s="160" t="s">
        <v>2708</v>
      </c>
      <c r="J369" s="6" t="s">
        <v>2656</v>
      </c>
      <c r="K369" s="6" t="s">
        <v>82</v>
      </c>
      <c r="L369" s="6" t="s">
        <v>6064</v>
      </c>
      <c r="M369" s="6"/>
      <c r="N369" s="6"/>
      <c r="O369" s="52"/>
      <c r="P369" s="475" t="s">
        <v>1808</v>
      </c>
      <c r="Q369" s="6"/>
      <c r="R369" s="291" t="s">
        <v>6688</v>
      </c>
      <c r="S369" s="6"/>
      <c r="T369" s="54"/>
      <c r="U369" s="398"/>
    </row>
    <row r="370" spans="1:21" ht="25.5">
      <c r="A370" s="6">
        <v>2018</v>
      </c>
      <c r="B370" s="6" t="s">
        <v>1687</v>
      </c>
      <c r="C370" s="112" t="s">
        <v>61</v>
      </c>
      <c r="D370" s="34" t="s">
        <v>1500</v>
      </c>
      <c r="E370" s="34"/>
      <c r="F370" s="6" t="s">
        <v>1688</v>
      </c>
      <c r="G370" s="6" t="s">
        <v>1689</v>
      </c>
      <c r="H370" s="8">
        <v>200000</v>
      </c>
      <c r="I370" s="6" t="s">
        <v>1938</v>
      </c>
      <c r="J370" s="6" t="s">
        <v>1828</v>
      </c>
      <c r="K370" s="6" t="s">
        <v>82</v>
      </c>
      <c r="L370" s="6" t="s">
        <v>6064</v>
      </c>
      <c r="M370" s="6"/>
      <c r="N370" s="6"/>
      <c r="O370" s="52"/>
      <c r="P370" s="475" t="s">
        <v>1808</v>
      </c>
      <c r="Q370" s="6"/>
      <c r="R370" s="291" t="s">
        <v>6690</v>
      </c>
      <c r="S370" s="6" t="s">
        <v>1824</v>
      </c>
      <c r="T370" s="54"/>
      <c r="U370" s="34"/>
    </row>
    <row r="371" spans="1:21" ht="25.5">
      <c r="A371" s="6">
        <v>2018</v>
      </c>
      <c r="B371" s="6" t="s">
        <v>1690</v>
      </c>
      <c r="C371" s="112" t="s">
        <v>61</v>
      </c>
      <c r="D371" s="34" t="s">
        <v>1500</v>
      </c>
      <c r="E371" s="34"/>
      <c r="F371" s="6" t="s">
        <v>1691</v>
      </c>
      <c r="G371" s="6" t="s">
        <v>1692</v>
      </c>
      <c r="H371" s="8">
        <v>200000</v>
      </c>
      <c r="I371" s="6" t="s">
        <v>2508</v>
      </c>
      <c r="J371" s="6" t="s">
        <v>1828</v>
      </c>
      <c r="K371" s="6" t="s">
        <v>82</v>
      </c>
      <c r="L371" s="6" t="s">
        <v>6064</v>
      </c>
      <c r="M371" s="6"/>
      <c r="N371" s="6"/>
      <c r="O371" s="52"/>
      <c r="P371" s="475" t="s">
        <v>1808</v>
      </c>
      <c r="Q371" s="6"/>
      <c r="R371" s="297" t="s">
        <v>6692</v>
      </c>
      <c r="S371" s="6" t="s">
        <v>1824</v>
      </c>
      <c r="T371" s="54"/>
      <c r="U371" s="34"/>
    </row>
    <row r="372" spans="1:21" ht="51">
      <c r="A372" s="6">
        <v>2018</v>
      </c>
      <c r="B372" s="6" t="s">
        <v>1693</v>
      </c>
      <c r="C372" s="112" t="s">
        <v>61</v>
      </c>
      <c r="D372" s="34" t="s">
        <v>1500</v>
      </c>
      <c r="E372" s="34"/>
      <c r="F372" s="6" t="s">
        <v>1694</v>
      </c>
      <c r="G372" s="6" t="s">
        <v>2709</v>
      </c>
      <c r="H372" s="8">
        <v>200000</v>
      </c>
      <c r="I372" s="6" t="s">
        <v>2508</v>
      </c>
      <c r="J372" s="6" t="s">
        <v>1828</v>
      </c>
      <c r="K372" s="6" t="s">
        <v>82</v>
      </c>
      <c r="L372" s="6" t="s">
        <v>6071</v>
      </c>
      <c r="M372" s="6"/>
      <c r="N372" s="6"/>
      <c r="O372" s="52"/>
      <c r="P372" s="475" t="s">
        <v>1808</v>
      </c>
      <c r="Q372" s="6"/>
      <c r="R372" s="297" t="s">
        <v>6694</v>
      </c>
      <c r="S372" s="6" t="s">
        <v>1824</v>
      </c>
      <c r="T372" s="54"/>
      <c r="U372" s="34"/>
    </row>
    <row r="373" spans="1:21" ht="38.25">
      <c r="A373" s="6">
        <v>2018</v>
      </c>
      <c r="B373" s="6" t="s">
        <v>1696</v>
      </c>
      <c r="C373" s="112" t="s">
        <v>61</v>
      </c>
      <c r="D373" s="34" t="s">
        <v>1500</v>
      </c>
      <c r="E373" s="34"/>
      <c r="F373" s="6" t="s">
        <v>1697</v>
      </c>
      <c r="G373" s="6" t="s">
        <v>1698</v>
      </c>
      <c r="H373" s="8">
        <v>200000</v>
      </c>
      <c r="I373" s="6" t="s">
        <v>2508</v>
      </c>
      <c r="J373" s="6" t="s">
        <v>1828</v>
      </c>
      <c r="K373" s="6" t="s">
        <v>82</v>
      </c>
      <c r="L373" s="6" t="s">
        <v>6071</v>
      </c>
      <c r="M373" s="6"/>
      <c r="N373" s="6"/>
      <c r="O373" s="52"/>
      <c r="P373" s="475" t="s">
        <v>1808</v>
      </c>
      <c r="Q373" s="6"/>
      <c r="R373" s="291" t="s">
        <v>6696</v>
      </c>
      <c r="S373" s="6" t="s">
        <v>1824</v>
      </c>
      <c r="T373" s="54"/>
      <c r="U373" s="34"/>
    </row>
    <row r="374" spans="1:21" ht="38.25">
      <c r="A374" s="6">
        <v>2018</v>
      </c>
      <c r="B374" s="6" t="s">
        <v>1699</v>
      </c>
      <c r="C374" s="112" t="s">
        <v>61</v>
      </c>
      <c r="D374" s="34" t="s">
        <v>1500</v>
      </c>
      <c r="E374" s="34"/>
      <c r="F374" s="6" t="s">
        <v>1700</v>
      </c>
      <c r="G374" s="6" t="s">
        <v>1701</v>
      </c>
      <c r="H374" s="8">
        <v>200000</v>
      </c>
      <c r="I374" s="6"/>
      <c r="J374" s="6"/>
      <c r="K374" s="6" t="s">
        <v>82</v>
      </c>
      <c r="L374" s="6" t="s">
        <v>6064</v>
      </c>
      <c r="M374" s="6"/>
      <c r="N374" s="6"/>
      <c r="O374" s="52"/>
      <c r="P374" s="475" t="s">
        <v>1808</v>
      </c>
      <c r="Q374" s="6"/>
      <c r="R374" s="297" t="s">
        <v>6699</v>
      </c>
      <c r="S374" s="6"/>
      <c r="T374" s="54"/>
      <c r="U374" s="34"/>
    </row>
    <row r="375" spans="1:21" ht="25.5">
      <c r="A375" s="6">
        <v>2018</v>
      </c>
      <c r="B375" s="6" t="s">
        <v>1702</v>
      </c>
      <c r="C375" s="112" t="s">
        <v>61</v>
      </c>
      <c r="D375" s="34" t="s">
        <v>1500</v>
      </c>
      <c r="E375" s="34"/>
      <c r="F375" s="6" t="s">
        <v>1703</v>
      </c>
      <c r="G375" s="6" t="s">
        <v>1611</v>
      </c>
      <c r="H375" s="8">
        <v>750000</v>
      </c>
      <c r="I375" s="6" t="s">
        <v>2508</v>
      </c>
      <c r="J375" s="6" t="s">
        <v>1828</v>
      </c>
      <c r="K375" s="6" t="s">
        <v>82</v>
      </c>
      <c r="L375" s="6" t="s">
        <v>6703</v>
      </c>
      <c r="M375" s="6"/>
      <c r="N375" s="6"/>
      <c r="O375" s="52"/>
      <c r="P375" s="475" t="s">
        <v>1808</v>
      </c>
      <c r="Q375" s="6"/>
      <c r="R375" s="297" t="s">
        <v>6701</v>
      </c>
      <c r="S375" s="6" t="s">
        <v>1824</v>
      </c>
      <c r="T375" s="54"/>
      <c r="U375" s="34"/>
    </row>
    <row r="376" spans="1:21" ht="25.5">
      <c r="A376" s="6">
        <v>2018</v>
      </c>
      <c r="B376" s="6" t="s">
        <v>960</v>
      </c>
      <c r="C376" s="112" t="s">
        <v>61</v>
      </c>
      <c r="D376" s="34" t="s">
        <v>1500</v>
      </c>
      <c r="E376" s="34"/>
      <c r="F376" s="6" t="s">
        <v>1704</v>
      </c>
      <c r="G376" s="6" t="s">
        <v>1705</v>
      </c>
      <c r="H376" s="8">
        <v>750000</v>
      </c>
      <c r="I376" s="6" t="s">
        <v>2508</v>
      </c>
      <c r="J376" s="6" t="s">
        <v>1828</v>
      </c>
      <c r="K376" s="6" t="s">
        <v>82</v>
      </c>
      <c r="L376" s="6" t="s">
        <v>6703</v>
      </c>
      <c r="M376" s="6"/>
      <c r="N376" s="6"/>
      <c r="O376" s="52"/>
      <c r="P376" s="475" t="s">
        <v>1808</v>
      </c>
      <c r="Q376" s="6"/>
      <c r="R376" s="291" t="s">
        <v>6704</v>
      </c>
      <c r="S376" s="6" t="s">
        <v>1824</v>
      </c>
      <c r="T376" s="54"/>
      <c r="U376" s="34"/>
    </row>
    <row r="377" spans="1:21" ht="63.75">
      <c r="A377" s="6">
        <v>2018</v>
      </c>
      <c r="B377" s="6" t="s">
        <v>1706</v>
      </c>
      <c r="C377" s="112" t="s">
        <v>61</v>
      </c>
      <c r="D377" s="34" t="s">
        <v>1500</v>
      </c>
      <c r="E377" s="34"/>
      <c r="F377" s="6" t="s">
        <v>2710</v>
      </c>
      <c r="G377" s="6" t="s">
        <v>1708</v>
      </c>
      <c r="H377" s="8">
        <v>1500000</v>
      </c>
      <c r="I377" s="6" t="s">
        <v>2508</v>
      </c>
      <c r="J377" s="6" t="s">
        <v>1828</v>
      </c>
      <c r="K377" s="6" t="s">
        <v>82</v>
      </c>
      <c r="L377" s="6" t="s">
        <v>6137</v>
      </c>
      <c r="M377" s="6"/>
      <c r="N377" s="6"/>
      <c r="O377" s="52"/>
      <c r="P377" s="475" t="s">
        <v>1808</v>
      </c>
      <c r="Q377" s="6"/>
      <c r="R377" s="297" t="s">
        <v>6706</v>
      </c>
      <c r="S377" s="6" t="s">
        <v>1824</v>
      </c>
      <c r="T377" s="54"/>
      <c r="U377" s="34"/>
    </row>
    <row r="378" spans="1:21" ht="25.5">
      <c r="A378" s="6">
        <v>2018</v>
      </c>
      <c r="B378" s="6" t="s">
        <v>1709</v>
      </c>
      <c r="C378" s="112" t="s">
        <v>61</v>
      </c>
      <c r="D378" s="34" t="s">
        <v>1500</v>
      </c>
      <c r="E378" s="34"/>
      <c r="F378" s="6" t="s">
        <v>1710</v>
      </c>
      <c r="G378" s="6" t="s">
        <v>1711</v>
      </c>
      <c r="H378" s="8">
        <v>200000</v>
      </c>
      <c r="I378" s="6" t="s">
        <v>1938</v>
      </c>
      <c r="J378" s="6" t="s">
        <v>1828</v>
      </c>
      <c r="K378" s="6" t="s">
        <v>82</v>
      </c>
      <c r="L378" s="6" t="s">
        <v>6064</v>
      </c>
      <c r="M378" s="6"/>
      <c r="N378" s="6"/>
      <c r="O378" s="52"/>
      <c r="P378" s="475" t="s">
        <v>1808</v>
      </c>
      <c r="Q378" s="6"/>
      <c r="R378" s="297" t="s">
        <v>6708</v>
      </c>
      <c r="S378" s="6" t="s">
        <v>1824</v>
      </c>
      <c r="T378" s="54"/>
      <c r="U378" s="34"/>
    </row>
    <row r="379" spans="1:21" ht="38.25">
      <c r="A379" s="6">
        <v>2018</v>
      </c>
      <c r="B379" s="6" t="s">
        <v>1712</v>
      </c>
      <c r="C379" s="112" t="s">
        <v>61</v>
      </c>
      <c r="D379" s="34" t="s">
        <v>1500</v>
      </c>
      <c r="E379" s="34"/>
      <c r="F379" s="6" t="s">
        <v>1713</v>
      </c>
      <c r="G379" s="6" t="s">
        <v>2711</v>
      </c>
      <c r="H379" s="8">
        <v>200000</v>
      </c>
      <c r="I379" s="160" t="s">
        <v>2712</v>
      </c>
      <c r="J379" s="6" t="s">
        <v>2460</v>
      </c>
      <c r="K379" s="6" t="s">
        <v>82</v>
      </c>
      <c r="L379" s="6" t="s">
        <v>6064</v>
      </c>
      <c r="M379" s="6"/>
      <c r="N379" s="6"/>
      <c r="O379" s="52"/>
      <c r="P379" s="475" t="s">
        <v>1808</v>
      </c>
      <c r="Q379" s="6"/>
      <c r="R379" s="291" t="s">
        <v>6710</v>
      </c>
      <c r="S379" s="6"/>
      <c r="T379" s="54"/>
      <c r="U379" s="398"/>
    </row>
    <row r="380" spans="1:21" ht="38.25">
      <c r="A380" s="6">
        <v>2018</v>
      </c>
      <c r="B380" s="6" t="s">
        <v>1714</v>
      </c>
      <c r="C380" s="112" t="s">
        <v>61</v>
      </c>
      <c r="D380" s="34" t="s">
        <v>1500</v>
      </c>
      <c r="E380" s="34"/>
      <c r="F380" s="6" t="s">
        <v>1715</v>
      </c>
      <c r="G380" s="6" t="s">
        <v>2713</v>
      </c>
      <c r="H380" s="8">
        <v>200000</v>
      </c>
      <c r="I380" s="160" t="s">
        <v>2714</v>
      </c>
      <c r="J380" s="6" t="s">
        <v>1879</v>
      </c>
      <c r="K380" s="6" t="s">
        <v>82</v>
      </c>
      <c r="L380" s="6" t="s">
        <v>6064</v>
      </c>
      <c r="M380" s="6"/>
      <c r="N380" s="6"/>
      <c r="O380" s="52"/>
      <c r="P380" s="475" t="s">
        <v>1808</v>
      </c>
      <c r="Q380" s="6"/>
      <c r="R380" s="291" t="s">
        <v>6712</v>
      </c>
      <c r="S380" s="6"/>
      <c r="T380" s="54"/>
      <c r="U380" s="398"/>
    </row>
    <row r="381" spans="1:21" ht="51">
      <c r="A381" s="6">
        <v>2018</v>
      </c>
      <c r="B381" s="6" t="s">
        <v>1716</v>
      </c>
      <c r="C381" s="112" t="s">
        <v>61</v>
      </c>
      <c r="D381" s="34" t="s">
        <v>1500</v>
      </c>
      <c r="E381" s="34"/>
      <c r="F381" s="6" t="s">
        <v>1717</v>
      </c>
      <c r="G381" s="6" t="s">
        <v>2715</v>
      </c>
      <c r="H381" s="8">
        <v>200000</v>
      </c>
      <c r="I381" s="160" t="s">
        <v>2716</v>
      </c>
      <c r="J381" s="6" t="s">
        <v>6783</v>
      </c>
      <c r="K381" s="6" t="s">
        <v>82</v>
      </c>
      <c r="L381" s="6" t="s">
        <v>6064</v>
      </c>
      <c r="M381" s="6"/>
      <c r="N381" s="6"/>
      <c r="O381" s="52"/>
      <c r="P381" s="475" t="s">
        <v>1808</v>
      </c>
      <c r="Q381" s="6"/>
      <c r="R381" s="297" t="s">
        <v>6714</v>
      </c>
      <c r="S381" s="6"/>
      <c r="T381" s="54"/>
      <c r="U381" s="398"/>
    </row>
    <row r="382" spans="1:21" ht="25.5">
      <c r="A382" s="6">
        <v>2018</v>
      </c>
      <c r="B382" s="6" t="s">
        <v>1718</v>
      </c>
      <c r="C382" s="112" t="s">
        <v>61</v>
      </c>
      <c r="D382" s="34" t="s">
        <v>1500</v>
      </c>
      <c r="E382" s="34"/>
      <c r="F382" s="6" t="s">
        <v>1719</v>
      </c>
      <c r="G382" s="6" t="s">
        <v>2717</v>
      </c>
      <c r="H382" s="8">
        <v>200000</v>
      </c>
      <c r="I382" s="160" t="s">
        <v>2718</v>
      </c>
      <c r="J382" s="6" t="s">
        <v>6822</v>
      </c>
      <c r="K382" s="6" t="s">
        <v>82</v>
      </c>
      <c r="L382" s="6" t="s">
        <v>6064</v>
      </c>
      <c r="M382" s="6"/>
      <c r="N382" s="6"/>
      <c r="O382" s="52"/>
      <c r="P382" s="475" t="s">
        <v>1808</v>
      </c>
      <c r="Q382" s="6"/>
      <c r="R382" s="291" t="s">
        <v>6716</v>
      </c>
      <c r="S382" s="6"/>
      <c r="T382" s="54"/>
      <c r="U382" s="398"/>
    </row>
    <row r="383" spans="1:21" ht="25.5">
      <c r="A383" s="6">
        <v>2018</v>
      </c>
      <c r="B383" s="6" t="s">
        <v>1720</v>
      </c>
      <c r="C383" s="112" t="s">
        <v>61</v>
      </c>
      <c r="D383" s="34" t="s">
        <v>1500</v>
      </c>
      <c r="E383" s="34"/>
      <c r="F383" s="6" t="s">
        <v>1721</v>
      </c>
      <c r="G383" s="6" t="s">
        <v>2719</v>
      </c>
      <c r="H383" s="8">
        <v>200000</v>
      </c>
      <c r="I383" s="160" t="s">
        <v>2720</v>
      </c>
      <c r="J383" s="160" t="s">
        <v>2613</v>
      </c>
      <c r="K383" s="6" t="s">
        <v>82</v>
      </c>
      <c r="L383" s="6" t="s">
        <v>6064</v>
      </c>
      <c r="M383" s="6"/>
      <c r="N383" s="6"/>
      <c r="O383" s="52"/>
      <c r="P383" s="475" t="s">
        <v>1808</v>
      </c>
      <c r="Q383" s="6"/>
      <c r="R383" s="297" t="s">
        <v>6718</v>
      </c>
      <c r="S383" s="6"/>
      <c r="T383" s="54"/>
      <c r="U383" s="398"/>
    </row>
    <row r="384" spans="1:21" ht="25.5">
      <c r="A384" s="6">
        <v>2018</v>
      </c>
      <c r="B384" s="6" t="s">
        <v>1723</v>
      </c>
      <c r="C384" s="112" t="s">
        <v>61</v>
      </c>
      <c r="D384" s="34" t="s">
        <v>1500</v>
      </c>
      <c r="E384" s="34"/>
      <c r="F384" s="6" t="s">
        <v>1724</v>
      </c>
      <c r="G384" s="6" t="s">
        <v>2721</v>
      </c>
      <c r="H384" s="8">
        <v>220000</v>
      </c>
      <c r="I384" s="160" t="s">
        <v>2722</v>
      </c>
      <c r="J384" s="6" t="s">
        <v>2609</v>
      </c>
      <c r="K384" s="6" t="s">
        <v>82</v>
      </c>
      <c r="L384" s="6" t="s">
        <v>6217</v>
      </c>
      <c r="M384" s="6"/>
      <c r="N384" s="6"/>
      <c r="O384" s="52"/>
      <c r="P384" s="475" t="s">
        <v>1808</v>
      </c>
      <c r="Q384" s="6"/>
      <c r="R384" s="297" t="s">
        <v>6720</v>
      </c>
      <c r="S384" s="6"/>
      <c r="T384" s="54"/>
      <c r="U384" s="398"/>
    </row>
    <row r="385" spans="1:21" ht="63.75">
      <c r="A385" s="6">
        <v>2018</v>
      </c>
      <c r="B385" s="6" t="s">
        <v>930</v>
      </c>
      <c r="C385" s="112" t="s">
        <v>61</v>
      </c>
      <c r="D385" s="6" t="s">
        <v>68</v>
      </c>
      <c r="E385" s="6"/>
      <c r="F385" s="6" t="s">
        <v>2745</v>
      </c>
      <c r="G385" s="6" t="s">
        <v>2746</v>
      </c>
      <c r="H385" s="8">
        <v>988050</v>
      </c>
      <c r="I385" s="160" t="s">
        <v>2747</v>
      </c>
      <c r="J385" s="6" t="s">
        <v>2460</v>
      </c>
      <c r="K385" s="6" t="s">
        <v>1874</v>
      </c>
      <c r="L385" s="6" t="s">
        <v>6104</v>
      </c>
      <c r="M385" s="6"/>
      <c r="N385" s="6"/>
      <c r="O385" s="52"/>
      <c r="P385" s="6" t="s">
        <v>6132</v>
      </c>
      <c r="Q385" s="6"/>
      <c r="R385" s="297" t="s">
        <v>6734</v>
      </c>
      <c r="S385" s="6"/>
      <c r="T385" s="54"/>
      <c r="U385" s="160"/>
    </row>
    <row r="386" spans="1:21" ht="51">
      <c r="A386" s="6">
        <v>2018</v>
      </c>
      <c r="B386" s="6" t="s">
        <v>1252</v>
      </c>
      <c r="C386" s="112" t="s">
        <v>61</v>
      </c>
      <c r="D386" s="34" t="s">
        <v>62</v>
      </c>
      <c r="E386" s="34"/>
      <c r="F386" s="6" t="s">
        <v>1253</v>
      </c>
      <c r="G386" s="6" t="s">
        <v>2748</v>
      </c>
      <c r="H386" s="8">
        <v>1405331.54</v>
      </c>
      <c r="I386" s="160" t="s">
        <v>2749</v>
      </c>
      <c r="J386" s="6" t="s">
        <v>2656</v>
      </c>
      <c r="K386" s="6"/>
      <c r="L386" s="6" t="s">
        <v>6170</v>
      </c>
      <c r="M386" s="6"/>
      <c r="N386" s="6"/>
      <c r="O386" s="52"/>
      <c r="P386" s="6" t="s">
        <v>6132</v>
      </c>
      <c r="Q386" s="6"/>
      <c r="R386" s="297" t="s">
        <v>6736</v>
      </c>
      <c r="S386" s="6"/>
      <c r="T386" s="54"/>
      <c r="U386" s="398"/>
    </row>
    <row r="387" spans="1:21" ht="51">
      <c r="A387" s="6">
        <v>2018</v>
      </c>
      <c r="B387" s="6" t="s">
        <v>1726</v>
      </c>
      <c r="C387" s="112" t="s">
        <v>61</v>
      </c>
      <c r="D387" s="34" t="s">
        <v>1500</v>
      </c>
      <c r="E387" s="34"/>
      <c r="F387" s="6" t="s">
        <v>1727</v>
      </c>
      <c r="G387" s="6" t="s">
        <v>1728</v>
      </c>
      <c r="H387" s="8">
        <v>200000</v>
      </c>
      <c r="I387" s="6" t="s">
        <v>2508</v>
      </c>
      <c r="J387" s="6" t="s">
        <v>1828</v>
      </c>
      <c r="K387" s="6" t="s">
        <v>82</v>
      </c>
      <c r="L387" s="6" t="s">
        <v>6064</v>
      </c>
      <c r="M387" s="6"/>
      <c r="N387" s="6"/>
      <c r="O387" s="52"/>
      <c r="P387" s="475" t="s">
        <v>1808</v>
      </c>
      <c r="Q387" s="6"/>
      <c r="R387" s="291" t="s">
        <v>6738</v>
      </c>
      <c r="S387" s="6" t="s">
        <v>1824</v>
      </c>
      <c r="T387" s="54"/>
      <c r="U387" s="34"/>
    </row>
    <row r="388" spans="1:21" ht="51">
      <c r="A388" s="6">
        <v>2018</v>
      </c>
      <c r="B388" s="6" t="s">
        <v>1255</v>
      </c>
      <c r="C388" s="112" t="s">
        <v>61</v>
      </c>
      <c r="D388" s="34" t="s">
        <v>62</v>
      </c>
      <c r="E388" s="34"/>
      <c r="F388" s="6" t="s">
        <v>1256</v>
      </c>
      <c r="G388" s="6" t="s">
        <v>2750</v>
      </c>
      <c r="H388" s="8">
        <v>493709</v>
      </c>
      <c r="I388" s="160" t="s">
        <v>2751</v>
      </c>
      <c r="J388" s="6" t="s">
        <v>2656</v>
      </c>
      <c r="K388" s="6"/>
      <c r="L388" s="6" t="s">
        <v>6137</v>
      </c>
      <c r="M388" s="6"/>
      <c r="N388" s="6"/>
      <c r="O388" s="52"/>
      <c r="P388" s="6" t="s">
        <v>6132</v>
      </c>
      <c r="Q388" s="6"/>
      <c r="R388" s="297" t="s">
        <v>6740</v>
      </c>
      <c r="S388" s="6"/>
      <c r="T388" s="54"/>
      <c r="U388" s="398"/>
    </row>
    <row r="389" spans="1:21" ht="38.25">
      <c r="A389" s="6">
        <v>2018</v>
      </c>
      <c r="B389" s="6" t="s">
        <v>2752</v>
      </c>
      <c r="C389" s="112" t="s">
        <v>61</v>
      </c>
      <c r="D389" s="54" t="s">
        <v>3335</v>
      </c>
      <c r="E389" s="54"/>
      <c r="F389" s="6" t="s">
        <v>2753</v>
      </c>
      <c r="G389" s="6" t="s">
        <v>2319</v>
      </c>
      <c r="H389" s="8">
        <v>3621100</v>
      </c>
      <c r="I389" s="6" t="s">
        <v>1938</v>
      </c>
      <c r="J389" s="6" t="s">
        <v>1828</v>
      </c>
      <c r="K389" s="6" t="s">
        <v>82</v>
      </c>
      <c r="L389" s="6" t="s">
        <v>6064</v>
      </c>
      <c r="M389" s="6"/>
      <c r="N389" s="6"/>
      <c r="O389" s="52"/>
      <c r="P389" s="475" t="s">
        <v>1808</v>
      </c>
      <c r="Q389" s="6"/>
      <c r="R389" s="297" t="s">
        <v>6742</v>
      </c>
      <c r="S389" s="6" t="s">
        <v>1824</v>
      </c>
      <c r="T389" s="54"/>
      <c r="U389" s="6"/>
    </row>
    <row r="390" spans="1:21" ht="38.25">
      <c r="A390" s="6">
        <v>2018</v>
      </c>
      <c r="B390" s="6" t="s">
        <v>1258</v>
      </c>
      <c r="C390" s="112" t="s">
        <v>61</v>
      </c>
      <c r="D390" s="34" t="s">
        <v>62</v>
      </c>
      <c r="E390" s="34"/>
      <c r="F390" s="6" t="s">
        <v>1259</v>
      </c>
      <c r="G390" s="6" t="s">
        <v>2754</v>
      </c>
      <c r="H390" s="8">
        <v>594944</v>
      </c>
      <c r="I390" s="160" t="s">
        <v>2755</v>
      </c>
      <c r="J390" s="6" t="s">
        <v>2467</v>
      </c>
      <c r="K390" s="6" t="s">
        <v>1904</v>
      </c>
      <c r="L390" s="6" t="s">
        <v>6170</v>
      </c>
      <c r="M390" s="6"/>
      <c r="N390" s="6"/>
      <c r="O390" s="52"/>
      <c r="P390" s="6" t="s">
        <v>6179</v>
      </c>
      <c r="Q390" s="6"/>
      <c r="R390" s="297" t="s">
        <v>6744</v>
      </c>
      <c r="S390" s="6"/>
      <c r="T390" s="54"/>
      <c r="U390" s="398"/>
    </row>
    <row r="391" spans="1:21" ht="51">
      <c r="A391" s="6">
        <v>2018</v>
      </c>
      <c r="B391" s="6" t="s">
        <v>1261</v>
      </c>
      <c r="C391" s="112" t="s">
        <v>61</v>
      </c>
      <c r="D391" s="6" t="s">
        <v>1262</v>
      </c>
      <c r="E391" s="6"/>
      <c r="F391" s="6" t="s">
        <v>1263</v>
      </c>
      <c r="G391" s="6" t="s">
        <v>2780</v>
      </c>
      <c r="H391" s="8">
        <v>1094960</v>
      </c>
      <c r="I391" s="160" t="s">
        <v>2781</v>
      </c>
      <c r="J391" s="6" t="s">
        <v>1828</v>
      </c>
      <c r="K391" s="6"/>
      <c r="L391" s="6" t="s">
        <v>6092</v>
      </c>
      <c r="M391" s="6"/>
      <c r="N391" s="6"/>
      <c r="O391" s="52"/>
      <c r="P391" s="6" t="s">
        <v>6132</v>
      </c>
      <c r="Q391" s="6"/>
      <c r="R391" s="297" t="s">
        <v>6758</v>
      </c>
      <c r="S391" s="6"/>
      <c r="T391" s="54"/>
      <c r="U391" s="160"/>
    </row>
    <row r="392" spans="1:21" ht="38.25">
      <c r="A392" s="6">
        <v>2018</v>
      </c>
      <c r="B392" s="6" t="s">
        <v>1265</v>
      </c>
      <c r="C392" s="112" t="s">
        <v>61</v>
      </c>
      <c r="D392" s="6" t="s">
        <v>1262</v>
      </c>
      <c r="E392" s="6"/>
      <c r="F392" s="6" t="s">
        <v>1266</v>
      </c>
      <c r="G392" s="6" t="s">
        <v>2782</v>
      </c>
      <c r="H392" s="8">
        <v>672600</v>
      </c>
      <c r="I392" s="160" t="s">
        <v>2783</v>
      </c>
      <c r="J392" s="6" t="s">
        <v>1828</v>
      </c>
      <c r="K392" s="6"/>
      <c r="L392" s="6" t="s">
        <v>6092</v>
      </c>
      <c r="M392" s="6"/>
      <c r="N392" s="6"/>
      <c r="O392" s="52"/>
      <c r="P392" s="6" t="s">
        <v>6132</v>
      </c>
      <c r="Q392" s="6"/>
      <c r="R392" s="297" t="s">
        <v>6760</v>
      </c>
      <c r="S392" s="6"/>
      <c r="T392" s="54"/>
      <c r="U392" s="160"/>
    </row>
    <row r="393" spans="1:21" ht="38.25">
      <c r="A393" s="6">
        <v>2018</v>
      </c>
      <c r="B393" s="6" t="s">
        <v>1268</v>
      </c>
      <c r="C393" s="112" t="s">
        <v>61</v>
      </c>
      <c r="D393" s="6" t="s">
        <v>1262</v>
      </c>
      <c r="E393" s="6"/>
      <c r="F393" s="6" t="s">
        <v>1269</v>
      </c>
      <c r="G393" s="6" t="s">
        <v>2784</v>
      </c>
      <c r="H393" s="8">
        <v>831690</v>
      </c>
      <c r="I393" s="160" t="s">
        <v>2785</v>
      </c>
      <c r="J393" s="6" t="s">
        <v>1828</v>
      </c>
      <c r="K393" s="6"/>
      <c r="L393" s="6" t="s">
        <v>6137</v>
      </c>
      <c r="M393" s="6"/>
      <c r="N393" s="6"/>
      <c r="O393" s="52"/>
      <c r="P393" s="6" t="s">
        <v>6132</v>
      </c>
      <c r="Q393" s="6"/>
      <c r="R393" s="297" t="s">
        <v>6762</v>
      </c>
      <c r="S393" s="6"/>
      <c r="T393" s="54"/>
      <c r="U393" s="160"/>
    </row>
    <row r="394" spans="1:21" ht="38.25">
      <c r="A394" s="6">
        <v>2018</v>
      </c>
      <c r="B394" s="6" t="s">
        <v>1271</v>
      </c>
      <c r="C394" s="112" t="s">
        <v>61</v>
      </c>
      <c r="D394" s="6" t="s">
        <v>1262</v>
      </c>
      <c r="E394" s="6"/>
      <c r="F394" s="6" t="s">
        <v>1272</v>
      </c>
      <c r="G394" s="6" t="s">
        <v>2786</v>
      </c>
      <c r="H394" s="8">
        <v>967500</v>
      </c>
      <c r="I394" s="160" t="s">
        <v>2787</v>
      </c>
      <c r="J394" s="6" t="s">
        <v>2467</v>
      </c>
      <c r="K394" s="6" t="s">
        <v>1904</v>
      </c>
      <c r="L394" s="6" t="s">
        <v>6170</v>
      </c>
      <c r="M394" s="6"/>
      <c r="N394" s="6"/>
      <c r="O394" s="52"/>
      <c r="P394" s="6" t="s">
        <v>6132</v>
      </c>
      <c r="Q394" s="6"/>
      <c r="R394" s="297" t="s">
        <v>6764</v>
      </c>
      <c r="S394" s="6"/>
      <c r="T394" s="54"/>
      <c r="U394" s="160"/>
    </row>
    <row r="395" spans="1:21" ht="51">
      <c r="A395" s="6">
        <v>2018</v>
      </c>
      <c r="B395" s="6" t="s">
        <v>1274</v>
      </c>
      <c r="C395" s="112" t="s">
        <v>61</v>
      </c>
      <c r="D395" s="34" t="s">
        <v>62</v>
      </c>
      <c r="E395" s="34"/>
      <c r="F395" s="6" t="s">
        <v>1275</v>
      </c>
      <c r="G395" s="6" t="s">
        <v>2788</v>
      </c>
      <c r="H395" s="8">
        <v>1717600</v>
      </c>
      <c r="I395" s="160" t="s">
        <v>2789</v>
      </c>
      <c r="J395" s="6" t="s">
        <v>5656</v>
      </c>
      <c r="K395" s="6"/>
      <c r="L395" s="6" t="s">
        <v>6092</v>
      </c>
      <c r="M395" s="6"/>
      <c r="N395" s="6"/>
      <c r="O395" s="52"/>
      <c r="P395" s="6" t="s">
        <v>6179</v>
      </c>
      <c r="Q395" s="6"/>
      <c r="R395" s="297" t="s">
        <v>6766</v>
      </c>
      <c r="S395" s="6"/>
      <c r="T395" s="54"/>
      <c r="U395" s="398"/>
    </row>
    <row r="396" spans="1:21" ht="25.5">
      <c r="A396" s="6">
        <v>2018</v>
      </c>
      <c r="B396" s="6" t="s">
        <v>2790</v>
      </c>
      <c r="C396" s="112" t="s">
        <v>61</v>
      </c>
      <c r="D396" s="6" t="s">
        <v>1383</v>
      </c>
      <c r="E396" s="6"/>
      <c r="F396" s="6" t="s">
        <v>2791</v>
      </c>
      <c r="G396" s="6" t="s">
        <v>2792</v>
      </c>
      <c r="H396" s="8">
        <v>200000</v>
      </c>
      <c r="I396" s="160" t="s">
        <v>2793</v>
      </c>
      <c r="J396" s="6" t="s">
        <v>5647</v>
      </c>
      <c r="K396" s="6" t="s">
        <v>82</v>
      </c>
      <c r="L396" s="6" t="s">
        <v>6064</v>
      </c>
      <c r="M396" s="6"/>
      <c r="N396" s="6"/>
      <c r="O396" s="52"/>
      <c r="P396" s="475" t="s">
        <v>1808</v>
      </c>
      <c r="Q396" s="6"/>
      <c r="R396" s="297" t="s">
        <v>6768</v>
      </c>
      <c r="S396" s="6" t="s">
        <v>1824</v>
      </c>
      <c r="T396" s="54"/>
      <c r="U396" s="160"/>
    </row>
    <row r="397" spans="1:21" ht="38.25">
      <c r="A397" s="6">
        <v>2018</v>
      </c>
      <c r="B397" s="6" t="s">
        <v>2795</v>
      </c>
      <c r="C397" s="112" t="s">
        <v>61</v>
      </c>
      <c r="D397" s="6" t="s">
        <v>1383</v>
      </c>
      <c r="E397" s="6"/>
      <c r="F397" s="6" t="s">
        <v>2796</v>
      </c>
      <c r="G397" s="6" t="s">
        <v>2797</v>
      </c>
      <c r="H397" s="8">
        <v>350000</v>
      </c>
      <c r="I397" s="6"/>
      <c r="J397" s="6" t="s">
        <v>5647</v>
      </c>
      <c r="K397" s="6" t="s">
        <v>82</v>
      </c>
      <c r="L397" s="6" t="s">
        <v>6064</v>
      </c>
      <c r="M397" s="6" t="s">
        <v>12003</v>
      </c>
      <c r="N397" s="6"/>
      <c r="O397" s="52"/>
      <c r="P397" s="475" t="s">
        <v>1808</v>
      </c>
      <c r="Q397" s="6"/>
      <c r="R397" s="297" t="s">
        <v>6771</v>
      </c>
      <c r="S397" s="6"/>
      <c r="T397" s="54"/>
      <c r="U397" s="6"/>
    </row>
    <row r="398" spans="1:21" ht="38.25">
      <c r="A398" s="6">
        <v>2018</v>
      </c>
      <c r="B398" s="6" t="s">
        <v>1277</v>
      </c>
      <c r="C398" s="112" t="s">
        <v>61</v>
      </c>
      <c r="D398" s="34" t="s">
        <v>62</v>
      </c>
      <c r="E398" s="34"/>
      <c r="F398" s="6" t="s">
        <v>1278</v>
      </c>
      <c r="G398" s="6" t="s">
        <v>2802</v>
      </c>
      <c r="H398" s="8">
        <v>366000</v>
      </c>
      <c r="I398" s="160" t="s">
        <v>2803</v>
      </c>
      <c r="J398" s="6" t="s">
        <v>6370</v>
      </c>
      <c r="K398" s="6" t="s">
        <v>1904</v>
      </c>
      <c r="L398" s="6" t="s">
        <v>6137</v>
      </c>
      <c r="M398" s="6"/>
      <c r="N398" s="6"/>
      <c r="O398" s="52"/>
      <c r="P398" s="6" t="s">
        <v>6179</v>
      </c>
      <c r="Q398" s="6"/>
      <c r="R398" s="291" t="s">
        <v>6775</v>
      </c>
      <c r="S398" s="6"/>
      <c r="T398" s="54"/>
      <c r="U398" s="398"/>
    </row>
    <row r="399" spans="1:21" ht="51">
      <c r="A399" s="6">
        <v>2018</v>
      </c>
      <c r="B399" s="6" t="s">
        <v>1280</v>
      </c>
      <c r="C399" s="112" t="s">
        <v>61</v>
      </c>
      <c r="D399" s="34" t="s">
        <v>62</v>
      </c>
      <c r="E399" s="34"/>
      <c r="F399" s="6" t="s">
        <v>1281</v>
      </c>
      <c r="G399" s="6" t="s">
        <v>2804</v>
      </c>
      <c r="H399" s="8">
        <v>655630</v>
      </c>
      <c r="I399" s="160" t="s">
        <v>2805</v>
      </c>
      <c r="J399" s="6" t="s">
        <v>1828</v>
      </c>
      <c r="K399" s="6"/>
      <c r="L399" s="6" t="s">
        <v>6092</v>
      </c>
      <c r="M399" s="6"/>
      <c r="N399" s="6"/>
      <c r="O399" s="52"/>
      <c r="P399" s="6" t="s">
        <v>6132</v>
      </c>
      <c r="Q399" s="6"/>
      <c r="R399" s="291" t="s">
        <v>6777</v>
      </c>
      <c r="S399" s="6"/>
      <c r="T399" s="54"/>
      <c r="U399" s="398"/>
    </row>
    <row r="400" spans="1:21" ht="38.25">
      <c r="A400" s="6">
        <v>2018</v>
      </c>
      <c r="B400" s="6" t="s">
        <v>1283</v>
      </c>
      <c r="C400" s="112" t="s">
        <v>61</v>
      </c>
      <c r="D400" s="34" t="s">
        <v>62</v>
      </c>
      <c r="E400" s="34"/>
      <c r="F400" s="6" t="s">
        <v>1284</v>
      </c>
      <c r="G400" s="6" t="s">
        <v>2806</v>
      </c>
      <c r="H400" s="8">
        <v>1431166.67</v>
      </c>
      <c r="I400" s="160" t="s">
        <v>2807</v>
      </c>
      <c r="J400" s="6" t="s">
        <v>1828</v>
      </c>
      <c r="K400" s="6"/>
      <c r="L400" s="6" t="s">
        <v>6170</v>
      </c>
      <c r="M400" s="6"/>
      <c r="N400" s="6"/>
      <c r="O400" s="52"/>
      <c r="P400" s="6" t="s">
        <v>6179</v>
      </c>
      <c r="Q400" s="6"/>
      <c r="R400" s="297" t="s">
        <v>6779</v>
      </c>
      <c r="S400" s="6"/>
      <c r="T400" s="54"/>
      <c r="U400" s="398"/>
    </row>
    <row r="401" spans="1:21" ht="76.5">
      <c r="A401" s="6">
        <v>2018</v>
      </c>
      <c r="B401" s="6" t="s">
        <v>1286</v>
      </c>
      <c r="C401" s="112" t="s">
        <v>61</v>
      </c>
      <c r="D401" s="34" t="s">
        <v>62</v>
      </c>
      <c r="E401" s="34"/>
      <c r="F401" s="6" t="s">
        <v>1287</v>
      </c>
      <c r="G401" s="6" t="s">
        <v>2820</v>
      </c>
      <c r="H401" s="8">
        <v>3765994.41</v>
      </c>
      <c r="I401" s="160" t="s">
        <v>2821</v>
      </c>
      <c r="J401" s="6" t="s">
        <v>2613</v>
      </c>
      <c r="K401" s="6"/>
      <c r="L401" s="6" t="s">
        <v>6137</v>
      </c>
      <c r="M401" s="6"/>
      <c r="N401" s="6"/>
      <c r="O401" s="52"/>
      <c r="P401" s="6" t="s">
        <v>6788</v>
      </c>
      <c r="Q401" s="6"/>
      <c r="R401" s="291" t="s">
        <v>6789</v>
      </c>
      <c r="S401" s="6"/>
      <c r="T401" s="54"/>
      <c r="U401" s="398"/>
    </row>
    <row r="402" spans="1:21" ht="63.75">
      <c r="A402" s="6">
        <v>2018</v>
      </c>
      <c r="B402" s="6" t="s">
        <v>1289</v>
      </c>
      <c r="C402" s="112" t="s">
        <v>61</v>
      </c>
      <c r="D402" s="34" t="s">
        <v>62</v>
      </c>
      <c r="E402" s="34"/>
      <c r="F402" s="6" t="s">
        <v>1242</v>
      </c>
      <c r="G402" s="6" t="s">
        <v>2826</v>
      </c>
      <c r="H402" s="8">
        <v>710458.07</v>
      </c>
      <c r="I402" s="160" t="s">
        <v>2827</v>
      </c>
      <c r="J402" s="6" t="s">
        <v>6314</v>
      </c>
      <c r="K402" s="6" t="s">
        <v>1904</v>
      </c>
      <c r="L402" s="6" t="s">
        <v>6170</v>
      </c>
      <c r="M402" s="6"/>
      <c r="N402" s="6"/>
      <c r="O402" s="52"/>
      <c r="P402" s="6" t="s">
        <v>6132</v>
      </c>
      <c r="Q402" s="6"/>
      <c r="R402" s="291" t="s">
        <v>6793</v>
      </c>
      <c r="S402" s="6"/>
      <c r="T402" s="54"/>
      <c r="U402" s="398"/>
    </row>
    <row r="403" spans="1:21" ht="89.25">
      <c r="A403" s="6">
        <v>2018</v>
      </c>
      <c r="B403" s="6" t="s">
        <v>2828</v>
      </c>
      <c r="C403" s="112" t="s">
        <v>61</v>
      </c>
      <c r="D403" s="6" t="s">
        <v>394</v>
      </c>
      <c r="E403" s="6"/>
      <c r="F403" s="6" t="s">
        <v>2829</v>
      </c>
      <c r="G403" s="6" t="s">
        <v>2830</v>
      </c>
      <c r="H403" s="8">
        <v>76000</v>
      </c>
      <c r="I403" s="169" t="s">
        <v>2831</v>
      </c>
      <c r="J403" s="6" t="s">
        <v>6795</v>
      </c>
      <c r="K403" s="6"/>
      <c r="L403" s="6" t="s">
        <v>6071</v>
      </c>
      <c r="M403" s="6"/>
      <c r="N403" s="6" t="s">
        <v>2832</v>
      </c>
      <c r="O403" s="52"/>
      <c r="P403" s="475" t="s">
        <v>1808</v>
      </c>
      <c r="Q403" s="6"/>
      <c r="R403" s="6"/>
      <c r="S403" s="6"/>
      <c r="T403" s="54"/>
      <c r="U403" s="169"/>
    </row>
    <row r="404" spans="1:21" ht="114.75">
      <c r="A404" s="6">
        <v>2018</v>
      </c>
      <c r="B404" s="6" t="s">
        <v>2833</v>
      </c>
      <c r="C404" s="112" t="s">
        <v>61</v>
      </c>
      <c r="D404" s="6" t="s">
        <v>1730</v>
      </c>
      <c r="E404" s="6"/>
      <c r="F404" s="6" t="s">
        <v>2835</v>
      </c>
      <c r="G404" s="6" t="s">
        <v>2836</v>
      </c>
      <c r="H404" s="8">
        <v>99990</v>
      </c>
      <c r="I404" s="6" t="s">
        <v>2837</v>
      </c>
      <c r="J404" s="6" t="s">
        <v>2656</v>
      </c>
      <c r="K404" s="6"/>
      <c r="L404" s="6" t="s">
        <v>6137</v>
      </c>
      <c r="M404" s="6"/>
      <c r="N404" s="6" t="s">
        <v>2838</v>
      </c>
      <c r="O404" s="52"/>
      <c r="P404" s="475" t="s">
        <v>1808</v>
      </c>
      <c r="Q404" s="6"/>
      <c r="R404" s="6"/>
      <c r="S404" s="6"/>
      <c r="T404" s="54"/>
      <c r="U404" s="6"/>
    </row>
    <row r="405" spans="1:21" ht="102">
      <c r="A405" s="6">
        <v>2018</v>
      </c>
      <c r="B405" s="6" t="s">
        <v>1729</v>
      </c>
      <c r="C405" s="112" t="s">
        <v>61</v>
      </c>
      <c r="D405" s="6" t="s">
        <v>1730</v>
      </c>
      <c r="E405" s="6"/>
      <c r="F405" s="6" t="s">
        <v>1731</v>
      </c>
      <c r="G405" s="6" t="s">
        <v>1732</v>
      </c>
      <c r="H405" s="8" t="s">
        <v>2839</v>
      </c>
      <c r="I405" s="6" t="s">
        <v>2837</v>
      </c>
      <c r="J405" s="6" t="s">
        <v>2656</v>
      </c>
      <c r="K405" s="6"/>
      <c r="L405" s="6" t="s">
        <v>6217</v>
      </c>
      <c r="M405" s="6"/>
      <c r="N405" s="6" t="s">
        <v>2840</v>
      </c>
      <c r="O405" s="52"/>
      <c r="P405" s="475" t="s">
        <v>1808</v>
      </c>
      <c r="Q405" s="6"/>
      <c r="R405" s="6"/>
      <c r="S405" s="6"/>
      <c r="T405" s="54"/>
      <c r="U405" s="6"/>
    </row>
    <row r="406" spans="1:21" ht="89.25">
      <c r="A406" s="6">
        <v>2018</v>
      </c>
      <c r="B406" s="6" t="s">
        <v>1733</v>
      </c>
      <c r="C406" s="112" t="s">
        <v>61</v>
      </c>
      <c r="D406" s="6" t="s">
        <v>1730</v>
      </c>
      <c r="E406" s="6"/>
      <c r="F406" s="6" t="s">
        <v>1734</v>
      </c>
      <c r="G406" s="6" t="s">
        <v>494</v>
      </c>
      <c r="H406" s="8">
        <v>99436</v>
      </c>
      <c r="I406" s="6" t="s">
        <v>2841</v>
      </c>
      <c r="J406" s="6" t="s">
        <v>1828</v>
      </c>
      <c r="K406" s="6"/>
      <c r="L406" s="6" t="s">
        <v>6137</v>
      </c>
      <c r="M406" s="6"/>
      <c r="N406" s="6" t="s">
        <v>2842</v>
      </c>
      <c r="O406" s="52"/>
      <c r="P406" s="475" t="s">
        <v>1808</v>
      </c>
      <c r="Q406" s="6"/>
      <c r="R406" s="6"/>
      <c r="S406" s="6"/>
      <c r="T406" s="54"/>
      <c r="U406" s="6"/>
    </row>
    <row r="407" spans="1:21" ht="89.25">
      <c r="A407" s="6">
        <v>2018</v>
      </c>
      <c r="B407" s="6" t="s">
        <v>2843</v>
      </c>
      <c r="C407" s="112" t="s">
        <v>61</v>
      </c>
      <c r="D407" s="6" t="s">
        <v>394</v>
      </c>
      <c r="E407" s="6"/>
      <c r="F407" s="6" t="s">
        <v>2844</v>
      </c>
      <c r="G407" s="6" t="s">
        <v>2845</v>
      </c>
      <c r="H407" s="8">
        <v>78000</v>
      </c>
      <c r="I407" s="6"/>
      <c r="J407" s="6" t="s">
        <v>2609</v>
      </c>
      <c r="K407" s="6"/>
      <c r="L407" s="6" t="s">
        <v>6071</v>
      </c>
      <c r="M407" s="6"/>
      <c r="N407" s="6" t="s">
        <v>2846</v>
      </c>
      <c r="O407" s="52"/>
      <c r="P407" s="475" t="s">
        <v>1808</v>
      </c>
      <c r="Q407" s="6"/>
      <c r="R407" s="6"/>
      <c r="S407" s="6"/>
      <c r="T407" s="54"/>
      <c r="U407" s="6"/>
    </row>
    <row r="408" spans="1:21" ht="102">
      <c r="A408" s="6">
        <v>2018</v>
      </c>
      <c r="B408" s="6" t="s">
        <v>933</v>
      </c>
      <c r="C408" s="112" t="s">
        <v>61</v>
      </c>
      <c r="D408" s="6" t="s">
        <v>394</v>
      </c>
      <c r="E408" s="6"/>
      <c r="F408" s="6" t="s">
        <v>934</v>
      </c>
      <c r="G408" s="6" t="s">
        <v>935</v>
      </c>
      <c r="H408" s="8">
        <v>96186.96</v>
      </c>
      <c r="I408" s="169" t="s">
        <v>2847</v>
      </c>
      <c r="J408" s="6" t="s">
        <v>6801</v>
      </c>
      <c r="K408" s="6"/>
      <c r="L408" s="6" t="s">
        <v>6071</v>
      </c>
      <c r="M408" s="6"/>
      <c r="N408" s="6" t="s">
        <v>2848</v>
      </c>
      <c r="O408" s="52"/>
      <c r="P408" s="475" t="s">
        <v>1808</v>
      </c>
      <c r="Q408" s="6"/>
      <c r="R408" s="6"/>
      <c r="S408" s="6"/>
      <c r="T408" s="54"/>
      <c r="U408" s="169"/>
    </row>
    <row r="409" spans="1:21" ht="102">
      <c r="A409" s="6">
        <v>2018</v>
      </c>
      <c r="B409" s="6" t="s">
        <v>2849</v>
      </c>
      <c r="C409" s="112" t="s">
        <v>61</v>
      </c>
      <c r="D409" s="6" t="s">
        <v>1383</v>
      </c>
      <c r="E409" s="6"/>
      <c r="F409" s="6" t="s">
        <v>2850</v>
      </c>
      <c r="G409" s="6" t="s">
        <v>2851</v>
      </c>
      <c r="H409" s="8">
        <v>40000</v>
      </c>
      <c r="I409" s="6" t="s">
        <v>2852</v>
      </c>
      <c r="J409" s="6" t="s">
        <v>1828</v>
      </c>
      <c r="K409" s="6" t="s">
        <v>82</v>
      </c>
      <c r="L409" s="6" t="s">
        <v>6064</v>
      </c>
      <c r="M409" s="7">
        <v>43119</v>
      </c>
      <c r="N409" s="6" t="s">
        <v>2853</v>
      </c>
      <c r="O409" s="52"/>
      <c r="P409" s="475" t="s">
        <v>1808</v>
      </c>
      <c r="Q409" s="6"/>
      <c r="R409" s="6"/>
      <c r="S409" s="6"/>
      <c r="T409" s="54"/>
      <c r="U409" s="6"/>
    </row>
    <row r="410" spans="1:21" ht="89.25">
      <c r="A410" s="6">
        <v>2018</v>
      </c>
      <c r="B410" s="6" t="s">
        <v>936</v>
      </c>
      <c r="C410" s="112" t="s">
        <v>61</v>
      </c>
      <c r="D410" s="6" t="s">
        <v>394</v>
      </c>
      <c r="E410" s="6"/>
      <c r="F410" s="6" t="s">
        <v>937</v>
      </c>
      <c r="G410" s="6" t="s">
        <v>2854</v>
      </c>
      <c r="H410" s="8">
        <v>80000</v>
      </c>
      <c r="I410" s="6" t="s">
        <v>2855</v>
      </c>
      <c r="J410" s="6" t="s">
        <v>2467</v>
      </c>
      <c r="K410" s="6" t="s">
        <v>1853</v>
      </c>
      <c r="L410" s="6" t="s">
        <v>6071</v>
      </c>
      <c r="M410" s="6"/>
      <c r="N410" s="6" t="s">
        <v>2856</v>
      </c>
      <c r="O410" s="52"/>
      <c r="P410" s="475" t="s">
        <v>1808</v>
      </c>
      <c r="Q410" s="6"/>
      <c r="R410" s="6"/>
      <c r="S410" s="6"/>
      <c r="T410" s="54"/>
      <c r="U410" s="6"/>
    </row>
    <row r="411" spans="1:21" ht="63.75">
      <c r="A411" s="6">
        <v>2018</v>
      </c>
      <c r="B411" s="6" t="s">
        <v>2857</v>
      </c>
      <c r="C411" s="112" t="s">
        <v>61</v>
      </c>
      <c r="D411" s="6" t="s">
        <v>1862</v>
      </c>
      <c r="E411" s="6"/>
      <c r="F411" s="6" t="s">
        <v>2858</v>
      </c>
      <c r="G411" s="6" t="s">
        <v>2319</v>
      </c>
      <c r="H411" s="8">
        <v>10000</v>
      </c>
      <c r="I411" s="6" t="s">
        <v>2190</v>
      </c>
      <c r="J411" s="6" t="s">
        <v>1828</v>
      </c>
      <c r="K411" s="6"/>
      <c r="L411" s="6" t="s">
        <v>6806</v>
      </c>
      <c r="M411" s="7">
        <v>43124</v>
      </c>
      <c r="N411" s="6" t="s">
        <v>2859</v>
      </c>
      <c r="O411" s="52"/>
      <c r="P411" s="475" t="s">
        <v>1808</v>
      </c>
      <c r="Q411" s="6"/>
      <c r="R411" s="6"/>
      <c r="S411" s="6"/>
      <c r="T411" s="54"/>
      <c r="U411" s="6"/>
    </row>
    <row r="412" spans="1:21" ht="63.75">
      <c r="A412" s="6">
        <v>2018</v>
      </c>
      <c r="B412" s="6" t="s">
        <v>2860</v>
      </c>
      <c r="C412" s="112" t="s">
        <v>61</v>
      </c>
      <c r="D412" s="6" t="s">
        <v>652</v>
      </c>
      <c r="E412" s="6"/>
      <c r="F412" s="6" t="s">
        <v>2861</v>
      </c>
      <c r="G412" s="6" t="s">
        <v>617</v>
      </c>
      <c r="H412" s="8">
        <v>52980</v>
      </c>
      <c r="I412" s="6" t="s">
        <v>2862</v>
      </c>
      <c r="J412" s="6" t="s">
        <v>1828</v>
      </c>
      <c r="K412" s="6" t="s">
        <v>1874</v>
      </c>
      <c r="L412" s="6" t="s">
        <v>6808</v>
      </c>
      <c r="M412" s="7">
        <v>43125</v>
      </c>
      <c r="N412" s="6" t="s">
        <v>2863</v>
      </c>
      <c r="O412" s="52"/>
      <c r="P412" s="6" t="s">
        <v>6132</v>
      </c>
      <c r="Q412" s="6"/>
      <c r="R412" s="6"/>
      <c r="S412" s="6"/>
      <c r="T412" s="54"/>
      <c r="U412" s="6"/>
    </row>
    <row r="413" spans="1:21" ht="51">
      <c r="A413" s="6">
        <v>2018</v>
      </c>
      <c r="B413" s="6" t="s">
        <v>939</v>
      </c>
      <c r="C413" s="112" t="s">
        <v>61</v>
      </c>
      <c r="D413" s="6" t="s">
        <v>394</v>
      </c>
      <c r="E413" s="6"/>
      <c r="F413" s="6" t="s">
        <v>940</v>
      </c>
      <c r="G413" s="6" t="s">
        <v>941</v>
      </c>
      <c r="H413" s="8">
        <v>99000</v>
      </c>
      <c r="I413" s="6"/>
      <c r="J413" s="6" t="s">
        <v>6809</v>
      </c>
      <c r="K413" s="6"/>
      <c r="L413" s="6" t="s">
        <v>6071</v>
      </c>
      <c r="M413" s="6"/>
      <c r="N413" s="6" t="s">
        <v>2864</v>
      </c>
      <c r="O413" s="52"/>
      <c r="P413" s="475" t="s">
        <v>1808</v>
      </c>
      <c r="Q413" s="6"/>
      <c r="R413" s="6"/>
      <c r="S413" s="6"/>
      <c r="T413" s="54"/>
      <c r="U413" s="6"/>
    </row>
    <row r="414" spans="1:21" ht="127.5">
      <c r="A414" s="6">
        <v>2018</v>
      </c>
      <c r="B414" s="6" t="s">
        <v>942</v>
      </c>
      <c r="C414" s="112" t="s">
        <v>61</v>
      </c>
      <c r="D414" s="6" t="s">
        <v>394</v>
      </c>
      <c r="E414" s="6"/>
      <c r="F414" s="6" t="s">
        <v>937</v>
      </c>
      <c r="G414" s="6" t="s">
        <v>943</v>
      </c>
      <c r="H414" s="8">
        <v>80000</v>
      </c>
      <c r="I414" s="6" t="s">
        <v>2865</v>
      </c>
      <c r="J414" s="6" t="s">
        <v>2611</v>
      </c>
      <c r="K414" s="6"/>
      <c r="L414" s="6" t="s">
        <v>6071</v>
      </c>
      <c r="M414" s="6"/>
      <c r="N414" s="6" t="s">
        <v>2866</v>
      </c>
      <c r="O414" s="52"/>
      <c r="P414" s="475" t="s">
        <v>1808</v>
      </c>
      <c r="Q414" s="6"/>
      <c r="R414" s="6"/>
      <c r="S414" s="6"/>
      <c r="T414" s="54"/>
      <c r="U414" s="6"/>
    </row>
    <row r="415" spans="1:21" ht="76.5">
      <c r="A415" s="6">
        <v>2018</v>
      </c>
      <c r="B415" s="6" t="s">
        <v>2867</v>
      </c>
      <c r="C415" s="112" t="s">
        <v>61</v>
      </c>
      <c r="D415" s="6" t="s">
        <v>1383</v>
      </c>
      <c r="E415" s="6"/>
      <c r="F415" s="6" t="s">
        <v>2868</v>
      </c>
      <c r="G415" s="6" t="s">
        <v>2869</v>
      </c>
      <c r="H415" s="8">
        <v>46000</v>
      </c>
      <c r="I415" s="6" t="s">
        <v>2870</v>
      </c>
      <c r="J415" s="6" t="s">
        <v>1828</v>
      </c>
      <c r="K415" s="6" t="s">
        <v>82</v>
      </c>
      <c r="L415" s="6" t="s">
        <v>6064</v>
      </c>
      <c r="M415" s="7">
        <v>43131</v>
      </c>
      <c r="N415" s="6" t="s">
        <v>2871</v>
      </c>
      <c r="O415" s="52"/>
      <c r="P415" s="475" t="s">
        <v>5654</v>
      </c>
      <c r="Q415" s="6"/>
      <c r="R415" s="6"/>
      <c r="S415" s="6"/>
      <c r="T415" s="54"/>
      <c r="U415" s="6"/>
    </row>
    <row r="416" spans="1:21" ht="89.25">
      <c r="A416" s="6">
        <v>2018</v>
      </c>
      <c r="B416" s="6" t="s">
        <v>2872</v>
      </c>
      <c r="C416" s="112" t="s">
        <v>61</v>
      </c>
      <c r="D416" s="6" t="s">
        <v>1383</v>
      </c>
      <c r="E416" s="6"/>
      <c r="F416" s="6" t="s">
        <v>2873</v>
      </c>
      <c r="G416" s="6" t="s">
        <v>2874</v>
      </c>
      <c r="H416" s="8">
        <v>50000</v>
      </c>
      <c r="I416" s="6"/>
      <c r="J416" s="56" t="s">
        <v>1828</v>
      </c>
      <c r="K416" s="6" t="s">
        <v>82</v>
      </c>
      <c r="L416" s="6" t="s">
        <v>6064</v>
      </c>
      <c r="M416" s="7">
        <v>43136</v>
      </c>
      <c r="N416" s="6" t="s">
        <v>2875</v>
      </c>
      <c r="O416" s="52"/>
      <c r="P416" s="6" t="s">
        <v>6179</v>
      </c>
      <c r="Q416" s="6"/>
      <c r="R416" s="6"/>
      <c r="S416" s="6"/>
      <c r="T416" s="54"/>
      <c r="U416" s="6"/>
    </row>
    <row r="417" spans="1:21" ht="102">
      <c r="A417" s="6">
        <v>2018</v>
      </c>
      <c r="B417" s="6" t="s">
        <v>944</v>
      </c>
      <c r="C417" s="112" t="s">
        <v>61</v>
      </c>
      <c r="D417" s="6" t="s">
        <v>394</v>
      </c>
      <c r="E417" s="6"/>
      <c r="F417" s="6" t="s">
        <v>945</v>
      </c>
      <c r="G417" s="6" t="s">
        <v>946</v>
      </c>
      <c r="H417" s="8">
        <v>63500</v>
      </c>
      <c r="I417" s="6"/>
      <c r="J417" s="6" t="s">
        <v>5656</v>
      </c>
      <c r="K417" s="6"/>
      <c r="L417" s="6" t="s">
        <v>6071</v>
      </c>
      <c r="M417" s="6"/>
      <c r="N417" s="6" t="s">
        <v>2876</v>
      </c>
      <c r="O417" s="52"/>
      <c r="P417" s="475" t="s">
        <v>1808</v>
      </c>
      <c r="Q417" s="6"/>
      <c r="R417" s="6"/>
      <c r="S417" s="6"/>
      <c r="T417" s="54"/>
      <c r="U417" s="6"/>
    </row>
    <row r="418" spans="1:21" ht="51">
      <c r="A418" s="6">
        <v>2018</v>
      </c>
      <c r="B418" s="6" t="s">
        <v>2877</v>
      </c>
      <c r="C418" s="112" t="s">
        <v>61</v>
      </c>
      <c r="D418" s="6" t="s">
        <v>2878</v>
      </c>
      <c r="E418" s="6"/>
      <c r="F418" s="6" t="s">
        <v>2879</v>
      </c>
      <c r="G418" s="6" t="s">
        <v>2880</v>
      </c>
      <c r="H418" s="8"/>
      <c r="I418" s="6" t="s">
        <v>2881</v>
      </c>
      <c r="J418" s="6" t="s">
        <v>1828</v>
      </c>
      <c r="K418" s="6" t="s">
        <v>82</v>
      </c>
      <c r="L418" s="6" t="s">
        <v>6064</v>
      </c>
      <c r="M418" s="6"/>
      <c r="N418" s="6" t="s">
        <v>2882</v>
      </c>
      <c r="O418" s="52"/>
      <c r="P418" s="475" t="s">
        <v>1808</v>
      </c>
      <c r="Q418" s="6"/>
      <c r="R418" s="6"/>
      <c r="S418" s="6"/>
      <c r="T418" s="54"/>
      <c r="U418" s="6"/>
    </row>
    <row r="419" spans="1:21" ht="63.75">
      <c r="A419" s="6">
        <v>2018</v>
      </c>
      <c r="B419" s="6" t="s">
        <v>2883</v>
      </c>
      <c r="C419" s="112" t="s">
        <v>61</v>
      </c>
      <c r="D419" s="6" t="s">
        <v>1862</v>
      </c>
      <c r="E419" s="6"/>
      <c r="F419" s="6" t="s">
        <v>2884</v>
      </c>
      <c r="G419" s="6" t="s">
        <v>2880</v>
      </c>
      <c r="H419" s="8" t="s">
        <v>22</v>
      </c>
      <c r="I419" s="6" t="s">
        <v>2881</v>
      </c>
      <c r="J419" s="6" t="s">
        <v>1828</v>
      </c>
      <c r="K419" s="6"/>
      <c r="L419" s="6" t="s">
        <v>6064</v>
      </c>
      <c r="M419" s="7">
        <v>43164</v>
      </c>
      <c r="N419" s="6" t="s">
        <v>2885</v>
      </c>
      <c r="O419" s="52"/>
      <c r="P419" s="475" t="s">
        <v>1808</v>
      </c>
      <c r="Q419" s="6"/>
      <c r="R419" s="6"/>
      <c r="S419" s="6"/>
      <c r="T419" s="54"/>
      <c r="U419" s="6"/>
    </row>
    <row r="420" spans="1:21" ht="76.5">
      <c r="A420" s="6">
        <v>2018</v>
      </c>
      <c r="B420" s="6" t="s">
        <v>1735</v>
      </c>
      <c r="C420" s="112" t="s">
        <v>61</v>
      </c>
      <c r="D420" s="6" t="s">
        <v>1383</v>
      </c>
      <c r="E420" s="6"/>
      <c r="F420" s="6" t="s">
        <v>1736</v>
      </c>
      <c r="G420" s="6" t="s">
        <v>2319</v>
      </c>
      <c r="H420" s="8">
        <v>100000</v>
      </c>
      <c r="I420" s="6" t="s">
        <v>2881</v>
      </c>
      <c r="J420" s="6" t="s">
        <v>1828</v>
      </c>
      <c r="K420" s="6" t="s">
        <v>82</v>
      </c>
      <c r="L420" s="6" t="s">
        <v>6064</v>
      </c>
      <c r="M420" s="6"/>
      <c r="N420" s="6" t="s">
        <v>2886</v>
      </c>
      <c r="O420" s="52"/>
      <c r="P420" s="475" t="s">
        <v>1808</v>
      </c>
      <c r="Q420" s="6"/>
      <c r="R420" s="6"/>
      <c r="S420" s="6"/>
      <c r="T420" s="54"/>
      <c r="U420" s="6"/>
    </row>
    <row r="421" spans="1:21" ht="63.75">
      <c r="A421" s="6">
        <v>2018</v>
      </c>
      <c r="B421" s="6" t="s">
        <v>2887</v>
      </c>
      <c r="C421" s="112" t="s">
        <v>61</v>
      </c>
      <c r="D421" s="6" t="s">
        <v>652</v>
      </c>
      <c r="E421" s="6"/>
      <c r="F421" s="6" t="s">
        <v>2888</v>
      </c>
      <c r="G421" s="6" t="s">
        <v>2889</v>
      </c>
      <c r="H421" s="8">
        <v>99926</v>
      </c>
      <c r="I421" s="6" t="s">
        <v>2890</v>
      </c>
      <c r="J421" s="6" t="s">
        <v>11908</v>
      </c>
      <c r="K421" s="6" t="s">
        <v>1874</v>
      </c>
      <c r="L421" s="6" t="s">
        <v>6137</v>
      </c>
      <c r="M421" s="7">
        <v>43177</v>
      </c>
      <c r="N421" s="6" t="s">
        <v>2891</v>
      </c>
      <c r="O421" s="52"/>
      <c r="P421" s="6" t="s">
        <v>6132</v>
      </c>
      <c r="Q421" s="6"/>
      <c r="R421" s="6"/>
      <c r="S421" s="6"/>
      <c r="T421" s="54"/>
      <c r="U421" s="6"/>
    </row>
    <row r="422" spans="1:21" ht="76.5">
      <c r="A422" s="6">
        <v>2018</v>
      </c>
      <c r="B422" s="6" t="s">
        <v>947</v>
      </c>
      <c r="C422" s="112" t="s">
        <v>61</v>
      </c>
      <c r="D422" s="6" t="s">
        <v>113</v>
      </c>
      <c r="E422" s="6"/>
      <c r="F422" s="6" t="s">
        <v>949</v>
      </c>
      <c r="G422" s="6" t="s">
        <v>950</v>
      </c>
      <c r="H422" s="8">
        <v>42500</v>
      </c>
      <c r="I422" s="6" t="s">
        <v>2892</v>
      </c>
      <c r="J422" s="6" t="s">
        <v>1828</v>
      </c>
      <c r="K422" s="6"/>
      <c r="L422" s="6" t="s">
        <v>6729</v>
      </c>
      <c r="M422" s="6"/>
      <c r="N422" s="6" t="s">
        <v>2893</v>
      </c>
      <c r="O422" s="52"/>
      <c r="P422" s="6" t="s">
        <v>6132</v>
      </c>
      <c r="Q422" s="6"/>
      <c r="R422" s="6"/>
      <c r="S422" s="6"/>
      <c r="T422" s="54"/>
      <c r="U422" s="6"/>
    </row>
    <row r="423" spans="1:21" ht="63.75">
      <c r="A423" s="6">
        <v>2018</v>
      </c>
      <c r="B423" s="6" t="s">
        <v>951</v>
      </c>
      <c r="C423" s="112" t="s">
        <v>61</v>
      </c>
      <c r="D423" s="6" t="s">
        <v>394</v>
      </c>
      <c r="E423" s="6"/>
      <c r="F423" s="6" t="s">
        <v>952</v>
      </c>
      <c r="G423" s="6" t="s">
        <v>953</v>
      </c>
      <c r="H423" s="8">
        <v>74000</v>
      </c>
      <c r="I423" s="6" t="s">
        <v>2894</v>
      </c>
      <c r="J423" s="6" t="s">
        <v>2613</v>
      </c>
      <c r="K423" s="6"/>
      <c r="L423" s="6" t="s">
        <v>6071</v>
      </c>
      <c r="M423" s="6"/>
      <c r="N423" s="6" t="s">
        <v>2895</v>
      </c>
      <c r="O423" s="52"/>
      <c r="P423" s="475" t="s">
        <v>1808</v>
      </c>
      <c r="Q423" s="6"/>
      <c r="R423" s="6"/>
      <c r="S423" s="6"/>
      <c r="T423" s="54"/>
      <c r="U423" s="6"/>
    </row>
    <row r="424" spans="1:21" ht="102">
      <c r="A424" s="6">
        <v>2018</v>
      </c>
      <c r="B424" s="6" t="s">
        <v>2896</v>
      </c>
      <c r="C424" s="112" t="s">
        <v>61</v>
      </c>
      <c r="D424" s="6" t="s">
        <v>586</v>
      </c>
      <c r="E424" s="6"/>
      <c r="F424" s="6" t="s">
        <v>2897</v>
      </c>
      <c r="G424" s="6" t="s">
        <v>2898</v>
      </c>
      <c r="H424" s="8">
        <v>20000</v>
      </c>
      <c r="I424" s="6" t="s">
        <v>2899</v>
      </c>
      <c r="J424" s="6" t="s">
        <v>1828</v>
      </c>
      <c r="K424" s="6" t="s">
        <v>1874</v>
      </c>
      <c r="L424" s="6" t="s">
        <v>6071</v>
      </c>
      <c r="M424" s="31">
        <v>43179</v>
      </c>
      <c r="N424" s="6" t="s">
        <v>2900</v>
      </c>
      <c r="O424" s="52"/>
      <c r="P424" s="475" t="s">
        <v>1808</v>
      </c>
      <c r="Q424" s="6"/>
      <c r="R424" s="6"/>
      <c r="S424" s="6"/>
      <c r="T424" s="54"/>
      <c r="U424" s="6"/>
    </row>
    <row r="425" spans="1:21" ht="89.25">
      <c r="A425" s="6">
        <v>2018</v>
      </c>
      <c r="B425" s="6" t="s">
        <v>954</v>
      </c>
      <c r="C425" s="112" t="s">
        <v>61</v>
      </c>
      <c r="D425" s="6" t="s">
        <v>394</v>
      </c>
      <c r="E425" s="6"/>
      <c r="F425" s="6" t="s">
        <v>955</v>
      </c>
      <c r="G425" s="6" t="s">
        <v>2717</v>
      </c>
      <c r="H425" s="8">
        <v>139500</v>
      </c>
      <c r="I425" s="6" t="s">
        <v>2901</v>
      </c>
      <c r="J425" s="6" t="s">
        <v>6822</v>
      </c>
      <c r="K425" s="6"/>
      <c r="L425" s="6" t="s">
        <v>6071</v>
      </c>
      <c r="M425" s="6"/>
      <c r="N425" s="6" t="s">
        <v>2902</v>
      </c>
      <c r="O425" s="52"/>
      <c r="P425" s="475" t="s">
        <v>1808</v>
      </c>
      <c r="Q425" s="6"/>
      <c r="R425" s="6"/>
      <c r="S425" s="6"/>
      <c r="T425" s="54"/>
      <c r="U425" s="6"/>
    </row>
    <row r="426" spans="1:21" ht="76.5">
      <c r="A426" s="6">
        <v>2018</v>
      </c>
      <c r="B426" s="6" t="s">
        <v>2903</v>
      </c>
      <c r="C426" s="112" t="s">
        <v>61</v>
      </c>
      <c r="D426" s="6" t="s">
        <v>394</v>
      </c>
      <c r="E426" s="6"/>
      <c r="F426" s="6" t="s">
        <v>958</v>
      </c>
      <c r="G426" s="6" t="s">
        <v>959</v>
      </c>
      <c r="H426" s="8">
        <v>63500</v>
      </c>
      <c r="I426" s="6" t="s">
        <v>2904</v>
      </c>
      <c r="J426" s="6" t="s">
        <v>2613</v>
      </c>
      <c r="K426" s="6"/>
      <c r="L426" s="6" t="s">
        <v>6071</v>
      </c>
      <c r="M426" s="6"/>
      <c r="N426" s="6" t="s">
        <v>2905</v>
      </c>
      <c r="O426" s="52"/>
      <c r="P426" s="475" t="s">
        <v>1808</v>
      </c>
      <c r="Q426" s="6"/>
      <c r="R426" s="6"/>
      <c r="S426" s="6"/>
      <c r="T426" s="54"/>
      <c r="U426" s="6"/>
    </row>
    <row r="427" spans="1:21" ht="76.5">
      <c r="A427" s="6">
        <v>2018</v>
      </c>
      <c r="B427" s="6" t="s">
        <v>1696</v>
      </c>
      <c r="C427" s="112" t="s">
        <v>61</v>
      </c>
      <c r="D427" s="6" t="s">
        <v>1763</v>
      </c>
      <c r="E427" s="6"/>
      <c r="F427" s="6" t="s">
        <v>2906</v>
      </c>
      <c r="G427" s="6" t="s">
        <v>1765</v>
      </c>
      <c r="H427" s="8">
        <v>14432</v>
      </c>
      <c r="I427" s="6" t="s">
        <v>2907</v>
      </c>
      <c r="J427" s="6" t="s">
        <v>1828</v>
      </c>
      <c r="K427" s="6" t="s">
        <v>82</v>
      </c>
      <c r="L427" s="6" t="s">
        <v>6140</v>
      </c>
      <c r="M427" s="6"/>
      <c r="N427" s="6" t="s">
        <v>2908</v>
      </c>
      <c r="O427" s="52"/>
      <c r="P427" s="6" t="s">
        <v>5654</v>
      </c>
      <c r="Q427" s="6"/>
      <c r="R427" s="6"/>
      <c r="S427" s="6"/>
      <c r="T427" s="54"/>
      <c r="U427" s="6"/>
    </row>
    <row r="428" spans="1:21" ht="89.25">
      <c r="A428" s="6">
        <v>2018</v>
      </c>
      <c r="B428" s="6" t="s">
        <v>1699</v>
      </c>
      <c r="C428" s="112" t="s">
        <v>61</v>
      </c>
      <c r="D428" s="6" t="s">
        <v>1763</v>
      </c>
      <c r="E428" s="6"/>
      <c r="F428" s="6" t="s">
        <v>1766</v>
      </c>
      <c r="G428" s="6" t="s">
        <v>2909</v>
      </c>
      <c r="H428" s="8">
        <v>33000</v>
      </c>
      <c r="I428" s="6" t="s">
        <v>2910</v>
      </c>
      <c r="J428" s="6" t="s">
        <v>6193</v>
      </c>
      <c r="K428" s="6" t="s">
        <v>82</v>
      </c>
      <c r="L428" s="6" t="s">
        <v>6092</v>
      </c>
      <c r="M428" s="6"/>
      <c r="N428" s="6" t="s">
        <v>2911</v>
      </c>
      <c r="O428" s="52"/>
      <c r="P428" s="6" t="s">
        <v>6132</v>
      </c>
      <c r="Q428" s="6"/>
      <c r="R428" s="6"/>
      <c r="S428" s="6"/>
      <c r="T428" s="54"/>
      <c r="U428" s="6"/>
    </row>
    <row r="429" spans="1:21" ht="102">
      <c r="A429" s="6">
        <v>2018</v>
      </c>
      <c r="B429" s="6" t="s">
        <v>1291</v>
      </c>
      <c r="C429" s="112" t="s">
        <v>61</v>
      </c>
      <c r="D429" s="6" t="s">
        <v>1141</v>
      </c>
      <c r="E429" s="6"/>
      <c r="F429" s="6" t="s">
        <v>1292</v>
      </c>
      <c r="G429" s="6" t="s">
        <v>1293</v>
      </c>
      <c r="H429" s="8">
        <v>68649.5</v>
      </c>
      <c r="I429" s="6" t="s">
        <v>2912</v>
      </c>
      <c r="J429" s="6" t="s">
        <v>2609</v>
      </c>
      <c r="K429" s="6"/>
      <c r="L429" s="6" t="s">
        <v>6137</v>
      </c>
      <c r="M429" s="6"/>
      <c r="N429" s="6" t="s">
        <v>2913</v>
      </c>
      <c r="O429" s="52"/>
      <c r="P429" s="475" t="s">
        <v>1808</v>
      </c>
      <c r="Q429" s="6"/>
      <c r="R429" s="6"/>
      <c r="S429" s="6"/>
      <c r="T429" s="54"/>
      <c r="U429" s="6"/>
    </row>
    <row r="430" spans="1:21" ht="51">
      <c r="A430" s="6">
        <v>2018</v>
      </c>
      <c r="B430" s="6" t="s">
        <v>960</v>
      </c>
      <c r="C430" s="112" t="s">
        <v>61</v>
      </c>
      <c r="D430" s="6" t="s">
        <v>824</v>
      </c>
      <c r="E430" s="6"/>
      <c r="F430" s="6" t="s">
        <v>961</v>
      </c>
      <c r="G430" s="6" t="s">
        <v>962</v>
      </c>
      <c r="H430" s="8">
        <v>8500</v>
      </c>
      <c r="I430" s="6" t="s">
        <v>2914</v>
      </c>
      <c r="J430" s="6" t="s">
        <v>1828</v>
      </c>
      <c r="K430" s="6" t="s">
        <v>1874</v>
      </c>
      <c r="L430" s="6" t="s">
        <v>6104</v>
      </c>
      <c r="M430" s="6"/>
      <c r="N430" s="6" t="s">
        <v>2915</v>
      </c>
      <c r="O430" s="52"/>
      <c r="P430" s="6" t="s">
        <v>6132</v>
      </c>
      <c r="Q430" s="6"/>
      <c r="R430" s="6"/>
      <c r="S430" s="6"/>
      <c r="T430" s="54"/>
      <c r="U430" s="6"/>
    </row>
    <row r="431" spans="1:21" ht="89.25">
      <c r="A431" s="6">
        <v>2018</v>
      </c>
      <c r="B431" s="6" t="s">
        <v>12004</v>
      </c>
      <c r="C431" s="112" t="s">
        <v>61</v>
      </c>
      <c r="D431" s="6" t="s">
        <v>1383</v>
      </c>
      <c r="E431" s="6"/>
      <c r="F431" s="6" t="s">
        <v>2916</v>
      </c>
      <c r="G431" s="6" t="s">
        <v>2917</v>
      </c>
      <c r="H431" s="8">
        <v>100000</v>
      </c>
      <c r="I431" s="6" t="s">
        <v>2881</v>
      </c>
      <c r="J431" s="6" t="s">
        <v>1828</v>
      </c>
      <c r="K431" s="6" t="s">
        <v>82</v>
      </c>
      <c r="L431" s="6" t="s">
        <v>6217</v>
      </c>
      <c r="M431" s="7">
        <v>43249</v>
      </c>
      <c r="N431" s="6" t="s">
        <v>2918</v>
      </c>
      <c r="O431" s="52"/>
      <c r="P431" s="475" t="s">
        <v>1808</v>
      </c>
      <c r="Q431" s="6"/>
      <c r="R431" s="6"/>
      <c r="S431" s="6"/>
      <c r="T431" s="54"/>
      <c r="U431" s="6"/>
    </row>
    <row r="432" spans="1:21" ht="63.75">
      <c r="A432" s="6">
        <v>2018</v>
      </c>
      <c r="B432" s="6" t="s">
        <v>963</v>
      </c>
      <c r="C432" s="112" t="s">
        <v>61</v>
      </c>
      <c r="D432" s="6" t="s">
        <v>652</v>
      </c>
      <c r="E432" s="6"/>
      <c r="F432" s="6" t="s">
        <v>964</v>
      </c>
      <c r="G432" s="6" t="s">
        <v>511</v>
      </c>
      <c r="H432" s="8">
        <v>100000</v>
      </c>
      <c r="I432" s="6" t="s">
        <v>2919</v>
      </c>
      <c r="J432" s="6" t="s">
        <v>11983</v>
      </c>
      <c r="K432" s="6" t="s">
        <v>1874</v>
      </c>
      <c r="L432" s="6" t="s">
        <v>6140</v>
      </c>
      <c r="M432" s="6"/>
      <c r="N432" s="6" t="s">
        <v>2920</v>
      </c>
      <c r="O432" s="52"/>
      <c r="P432" s="6" t="s">
        <v>6132</v>
      </c>
      <c r="Q432" s="6"/>
      <c r="R432" s="6"/>
      <c r="S432" s="6" t="s">
        <v>2144</v>
      </c>
      <c r="T432" s="54"/>
      <c r="U432" s="6"/>
    </row>
    <row r="433" spans="1:21" ht="76.5">
      <c r="A433" s="6">
        <v>2018</v>
      </c>
      <c r="B433" s="6" t="s">
        <v>1737</v>
      </c>
      <c r="C433" s="112" t="s">
        <v>61</v>
      </c>
      <c r="D433" s="6" t="s">
        <v>1383</v>
      </c>
      <c r="E433" s="6"/>
      <c r="F433" s="6" t="s">
        <v>1738</v>
      </c>
      <c r="G433" s="6" t="s">
        <v>2921</v>
      </c>
      <c r="H433" s="8">
        <v>12509</v>
      </c>
      <c r="I433" s="6" t="s">
        <v>2922</v>
      </c>
      <c r="J433" s="6" t="s">
        <v>2467</v>
      </c>
      <c r="K433" s="6" t="s">
        <v>82</v>
      </c>
      <c r="L433" s="6" t="s">
        <v>6832</v>
      </c>
      <c r="M433" s="6"/>
      <c r="N433" s="6" t="s">
        <v>2923</v>
      </c>
      <c r="O433" s="52"/>
      <c r="P433" s="475" t="s">
        <v>1808</v>
      </c>
      <c r="Q433" s="6"/>
      <c r="R433" s="6"/>
      <c r="S433" s="6" t="s">
        <v>6373</v>
      </c>
      <c r="T433" s="54"/>
      <c r="U433" s="6"/>
    </row>
    <row r="434" spans="1:21" ht="63.75">
      <c r="A434" s="6">
        <v>2018</v>
      </c>
      <c r="B434" s="6" t="s">
        <v>1740</v>
      </c>
      <c r="C434" s="112" t="s">
        <v>61</v>
      </c>
      <c r="D434" s="6" t="s">
        <v>1383</v>
      </c>
      <c r="E434" s="6"/>
      <c r="F434" s="6" t="s">
        <v>1741</v>
      </c>
      <c r="G434" s="6" t="s">
        <v>1742</v>
      </c>
      <c r="H434" s="8">
        <v>100000</v>
      </c>
      <c r="I434" s="158" t="s">
        <v>2924</v>
      </c>
      <c r="J434" s="6" t="s">
        <v>1828</v>
      </c>
      <c r="K434" s="6" t="s">
        <v>82</v>
      </c>
      <c r="L434" s="6" t="s">
        <v>6064</v>
      </c>
      <c r="M434" s="6"/>
      <c r="N434" s="6" t="s">
        <v>2925</v>
      </c>
      <c r="O434" s="52"/>
      <c r="P434" s="475" t="s">
        <v>1808</v>
      </c>
      <c r="Q434" s="6"/>
      <c r="R434" s="6"/>
      <c r="S434" s="6" t="s">
        <v>5340</v>
      </c>
      <c r="T434" s="54"/>
      <c r="U434" s="158"/>
    </row>
    <row r="435" spans="1:21" ht="102">
      <c r="A435" s="6">
        <v>2018</v>
      </c>
      <c r="B435" s="6" t="s">
        <v>1743</v>
      </c>
      <c r="C435" s="112" t="s">
        <v>61</v>
      </c>
      <c r="D435" s="6" t="s">
        <v>1744</v>
      </c>
      <c r="E435" s="6"/>
      <c r="F435" s="6" t="s">
        <v>1745</v>
      </c>
      <c r="G435" s="6" t="s">
        <v>572</v>
      </c>
      <c r="H435" s="8">
        <v>99586</v>
      </c>
      <c r="I435" s="6" t="s">
        <v>2926</v>
      </c>
      <c r="J435" s="6" t="s">
        <v>2639</v>
      </c>
      <c r="K435" s="6" t="s">
        <v>2412</v>
      </c>
      <c r="L435" s="6" t="s">
        <v>6064</v>
      </c>
      <c r="M435" s="6"/>
      <c r="N435" s="6" t="s">
        <v>2927</v>
      </c>
      <c r="O435" s="52"/>
      <c r="P435" s="475" t="s">
        <v>1808</v>
      </c>
      <c r="Q435" s="6"/>
      <c r="R435" s="6"/>
      <c r="S435" s="6" t="s">
        <v>1843</v>
      </c>
      <c r="T435" s="54"/>
      <c r="U435" s="6"/>
    </row>
    <row r="436" spans="1:21" ht="102">
      <c r="A436" s="6">
        <v>2018</v>
      </c>
      <c r="B436" s="6" t="s">
        <v>1746</v>
      </c>
      <c r="C436" s="112" t="s">
        <v>61</v>
      </c>
      <c r="D436" s="6" t="s">
        <v>1383</v>
      </c>
      <c r="E436" s="6"/>
      <c r="F436" s="6" t="s">
        <v>1747</v>
      </c>
      <c r="G436" s="6" t="s">
        <v>1748</v>
      </c>
      <c r="H436" s="8">
        <v>100000</v>
      </c>
      <c r="I436" s="6" t="s">
        <v>2928</v>
      </c>
      <c r="J436" s="6" t="s">
        <v>6809</v>
      </c>
      <c r="K436" s="6" t="s">
        <v>82</v>
      </c>
      <c r="L436" s="6" t="s">
        <v>6064</v>
      </c>
      <c r="M436" s="6"/>
      <c r="N436" s="6" t="s">
        <v>2929</v>
      </c>
      <c r="O436" s="52"/>
      <c r="P436" s="475" t="s">
        <v>1808</v>
      </c>
      <c r="Q436" s="6"/>
      <c r="R436" s="6"/>
      <c r="S436" s="6" t="s">
        <v>1843</v>
      </c>
      <c r="T436" s="54"/>
      <c r="U436" s="6"/>
    </row>
    <row r="437" spans="1:21" ht="76.5">
      <c r="A437" s="6">
        <v>2018</v>
      </c>
      <c r="B437" s="6" t="s">
        <v>1294</v>
      </c>
      <c r="C437" s="112" t="s">
        <v>61</v>
      </c>
      <c r="D437" s="6" t="s">
        <v>2937</v>
      </c>
      <c r="E437" s="6"/>
      <c r="F437" s="6" t="s">
        <v>2934</v>
      </c>
      <c r="G437" s="6" t="s">
        <v>1296</v>
      </c>
      <c r="H437" s="8"/>
      <c r="I437" s="6" t="s">
        <v>2935</v>
      </c>
      <c r="J437" s="6" t="s">
        <v>1828</v>
      </c>
      <c r="K437" s="6" t="s">
        <v>1231</v>
      </c>
      <c r="L437" s="6" t="s">
        <v>6092</v>
      </c>
      <c r="M437" s="6"/>
      <c r="N437" s="6" t="s">
        <v>2936</v>
      </c>
      <c r="O437" s="52"/>
      <c r="P437" s="6" t="s">
        <v>6132</v>
      </c>
      <c r="Q437" s="6"/>
      <c r="R437" s="6"/>
      <c r="S437" s="6"/>
      <c r="T437" s="54"/>
      <c r="U437" s="6"/>
    </row>
    <row r="438" spans="1:21" ht="51">
      <c r="A438" s="6">
        <v>2018</v>
      </c>
      <c r="B438" s="6" t="s">
        <v>1749</v>
      </c>
      <c r="C438" s="112" t="s">
        <v>61</v>
      </c>
      <c r="D438" s="6" t="s">
        <v>1744</v>
      </c>
      <c r="E438" s="6"/>
      <c r="F438" s="6" t="s">
        <v>1750</v>
      </c>
      <c r="G438" s="6" t="s">
        <v>1451</v>
      </c>
      <c r="H438" s="8">
        <v>100000</v>
      </c>
      <c r="I438" s="6" t="s">
        <v>2938</v>
      </c>
      <c r="J438" s="6" t="s">
        <v>12005</v>
      </c>
      <c r="K438" s="6" t="s">
        <v>2412</v>
      </c>
      <c r="L438" s="6" t="s">
        <v>6137</v>
      </c>
      <c r="M438" s="6"/>
      <c r="N438" s="6" t="s">
        <v>2939</v>
      </c>
      <c r="O438" s="52"/>
      <c r="P438" s="475" t="s">
        <v>1808</v>
      </c>
      <c r="Q438" s="6"/>
      <c r="R438" s="6"/>
      <c r="S438" s="6" t="s">
        <v>1843</v>
      </c>
      <c r="T438" s="54"/>
      <c r="U438" s="6"/>
    </row>
    <row r="439" spans="1:21" ht="76.5">
      <c r="A439" s="6">
        <v>2018</v>
      </c>
      <c r="B439" s="6" t="s">
        <v>1768</v>
      </c>
      <c r="C439" s="112" t="s">
        <v>61</v>
      </c>
      <c r="D439" s="6" t="s">
        <v>1763</v>
      </c>
      <c r="E439" s="6"/>
      <c r="F439" s="6" t="s">
        <v>1769</v>
      </c>
      <c r="G439" s="6" t="s">
        <v>1770</v>
      </c>
      <c r="H439" s="8">
        <v>49000</v>
      </c>
      <c r="I439" s="6" t="s">
        <v>2940</v>
      </c>
      <c r="J439" s="6" t="s">
        <v>1828</v>
      </c>
      <c r="K439" s="6" t="s">
        <v>82</v>
      </c>
      <c r="L439" s="6" t="s">
        <v>6064</v>
      </c>
      <c r="M439" s="6"/>
      <c r="N439" s="6" t="s">
        <v>2941</v>
      </c>
      <c r="O439" s="52"/>
      <c r="P439" s="6" t="s">
        <v>6132</v>
      </c>
      <c r="Q439" s="6"/>
      <c r="R439" s="6"/>
      <c r="S439" s="6" t="s">
        <v>2144</v>
      </c>
      <c r="T439" s="54"/>
      <c r="U439" s="6"/>
    </row>
    <row r="440" spans="1:21" ht="102">
      <c r="A440" s="6">
        <v>2018</v>
      </c>
      <c r="B440" s="6" t="s">
        <v>1771</v>
      </c>
      <c r="C440" s="112" t="s">
        <v>61</v>
      </c>
      <c r="D440" s="6" t="s">
        <v>1763</v>
      </c>
      <c r="E440" s="6"/>
      <c r="F440" s="6" t="s">
        <v>1772</v>
      </c>
      <c r="G440" s="6" t="s">
        <v>1728</v>
      </c>
      <c r="H440" s="8">
        <v>27700</v>
      </c>
      <c r="I440" s="6" t="s">
        <v>2942</v>
      </c>
      <c r="J440" s="6" t="s">
        <v>1828</v>
      </c>
      <c r="K440" s="6" t="s">
        <v>82</v>
      </c>
      <c r="L440" s="6" t="s">
        <v>6064</v>
      </c>
      <c r="M440" s="6"/>
      <c r="N440" s="6" t="s">
        <v>2943</v>
      </c>
      <c r="O440" s="52"/>
      <c r="P440" s="475" t="s">
        <v>1808</v>
      </c>
      <c r="Q440" s="6"/>
      <c r="R440" s="6"/>
      <c r="S440" s="6" t="s">
        <v>1843</v>
      </c>
      <c r="T440" s="54"/>
      <c r="U440" s="6"/>
    </row>
    <row r="441" spans="1:21" ht="63.75">
      <c r="A441" s="6">
        <v>2018</v>
      </c>
      <c r="B441" s="6" t="s">
        <v>1773</v>
      </c>
      <c r="C441" s="112" t="s">
        <v>61</v>
      </c>
      <c r="D441" s="6" t="s">
        <v>1763</v>
      </c>
      <c r="E441" s="6"/>
      <c r="F441" s="6" t="s">
        <v>1774</v>
      </c>
      <c r="G441" s="6" t="s">
        <v>1775</v>
      </c>
      <c r="H441" s="8">
        <v>40000</v>
      </c>
      <c r="I441" s="6" t="s">
        <v>2944</v>
      </c>
      <c r="J441" s="6" t="s">
        <v>2656</v>
      </c>
      <c r="K441" s="6" t="s">
        <v>82</v>
      </c>
      <c r="L441" s="6" t="s">
        <v>6064</v>
      </c>
      <c r="M441" s="6"/>
      <c r="N441" s="6" t="s">
        <v>2945</v>
      </c>
      <c r="O441" s="52"/>
      <c r="P441" s="475" t="s">
        <v>1808</v>
      </c>
      <c r="Q441" s="6"/>
      <c r="R441" s="6"/>
      <c r="S441" s="6" t="s">
        <v>6841</v>
      </c>
      <c r="T441" s="54"/>
      <c r="U441" s="6"/>
    </row>
    <row r="442" spans="1:21" ht="89.25">
      <c r="A442" s="6">
        <v>2018</v>
      </c>
      <c r="B442" s="6" t="s">
        <v>965</v>
      </c>
      <c r="C442" s="112" t="s">
        <v>61</v>
      </c>
      <c r="D442" s="6" t="s">
        <v>652</v>
      </c>
      <c r="E442" s="6"/>
      <c r="F442" s="6" t="s">
        <v>966</v>
      </c>
      <c r="G442" s="6" t="s">
        <v>967</v>
      </c>
      <c r="H442" s="8">
        <v>18268</v>
      </c>
      <c r="I442" s="6" t="s">
        <v>2946</v>
      </c>
      <c r="J442" s="6" t="s">
        <v>2476</v>
      </c>
      <c r="K442" s="6" t="s">
        <v>1874</v>
      </c>
      <c r="L442" s="6" t="s">
        <v>6844</v>
      </c>
      <c r="M442" s="6"/>
      <c r="N442" s="6" t="s">
        <v>2947</v>
      </c>
      <c r="O442" s="52"/>
      <c r="P442" s="6" t="s">
        <v>6132</v>
      </c>
      <c r="Q442" s="6"/>
      <c r="R442" s="6"/>
      <c r="S442" s="6" t="s">
        <v>2144</v>
      </c>
      <c r="T442" s="54"/>
      <c r="U442" s="6"/>
    </row>
    <row r="443" spans="1:21" ht="76.5">
      <c r="A443" s="6">
        <v>2018</v>
      </c>
      <c r="B443" s="6" t="s">
        <v>1776</v>
      </c>
      <c r="C443" s="112" t="s">
        <v>61</v>
      </c>
      <c r="D443" s="6" t="s">
        <v>1763</v>
      </c>
      <c r="E443" s="6"/>
      <c r="F443" s="6" t="s">
        <v>1777</v>
      </c>
      <c r="G443" s="6" t="s">
        <v>1778</v>
      </c>
      <c r="H443" s="8">
        <v>4500</v>
      </c>
      <c r="I443" s="6" t="s">
        <v>2948</v>
      </c>
      <c r="J443" s="6" t="s">
        <v>2656</v>
      </c>
      <c r="K443" s="6" t="s">
        <v>82</v>
      </c>
      <c r="L443" s="6" t="s">
        <v>6092</v>
      </c>
      <c r="M443" s="6"/>
      <c r="N443" s="6" t="s">
        <v>2949</v>
      </c>
      <c r="O443" s="52"/>
      <c r="P443" s="9" t="s">
        <v>6132</v>
      </c>
      <c r="Q443" s="6"/>
      <c r="R443" s="6"/>
      <c r="S443" s="6" t="s">
        <v>2144</v>
      </c>
      <c r="T443" s="54"/>
      <c r="U443" s="6"/>
    </row>
    <row r="444" spans="1:21" ht="63.75">
      <c r="A444" s="6">
        <v>2018</v>
      </c>
      <c r="B444" s="6" t="s">
        <v>1751</v>
      </c>
      <c r="C444" s="112" t="s">
        <v>61</v>
      </c>
      <c r="D444" s="34" t="s">
        <v>1500</v>
      </c>
      <c r="E444" s="34"/>
      <c r="F444" s="6" t="s">
        <v>1752</v>
      </c>
      <c r="G444" s="6" t="s">
        <v>1753</v>
      </c>
      <c r="H444" s="8">
        <v>100000</v>
      </c>
      <c r="I444" s="6" t="s">
        <v>2298</v>
      </c>
      <c r="J444" s="6" t="s">
        <v>1828</v>
      </c>
      <c r="K444" s="6" t="s">
        <v>82</v>
      </c>
      <c r="L444" s="6" t="s">
        <v>6064</v>
      </c>
      <c r="M444" s="6"/>
      <c r="N444" s="6" t="s">
        <v>2950</v>
      </c>
      <c r="O444" s="52"/>
      <c r="P444" s="475" t="s">
        <v>1808</v>
      </c>
      <c r="Q444" s="6"/>
      <c r="R444" s="6"/>
      <c r="S444" s="6" t="s">
        <v>2163</v>
      </c>
      <c r="T444" s="54"/>
      <c r="U444" s="34"/>
    </row>
    <row r="445" spans="1:21" ht="76.5">
      <c r="A445" s="6">
        <v>2018</v>
      </c>
      <c r="B445" s="6" t="s">
        <v>1297</v>
      </c>
      <c r="C445" s="112" t="s">
        <v>61</v>
      </c>
      <c r="D445" s="6" t="s">
        <v>1141</v>
      </c>
      <c r="E445" s="6"/>
      <c r="F445" s="6" t="s">
        <v>1298</v>
      </c>
      <c r="G445" s="6" t="s">
        <v>1299</v>
      </c>
      <c r="H445" s="8">
        <v>71755.679999999993</v>
      </c>
      <c r="I445" s="6" t="s">
        <v>2912</v>
      </c>
      <c r="J445" s="6" t="s">
        <v>2609</v>
      </c>
      <c r="K445" s="6" t="s">
        <v>1231</v>
      </c>
      <c r="L445" s="6" t="s">
        <v>6137</v>
      </c>
      <c r="M445" s="6"/>
      <c r="N445" s="6" t="s">
        <v>2951</v>
      </c>
      <c r="O445" s="52"/>
      <c r="P445" s="6" t="s">
        <v>6132</v>
      </c>
      <c r="Q445" s="6"/>
      <c r="R445" s="6"/>
      <c r="S445" s="6" t="s">
        <v>6373</v>
      </c>
      <c r="T445" s="54"/>
      <c r="U445" s="6"/>
    </row>
    <row r="446" spans="1:21" ht="89.25">
      <c r="A446" s="6">
        <v>2018</v>
      </c>
      <c r="B446" s="6" t="s">
        <v>968</v>
      </c>
      <c r="C446" s="112" t="s">
        <v>61</v>
      </c>
      <c r="D446" s="6" t="s">
        <v>652</v>
      </c>
      <c r="E446" s="6"/>
      <c r="F446" s="6" t="s">
        <v>2952</v>
      </c>
      <c r="G446" s="6" t="s">
        <v>970</v>
      </c>
      <c r="H446" s="8">
        <v>99200</v>
      </c>
      <c r="I446" s="6" t="s">
        <v>2953</v>
      </c>
      <c r="J446" s="6" t="s">
        <v>2656</v>
      </c>
      <c r="K446" s="6" t="s">
        <v>1874</v>
      </c>
      <c r="L446" s="6" t="s">
        <v>6092</v>
      </c>
      <c r="M446" s="6"/>
      <c r="N446" s="6" t="s">
        <v>2954</v>
      </c>
      <c r="O446" s="52"/>
      <c r="P446" s="6" t="s">
        <v>6132</v>
      </c>
      <c r="Q446" s="6"/>
      <c r="R446" s="6"/>
      <c r="S446" s="6" t="s">
        <v>2144</v>
      </c>
      <c r="T446" s="54"/>
      <c r="U446" s="6"/>
    </row>
    <row r="447" spans="1:21" ht="114.75">
      <c r="A447" s="6">
        <v>2018</v>
      </c>
      <c r="B447" s="6" t="s">
        <v>971</v>
      </c>
      <c r="C447" s="112" t="s">
        <v>61</v>
      </c>
      <c r="D447" s="6" t="s">
        <v>652</v>
      </c>
      <c r="E447" s="6"/>
      <c r="F447" s="6" t="s">
        <v>2955</v>
      </c>
      <c r="G447" s="6" t="s">
        <v>973</v>
      </c>
      <c r="H447" s="8">
        <v>87009</v>
      </c>
      <c r="I447" s="6" t="s">
        <v>2956</v>
      </c>
      <c r="J447" s="6" t="s">
        <v>1828</v>
      </c>
      <c r="K447" s="6" t="s">
        <v>1874</v>
      </c>
      <c r="L447" s="6" t="s">
        <v>6092</v>
      </c>
      <c r="M447" s="6"/>
      <c r="N447" s="6" t="s">
        <v>2957</v>
      </c>
      <c r="O447" s="52"/>
      <c r="P447" s="6" t="s">
        <v>6179</v>
      </c>
      <c r="Q447" s="6"/>
      <c r="R447" s="6"/>
      <c r="S447" s="6" t="s">
        <v>2144</v>
      </c>
      <c r="T447" s="54"/>
      <c r="U447" s="6"/>
    </row>
    <row r="448" spans="1:21" ht="114.75">
      <c r="A448" s="6">
        <v>2018</v>
      </c>
      <c r="B448" s="6" t="s">
        <v>1300</v>
      </c>
      <c r="C448" s="112" t="s">
        <v>61</v>
      </c>
      <c r="D448" s="6" t="s">
        <v>1141</v>
      </c>
      <c r="E448" s="6"/>
      <c r="F448" s="6" t="s">
        <v>1301</v>
      </c>
      <c r="G448" s="6" t="s">
        <v>1302</v>
      </c>
      <c r="H448" s="8">
        <v>77357.03</v>
      </c>
      <c r="I448" s="6" t="s">
        <v>2958</v>
      </c>
      <c r="J448" s="6" t="s">
        <v>2609</v>
      </c>
      <c r="K448" s="6" t="s">
        <v>1231</v>
      </c>
      <c r="L448" s="6" t="s">
        <v>6137</v>
      </c>
      <c r="M448" s="6"/>
      <c r="N448" s="6" t="s">
        <v>2959</v>
      </c>
      <c r="O448" s="52"/>
      <c r="P448" s="475" t="s">
        <v>1808</v>
      </c>
      <c r="Q448" s="6"/>
      <c r="R448" s="6"/>
      <c r="S448" s="6" t="s">
        <v>6373</v>
      </c>
      <c r="T448" s="54"/>
      <c r="U448" s="6"/>
    </row>
    <row r="449" spans="1:21" ht="102">
      <c r="A449" s="6">
        <v>2018</v>
      </c>
      <c r="B449" s="6" t="s">
        <v>1303</v>
      </c>
      <c r="C449" s="112" t="s">
        <v>61</v>
      </c>
      <c r="D449" s="6" t="s">
        <v>1141</v>
      </c>
      <c r="E449" s="6"/>
      <c r="F449" s="6" t="s">
        <v>1304</v>
      </c>
      <c r="G449" s="6" t="s">
        <v>1305</v>
      </c>
      <c r="H449" s="8">
        <v>56005.41</v>
      </c>
      <c r="I449" s="6" t="s">
        <v>2960</v>
      </c>
      <c r="J449" s="6" t="s">
        <v>2609</v>
      </c>
      <c r="K449" s="6" t="s">
        <v>1231</v>
      </c>
      <c r="L449" s="6" t="s">
        <v>6137</v>
      </c>
      <c r="M449" s="6"/>
      <c r="N449" s="6" t="s">
        <v>2961</v>
      </c>
      <c r="O449" s="52"/>
      <c r="P449" s="475" t="s">
        <v>1808</v>
      </c>
      <c r="Q449" s="6"/>
      <c r="R449" s="6"/>
      <c r="S449" s="6" t="s">
        <v>6373</v>
      </c>
      <c r="T449" s="54"/>
      <c r="U449" s="6"/>
    </row>
    <row r="450" spans="1:21" ht="63.75">
      <c r="A450" s="6">
        <v>2018</v>
      </c>
      <c r="B450" s="6" t="s">
        <v>974</v>
      </c>
      <c r="C450" s="112" t="s">
        <v>61</v>
      </c>
      <c r="D450" s="6" t="s">
        <v>652</v>
      </c>
      <c r="E450" s="6"/>
      <c r="F450" s="6" t="s">
        <v>2962</v>
      </c>
      <c r="G450" s="6" t="s">
        <v>976</v>
      </c>
      <c r="H450" s="8">
        <v>87880</v>
      </c>
      <c r="I450" s="6" t="s">
        <v>2963</v>
      </c>
      <c r="J450" s="6" t="s">
        <v>2467</v>
      </c>
      <c r="K450" s="6" t="s">
        <v>1874</v>
      </c>
      <c r="L450" s="6" t="s">
        <v>6092</v>
      </c>
      <c r="M450" s="6"/>
      <c r="N450" s="6" t="s">
        <v>2964</v>
      </c>
      <c r="O450" s="52"/>
      <c r="P450" s="6" t="s">
        <v>6132</v>
      </c>
      <c r="Q450" s="6"/>
      <c r="R450" s="6"/>
      <c r="S450" s="6" t="s">
        <v>2144</v>
      </c>
      <c r="T450" s="54"/>
      <c r="U450" s="6"/>
    </row>
    <row r="451" spans="1:21" ht="89.25">
      <c r="A451" s="6">
        <v>2018</v>
      </c>
      <c r="B451" s="6" t="s">
        <v>1754</v>
      </c>
      <c r="C451" s="112" t="s">
        <v>61</v>
      </c>
      <c r="D451" s="6" t="s">
        <v>1383</v>
      </c>
      <c r="E451" s="6"/>
      <c r="F451" s="6" t="s">
        <v>1755</v>
      </c>
      <c r="G451" s="6" t="s">
        <v>1756</v>
      </c>
      <c r="H451" s="8">
        <v>50000</v>
      </c>
      <c r="I451" s="6" t="s">
        <v>2965</v>
      </c>
      <c r="J451" s="6" t="s">
        <v>1828</v>
      </c>
      <c r="K451" s="6" t="s">
        <v>82</v>
      </c>
      <c r="L451" s="6" t="s">
        <v>6071</v>
      </c>
      <c r="M451" s="6"/>
      <c r="N451" s="6" t="s">
        <v>12006</v>
      </c>
      <c r="O451" s="52"/>
      <c r="P451" s="475" t="s">
        <v>1808</v>
      </c>
      <c r="Q451" s="6"/>
      <c r="R451" s="6"/>
      <c r="S451" s="6" t="s">
        <v>6853</v>
      </c>
      <c r="T451" s="54"/>
      <c r="U451" s="6"/>
    </row>
    <row r="452" spans="1:21" ht="114.75">
      <c r="A452" s="6">
        <v>2018</v>
      </c>
      <c r="B452" s="6" t="s">
        <v>1757</v>
      </c>
      <c r="C452" s="112" t="s">
        <v>61</v>
      </c>
      <c r="D452" s="6" t="s">
        <v>1383</v>
      </c>
      <c r="E452" s="6"/>
      <c r="F452" s="6" t="s">
        <v>1758</v>
      </c>
      <c r="G452" s="6" t="s">
        <v>1759</v>
      </c>
      <c r="H452" s="8">
        <v>100000</v>
      </c>
      <c r="I452" s="6" t="s">
        <v>2967</v>
      </c>
      <c r="J452" s="6" t="s">
        <v>1828</v>
      </c>
      <c r="K452" s="6" t="s">
        <v>82</v>
      </c>
      <c r="L452" s="6" t="s">
        <v>6064</v>
      </c>
      <c r="M452" s="6"/>
      <c r="N452" s="6" t="s">
        <v>12007</v>
      </c>
      <c r="O452" s="52"/>
      <c r="P452" s="475" t="s">
        <v>1808</v>
      </c>
      <c r="Q452" s="6"/>
      <c r="R452" s="6"/>
      <c r="S452" s="6" t="s">
        <v>6855</v>
      </c>
      <c r="T452" s="54"/>
      <c r="U452" s="6"/>
    </row>
    <row r="453" spans="1:21" ht="89.25">
      <c r="A453" s="6">
        <v>2018</v>
      </c>
      <c r="B453" s="6" t="s">
        <v>977</v>
      </c>
      <c r="C453" s="112" t="s">
        <v>61</v>
      </c>
      <c r="D453" s="6" t="s">
        <v>586</v>
      </c>
      <c r="E453" s="6"/>
      <c r="F453" s="6" t="s">
        <v>978</v>
      </c>
      <c r="G453" s="6" t="s">
        <v>906</v>
      </c>
      <c r="H453" s="8">
        <v>20150</v>
      </c>
      <c r="I453" s="6" t="s">
        <v>2969</v>
      </c>
      <c r="J453" s="6" t="s">
        <v>1828</v>
      </c>
      <c r="K453" s="6" t="s">
        <v>1874</v>
      </c>
      <c r="L453" s="6" t="s">
        <v>6137</v>
      </c>
      <c r="M453" s="6"/>
      <c r="N453" s="6" t="s">
        <v>2970</v>
      </c>
      <c r="O453" s="52"/>
      <c r="P453" s="6" t="s">
        <v>6179</v>
      </c>
      <c r="Q453" s="6"/>
      <c r="R453" s="6"/>
      <c r="S453" s="6" t="s">
        <v>2144</v>
      </c>
      <c r="T453" s="54"/>
      <c r="U453" s="6"/>
    </row>
    <row r="454" spans="1:21" ht="63.75">
      <c r="A454" s="6">
        <v>2018</v>
      </c>
      <c r="B454" s="6" t="s">
        <v>1306</v>
      </c>
      <c r="C454" s="112" t="s">
        <v>61</v>
      </c>
      <c r="D454" s="6" t="s">
        <v>1141</v>
      </c>
      <c r="E454" s="6"/>
      <c r="F454" s="6" t="s">
        <v>1307</v>
      </c>
      <c r="G454" s="6" t="s">
        <v>1206</v>
      </c>
      <c r="H454" s="8">
        <v>52464.86</v>
      </c>
      <c r="I454" s="6" t="s">
        <v>2971</v>
      </c>
      <c r="J454" s="6" t="s">
        <v>2474</v>
      </c>
      <c r="K454" s="6" t="s">
        <v>1904</v>
      </c>
      <c r="L454" s="6" t="s">
        <v>6137</v>
      </c>
      <c r="M454" s="6"/>
      <c r="N454" s="6" t="s">
        <v>2972</v>
      </c>
      <c r="O454" s="52"/>
      <c r="P454" s="475" t="s">
        <v>1808</v>
      </c>
      <c r="Q454" s="6"/>
      <c r="R454" s="6"/>
      <c r="S454" s="6" t="s">
        <v>6373</v>
      </c>
      <c r="T454" s="54"/>
      <c r="U454" s="6"/>
    </row>
    <row r="455" spans="1:21" ht="102">
      <c r="A455" s="6">
        <v>2018</v>
      </c>
      <c r="B455" s="6" t="s">
        <v>1308</v>
      </c>
      <c r="C455" s="112" t="s">
        <v>61</v>
      </c>
      <c r="D455" s="6" t="s">
        <v>1231</v>
      </c>
      <c r="E455" s="6"/>
      <c r="F455" s="6" t="s">
        <v>1309</v>
      </c>
      <c r="G455" s="6" t="s">
        <v>1310</v>
      </c>
      <c r="H455" s="8">
        <v>50000</v>
      </c>
      <c r="I455" s="6" t="s">
        <v>2973</v>
      </c>
      <c r="J455" s="6" t="s">
        <v>1828</v>
      </c>
      <c r="K455" s="6" t="s">
        <v>1231</v>
      </c>
      <c r="L455" s="6" t="s">
        <v>6064</v>
      </c>
      <c r="M455" s="6"/>
      <c r="N455" s="6" t="s">
        <v>2974</v>
      </c>
      <c r="O455" s="52"/>
      <c r="P455" s="475" t="s">
        <v>1808</v>
      </c>
      <c r="Q455" s="6"/>
      <c r="R455" s="6"/>
      <c r="S455" s="6" t="s">
        <v>2163</v>
      </c>
      <c r="T455" s="54"/>
      <c r="U455" s="6"/>
    </row>
    <row r="456" spans="1:21" ht="89.25">
      <c r="A456" s="6">
        <v>2018</v>
      </c>
      <c r="B456" s="6" t="s">
        <v>979</v>
      </c>
      <c r="C456" s="112" t="s">
        <v>61</v>
      </c>
      <c r="D456" s="6" t="s">
        <v>652</v>
      </c>
      <c r="E456" s="6"/>
      <c r="F456" s="6" t="s">
        <v>980</v>
      </c>
      <c r="G456" s="6" t="s">
        <v>981</v>
      </c>
      <c r="H456" s="8">
        <v>98750</v>
      </c>
      <c r="I456" s="6" t="s">
        <v>2978</v>
      </c>
      <c r="J456" s="6" t="s">
        <v>1828</v>
      </c>
      <c r="K456" s="6" t="s">
        <v>1874</v>
      </c>
      <c r="L456" s="6" t="s">
        <v>6137</v>
      </c>
      <c r="M456" s="6"/>
      <c r="N456" s="6" t="s">
        <v>2979</v>
      </c>
      <c r="O456" s="52"/>
      <c r="P456" s="6" t="s">
        <v>6179</v>
      </c>
      <c r="Q456" s="6"/>
      <c r="R456" s="6"/>
      <c r="S456" s="6" t="s">
        <v>2144</v>
      </c>
      <c r="T456" s="54"/>
      <c r="U456" s="6"/>
    </row>
    <row r="457" spans="1:21" ht="76.5">
      <c r="A457" s="6">
        <v>2018</v>
      </c>
      <c r="B457" s="6" t="s">
        <v>1311</v>
      </c>
      <c r="C457" s="112" t="s">
        <v>61</v>
      </c>
      <c r="D457" s="6" t="s">
        <v>1141</v>
      </c>
      <c r="E457" s="6"/>
      <c r="F457" s="6" t="s">
        <v>1312</v>
      </c>
      <c r="G457" s="6" t="s">
        <v>1206</v>
      </c>
      <c r="H457" s="8">
        <v>93859.46</v>
      </c>
      <c r="I457" s="6" t="s">
        <v>2500</v>
      </c>
      <c r="J457" s="6" t="s">
        <v>2474</v>
      </c>
      <c r="K457" s="6" t="s">
        <v>1904</v>
      </c>
      <c r="L457" s="6" t="s">
        <v>6137</v>
      </c>
      <c r="M457" s="6"/>
      <c r="N457" s="6" t="s">
        <v>2980</v>
      </c>
      <c r="O457" s="52"/>
      <c r="P457" s="475" t="s">
        <v>1808</v>
      </c>
      <c r="Q457" s="6"/>
      <c r="R457" s="6"/>
      <c r="S457" s="6" t="s">
        <v>6373</v>
      </c>
      <c r="T457" s="54"/>
      <c r="U457" s="6"/>
    </row>
    <row r="458" spans="1:21" ht="89.25">
      <c r="A458" s="6">
        <v>2018</v>
      </c>
      <c r="B458" s="6" t="s">
        <v>982</v>
      </c>
      <c r="C458" s="112" t="s">
        <v>61</v>
      </c>
      <c r="D458" s="6" t="s">
        <v>652</v>
      </c>
      <c r="E458" s="6"/>
      <c r="F458" s="6" t="s">
        <v>983</v>
      </c>
      <c r="G458" s="6" t="s">
        <v>984</v>
      </c>
      <c r="H458" s="8">
        <v>100000</v>
      </c>
      <c r="I458" s="6" t="s">
        <v>2981</v>
      </c>
      <c r="J458" s="6" t="s">
        <v>2656</v>
      </c>
      <c r="K458" s="6" t="s">
        <v>1874</v>
      </c>
      <c r="L458" s="6" t="s">
        <v>6104</v>
      </c>
      <c r="M458" s="6"/>
      <c r="N458" s="6" t="s">
        <v>2982</v>
      </c>
      <c r="O458" s="52"/>
      <c r="P458" s="6" t="s">
        <v>6132</v>
      </c>
      <c r="Q458" s="6"/>
      <c r="R458" s="6"/>
      <c r="S458" s="6" t="s">
        <v>2144</v>
      </c>
      <c r="T458" s="54"/>
      <c r="U458" s="6"/>
    </row>
    <row r="459" spans="1:21" ht="76.5">
      <c r="A459" s="6">
        <v>2018</v>
      </c>
      <c r="B459" s="6" t="s">
        <v>1760</v>
      </c>
      <c r="C459" s="112" t="s">
        <v>61</v>
      </c>
      <c r="D459" s="6" t="s">
        <v>1383</v>
      </c>
      <c r="E459" s="6"/>
      <c r="F459" s="6" t="s">
        <v>1761</v>
      </c>
      <c r="G459" s="6" t="s">
        <v>1762</v>
      </c>
      <c r="H459" s="8">
        <v>64080</v>
      </c>
      <c r="I459" s="6" t="s">
        <v>1828</v>
      </c>
      <c r="J459" s="6" t="s">
        <v>1828</v>
      </c>
      <c r="K459" s="6" t="s">
        <v>82</v>
      </c>
      <c r="L459" s="6" t="s">
        <v>6064</v>
      </c>
      <c r="M459" s="6"/>
      <c r="N459" s="6" t="s">
        <v>2983</v>
      </c>
      <c r="O459" s="52"/>
      <c r="P459" s="6"/>
      <c r="Q459" s="6"/>
      <c r="R459" s="6"/>
      <c r="S459" s="6" t="s">
        <v>6864</v>
      </c>
      <c r="T459" s="54"/>
      <c r="U459" s="6"/>
    </row>
    <row r="460" spans="1:21" ht="114.75">
      <c r="A460" s="6">
        <v>2018</v>
      </c>
      <c r="B460" s="6" t="s">
        <v>985</v>
      </c>
      <c r="C460" s="112" t="s">
        <v>61</v>
      </c>
      <c r="D460" s="6" t="s">
        <v>586</v>
      </c>
      <c r="E460" s="6"/>
      <c r="F460" s="6" t="s">
        <v>857</v>
      </c>
      <c r="G460" s="6" t="s">
        <v>986</v>
      </c>
      <c r="H460" s="8">
        <v>11620.76</v>
      </c>
      <c r="I460" s="6" t="s">
        <v>2656</v>
      </c>
      <c r="J460" s="6" t="s">
        <v>2656</v>
      </c>
      <c r="K460" s="6" t="s">
        <v>1874</v>
      </c>
      <c r="L460" s="6" t="s">
        <v>6104</v>
      </c>
      <c r="M460" s="6"/>
      <c r="N460" s="6" t="s">
        <v>2984</v>
      </c>
      <c r="O460" s="52"/>
      <c r="P460" s="6" t="s">
        <v>6132</v>
      </c>
      <c r="Q460" s="6"/>
      <c r="R460" s="6"/>
      <c r="S460" s="6" t="s">
        <v>2144</v>
      </c>
      <c r="T460" s="54"/>
      <c r="U460" s="6"/>
    </row>
    <row r="461" spans="1:21" ht="51">
      <c r="A461" s="6">
        <v>2018</v>
      </c>
      <c r="B461" s="6" t="s">
        <v>985</v>
      </c>
      <c r="C461" s="112" t="s">
        <v>61</v>
      </c>
      <c r="D461" s="6" t="s">
        <v>1763</v>
      </c>
      <c r="E461" s="6"/>
      <c r="F461" s="6" t="s">
        <v>1779</v>
      </c>
      <c r="G461" s="6" t="s">
        <v>2985</v>
      </c>
      <c r="H461" s="8">
        <v>296400</v>
      </c>
      <c r="I461" s="6" t="s">
        <v>2986</v>
      </c>
      <c r="J461" s="6" t="s">
        <v>2656</v>
      </c>
      <c r="K461" s="6" t="s">
        <v>82</v>
      </c>
      <c r="L461" s="6" t="s">
        <v>6137</v>
      </c>
      <c r="M461" s="6"/>
      <c r="N461" s="6" t="s">
        <v>2987</v>
      </c>
      <c r="O461" s="52"/>
      <c r="P461" s="6"/>
      <c r="Q461" s="6"/>
      <c r="R461" s="6"/>
      <c r="S461" s="6" t="s">
        <v>6373</v>
      </c>
      <c r="T461" s="54"/>
      <c r="U461" s="6"/>
    </row>
    <row r="462" spans="1:21" ht="76.5">
      <c r="A462" s="6">
        <v>2018</v>
      </c>
      <c r="B462" s="6" t="s">
        <v>987</v>
      </c>
      <c r="C462" s="112" t="s">
        <v>61</v>
      </c>
      <c r="D462" s="6" t="s">
        <v>652</v>
      </c>
      <c r="E462" s="6"/>
      <c r="F462" s="6" t="s">
        <v>988</v>
      </c>
      <c r="G462" s="6" t="s">
        <v>989</v>
      </c>
      <c r="H462" s="8">
        <v>92152.5</v>
      </c>
      <c r="I462" s="6" t="s">
        <v>2988</v>
      </c>
      <c r="J462" s="6" t="s">
        <v>6198</v>
      </c>
      <c r="K462" s="6" t="s">
        <v>1874</v>
      </c>
      <c r="L462" s="6" t="s">
        <v>6104</v>
      </c>
      <c r="M462" s="6"/>
      <c r="N462" s="6" t="s">
        <v>2989</v>
      </c>
      <c r="O462" s="52"/>
      <c r="P462" s="6" t="s">
        <v>6132</v>
      </c>
      <c r="Q462" s="6"/>
      <c r="R462" s="6"/>
      <c r="S462" s="6" t="s">
        <v>2144</v>
      </c>
      <c r="T462" s="54"/>
      <c r="U462" s="6"/>
    </row>
    <row r="463" spans="1:21" ht="63.75">
      <c r="A463" s="6">
        <v>2018</v>
      </c>
      <c r="B463" s="6" t="s">
        <v>990</v>
      </c>
      <c r="C463" s="112" t="s">
        <v>61</v>
      </c>
      <c r="D463" s="6" t="s">
        <v>652</v>
      </c>
      <c r="E463" s="6"/>
      <c r="F463" s="6" t="s">
        <v>991</v>
      </c>
      <c r="G463" s="6" t="s">
        <v>992</v>
      </c>
      <c r="H463" s="8">
        <v>94000</v>
      </c>
      <c r="I463" s="6" t="s">
        <v>2990</v>
      </c>
      <c r="J463" s="6" t="s">
        <v>1828</v>
      </c>
      <c r="K463" s="6" t="s">
        <v>1874</v>
      </c>
      <c r="L463" s="6" t="s">
        <v>6092</v>
      </c>
      <c r="M463" s="6"/>
      <c r="N463" s="6" t="s">
        <v>2991</v>
      </c>
      <c r="O463" s="52"/>
      <c r="P463" s="6" t="s">
        <v>6132</v>
      </c>
      <c r="Q463" s="6"/>
      <c r="R463" s="6"/>
      <c r="S463" s="6" t="s">
        <v>2144</v>
      </c>
      <c r="T463" s="54"/>
      <c r="U463" s="6"/>
    </row>
    <row r="464" spans="1:21" ht="51.75" customHeight="1">
      <c r="A464" s="6">
        <v>2017</v>
      </c>
      <c r="B464" s="61">
        <v>42736</v>
      </c>
      <c r="C464" s="112" t="s">
        <v>61</v>
      </c>
      <c r="D464" s="6" t="s">
        <v>125</v>
      </c>
      <c r="E464" s="6"/>
      <c r="F464" s="158" t="s">
        <v>807</v>
      </c>
      <c r="G464" s="158" t="s">
        <v>2992</v>
      </c>
      <c r="H464" s="8">
        <v>450000</v>
      </c>
      <c r="I464" s="6" t="s">
        <v>1938</v>
      </c>
      <c r="J464" s="6" t="s">
        <v>1828</v>
      </c>
      <c r="K464" s="6"/>
      <c r="L464" s="6" t="s">
        <v>6064</v>
      </c>
      <c r="M464" s="172"/>
      <c r="N464" s="172"/>
      <c r="O464" s="52"/>
      <c r="P464" s="475" t="s">
        <v>1808</v>
      </c>
      <c r="Q464" s="158"/>
      <c r="R464" s="472" t="s">
        <v>12008</v>
      </c>
      <c r="S464" s="6" t="s">
        <v>1824</v>
      </c>
      <c r="T464" s="6"/>
      <c r="U464" s="6"/>
    </row>
    <row r="465" spans="1:21" ht="51">
      <c r="A465" s="6">
        <v>2017</v>
      </c>
      <c r="B465" s="61">
        <v>42767</v>
      </c>
      <c r="C465" s="112" t="s">
        <v>61</v>
      </c>
      <c r="D465" s="6" t="s">
        <v>2993</v>
      </c>
      <c r="E465" s="6"/>
      <c r="F465" s="6" t="s">
        <v>2994</v>
      </c>
      <c r="G465" s="6" t="s">
        <v>2995</v>
      </c>
      <c r="H465" s="8">
        <v>300000</v>
      </c>
      <c r="I465" s="160" t="s">
        <v>2996</v>
      </c>
      <c r="J465" s="6" t="s">
        <v>6874</v>
      </c>
      <c r="K465" s="6"/>
      <c r="L465" s="6" t="s">
        <v>6104</v>
      </c>
      <c r="M465" s="6"/>
      <c r="N465" s="6"/>
      <c r="O465" s="52"/>
      <c r="P465" s="475" t="s">
        <v>1808</v>
      </c>
      <c r="Q465" s="6"/>
      <c r="R465" s="297" t="s">
        <v>12009</v>
      </c>
      <c r="S465" s="6" t="s">
        <v>1824</v>
      </c>
      <c r="T465" s="6"/>
      <c r="U465" s="160"/>
    </row>
    <row r="466" spans="1:21" ht="25.5">
      <c r="A466" s="6">
        <v>2017</v>
      </c>
      <c r="B466" s="61">
        <v>42795</v>
      </c>
      <c r="C466" s="112" t="s">
        <v>61</v>
      </c>
      <c r="D466" s="34" t="s">
        <v>1500</v>
      </c>
      <c r="E466" s="34"/>
      <c r="F466" s="6" t="s">
        <v>2997</v>
      </c>
      <c r="G466" s="6" t="s">
        <v>2998</v>
      </c>
      <c r="H466" s="8">
        <v>188800</v>
      </c>
      <c r="I466" s="6"/>
      <c r="J466" s="56"/>
      <c r="K466" s="6"/>
      <c r="L466" s="6" t="s">
        <v>6064</v>
      </c>
      <c r="M466" s="6"/>
      <c r="N466" s="6"/>
      <c r="O466" s="52"/>
      <c r="P466" s="475" t="s">
        <v>1808</v>
      </c>
      <c r="Q466" s="6"/>
      <c r="R466" s="6"/>
      <c r="S466" s="6"/>
      <c r="T466" s="6"/>
      <c r="U466" s="34"/>
    </row>
    <row r="467" spans="1:21" ht="51">
      <c r="A467" s="6">
        <v>2017</v>
      </c>
      <c r="B467" s="61">
        <v>42826</v>
      </c>
      <c r="C467" s="112" t="s">
        <v>61</v>
      </c>
      <c r="D467" s="34" t="s">
        <v>1500</v>
      </c>
      <c r="E467" s="34"/>
      <c r="F467" s="6" t="s">
        <v>2999</v>
      </c>
      <c r="G467" s="6" t="s">
        <v>3000</v>
      </c>
      <c r="H467" s="8">
        <v>200000</v>
      </c>
      <c r="I467" s="6" t="s">
        <v>3001</v>
      </c>
      <c r="J467" s="6" t="s">
        <v>1828</v>
      </c>
      <c r="K467" s="6"/>
      <c r="L467" s="6" t="s">
        <v>6064</v>
      </c>
      <c r="M467" s="6"/>
      <c r="N467" s="6"/>
      <c r="O467" s="52"/>
      <c r="P467" s="475" t="s">
        <v>1808</v>
      </c>
      <c r="Q467" s="6"/>
      <c r="R467" s="6"/>
      <c r="S467" s="6" t="s">
        <v>1824</v>
      </c>
      <c r="T467" s="6"/>
      <c r="U467" s="34"/>
    </row>
    <row r="468" spans="1:21" ht="51">
      <c r="A468" s="6">
        <v>2017</v>
      </c>
      <c r="B468" s="61">
        <v>42856</v>
      </c>
      <c r="C468" s="112" t="s">
        <v>61</v>
      </c>
      <c r="D468" s="34" t="s">
        <v>1500</v>
      </c>
      <c r="E468" s="34"/>
      <c r="F468" s="6" t="s">
        <v>3002</v>
      </c>
      <c r="G468" s="6" t="s">
        <v>3003</v>
      </c>
      <c r="H468" s="8">
        <v>200000</v>
      </c>
      <c r="I468" s="160" t="s">
        <v>3001</v>
      </c>
      <c r="J468" s="6" t="s">
        <v>1828</v>
      </c>
      <c r="K468" s="6"/>
      <c r="L468" s="6" t="s">
        <v>6064</v>
      </c>
      <c r="M468" s="6"/>
      <c r="N468" s="6"/>
      <c r="O468" s="52"/>
      <c r="P468" s="475" t="s">
        <v>1808</v>
      </c>
      <c r="Q468" s="6"/>
      <c r="R468" s="6"/>
      <c r="S468" s="6" t="s">
        <v>1824</v>
      </c>
      <c r="T468" s="6"/>
      <c r="U468" s="398"/>
    </row>
    <row r="469" spans="1:21" ht="51">
      <c r="A469" s="6">
        <v>2017</v>
      </c>
      <c r="B469" s="61">
        <v>42887</v>
      </c>
      <c r="C469" s="112" t="s">
        <v>61</v>
      </c>
      <c r="D469" s="34" t="s">
        <v>1500</v>
      </c>
      <c r="E469" s="34"/>
      <c r="F469" s="6" t="s">
        <v>3004</v>
      </c>
      <c r="G469" s="6" t="s">
        <v>3005</v>
      </c>
      <c r="H469" s="8">
        <v>200000</v>
      </c>
      <c r="I469" s="160" t="s">
        <v>3006</v>
      </c>
      <c r="J469" s="6" t="s">
        <v>2656</v>
      </c>
      <c r="K469" s="6"/>
      <c r="L469" s="6" t="s">
        <v>6064</v>
      </c>
      <c r="M469" s="6"/>
      <c r="N469" s="6"/>
      <c r="O469" s="52"/>
      <c r="P469" s="475" t="s">
        <v>1808</v>
      </c>
      <c r="Q469" s="6"/>
      <c r="R469" s="6"/>
      <c r="S469" s="6" t="s">
        <v>1824</v>
      </c>
      <c r="T469" s="6"/>
      <c r="U469" s="398"/>
    </row>
    <row r="470" spans="1:21" ht="51">
      <c r="A470" s="6">
        <v>2017</v>
      </c>
      <c r="B470" s="62">
        <v>42917</v>
      </c>
      <c r="C470" s="112" t="s">
        <v>61</v>
      </c>
      <c r="D470" s="34" t="s">
        <v>1500</v>
      </c>
      <c r="E470" s="34"/>
      <c r="F470" s="6" t="s">
        <v>3007</v>
      </c>
      <c r="G470" s="6" t="s">
        <v>3008</v>
      </c>
      <c r="H470" s="8">
        <v>200000</v>
      </c>
      <c r="I470" s="160" t="s">
        <v>3001</v>
      </c>
      <c r="J470" s="6" t="s">
        <v>1828</v>
      </c>
      <c r="K470" s="6"/>
      <c r="L470" s="6" t="s">
        <v>6064</v>
      </c>
      <c r="M470" s="6"/>
      <c r="N470" s="6"/>
      <c r="O470" s="52"/>
      <c r="P470" s="475" t="s">
        <v>1808</v>
      </c>
      <c r="Q470" s="6"/>
      <c r="R470" s="6"/>
      <c r="S470" s="6" t="s">
        <v>1824</v>
      </c>
      <c r="T470" s="6"/>
      <c r="U470" s="398"/>
    </row>
    <row r="471" spans="1:21" ht="51">
      <c r="A471" s="6">
        <v>2017</v>
      </c>
      <c r="B471" s="61">
        <v>42948</v>
      </c>
      <c r="C471" s="112" t="s">
        <v>61</v>
      </c>
      <c r="D471" s="34" t="s">
        <v>1500</v>
      </c>
      <c r="E471" s="34"/>
      <c r="F471" s="158" t="s">
        <v>3009</v>
      </c>
      <c r="G471" s="158" t="s">
        <v>3010</v>
      </c>
      <c r="H471" s="470">
        <v>200000</v>
      </c>
      <c r="I471" s="558" t="s">
        <v>3001</v>
      </c>
      <c r="J471" s="6" t="s">
        <v>1828</v>
      </c>
      <c r="K471" s="6"/>
      <c r="L471" s="6" t="s">
        <v>6064</v>
      </c>
      <c r="M471" s="158"/>
      <c r="N471" s="158"/>
      <c r="O471" s="52"/>
      <c r="P471" s="475" t="s">
        <v>1808</v>
      </c>
      <c r="Q471" s="158"/>
      <c r="R471" s="158"/>
      <c r="S471" s="6" t="s">
        <v>1824</v>
      </c>
      <c r="T471" s="6"/>
      <c r="U471" s="591"/>
    </row>
    <row r="472" spans="1:21" ht="51">
      <c r="A472" s="6">
        <v>2017</v>
      </c>
      <c r="B472" s="62">
        <v>42979</v>
      </c>
      <c r="C472" s="112" t="s">
        <v>61</v>
      </c>
      <c r="D472" s="34" t="s">
        <v>1500</v>
      </c>
      <c r="E472" s="34"/>
      <c r="F472" s="6" t="s">
        <v>3011</v>
      </c>
      <c r="G472" s="6" t="s">
        <v>3012</v>
      </c>
      <c r="H472" s="8">
        <v>200000</v>
      </c>
      <c r="I472" s="558" t="s">
        <v>3001</v>
      </c>
      <c r="J472" s="6" t="s">
        <v>1828</v>
      </c>
      <c r="K472" s="6"/>
      <c r="L472" s="6" t="s">
        <v>6064</v>
      </c>
      <c r="M472" s="6"/>
      <c r="N472" s="6"/>
      <c r="O472" s="52"/>
      <c r="P472" s="475" t="s">
        <v>1808</v>
      </c>
      <c r="Q472" s="6"/>
      <c r="R472" s="6"/>
      <c r="S472" s="6" t="s">
        <v>1824</v>
      </c>
      <c r="T472" s="6"/>
      <c r="U472" s="591"/>
    </row>
    <row r="473" spans="1:21" ht="25.5">
      <c r="A473" s="6">
        <v>2017</v>
      </c>
      <c r="B473" s="62">
        <v>43009</v>
      </c>
      <c r="C473" s="112" t="s">
        <v>61</v>
      </c>
      <c r="D473" s="34" t="s">
        <v>1500</v>
      </c>
      <c r="E473" s="34"/>
      <c r="F473" s="6" t="s">
        <v>3013</v>
      </c>
      <c r="G473" s="6" t="s">
        <v>3014</v>
      </c>
      <c r="H473" s="8">
        <v>200000</v>
      </c>
      <c r="I473" s="160" t="s">
        <v>3015</v>
      </c>
      <c r="J473" s="6" t="s">
        <v>1828</v>
      </c>
      <c r="K473" s="6"/>
      <c r="L473" s="6" t="s">
        <v>6064</v>
      </c>
      <c r="M473" s="6"/>
      <c r="N473" s="6"/>
      <c r="O473" s="52"/>
      <c r="P473" s="475" t="s">
        <v>1808</v>
      </c>
      <c r="Q473" s="6"/>
      <c r="R473" s="6"/>
      <c r="S473" s="6"/>
      <c r="T473" s="6"/>
      <c r="U473" s="398"/>
    </row>
    <row r="474" spans="1:21" ht="38.25">
      <c r="A474" s="6">
        <v>2017</v>
      </c>
      <c r="B474" s="62">
        <v>43040</v>
      </c>
      <c r="C474" s="112" t="s">
        <v>61</v>
      </c>
      <c r="D474" s="34" t="s">
        <v>1500</v>
      </c>
      <c r="E474" s="34"/>
      <c r="F474" s="6" t="s">
        <v>3016</v>
      </c>
      <c r="G474" s="6" t="s">
        <v>3017</v>
      </c>
      <c r="H474" s="8">
        <v>200000</v>
      </c>
      <c r="I474" s="160" t="s">
        <v>3018</v>
      </c>
      <c r="J474" s="6" t="s">
        <v>1828</v>
      </c>
      <c r="K474" s="6"/>
      <c r="L474" s="6" t="s">
        <v>6064</v>
      </c>
      <c r="M474" s="6"/>
      <c r="N474" s="6"/>
      <c r="O474" s="52"/>
      <c r="P474" s="475" t="s">
        <v>1808</v>
      </c>
      <c r="Q474" s="6"/>
      <c r="R474" s="6"/>
      <c r="S474" s="6"/>
      <c r="T474" s="6"/>
      <c r="U474" s="398"/>
    </row>
    <row r="475" spans="1:21" ht="12.75">
      <c r="A475" s="6">
        <v>2017</v>
      </c>
      <c r="B475" s="62">
        <v>43070</v>
      </c>
      <c r="C475" s="112" t="s">
        <v>61</v>
      </c>
      <c r="D475" s="34" t="s">
        <v>1500</v>
      </c>
      <c r="E475" s="34"/>
      <c r="F475" s="6" t="s">
        <v>3019</v>
      </c>
      <c r="G475" s="6" t="s">
        <v>3020</v>
      </c>
      <c r="H475" s="8">
        <v>200000</v>
      </c>
      <c r="I475" s="6" t="s">
        <v>1938</v>
      </c>
      <c r="J475" s="6" t="s">
        <v>1828</v>
      </c>
      <c r="K475" s="6"/>
      <c r="L475" s="6" t="s">
        <v>6064</v>
      </c>
      <c r="M475" s="6"/>
      <c r="N475" s="6"/>
      <c r="O475" s="52"/>
      <c r="P475" s="475" t="s">
        <v>1808</v>
      </c>
      <c r="Q475" s="6"/>
      <c r="R475" s="6"/>
      <c r="S475" s="6" t="s">
        <v>1824</v>
      </c>
      <c r="T475" s="6"/>
      <c r="U475" s="34"/>
    </row>
    <row r="476" spans="1:21" ht="12.75">
      <c r="A476" s="6">
        <v>2017</v>
      </c>
      <c r="B476" s="6" t="s">
        <v>3021</v>
      </c>
      <c r="C476" s="112" t="s">
        <v>61</v>
      </c>
      <c r="D476" s="34" t="s">
        <v>1500</v>
      </c>
      <c r="E476" s="34"/>
      <c r="F476" s="6" t="s">
        <v>3022</v>
      </c>
      <c r="G476" s="158" t="s">
        <v>1742</v>
      </c>
      <c r="H476" s="8">
        <v>200000</v>
      </c>
      <c r="I476" s="6" t="s">
        <v>1938</v>
      </c>
      <c r="J476" s="6" t="s">
        <v>1828</v>
      </c>
      <c r="K476" s="6"/>
      <c r="L476" s="6" t="s">
        <v>6064</v>
      </c>
      <c r="M476" s="6"/>
      <c r="N476" s="6"/>
      <c r="O476" s="52"/>
      <c r="P476" s="475" t="s">
        <v>1808</v>
      </c>
      <c r="Q476" s="158"/>
      <c r="R476" s="6"/>
      <c r="S476" s="6" t="s">
        <v>1824</v>
      </c>
      <c r="T476" s="6"/>
      <c r="U476" s="34"/>
    </row>
    <row r="477" spans="1:21" ht="38.25">
      <c r="A477" s="6">
        <v>2017</v>
      </c>
      <c r="B477" s="6" t="s">
        <v>3023</v>
      </c>
      <c r="C477" s="112" t="s">
        <v>61</v>
      </c>
      <c r="D477" s="34" t="s">
        <v>1500</v>
      </c>
      <c r="E477" s="34"/>
      <c r="F477" s="6" t="s">
        <v>3024</v>
      </c>
      <c r="G477" s="6" t="s">
        <v>3025</v>
      </c>
      <c r="H477" s="8">
        <v>200000</v>
      </c>
      <c r="I477" s="160" t="s">
        <v>3018</v>
      </c>
      <c r="J477" s="6" t="s">
        <v>1828</v>
      </c>
      <c r="K477" s="6"/>
      <c r="L477" s="6" t="s">
        <v>6064</v>
      </c>
      <c r="M477" s="6"/>
      <c r="N477" s="6"/>
      <c r="O477" s="52"/>
      <c r="P477" s="475" t="s">
        <v>1808</v>
      </c>
      <c r="Q477" s="6"/>
      <c r="R477" s="6"/>
      <c r="S477" s="6" t="s">
        <v>1824</v>
      </c>
      <c r="T477" s="6"/>
      <c r="U477" s="398"/>
    </row>
    <row r="478" spans="1:21" ht="38.25">
      <c r="A478" s="6">
        <v>2017</v>
      </c>
      <c r="B478" s="6" t="s">
        <v>3026</v>
      </c>
      <c r="C478" s="112" t="s">
        <v>61</v>
      </c>
      <c r="D478" s="34" t="s">
        <v>1500</v>
      </c>
      <c r="E478" s="34"/>
      <c r="F478" s="158" t="s">
        <v>3027</v>
      </c>
      <c r="G478" s="6" t="s">
        <v>3028</v>
      </c>
      <c r="H478" s="8">
        <v>200000</v>
      </c>
      <c r="I478" s="160" t="s">
        <v>3029</v>
      </c>
      <c r="J478" s="6" t="s">
        <v>6314</v>
      </c>
      <c r="K478" s="6" t="s">
        <v>82</v>
      </c>
      <c r="L478" s="6" t="s">
        <v>6064</v>
      </c>
      <c r="M478" s="158"/>
      <c r="N478" s="158"/>
      <c r="O478" s="52"/>
      <c r="P478" s="475" t="s">
        <v>1808</v>
      </c>
      <c r="Q478" s="6"/>
      <c r="R478" s="158"/>
      <c r="S478" s="6" t="s">
        <v>1824</v>
      </c>
      <c r="T478" s="6"/>
      <c r="U478" s="398"/>
    </row>
    <row r="479" spans="1:21" ht="102">
      <c r="A479" s="6">
        <v>2017</v>
      </c>
      <c r="B479" s="6" t="s">
        <v>3030</v>
      </c>
      <c r="C479" s="112" t="s">
        <v>61</v>
      </c>
      <c r="D479" s="34" t="s">
        <v>1500</v>
      </c>
      <c r="E479" s="34"/>
      <c r="F479" s="6" t="s">
        <v>3031</v>
      </c>
      <c r="G479" s="6" t="s">
        <v>3032</v>
      </c>
      <c r="H479" s="8">
        <v>200000</v>
      </c>
      <c r="I479" s="160" t="s">
        <v>3033</v>
      </c>
      <c r="J479" s="6" t="s">
        <v>6370</v>
      </c>
      <c r="K479" s="6" t="s">
        <v>82</v>
      </c>
      <c r="L479" s="6" t="s">
        <v>6064</v>
      </c>
      <c r="M479" s="6"/>
      <c r="N479" s="6"/>
      <c r="O479" s="52"/>
      <c r="P479" s="475" t="s">
        <v>1808</v>
      </c>
      <c r="Q479" s="6"/>
      <c r="R479" s="6"/>
      <c r="S479" s="6" t="s">
        <v>1824</v>
      </c>
      <c r="T479" s="6"/>
      <c r="U479" s="398"/>
    </row>
    <row r="480" spans="1:21" ht="38.25">
      <c r="A480" s="6">
        <v>2017</v>
      </c>
      <c r="B480" s="6" t="s">
        <v>3034</v>
      </c>
      <c r="C480" s="112" t="s">
        <v>61</v>
      </c>
      <c r="D480" s="34" t="s">
        <v>1500</v>
      </c>
      <c r="E480" s="34"/>
      <c r="F480" s="6" t="s">
        <v>3035</v>
      </c>
      <c r="G480" s="6" t="s">
        <v>3036</v>
      </c>
      <c r="H480" s="8">
        <v>200000</v>
      </c>
      <c r="I480" s="160" t="s">
        <v>3037</v>
      </c>
      <c r="J480" s="6" t="s">
        <v>1879</v>
      </c>
      <c r="K480" s="6" t="s">
        <v>82</v>
      </c>
      <c r="L480" s="6" t="s">
        <v>6064</v>
      </c>
      <c r="M480" s="6"/>
      <c r="N480" s="6"/>
      <c r="O480" s="52"/>
      <c r="P480" s="475" t="s">
        <v>1808</v>
      </c>
      <c r="Q480" s="6"/>
      <c r="R480" s="6"/>
      <c r="S480" s="6" t="s">
        <v>1824</v>
      </c>
      <c r="T480" s="6"/>
      <c r="U480" s="398"/>
    </row>
    <row r="481" spans="1:21" ht="76.5">
      <c r="A481" s="6">
        <v>2017</v>
      </c>
      <c r="B481" s="6" t="s">
        <v>3038</v>
      </c>
      <c r="C481" s="112" t="s">
        <v>61</v>
      </c>
      <c r="D481" s="34" t="s">
        <v>1500</v>
      </c>
      <c r="E481" s="34"/>
      <c r="F481" s="6" t="s">
        <v>3039</v>
      </c>
      <c r="G481" s="6" t="s">
        <v>3040</v>
      </c>
      <c r="H481" s="8">
        <v>200000</v>
      </c>
      <c r="I481" s="160" t="s">
        <v>3041</v>
      </c>
      <c r="J481" s="6" t="s">
        <v>2467</v>
      </c>
      <c r="K481" s="6" t="s">
        <v>82</v>
      </c>
      <c r="L481" s="6" t="s">
        <v>6064</v>
      </c>
      <c r="M481" s="6"/>
      <c r="N481" s="6"/>
      <c r="O481" s="52"/>
      <c r="P481" s="475" t="s">
        <v>1808</v>
      </c>
      <c r="Q481" s="6"/>
      <c r="R481" s="6"/>
      <c r="S481" s="6" t="s">
        <v>1824</v>
      </c>
      <c r="T481" s="6"/>
      <c r="U481" s="398"/>
    </row>
    <row r="482" spans="1:21" ht="38.25">
      <c r="A482" s="6">
        <v>2017</v>
      </c>
      <c r="B482" s="6" t="s">
        <v>3042</v>
      </c>
      <c r="C482" s="112" t="s">
        <v>61</v>
      </c>
      <c r="D482" s="34" t="s">
        <v>1500</v>
      </c>
      <c r="E482" s="34"/>
      <c r="F482" s="6" t="s">
        <v>3043</v>
      </c>
      <c r="G482" s="6" t="s">
        <v>3044</v>
      </c>
      <c r="H482" s="8">
        <v>200000</v>
      </c>
      <c r="I482" s="160" t="s">
        <v>3045</v>
      </c>
      <c r="J482" s="6" t="s">
        <v>11983</v>
      </c>
      <c r="K482" s="6" t="s">
        <v>82</v>
      </c>
      <c r="L482" s="6" t="s">
        <v>6064</v>
      </c>
      <c r="M482" s="6"/>
      <c r="N482" s="6"/>
      <c r="O482" s="52"/>
      <c r="P482" s="475" t="s">
        <v>1808</v>
      </c>
      <c r="Q482" s="6"/>
      <c r="R482" s="6"/>
      <c r="S482" s="6" t="s">
        <v>1824</v>
      </c>
      <c r="T482" s="6"/>
      <c r="U482" s="398"/>
    </row>
    <row r="483" spans="1:21" ht="51">
      <c r="A483" s="6">
        <v>2017</v>
      </c>
      <c r="B483" s="6" t="s">
        <v>3046</v>
      </c>
      <c r="C483" s="112" t="s">
        <v>61</v>
      </c>
      <c r="D483" s="34" t="s">
        <v>1500</v>
      </c>
      <c r="E483" s="34"/>
      <c r="F483" s="6" t="s">
        <v>3047</v>
      </c>
      <c r="G483" s="6" t="s">
        <v>3048</v>
      </c>
      <c r="H483" s="8">
        <v>200000</v>
      </c>
      <c r="I483" s="160" t="s">
        <v>3049</v>
      </c>
      <c r="J483" s="6" t="s">
        <v>12010</v>
      </c>
      <c r="K483" s="6" t="s">
        <v>82</v>
      </c>
      <c r="L483" s="6" t="s">
        <v>6064</v>
      </c>
      <c r="M483" s="6"/>
      <c r="N483" s="6"/>
      <c r="O483" s="52"/>
      <c r="P483" s="475" t="s">
        <v>1808</v>
      </c>
      <c r="Q483" s="6"/>
      <c r="R483" s="6"/>
      <c r="S483" s="6" t="s">
        <v>1824</v>
      </c>
      <c r="T483" s="6"/>
      <c r="U483" s="398"/>
    </row>
    <row r="484" spans="1:21" ht="25.5">
      <c r="A484" s="6">
        <v>2017</v>
      </c>
      <c r="B484" s="6" t="s">
        <v>3050</v>
      </c>
      <c r="C484" s="112" t="s">
        <v>61</v>
      </c>
      <c r="D484" s="34" t="s">
        <v>1500</v>
      </c>
      <c r="E484" s="34"/>
      <c r="F484" s="6" t="s">
        <v>3051</v>
      </c>
      <c r="G484" s="6" t="s">
        <v>3052</v>
      </c>
      <c r="H484" s="8">
        <v>200000</v>
      </c>
      <c r="I484" s="160" t="s">
        <v>3053</v>
      </c>
      <c r="J484" s="6" t="s">
        <v>2609</v>
      </c>
      <c r="K484" s="6"/>
      <c r="L484" s="6" t="s">
        <v>6064</v>
      </c>
      <c r="M484" s="6"/>
      <c r="N484" s="6"/>
      <c r="O484" s="52"/>
      <c r="P484" s="475" t="s">
        <v>1808</v>
      </c>
      <c r="Q484" s="6"/>
      <c r="R484" s="6"/>
      <c r="S484" s="6" t="s">
        <v>1824</v>
      </c>
      <c r="T484" s="6"/>
      <c r="U484" s="398"/>
    </row>
    <row r="485" spans="1:21" ht="25.5">
      <c r="A485" s="6">
        <v>2017</v>
      </c>
      <c r="B485" s="6" t="s">
        <v>3054</v>
      </c>
      <c r="C485" s="112" t="s">
        <v>61</v>
      </c>
      <c r="D485" s="34" t="s">
        <v>1500</v>
      </c>
      <c r="E485" s="34"/>
      <c r="F485" s="6" t="s">
        <v>3055</v>
      </c>
      <c r="G485" s="6" t="s">
        <v>3056</v>
      </c>
      <c r="H485" s="8">
        <v>200000</v>
      </c>
      <c r="I485" s="160" t="s">
        <v>3057</v>
      </c>
      <c r="J485" s="6" t="s">
        <v>2613</v>
      </c>
      <c r="K485" s="6"/>
      <c r="L485" s="6" t="s">
        <v>6064</v>
      </c>
      <c r="M485" s="6"/>
      <c r="N485" s="6"/>
      <c r="O485" s="52"/>
      <c r="P485" s="475" t="s">
        <v>1808</v>
      </c>
      <c r="Q485" s="6"/>
      <c r="R485" s="6"/>
      <c r="S485" s="6" t="s">
        <v>1824</v>
      </c>
      <c r="T485" s="6"/>
      <c r="U485" s="398"/>
    </row>
    <row r="486" spans="1:21" ht="38.25">
      <c r="A486" s="6">
        <v>2017</v>
      </c>
      <c r="B486" s="6" t="s">
        <v>3058</v>
      </c>
      <c r="C486" s="112" t="s">
        <v>61</v>
      </c>
      <c r="D486" s="34" t="s">
        <v>1500</v>
      </c>
      <c r="E486" s="34"/>
      <c r="F486" s="6" t="s">
        <v>3059</v>
      </c>
      <c r="G486" s="6" t="s">
        <v>3060</v>
      </c>
      <c r="H486" s="8">
        <v>200000</v>
      </c>
      <c r="I486" s="160" t="s">
        <v>3061</v>
      </c>
      <c r="J486" s="6" t="s">
        <v>2449</v>
      </c>
      <c r="K486" s="6"/>
      <c r="L486" s="6" t="s">
        <v>6064</v>
      </c>
      <c r="M486" s="6"/>
      <c r="N486" s="6"/>
      <c r="O486" s="52"/>
      <c r="P486" s="475" t="s">
        <v>1808</v>
      </c>
      <c r="Q486" s="6"/>
      <c r="R486" s="6"/>
      <c r="S486" s="6" t="s">
        <v>1824</v>
      </c>
      <c r="T486" s="6"/>
      <c r="U486" s="398"/>
    </row>
    <row r="487" spans="1:21" ht="38.25">
      <c r="A487" s="6">
        <v>2017</v>
      </c>
      <c r="B487" s="6" t="s">
        <v>3062</v>
      </c>
      <c r="C487" s="112" t="s">
        <v>61</v>
      </c>
      <c r="D487" s="34" t="s">
        <v>1500</v>
      </c>
      <c r="E487" s="34"/>
      <c r="F487" s="6" t="s">
        <v>3063</v>
      </c>
      <c r="G487" s="6" t="s">
        <v>3064</v>
      </c>
      <c r="H487" s="8">
        <v>200000</v>
      </c>
      <c r="I487" s="160" t="s">
        <v>3065</v>
      </c>
      <c r="J487" s="6" t="s">
        <v>2611</v>
      </c>
      <c r="K487" s="6" t="s">
        <v>82</v>
      </c>
      <c r="L487" s="6" t="s">
        <v>6064</v>
      </c>
      <c r="M487" s="6"/>
      <c r="N487" s="6"/>
      <c r="O487" s="52"/>
      <c r="P487" s="475" t="s">
        <v>1808</v>
      </c>
      <c r="Q487" s="6"/>
      <c r="R487" s="6"/>
      <c r="S487" s="6" t="s">
        <v>1824</v>
      </c>
      <c r="T487" s="6"/>
      <c r="U487" s="398"/>
    </row>
    <row r="488" spans="1:21" ht="63.75">
      <c r="A488" s="6">
        <v>2017</v>
      </c>
      <c r="B488" s="6" t="s">
        <v>3066</v>
      </c>
      <c r="C488" s="112" t="s">
        <v>61</v>
      </c>
      <c r="D488" s="34" t="s">
        <v>1500</v>
      </c>
      <c r="E488" s="34"/>
      <c r="F488" s="6" t="s">
        <v>3067</v>
      </c>
      <c r="G488" s="6" t="s">
        <v>3068</v>
      </c>
      <c r="H488" s="8">
        <v>200000</v>
      </c>
      <c r="I488" s="160" t="s">
        <v>3069</v>
      </c>
      <c r="J488" s="6" t="s">
        <v>2460</v>
      </c>
      <c r="K488" s="6"/>
      <c r="L488" s="6" t="s">
        <v>6064</v>
      </c>
      <c r="M488" s="6"/>
      <c r="N488" s="6"/>
      <c r="O488" s="52"/>
      <c r="P488" s="475" t="s">
        <v>1808</v>
      </c>
      <c r="Q488" s="6"/>
      <c r="R488" s="6"/>
      <c r="S488" s="6" t="s">
        <v>1824</v>
      </c>
      <c r="T488" s="6"/>
      <c r="U488" s="398"/>
    </row>
    <row r="489" spans="1:21" ht="38.25">
      <c r="A489" s="6">
        <v>2017</v>
      </c>
      <c r="B489" s="6" t="s">
        <v>3070</v>
      </c>
      <c r="C489" s="112" t="s">
        <v>61</v>
      </c>
      <c r="D489" s="34" t="s">
        <v>1500</v>
      </c>
      <c r="E489" s="34"/>
      <c r="F489" s="6" t="s">
        <v>3071</v>
      </c>
      <c r="G489" s="6" t="s">
        <v>3072</v>
      </c>
      <c r="H489" s="8">
        <v>200000</v>
      </c>
      <c r="I489" s="160" t="s">
        <v>3073</v>
      </c>
      <c r="J489" s="6" t="s">
        <v>2659</v>
      </c>
      <c r="K489" s="6" t="s">
        <v>82</v>
      </c>
      <c r="L489" s="6" t="s">
        <v>6064</v>
      </c>
      <c r="M489" s="6"/>
      <c r="N489" s="6"/>
      <c r="O489" s="52"/>
      <c r="P489" s="475" t="s">
        <v>1808</v>
      </c>
      <c r="Q489" s="6"/>
      <c r="R489" s="6"/>
      <c r="S489" s="6" t="s">
        <v>1824</v>
      </c>
      <c r="T489" s="6"/>
      <c r="U489" s="398"/>
    </row>
    <row r="490" spans="1:21" ht="34.5" customHeight="1">
      <c r="A490" s="6">
        <v>2017</v>
      </c>
      <c r="B490" s="6" t="s">
        <v>3074</v>
      </c>
      <c r="C490" s="112" t="s">
        <v>61</v>
      </c>
      <c r="D490" s="6" t="s">
        <v>3075</v>
      </c>
      <c r="E490" s="6"/>
      <c r="F490" s="6" t="s">
        <v>929</v>
      </c>
      <c r="G490" s="6" t="s">
        <v>3076</v>
      </c>
      <c r="H490" s="8">
        <v>257160</v>
      </c>
      <c r="I490" s="6" t="s">
        <v>1938</v>
      </c>
      <c r="J490" s="6" t="s">
        <v>1828</v>
      </c>
      <c r="K490" s="6"/>
      <c r="L490" s="6" t="s">
        <v>6901</v>
      </c>
      <c r="M490" s="6"/>
      <c r="N490" s="6"/>
      <c r="O490" s="52"/>
      <c r="P490" s="475" t="s">
        <v>1808</v>
      </c>
      <c r="Q490" s="6"/>
      <c r="R490" s="6"/>
      <c r="S490" s="6" t="s">
        <v>1824</v>
      </c>
      <c r="T490" s="6"/>
      <c r="U490" s="6"/>
    </row>
    <row r="491" spans="1:21" ht="25.5">
      <c r="A491" s="6">
        <v>2017</v>
      </c>
      <c r="B491" s="6" t="s">
        <v>3077</v>
      </c>
      <c r="C491" s="6" t="s">
        <v>61</v>
      </c>
      <c r="D491" s="54" t="s">
        <v>6049</v>
      </c>
      <c r="E491" s="54"/>
      <c r="F491" s="6" t="s">
        <v>3078</v>
      </c>
      <c r="G491" s="6" t="s">
        <v>3079</v>
      </c>
      <c r="H491" s="8">
        <v>8975000</v>
      </c>
      <c r="I491" s="6" t="s">
        <v>3080</v>
      </c>
      <c r="J491" s="6" t="s">
        <v>1828</v>
      </c>
      <c r="K491" s="6"/>
      <c r="L491" s="6" t="s">
        <v>6064</v>
      </c>
      <c r="M491" s="7">
        <v>43010</v>
      </c>
      <c r="N491" s="6"/>
      <c r="O491" s="52"/>
      <c r="P491" s="475" t="s">
        <v>1808</v>
      </c>
      <c r="Q491" s="6"/>
      <c r="R491" s="6"/>
      <c r="S491" s="6" t="s">
        <v>1824</v>
      </c>
      <c r="T491" s="6"/>
      <c r="U491" s="6"/>
    </row>
    <row r="492" spans="1:21" ht="38.25">
      <c r="A492" s="6">
        <v>2017</v>
      </c>
      <c r="B492" s="6" t="s">
        <v>3081</v>
      </c>
      <c r="C492" s="112" t="s">
        <v>61</v>
      </c>
      <c r="D492" s="34" t="s">
        <v>1500</v>
      </c>
      <c r="E492" s="34"/>
      <c r="F492" s="6" t="s">
        <v>3082</v>
      </c>
      <c r="G492" s="6" t="s">
        <v>3083</v>
      </c>
      <c r="H492" s="8">
        <v>200000</v>
      </c>
      <c r="I492" s="160" t="s">
        <v>3084</v>
      </c>
      <c r="J492" s="6" t="s">
        <v>1828</v>
      </c>
      <c r="K492" s="6"/>
      <c r="L492" s="6" t="s">
        <v>6064</v>
      </c>
      <c r="M492" s="6"/>
      <c r="N492" s="6"/>
      <c r="O492" s="52"/>
      <c r="P492" s="475" t="s">
        <v>1808</v>
      </c>
      <c r="Q492" s="6"/>
      <c r="R492" s="6"/>
      <c r="S492" s="6" t="s">
        <v>1824</v>
      </c>
      <c r="T492" s="6"/>
      <c r="U492" s="398"/>
    </row>
    <row r="493" spans="1:21" ht="51">
      <c r="A493" s="6">
        <v>2017</v>
      </c>
      <c r="B493" s="6" t="s">
        <v>3085</v>
      </c>
      <c r="C493" s="112" t="s">
        <v>61</v>
      </c>
      <c r="D493" s="34" t="s">
        <v>1500</v>
      </c>
      <c r="E493" s="34"/>
      <c r="F493" s="6" t="s">
        <v>3086</v>
      </c>
      <c r="G493" s="6" t="s">
        <v>3087</v>
      </c>
      <c r="H493" s="8">
        <v>200000</v>
      </c>
      <c r="I493" s="6" t="s">
        <v>3001</v>
      </c>
      <c r="J493" s="6" t="s">
        <v>1828</v>
      </c>
      <c r="K493" s="6"/>
      <c r="L493" s="6" t="s">
        <v>6064</v>
      </c>
      <c r="M493" s="6"/>
      <c r="N493" s="6"/>
      <c r="O493" s="52"/>
      <c r="P493" s="475" t="s">
        <v>1808</v>
      </c>
      <c r="Q493" s="6"/>
      <c r="R493" s="6"/>
      <c r="S493" s="6" t="s">
        <v>1824</v>
      </c>
      <c r="T493" s="6"/>
      <c r="U493" s="34"/>
    </row>
    <row r="494" spans="1:21" ht="25.5">
      <c r="A494" s="6">
        <v>2017</v>
      </c>
      <c r="B494" s="6" t="s">
        <v>3088</v>
      </c>
      <c r="C494" s="112" t="s">
        <v>61</v>
      </c>
      <c r="D494" s="34" t="s">
        <v>1500</v>
      </c>
      <c r="E494" s="34"/>
      <c r="F494" s="6" t="s">
        <v>3089</v>
      </c>
      <c r="G494" s="6" t="s">
        <v>3090</v>
      </c>
      <c r="H494" s="8">
        <v>200000</v>
      </c>
      <c r="I494" s="160" t="s">
        <v>2901</v>
      </c>
      <c r="J494" s="6" t="s">
        <v>6822</v>
      </c>
      <c r="K494" s="6"/>
      <c r="L494" s="6" t="s">
        <v>6064</v>
      </c>
      <c r="M494" s="6"/>
      <c r="N494" s="6"/>
      <c r="O494" s="52"/>
      <c r="P494" s="475" t="s">
        <v>1808</v>
      </c>
      <c r="Q494" s="6"/>
      <c r="R494" s="6"/>
      <c r="S494" s="6" t="s">
        <v>1824</v>
      </c>
      <c r="T494" s="6"/>
      <c r="U494" s="398"/>
    </row>
    <row r="495" spans="1:21" ht="25.5">
      <c r="A495" s="6">
        <v>2017</v>
      </c>
      <c r="B495" s="6" t="s">
        <v>3091</v>
      </c>
      <c r="C495" s="112" t="s">
        <v>61</v>
      </c>
      <c r="D495" s="6" t="s">
        <v>3092</v>
      </c>
      <c r="E495" s="6"/>
      <c r="F495" s="6" t="s">
        <v>3093</v>
      </c>
      <c r="G495" s="6" t="s">
        <v>3094</v>
      </c>
      <c r="H495" s="8">
        <v>316050</v>
      </c>
      <c r="I495" s="6"/>
      <c r="J495" s="6" t="s">
        <v>5656</v>
      </c>
      <c r="K495" s="6" t="s">
        <v>1904</v>
      </c>
      <c r="L495" s="6" t="s">
        <v>6064</v>
      </c>
      <c r="M495" s="6"/>
      <c r="N495" s="6"/>
      <c r="O495" s="52"/>
      <c r="P495" s="475" t="s">
        <v>1808</v>
      </c>
      <c r="Q495" s="6"/>
      <c r="R495" s="6"/>
      <c r="S495" s="6" t="s">
        <v>1824</v>
      </c>
      <c r="T495" s="6"/>
      <c r="U495" s="6"/>
    </row>
    <row r="496" spans="1:21" ht="12.75">
      <c r="A496" s="6">
        <v>2017</v>
      </c>
      <c r="B496" s="6" t="s">
        <v>3095</v>
      </c>
      <c r="C496" s="112" t="s">
        <v>61</v>
      </c>
      <c r="D496" s="6" t="s">
        <v>3097</v>
      </c>
      <c r="E496" s="6"/>
      <c r="F496" s="6" t="s">
        <v>3098</v>
      </c>
      <c r="G496" s="6" t="s">
        <v>811</v>
      </c>
      <c r="H496" s="8">
        <v>308000</v>
      </c>
      <c r="I496" s="6" t="s">
        <v>1938</v>
      </c>
      <c r="J496" s="6" t="s">
        <v>1828</v>
      </c>
      <c r="K496" s="6"/>
      <c r="L496" s="6" t="s">
        <v>6064</v>
      </c>
      <c r="M496" s="6"/>
      <c r="N496" s="6"/>
      <c r="O496" s="52"/>
      <c r="P496" s="475" t="s">
        <v>1808</v>
      </c>
      <c r="Q496" s="6"/>
      <c r="R496" s="6"/>
      <c r="S496" s="6" t="s">
        <v>1824</v>
      </c>
      <c r="T496" s="6"/>
      <c r="U496" s="6"/>
    </row>
    <row r="497" spans="1:21" ht="51">
      <c r="A497" s="6">
        <v>2017</v>
      </c>
      <c r="B497" s="6" t="s">
        <v>3099</v>
      </c>
      <c r="C497" s="112" t="s">
        <v>61</v>
      </c>
      <c r="D497" s="6" t="s">
        <v>68</v>
      </c>
      <c r="E497" s="6"/>
      <c r="F497" s="6" t="s">
        <v>3100</v>
      </c>
      <c r="G497" s="6" t="s">
        <v>3101</v>
      </c>
      <c r="H497" s="8">
        <v>604800</v>
      </c>
      <c r="I497" s="160" t="s">
        <v>3102</v>
      </c>
      <c r="J497" s="6" t="s">
        <v>1828</v>
      </c>
      <c r="K497" s="6"/>
      <c r="L497" s="6" t="s">
        <v>6104</v>
      </c>
      <c r="M497" s="6"/>
      <c r="N497" s="6"/>
      <c r="O497" s="52"/>
      <c r="P497" s="6" t="s">
        <v>6132</v>
      </c>
      <c r="Q497" s="6"/>
      <c r="R497" s="6"/>
      <c r="S497" s="6"/>
      <c r="T497" s="6"/>
      <c r="U497" s="160"/>
    </row>
    <row r="498" spans="1:21" ht="25.5">
      <c r="A498" s="6"/>
      <c r="B498" s="6" t="s">
        <v>3103</v>
      </c>
      <c r="C498" s="6" t="s">
        <v>2328</v>
      </c>
      <c r="D498" s="6" t="s">
        <v>2724</v>
      </c>
      <c r="E498" s="6"/>
      <c r="F498" s="6" t="s">
        <v>3104</v>
      </c>
      <c r="G498" s="6" t="s">
        <v>3105</v>
      </c>
      <c r="H498" s="8">
        <v>72000</v>
      </c>
      <c r="I498" s="160" t="s">
        <v>3106</v>
      </c>
      <c r="J498" s="6" t="s">
        <v>2613</v>
      </c>
      <c r="K498" s="6"/>
      <c r="L498" s="6" t="s">
        <v>1867</v>
      </c>
      <c r="M498" s="6"/>
      <c r="N498" s="6"/>
      <c r="O498" s="52"/>
      <c r="P498" s="6" t="s">
        <v>6132</v>
      </c>
      <c r="Q498" s="6"/>
      <c r="R498" s="6"/>
      <c r="S498" s="6"/>
      <c r="T498" s="6"/>
      <c r="U498" s="160"/>
    </row>
    <row r="499" spans="1:21" ht="76.5">
      <c r="A499" s="6"/>
      <c r="B499" s="6" t="s">
        <v>3107</v>
      </c>
      <c r="C499" s="6" t="s">
        <v>2328</v>
      </c>
      <c r="D499" s="6" t="s">
        <v>3109</v>
      </c>
      <c r="E499" s="6"/>
      <c r="F499" s="6" t="s">
        <v>3110</v>
      </c>
      <c r="G499" s="6" t="s">
        <v>3111</v>
      </c>
      <c r="H499" s="8">
        <v>167500</v>
      </c>
      <c r="I499" s="160" t="s">
        <v>3112</v>
      </c>
      <c r="J499" s="6" t="s">
        <v>1828</v>
      </c>
      <c r="K499" s="6"/>
      <c r="L499" s="6" t="s">
        <v>6104</v>
      </c>
      <c r="M499" s="6"/>
      <c r="N499" s="6"/>
      <c r="O499" s="52"/>
      <c r="P499" s="6" t="s">
        <v>6132</v>
      </c>
      <c r="Q499" s="6"/>
      <c r="R499" s="6"/>
      <c r="S499" s="6"/>
      <c r="T499" s="6"/>
      <c r="U499" s="160"/>
    </row>
    <row r="500" spans="1:21" ht="51">
      <c r="A500" s="6">
        <v>2017</v>
      </c>
      <c r="B500" s="6" t="s">
        <v>3113</v>
      </c>
      <c r="C500" s="112" t="s">
        <v>61</v>
      </c>
      <c r="D500" s="6" t="s">
        <v>68</v>
      </c>
      <c r="E500" s="6"/>
      <c r="F500" s="6" t="s">
        <v>3114</v>
      </c>
      <c r="G500" s="6" t="s">
        <v>3115</v>
      </c>
      <c r="H500" s="8">
        <v>996971</v>
      </c>
      <c r="I500" s="160" t="s">
        <v>2740</v>
      </c>
      <c r="J500" s="6" t="s">
        <v>1828</v>
      </c>
      <c r="K500" s="6"/>
      <c r="L500" s="6" t="s">
        <v>6064</v>
      </c>
      <c r="M500" s="6"/>
      <c r="N500" s="6"/>
      <c r="O500" s="52"/>
      <c r="P500" s="6" t="s">
        <v>6132</v>
      </c>
      <c r="Q500" s="6"/>
      <c r="R500" s="6"/>
      <c r="S500" s="6"/>
      <c r="T500" s="6"/>
      <c r="U500" s="160"/>
    </row>
    <row r="501" spans="1:21" ht="38.25">
      <c r="A501" s="6">
        <v>2017</v>
      </c>
      <c r="B501" s="6" t="s">
        <v>3116</v>
      </c>
      <c r="C501" s="112" t="s">
        <v>61</v>
      </c>
      <c r="D501" s="6" t="s">
        <v>4174</v>
      </c>
      <c r="E501" s="6"/>
      <c r="F501" s="6" t="s">
        <v>3118</v>
      </c>
      <c r="G501" s="6" t="s">
        <v>3076</v>
      </c>
      <c r="H501" s="8">
        <v>150000</v>
      </c>
      <c r="I501" s="6" t="s">
        <v>1938</v>
      </c>
      <c r="J501" s="6" t="s">
        <v>1828</v>
      </c>
      <c r="K501" s="6"/>
      <c r="L501" s="6" t="s">
        <v>6064</v>
      </c>
      <c r="M501" s="7">
        <v>42782</v>
      </c>
      <c r="N501" s="6"/>
      <c r="O501" s="52"/>
      <c r="P501" s="475" t="s">
        <v>1808</v>
      </c>
      <c r="Q501" s="6"/>
      <c r="R501" s="6"/>
      <c r="S501" s="6" t="s">
        <v>1824</v>
      </c>
      <c r="T501" s="6"/>
      <c r="U501" s="6"/>
    </row>
    <row r="502" spans="1:21" ht="38.25">
      <c r="A502" s="6">
        <v>2017</v>
      </c>
      <c r="B502" s="6" t="s">
        <v>3119</v>
      </c>
      <c r="C502" s="112" t="s">
        <v>61</v>
      </c>
      <c r="D502" s="34" t="s">
        <v>1500</v>
      </c>
      <c r="E502" s="34"/>
      <c r="F502" s="6" t="s">
        <v>3120</v>
      </c>
      <c r="G502" s="6" t="s">
        <v>3121</v>
      </c>
      <c r="H502" s="8">
        <v>200000</v>
      </c>
      <c r="I502" s="6" t="s">
        <v>1938</v>
      </c>
      <c r="J502" s="6" t="s">
        <v>1828</v>
      </c>
      <c r="K502" s="6"/>
      <c r="L502" s="6" t="s">
        <v>6064</v>
      </c>
      <c r="M502" s="6"/>
      <c r="N502" s="6"/>
      <c r="O502" s="52"/>
      <c r="P502" s="475" t="s">
        <v>1808</v>
      </c>
      <c r="Q502" s="6"/>
      <c r="R502" s="6"/>
      <c r="S502" s="6" t="s">
        <v>1824</v>
      </c>
      <c r="T502" s="6"/>
      <c r="U502" s="34"/>
    </row>
    <row r="503" spans="1:21" ht="51">
      <c r="A503" s="6">
        <v>2017</v>
      </c>
      <c r="B503" s="6" t="s">
        <v>3122</v>
      </c>
      <c r="C503" s="112" t="s">
        <v>61</v>
      </c>
      <c r="D503" s="34" t="s">
        <v>1500</v>
      </c>
      <c r="E503" s="34"/>
      <c r="F503" s="6" t="s">
        <v>3123</v>
      </c>
      <c r="G503" s="6" t="s">
        <v>3124</v>
      </c>
      <c r="H503" s="8">
        <v>200000</v>
      </c>
      <c r="I503" s="160" t="s">
        <v>3001</v>
      </c>
      <c r="J503" s="6" t="s">
        <v>1828</v>
      </c>
      <c r="K503" s="6"/>
      <c r="L503" s="6" t="s">
        <v>6064</v>
      </c>
      <c r="M503" s="6"/>
      <c r="N503" s="6"/>
      <c r="O503" s="52"/>
      <c r="P503" s="475" t="s">
        <v>1808</v>
      </c>
      <c r="Q503" s="6"/>
      <c r="R503" s="6"/>
      <c r="S503" s="6" t="s">
        <v>1824</v>
      </c>
      <c r="T503" s="6"/>
      <c r="U503" s="398"/>
    </row>
    <row r="504" spans="1:21" ht="51">
      <c r="A504" s="6">
        <v>2017</v>
      </c>
      <c r="B504" s="6" t="s">
        <v>3125</v>
      </c>
      <c r="C504" s="112" t="s">
        <v>61</v>
      </c>
      <c r="D504" s="34" t="s">
        <v>1500</v>
      </c>
      <c r="E504" s="34"/>
      <c r="F504" s="6" t="s">
        <v>3126</v>
      </c>
      <c r="G504" s="6" t="s">
        <v>3127</v>
      </c>
      <c r="H504" s="8">
        <v>200000</v>
      </c>
      <c r="I504" s="160" t="s">
        <v>3128</v>
      </c>
      <c r="J504" s="6" t="s">
        <v>1828</v>
      </c>
      <c r="K504" s="6"/>
      <c r="L504" s="6" t="s">
        <v>6064</v>
      </c>
      <c r="M504" s="6"/>
      <c r="N504" s="6"/>
      <c r="O504" s="52"/>
      <c r="P504" s="475" t="s">
        <v>1808</v>
      </c>
      <c r="Q504" s="6"/>
      <c r="R504" s="6"/>
      <c r="S504" s="6"/>
      <c r="T504" s="6"/>
      <c r="U504" s="398"/>
    </row>
    <row r="505" spans="1:21" ht="103.5" customHeight="1">
      <c r="A505" s="6">
        <v>2017</v>
      </c>
      <c r="B505" s="6" t="s">
        <v>3129</v>
      </c>
      <c r="C505" s="112" t="s">
        <v>61</v>
      </c>
      <c r="D505" s="34" t="s">
        <v>1500</v>
      </c>
      <c r="E505" s="34"/>
      <c r="F505" s="6" t="s">
        <v>3130</v>
      </c>
      <c r="G505" s="6" t="s">
        <v>3131</v>
      </c>
      <c r="H505" s="8">
        <v>791970</v>
      </c>
      <c r="I505" s="6"/>
      <c r="J505" s="56"/>
      <c r="K505" s="6"/>
      <c r="L505" s="6" t="s">
        <v>6064</v>
      </c>
      <c r="M505" s="6"/>
      <c r="N505" s="6"/>
      <c r="O505" s="52"/>
      <c r="P505" s="475" t="s">
        <v>1808</v>
      </c>
      <c r="Q505" s="6"/>
      <c r="R505" s="6"/>
      <c r="S505" s="6"/>
      <c r="T505" s="6" t="s">
        <v>12011</v>
      </c>
      <c r="U505" s="34"/>
    </row>
    <row r="506" spans="1:21" ht="38.25">
      <c r="A506" s="6">
        <v>2017</v>
      </c>
      <c r="B506" s="6" t="s">
        <v>3132</v>
      </c>
      <c r="C506" s="112" t="s">
        <v>61</v>
      </c>
      <c r="D506" s="34" t="s">
        <v>1500</v>
      </c>
      <c r="E506" s="34"/>
      <c r="F506" s="6" t="s">
        <v>3133</v>
      </c>
      <c r="G506" s="6" t="s">
        <v>3134</v>
      </c>
      <c r="H506" s="8">
        <v>200000</v>
      </c>
      <c r="I506" s="160" t="s">
        <v>3135</v>
      </c>
      <c r="J506" s="6" t="s">
        <v>6783</v>
      </c>
      <c r="K506" s="6"/>
      <c r="L506" s="6" t="s">
        <v>6064</v>
      </c>
      <c r="M506" s="6"/>
      <c r="N506" s="6"/>
      <c r="O506" s="52"/>
      <c r="P506" s="475" t="s">
        <v>1808</v>
      </c>
      <c r="Q506" s="6"/>
      <c r="R506" s="6"/>
      <c r="S506" s="6" t="s">
        <v>1824</v>
      </c>
      <c r="T506" s="6"/>
      <c r="U506" s="398"/>
    </row>
    <row r="507" spans="1:21" ht="25.5">
      <c r="A507" s="6">
        <v>2017</v>
      </c>
      <c r="B507" s="6" t="s">
        <v>3136</v>
      </c>
      <c r="C507" s="112" t="s">
        <v>61</v>
      </c>
      <c r="D507" s="34" t="s">
        <v>1500</v>
      </c>
      <c r="E507" s="34"/>
      <c r="F507" s="6" t="s">
        <v>3137</v>
      </c>
      <c r="G507" s="6" t="s">
        <v>3138</v>
      </c>
      <c r="H507" s="8">
        <v>200000</v>
      </c>
      <c r="I507" s="160" t="s">
        <v>2578</v>
      </c>
      <c r="J507" s="6" t="s">
        <v>5647</v>
      </c>
      <c r="K507" s="6"/>
      <c r="L507" s="6" t="s">
        <v>6064</v>
      </c>
      <c r="M507" s="6"/>
      <c r="N507" s="6"/>
      <c r="O507" s="52"/>
      <c r="P507" s="475" t="s">
        <v>1808</v>
      </c>
      <c r="Q507" s="6"/>
      <c r="R507" s="6"/>
      <c r="S507" s="6" t="s">
        <v>1824</v>
      </c>
      <c r="T507" s="6"/>
      <c r="U507" s="398"/>
    </row>
    <row r="508" spans="1:21" ht="51">
      <c r="A508" s="6">
        <v>2017</v>
      </c>
      <c r="B508" s="6" t="s">
        <v>3139</v>
      </c>
      <c r="C508" s="112" t="s">
        <v>61</v>
      </c>
      <c r="D508" s="6" t="s">
        <v>3142</v>
      </c>
      <c r="E508" s="6"/>
      <c r="F508" s="6" t="s">
        <v>3140</v>
      </c>
      <c r="G508" s="6" t="s">
        <v>3141</v>
      </c>
      <c r="H508" s="8">
        <v>200000</v>
      </c>
      <c r="I508" s="160" t="s">
        <v>3001</v>
      </c>
      <c r="J508" s="6" t="s">
        <v>1828</v>
      </c>
      <c r="K508" s="6"/>
      <c r="L508" s="6" t="s">
        <v>6064</v>
      </c>
      <c r="M508" s="6"/>
      <c r="N508" s="6"/>
      <c r="O508" s="52"/>
      <c r="P508" s="475" t="s">
        <v>1808</v>
      </c>
      <c r="Q508" s="6"/>
      <c r="R508" s="6"/>
      <c r="S508" s="6" t="s">
        <v>1824</v>
      </c>
      <c r="T508" s="6"/>
      <c r="U508" s="160"/>
    </row>
    <row r="509" spans="1:21" ht="38.25">
      <c r="A509" s="6">
        <v>2017</v>
      </c>
      <c r="B509" s="6" t="s">
        <v>3143</v>
      </c>
      <c r="C509" s="112" t="s">
        <v>61</v>
      </c>
      <c r="D509" s="6" t="s">
        <v>68</v>
      </c>
      <c r="E509" s="6"/>
      <c r="F509" s="158" t="s">
        <v>3144</v>
      </c>
      <c r="G509" s="6" t="s">
        <v>3145</v>
      </c>
      <c r="H509" s="8">
        <v>999407</v>
      </c>
      <c r="I509" s="160" t="s">
        <v>3146</v>
      </c>
      <c r="J509" s="6" t="s">
        <v>2656</v>
      </c>
      <c r="K509" s="6"/>
      <c r="L509" s="6" t="s">
        <v>6104</v>
      </c>
      <c r="M509" s="158"/>
      <c r="N509" s="158"/>
      <c r="O509" s="52"/>
      <c r="P509" s="475" t="s">
        <v>6132</v>
      </c>
      <c r="Q509" s="6"/>
      <c r="R509" s="158"/>
      <c r="S509" s="6"/>
      <c r="T509" s="6"/>
      <c r="U509" s="160"/>
    </row>
    <row r="510" spans="1:21" ht="51">
      <c r="A510" s="6">
        <v>2017</v>
      </c>
      <c r="B510" s="6" t="s">
        <v>3147</v>
      </c>
      <c r="C510" s="112" t="s">
        <v>61</v>
      </c>
      <c r="D510" s="6" t="s">
        <v>394</v>
      </c>
      <c r="E510" s="6"/>
      <c r="F510" s="6" t="s">
        <v>3148</v>
      </c>
      <c r="G510" s="6" t="s">
        <v>3149</v>
      </c>
      <c r="H510" s="8">
        <v>520000</v>
      </c>
      <c r="I510" s="160" t="s">
        <v>3001</v>
      </c>
      <c r="J510" s="6" t="s">
        <v>1828</v>
      </c>
      <c r="K510" s="498"/>
      <c r="L510" s="6" t="s">
        <v>6071</v>
      </c>
      <c r="M510" s="6"/>
      <c r="N510" s="6"/>
      <c r="O510" s="52"/>
      <c r="P510" s="475" t="s">
        <v>1808</v>
      </c>
      <c r="Q510" s="6"/>
      <c r="R510" s="6"/>
      <c r="S510" s="6" t="s">
        <v>1824</v>
      </c>
      <c r="T510" s="498" t="s">
        <v>12012</v>
      </c>
      <c r="U510" s="160"/>
    </row>
    <row r="511" spans="1:21" ht="38.25">
      <c r="A511" s="6">
        <v>2017</v>
      </c>
      <c r="B511" s="6" t="s">
        <v>3150</v>
      </c>
      <c r="C511" s="112" t="s">
        <v>61</v>
      </c>
      <c r="D511" s="34" t="s">
        <v>62</v>
      </c>
      <c r="E511" s="34"/>
      <c r="F511" s="6" t="s">
        <v>3151</v>
      </c>
      <c r="G511" s="6" t="s">
        <v>3152</v>
      </c>
      <c r="H511" s="8">
        <v>712468.76</v>
      </c>
      <c r="I511" s="160" t="s">
        <v>3153</v>
      </c>
      <c r="J511" s="6" t="s">
        <v>2449</v>
      </c>
      <c r="K511" s="6" t="s">
        <v>1904</v>
      </c>
      <c r="L511" s="6" t="s">
        <v>6217</v>
      </c>
      <c r="M511" s="6"/>
      <c r="N511" s="6"/>
      <c r="O511" s="52"/>
      <c r="P511" s="6" t="s">
        <v>6179</v>
      </c>
      <c r="Q511" s="6"/>
      <c r="R511" s="6"/>
      <c r="S511" s="6"/>
      <c r="T511" s="498" t="s">
        <v>6925</v>
      </c>
      <c r="U511" s="398"/>
    </row>
    <row r="512" spans="1:21" ht="25.5">
      <c r="A512" s="6">
        <v>2017</v>
      </c>
      <c r="B512" s="6" t="s">
        <v>3154</v>
      </c>
      <c r="C512" s="112" t="s">
        <v>61</v>
      </c>
      <c r="D512" s="6" t="s">
        <v>12013</v>
      </c>
      <c r="E512" s="6"/>
      <c r="F512" s="6" t="s">
        <v>3156</v>
      </c>
      <c r="G512" s="6" t="s">
        <v>3157</v>
      </c>
      <c r="H512" s="8">
        <v>5708000</v>
      </c>
      <c r="I512" s="6" t="s">
        <v>2508</v>
      </c>
      <c r="J512" s="6" t="s">
        <v>1828</v>
      </c>
      <c r="K512" s="6"/>
      <c r="L512" s="6" t="s">
        <v>6064</v>
      </c>
      <c r="M512" s="6"/>
      <c r="N512" s="6"/>
      <c r="O512" s="52"/>
      <c r="P512" s="475" t="s">
        <v>1808</v>
      </c>
      <c r="Q512" s="6"/>
      <c r="R512" s="6"/>
      <c r="S512" s="6" t="s">
        <v>1824</v>
      </c>
      <c r="T512" s="6"/>
      <c r="U512" s="6"/>
    </row>
    <row r="513" spans="1:21" ht="25.5">
      <c r="A513" s="6"/>
      <c r="B513" s="6" t="s">
        <v>3158</v>
      </c>
      <c r="C513" s="6" t="s">
        <v>2328</v>
      </c>
      <c r="D513" s="6" t="s">
        <v>3075</v>
      </c>
      <c r="E513" s="6"/>
      <c r="F513" s="6" t="s">
        <v>3159</v>
      </c>
      <c r="G513" s="6" t="s">
        <v>3160</v>
      </c>
      <c r="H513" s="8">
        <v>10415256</v>
      </c>
      <c r="I513" s="6" t="s">
        <v>2508</v>
      </c>
      <c r="J513" s="6" t="s">
        <v>1828</v>
      </c>
      <c r="K513" s="6"/>
      <c r="L513" s="6" t="s">
        <v>6217</v>
      </c>
      <c r="M513" s="6"/>
      <c r="N513" s="6"/>
      <c r="O513" s="52"/>
      <c r="P513" s="6" t="s">
        <v>6132</v>
      </c>
      <c r="Q513" s="6"/>
      <c r="R513" s="6"/>
      <c r="S513" s="6" t="s">
        <v>1824</v>
      </c>
      <c r="T513" s="6"/>
      <c r="U513" s="6"/>
    </row>
    <row r="514" spans="1:21" ht="38.25">
      <c r="A514" s="6"/>
      <c r="B514" s="6" t="s">
        <v>3161</v>
      </c>
      <c r="C514" s="6" t="s">
        <v>2328</v>
      </c>
      <c r="D514" s="6" t="s">
        <v>4174</v>
      </c>
      <c r="E514" s="6"/>
      <c r="F514" s="6" t="s">
        <v>2994</v>
      </c>
      <c r="G514" s="6" t="s">
        <v>3162</v>
      </c>
      <c r="H514" s="8">
        <v>300000</v>
      </c>
      <c r="I514" s="160" t="s">
        <v>2996</v>
      </c>
      <c r="J514" s="6" t="s">
        <v>6795</v>
      </c>
      <c r="K514" s="6"/>
      <c r="L514" s="6" t="s">
        <v>6104</v>
      </c>
      <c r="M514" s="6"/>
      <c r="N514" s="6"/>
      <c r="O514" s="52"/>
      <c r="P514" s="475" t="s">
        <v>1808</v>
      </c>
      <c r="Q514" s="6"/>
      <c r="R514" s="6"/>
      <c r="S514" s="6"/>
      <c r="T514" s="6"/>
      <c r="U514" s="160"/>
    </row>
    <row r="515" spans="1:21" ht="165.75">
      <c r="A515" s="6"/>
      <c r="B515" s="6" t="s">
        <v>3163</v>
      </c>
      <c r="C515" s="6" t="s">
        <v>2328</v>
      </c>
      <c r="D515" s="6" t="s">
        <v>4174</v>
      </c>
      <c r="E515" s="6"/>
      <c r="F515" s="6" t="s">
        <v>3164</v>
      </c>
      <c r="G515" s="6" t="s">
        <v>3165</v>
      </c>
      <c r="H515" s="8"/>
      <c r="I515" s="160" t="s">
        <v>3166</v>
      </c>
      <c r="J515" s="6" t="s">
        <v>6314</v>
      </c>
      <c r="K515" s="6"/>
      <c r="L515" s="6" t="s">
        <v>6104</v>
      </c>
      <c r="M515" s="6"/>
      <c r="N515" s="6"/>
      <c r="O515" s="52"/>
      <c r="P515" s="6" t="s">
        <v>6132</v>
      </c>
      <c r="Q515" s="6"/>
      <c r="R515" s="6"/>
      <c r="S515" s="6"/>
      <c r="T515" s="6" t="s">
        <v>12014</v>
      </c>
      <c r="U515" s="160"/>
    </row>
    <row r="516" spans="1:21" ht="38.25">
      <c r="A516" s="6">
        <v>2017</v>
      </c>
      <c r="B516" s="6" t="s">
        <v>3167</v>
      </c>
      <c r="C516" s="112" t="s">
        <v>61</v>
      </c>
      <c r="D516" s="6" t="s">
        <v>3168</v>
      </c>
      <c r="E516" s="6"/>
      <c r="F516" s="6" t="s">
        <v>3169</v>
      </c>
      <c r="G516" s="6" t="s">
        <v>3170</v>
      </c>
      <c r="H516" s="8">
        <v>480000</v>
      </c>
      <c r="I516" s="6"/>
      <c r="J516" s="6" t="s">
        <v>2613</v>
      </c>
      <c r="K516" s="6"/>
      <c r="L516" s="6" t="s">
        <v>6108</v>
      </c>
      <c r="M516" s="7">
        <v>42858</v>
      </c>
      <c r="N516" s="6"/>
      <c r="O516" s="52"/>
      <c r="P516" s="6"/>
      <c r="Q516" s="6"/>
      <c r="R516" s="6"/>
      <c r="S516" s="6" t="s">
        <v>1824</v>
      </c>
      <c r="T516" s="6"/>
      <c r="U516" s="6"/>
    </row>
    <row r="517" spans="1:21" ht="51">
      <c r="A517" s="6">
        <v>2017</v>
      </c>
      <c r="B517" s="6" t="s">
        <v>3171</v>
      </c>
      <c r="C517" s="112" t="s">
        <v>61</v>
      </c>
      <c r="D517" s="6" t="s">
        <v>12013</v>
      </c>
      <c r="E517" s="6"/>
      <c r="F517" s="6" t="s">
        <v>3172</v>
      </c>
      <c r="G517" s="6" t="s">
        <v>3173</v>
      </c>
      <c r="H517" s="8">
        <v>900320</v>
      </c>
      <c r="I517" s="160" t="s">
        <v>3174</v>
      </c>
      <c r="J517" s="6" t="s">
        <v>2449</v>
      </c>
      <c r="K517" s="6"/>
      <c r="L517" s="6" t="s">
        <v>6933</v>
      </c>
      <c r="M517" s="6"/>
      <c r="N517" s="6"/>
      <c r="O517" s="52"/>
      <c r="P517" s="6"/>
      <c r="Q517" s="6"/>
      <c r="R517" s="6"/>
      <c r="S517" s="6" t="s">
        <v>1824</v>
      </c>
      <c r="T517" s="6" t="s">
        <v>6934</v>
      </c>
      <c r="U517" s="160"/>
    </row>
    <row r="518" spans="1:21" ht="38.25">
      <c r="A518" s="6">
        <v>2017</v>
      </c>
      <c r="B518" s="6" t="s">
        <v>3175</v>
      </c>
      <c r="C518" s="112" t="s">
        <v>61</v>
      </c>
      <c r="D518" s="34" t="s">
        <v>62</v>
      </c>
      <c r="E518" s="34"/>
      <c r="F518" s="6" t="s">
        <v>3176</v>
      </c>
      <c r="G518" s="6" t="s">
        <v>3177</v>
      </c>
      <c r="H518" s="8">
        <v>777970</v>
      </c>
      <c r="I518" s="160" t="s">
        <v>3178</v>
      </c>
      <c r="J518" s="6" t="s">
        <v>2467</v>
      </c>
      <c r="K518" s="6" t="s">
        <v>1904</v>
      </c>
      <c r="L518" s="6" t="s">
        <v>6108</v>
      </c>
      <c r="M518" s="7">
        <v>42899</v>
      </c>
      <c r="N518" s="6"/>
      <c r="O518" s="52"/>
      <c r="P518" s="6" t="s">
        <v>6132</v>
      </c>
      <c r="Q518" s="6"/>
      <c r="R518" s="6"/>
      <c r="S518" s="6"/>
      <c r="T518" s="6"/>
      <c r="U518" s="398"/>
    </row>
    <row r="519" spans="1:21" ht="38.25">
      <c r="A519" s="6">
        <v>2017</v>
      </c>
      <c r="B519" s="6" t="s">
        <v>3179</v>
      </c>
      <c r="C519" s="112" t="s">
        <v>61</v>
      </c>
      <c r="D519" s="34" t="s">
        <v>62</v>
      </c>
      <c r="E519" s="34"/>
      <c r="F519" s="6" t="s">
        <v>3180</v>
      </c>
      <c r="G519" s="6" t="s">
        <v>3181</v>
      </c>
      <c r="H519" s="8">
        <v>2987995</v>
      </c>
      <c r="I519" s="160" t="s">
        <v>3182</v>
      </c>
      <c r="J519" s="6" t="s">
        <v>6936</v>
      </c>
      <c r="K519" s="6" t="s">
        <v>1904</v>
      </c>
      <c r="L519" s="6" t="s">
        <v>6703</v>
      </c>
      <c r="M519" s="7">
        <v>42899</v>
      </c>
      <c r="N519" s="6"/>
      <c r="O519" s="52"/>
      <c r="P519" s="6" t="s">
        <v>6179</v>
      </c>
      <c r="Q519" s="6"/>
      <c r="R519" s="6"/>
      <c r="S519" s="6"/>
      <c r="T519" s="6"/>
      <c r="U519" s="398"/>
    </row>
    <row r="520" spans="1:21" ht="89.25">
      <c r="A520" s="6">
        <v>2017</v>
      </c>
      <c r="B520" s="6" t="s">
        <v>3183</v>
      </c>
      <c r="C520" s="112" t="s">
        <v>61</v>
      </c>
      <c r="D520" s="6" t="s">
        <v>3092</v>
      </c>
      <c r="E520" s="6"/>
      <c r="F520" s="6" t="s">
        <v>3184</v>
      </c>
      <c r="G520" s="6" t="s">
        <v>3185</v>
      </c>
      <c r="H520" s="8">
        <v>421622</v>
      </c>
      <c r="I520" s="160" t="s">
        <v>3186</v>
      </c>
      <c r="J520" s="6" t="s">
        <v>6370</v>
      </c>
      <c r="K520" s="6" t="s">
        <v>1904</v>
      </c>
      <c r="L520" s="6" t="s">
        <v>6104</v>
      </c>
      <c r="M520" s="7">
        <v>42899</v>
      </c>
      <c r="N520" s="6"/>
      <c r="O520" s="52"/>
      <c r="P520" s="6"/>
      <c r="Q520" s="6"/>
      <c r="R520" s="6"/>
      <c r="S520" s="6"/>
      <c r="T520" s="6"/>
      <c r="U520" s="160"/>
    </row>
    <row r="521" spans="1:21" ht="25.5">
      <c r="A521" s="6">
        <v>2017</v>
      </c>
      <c r="B521" s="6" t="s">
        <v>3187</v>
      </c>
      <c r="C521" s="112" t="s">
        <v>61</v>
      </c>
      <c r="D521" s="6" t="s">
        <v>1141</v>
      </c>
      <c r="E521" s="6"/>
      <c r="F521" s="6" t="s">
        <v>3188</v>
      </c>
      <c r="G521" s="6" t="s">
        <v>3189</v>
      </c>
      <c r="H521" s="8">
        <v>23860.21</v>
      </c>
      <c r="I521" s="160" t="s">
        <v>3190</v>
      </c>
      <c r="J521" s="6" t="s">
        <v>6314</v>
      </c>
      <c r="K521" s="6" t="s">
        <v>1904</v>
      </c>
      <c r="L521" s="6" t="s">
        <v>6137</v>
      </c>
      <c r="M521" s="7">
        <v>42899</v>
      </c>
      <c r="N521" s="6"/>
      <c r="O521" s="52"/>
      <c r="P521" s="6" t="s">
        <v>6132</v>
      </c>
      <c r="Q521" s="6"/>
      <c r="R521" s="6"/>
      <c r="S521" s="6"/>
      <c r="T521" s="6"/>
      <c r="U521" s="160"/>
    </row>
    <row r="522" spans="1:21" ht="38.25">
      <c r="A522" s="6"/>
      <c r="B522" s="6" t="s">
        <v>3191</v>
      </c>
      <c r="C522" s="6" t="s">
        <v>2328</v>
      </c>
      <c r="D522" s="6" t="s">
        <v>586</v>
      </c>
      <c r="E522" s="6"/>
      <c r="F522" s="6" t="s">
        <v>3192</v>
      </c>
      <c r="G522" s="6" t="s">
        <v>3193</v>
      </c>
      <c r="H522" s="8">
        <v>316600</v>
      </c>
      <c r="I522" s="160" t="s">
        <v>3194</v>
      </c>
      <c r="J522" s="6" t="s">
        <v>1828</v>
      </c>
      <c r="K522" s="6"/>
      <c r="L522" s="6" t="s">
        <v>6941</v>
      </c>
      <c r="M522" s="7">
        <v>42899</v>
      </c>
      <c r="N522" s="6"/>
      <c r="O522" s="52"/>
      <c r="P522" s="6" t="s">
        <v>6132</v>
      </c>
      <c r="Q522" s="6"/>
      <c r="R522" s="6"/>
      <c r="S522" s="6"/>
      <c r="T522" s="6"/>
      <c r="U522" s="160"/>
    </row>
    <row r="523" spans="1:21" ht="89.25">
      <c r="A523" s="6">
        <v>2017</v>
      </c>
      <c r="B523" s="6" t="s">
        <v>3195</v>
      </c>
      <c r="C523" s="112" t="s">
        <v>61</v>
      </c>
      <c r="D523" s="6" t="s">
        <v>3142</v>
      </c>
      <c r="E523" s="6"/>
      <c r="F523" s="6" t="s">
        <v>3196</v>
      </c>
      <c r="G523" s="6" t="s">
        <v>3197</v>
      </c>
      <c r="H523" s="8">
        <v>249990</v>
      </c>
      <c r="I523" s="160" t="s">
        <v>3198</v>
      </c>
      <c r="J523" s="6" t="s">
        <v>5647</v>
      </c>
      <c r="K523" s="6"/>
      <c r="L523" s="6" t="s">
        <v>6933</v>
      </c>
      <c r="M523" s="7">
        <v>42899</v>
      </c>
      <c r="N523" s="6"/>
      <c r="O523" s="52"/>
      <c r="P523" s="6" t="s">
        <v>6132</v>
      </c>
      <c r="Q523" s="6"/>
      <c r="R523" s="6"/>
      <c r="S523" s="6"/>
      <c r="T523" s="6"/>
      <c r="U523" s="160"/>
    </row>
    <row r="524" spans="1:21" ht="38.25">
      <c r="A524" s="6">
        <v>2017</v>
      </c>
      <c r="B524" s="6" t="s">
        <v>3199</v>
      </c>
      <c r="C524" s="112" t="s">
        <v>61</v>
      </c>
      <c r="D524" s="34" t="s">
        <v>62</v>
      </c>
      <c r="E524" s="34"/>
      <c r="F524" s="6" t="s">
        <v>3200</v>
      </c>
      <c r="G524" s="6" t="s">
        <v>3201</v>
      </c>
      <c r="H524" s="8">
        <v>1428000</v>
      </c>
      <c r="I524" s="160" t="s">
        <v>3202</v>
      </c>
      <c r="J524" s="6" t="s">
        <v>2655</v>
      </c>
      <c r="K524" s="6"/>
      <c r="L524" s="6" t="s">
        <v>6137</v>
      </c>
      <c r="M524" s="6"/>
      <c r="N524" s="6"/>
      <c r="O524" s="52"/>
      <c r="P524" s="6" t="s">
        <v>6179</v>
      </c>
      <c r="Q524" s="6"/>
      <c r="R524" s="6"/>
      <c r="S524" s="6"/>
      <c r="T524" s="6"/>
      <c r="U524" s="398"/>
    </row>
    <row r="525" spans="1:21" ht="51">
      <c r="A525" s="6">
        <v>2017</v>
      </c>
      <c r="B525" s="6" t="s">
        <v>3203</v>
      </c>
      <c r="C525" s="112" t="s">
        <v>61</v>
      </c>
      <c r="D525" s="6" t="s">
        <v>12013</v>
      </c>
      <c r="E525" s="6"/>
      <c r="F525" s="6" t="s">
        <v>3205</v>
      </c>
      <c r="G525" s="6" t="s">
        <v>581</v>
      </c>
      <c r="H525" s="8">
        <v>1015000</v>
      </c>
      <c r="I525" s="6"/>
      <c r="J525" s="6" t="s">
        <v>6370</v>
      </c>
      <c r="K525" s="6"/>
      <c r="L525" s="6" t="s">
        <v>6933</v>
      </c>
      <c r="M525" s="6"/>
      <c r="N525" s="6"/>
      <c r="O525" s="52"/>
      <c r="P525" s="475" t="s">
        <v>1808</v>
      </c>
      <c r="Q525" s="6"/>
      <c r="R525" s="6"/>
      <c r="S525" s="6" t="s">
        <v>1824</v>
      </c>
      <c r="T525" s="6" t="s">
        <v>12015</v>
      </c>
      <c r="U525" s="6"/>
    </row>
    <row r="526" spans="1:21" ht="76.5">
      <c r="A526" s="6">
        <v>2017</v>
      </c>
      <c r="B526" s="6" t="s">
        <v>3206</v>
      </c>
      <c r="C526" s="112" t="s">
        <v>61</v>
      </c>
      <c r="D526" s="6" t="s">
        <v>12013</v>
      </c>
      <c r="E526" s="6"/>
      <c r="F526" s="6" t="s">
        <v>3207</v>
      </c>
      <c r="G526" s="6" t="s">
        <v>3208</v>
      </c>
      <c r="H526" s="8">
        <v>1316250</v>
      </c>
      <c r="I526" s="160" t="s">
        <v>3209</v>
      </c>
      <c r="J526" s="6" t="s">
        <v>6783</v>
      </c>
      <c r="K526" s="6"/>
      <c r="L526" s="6" t="s">
        <v>6933</v>
      </c>
      <c r="M526" s="6"/>
      <c r="N526" s="6"/>
      <c r="O526" s="52"/>
      <c r="P526" s="475" t="s">
        <v>1808</v>
      </c>
      <c r="Q526" s="6"/>
      <c r="R526" s="6"/>
      <c r="S526" s="6" t="s">
        <v>1824</v>
      </c>
      <c r="T526" s="6" t="s">
        <v>12016</v>
      </c>
      <c r="U526" s="160"/>
    </row>
    <row r="527" spans="1:21" ht="51">
      <c r="A527" s="6">
        <v>2017</v>
      </c>
      <c r="B527" s="6" t="s">
        <v>3210</v>
      </c>
      <c r="C527" s="112" t="s">
        <v>61</v>
      </c>
      <c r="D527" s="6" t="s">
        <v>394</v>
      </c>
      <c r="E527" s="6"/>
      <c r="F527" s="6" t="s">
        <v>3211</v>
      </c>
      <c r="G527" s="6" t="s">
        <v>3212</v>
      </c>
      <c r="H527" s="8">
        <v>169240</v>
      </c>
      <c r="I527" s="160" t="s">
        <v>2901</v>
      </c>
      <c r="J527" s="6" t="s">
        <v>6822</v>
      </c>
      <c r="K527" s="6"/>
      <c r="L527" s="6" t="s">
        <v>6071</v>
      </c>
      <c r="M527" s="7">
        <v>42954</v>
      </c>
      <c r="N527" s="6"/>
      <c r="O527" s="52"/>
      <c r="P527" s="475" t="s">
        <v>1808</v>
      </c>
      <c r="Q527" s="6"/>
      <c r="R527" s="6"/>
      <c r="S527" s="6" t="s">
        <v>1824</v>
      </c>
      <c r="T527" s="6" t="s">
        <v>6949</v>
      </c>
      <c r="U527" s="160"/>
    </row>
    <row r="528" spans="1:21" ht="63.75">
      <c r="A528" s="6">
        <v>2017</v>
      </c>
      <c r="B528" s="6" t="s">
        <v>3213</v>
      </c>
      <c r="C528" s="112" t="s">
        <v>61</v>
      </c>
      <c r="D528" s="6" t="s">
        <v>3168</v>
      </c>
      <c r="E528" s="6"/>
      <c r="F528" s="6" t="s">
        <v>3214</v>
      </c>
      <c r="G528" s="6" t="s">
        <v>3215</v>
      </c>
      <c r="H528" s="8">
        <v>500000</v>
      </c>
      <c r="I528" s="6" t="s">
        <v>2508</v>
      </c>
      <c r="J528" s="6" t="s">
        <v>1828</v>
      </c>
      <c r="K528" s="6"/>
      <c r="L528" s="6" t="s">
        <v>6064</v>
      </c>
      <c r="M528" s="7">
        <v>42954</v>
      </c>
      <c r="N528" s="6"/>
      <c r="O528" s="52"/>
      <c r="P528" s="475" t="s">
        <v>1808</v>
      </c>
      <c r="Q528" s="6"/>
      <c r="R528" s="6"/>
      <c r="S528" s="6" t="s">
        <v>1824</v>
      </c>
      <c r="T528" s="6"/>
      <c r="U528" s="6"/>
    </row>
    <row r="529" spans="1:21" ht="25.5">
      <c r="A529" s="6">
        <v>2017</v>
      </c>
      <c r="B529" s="6" t="s">
        <v>3216</v>
      </c>
      <c r="C529" s="112" t="s">
        <v>61</v>
      </c>
      <c r="D529" s="6" t="s">
        <v>1383</v>
      </c>
      <c r="E529" s="6"/>
      <c r="F529" s="6" t="s">
        <v>3217</v>
      </c>
      <c r="G529" s="6" t="s">
        <v>1556</v>
      </c>
      <c r="H529" s="8">
        <v>354000</v>
      </c>
      <c r="I529" s="6" t="s">
        <v>1938</v>
      </c>
      <c r="J529" s="6" t="s">
        <v>1828</v>
      </c>
      <c r="K529" s="6"/>
      <c r="L529" s="6" t="s">
        <v>6064</v>
      </c>
      <c r="M529" s="7">
        <v>42954</v>
      </c>
      <c r="N529" s="6"/>
      <c r="O529" s="52"/>
      <c r="P529" s="475" t="s">
        <v>1808</v>
      </c>
      <c r="Q529" s="6"/>
      <c r="R529" s="6"/>
      <c r="S529" s="6"/>
      <c r="T529" s="6"/>
      <c r="U529" s="6"/>
    </row>
    <row r="530" spans="1:21" ht="38.25">
      <c r="A530" s="6">
        <v>2017</v>
      </c>
      <c r="B530" s="6" t="s">
        <v>3218</v>
      </c>
      <c r="C530" s="112" t="s">
        <v>61</v>
      </c>
      <c r="D530" s="6" t="s">
        <v>12013</v>
      </c>
      <c r="E530" s="6"/>
      <c r="F530" s="6" t="s">
        <v>3219</v>
      </c>
      <c r="G530" s="6" t="s">
        <v>3220</v>
      </c>
      <c r="H530" s="8">
        <v>1337500</v>
      </c>
      <c r="I530" s="6" t="s">
        <v>3221</v>
      </c>
      <c r="J530" s="6" t="s">
        <v>2613</v>
      </c>
      <c r="K530" s="6"/>
      <c r="L530" s="6" t="s">
        <v>6933</v>
      </c>
      <c r="M530" s="6"/>
      <c r="N530" s="6"/>
      <c r="O530" s="52"/>
      <c r="P530" s="475" t="s">
        <v>1808</v>
      </c>
      <c r="Q530" s="6"/>
      <c r="R530" s="6"/>
      <c r="S530" s="6" t="s">
        <v>1824</v>
      </c>
      <c r="T530" s="6"/>
      <c r="U530" s="6"/>
    </row>
    <row r="531" spans="1:21" ht="51">
      <c r="A531" s="6">
        <v>2017</v>
      </c>
      <c r="B531" s="6" t="s">
        <v>3222</v>
      </c>
      <c r="C531" s="112" t="s">
        <v>61</v>
      </c>
      <c r="D531" s="6" t="s">
        <v>3092</v>
      </c>
      <c r="E531" s="6"/>
      <c r="F531" s="6" t="s">
        <v>3223</v>
      </c>
      <c r="G531" s="6" t="s">
        <v>3224</v>
      </c>
      <c r="H531" s="8">
        <v>743784</v>
      </c>
      <c r="I531" s="160" t="s">
        <v>3225</v>
      </c>
      <c r="J531" s="6" t="s">
        <v>6783</v>
      </c>
      <c r="K531" s="6" t="s">
        <v>1904</v>
      </c>
      <c r="L531" s="6" t="s">
        <v>6933</v>
      </c>
      <c r="M531" s="7">
        <v>43012</v>
      </c>
      <c r="N531" s="6"/>
      <c r="O531" s="52"/>
      <c r="P531" s="475" t="s">
        <v>1808</v>
      </c>
      <c r="Q531" s="6"/>
      <c r="R531" s="6"/>
      <c r="S531" s="6" t="s">
        <v>1824</v>
      </c>
      <c r="T531" s="6"/>
      <c r="U531" s="160"/>
    </row>
    <row r="532" spans="1:21" ht="76.5">
      <c r="A532" s="6">
        <v>2017</v>
      </c>
      <c r="B532" s="6" t="s">
        <v>3226</v>
      </c>
      <c r="C532" s="112" t="s">
        <v>61</v>
      </c>
      <c r="D532" s="6" t="s">
        <v>1383</v>
      </c>
      <c r="E532" s="6"/>
      <c r="F532" s="6" t="s">
        <v>3227</v>
      </c>
      <c r="G532" s="6" t="s">
        <v>3228</v>
      </c>
      <c r="H532" s="8">
        <v>1248000</v>
      </c>
      <c r="I532" s="160" t="s">
        <v>3229</v>
      </c>
      <c r="J532" s="6" t="s">
        <v>6370</v>
      </c>
      <c r="K532" s="6" t="s">
        <v>82</v>
      </c>
      <c r="L532" s="6" t="s">
        <v>6955</v>
      </c>
      <c r="M532" s="7">
        <v>43012</v>
      </c>
      <c r="N532" s="6"/>
      <c r="O532" s="52"/>
      <c r="P532" s="475" t="s">
        <v>1808</v>
      </c>
      <c r="Q532" s="6"/>
      <c r="R532" s="6"/>
      <c r="S532" s="6" t="s">
        <v>1824</v>
      </c>
      <c r="T532" s="6"/>
      <c r="U532" s="160"/>
    </row>
    <row r="533" spans="1:21" ht="25.5">
      <c r="A533" s="6">
        <v>2017</v>
      </c>
      <c r="B533" s="6" t="s">
        <v>3230</v>
      </c>
      <c r="C533" s="112" t="s">
        <v>61</v>
      </c>
      <c r="D533" s="6" t="s">
        <v>125</v>
      </c>
      <c r="E533" s="6"/>
      <c r="F533" s="6" t="s">
        <v>807</v>
      </c>
      <c r="G533" s="6" t="s">
        <v>811</v>
      </c>
      <c r="H533" s="8">
        <v>500000</v>
      </c>
      <c r="I533" s="6" t="s">
        <v>1938</v>
      </c>
      <c r="J533" s="6" t="s">
        <v>1828</v>
      </c>
      <c r="K533" s="6"/>
      <c r="L533" s="6" t="s">
        <v>6064</v>
      </c>
      <c r="M533" s="6"/>
      <c r="N533" s="6"/>
      <c r="O533" s="52"/>
      <c r="P533" s="475" t="s">
        <v>1808</v>
      </c>
      <c r="Q533" s="6"/>
      <c r="R533" s="6"/>
      <c r="S533" s="6"/>
      <c r="T533" s="6"/>
      <c r="U533" s="6"/>
    </row>
    <row r="534" spans="1:21" ht="51">
      <c r="A534" s="6">
        <v>2017</v>
      </c>
      <c r="B534" s="6" t="s">
        <v>3231</v>
      </c>
      <c r="C534" s="112" t="s">
        <v>61</v>
      </c>
      <c r="D534" s="6" t="s">
        <v>394</v>
      </c>
      <c r="E534" s="6"/>
      <c r="F534" s="6" t="s">
        <v>3232</v>
      </c>
      <c r="G534" s="6" t="s">
        <v>3233</v>
      </c>
      <c r="H534" s="8">
        <v>241450</v>
      </c>
      <c r="I534" s="160" t="s">
        <v>3234</v>
      </c>
      <c r="J534" s="6" t="s">
        <v>2467</v>
      </c>
      <c r="K534" s="6" t="s">
        <v>1853</v>
      </c>
      <c r="L534" s="6" t="s">
        <v>6071</v>
      </c>
      <c r="M534" s="7">
        <v>43012</v>
      </c>
      <c r="N534" s="6"/>
      <c r="O534" s="52"/>
      <c r="P534" s="6" t="s">
        <v>6179</v>
      </c>
      <c r="Q534" s="6"/>
      <c r="R534" s="6"/>
      <c r="S534" s="6"/>
      <c r="T534" s="6" t="s">
        <v>6958</v>
      </c>
      <c r="U534" s="160"/>
    </row>
    <row r="535" spans="1:21" ht="51">
      <c r="A535" s="6"/>
      <c r="B535" s="6" t="s">
        <v>3235</v>
      </c>
      <c r="C535" s="6" t="s">
        <v>2328</v>
      </c>
      <c r="D535" s="6" t="s">
        <v>4174</v>
      </c>
      <c r="E535" s="6"/>
      <c r="F535" s="6" t="s">
        <v>3236</v>
      </c>
      <c r="G535" s="6" t="s">
        <v>3237</v>
      </c>
      <c r="H535" s="8">
        <v>1326052.5</v>
      </c>
      <c r="I535" s="160" t="s">
        <v>3238</v>
      </c>
      <c r="J535" s="6" t="s">
        <v>6370</v>
      </c>
      <c r="K535" s="6"/>
      <c r="L535" s="6" t="s">
        <v>1867</v>
      </c>
      <c r="M535" s="6"/>
      <c r="N535" s="6"/>
      <c r="O535" s="52"/>
      <c r="P535" s="6" t="s">
        <v>6132</v>
      </c>
      <c r="Q535" s="6"/>
      <c r="R535" s="6"/>
      <c r="S535" s="6"/>
      <c r="T535" s="6"/>
      <c r="U535" s="160"/>
    </row>
    <row r="536" spans="1:21" ht="76.5">
      <c r="A536" s="6"/>
      <c r="B536" s="6" t="s">
        <v>3239</v>
      </c>
      <c r="C536" s="6" t="s">
        <v>2328</v>
      </c>
      <c r="D536" s="6" t="s">
        <v>4174</v>
      </c>
      <c r="E536" s="6"/>
      <c r="F536" s="6" t="s">
        <v>3240</v>
      </c>
      <c r="G536" s="6" t="s">
        <v>3241</v>
      </c>
      <c r="H536" s="8">
        <v>5030944</v>
      </c>
      <c r="I536" s="160" t="s">
        <v>3242</v>
      </c>
      <c r="J536" s="6" t="s">
        <v>2449</v>
      </c>
      <c r="K536" s="6"/>
      <c r="L536" s="6" t="s">
        <v>1867</v>
      </c>
      <c r="M536" s="6"/>
      <c r="N536" s="6"/>
      <c r="O536" s="52"/>
      <c r="P536" s="6" t="s">
        <v>6132</v>
      </c>
      <c r="Q536" s="6"/>
      <c r="R536" s="6"/>
      <c r="S536" s="6" t="s">
        <v>1824</v>
      </c>
      <c r="T536" s="6"/>
      <c r="U536" s="160"/>
    </row>
    <row r="537" spans="1:21" ht="76.5">
      <c r="A537" s="6"/>
      <c r="B537" s="6" t="s">
        <v>3243</v>
      </c>
      <c r="C537" s="6" t="s">
        <v>2328</v>
      </c>
      <c r="D537" s="6" t="s">
        <v>4174</v>
      </c>
      <c r="E537" s="6"/>
      <c r="F537" s="6" t="s">
        <v>3244</v>
      </c>
      <c r="G537" s="6" t="s">
        <v>3241</v>
      </c>
      <c r="H537" s="8">
        <v>3500000</v>
      </c>
      <c r="I537" s="160" t="s">
        <v>3242</v>
      </c>
      <c r="J537" s="6" t="s">
        <v>2449</v>
      </c>
      <c r="K537" s="6"/>
      <c r="L537" s="6" t="s">
        <v>1867</v>
      </c>
      <c r="M537" s="6"/>
      <c r="N537" s="6"/>
      <c r="O537" s="52"/>
      <c r="P537" s="6" t="s">
        <v>6132</v>
      </c>
      <c r="Q537" s="6"/>
      <c r="R537" s="6"/>
      <c r="S537" s="6" t="s">
        <v>1824</v>
      </c>
      <c r="T537" s="6"/>
      <c r="U537" s="160"/>
    </row>
    <row r="538" spans="1:21" ht="76.5">
      <c r="A538" s="6"/>
      <c r="B538" s="6" t="s">
        <v>3245</v>
      </c>
      <c r="C538" s="6" t="s">
        <v>2328</v>
      </c>
      <c r="D538" s="6" t="s">
        <v>4174</v>
      </c>
      <c r="E538" s="6"/>
      <c r="F538" s="6" t="s">
        <v>3246</v>
      </c>
      <c r="G538" s="6" t="s">
        <v>3247</v>
      </c>
      <c r="H538" s="8">
        <v>552000</v>
      </c>
      <c r="I538" s="160" t="s">
        <v>3242</v>
      </c>
      <c r="J538" s="6" t="s">
        <v>2449</v>
      </c>
      <c r="K538" s="6"/>
      <c r="L538" s="6" t="s">
        <v>1867</v>
      </c>
      <c r="M538" s="6"/>
      <c r="N538" s="6"/>
      <c r="O538" s="52"/>
      <c r="P538" s="6" t="s">
        <v>6132</v>
      </c>
      <c r="Q538" s="6"/>
      <c r="R538" s="6"/>
      <c r="S538" s="6" t="s">
        <v>1824</v>
      </c>
      <c r="T538" s="6"/>
      <c r="U538" s="160"/>
    </row>
    <row r="539" spans="1:21" ht="25.5">
      <c r="A539" s="6"/>
      <c r="B539" s="6" t="s">
        <v>3248</v>
      </c>
      <c r="C539" s="6" t="s">
        <v>2328</v>
      </c>
      <c r="D539" s="6" t="s">
        <v>4174</v>
      </c>
      <c r="E539" s="6"/>
      <c r="F539" s="6" t="s">
        <v>3249</v>
      </c>
      <c r="G539" s="6" t="s">
        <v>3250</v>
      </c>
      <c r="H539" s="8">
        <v>605937</v>
      </c>
      <c r="I539" s="160" t="s">
        <v>3251</v>
      </c>
      <c r="J539" s="6" t="s">
        <v>2467</v>
      </c>
      <c r="K539" s="6"/>
      <c r="L539" s="6" t="s">
        <v>1867</v>
      </c>
      <c r="M539" s="6"/>
      <c r="N539" s="6"/>
      <c r="O539" s="52"/>
      <c r="P539" s="6" t="s">
        <v>6132</v>
      </c>
      <c r="Q539" s="6"/>
      <c r="R539" s="6"/>
      <c r="S539" s="6"/>
      <c r="T539" s="6"/>
      <c r="U539" s="160"/>
    </row>
    <row r="540" spans="1:21" ht="51">
      <c r="A540" s="6">
        <v>2017</v>
      </c>
      <c r="B540" s="6" t="s">
        <v>3252</v>
      </c>
      <c r="C540" s="112" t="s">
        <v>61</v>
      </c>
      <c r="D540" s="34" t="s">
        <v>62</v>
      </c>
      <c r="E540" s="34"/>
      <c r="F540" s="6" t="s">
        <v>3253</v>
      </c>
      <c r="G540" s="6" t="s">
        <v>3254</v>
      </c>
      <c r="H540" s="8">
        <v>1328975.1200000001</v>
      </c>
      <c r="I540" s="160" t="s">
        <v>3255</v>
      </c>
      <c r="J540" s="6" t="s">
        <v>5656</v>
      </c>
      <c r="K540" s="6" t="s">
        <v>1904</v>
      </c>
      <c r="L540" s="6" t="s">
        <v>6108</v>
      </c>
      <c r="M540" s="6"/>
      <c r="N540" s="6"/>
      <c r="O540" s="52"/>
      <c r="P540" s="6" t="s">
        <v>6132</v>
      </c>
      <c r="Q540" s="6"/>
      <c r="R540" s="6"/>
      <c r="S540" s="6"/>
      <c r="T540" s="6"/>
      <c r="U540" s="398"/>
    </row>
    <row r="541" spans="1:21" ht="76.5">
      <c r="A541" s="6">
        <v>2017</v>
      </c>
      <c r="B541" s="6" t="s">
        <v>3256</v>
      </c>
      <c r="C541" s="112" t="s">
        <v>61</v>
      </c>
      <c r="D541" s="6" t="s">
        <v>1383</v>
      </c>
      <c r="E541" s="6"/>
      <c r="F541" s="6" t="s">
        <v>3257</v>
      </c>
      <c r="G541" s="6" t="s">
        <v>3258</v>
      </c>
      <c r="H541" s="8">
        <v>200000</v>
      </c>
      <c r="I541" s="160" t="s">
        <v>3229</v>
      </c>
      <c r="J541" s="6" t="s">
        <v>6370</v>
      </c>
      <c r="K541" s="6" t="s">
        <v>82</v>
      </c>
      <c r="L541" s="6" t="s">
        <v>6933</v>
      </c>
      <c r="M541" s="7">
        <v>43056</v>
      </c>
      <c r="N541" s="6"/>
      <c r="O541" s="52"/>
      <c r="P541" s="475" t="s">
        <v>1808</v>
      </c>
      <c r="Q541" s="6"/>
      <c r="R541" s="6"/>
      <c r="S541" s="6" t="s">
        <v>1824</v>
      </c>
      <c r="T541" s="6"/>
      <c r="U541" s="160"/>
    </row>
    <row r="542" spans="1:21" ht="63.75">
      <c r="A542" s="6">
        <v>2017</v>
      </c>
      <c r="B542" s="6" t="s">
        <v>3259</v>
      </c>
      <c r="C542" s="112" t="s">
        <v>61</v>
      </c>
      <c r="D542" s="6" t="s">
        <v>12013</v>
      </c>
      <c r="E542" s="6"/>
      <c r="F542" s="6" t="s">
        <v>3260</v>
      </c>
      <c r="G542" s="6" t="s">
        <v>3261</v>
      </c>
      <c r="H542" s="30">
        <v>956511.2</v>
      </c>
      <c r="I542" s="6" t="s">
        <v>1938</v>
      </c>
      <c r="J542" s="6" t="s">
        <v>1828</v>
      </c>
      <c r="K542" s="6"/>
      <c r="L542" s="6" t="s">
        <v>6933</v>
      </c>
      <c r="M542" s="6"/>
      <c r="N542" s="6"/>
      <c r="O542" s="52"/>
      <c r="P542" s="475" t="s">
        <v>1808</v>
      </c>
      <c r="Q542" s="6"/>
      <c r="R542" s="6"/>
      <c r="S542" s="6" t="s">
        <v>1824</v>
      </c>
      <c r="T542" s="6" t="s">
        <v>12017</v>
      </c>
      <c r="U542" s="6"/>
    </row>
    <row r="543" spans="1:21" ht="216.75">
      <c r="A543" s="6">
        <v>2017</v>
      </c>
      <c r="B543" s="6" t="s">
        <v>3262</v>
      </c>
      <c r="C543" s="112" t="s">
        <v>61</v>
      </c>
      <c r="D543" s="6" t="s">
        <v>652</v>
      </c>
      <c r="E543" s="6"/>
      <c r="F543" s="6" t="s">
        <v>3263</v>
      </c>
      <c r="G543" s="6" t="s">
        <v>3264</v>
      </c>
      <c r="H543" s="780">
        <v>63840</v>
      </c>
      <c r="I543" s="160" t="s">
        <v>1938</v>
      </c>
      <c r="J543" s="6" t="s">
        <v>1828</v>
      </c>
      <c r="K543" s="6"/>
      <c r="L543" s="6" t="s">
        <v>6064</v>
      </c>
      <c r="M543" s="6"/>
      <c r="N543" s="6"/>
      <c r="O543" s="52"/>
      <c r="P543" s="475" t="s">
        <v>1808</v>
      </c>
      <c r="Q543" s="6" t="s">
        <v>6968</v>
      </c>
      <c r="R543" s="6"/>
      <c r="S543" s="6"/>
      <c r="T543" s="6"/>
      <c r="U543" s="160"/>
    </row>
    <row r="544" spans="1:21" ht="63.75">
      <c r="A544" s="6"/>
      <c r="B544" s="6" t="s">
        <v>3265</v>
      </c>
      <c r="C544" s="6"/>
      <c r="D544" s="6" t="s">
        <v>3142</v>
      </c>
      <c r="E544" s="6"/>
      <c r="F544" s="6" t="s">
        <v>12018</v>
      </c>
      <c r="G544" s="6"/>
      <c r="H544" s="781"/>
      <c r="I544" s="6"/>
      <c r="J544" s="56"/>
      <c r="K544" s="6"/>
      <c r="L544" s="6" t="s">
        <v>3827</v>
      </c>
      <c r="M544" s="6"/>
      <c r="N544" s="6"/>
      <c r="O544" s="52"/>
      <c r="P544" s="475" t="s">
        <v>1808</v>
      </c>
      <c r="Q544" s="6"/>
      <c r="R544" s="6"/>
      <c r="S544" s="6"/>
      <c r="T544" s="6"/>
      <c r="U544" s="6"/>
    </row>
    <row r="545" spans="1:21" ht="140.25">
      <c r="A545" s="6">
        <v>2017</v>
      </c>
      <c r="B545" s="6" t="s">
        <v>3266</v>
      </c>
      <c r="C545" s="112" t="s">
        <v>61</v>
      </c>
      <c r="D545" s="6" t="s">
        <v>586</v>
      </c>
      <c r="E545" s="6"/>
      <c r="F545" s="6" t="s">
        <v>3267</v>
      </c>
      <c r="G545" s="6" t="s">
        <v>3268</v>
      </c>
      <c r="H545" s="8">
        <v>8500</v>
      </c>
      <c r="I545" s="6" t="s">
        <v>3269</v>
      </c>
      <c r="J545" s="6" t="s">
        <v>2460</v>
      </c>
      <c r="K545" s="6"/>
      <c r="L545" s="6" t="s">
        <v>6092</v>
      </c>
      <c r="M545" s="6"/>
      <c r="N545" s="6"/>
      <c r="O545" s="52"/>
      <c r="P545" s="6" t="s">
        <v>6132</v>
      </c>
      <c r="Q545" s="6" t="s">
        <v>6971</v>
      </c>
      <c r="R545" s="6"/>
      <c r="S545" s="6"/>
      <c r="T545" s="6"/>
      <c r="U545" s="6"/>
    </row>
    <row r="546" spans="1:21" ht="102">
      <c r="A546" s="6">
        <v>2017</v>
      </c>
      <c r="B546" s="6" t="s">
        <v>3270</v>
      </c>
      <c r="C546" s="112" t="s">
        <v>61</v>
      </c>
      <c r="D546" s="6" t="s">
        <v>394</v>
      </c>
      <c r="E546" s="6"/>
      <c r="F546" s="6" t="s">
        <v>3271</v>
      </c>
      <c r="G546" s="6" t="s">
        <v>3272</v>
      </c>
      <c r="H546" s="8">
        <v>62000</v>
      </c>
      <c r="I546" s="6" t="s">
        <v>3273</v>
      </c>
      <c r="J546" s="6" t="s">
        <v>2609</v>
      </c>
      <c r="K546" s="6"/>
      <c r="L546" s="6" t="s">
        <v>6071</v>
      </c>
      <c r="M546" s="6"/>
      <c r="N546" s="6"/>
      <c r="O546" s="52"/>
      <c r="P546" s="475" t="s">
        <v>1808</v>
      </c>
      <c r="Q546" s="6" t="s">
        <v>6973</v>
      </c>
      <c r="R546" s="6"/>
      <c r="S546" s="6"/>
      <c r="T546" s="6"/>
      <c r="U546" s="6"/>
    </row>
    <row r="547" spans="1:21" ht="102">
      <c r="A547" s="6">
        <v>2017</v>
      </c>
      <c r="B547" s="160" t="s">
        <v>3274</v>
      </c>
      <c r="C547" s="112" t="s">
        <v>61</v>
      </c>
      <c r="D547" s="6" t="s">
        <v>394</v>
      </c>
      <c r="E547" s="6"/>
      <c r="F547" s="6" t="s">
        <v>3275</v>
      </c>
      <c r="G547" s="160" t="s">
        <v>3272</v>
      </c>
      <c r="H547" s="8">
        <v>32000</v>
      </c>
      <c r="I547" s="6" t="s">
        <v>3273</v>
      </c>
      <c r="J547" s="6" t="s">
        <v>2609</v>
      </c>
      <c r="K547" s="6"/>
      <c r="L547" s="6" t="s">
        <v>6071</v>
      </c>
      <c r="M547" s="6"/>
      <c r="N547" s="6"/>
      <c r="O547" s="52"/>
      <c r="P547" s="475" t="s">
        <v>1808</v>
      </c>
      <c r="Q547" s="6" t="s">
        <v>6975</v>
      </c>
      <c r="R547" s="6"/>
      <c r="S547" s="6"/>
      <c r="T547" s="6"/>
      <c r="U547" s="6"/>
    </row>
    <row r="548" spans="1:21" ht="204">
      <c r="A548" s="6">
        <v>2017</v>
      </c>
      <c r="B548" s="160" t="s">
        <v>3276</v>
      </c>
      <c r="C548" s="112" t="s">
        <v>61</v>
      </c>
      <c r="D548" s="6" t="s">
        <v>1383</v>
      </c>
      <c r="E548" s="6"/>
      <c r="F548" s="6" t="s">
        <v>3277</v>
      </c>
      <c r="G548" s="6" t="s">
        <v>3278</v>
      </c>
      <c r="H548" s="493">
        <v>40000</v>
      </c>
      <c r="I548" s="6" t="s">
        <v>3279</v>
      </c>
      <c r="J548" s="6" t="s">
        <v>1828</v>
      </c>
      <c r="K548" s="6"/>
      <c r="L548" s="6" t="s">
        <v>6064</v>
      </c>
      <c r="M548" s="6"/>
      <c r="N548" s="6"/>
      <c r="O548" s="52"/>
      <c r="P548" s="475" t="s">
        <v>1808</v>
      </c>
      <c r="Q548" s="6" t="s">
        <v>6977</v>
      </c>
      <c r="R548" s="6"/>
      <c r="S548" s="6"/>
      <c r="T548" s="6"/>
      <c r="U548" s="6"/>
    </row>
    <row r="549" spans="1:21" ht="140.25">
      <c r="A549" s="6">
        <v>2017</v>
      </c>
      <c r="B549" s="160" t="s">
        <v>3280</v>
      </c>
      <c r="C549" s="112" t="s">
        <v>61</v>
      </c>
      <c r="D549" s="6" t="s">
        <v>394</v>
      </c>
      <c r="E549" s="6"/>
      <c r="F549" s="6" t="s">
        <v>3281</v>
      </c>
      <c r="G549" s="6" t="s">
        <v>3282</v>
      </c>
      <c r="H549" s="8">
        <v>31000</v>
      </c>
      <c r="I549" s="6" t="s">
        <v>3283</v>
      </c>
      <c r="J549" s="6" t="s">
        <v>1828</v>
      </c>
      <c r="K549" s="6"/>
      <c r="L549" s="6" t="s">
        <v>6071</v>
      </c>
      <c r="M549" s="6"/>
      <c r="N549" s="6"/>
      <c r="O549" s="52"/>
      <c r="P549" s="475" t="s">
        <v>1808</v>
      </c>
      <c r="Q549" s="6" t="s">
        <v>6979</v>
      </c>
      <c r="R549" s="6"/>
      <c r="S549" s="6"/>
      <c r="T549" s="6"/>
      <c r="U549" s="6"/>
    </row>
    <row r="550" spans="1:21" ht="127.5">
      <c r="A550" s="6">
        <v>2017</v>
      </c>
      <c r="B550" s="160" t="s">
        <v>3284</v>
      </c>
      <c r="C550" s="112" t="s">
        <v>61</v>
      </c>
      <c r="D550" s="6" t="s">
        <v>394</v>
      </c>
      <c r="E550" s="6"/>
      <c r="F550" s="160" t="s">
        <v>3285</v>
      </c>
      <c r="G550" s="6" t="s">
        <v>3286</v>
      </c>
      <c r="H550" s="493">
        <v>48900</v>
      </c>
      <c r="I550" s="6" t="s">
        <v>3287</v>
      </c>
      <c r="J550" s="6" t="s">
        <v>2467</v>
      </c>
      <c r="K550" s="6" t="s">
        <v>1853</v>
      </c>
      <c r="L550" s="6" t="s">
        <v>6071</v>
      </c>
      <c r="M550" s="160"/>
      <c r="N550" s="160"/>
      <c r="O550" s="52"/>
      <c r="P550" s="475" t="s">
        <v>1808</v>
      </c>
      <c r="Q550" s="6" t="s">
        <v>6981</v>
      </c>
      <c r="R550" s="160"/>
      <c r="S550" s="6"/>
      <c r="T550" s="6"/>
      <c r="U550" s="6"/>
    </row>
    <row r="551" spans="1:21" ht="25.5">
      <c r="A551" s="56">
        <v>2017</v>
      </c>
      <c r="B551" s="551" t="s">
        <v>3288</v>
      </c>
      <c r="C551" s="56"/>
      <c r="D551" s="56"/>
      <c r="E551" s="56"/>
      <c r="F551" s="56"/>
      <c r="G551" s="56"/>
      <c r="H551" s="57"/>
      <c r="I551" s="56"/>
      <c r="J551" s="56"/>
      <c r="K551" s="56"/>
      <c r="L551" s="56" t="s">
        <v>3827</v>
      </c>
      <c r="M551" s="56"/>
      <c r="N551" s="56"/>
      <c r="O551" s="554"/>
      <c r="P551" s="544"/>
      <c r="Q551" s="56"/>
      <c r="R551" s="56"/>
      <c r="S551" s="56"/>
      <c r="T551" s="56"/>
      <c r="U551" s="56"/>
    </row>
    <row r="552" spans="1:21" ht="153">
      <c r="A552" s="6">
        <v>2017</v>
      </c>
      <c r="B552" s="160" t="s">
        <v>3289</v>
      </c>
      <c r="C552" s="112" t="s">
        <v>61</v>
      </c>
      <c r="D552" s="6" t="s">
        <v>1383</v>
      </c>
      <c r="E552" s="6"/>
      <c r="F552" s="6" t="s">
        <v>3290</v>
      </c>
      <c r="G552" s="6" t="s">
        <v>3291</v>
      </c>
      <c r="H552" s="8">
        <v>15000</v>
      </c>
      <c r="I552" s="6" t="s">
        <v>3292</v>
      </c>
      <c r="J552" s="6" t="s">
        <v>1828</v>
      </c>
      <c r="K552" s="6"/>
      <c r="L552" s="6" t="s">
        <v>6933</v>
      </c>
      <c r="M552" s="6"/>
      <c r="N552" s="6"/>
      <c r="O552" s="52"/>
      <c r="P552" s="475" t="s">
        <v>1808</v>
      </c>
      <c r="Q552" s="6" t="s">
        <v>6984</v>
      </c>
      <c r="R552" s="6"/>
      <c r="S552" s="6"/>
      <c r="T552" s="6"/>
      <c r="U552" s="6"/>
    </row>
    <row r="553" spans="1:21" ht="127.5">
      <c r="A553" s="6">
        <v>2017</v>
      </c>
      <c r="B553" s="160" t="s">
        <v>3293</v>
      </c>
      <c r="C553" s="112" t="s">
        <v>61</v>
      </c>
      <c r="D553" s="6" t="s">
        <v>1763</v>
      </c>
      <c r="E553" s="6"/>
      <c r="F553" s="6" t="s">
        <v>3294</v>
      </c>
      <c r="G553" s="6" t="s">
        <v>3295</v>
      </c>
      <c r="H553" s="8">
        <v>34200</v>
      </c>
      <c r="I553" s="6" t="s">
        <v>3296</v>
      </c>
      <c r="J553" s="6" t="s">
        <v>1828</v>
      </c>
      <c r="K553" s="6"/>
      <c r="L553" s="6" t="s">
        <v>6064</v>
      </c>
      <c r="M553" s="6"/>
      <c r="N553" s="6"/>
      <c r="O553" s="52"/>
      <c r="P553" s="475" t="s">
        <v>6132</v>
      </c>
      <c r="Q553" s="6" t="s">
        <v>6986</v>
      </c>
      <c r="R553" s="6"/>
      <c r="S553" s="6"/>
      <c r="T553" s="6"/>
      <c r="U553" s="6"/>
    </row>
    <row r="554" spans="1:21" ht="165.75">
      <c r="A554" s="6">
        <v>2017</v>
      </c>
      <c r="B554" s="160" t="s">
        <v>3297</v>
      </c>
      <c r="C554" s="112" t="s">
        <v>61</v>
      </c>
      <c r="D554" s="6" t="s">
        <v>68</v>
      </c>
      <c r="E554" s="6"/>
      <c r="F554" s="6" t="s">
        <v>3298</v>
      </c>
      <c r="G554" s="6" t="s">
        <v>3299</v>
      </c>
      <c r="H554" s="8">
        <v>20000</v>
      </c>
      <c r="I554" s="6" t="s">
        <v>3300</v>
      </c>
      <c r="J554" s="6" t="s">
        <v>1828</v>
      </c>
      <c r="K554" s="6"/>
      <c r="L554" s="6" t="s">
        <v>6217</v>
      </c>
      <c r="M554" s="7">
        <v>42825</v>
      </c>
      <c r="N554" s="6"/>
      <c r="O554" s="52"/>
      <c r="P554" s="6" t="s">
        <v>6132</v>
      </c>
      <c r="Q554" s="6" t="s">
        <v>6988</v>
      </c>
      <c r="R554" s="6"/>
      <c r="S554" s="6"/>
      <c r="T554" s="6"/>
      <c r="U554" s="6"/>
    </row>
    <row r="555" spans="1:21" ht="76.5">
      <c r="A555" s="6">
        <v>2017</v>
      </c>
      <c r="B555" s="160" t="s">
        <v>3301</v>
      </c>
      <c r="C555" s="112" t="s">
        <v>61</v>
      </c>
      <c r="D555" s="6" t="s">
        <v>586</v>
      </c>
      <c r="E555" s="6"/>
      <c r="F555" s="6" t="s">
        <v>3302</v>
      </c>
      <c r="G555" s="6" t="s">
        <v>3303</v>
      </c>
      <c r="H555" s="8">
        <v>13876.49</v>
      </c>
      <c r="I555" s="6" t="s">
        <v>3304</v>
      </c>
      <c r="J555" s="6" t="s">
        <v>1828</v>
      </c>
      <c r="K555" s="6"/>
      <c r="L555" s="6" t="s">
        <v>6064</v>
      </c>
      <c r="M555" s="7">
        <v>42844</v>
      </c>
      <c r="N555" s="6"/>
      <c r="O555" s="52"/>
      <c r="P555" s="6" t="s">
        <v>6132</v>
      </c>
      <c r="Q555" s="6" t="s">
        <v>6990</v>
      </c>
      <c r="R555" s="6"/>
      <c r="S555" s="6"/>
      <c r="T555" s="6"/>
      <c r="U555" s="6"/>
    </row>
    <row r="556" spans="1:21" ht="127.5">
      <c r="A556" s="6">
        <v>2017</v>
      </c>
      <c r="B556" s="160" t="s">
        <v>3305</v>
      </c>
      <c r="C556" s="112" t="s">
        <v>61</v>
      </c>
      <c r="D556" s="6" t="s">
        <v>1763</v>
      </c>
      <c r="E556" s="6"/>
      <c r="F556" s="6" t="s">
        <v>3306</v>
      </c>
      <c r="G556" s="6" t="s">
        <v>3295</v>
      </c>
      <c r="H556" s="534">
        <v>42700</v>
      </c>
      <c r="I556" s="6" t="s">
        <v>3307</v>
      </c>
      <c r="J556" s="6" t="s">
        <v>1828</v>
      </c>
      <c r="K556" s="6"/>
      <c r="L556" s="6" t="s">
        <v>6064</v>
      </c>
      <c r="M556" s="7">
        <v>42851</v>
      </c>
      <c r="N556" s="6"/>
      <c r="O556" s="52"/>
      <c r="P556" s="6" t="s">
        <v>6132</v>
      </c>
      <c r="Q556" s="6" t="s">
        <v>6992</v>
      </c>
      <c r="R556" s="6"/>
      <c r="S556" s="6"/>
      <c r="T556" s="6"/>
      <c r="U556" s="6"/>
    </row>
    <row r="557" spans="1:21" ht="255">
      <c r="A557" s="6">
        <v>2017</v>
      </c>
      <c r="B557" s="160" t="s">
        <v>3308</v>
      </c>
      <c r="C557" s="112" t="s">
        <v>61</v>
      </c>
      <c r="D557" s="6" t="s">
        <v>2993</v>
      </c>
      <c r="E557" s="6"/>
      <c r="F557" s="6" t="s">
        <v>3309</v>
      </c>
      <c r="G557" s="6" t="s">
        <v>3310</v>
      </c>
      <c r="H557" s="8">
        <v>80702.94</v>
      </c>
      <c r="I557" s="6" t="s">
        <v>3311</v>
      </c>
      <c r="J557" s="6" t="s">
        <v>2467</v>
      </c>
      <c r="K557" s="6"/>
      <c r="L557" s="6" t="s">
        <v>6933</v>
      </c>
      <c r="M557" s="7">
        <v>42863</v>
      </c>
      <c r="N557" s="6"/>
      <c r="O557" s="52"/>
      <c r="P557" s="475" t="s">
        <v>1808</v>
      </c>
      <c r="Q557" s="6" t="s">
        <v>6994</v>
      </c>
      <c r="R557" s="6"/>
      <c r="S557" s="6"/>
      <c r="T557" s="6"/>
      <c r="U557" s="6"/>
    </row>
    <row r="558" spans="1:21" ht="102">
      <c r="A558" s="6">
        <v>2017</v>
      </c>
      <c r="B558" s="160" t="s">
        <v>3312</v>
      </c>
      <c r="C558" s="112" t="s">
        <v>61</v>
      </c>
      <c r="D558" s="6" t="s">
        <v>1383</v>
      </c>
      <c r="E558" s="6"/>
      <c r="F558" s="6" t="s">
        <v>3313</v>
      </c>
      <c r="G558" s="6" t="s">
        <v>2319</v>
      </c>
      <c r="H558" s="534">
        <v>15000</v>
      </c>
      <c r="I558" s="6" t="s">
        <v>3314</v>
      </c>
      <c r="J558" s="6" t="s">
        <v>1828</v>
      </c>
      <c r="K558" s="6"/>
      <c r="L558" s="6" t="s">
        <v>6933</v>
      </c>
      <c r="M558" s="6"/>
      <c r="N558" s="6"/>
      <c r="O558" s="52"/>
      <c r="P558" s="475" t="s">
        <v>1808</v>
      </c>
      <c r="Q558" s="6" t="s">
        <v>6996</v>
      </c>
      <c r="R558" s="6"/>
      <c r="S558" s="6"/>
      <c r="T558" s="6"/>
      <c r="U558" s="6"/>
    </row>
    <row r="559" spans="1:21" ht="178.5">
      <c r="A559" s="6">
        <v>2017</v>
      </c>
      <c r="B559" s="160" t="s">
        <v>3315</v>
      </c>
      <c r="C559" s="112" t="s">
        <v>61</v>
      </c>
      <c r="D559" s="6" t="s">
        <v>394</v>
      </c>
      <c r="E559" s="6"/>
      <c r="F559" s="6" t="s">
        <v>3316</v>
      </c>
      <c r="G559" s="6" t="s">
        <v>3317</v>
      </c>
      <c r="H559" s="8">
        <v>63500</v>
      </c>
      <c r="I559" s="6" t="s">
        <v>3318</v>
      </c>
      <c r="J559" s="6" t="s">
        <v>1828</v>
      </c>
      <c r="K559" s="6"/>
      <c r="L559" s="6" t="s">
        <v>6071</v>
      </c>
      <c r="M559" s="6"/>
      <c r="N559" s="6"/>
      <c r="O559" s="52"/>
      <c r="P559" s="475" t="s">
        <v>1808</v>
      </c>
      <c r="Q559" s="6" t="s">
        <v>6998</v>
      </c>
      <c r="R559" s="6"/>
      <c r="S559" s="6"/>
      <c r="T559" s="6"/>
      <c r="U559" s="6"/>
    </row>
    <row r="560" spans="1:21" ht="216.75">
      <c r="A560" s="6">
        <v>2017</v>
      </c>
      <c r="B560" s="160" t="s">
        <v>3319</v>
      </c>
      <c r="C560" s="112" t="s">
        <v>61</v>
      </c>
      <c r="D560" s="6" t="s">
        <v>1383</v>
      </c>
      <c r="E560" s="6"/>
      <c r="F560" s="6" t="s">
        <v>3320</v>
      </c>
      <c r="G560" s="6" t="s">
        <v>3321</v>
      </c>
      <c r="H560" s="8">
        <v>20000</v>
      </c>
      <c r="I560" s="6" t="s">
        <v>3322</v>
      </c>
      <c r="J560" s="6" t="s">
        <v>1828</v>
      </c>
      <c r="K560" s="6"/>
      <c r="L560" s="6" t="s">
        <v>6064</v>
      </c>
      <c r="M560" s="6"/>
      <c r="N560" s="6"/>
      <c r="O560" s="52"/>
      <c r="P560" s="475" t="s">
        <v>1808</v>
      </c>
      <c r="Q560" s="6" t="s">
        <v>7000</v>
      </c>
      <c r="R560" s="6"/>
      <c r="S560" s="6"/>
      <c r="T560" s="6"/>
      <c r="U560" s="6"/>
    </row>
    <row r="561" spans="1:21" ht="204">
      <c r="A561" s="6">
        <v>2017</v>
      </c>
      <c r="B561" s="160" t="s">
        <v>3323</v>
      </c>
      <c r="C561" s="112" t="s">
        <v>61</v>
      </c>
      <c r="D561" s="6" t="s">
        <v>1383</v>
      </c>
      <c r="E561" s="6"/>
      <c r="F561" s="6" t="s">
        <v>3324</v>
      </c>
      <c r="G561" s="6" t="s">
        <v>2620</v>
      </c>
      <c r="H561" s="8">
        <v>50000</v>
      </c>
      <c r="I561" s="6" t="s">
        <v>2793</v>
      </c>
      <c r="J561" s="6" t="s">
        <v>5647</v>
      </c>
      <c r="K561" s="6"/>
      <c r="L561" s="6" t="s">
        <v>6933</v>
      </c>
      <c r="M561" s="6"/>
      <c r="N561" s="6"/>
      <c r="O561" s="52"/>
      <c r="P561" s="475" t="s">
        <v>1808</v>
      </c>
      <c r="Q561" s="6" t="s">
        <v>7002</v>
      </c>
      <c r="R561" s="6"/>
      <c r="S561" s="6"/>
      <c r="T561" s="6"/>
      <c r="U561" s="6"/>
    </row>
    <row r="562" spans="1:21" ht="178.5">
      <c r="A562" s="6">
        <v>2017</v>
      </c>
      <c r="B562" s="160" t="s">
        <v>3325</v>
      </c>
      <c r="C562" s="112" t="s">
        <v>61</v>
      </c>
      <c r="D562" s="6" t="s">
        <v>1383</v>
      </c>
      <c r="E562" s="6"/>
      <c r="F562" s="6" t="s">
        <v>3326</v>
      </c>
      <c r="G562" s="6" t="s">
        <v>3327</v>
      </c>
      <c r="H562" s="8">
        <v>63500</v>
      </c>
      <c r="I562" s="6" t="s">
        <v>3328</v>
      </c>
      <c r="J562" s="6" t="s">
        <v>6314</v>
      </c>
      <c r="K562" s="6" t="s">
        <v>82</v>
      </c>
      <c r="L562" s="6" t="s">
        <v>6071</v>
      </c>
      <c r="M562" s="6"/>
      <c r="N562" s="6"/>
      <c r="O562" s="52"/>
      <c r="P562" s="475" t="s">
        <v>1808</v>
      </c>
      <c r="Q562" s="6" t="s">
        <v>12019</v>
      </c>
      <c r="R562" s="6"/>
      <c r="S562" s="6"/>
      <c r="T562" s="6"/>
      <c r="U562" s="6"/>
    </row>
    <row r="563" spans="1:21" ht="204">
      <c r="A563" s="6">
        <v>2017</v>
      </c>
      <c r="B563" s="160" t="s">
        <v>3329</v>
      </c>
      <c r="C563" s="112" t="s">
        <v>61</v>
      </c>
      <c r="D563" s="6" t="s">
        <v>394</v>
      </c>
      <c r="E563" s="6"/>
      <c r="F563" s="6" t="s">
        <v>3326</v>
      </c>
      <c r="G563" s="6" t="s">
        <v>572</v>
      </c>
      <c r="H563" s="8">
        <v>63500</v>
      </c>
      <c r="I563" s="6" t="s">
        <v>3330</v>
      </c>
      <c r="J563" s="6" t="s">
        <v>2460</v>
      </c>
      <c r="K563" s="6"/>
      <c r="L563" s="6" t="s">
        <v>6071</v>
      </c>
      <c r="M563" s="6"/>
      <c r="N563" s="6"/>
      <c r="O563" s="52"/>
      <c r="P563" s="475" t="s">
        <v>1808</v>
      </c>
      <c r="Q563" s="6" t="s">
        <v>7006</v>
      </c>
      <c r="R563" s="6"/>
      <c r="S563" s="6"/>
      <c r="T563" s="6"/>
      <c r="U563" s="6"/>
    </row>
    <row r="564" spans="1:21" ht="165.75">
      <c r="A564" s="6">
        <v>2017</v>
      </c>
      <c r="B564" s="160" t="s">
        <v>3331</v>
      </c>
      <c r="C564" s="112" t="s">
        <v>61</v>
      </c>
      <c r="D564" s="6" t="s">
        <v>1383</v>
      </c>
      <c r="E564" s="6"/>
      <c r="F564" s="6" t="s">
        <v>3332</v>
      </c>
      <c r="G564" s="6" t="s">
        <v>3333</v>
      </c>
      <c r="H564" s="8">
        <v>50000</v>
      </c>
      <c r="I564" s="6" t="s">
        <v>3334</v>
      </c>
      <c r="J564" s="6" t="s">
        <v>1828</v>
      </c>
      <c r="K564" s="6"/>
      <c r="L564" s="6" t="s">
        <v>6933</v>
      </c>
      <c r="M564" s="6"/>
      <c r="N564" s="6"/>
      <c r="O564" s="52"/>
      <c r="P564" s="475" t="s">
        <v>1808</v>
      </c>
      <c r="Q564" s="6" t="s">
        <v>7008</v>
      </c>
      <c r="R564" s="6"/>
      <c r="S564" s="6"/>
      <c r="T564" s="6"/>
      <c r="U564" s="6"/>
    </row>
    <row r="565" spans="1:21" ht="229.5">
      <c r="A565" s="6">
        <v>2017</v>
      </c>
      <c r="B565" s="160" t="s">
        <v>3336</v>
      </c>
      <c r="C565" s="112" t="s">
        <v>61</v>
      </c>
      <c r="D565" s="6" t="s">
        <v>1383</v>
      </c>
      <c r="E565" s="6"/>
      <c r="F565" s="6" t="s">
        <v>3337</v>
      </c>
      <c r="G565" s="6" t="s">
        <v>811</v>
      </c>
      <c r="H565" s="8">
        <v>63000</v>
      </c>
      <c r="I565" s="6" t="s">
        <v>2924</v>
      </c>
      <c r="J565" s="6" t="s">
        <v>1828</v>
      </c>
      <c r="K565" s="6"/>
      <c r="L565" s="6" t="s">
        <v>6933</v>
      </c>
      <c r="M565" s="6"/>
      <c r="N565" s="6"/>
      <c r="O565" s="52"/>
      <c r="P565" s="475" t="s">
        <v>1808</v>
      </c>
      <c r="Q565" s="6" t="s">
        <v>7010</v>
      </c>
      <c r="R565" s="6"/>
      <c r="S565" s="6"/>
      <c r="T565" s="6"/>
      <c r="U565" s="6"/>
    </row>
    <row r="566" spans="1:21" ht="229.5">
      <c r="A566" s="6">
        <v>2017</v>
      </c>
      <c r="B566" s="160" t="s">
        <v>3338</v>
      </c>
      <c r="C566" s="112" t="s">
        <v>61</v>
      </c>
      <c r="D566" s="6" t="s">
        <v>1383</v>
      </c>
      <c r="E566" s="6"/>
      <c r="F566" s="6" t="s">
        <v>3339</v>
      </c>
      <c r="G566" s="6" t="s">
        <v>3340</v>
      </c>
      <c r="H566" s="8">
        <v>47000</v>
      </c>
      <c r="I566" s="6" t="s">
        <v>3341</v>
      </c>
      <c r="J566" s="6" t="s">
        <v>1828</v>
      </c>
      <c r="K566" s="6"/>
      <c r="L566" s="6" t="s">
        <v>6933</v>
      </c>
      <c r="M566" s="6"/>
      <c r="N566" s="6"/>
      <c r="O566" s="52"/>
      <c r="P566" s="475" t="s">
        <v>1808</v>
      </c>
      <c r="Q566" s="6" t="s">
        <v>7012</v>
      </c>
      <c r="R566" s="6"/>
      <c r="S566" s="6"/>
      <c r="T566" s="6"/>
      <c r="U566" s="6"/>
    </row>
    <row r="567" spans="1:21" ht="191.25">
      <c r="A567" s="6">
        <v>2017</v>
      </c>
      <c r="B567" s="160" t="s">
        <v>3342</v>
      </c>
      <c r="C567" s="112" t="s">
        <v>61</v>
      </c>
      <c r="D567" s="6" t="s">
        <v>68</v>
      </c>
      <c r="E567" s="6"/>
      <c r="F567" s="6" t="s">
        <v>3343</v>
      </c>
      <c r="G567" s="6" t="s">
        <v>3344</v>
      </c>
      <c r="H567" s="8">
        <v>98500</v>
      </c>
      <c r="I567" s="6" t="s">
        <v>3345</v>
      </c>
      <c r="J567" s="6" t="s">
        <v>1828</v>
      </c>
      <c r="K567" s="6"/>
      <c r="L567" s="6" t="s">
        <v>6933</v>
      </c>
      <c r="M567" s="6"/>
      <c r="N567" s="6"/>
      <c r="O567" s="52"/>
      <c r="P567" s="6" t="s">
        <v>6132</v>
      </c>
      <c r="Q567" s="6" t="s">
        <v>7014</v>
      </c>
      <c r="R567" s="6"/>
      <c r="S567" s="6"/>
      <c r="T567" s="6"/>
      <c r="U567" s="6"/>
    </row>
    <row r="568" spans="1:21" ht="89.25">
      <c r="A568" s="6">
        <v>2017</v>
      </c>
      <c r="B568" s="160" t="s">
        <v>3346</v>
      </c>
      <c r="C568" s="112" t="s">
        <v>61</v>
      </c>
      <c r="D568" s="6" t="s">
        <v>2834</v>
      </c>
      <c r="E568" s="6"/>
      <c r="F568" s="6" t="s">
        <v>3347</v>
      </c>
      <c r="G568" s="6" t="s">
        <v>3348</v>
      </c>
      <c r="H568" s="8">
        <v>68045.67</v>
      </c>
      <c r="I568" s="6" t="s">
        <v>3349</v>
      </c>
      <c r="J568" s="6" t="s">
        <v>2460</v>
      </c>
      <c r="K568" s="6"/>
      <c r="L568" s="6" t="s">
        <v>6104</v>
      </c>
      <c r="M568" s="6"/>
      <c r="N568" s="6"/>
      <c r="O568" s="52"/>
      <c r="P568" s="475" t="s">
        <v>1808</v>
      </c>
      <c r="Q568" s="6" t="s">
        <v>7016</v>
      </c>
      <c r="R568" s="6"/>
      <c r="S568" s="6"/>
      <c r="T568" s="6"/>
      <c r="U568" s="6"/>
    </row>
    <row r="569" spans="1:21" ht="25.5">
      <c r="A569" s="56">
        <v>2017</v>
      </c>
      <c r="B569" s="551" t="s">
        <v>3350</v>
      </c>
      <c r="C569" s="56"/>
      <c r="D569" s="56"/>
      <c r="E569" s="56"/>
      <c r="F569" s="56"/>
      <c r="G569" s="56"/>
      <c r="H569" s="57"/>
      <c r="I569" s="56"/>
      <c r="J569" s="56"/>
      <c r="K569" s="56"/>
      <c r="L569" s="56" t="s">
        <v>3827</v>
      </c>
      <c r="M569" s="56"/>
      <c r="N569" s="56"/>
      <c r="O569" s="554"/>
      <c r="P569" s="544" t="s">
        <v>1808</v>
      </c>
      <c r="Q569" s="56"/>
      <c r="R569" s="56"/>
      <c r="S569" s="56"/>
      <c r="T569" s="56"/>
      <c r="U569" s="56"/>
    </row>
    <row r="570" spans="1:21" ht="216.75">
      <c r="A570" s="6">
        <v>2017</v>
      </c>
      <c r="B570" s="160" t="s">
        <v>3351</v>
      </c>
      <c r="C570" s="112" t="s">
        <v>61</v>
      </c>
      <c r="D570" s="6" t="s">
        <v>68</v>
      </c>
      <c r="E570" s="6"/>
      <c r="F570" s="6" t="s">
        <v>3352</v>
      </c>
      <c r="G570" s="6" t="s">
        <v>3353</v>
      </c>
      <c r="H570" s="8">
        <v>82960</v>
      </c>
      <c r="I570" s="6" t="s">
        <v>3354</v>
      </c>
      <c r="J570" s="6" t="s">
        <v>1828</v>
      </c>
      <c r="K570" s="6"/>
      <c r="L570" s="6" t="s">
        <v>6092</v>
      </c>
      <c r="M570" s="6"/>
      <c r="N570" s="6"/>
      <c r="O570" s="52"/>
      <c r="P570" s="6" t="s">
        <v>6132</v>
      </c>
      <c r="Q570" s="6" t="s">
        <v>12020</v>
      </c>
      <c r="R570" s="6"/>
      <c r="S570" s="6"/>
      <c r="T570" s="6"/>
      <c r="U570" s="6"/>
    </row>
    <row r="571" spans="1:21" ht="216.75">
      <c r="A571" s="6">
        <v>2017</v>
      </c>
      <c r="B571" s="160" t="s">
        <v>3355</v>
      </c>
      <c r="C571" s="112" t="s">
        <v>61</v>
      </c>
      <c r="D571" s="6" t="s">
        <v>2834</v>
      </c>
      <c r="E571" s="6"/>
      <c r="F571" s="6" t="s">
        <v>3356</v>
      </c>
      <c r="G571" s="6" t="s">
        <v>3357</v>
      </c>
      <c r="H571" s="8">
        <v>99872</v>
      </c>
      <c r="I571" s="6" t="s">
        <v>3358</v>
      </c>
      <c r="J571" s="6" t="s">
        <v>7020</v>
      </c>
      <c r="K571" s="6" t="s">
        <v>1904</v>
      </c>
      <c r="L571" s="6" t="s">
        <v>6137</v>
      </c>
      <c r="M571" s="6"/>
      <c r="N571" s="6"/>
      <c r="O571" s="52"/>
      <c r="P571" s="6" t="s">
        <v>6132</v>
      </c>
      <c r="Q571" s="6" t="s">
        <v>7021</v>
      </c>
      <c r="R571" s="6"/>
      <c r="S571" s="6"/>
      <c r="T571" s="6"/>
      <c r="U571" s="6"/>
    </row>
    <row r="572" spans="1:21" ht="102">
      <c r="A572" s="6">
        <v>2017</v>
      </c>
      <c r="B572" s="160" t="s">
        <v>3359</v>
      </c>
      <c r="C572" s="112" t="s">
        <v>61</v>
      </c>
      <c r="D572" s="6" t="s">
        <v>652</v>
      </c>
      <c r="E572" s="6"/>
      <c r="F572" s="6" t="s">
        <v>3360</v>
      </c>
      <c r="G572" s="6" t="s">
        <v>811</v>
      </c>
      <c r="H572" s="8">
        <v>45940</v>
      </c>
      <c r="I572" s="6" t="s">
        <v>3001</v>
      </c>
      <c r="J572" s="6" t="s">
        <v>1828</v>
      </c>
      <c r="K572" s="6"/>
      <c r="L572" s="6" t="s">
        <v>6933</v>
      </c>
      <c r="M572" s="6"/>
      <c r="N572" s="6"/>
      <c r="O572" s="52"/>
      <c r="P572" s="475" t="s">
        <v>1808</v>
      </c>
      <c r="Q572" s="6" t="s">
        <v>7023</v>
      </c>
      <c r="R572" s="6"/>
      <c r="S572" s="6"/>
      <c r="T572" s="6"/>
      <c r="U572" s="6"/>
    </row>
    <row r="573" spans="1:21" ht="216.75">
      <c r="A573" s="6">
        <v>2017</v>
      </c>
      <c r="B573" s="160" t="s">
        <v>3361</v>
      </c>
      <c r="C573" s="112" t="s">
        <v>61</v>
      </c>
      <c r="D573" s="6" t="s">
        <v>652</v>
      </c>
      <c r="E573" s="6"/>
      <c r="F573" s="6" t="s">
        <v>3362</v>
      </c>
      <c r="G573" s="6" t="s">
        <v>3363</v>
      </c>
      <c r="H573" s="8">
        <v>87443.73</v>
      </c>
      <c r="I573" s="6" t="s">
        <v>3364</v>
      </c>
      <c r="J573" s="6" t="s">
        <v>2613</v>
      </c>
      <c r="K573" s="6"/>
      <c r="L573" s="6" t="s">
        <v>6941</v>
      </c>
      <c r="M573" s="7">
        <v>42894</v>
      </c>
      <c r="N573" s="6"/>
      <c r="O573" s="52"/>
      <c r="P573" s="6" t="s">
        <v>6132</v>
      </c>
      <c r="Q573" s="6" t="s">
        <v>7025</v>
      </c>
      <c r="R573" s="6"/>
      <c r="S573" s="6"/>
      <c r="T573" s="6"/>
      <c r="U573" s="6"/>
    </row>
    <row r="574" spans="1:21" ht="255">
      <c r="A574" s="6">
        <v>2017</v>
      </c>
      <c r="B574" s="160" t="s">
        <v>3365</v>
      </c>
      <c r="C574" s="112" t="s">
        <v>61</v>
      </c>
      <c r="D574" s="6" t="s">
        <v>394</v>
      </c>
      <c r="E574" s="6"/>
      <c r="F574" s="6" t="s">
        <v>3366</v>
      </c>
      <c r="G574" s="6" t="s">
        <v>3367</v>
      </c>
      <c r="H574" s="8">
        <v>98800</v>
      </c>
      <c r="I574" s="6" t="s">
        <v>3368</v>
      </c>
      <c r="J574" s="6" t="s">
        <v>1828</v>
      </c>
      <c r="K574" s="6"/>
      <c r="L574" s="6" t="s">
        <v>6071</v>
      </c>
      <c r="M574" s="7">
        <v>42894</v>
      </c>
      <c r="N574" s="6"/>
      <c r="O574" s="52"/>
      <c r="P574" s="475" t="s">
        <v>1808</v>
      </c>
      <c r="Q574" s="6" t="s">
        <v>7027</v>
      </c>
      <c r="R574" s="6"/>
      <c r="S574" s="6"/>
      <c r="T574" s="6"/>
      <c r="U574" s="6"/>
    </row>
    <row r="575" spans="1:21" ht="267.75">
      <c r="A575" s="6">
        <v>2017</v>
      </c>
      <c r="B575" s="160" t="s">
        <v>3369</v>
      </c>
      <c r="C575" s="112" t="s">
        <v>61</v>
      </c>
      <c r="D575" s="6" t="s">
        <v>3371</v>
      </c>
      <c r="E575" s="6"/>
      <c r="F575" s="6" t="s">
        <v>3372</v>
      </c>
      <c r="G575" s="6" t="s">
        <v>3373</v>
      </c>
      <c r="H575" s="8">
        <v>29000</v>
      </c>
      <c r="I575" s="6" t="s">
        <v>3368</v>
      </c>
      <c r="J575" s="6" t="s">
        <v>1828</v>
      </c>
      <c r="K575" s="6"/>
      <c r="L575" s="6" t="s">
        <v>6189</v>
      </c>
      <c r="M575" s="7">
        <v>42905</v>
      </c>
      <c r="N575" s="6"/>
      <c r="O575" s="52"/>
      <c r="P575" s="475" t="s">
        <v>1808</v>
      </c>
      <c r="Q575" s="6" t="s">
        <v>7029</v>
      </c>
      <c r="R575" s="6"/>
      <c r="S575" s="6"/>
      <c r="T575" s="6"/>
      <c r="U575" s="6"/>
    </row>
    <row r="576" spans="1:21" ht="204">
      <c r="A576" s="6">
        <v>2017</v>
      </c>
      <c r="B576" s="160" t="s">
        <v>3374</v>
      </c>
      <c r="C576" s="112" t="s">
        <v>61</v>
      </c>
      <c r="D576" s="6" t="s">
        <v>1763</v>
      </c>
      <c r="E576" s="6"/>
      <c r="F576" s="6" t="s">
        <v>3375</v>
      </c>
      <c r="G576" s="6" t="s">
        <v>1728</v>
      </c>
      <c r="H576" s="8">
        <v>41000</v>
      </c>
      <c r="I576" s="6" t="s">
        <v>3376</v>
      </c>
      <c r="J576" s="6" t="s">
        <v>1828</v>
      </c>
      <c r="K576" s="6"/>
      <c r="L576" s="6" t="s">
        <v>6064</v>
      </c>
      <c r="M576" s="7">
        <v>42914</v>
      </c>
      <c r="N576" s="6"/>
      <c r="O576" s="52"/>
      <c r="P576" s="475" t="s">
        <v>1808</v>
      </c>
      <c r="Q576" s="6" t="s">
        <v>7031</v>
      </c>
      <c r="R576" s="6"/>
      <c r="S576" s="6"/>
      <c r="T576" s="6"/>
      <c r="U576" s="6"/>
    </row>
    <row r="577" spans="1:21" ht="191.25">
      <c r="A577" s="6">
        <v>2017</v>
      </c>
      <c r="B577" s="160" t="s">
        <v>3377</v>
      </c>
      <c r="C577" s="112" t="s">
        <v>61</v>
      </c>
      <c r="D577" s="6" t="s">
        <v>652</v>
      </c>
      <c r="E577" s="6"/>
      <c r="F577" s="6" t="s">
        <v>3378</v>
      </c>
      <c r="G577" s="6" t="s">
        <v>3379</v>
      </c>
      <c r="H577" s="8">
        <v>99926</v>
      </c>
      <c r="I577" s="6" t="s">
        <v>3380</v>
      </c>
      <c r="J577" s="6" t="s">
        <v>2467</v>
      </c>
      <c r="K577" s="6"/>
      <c r="L577" s="6" t="s">
        <v>6064</v>
      </c>
      <c r="M577" s="7">
        <v>42920</v>
      </c>
      <c r="N577" s="6"/>
      <c r="O577" s="52"/>
      <c r="P577" s="6" t="s">
        <v>6132</v>
      </c>
      <c r="Q577" s="6" t="s">
        <v>7033</v>
      </c>
      <c r="R577" s="6"/>
      <c r="S577" s="6"/>
      <c r="T577" s="6"/>
      <c r="U577" s="6"/>
    </row>
    <row r="578" spans="1:21" ht="89.25">
      <c r="A578" s="6">
        <v>2017</v>
      </c>
      <c r="B578" s="160" t="s">
        <v>3381</v>
      </c>
      <c r="C578" s="112" t="s">
        <v>61</v>
      </c>
      <c r="D578" s="6" t="s">
        <v>394</v>
      </c>
      <c r="E578" s="6"/>
      <c r="F578" s="6" t="s">
        <v>3382</v>
      </c>
      <c r="G578" s="6" t="s">
        <v>3383</v>
      </c>
      <c r="H578" s="8">
        <v>100000</v>
      </c>
      <c r="I578" s="6" t="s">
        <v>3384</v>
      </c>
      <c r="J578" s="6" t="s">
        <v>6370</v>
      </c>
      <c r="K578" s="6" t="s">
        <v>1853</v>
      </c>
      <c r="L578" s="6" t="s">
        <v>6071</v>
      </c>
      <c r="M578" s="7">
        <v>42929</v>
      </c>
      <c r="N578" s="6"/>
      <c r="O578" s="52"/>
      <c r="P578" s="475" t="s">
        <v>1808</v>
      </c>
      <c r="Q578" s="6" t="s">
        <v>7035</v>
      </c>
      <c r="R578" s="6"/>
      <c r="S578" s="6"/>
      <c r="T578" s="6"/>
      <c r="U578" s="6"/>
    </row>
    <row r="579" spans="1:21" ht="89.25">
      <c r="A579" s="6">
        <v>2017</v>
      </c>
      <c r="B579" s="160" t="s">
        <v>3385</v>
      </c>
      <c r="C579" s="112" t="s">
        <v>61</v>
      </c>
      <c r="D579" s="6" t="s">
        <v>394</v>
      </c>
      <c r="E579" s="6"/>
      <c r="F579" s="6" t="s">
        <v>3382</v>
      </c>
      <c r="G579" s="6" t="s">
        <v>3383</v>
      </c>
      <c r="H579" s="8">
        <v>100000</v>
      </c>
      <c r="I579" s="6" t="s">
        <v>3384</v>
      </c>
      <c r="J579" s="6" t="s">
        <v>6370</v>
      </c>
      <c r="K579" s="6" t="s">
        <v>1853</v>
      </c>
      <c r="L579" s="6" t="s">
        <v>6071</v>
      </c>
      <c r="M579" s="7">
        <v>42929</v>
      </c>
      <c r="N579" s="6"/>
      <c r="O579" s="52"/>
      <c r="P579" s="475" t="s">
        <v>1808</v>
      </c>
      <c r="Q579" s="6" t="s">
        <v>7037</v>
      </c>
      <c r="R579" s="6"/>
      <c r="S579" s="6"/>
      <c r="T579" s="6"/>
      <c r="U579" s="6"/>
    </row>
    <row r="580" spans="1:21" ht="216.75">
      <c r="A580" s="6">
        <v>2017</v>
      </c>
      <c r="B580" s="160" t="s">
        <v>3386</v>
      </c>
      <c r="C580" s="112" t="s">
        <v>61</v>
      </c>
      <c r="D580" s="6" t="s">
        <v>586</v>
      </c>
      <c r="E580" s="6"/>
      <c r="F580" s="6" t="s">
        <v>3387</v>
      </c>
      <c r="G580" s="6" t="s">
        <v>3388</v>
      </c>
      <c r="H580" s="8">
        <v>28250</v>
      </c>
      <c r="I580" s="6" t="s">
        <v>3389</v>
      </c>
      <c r="J580" s="6" t="s">
        <v>1828</v>
      </c>
      <c r="K580" s="6"/>
      <c r="L580" s="6" t="s">
        <v>6137</v>
      </c>
      <c r="M580" s="7">
        <v>42930</v>
      </c>
      <c r="N580" s="6"/>
      <c r="O580" s="52"/>
      <c r="P580" s="475" t="s">
        <v>6132</v>
      </c>
      <c r="Q580" s="6" t="s">
        <v>7039</v>
      </c>
      <c r="R580" s="6"/>
      <c r="S580" s="6"/>
      <c r="T580" s="6"/>
      <c r="U580" s="6"/>
    </row>
    <row r="581" spans="1:21" ht="140.25">
      <c r="A581" s="6">
        <v>2017</v>
      </c>
      <c r="B581" s="160" t="s">
        <v>3390</v>
      </c>
      <c r="C581" s="112" t="s">
        <v>61</v>
      </c>
      <c r="D581" s="6" t="s">
        <v>394</v>
      </c>
      <c r="E581" s="6"/>
      <c r="F581" s="6" t="s">
        <v>3391</v>
      </c>
      <c r="G581" s="6" t="s">
        <v>3392</v>
      </c>
      <c r="H581" s="8">
        <v>63500</v>
      </c>
      <c r="I581" s="6" t="s">
        <v>3311</v>
      </c>
      <c r="J581" s="6" t="s">
        <v>2467</v>
      </c>
      <c r="K581" s="6" t="s">
        <v>1853</v>
      </c>
      <c r="L581" s="6" t="s">
        <v>6071</v>
      </c>
      <c r="M581" s="7">
        <v>42930</v>
      </c>
      <c r="N581" s="6"/>
      <c r="O581" s="52"/>
      <c r="P581" s="475" t="s">
        <v>1808</v>
      </c>
      <c r="Q581" s="6" t="s">
        <v>7041</v>
      </c>
      <c r="R581" s="6"/>
      <c r="S581" s="6"/>
      <c r="T581" s="6"/>
      <c r="U581" s="6"/>
    </row>
    <row r="582" spans="1:21" ht="25.5">
      <c r="A582" s="56">
        <v>2017</v>
      </c>
      <c r="B582" s="551" t="s">
        <v>3393</v>
      </c>
      <c r="C582" s="56"/>
      <c r="D582" s="56"/>
      <c r="E582" s="56"/>
      <c r="F582" s="56"/>
      <c r="G582" s="56"/>
      <c r="H582" s="57"/>
      <c r="I582" s="56"/>
      <c r="J582" s="56"/>
      <c r="K582" s="56"/>
      <c r="L582" s="56" t="s">
        <v>3827</v>
      </c>
      <c r="M582" s="56"/>
      <c r="N582" s="56"/>
      <c r="O582" s="554"/>
      <c r="P582" s="544" t="s">
        <v>1808</v>
      </c>
      <c r="Q582" s="56"/>
      <c r="R582" s="56"/>
      <c r="S582" s="56"/>
      <c r="T582" s="56"/>
      <c r="U582" s="56"/>
    </row>
    <row r="583" spans="1:21" ht="102">
      <c r="A583" s="6">
        <v>2017</v>
      </c>
      <c r="B583" s="160" t="s">
        <v>3394</v>
      </c>
      <c r="C583" s="112" t="s">
        <v>61</v>
      </c>
      <c r="D583" s="6" t="s">
        <v>1763</v>
      </c>
      <c r="E583" s="6"/>
      <c r="F583" s="6" t="s">
        <v>3395</v>
      </c>
      <c r="G583" s="6" t="s">
        <v>3396</v>
      </c>
      <c r="H583" s="8">
        <v>90000</v>
      </c>
      <c r="I583" s="6" t="s">
        <v>3397</v>
      </c>
      <c r="J583" s="6" t="s">
        <v>2656</v>
      </c>
      <c r="K583" s="6"/>
      <c r="L583" s="6" t="s">
        <v>6064</v>
      </c>
      <c r="M583" s="7">
        <v>42940</v>
      </c>
      <c r="N583" s="6"/>
      <c r="O583" s="52"/>
      <c r="P583" s="6" t="s">
        <v>6132</v>
      </c>
      <c r="Q583" s="6" t="s">
        <v>7043</v>
      </c>
      <c r="R583" s="6"/>
      <c r="S583" s="6"/>
      <c r="T583" s="6"/>
      <c r="U583" s="6"/>
    </row>
    <row r="584" spans="1:21" ht="178.5">
      <c r="A584" s="6">
        <v>2017</v>
      </c>
      <c r="B584" s="160" t="s">
        <v>3398</v>
      </c>
      <c r="C584" s="112" t="s">
        <v>61</v>
      </c>
      <c r="D584" s="6" t="s">
        <v>1862</v>
      </c>
      <c r="E584" s="6"/>
      <c r="F584" s="6" t="s">
        <v>3399</v>
      </c>
      <c r="G584" s="6" t="s">
        <v>3400</v>
      </c>
      <c r="H584" s="8">
        <v>40000</v>
      </c>
      <c r="I584" s="6" t="s">
        <v>3401</v>
      </c>
      <c r="J584" s="6" t="s">
        <v>1828</v>
      </c>
      <c r="K584" s="6"/>
      <c r="L584" s="6" t="s">
        <v>6064</v>
      </c>
      <c r="M584" s="7">
        <v>42941</v>
      </c>
      <c r="N584" s="6"/>
      <c r="O584" s="52"/>
      <c r="P584" s="6" t="s">
        <v>6132</v>
      </c>
      <c r="Q584" s="6" t="s">
        <v>7045</v>
      </c>
      <c r="R584" s="6"/>
      <c r="S584" s="6"/>
      <c r="T584" s="6"/>
      <c r="U584" s="6"/>
    </row>
    <row r="585" spans="1:21" ht="102">
      <c r="A585" s="6">
        <v>2017</v>
      </c>
      <c r="B585" s="160" t="s">
        <v>3402</v>
      </c>
      <c r="C585" s="112" t="s">
        <v>61</v>
      </c>
      <c r="D585" s="6" t="s">
        <v>394</v>
      </c>
      <c r="E585" s="6"/>
      <c r="F585" s="6" t="s">
        <v>3403</v>
      </c>
      <c r="G585" s="6" t="s">
        <v>3404</v>
      </c>
      <c r="H585" s="8">
        <v>63500</v>
      </c>
      <c r="I585" s="6" t="s">
        <v>3405</v>
      </c>
      <c r="J585" s="6" t="s">
        <v>5647</v>
      </c>
      <c r="K585" s="6"/>
      <c r="L585" s="6" t="s">
        <v>6064</v>
      </c>
      <c r="M585" s="7">
        <v>42956</v>
      </c>
      <c r="N585" s="6"/>
      <c r="O585" s="52"/>
      <c r="P585" s="475" t="s">
        <v>1808</v>
      </c>
      <c r="Q585" s="6" t="s">
        <v>7047</v>
      </c>
      <c r="R585" s="6"/>
      <c r="S585" s="6"/>
      <c r="T585" s="6"/>
      <c r="U585" s="6"/>
    </row>
    <row r="586" spans="1:21" ht="191.25">
      <c r="A586" s="6">
        <v>2017</v>
      </c>
      <c r="B586" s="160" t="s">
        <v>3406</v>
      </c>
      <c r="C586" s="112" t="s">
        <v>61</v>
      </c>
      <c r="D586" s="6" t="s">
        <v>1862</v>
      </c>
      <c r="E586" s="6"/>
      <c r="F586" s="6" t="s">
        <v>3407</v>
      </c>
      <c r="G586" s="6" t="s">
        <v>3408</v>
      </c>
      <c r="H586" s="8">
        <v>50000</v>
      </c>
      <c r="I586" s="6" t="s">
        <v>3409</v>
      </c>
      <c r="J586" s="6" t="s">
        <v>1828</v>
      </c>
      <c r="K586" s="6"/>
      <c r="L586" s="6" t="s">
        <v>6064</v>
      </c>
      <c r="M586" s="7">
        <v>42969</v>
      </c>
      <c r="N586" s="6"/>
      <c r="O586" s="52"/>
      <c r="P586" s="475" t="s">
        <v>1808</v>
      </c>
      <c r="Q586" s="6" t="s">
        <v>7050</v>
      </c>
      <c r="R586" s="6"/>
      <c r="S586" s="6"/>
      <c r="T586" s="6"/>
      <c r="U586" s="6"/>
    </row>
    <row r="587" spans="1:21" ht="165.75">
      <c r="A587" s="6">
        <v>2017</v>
      </c>
      <c r="B587" s="160" t="s">
        <v>3410</v>
      </c>
      <c r="C587" s="112" t="s">
        <v>61</v>
      </c>
      <c r="D587" s="6" t="s">
        <v>586</v>
      </c>
      <c r="E587" s="6"/>
      <c r="F587" s="6" t="s">
        <v>3411</v>
      </c>
      <c r="G587" s="6" t="s">
        <v>3412</v>
      </c>
      <c r="H587" s="8">
        <v>8500</v>
      </c>
      <c r="I587" s="6" t="s">
        <v>3413</v>
      </c>
      <c r="J587" s="6" t="s">
        <v>1828</v>
      </c>
      <c r="K587" s="6"/>
      <c r="L587" s="6" t="s">
        <v>6064</v>
      </c>
      <c r="M587" s="7">
        <v>42969</v>
      </c>
      <c r="N587" s="6"/>
      <c r="O587" s="52"/>
      <c r="P587" s="6" t="s">
        <v>6132</v>
      </c>
      <c r="Q587" s="6" t="s">
        <v>7052</v>
      </c>
      <c r="R587" s="6"/>
      <c r="S587" s="6"/>
      <c r="T587" s="6"/>
      <c r="U587" s="6"/>
    </row>
    <row r="588" spans="1:21" ht="216.75">
      <c r="A588" s="6">
        <v>2017</v>
      </c>
      <c r="B588" s="160" t="s">
        <v>3414</v>
      </c>
      <c r="C588" s="112" t="s">
        <v>61</v>
      </c>
      <c r="D588" s="6" t="s">
        <v>394</v>
      </c>
      <c r="E588" s="6"/>
      <c r="F588" s="6" t="s">
        <v>3415</v>
      </c>
      <c r="G588" s="6" t="s">
        <v>3416</v>
      </c>
      <c r="H588" s="8">
        <v>30000</v>
      </c>
      <c r="I588" s="6" t="s">
        <v>3417</v>
      </c>
      <c r="J588" s="6" t="s">
        <v>1828</v>
      </c>
      <c r="K588" s="6"/>
      <c r="L588" s="6" t="s">
        <v>6071</v>
      </c>
      <c r="M588" s="7">
        <v>42971</v>
      </c>
      <c r="N588" s="6"/>
      <c r="O588" s="52"/>
      <c r="P588" s="475" t="s">
        <v>1808</v>
      </c>
      <c r="Q588" s="6" t="s">
        <v>7054</v>
      </c>
      <c r="R588" s="6"/>
      <c r="S588" s="6"/>
      <c r="T588" s="6"/>
      <c r="U588" s="6"/>
    </row>
    <row r="589" spans="1:21" ht="178.5">
      <c r="A589" s="6">
        <v>2017</v>
      </c>
      <c r="B589" s="160" t="s">
        <v>3418</v>
      </c>
      <c r="C589" s="112" t="s">
        <v>61</v>
      </c>
      <c r="D589" s="6" t="s">
        <v>394</v>
      </c>
      <c r="E589" s="6"/>
      <c r="F589" s="6" t="s">
        <v>3419</v>
      </c>
      <c r="G589" s="6" t="s">
        <v>3420</v>
      </c>
      <c r="H589" s="8">
        <v>30000</v>
      </c>
      <c r="I589" s="6" t="s">
        <v>3421</v>
      </c>
      <c r="J589" s="6" t="s">
        <v>6314</v>
      </c>
      <c r="K589" s="6" t="s">
        <v>1853</v>
      </c>
      <c r="L589" s="6" t="s">
        <v>6064</v>
      </c>
      <c r="M589" s="6"/>
      <c r="N589" s="6"/>
      <c r="O589" s="52"/>
      <c r="P589" s="475" t="s">
        <v>1808</v>
      </c>
      <c r="Q589" s="6" t="s">
        <v>7056</v>
      </c>
      <c r="R589" s="6"/>
      <c r="S589" s="6"/>
      <c r="T589" s="6"/>
      <c r="U589" s="6"/>
    </row>
    <row r="590" spans="1:21" ht="127.5">
      <c r="A590" s="6">
        <v>2017</v>
      </c>
      <c r="B590" s="160" t="s">
        <v>3422</v>
      </c>
      <c r="C590" s="112" t="s">
        <v>61</v>
      </c>
      <c r="D590" s="6" t="s">
        <v>394</v>
      </c>
      <c r="E590" s="6"/>
      <c r="F590" s="6" t="s">
        <v>3403</v>
      </c>
      <c r="G590" s="6" t="s">
        <v>3423</v>
      </c>
      <c r="H590" s="8">
        <v>12000</v>
      </c>
      <c r="I590" s="6" t="s">
        <v>3405</v>
      </c>
      <c r="J590" s="6" t="s">
        <v>5647</v>
      </c>
      <c r="K590" s="6"/>
      <c r="L590" s="6" t="s">
        <v>6071</v>
      </c>
      <c r="M590" s="6"/>
      <c r="N590" s="6"/>
      <c r="O590" s="52"/>
      <c r="P590" s="475" t="s">
        <v>1808</v>
      </c>
      <c r="Q590" s="6" t="s">
        <v>7058</v>
      </c>
      <c r="R590" s="6"/>
      <c r="S590" s="6"/>
      <c r="T590" s="6"/>
      <c r="U590" s="6"/>
    </row>
    <row r="591" spans="1:21" ht="114.75">
      <c r="A591" s="6">
        <v>2017</v>
      </c>
      <c r="B591" s="160" t="s">
        <v>3424</v>
      </c>
      <c r="C591" s="112" t="s">
        <v>61</v>
      </c>
      <c r="D591" s="6" t="s">
        <v>394</v>
      </c>
      <c r="E591" s="6"/>
      <c r="F591" s="6" t="s">
        <v>3425</v>
      </c>
      <c r="G591" s="6" t="s">
        <v>3426</v>
      </c>
      <c r="H591" s="8">
        <v>64000</v>
      </c>
      <c r="I591" s="6" t="s">
        <v>3427</v>
      </c>
      <c r="J591" s="6" t="s">
        <v>2460</v>
      </c>
      <c r="K591" s="6"/>
      <c r="L591" s="6" t="s">
        <v>6064</v>
      </c>
      <c r="M591" s="6"/>
      <c r="N591" s="6"/>
      <c r="O591" s="52"/>
      <c r="P591" s="475" t="s">
        <v>1808</v>
      </c>
      <c r="Q591" s="6" t="s">
        <v>7060</v>
      </c>
      <c r="R591" s="6"/>
      <c r="S591" s="6"/>
      <c r="T591" s="6"/>
      <c r="U591" s="6"/>
    </row>
    <row r="592" spans="1:21" ht="114.75">
      <c r="A592" s="6">
        <v>2017</v>
      </c>
      <c r="B592" s="160" t="s">
        <v>3428</v>
      </c>
      <c r="C592" s="112" t="s">
        <v>61</v>
      </c>
      <c r="D592" s="6" t="s">
        <v>1383</v>
      </c>
      <c r="E592" s="6"/>
      <c r="F592" s="6" t="s">
        <v>3429</v>
      </c>
      <c r="G592" s="6" t="s">
        <v>3430</v>
      </c>
      <c r="H592" s="8">
        <v>100000</v>
      </c>
      <c r="I592" s="6" t="s">
        <v>3431</v>
      </c>
      <c r="J592" s="6" t="s">
        <v>6822</v>
      </c>
      <c r="K592" s="6"/>
      <c r="L592" s="6" t="s">
        <v>6064</v>
      </c>
      <c r="M592" s="6"/>
      <c r="N592" s="6"/>
      <c r="O592" s="52"/>
      <c r="P592" s="475" t="s">
        <v>1808</v>
      </c>
      <c r="Q592" s="6" t="s">
        <v>7062</v>
      </c>
      <c r="R592" s="6"/>
      <c r="S592" s="6"/>
      <c r="T592" s="6"/>
      <c r="U592" s="6"/>
    </row>
    <row r="593" spans="1:21" ht="191.25">
      <c r="A593" s="6">
        <v>2017</v>
      </c>
      <c r="B593" s="160" t="s">
        <v>3432</v>
      </c>
      <c r="C593" s="112" t="s">
        <v>61</v>
      </c>
      <c r="D593" s="34" t="s">
        <v>62</v>
      </c>
      <c r="E593" s="34"/>
      <c r="F593" s="6" t="s">
        <v>3433</v>
      </c>
      <c r="G593" s="6" t="s">
        <v>3434</v>
      </c>
      <c r="H593" s="8">
        <v>793460</v>
      </c>
      <c r="I593" s="6" t="s">
        <v>3435</v>
      </c>
      <c r="J593" s="6" t="s">
        <v>1828</v>
      </c>
      <c r="K593" s="6"/>
      <c r="L593" s="6" t="s">
        <v>6064</v>
      </c>
      <c r="M593" s="6"/>
      <c r="N593" s="6"/>
      <c r="O593" s="52"/>
      <c r="P593" s="475" t="s">
        <v>1808</v>
      </c>
      <c r="Q593" s="6" t="s">
        <v>7064</v>
      </c>
      <c r="R593" s="6"/>
      <c r="S593" s="6"/>
      <c r="T593" s="6"/>
      <c r="U593" s="34"/>
    </row>
    <row r="594" spans="1:21" ht="153">
      <c r="A594" s="6">
        <v>2017</v>
      </c>
      <c r="B594" s="160" t="s">
        <v>3436</v>
      </c>
      <c r="C594" s="112" t="s">
        <v>61</v>
      </c>
      <c r="D594" s="6" t="s">
        <v>586</v>
      </c>
      <c r="E594" s="6"/>
      <c r="F594" s="6" t="s">
        <v>3437</v>
      </c>
      <c r="G594" s="6" t="s">
        <v>3438</v>
      </c>
      <c r="H594" s="8">
        <v>8500</v>
      </c>
      <c r="I594" s="6" t="s">
        <v>3439</v>
      </c>
      <c r="J594" s="6" t="s">
        <v>1828</v>
      </c>
      <c r="K594" s="6"/>
      <c r="L594" s="6" t="s">
        <v>6064</v>
      </c>
      <c r="M594" s="7"/>
      <c r="N594" s="6"/>
      <c r="O594" s="52"/>
      <c r="P594" s="6" t="s">
        <v>6132</v>
      </c>
      <c r="Q594" s="6" t="s">
        <v>7066</v>
      </c>
      <c r="R594" s="6"/>
      <c r="S594" s="6"/>
      <c r="T594" s="6"/>
      <c r="U594" s="6"/>
    </row>
    <row r="595" spans="1:21" ht="102">
      <c r="A595" s="6">
        <v>2017</v>
      </c>
      <c r="B595" s="160" t="s">
        <v>3440</v>
      </c>
      <c r="C595" s="112" t="s">
        <v>61</v>
      </c>
      <c r="D595" s="6" t="s">
        <v>1141</v>
      </c>
      <c r="E595" s="6"/>
      <c r="F595" s="6" t="s">
        <v>3441</v>
      </c>
      <c r="G595" s="6" t="s">
        <v>3442</v>
      </c>
      <c r="H595" s="8">
        <v>94008.75</v>
      </c>
      <c r="I595" s="6" t="s">
        <v>3443</v>
      </c>
      <c r="J595" s="6" t="s">
        <v>2467</v>
      </c>
      <c r="K595" s="6" t="s">
        <v>1904</v>
      </c>
      <c r="L595" s="6" t="s">
        <v>6064</v>
      </c>
      <c r="M595" s="7">
        <v>43003</v>
      </c>
      <c r="N595" s="6"/>
      <c r="O595" s="52"/>
      <c r="P595" s="475" t="s">
        <v>1808</v>
      </c>
      <c r="Q595" s="6" t="s">
        <v>7068</v>
      </c>
      <c r="R595" s="6"/>
      <c r="S595" s="6"/>
      <c r="T595" s="6"/>
      <c r="U595" s="6"/>
    </row>
    <row r="596" spans="1:21" ht="127.5">
      <c r="A596" s="6">
        <v>2017</v>
      </c>
      <c r="B596" s="160" t="s">
        <v>3444</v>
      </c>
      <c r="C596" s="112" t="s">
        <v>61</v>
      </c>
      <c r="D596" s="6" t="s">
        <v>586</v>
      </c>
      <c r="E596" s="6"/>
      <c r="F596" s="6" t="s">
        <v>3445</v>
      </c>
      <c r="G596" s="6" t="s">
        <v>2625</v>
      </c>
      <c r="H596" s="8">
        <v>8500</v>
      </c>
      <c r="I596" s="6" t="s">
        <v>3446</v>
      </c>
      <c r="J596" s="6" t="s">
        <v>2656</v>
      </c>
      <c r="K596" s="6"/>
      <c r="L596" s="6" t="s">
        <v>6064</v>
      </c>
      <c r="M596" s="7">
        <v>43003</v>
      </c>
      <c r="N596" s="6"/>
      <c r="O596" s="52"/>
      <c r="P596" s="6" t="s">
        <v>6132</v>
      </c>
      <c r="Q596" s="6" t="s">
        <v>7070</v>
      </c>
      <c r="R596" s="6"/>
      <c r="S596" s="6"/>
      <c r="T596" s="6"/>
      <c r="U596" s="6"/>
    </row>
    <row r="597" spans="1:21" ht="216.75">
      <c r="A597" s="6">
        <v>2017</v>
      </c>
      <c r="B597" s="160" t="s">
        <v>3447</v>
      </c>
      <c r="C597" s="112" t="s">
        <v>61</v>
      </c>
      <c r="D597" s="6" t="s">
        <v>1383</v>
      </c>
      <c r="E597" s="6"/>
      <c r="F597" s="6" t="s">
        <v>3448</v>
      </c>
      <c r="G597" s="6" t="s">
        <v>3449</v>
      </c>
      <c r="H597" s="8">
        <v>50000</v>
      </c>
      <c r="I597" s="6" t="s">
        <v>3450</v>
      </c>
      <c r="J597" s="6" t="s">
        <v>1828</v>
      </c>
      <c r="K597" s="6"/>
      <c r="L597" s="6" t="s">
        <v>6064</v>
      </c>
      <c r="M597" s="6"/>
      <c r="N597" s="6"/>
      <c r="O597" s="52"/>
      <c r="P597" s="475" t="s">
        <v>1808</v>
      </c>
      <c r="Q597" s="6" t="s">
        <v>7072</v>
      </c>
      <c r="R597" s="6"/>
      <c r="S597" s="6"/>
      <c r="T597" s="6"/>
      <c r="U597" s="6"/>
    </row>
    <row r="598" spans="1:21" ht="204">
      <c r="A598" s="6">
        <v>2017</v>
      </c>
      <c r="B598" s="160" t="s">
        <v>3451</v>
      </c>
      <c r="C598" s="112" t="s">
        <v>61</v>
      </c>
      <c r="D598" s="6" t="s">
        <v>68</v>
      </c>
      <c r="E598" s="6"/>
      <c r="F598" s="6" t="s">
        <v>3452</v>
      </c>
      <c r="G598" s="6" t="s">
        <v>3453</v>
      </c>
      <c r="H598" s="8">
        <v>1135672</v>
      </c>
      <c r="I598" s="6" t="s">
        <v>3454</v>
      </c>
      <c r="J598" s="6" t="s">
        <v>1828</v>
      </c>
      <c r="K598" s="6"/>
      <c r="L598" s="6" t="s">
        <v>6064</v>
      </c>
      <c r="M598" s="7">
        <v>43019</v>
      </c>
      <c r="N598" s="6"/>
      <c r="O598" s="52"/>
      <c r="P598" s="6" t="s">
        <v>6132</v>
      </c>
      <c r="Q598" s="6" t="s">
        <v>7074</v>
      </c>
      <c r="R598" s="6"/>
      <c r="S598" s="6"/>
      <c r="T598" s="6"/>
      <c r="U598" s="6"/>
    </row>
    <row r="599" spans="1:21" ht="153">
      <c r="A599" s="6">
        <v>2017</v>
      </c>
      <c r="B599" s="160" t="s">
        <v>3455</v>
      </c>
      <c r="C599" s="112" t="s">
        <v>61</v>
      </c>
      <c r="D599" s="6" t="s">
        <v>1862</v>
      </c>
      <c r="E599" s="6"/>
      <c r="F599" s="6" t="s">
        <v>3456</v>
      </c>
      <c r="G599" s="6" t="s">
        <v>811</v>
      </c>
      <c r="H599" s="8">
        <v>96000</v>
      </c>
      <c r="I599" s="6" t="s">
        <v>3368</v>
      </c>
      <c r="J599" s="6" t="s">
        <v>1828</v>
      </c>
      <c r="K599" s="6"/>
      <c r="L599" s="6" t="s">
        <v>6071</v>
      </c>
      <c r="M599" s="6"/>
      <c r="N599" s="6"/>
      <c r="O599" s="52"/>
      <c r="P599" s="475" t="s">
        <v>1808</v>
      </c>
      <c r="Q599" s="6" t="s">
        <v>7076</v>
      </c>
      <c r="R599" s="6"/>
      <c r="S599" s="6"/>
      <c r="T599" s="6"/>
      <c r="U599" s="6"/>
    </row>
    <row r="600" spans="1:21" ht="165.75">
      <c r="A600" s="6">
        <v>2017</v>
      </c>
      <c r="B600" s="160" t="s">
        <v>3457</v>
      </c>
      <c r="C600" s="112" t="s">
        <v>61</v>
      </c>
      <c r="D600" s="6" t="s">
        <v>394</v>
      </c>
      <c r="E600" s="6"/>
      <c r="F600" s="6" t="s">
        <v>3458</v>
      </c>
      <c r="G600" s="6" t="s">
        <v>3459</v>
      </c>
      <c r="H600" s="8">
        <v>86000</v>
      </c>
      <c r="I600" s="6" t="s">
        <v>2924</v>
      </c>
      <c r="J600" s="6" t="s">
        <v>1828</v>
      </c>
      <c r="K600" s="6"/>
      <c r="L600" s="6" t="s">
        <v>6071</v>
      </c>
      <c r="M600" s="6"/>
      <c r="N600" s="6"/>
      <c r="O600" s="52"/>
      <c r="P600" s="475" t="s">
        <v>1808</v>
      </c>
      <c r="Q600" s="6" t="s">
        <v>7078</v>
      </c>
      <c r="R600" s="6"/>
      <c r="S600" s="6"/>
      <c r="T600" s="6"/>
      <c r="U600" s="6"/>
    </row>
    <row r="601" spans="1:21" ht="191.25">
      <c r="A601" s="6">
        <v>2017</v>
      </c>
      <c r="B601" s="160" t="s">
        <v>3460</v>
      </c>
      <c r="C601" s="112" t="s">
        <v>61</v>
      </c>
      <c r="D601" s="6" t="s">
        <v>394</v>
      </c>
      <c r="E601" s="6"/>
      <c r="F601" s="6" t="s">
        <v>3461</v>
      </c>
      <c r="G601" s="6" t="s">
        <v>3459</v>
      </c>
      <c r="H601" s="8">
        <v>33000</v>
      </c>
      <c r="I601" s="6" t="s">
        <v>2924</v>
      </c>
      <c r="J601" s="6" t="s">
        <v>1828</v>
      </c>
      <c r="K601" s="6"/>
      <c r="L601" s="6" t="s">
        <v>6071</v>
      </c>
      <c r="M601" s="6"/>
      <c r="N601" s="6"/>
      <c r="O601" s="52"/>
      <c r="P601" s="475" t="s">
        <v>1808</v>
      </c>
      <c r="Q601" s="6" t="s">
        <v>7080</v>
      </c>
      <c r="R601" s="6"/>
      <c r="S601" s="6"/>
      <c r="T601" s="6"/>
      <c r="U601" s="6"/>
    </row>
    <row r="602" spans="1:21" ht="178.5">
      <c r="A602" s="6">
        <v>2017</v>
      </c>
      <c r="B602" s="160" t="s">
        <v>3462</v>
      </c>
      <c r="C602" s="112" t="s">
        <v>61</v>
      </c>
      <c r="D602" s="6" t="s">
        <v>394</v>
      </c>
      <c r="E602" s="6"/>
      <c r="F602" s="6" t="s">
        <v>3463</v>
      </c>
      <c r="G602" s="6" t="s">
        <v>3464</v>
      </c>
      <c r="H602" s="8">
        <v>42000</v>
      </c>
      <c r="I602" s="6"/>
      <c r="J602" s="56"/>
      <c r="K602" s="6"/>
      <c r="L602" s="6" t="s">
        <v>6071</v>
      </c>
      <c r="M602" s="6"/>
      <c r="N602" s="6"/>
      <c r="O602" s="52"/>
      <c r="P602" s="475" t="s">
        <v>1808</v>
      </c>
      <c r="Q602" s="6" t="s">
        <v>7082</v>
      </c>
      <c r="R602" s="6"/>
      <c r="S602" s="6"/>
      <c r="T602" s="6"/>
      <c r="U602" s="6"/>
    </row>
    <row r="603" spans="1:21" ht="25.5">
      <c r="A603" s="56">
        <v>2017</v>
      </c>
      <c r="B603" s="551" t="s">
        <v>3465</v>
      </c>
      <c r="C603" s="209" t="s">
        <v>61</v>
      </c>
      <c r="D603" s="56"/>
      <c r="E603" s="56"/>
      <c r="F603" s="56"/>
      <c r="G603" s="56"/>
      <c r="H603" s="57"/>
      <c r="I603" s="56"/>
      <c r="J603" s="56"/>
      <c r="K603" s="56"/>
      <c r="L603" s="56" t="s">
        <v>3827</v>
      </c>
      <c r="M603" s="301"/>
      <c r="N603" s="56"/>
      <c r="O603" s="554"/>
      <c r="P603" s="544" t="s">
        <v>1808</v>
      </c>
      <c r="Q603" s="56"/>
      <c r="R603" s="56"/>
      <c r="S603" s="56"/>
      <c r="T603" s="56"/>
      <c r="U603" s="56"/>
    </row>
    <row r="604" spans="1:21" ht="242.25">
      <c r="A604" s="6">
        <v>2017</v>
      </c>
      <c r="B604" s="160" t="s">
        <v>3466</v>
      </c>
      <c r="C604" s="112" t="s">
        <v>61</v>
      </c>
      <c r="D604" s="6" t="s">
        <v>1383</v>
      </c>
      <c r="E604" s="6"/>
      <c r="F604" s="6" t="s">
        <v>3467</v>
      </c>
      <c r="G604" s="6" t="s">
        <v>811</v>
      </c>
      <c r="H604" s="8">
        <v>76500</v>
      </c>
      <c r="I604" s="6" t="s">
        <v>2924</v>
      </c>
      <c r="J604" s="6" t="s">
        <v>1828</v>
      </c>
      <c r="K604" s="6"/>
      <c r="L604" s="6" t="s">
        <v>6064</v>
      </c>
      <c r="M604" s="6"/>
      <c r="N604" s="6"/>
      <c r="O604" s="52"/>
      <c r="P604" s="475" t="s">
        <v>1808</v>
      </c>
      <c r="Q604" s="6" t="s">
        <v>7085</v>
      </c>
      <c r="R604" s="6"/>
      <c r="S604" s="6"/>
      <c r="T604" s="6"/>
      <c r="U604" s="6"/>
    </row>
    <row r="605" spans="1:21" ht="216.75">
      <c r="A605" s="6">
        <v>2017</v>
      </c>
      <c r="B605" s="160" t="s">
        <v>3468</v>
      </c>
      <c r="C605" s="112" t="s">
        <v>61</v>
      </c>
      <c r="D605" s="6" t="s">
        <v>3168</v>
      </c>
      <c r="E605" s="6"/>
      <c r="F605" s="6" t="s">
        <v>3469</v>
      </c>
      <c r="G605" s="6" t="s">
        <v>3470</v>
      </c>
      <c r="H605" s="8">
        <v>100000</v>
      </c>
      <c r="I605" s="6" t="s">
        <v>3471</v>
      </c>
      <c r="J605" s="6" t="s">
        <v>1828</v>
      </c>
      <c r="K605" s="6"/>
      <c r="L605" s="6" t="s">
        <v>6064</v>
      </c>
      <c r="M605" s="7">
        <v>43027</v>
      </c>
      <c r="N605" s="6"/>
      <c r="O605" s="52"/>
      <c r="P605" s="475" t="s">
        <v>1808</v>
      </c>
      <c r="Q605" s="6" t="s">
        <v>7086</v>
      </c>
      <c r="R605" s="6"/>
      <c r="S605" s="6"/>
      <c r="T605" s="6"/>
      <c r="U605" s="6"/>
    </row>
    <row r="606" spans="1:21" ht="191.25">
      <c r="A606" s="6">
        <v>2017</v>
      </c>
      <c r="B606" s="160" t="s">
        <v>3472</v>
      </c>
      <c r="C606" s="112" t="s">
        <v>61</v>
      </c>
      <c r="D606" s="6" t="s">
        <v>652</v>
      </c>
      <c r="E606" s="6"/>
      <c r="F606" s="6" t="s">
        <v>3473</v>
      </c>
      <c r="G606" s="6" t="s">
        <v>3474</v>
      </c>
      <c r="H606" s="8">
        <v>36726</v>
      </c>
      <c r="I606" s="6" t="s">
        <v>3475</v>
      </c>
      <c r="J606" s="6" t="s">
        <v>1828</v>
      </c>
      <c r="K606" s="6"/>
      <c r="L606" s="6" t="s">
        <v>6064</v>
      </c>
      <c r="M606" s="7">
        <v>43027</v>
      </c>
      <c r="N606" s="6"/>
      <c r="O606" s="52"/>
      <c r="P606" s="6" t="s">
        <v>6132</v>
      </c>
      <c r="Q606" s="6" t="s">
        <v>7088</v>
      </c>
      <c r="R606" s="6"/>
      <c r="S606" s="6"/>
      <c r="T606" s="6"/>
      <c r="U606" s="6"/>
    </row>
    <row r="607" spans="1:21" ht="114.75">
      <c r="A607" s="6">
        <v>2017</v>
      </c>
      <c r="B607" s="160" t="s">
        <v>3476</v>
      </c>
      <c r="C607" s="112" t="s">
        <v>61</v>
      </c>
      <c r="D607" s="6" t="s">
        <v>652</v>
      </c>
      <c r="E607" s="6"/>
      <c r="F607" s="6" t="s">
        <v>3477</v>
      </c>
      <c r="G607" s="6" t="s">
        <v>3478</v>
      </c>
      <c r="H607" s="8">
        <v>83796.25</v>
      </c>
      <c r="I607" s="6" t="s">
        <v>3479</v>
      </c>
      <c r="J607" s="6" t="s">
        <v>2656</v>
      </c>
      <c r="K607" s="6"/>
      <c r="L607" s="6" t="s">
        <v>6064</v>
      </c>
      <c r="M607" s="7">
        <v>43028</v>
      </c>
      <c r="N607" s="6"/>
      <c r="O607" s="52"/>
      <c r="P607" s="6" t="s">
        <v>6132</v>
      </c>
      <c r="Q607" s="6" t="s">
        <v>7090</v>
      </c>
      <c r="R607" s="6"/>
      <c r="S607" s="6"/>
      <c r="T607" s="6"/>
      <c r="U607" s="6"/>
    </row>
    <row r="608" spans="1:21" ht="178.5">
      <c r="A608" s="6">
        <v>2017</v>
      </c>
      <c r="B608" s="160" t="s">
        <v>3480</v>
      </c>
      <c r="C608" s="112" t="s">
        <v>61</v>
      </c>
      <c r="D608" s="6" t="s">
        <v>3142</v>
      </c>
      <c r="E608" s="6"/>
      <c r="F608" s="6" t="s">
        <v>3482</v>
      </c>
      <c r="G608" s="6" t="s">
        <v>3483</v>
      </c>
      <c r="H608" s="534" t="s">
        <v>3481</v>
      </c>
      <c r="I608" s="6" t="s">
        <v>3368</v>
      </c>
      <c r="J608" s="6" t="s">
        <v>1828</v>
      </c>
      <c r="K608" s="6"/>
      <c r="L608" s="6" t="s">
        <v>6064</v>
      </c>
      <c r="M608" s="6"/>
      <c r="N608" s="6"/>
      <c r="O608" s="52"/>
      <c r="P608" s="475" t="s">
        <v>1808</v>
      </c>
      <c r="Q608" s="6" t="s">
        <v>7092</v>
      </c>
      <c r="R608" s="6"/>
      <c r="S608" s="6"/>
      <c r="T608" s="6"/>
      <c r="U608" s="6"/>
    </row>
    <row r="609" spans="1:21" ht="267.75">
      <c r="A609" s="6">
        <v>2017</v>
      </c>
      <c r="B609" s="160" t="s">
        <v>3484</v>
      </c>
      <c r="C609" s="112" t="s">
        <v>61</v>
      </c>
      <c r="D609" s="6" t="s">
        <v>3142</v>
      </c>
      <c r="E609" s="6"/>
      <c r="F609" s="6" t="s">
        <v>3485</v>
      </c>
      <c r="G609" s="6" t="s">
        <v>581</v>
      </c>
      <c r="H609" s="8">
        <v>100000</v>
      </c>
      <c r="I609" s="6" t="s">
        <v>3486</v>
      </c>
      <c r="J609" s="6" t="s">
        <v>6370</v>
      </c>
      <c r="K609" s="6" t="s">
        <v>1904</v>
      </c>
      <c r="L609" s="6" t="s">
        <v>6064</v>
      </c>
      <c r="M609" s="7">
        <v>43032</v>
      </c>
      <c r="N609" s="6"/>
      <c r="O609" s="52"/>
      <c r="P609" s="475" t="s">
        <v>1808</v>
      </c>
      <c r="Q609" s="6" t="s">
        <v>7094</v>
      </c>
      <c r="R609" s="6"/>
      <c r="S609" s="6"/>
      <c r="T609" s="6"/>
      <c r="U609" s="6"/>
    </row>
    <row r="610" spans="1:21" ht="25.5">
      <c r="A610" s="56">
        <v>2017</v>
      </c>
      <c r="B610" s="551" t="s">
        <v>7096</v>
      </c>
      <c r="C610" s="209" t="s">
        <v>61</v>
      </c>
      <c r="D610" s="56"/>
      <c r="E610" s="56"/>
      <c r="F610" s="56"/>
      <c r="G610" s="56"/>
      <c r="H610" s="57"/>
      <c r="I610" s="56"/>
      <c r="J610" s="56"/>
      <c r="K610" s="56"/>
      <c r="L610" s="56" t="s">
        <v>6064</v>
      </c>
      <c r="M610" s="301"/>
      <c r="N610" s="56"/>
      <c r="O610" s="554"/>
      <c r="P610" s="544" t="s">
        <v>1808</v>
      </c>
      <c r="Q610" s="56"/>
      <c r="R610" s="56"/>
      <c r="S610" s="56"/>
      <c r="T610" s="56"/>
      <c r="U610" s="56"/>
    </row>
    <row r="611" spans="1:21" ht="216.75">
      <c r="A611" s="6">
        <v>2017</v>
      </c>
      <c r="B611" s="160" t="s">
        <v>3487</v>
      </c>
      <c r="C611" s="112" t="s">
        <v>61</v>
      </c>
      <c r="D611" s="6" t="s">
        <v>586</v>
      </c>
      <c r="E611" s="6"/>
      <c r="F611" s="6" t="s">
        <v>3488</v>
      </c>
      <c r="G611" s="6" t="s">
        <v>3489</v>
      </c>
      <c r="H611" s="8">
        <v>29330</v>
      </c>
      <c r="I611" s="6" t="s">
        <v>3490</v>
      </c>
      <c r="J611" s="6" t="s">
        <v>1828</v>
      </c>
      <c r="K611" s="6"/>
      <c r="L611" s="6" t="s">
        <v>6137</v>
      </c>
      <c r="M611" s="7">
        <v>43042</v>
      </c>
      <c r="N611" s="6"/>
      <c r="O611" s="52"/>
      <c r="P611" s="6" t="s">
        <v>6132</v>
      </c>
      <c r="Q611" s="6" t="s">
        <v>7097</v>
      </c>
      <c r="R611" s="6"/>
      <c r="S611" s="6"/>
      <c r="T611" s="6"/>
      <c r="U611" s="6"/>
    </row>
    <row r="612" spans="1:21" ht="178.5">
      <c r="A612" s="6">
        <v>2017</v>
      </c>
      <c r="B612" s="160" t="s">
        <v>3491</v>
      </c>
      <c r="C612" s="112" t="s">
        <v>61</v>
      </c>
      <c r="D612" s="6" t="s">
        <v>1763</v>
      </c>
      <c r="E612" s="6"/>
      <c r="F612" s="6" t="s">
        <v>3492</v>
      </c>
      <c r="G612" s="6" t="s">
        <v>3493</v>
      </c>
      <c r="H612" s="8">
        <v>13945</v>
      </c>
      <c r="I612" s="6"/>
      <c r="J612" s="56"/>
      <c r="K612" s="6"/>
      <c r="L612" s="6" t="s">
        <v>6064</v>
      </c>
      <c r="M612" s="6"/>
      <c r="N612" s="6"/>
      <c r="O612" s="52"/>
      <c r="P612" s="6" t="s">
        <v>6132</v>
      </c>
      <c r="Q612" s="6" t="s">
        <v>12021</v>
      </c>
      <c r="R612" s="6"/>
      <c r="S612" s="6"/>
      <c r="T612" s="6"/>
      <c r="U612" s="6"/>
    </row>
    <row r="613" spans="1:21" ht="216.75">
      <c r="A613" s="6">
        <v>2017</v>
      </c>
      <c r="B613" s="160" t="s">
        <v>3494</v>
      </c>
      <c r="C613" s="112" t="s">
        <v>61</v>
      </c>
      <c r="D613" s="6" t="s">
        <v>3092</v>
      </c>
      <c r="E613" s="6"/>
      <c r="F613" s="6" t="s">
        <v>3495</v>
      </c>
      <c r="G613" s="6" t="s">
        <v>997</v>
      </c>
      <c r="H613" s="8">
        <v>98162</v>
      </c>
      <c r="I613" s="6" t="s">
        <v>3496</v>
      </c>
      <c r="J613" s="6" t="s">
        <v>2467</v>
      </c>
      <c r="K613" s="6" t="s">
        <v>1904</v>
      </c>
      <c r="L613" s="6" t="s">
        <v>6064</v>
      </c>
      <c r="M613" s="7">
        <v>43056</v>
      </c>
      <c r="N613" s="6"/>
      <c r="O613" s="52"/>
      <c r="P613" s="475" t="s">
        <v>1808</v>
      </c>
      <c r="Q613" s="6" t="s">
        <v>7101</v>
      </c>
      <c r="R613" s="6"/>
      <c r="S613" s="6"/>
      <c r="T613" s="6"/>
      <c r="U613" s="6"/>
    </row>
    <row r="614" spans="1:21" ht="51">
      <c r="A614" s="6">
        <v>2017</v>
      </c>
      <c r="B614" s="160" t="s">
        <v>3497</v>
      </c>
      <c r="C614" s="112" t="s">
        <v>61</v>
      </c>
      <c r="D614" s="6" t="s">
        <v>1383</v>
      </c>
      <c r="E614" s="6"/>
      <c r="F614" s="6" t="s">
        <v>3498</v>
      </c>
      <c r="G614" s="6" t="s">
        <v>3499</v>
      </c>
      <c r="H614" s="8">
        <v>500000</v>
      </c>
      <c r="I614" s="6" t="s">
        <v>3500</v>
      </c>
      <c r="J614" s="6" t="s">
        <v>1828</v>
      </c>
      <c r="K614" s="6"/>
      <c r="L614" s="6" t="s">
        <v>6064</v>
      </c>
      <c r="M614" s="6"/>
      <c r="N614" s="6"/>
      <c r="O614" s="52"/>
      <c r="P614" s="475" t="s">
        <v>1808</v>
      </c>
      <c r="Q614" s="6" t="s">
        <v>7103</v>
      </c>
      <c r="R614" s="6"/>
      <c r="S614" s="6"/>
      <c r="T614" s="6"/>
      <c r="U614" s="6"/>
    </row>
    <row r="615" spans="1:21" ht="153">
      <c r="A615" s="6">
        <v>2017</v>
      </c>
      <c r="B615" s="160" t="s">
        <v>3501</v>
      </c>
      <c r="C615" s="112" t="s">
        <v>61</v>
      </c>
      <c r="D615" s="6" t="s">
        <v>1763</v>
      </c>
      <c r="E615" s="6"/>
      <c r="F615" s="6" t="s">
        <v>3502</v>
      </c>
      <c r="G615" s="6" t="s">
        <v>3503</v>
      </c>
      <c r="H615" s="8">
        <v>37500</v>
      </c>
      <c r="I615" s="6" t="s">
        <v>3504</v>
      </c>
      <c r="J615" s="6" t="s">
        <v>1828</v>
      </c>
      <c r="K615" s="6"/>
      <c r="L615" s="6" t="s">
        <v>6064</v>
      </c>
      <c r="M615" s="6"/>
      <c r="N615" s="6"/>
      <c r="O615" s="52"/>
      <c r="P615" s="475" t="s">
        <v>1808</v>
      </c>
      <c r="Q615" s="6" t="s">
        <v>7105</v>
      </c>
      <c r="R615" s="6"/>
      <c r="S615" s="6"/>
      <c r="T615" s="6"/>
      <c r="U615" s="6"/>
    </row>
    <row r="616" spans="1:21" ht="25.5">
      <c r="A616" s="6">
        <v>2016</v>
      </c>
      <c r="B616" s="185">
        <v>42370</v>
      </c>
      <c r="C616" s="112" t="s">
        <v>61</v>
      </c>
      <c r="D616" s="54" t="s">
        <v>3505</v>
      </c>
      <c r="E616" s="54"/>
      <c r="F616" s="178" t="s">
        <v>3506</v>
      </c>
      <c r="G616" s="178" t="s">
        <v>1556</v>
      </c>
      <c r="H616" s="186">
        <v>560000</v>
      </c>
      <c r="I616" s="179" t="s">
        <v>1938</v>
      </c>
      <c r="J616" s="179" t="s">
        <v>1828</v>
      </c>
      <c r="K616" s="54"/>
      <c r="L616" s="179" t="s">
        <v>6064</v>
      </c>
      <c r="M616" s="178"/>
      <c r="N616" s="178"/>
      <c r="O616" s="52"/>
      <c r="P616" s="536" t="s">
        <v>1808</v>
      </c>
      <c r="Q616" s="179"/>
      <c r="R616" s="179"/>
      <c r="S616" s="179" t="s">
        <v>1824</v>
      </c>
      <c r="T616" s="54"/>
      <c r="U616" s="179"/>
    </row>
    <row r="617" spans="1:21" ht="76.5">
      <c r="A617" s="6">
        <v>2016</v>
      </c>
      <c r="B617" s="185">
        <v>42401</v>
      </c>
      <c r="C617" s="112" t="s">
        <v>61</v>
      </c>
      <c r="D617" s="6" t="s">
        <v>62</v>
      </c>
      <c r="E617" s="6"/>
      <c r="F617" s="179" t="s">
        <v>3507</v>
      </c>
      <c r="G617" s="179" t="s">
        <v>3508</v>
      </c>
      <c r="H617" s="186">
        <v>2000000</v>
      </c>
      <c r="I617" s="187" t="s">
        <v>3509</v>
      </c>
      <c r="J617" s="179" t="s">
        <v>1828</v>
      </c>
      <c r="K617" s="54" t="s">
        <v>1904</v>
      </c>
      <c r="L617" s="179" t="s">
        <v>6170</v>
      </c>
      <c r="M617" s="179"/>
      <c r="N617" s="179"/>
      <c r="O617" s="52"/>
      <c r="P617" s="179" t="s">
        <v>6179</v>
      </c>
      <c r="Q617" s="179"/>
      <c r="R617" s="179"/>
      <c r="S617" s="179"/>
      <c r="T617" s="54"/>
      <c r="U617" s="187"/>
    </row>
    <row r="618" spans="1:21" ht="25.5">
      <c r="A618" s="6">
        <v>2016</v>
      </c>
      <c r="B618" s="185">
        <v>42430</v>
      </c>
      <c r="C618" s="112" t="s">
        <v>61</v>
      </c>
      <c r="D618" s="54" t="s">
        <v>3075</v>
      </c>
      <c r="E618" s="54"/>
      <c r="F618" s="179" t="s">
        <v>3510</v>
      </c>
      <c r="G618" s="179" t="s">
        <v>3076</v>
      </c>
      <c r="H618" s="186">
        <v>437790</v>
      </c>
      <c r="I618" s="179" t="s">
        <v>1938</v>
      </c>
      <c r="J618" s="179" t="s">
        <v>1828</v>
      </c>
      <c r="K618" s="54"/>
      <c r="L618" s="179" t="s">
        <v>6064</v>
      </c>
      <c r="M618" s="179"/>
      <c r="N618" s="179"/>
      <c r="O618" s="52"/>
      <c r="P618" s="536" t="s">
        <v>1808</v>
      </c>
      <c r="Q618" s="179"/>
      <c r="R618" s="179"/>
      <c r="S618" s="179" t="s">
        <v>1824</v>
      </c>
      <c r="T618" s="54"/>
      <c r="U618" s="179"/>
    </row>
    <row r="619" spans="1:21" ht="102">
      <c r="A619" s="54"/>
      <c r="B619" s="185">
        <v>42461</v>
      </c>
      <c r="C619" s="179" t="s">
        <v>2328</v>
      </c>
      <c r="D619" s="54" t="s">
        <v>3514</v>
      </c>
      <c r="E619" s="54"/>
      <c r="F619" s="179" t="s">
        <v>3511</v>
      </c>
      <c r="G619" s="179" t="s">
        <v>3512</v>
      </c>
      <c r="H619" s="179"/>
      <c r="I619" s="187" t="s">
        <v>3513</v>
      </c>
      <c r="J619" s="179" t="s">
        <v>1828</v>
      </c>
      <c r="K619" s="54"/>
      <c r="L619" s="179" t="s">
        <v>6724</v>
      </c>
      <c r="M619" s="179"/>
      <c r="N619" s="179"/>
      <c r="O619" s="52"/>
      <c r="P619" s="179" t="s">
        <v>6132</v>
      </c>
      <c r="Q619" s="179"/>
      <c r="R619" s="179"/>
      <c r="S619" s="179"/>
      <c r="T619" s="54"/>
      <c r="U619" s="187"/>
    </row>
    <row r="620" spans="1:21" ht="51">
      <c r="A620" s="54"/>
      <c r="B620" s="185">
        <v>42491</v>
      </c>
      <c r="C620" s="179" t="s">
        <v>2328</v>
      </c>
      <c r="D620" s="54" t="s">
        <v>3514</v>
      </c>
      <c r="E620" s="54"/>
      <c r="F620" s="179" t="s">
        <v>3515</v>
      </c>
      <c r="G620" s="179" t="s">
        <v>3516</v>
      </c>
      <c r="H620" s="186">
        <v>586479</v>
      </c>
      <c r="I620" s="187" t="s">
        <v>3517</v>
      </c>
      <c r="J620" s="179" t="s">
        <v>6314</v>
      </c>
      <c r="K620" s="54"/>
      <c r="L620" s="179" t="s">
        <v>6217</v>
      </c>
      <c r="M620" s="179"/>
      <c r="N620" s="179"/>
      <c r="O620" s="52"/>
      <c r="P620" s="179" t="s">
        <v>6132</v>
      </c>
      <c r="Q620" s="179"/>
      <c r="R620" s="179"/>
      <c r="S620" s="179"/>
      <c r="T620" s="54"/>
      <c r="U620" s="187"/>
    </row>
    <row r="621" spans="1:21" ht="51">
      <c r="A621" s="54"/>
      <c r="B621" s="185">
        <v>42522</v>
      </c>
      <c r="C621" s="179" t="s">
        <v>2328</v>
      </c>
      <c r="D621" s="54" t="s">
        <v>3521</v>
      </c>
      <c r="E621" s="54"/>
      <c r="F621" s="179" t="s">
        <v>3518</v>
      </c>
      <c r="G621" s="179" t="s">
        <v>3519</v>
      </c>
      <c r="H621" s="186">
        <v>10700</v>
      </c>
      <c r="I621" s="187" t="s">
        <v>3520</v>
      </c>
      <c r="J621" s="179" t="s">
        <v>1828</v>
      </c>
      <c r="K621" s="54"/>
      <c r="L621" s="179" t="s">
        <v>6217</v>
      </c>
      <c r="M621" s="179"/>
      <c r="N621" s="179"/>
      <c r="O621" s="52"/>
      <c r="P621" s="179" t="s">
        <v>6132</v>
      </c>
      <c r="Q621" s="179"/>
      <c r="R621" s="179"/>
      <c r="S621" s="179"/>
      <c r="T621" s="54"/>
      <c r="U621" s="187"/>
    </row>
    <row r="622" spans="1:21" ht="51">
      <c r="A622" s="54"/>
      <c r="B622" s="192">
        <v>42552</v>
      </c>
      <c r="C622" s="179" t="s">
        <v>2328</v>
      </c>
      <c r="D622" s="54" t="s">
        <v>3521</v>
      </c>
      <c r="E622" s="54"/>
      <c r="F622" s="179" t="s">
        <v>3522</v>
      </c>
      <c r="G622" s="179" t="s">
        <v>3523</v>
      </c>
      <c r="H622" s="186">
        <v>55000</v>
      </c>
      <c r="I622" s="187" t="s">
        <v>3524</v>
      </c>
      <c r="J622" s="179" t="s">
        <v>1828</v>
      </c>
      <c r="K622" s="54"/>
      <c r="L622" s="179" t="s">
        <v>6104</v>
      </c>
      <c r="M622" s="179"/>
      <c r="N622" s="179"/>
      <c r="O622" s="52"/>
      <c r="P622" s="179" t="s">
        <v>6132</v>
      </c>
      <c r="Q622" s="179"/>
      <c r="R622" s="179"/>
      <c r="S622" s="179"/>
      <c r="T622" s="54"/>
      <c r="U622" s="187"/>
    </row>
    <row r="623" spans="1:21" ht="38.25">
      <c r="A623" s="54"/>
      <c r="B623" s="185">
        <v>42583</v>
      </c>
      <c r="C623" s="179" t="s">
        <v>2328</v>
      </c>
      <c r="D623" s="54" t="s">
        <v>3514</v>
      </c>
      <c r="E623" s="54"/>
      <c r="F623" s="178" t="s">
        <v>3525</v>
      </c>
      <c r="G623" s="178" t="s">
        <v>3526</v>
      </c>
      <c r="H623" s="782">
        <v>71966</v>
      </c>
      <c r="I623" s="783" t="s">
        <v>3527</v>
      </c>
      <c r="J623" s="179" t="s">
        <v>1828</v>
      </c>
      <c r="K623" s="54"/>
      <c r="L623" s="179" t="s">
        <v>6724</v>
      </c>
      <c r="M623" s="178"/>
      <c r="N623" s="178"/>
      <c r="O623" s="52"/>
      <c r="P623" s="179" t="s">
        <v>6132</v>
      </c>
      <c r="Q623" s="179"/>
      <c r="R623" s="179"/>
      <c r="S623" s="179"/>
      <c r="T623" s="54"/>
      <c r="U623" s="783"/>
    </row>
    <row r="624" spans="1:21" ht="51">
      <c r="A624" s="6">
        <v>2016</v>
      </c>
      <c r="B624" s="192">
        <v>42614</v>
      </c>
      <c r="C624" s="112" t="s">
        <v>61</v>
      </c>
      <c r="D624" s="54" t="s">
        <v>394</v>
      </c>
      <c r="E624" s="54"/>
      <c r="F624" s="179" t="s">
        <v>3528</v>
      </c>
      <c r="G624" s="179" t="s">
        <v>3529</v>
      </c>
      <c r="H624" s="186">
        <v>60800</v>
      </c>
      <c r="I624" s="179" t="s">
        <v>1938</v>
      </c>
      <c r="J624" s="179" t="s">
        <v>1828</v>
      </c>
      <c r="K624" s="54" t="s">
        <v>1853</v>
      </c>
      <c r="L624" s="179" t="s">
        <v>6071</v>
      </c>
      <c r="M624" s="179"/>
      <c r="N624" s="179"/>
      <c r="O624" s="52"/>
      <c r="P624" s="536" t="s">
        <v>1808</v>
      </c>
      <c r="Q624" s="179"/>
      <c r="R624" s="179"/>
      <c r="S624" s="179" t="s">
        <v>1824</v>
      </c>
      <c r="T624" s="54"/>
      <c r="U624" s="179"/>
    </row>
    <row r="625" spans="1:21" ht="51">
      <c r="A625" s="6">
        <v>2016</v>
      </c>
      <c r="B625" s="192">
        <v>42644</v>
      </c>
      <c r="C625" s="112" t="s">
        <v>61</v>
      </c>
      <c r="D625" s="54" t="s">
        <v>1862</v>
      </c>
      <c r="E625" s="54"/>
      <c r="F625" s="179" t="s">
        <v>3530</v>
      </c>
      <c r="G625" s="179" t="s">
        <v>1556</v>
      </c>
      <c r="H625" s="194">
        <v>318000</v>
      </c>
      <c r="I625" s="179" t="s">
        <v>1938</v>
      </c>
      <c r="J625" s="179" t="s">
        <v>1828</v>
      </c>
      <c r="K625" s="54"/>
      <c r="L625" s="179" t="s">
        <v>6064</v>
      </c>
      <c r="M625" s="334">
        <v>42411</v>
      </c>
      <c r="N625" s="179"/>
      <c r="O625" s="52"/>
      <c r="P625" s="179"/>
      <c r="Q625" s="179"/>
      <c r="R625" s="179"/>
      <c r="S625" s="179" t="s">
        <v>1824</v>
      </c>
      <c r="T625" s="54"/>
      <c r="U625" s="179"/>
    </row>
    <row r="626" spans="1:21" ht="38.25">
      <c r="A626" s="6">
        <v>2016</v>
      </c>
      <c r="B626" s="192">
        <v>42675</v>
      </c>
      <c r="C626" s="112" t="s">
        <v>61</v>
      </c>
      <c r="D626" s="54" t="s">
        <v>68</v>
      </c>
      <c r="E626" s="54"/>
      <c r="F626" s="179" t="s">
        <v>3531</v>
      </c>
      <c r="G626" s="179" t="s">
        <v>3532</v>
      </c>
      <c r="H626" s="194">
        <v>863105.4</v>
      </c>
      <c r="I626" s="179" t="s">
        <v>2508</v>
      </c>
      <c r="J626" s="179" t="s">
        <v>1828</v>
      </c>
      <c r="K626" s="54" t="s">
        <v>1904</v>
      </c>
      <c r="L626" s="179" t="s">
        <v>6104</v>
      </c>
      <c r="M626" s="179"/>
      <c r="N626" s="179"/>
      <c r="O626" s="52"/>
      <c r="P626" s="179" t="s">
        <v>6132</v>
      </c>
      <c r="Q626" s="179"/>
      <c r="R626" s="179"/>
      <c r="S626" s="179"/>
      <c r="T626" s="54"/>
      <c r="U626" s="179"/>
    </row>
    <row r="627" spans="1:21" ht="25.5">
      <c r="A627" s="6">
        <v>2016</v>
      </c>
      <c r="B627" s="192">
        <v>42705</v>
      </c>
      <c r="C627" s="112" t="s">
        <v>61</v>
      </c>
      <c r="D627" s="54" t="s">
        <v>3335</v>
      </c>
      <c r="E627" s="54"/>
      <c r="F627" s="179" t="s">
        <v>3533</v>
      </c>
      <c r="G627" s="179" t="s">
        <v>1556</v>
      </c>
      <c r="H627" s="186">
        <v>2000000</v>
      </c>
      <c r="I627" s="179" t="s">
        <v>1938</v>
      </c>
      <c r="J627" s="179" t="s">
        <v>1828</v>
      </c>
      <c r="K627" s="54" t="s">
        <v>82</v>
      </c>
      <c r="L627" s="179" t="s">
        <v>6064</v>
      </c>
      <c r="M627" s="179"/>
      <c r="N627" s="179"/>
      <c r="O627" s="52"/>
      <c r="P627" s="536" t="s">
        <v>1808</v>
      </c>
      <c r="Q627" s="179"/>
      <c r="R627" s="179"/>
      <c r="S627" s="179" t="s">
        <v>1824</v>
      </c>
      <c r="T627" s="54"/>
      <c r="U627" s="179"/>
    </row>
    <row r="628" spans="1:21" ht="38.25">
      <c r="A628" s="54"/>
      <c r="B628" s="179" t="s">
        <v>3534</v>
      </c>
      <c r="C628" s="179" t="s">
        <v>2328</v>
      </c>
      <c r="D628" s="54" t="s">
        <v>3538</v>
      </c>
      <c r="E628" s="54"/>
      <c r="F628" s="179" t="s">
        <v>3535</v>
      </c>
      <c r="G628" s="178" t="s">
        <v>3536</v>
      </c>
      <c r="H628" s="194">
        <v>197515.03</v>
      </c>
      <c r="I628" s="783" t="s">
        <v>3537</v>
      </c>
      <c r="J628" s="179" t="s">
        <v>6314</v>
      </c>
      <c r="K628" s="54"/>
      <c r="L628" s="179" t="s">
        <v>6137</v>
      </c>
      <c r="M628" s="179"/>
      <c r="N628" s="179"/>
      <c r="O628" s="52"/>
      <c r="P628" s="536" t="s">
        <v>1808</v>
      </c>
      <c r="Q628" s="179"/>
      <c r="R628" s="179"/>
      <c r="S628" s="179"/>
      <c r="T628" s="54"/>
      <c r="U628" s="783"/>
    </row>
    <row r="629" spans="1:21" ht="12.75">
      <c r="A629" s="6">
        <v>2016</v>
      </c>
      <c r="B629" s="179" t="s">
        <v>3539</v>
      </c>
      <c r="C629" s="112" t="s">
        <v>61</v>
      </c>
      <c r="D629" s="6" t="s">
        <v>12013</v>
      </c>
      <c r="E629" s="6"/>
      <c r="F629" s="179" t="s">
        <v>3540</v>
      </c>
      <c r="G629" s="179" t="s">
        <v>1556</v>
      </c>
      <c r="H629" s="186">
        <v>1638300</v>
      </c>
      <c r="I629" s="179" t="s">
        <v>1938</v>
      </c>
      <c r="J629" s="179" t="s">
        <v>1828</v>
      </c>
      <c r="K629" s="54"/>
      <c r="L629" s="179" t="s">
        <v>6064</v>
      </c>
      <c r="M629" s="179"/>
      <c r="N629" s="179"/>
      <c r="O629" s="52"/>
      <c r="P629" s="536" t="s">
        <v>1808</v>
      </c>
      <c r="Q629" s="179"/>
      <c r="R629" s="179"/>
      <c r="S629" s="179" t="s">
        <v>1824</v>
      </c>
      <c r="T629" s="54"/>
      <c r="U629" s="179"/>
    </row>
    <row r="630" spans="1:21" ht="25.5">
      <c r="A630" s="6">
        <v>2016</v>
      </c>
      <c r="B630" s="179" t="s">
        <v>3541</v>
      </c>
      <c r="C630" s="112" t="s">
        <v>61</v>
      </c>
      <c r="D630" s="54" t="s">
        <v>1862</v>
      </c>
      <c r="E630" s="54"/>
      <c r="F630" s="178" t="s">
        <v>3542</v>
      </c>
      <c r="G630" s="179" t="s">
        <v>1556</v>
      </c>
      <c r="H630" s="186">
        <v>400000</v>
      </c>
      <c r="I630" s="179" t="s">
        <v>1938</v>
      </c>
      <c r="J630" s="179" t="s">
        <v>1828</v>
      </c>
      <c r="K630" s="54"/>
      <c r="L630" s="179" t="s">
        <v>6064</v>
      </c>
      <c r="M630" s="784">
        <v>42433</v>
      </c>
      <c r="N630" s="178"/>
      <c r="O630" s="52"/>
      <c r="P630" s="536" t="s">
        <v>1808</v>
      </c>
      <c r="Q630" s="179"/>
      <c r="R630" s="179"/>
      <c r="S630" s="178" t="s">
        <v>1824</v>
      </c>
      <c r="T630" s="54"/>
      <c r="U630" s="179"/>
    </row>
    <row r="631" spans="1:21" ht="25.5">
      <c r="A631" s="6">
        <v>2016</v>
      </c>
      <c r="B631" s="179" t="s">
        <v>3543</v>
      </c>
      <c r="C631" s="112" t="s">
        <v>61</v>
      </c>
      <c r="D631" s="54" t="s">
        <v>1862</v>
      </c>
      <c r="E631" s="54"/>
      <c r="F631" s="179" t="s">
        <v>3544</v>
      </c>
      <c r="G631" s="179" t="s">
        <v>1556</v>
      </c>
      <c r="H631" s="186">
        <v>200000</v>
      </c>
      <c r="I631" s="179" t="s">
        <v>1938</v>
      </c>
      <c r="J631" s="179" t="s">
        <v>1828</v>
      </c>
      <c r="K631" s="54"/>
      <c r="L631" s="179" t="s">
        <v>6064</v>
      </c>
      <c r="M631" s="334">
        <v>42433</v>
      </c>
      <c r="N631" s="179"/>
      <c r="O631" s="52"/>
      <c r="P631" s="536" t="s">
        <v>1808</v>
      </c>
      <c r="Q631" s="179"/>
      <c r="R631" s="179"/>
      <c r="S631" s="179" t="s">
        <v>1824</v>
      </c>
      <c r="T631" s="54"/>
      <c r="U631" s="179"/>
    </row>
    <row r="632" spans="1:21" ht="63.75">
      <c r="A632" s="6">
        <v>2016</v>
      </c>
      <c r="B632" s="179" t="s">
        <v>3545</v>
      </c>
      <c r="C632" s="112" t="s">
        <v>61</v>
      </c>
      <c r="D632" s="6" t="s">
        <v>62</v>
      </c>
      <c r="E632" s="6"/>
      <c r="F632" s="179" t="s">
        <v>3546</v>
      </c>
      <c r="G632" s="179" t="s">
        <v>3547</v>
      </c>
      <c r="H632" s="186">
        <v>715000</v>
      </c>
      <c r="I632" s="187" t="s">
        <v>3548</v>
      </c>
      <c r="J632" s="179" t="s">
        <v>1828</v>
      </c>
      <c r="K632" s="54" t="s">
        <v>1904</v>
      </c>
      <c r="L632" s="179" t="s">
        <v>6092</v>
      </c>
      <c r="M632" s="179"/>
      <c r="N632" s="179"/>
      <c r="O632" s="52"/>
      <c r="P632" s="179" t="s">
        <v>6132</v>
      </c>
      <c r="Q632" s="179"/>
      <c r="R632" s="179"/>
      <c r="S632" s="179"/>
      <c r="T632" s="54"/>
      <c r="U632" s="187"/>
    </row>
    <row r="633" spans="1:21" ht="12.75">
      <c r="A633" s="6">
        <v>2016</v>
      </c>
      <c r="B633" s="179" t="s">
        <v>3549</v>
      </c>
      <c r="C633" s="112" t="s">
        <v>61</v>
      </c>
      <c r="D633" s="6" t="s">
        <v>12013</v>
      </c>
      <c r="E633" s="6"/>
      <c r="F633" s="179" t="s">
        <v>3540</v>
      </c>
      <c r="G633" s="179" t="s">
        <v>1556</v>
      </c>
      <c r="H633" s="186">
        <v>800000</v>
      </c>
      <c r="I633" s="179" t="s">
        <v>1938</v>
      </c>
      <c r="J633" s="179" t="s">
        <v>1828</v>
      </c>
      <c r="K633" s="54"/>
      <c r="L633" s="179" t="s">
        <v>6064</v>
      </c>
      <c r="M633" s="179"/>
      <c r="N633" s="179"/>
      <c r="O633" s="52"/>
      <c r="P633" s="536" t="s">
        <v>1808</v>
      </c>
      <c r="Q633" s="179"/>
      <c r="R633" s="179"/>
      <c r="S633" s="179" t="s">
        <v>1824</v>
      </c>
      <c r="T633" s="54"/>
      <c r="U633" s="179"/>
    </row>
    <row r="634" spans="1:21" ht="38.25">
      <c r="A634" s="6">
        <v>2016</v>
      </c>
      <c r="B634" s="179" t="s">
        <v>3550</v>
      </c>
      <c r="C634" s="112" t="s">
        <v>61</v>
      </c>
      <c r="D634" s="34" t="s">
        <v>1500</v>
      </c>
      <c r="E634" s="34"/>
      <c r="F634" s="179" t="s">
        <v>3551</v>
      </c>
      <c r="G634" s="179" t="s">
        <v>3552</v>
      </c>
      <c r="H634" s="186">
        <v>200000</v>
      </c>
      <c r="I634" s="179" t="s">
        <v>2508</v>
      </c>
      <c r="J634" s="179" t="s">
        <v>1828</v>
      </c>
      <c r="K634" s="54" t="s">
        <v>82</v>
      </c>
      <c r="L634" s="179" t="s">
        <v>6064</v>
      </c>
      <c r="M634" s="179"/>
      <c r="N634" s="179"/>
      <c r="O634" s="52"/>
      <c r="P634" s="536" t="s">
        <v>1808</v>
      </c>
      <c r="Q634" s="179"/>
      <c r="R634" s="179"/>
      <c r="S634" s="179" t="s">
        <v>1824</v>
      </c>
      <c r="T634" s="54"/>
      <c r="U634" s="304"/>
    </row>
    <row r="635" spans="1:21" ht="38.25">
      <c r="A635" s="6">
        <v>2016</v>
      </c>
      <c r="B635" s="179" t="s">
        <v>3553</v>
      </c>
      <c r="C635" s="112" t="s">
        <v>61</v>
      </c>
      <c r="D635" s="34" t="s">
        <v>1500</v>
      </c>
      <c r="E635" s="34"/>
      <c r="F635" s="179" t="s">
        <v>3554</v>
      </c>
      <c r="G635" s="179" t="s">
        <v>3555</v>
      </c>
      <c r="H635" s="186">
        <v>200000</v>
      </c>
      <c r="I635" s="179" t="s">
        <v>2508</v>
      </c>
      <c r="J635" s="179" t="s">
        <v>1828</v>
      </c>
      <c r="K635" s="54" t="s">
        <v>82</v>
      </c>
      <c r="L635" s="179" t="s">
        <v>6064</v>
      </c>
      <c r="M635" s="179"/>
      <c r="N635" s="179"/>
      <c r="O635" s="52"/>
      <c r="P635" s="536" t="s">
        <v>1808</v>
      </c>
      <c r="Q635" s="179"/>
      <c r="R635" s="179"/>
      <c r="S635" s="179" t="s">
        <v>1824</v>
      </c>
      <c r="T635" s="54"/>
      <c r="U635" s="304"/>
    </row>
    <row r="636" spans="1:21" ht="51">
      <c r="A636" s="6">
        <v>2016</v>
      </c>
      <c r="B636" s="179" t="s">
        <v>3556</v>
      </c>
      <c r="C636" s="112" t="s">
        <v>61</v>
      </c>
      <c r="D636" s="34" t="s">
        <v>1500</v>
      </c>
      <c r="E636" s="34"/>
      <c r="F636" s="179" t="s">
        <v>3557</v>
      </c>
      <c r="G636" s="179" t="s">
        <v>1686</v>
      </c>
      <c r="H636" s="186">
        <v>200000</v>
      </c>
      <c r="I636" s="179" t="s">
        <v>2508</v>
      </c>
      <c r="J636" s="179" t="s">
        <v>1828</v>
      </c>
      <c r="K636" s="54" t="s">
        <v>82</v>
      </c>
      <c r="L636" s="179" t="s">
        <v>6064</v>
      </c>
      <c r="M636" s="179"/>
      <c r="N636" s="179"/>
      <c r="O636" s="52"/>
      <c r="P636" s="536" t="s">
        <v>1808</v>
      </c>
      <c r="Q636" s="179"/>
      <c r="R636" s="179"/>
      <c r="S636" s="179" t="s">
        <v>1824</v>
      </c>
      <c r="T636" s="54"/>
      <c r="U636" s="304"/>
    </row>
    <row r="637" spans="1:21" ht="38.25">
      <c r="A637" s="6">
        <v>2016</v>
      </c>
      <c r="B637" s="179" t="s">
        <v>3558</v>
      </c>
      <c r="C637" s="112" t="s">
        <v>61</v>
      </c>
      <c r="D637" s="34" t="s">
        <v>1500</v>
      </c>
      <c r="E637" s="34"/>
      <c r="F637" s="179" t="s">
        <v>3559</v>
      </c>
      <c r="G637" s="179" t="s">
        <v>3560</v>
      </c>
      <c r="H637" s="186">
        <v>200000</v>
      </c>
      <c r="I637" s="179" t="s">
        <v>1938</v>
      </c>
      <c r="J637" s="179" t="s">
        <v>1828</v>
      </c>
      <c r="K637" s="54" t="s">
        <v>82</v>
      </c>
      <c r="L637" s="179" t="s">
        <v>6064</v>
      </c>
      <c r="M637" s="179"/>
      <c r="N637" s="179"/>
      <c r="O637" s="52"/>
      <c r="P637" s="536" t="s">
        <v>1808</v>
      </c>
      <c r="Q637" s="179"/>
      <c r="R637" s="179"/>
      <c r="S637" s="179" t="s">
        <v>1824</v>
      </c>
      <c r="T637" s="54"/>
      <c r="U637" s="304"/>
    </row>
    <row r="638" spans="1:21" ht="38.25">
      <c r="A638" s="6">
        <v>2016</v>
      </c>
      <c r="B638" s="179" t="s">
        <v>3561</v>
      </c>
      <c r="C638" s="112" t="s">
        <v>61</v>
      </c>
      <c r="D638" s="34" t="s">
        <v>1500</v>
      </c>
      <c r="E638" s="34"/>
      <c r="F638" s="179" t="s">
        <v>3562</v>
      </c>
      <c r="G638" s="179" t="s">
        <v>3563</v>
      </c>
      <c r="H638" s="186">
        <v>200000</v>
      </c>
      <c r="I638" s="179" t="s">
        <v>1938</v>
      </c>
      <c r="J638" s="179" t="s">
        <v>1828</v>
      </c>
      <c r="K638" s="54" t="s">
        <v>82</v>
      </c>
      <c r="L638" s="179" t="s">
        <v>6064</v>
      </c>
      <c r="M638" s="179"/>
      <c r="N638" s="179"/>
      <c r="O638" s="52"/>
      <c r="P638" s="536" t="s">
        <v>1808</v>
      </c>
      <c r="Q638" s="179"/>
      <c r="R638" s="179"/>
      <c r="S638" s="179" t="s">
        <v>1824</v>
      </c>
      <c r="T638" s="54"/>
      <c r="U638" s="304"/>
    </row>
    <row r="639" spans="1:21" ht="25.5">
      <c r="A639" s="6">
        <v>2016</v>
      </c>
      <c r="B639" s="179" t="s">
        <v>3564</v>
      </c>
      <c r="C639" s="112" t="s">
        <v>61</v>
      </c>
      <c r="D639" s="34" t="s">
        <v>1500</v>
      </c>
      <c r="E639" s="34"/>
      <c r="F639" s="179" t="s">
        <v>3565</v>
      </c>
      <c r="G639" s="179" t="s">
        <v>3566</v>
      </c>
      <c r="H639" s="186">
        <v>200000</v>
      </c>
      <c r="I639" s="179" t="s">
        <v>2508</v>
      </c>
      <c r="J639" s="179" t="s">
        <v>1828</v>
      </c>
      <c r="K639" s="54" t="s">
        <v>82</v>
      </c>
      <c r="L639" s="179" t="s">
        <v>6064</v>
      </c>
      <c r="M639" s="179"/>
      <c r="N639" s="179"/>
      <c r="O639" s="52"/>
      <c r="P639" s="536" t="s">
        <v>1808</v>
      </c>
      <c r="Q639" s="179"/>
      <c r="R639" s="179"/>
      <c r="S639" s="179" t="s">
        <v>1824</v>
      </c>
      <c r="T639" s="54"/>
      <c r="U639" s="304"/>
    </row>
    <row r="640" spans="1:21" ht="38.25">
      <c r="A640" s="6">
        <v>2016</v>
      </c>
      <c r="B640" s="179" t="s">
        <v>3567</v>
      </c>
      <c r="C640" s="112" t="s">
        <v>61</v>
      </c>
      <c r="D640" s="34" t="s">
        <v>1500</v>
      </c>
      <c r="E640" s="34"/>
      <c r="F640" s="179" t="s">
        <v>3568</v>
      </c>
      <c r="G640" s="179" t="s">
        <v>1611</v>
      </c>
      <c r="H640" s="186">
        <v>200000</v>
      </c>
      <c r="I640" s="179" t="s">
        <v>2508</v>
      </c>
      <c r="J640" s="179" t="s">
        <v>1828</v>
      </c>
      <c r="K640" s="54" t="s">
        <v>82</v>
      </c>
      <c r="L640" s="179" t="s">
        <v>6064</v>
      </c>
      <c r="M640" s="179"/>
      <c r="N640" s="179"/>
      <c r="O640" s="52"/>
      <c r="P640" s="536" t="s">
        <v>1808</v>
      </c>
      <c r="Q640" s="179"/>
      <c r="R640" s="179"/>
      <c r="S640" s="179" t="s">
        <v>1824</v>
      </c>
      <c r="T640" s="54"/>
      <c r="U640" s="304"/>
    </row>
    <row r="641" spans="1:21" ht="12.75">
      <c r="A641" s="6">
        <v>2016</v>
      </c>
      <c r="B641" s="179" t="s">
        <v>3569</v>
      </c>
      <c r="C641" s="112" t="s">
        <v>61</v>
      </c>
      <c r="D641" s="34" t="s">
        <v>1500</v>
      </c>
      <c r="E641" s="34"/>
      <c r="F641" s="179" t="s">
        <v>3570</v>
      </c>
      <c r="G641" s="179" t="s">
        <v>3571</v>
      </c>
      <c r="H641" s="186">
        <v>200000</v>
      </c>
      <c r="I641" s="179" t="s">
        <v>2508</v>
      </c>
      <c r="J641" s="179" t="s">
        <v>1828</v>
      </c>
      <c r="K641" s="54" t="s">
        <v>82</v>
      </c>
      <c r="L641" s="179" t="s">
        <v>6071</v>
      </c>
      <c r="M641" s="179"/>
      <c r="N641" s="179"/>
      <c r="O641" s="52"/>
      <c r="P641" s="536" t="s">
        <v>1808</v>
      </c>
      <c r="Q641" s="179"/>
      <c r="R641" s="179"/>
      <c r="S641" s="179" t="s">
        <v>1824</v>
      </c>
      <c r="T641" s="54"/>
      <c r="U641" s="304"/>
    </row>
    <row r="642" spans="1:21" ht="12.75">
      <c r="A642" s="6">
        <v>2016</v>
      </c>
      <c r="B642" s="179" t="s">
        <v>3572</v>
      </c>
      <c r="C642" s="112" t="s">
        <v>61</v>
      </c>
      <c r="D642" s="34" t="s">
        <v>1500</v>
      </c>
      <c r="E642" s="34"/>
      <c r="F642" s="179" t="s">
        <v>3573</v>
      </c>
      <c r="G642" s="179" t="s">
        <v>1742</v>
      </c>
      <c r="H642" s="186">
        <v>200000</v>
      </c>
      <c r="I642" s="179" t="s">
        <v>2508</v>
      </c>
      <c r="J642" s="179" t="s">
        <v>1828</v>
      </c>
      <c r="K642" s="54" t="s">
        <v>82</v>
      </c>
      <c r="L642" s="179" t="s">
        <v>6064</v>
      </c>
      <c r="M642" s="179"/>
      <c r="N642" s="179"/>
      <c r="O642" s="52"/>
      <c r="P642" s="536" t="s">
        <v>1808</v>
      </c>
      <c r="Q642" s="179"/>
      <c r="R642" s="179"/>
      <c r="S642" s="179" t="s">
        <v>1824</v>
      </c>
      <c r="T642" s="54"/>
      <c r="U642" s="304"/>
    </row>
    <row r="643" spans="1:21" ht="25.5">
      <c r="A643" s="6">
        <v>2016</v>
      </c>
      <c r="B643" s="179" t="s">
        <v>3574</v>
      </c>
      <c r="C643" s="112" t="s">
        <v>61</v>
      </c>
      <c r="D643" s="34" t="s">
        <v>1500</v>
      </c>
      <c r="E643" s="34"/>
      <c r="F643" s="179" t="s">
        <v>3575</v>
      </c>
      <c r="G643" s="179" t="s">
        <v>3576</v>
      </c>
      <c r="H643" s="186">
        <v>200000</v>
      </c>
      <c r="I643" s="179" t="s">
        <v>2508</v>
      </c>
      <c r="J643" s="179" t="s">
        <v>1828</v>
      </c>
      <c r="K643" s="54" t="s">
        <v>82</v>
      </c>
      <c r="L643" s="179" t="s">
        <v>6064</v>
      </c>
      <c r="M643" s="179"/>
      <c r="N643" s="179"/>
      <c r="O643" s="52"/>
      <c r="P643" s="536" t="s">
        <v>1808</v>
      </c>
      <c r="Q643" s="179"/>
      <c r="R643" s="179"/>
      <c r="S643" s="179" t="s">
        <v>1824</v>
      </c>
      <c r="T643" s="54"/>
      <c r="U643" s="304"/>
    </row>
    <row r="644" spans="1:21" ht="25.5">
      <c r="A644" s="6">
        <v>2016</v>
      </c>
      <c r="B644" s="179" t="s">
        <v>3577</v>
      </c>
      <c r="C644" s="112" t="s">
        <v>61</v>
      </c>
      <c r="D644" s="34" t="s">
        <v>1500</v>
      </c>
      <c r="E644" s="34"/>
      <c r="F644" s="179" t="s">
        <v>3578</v>
      </c>
      <c r="G644" s="179" t="s">
        <v>650</v>
      </c>
      <c r="H644" s="186">
        <v>200000</v>
      </c>
      <c r="I644" s="179"/>
      <c r="J644" s="179" t="s">
        <v>2085</v>
      </c>
      <c r="K644" s="54" t="s">
        <v>82</v>
      </c>
      <c r="L644" s="179" t="s">
        <v>6064</v>
      </c>
      <c r="M644" s="179"/>
      <c r="N644" s="179"/>
      <c r="O644" s="52"/>
      <c r="P644" s="536" t="s">
        <v>1808</v>
      </c>
      <c r="Q644" s="179"/>
      <c r="R644" s="179"/>
      <c r="S644" s="179" t="s">
        <v>1824</v>
      </c>
      <c r="T644" s="54"/>
      <c r="U644" s="304"/>
    </row>
    <row r="645" spans="1:21" ht="25.5">
      <c r="A645" s="6">
        <v>2016</v>
      </c>
      <c r="B645" s="179" t="s">
        <v>3579</v>
      </c>
      <c r="C645" s="112" t="s">
        <v>61</v>
      </c>
      <c r="D645" s="34" t="s">
        <v>1500</v>
      </c>
      <c r="E645" s="34"/>
      <c r="F645" s="179" t="s">
        <v>3580</v>
      </c>
      <c r="G645" s="179" t="s">
        <v>581</v>
      </c>
      <c r="H645" s="186">
        <v>200000</v>
      </c>
      <c r="I645" s="179"/>
      <c r="J645" s="179" t="s">
        <v>1916</v>
      </c>
      <c r="K645" s="54" t="s">
        <v>82</v>
      </c>
      <c r="L645" s="179" t="s">
        <v>6064</v>
      </c>
      <c r="M645" s="179"/>
      <c r="N645" s="179"/>
      <c r="O645" s="52"/>
      <c r="P645" s="536" t="s">
        <v>1808</v>
      </c>
      <c r="Q645" s="179"/>
      <c r="R645" s="179"/>
      <c r="S645" s="179" t="s">
        <v>1824</v>
      </c>
      <c r="T645" s="54"/>
      <c r="U645" s="304"/>
    </row>
    <row r="646" spans="1:21" ht="25.5">
      <c r="A646" s="6">
        <v>2016</v>
      </c>
      <c r="B646" s="179" t="s">
        <v>3581</v>
      </c>
      <c r="C646" s="112" t="s">
        <v>61</v>
      </c>
      <c r="D646" s="34" t="s">
        <v>1500</v>
      </c>
      <c r="E646" s="34"/>
      <c r="F646" s="179" t="s">
        <v>3582</v>
      </c>
      <c r="G646" s="179" t="s">
        <v>1722</v>
      </c>
      <c r="H646" s="186">
        <v>200000</v>
      </c>
      <c r="I646" s="179"/>
      <c r="J646" s="179" t="s">
        <v>1919</v>
      </c>
      <c r="K646" s="54" t="s">
        <v>82</v>
      </c>
      <c r="L646" s="179" t="s">
        <v>6064</v>
      </c>
      <c r="M646" s="179"/>
      <c r="N646" s="179"/>
      <c r="O646" s="52"/>
      <c r="P646" s="536" t="s">
        <v>1808</v>
      </c>
      <c r="Q646" s="179"/>
      <c r="R646" s="179"/>
      <c r="S646" s="179" t="s">
        <v>1824</v>
      </c>
      <c r="T646" s="54"/>
      <c r="U646" s="304"/>
    </row>
    <row r="647" spans="1:21" ht="51">
      <c r="A647" s="6">
        <v>2016</v>
      </c>
      <c r="B647" s="179" t="s">
        <v>3583</v>
      </c>
      <c r="C647" s="112" t="s">
        <v>61</v>
      </c>
      <c r="D647" s="34" t="s">
        <v>1500</v>
      </c>
      <c r="E647" s="34"/>
      <c r="F647" s="179" t="s">
        <v>3584</v>
      </c>
      <c r="G647" s="179" t="s">
        <v>1502</v>
      </c>
      <c r="H647" s="186">
        <v>200000</v>
      </c>
      <c r="I647" s="179"/>
      <c r="J647" s="179" t="s">
        <v>2051</v>
      </c>
      <c r="K647" s="54" t="s">
        <v>82</v>
      </c>
      <c r="L647" s="179" t="s">
        <v>6064</v>
      </c>
      <c r="M647" s="179"/>
      <c r="N647" s="179"/>
      <c r="O647" s="52"/>
      <c r="P647" s="536" t="s">
        <v>1808</v>
      </c>
      <c r="Q647" s="179"/>
      <c r="R647" s="179"/>
      <c r="S647" s="179" t="s">
        <v>1824</v>
      </c>
      <c r="T647" s="54"/>
      <c r="U647" s="304"/>
    </row>
    <row r="648" spans="1:21" ht="12.75">
      <c r="A648" s="6">
        <v>2016</v>
      </c>
      <c r="B648" s="179" t="s">
        <v>3585</v>
      </c>
      <c r="C648" s="112" t="s">
        <v>61</v>
      </c>
      <c r="D648" s="34" t="s">
        <v>1500</v>
      </c>
      <c r="E648" s="34"/>
      <c r="F648" s="179" t="s">
        <v>3586</v>
      </c>
      <c r="G648" s="179" t="s">
        <v>3587</v>
      </c>
      <c r="H648" s="186">
        <v>200000</v>
      </c>
      <c r="I648" s="179"/>
      <c r="J648" s="190" t="s">
        <v>1828</v>
      </c>
      <c r="K648" s="54" t="s">
        <v>82</v>
      </c>
      <c r="L648" s="179" t="s">
        <v>6064</v>
      </c>
      <c r="M648" s="179"/>
      <c r="N648" s="179"/>
      <c r="O648" s="52"/>
      <c r="P648" s="536" t="s">
        <v>1808</v>
      </c>
      <c r="Q648" s="179"/>
      <c r="R648" s="179"/>
      <c r="S648" s="179" t="s">
        <v>1824</v>
      </c>
      <c r="T648" s="54"/>
      <c r="U648" s="304"/>
    </row>
    <row r="649" spans="1:21" ht="38.25">
      <c r="A649" s="6">
        <v>2016</v>
      </c>
      <c r="B649" s="179" t="s">
        <v>3588</v>
      </c>
      <c r="C649" s="112" t="s">
        <v>61</v>
      </c>
      <c r="D649" s="34" t="s">
        <v>1500</v>
      </c>
      <c r="E649" s="34"/>
      <c r="F649" s="179" t="s">
        <v>3589</v>
      </c>
      <c r="G649" s="179" t="s">
        <v>1491</v>
      </c>
      <c r="H649" s="186">
        <v>200000</v>
      </c>
      <c r="I649" s="179"/>
      <c r="J649" s="179" t="s">
        <v>2041</v>
      </c>
      <c r="K649" s="54" t="s">
        <v>82</v>
      </c>
      <c r="L649" s="179" t="s">
        <v>6064</v>
      </c>
      <c r="M649" s="179"/>
      <c r="N649" s="179"/>
      <c r="O649" s="52"/>
      <c r="P649" s="536" t="s">
        <v>1808</v>
      </c>
      <c r="Q649" s="179"/>
      <c r="R649" s="179"/>
      <c r="S649" s="179" t="s">
        <v>1824</v>
      </c>
      <c r="T649" s="54"/>
      <c r="U649" s="304"/>
    </row>
    <row r="650" spans="1:21" ht="38.25">
      <c r="A650" s="6">
        <v>2016</v>
      </c>
      <c r="B650" s="179" t="s">
        <v>3590</v>
      </c>
      <c r="C650" s="112" t="s">
        <v>61</v>
      </c>
      <c r="D650" s="34" t="s">
        <v>1500</v>
      </c>
      <c r="E650" s="34"/>
      <c r="F650" s="179" t="s">
        <v>3591</v>
      </c>
      <c r="G650" s="179" t="s">
        <v>3592</v>
      </c>
      <c r="H650" s="186">
        <v>200000</v>
      </c>
      <c r="I650" s="179" t="s">
        <v>2508</v>
      </c>
      <c r="J650" s="179" t="s">
        <v>1828</v>
      </c>
      <c r="K650" s="54" t="s">
        <v>82</v>
      </c>
      <c r="L650" s="179" t="s">
        <v>6064</v>
      </c>
      <c r="M650" s="179"/>
      <c r="N650" s="179"/>
      <c r="O650" s="52"/>
      <c r="P650" s="536" t="s">
        <v>1808</v>
      </c>
      <c r="Q650" s="179"/>
      <c r="R650" s="179"/>
      <c r="S650" s="179" t="s">
        <v>1824</v>
      </c>
      <c r="T650" s="54"/>
      <c r="U650" s="304"/>
    </row>
    <row r="651" spans="1:21" ht="63.75">
      <c r="A651" s="179"/>
      <c r="B651" s="179" t="s">
        <v>3593</v>
      </c>
      <c r="C651" s="179" t="s">
        <v>2328</v>
      </c>
      <c r="D651" s="302"/>
      <c r="E651" s="302"/>
      <c r="F651" s="179" t="s">
        <v>3594</v>
      </c>
      <c r="G651" s="179" t="s">
        <v>3595</v>
      </c>
      <c r="H651" s="785"/>
      <c r="I651" s="187" t="s">
        <v>3596</v>
      </c>
      <c r="J651" s="179" t="s">
        <v>1828</v>
      </c>
      <c r="K651" s="54"/>
      <c r="L651" s="179" t="s">
        <v>1867</v>
      </c>
      <c r="M651" s="786">
        <v>42458</v>
      </c>
      <c r="N651" s="180"/>
      <c r="O651" s="52"/>
      <c r="P651" s="179" t="s">
        <v>6179</v>
      </c>
      <c r="Q651" s="179"/>
      <c r="R651" s="179"/>
      <c r="S651" s="179"/>
      <c r="T651" s="54"/>
      <c r="U651" s="187"/>
    </row>
    <row r="652" spans="1:21" ht="51">
      <c r="A652" s="54"/>
      <c r="B652" s="179" t="s">
        <v>3597</v>
      </c>
      <c r="C652" s="179" t="s">
        <v>2328</v>
      </c>
      <c r="D652" s="54" t="s">
        <v>3538</v>
      </c>
      <c r="E652" s="54"/>
      <c r="F652" s="179" t="s">
        <v>3598</v>
      </c>
      <c r="G652" s="179" t="s">
        <v>3599</v>
      </c>
      <c r="H652" s="179"/>
      <c r="I652" s="187" t="s">
        <v>3600</v>
      </c>
      <c r="J652" s="179" t="s">
        <v>1828</v>
      </c>
      <c r="K652" s="54"/>
      <c r="L652" s="179" t="s">
        <v>1867</v>
      </c>
      <c r="M652" s="179"/>
      <c r="N652" s="179"/>
      <c r="O652" s="52"/>
      <c r="P652" s="179" t="s">
        <v>6179</v>
      </c>
      <c r="Q652" s="179"/>
      <c r="R652" s="179"/>
      <c r="S652" s="179"/>
      <c r="T652" s="54"/>
      <c r="U652" s="187"/>
    </row>
    <row r="653" spans="1:21" ht="76.5">
      <c r="A653" s="54"/>
      <c r="B653" s="179" t="s">
        <v>3601</v>
      </c>
      <c r="C653" s="179" t="s">
        <v>2328</v>
      </c>
      <c r="D653" s="54" t="s">
        <v>3538</v>
      </c>
      <c r="E653" s="54"/>
      <c r="F653" s="179" t="s">
        <v>3602</v>
      </c>
      <c r="G653" s="179" t="s">
        <v>3603</v>
      </c>
      <c r="H653" s="186">
        <v>81900</v>
      </c>
      <c r="I653" s="178" t="s">
        <v>3604</v>
      </c>
      <c r="J653" s="179" t="s">
        <v>1828</v>
      </c>
      <c r="K653" s="54"/>
      <c r="L653" s="179" t="s">
        <v>1867</v>
      </c>
      <c r="M653" s="179"/>
      <c r="N653" s="179"/>
      <c r="O653" s="52"/>
      <c r="P653" s="179" t="s">
        <v>6132</v>
      </c>
      <c r="Q653" s="179"/>
      <c r="R653" s="179"/>
      <c r="S653" s="179"/>
      <c r="T653" s="54"/>
      <c r="U653" s="178"/>
    </row>
    <row r="654" spans="1:21" ht="51">
      <c r="A654" s="54"/>
      <c r="B654" s="179" t="s">
        <v>3605</v>
      </c>
      <c r="C654" s="179" t="s">
        <v>2328</v>
      </c>
      <c r="D654" s="54" t="s">
        <v>3538</v>
      </c>
      <c r="E654" s="54"/>
      <c r="F654" s="179" t="s">
        <v>3606</v>
      </c>
      <c r="G654" s="179" t="s">
        <v>3607</v>
      </c>
      <c r="H654" s="186">
        <v>25000</v>
      </c>
      <c r="I654" s="187" t="s">
        <v>3608</v>
      </c>
      <c r="J654" s="179" t="s">
        <v>1828</v>
      </c>
      <c r="K654" s="54"/>
      <c r="L654" s="179" t="s">
        <v>1867</v>
      </c>
      <c r="M654" s="179"/>
      <c r="N654" s="179"/>
      <c r="O654" s="52"/>
      <c r="P654" s="179" t="s">
        <v>6132</v>
      </c>
      <c r="Q654" s="179"/>
      <c r="R654" s="179"/>
      <c r="S654" s="179"/>
      <c r="T654" s="54"/>
      <c r="U654" s="187"/>
    </row>
    <row r="655" spans="1:21" ht="63.75">
      <c r="A655" s="54"/>
      <c r="B655" s="179" t="s">
        <v>3609</v>
      </c>
      <c r="C655" s="187" t="s">
        <v>2328</v>
      </c>
      <c r="D655" s="54" t="s">
        <v>3109</v>
      </c>
      <c r="E655" s="54"/>
      <c r="F655" s="179" t="s">
        <v>3610</v>
      </c>
      <c r="G655" s="179" t="s">
        <v>3611</v>
      </c>
      <c r="H655" s="186">
        <v>78591</v>
      </c>
      <c r="I655" s="187" t="s">
        <v>3612</v>
      </c>
      <c r="J655" s="179" t="s">
        <v>1828</v>
      </c>
      <c r="K655" s="54"/>
      <c r="L655" s="179" t="s">
        <v>1867</v>
      </c>
      <c r="M655" s="179"/>
      <c r="N655" s="179"/>
      <c r="O655" s="52"/>
      <c r="P655" s="179" t="s">
        <v>6132</v>
      </c>
      <c r="Q655" s="179"/>
      <c r="R655" s="179"/>
      <c r="S655" s="179"/>
      <c r="T655" s="54"/>
      <c r="U655" s="187"/>
    </row>
    <row r="656" spans="1:21" ht="63.75">
      <c r="A656" s="54"/>
      <c r="B656" s="179" t="s">
        <v>3613</v>
      </c>
      <c r="C656" s="179" t="s">
        <v>2328</v>
      </c>
      <c r="D656" s="302"/>
      <c r="E656" s="302"/>
      <c r="F656" s="179" t="s">
        <v>3614</v>
      </c>
      <c r="G656" s="179" t="s">
        <v>3615</v>
      </c>
      <c r="H656" s="186">
        <v>82650</v>
      </c>
      <c r="I656" s="187" t="s">
        <v>3616</v>
      </c>
      <c r="J656" s="179" t="s">
        <v>2613</v>
      </c>
      <c r="K656" s="54"/>
      <c r="L656" s="179" t="s">
        <v>1867</v>
      </c>
      <c r="M656" s="786">
        <v>42458</v>
      </c>
      <c r="N656" s="180" t="s">
        <v>3989</v>
      </c>
      <c r="O656" s="52"/>
      <c r="P656" s="179" t="s">
        <v>6132</v>
      </c>
      <c r="Q656" s="179"/>
      <c r="R656" s="179"/>
      <c r="S656" s="179"/>
      <c r="T656" s="54"/>
      <c r="U656" s="187"/>
    </row>
    <row r="657" spans="1:21" ht="63.75">
      <c r="A657" s="54"/>
      <c r="B657" s="179" t="s">
        <v>3617</v>
      </c>
      <c r="C657" s="179" t="s">
        <v>2328</v>
      </c>
      <c r="D657" s="54" t="s">
        <v>3109</v>
      </c>
      <c r="E657" s="54"/>
      <c r="F657" s="179" t="s">
        <v>3618</v>
      </c>
      <c r="G657" s="179" t="s">
        <v>3619</v>
      </c>
      <c r="H657" s="194">
        <v>394193.22</v>
      </c>
      <c r="I657" s="187" t="s">
        <v>3620</v>
      </c>
      <c r="J657" s="179" t="s">
        <v>1828</v>
      </c>
      <c r="K657" s="54"/>
      <c r="L657" s="179" t="s">
        <v>1867</v>
      </c>
      <c r="M657" s="179"/>
      <c r="N657" s="179"/>
      <c r="O657" s="52"/>
      <c r="P657" s="179" t="s">
        <v>6132</v>
      </c>
      <c r="Q657" s="179"/>
      <c r="R657" s="179"/>
      <c r="S657" s="179"/>
      <c r="T657" s="54"/>
      <c r="U657" s="187"/>
    </row>
    <row r="658" spans="1:21" ht="63.75">
      <c r="A658" s="54"/>
      <c r="B658" s="179" t="s">
        <v>3621</v>
      </c>
      <c r="C658" s="179" t="s">
        <v>2328</v>
      </c>
      <c r="D658" s="54" t="s">
        <v>3109</v>
      </c>
      <c r="E658" s="54"/>
      <c r="F658" s="179" t="s">
        <v>3622</v>
      </c>
      <c r="G658" s="179" t="s">
        <v>3623</v>
      </c>
      <c r="H658" s="194">
        <v>28457.05</v>
      </c>
      <c r="I658" s="187" t="s">
        <v>3624</v>
      </c>
      <c r="J658" s="179" t="s">
        <v>1828</v>
      </c>
      <c r="K658" s="54"/>
      <c r="L658" s="179" t="s">
        <v>1867</v>
      </c>
      <c r="M658" s="179"/>
      <c r="N658" s="179"/>
      <c r="O658" s="52"/>
      <c r="P658" s="179" t="s">
        <v>6132</v>
      </c>
      <c r="Q658" s="179"/>
      <c r="R658" s="179"/>
      <c r="S658" s="179"/>
      <c r="T658" s="54"/>
      <c r="U658" s="187"/>
    </row>
    <row r="659" spans="1:21" ht="25.5">
      <c r="A659" s="6">
        <v>2016</v>
      </c>
      <c r="B659" s="179" t="s">
        <v>3625</v>
      </c>
      <c r="C659" s="112" t="s">
        <v>61</v>
      </c>
      <c r="D659" s="54" t="s">
        <v>1862</v>
      </c>
      <c r="E659" s="54"/>
      <c r="F659" s="179" t="s">
        <v>3627</v>
      </c>
      <c r="G659" s="179" t="s">
        <v>3628</v>
      </c>
      <c r="H659" s="186">
        <v>311000</v>
      </c>
      <c r="I659" s="179"/>
      <c r="J659" s="190"/>
      <c r="K659" s="54"/>
      <c r="L659" s="179" t="s">
        <v>6064</v>
      </c>
      <c r="M659" s="334">
        <v>42458</v>
      </c>
      <c r="N659" s="179"/>
      <c r="O659" s="52"/>
      <c r="P659" s="536" t="s">
        <v>1808</v>
      </c>
      <c r="Q659" s="179"/>
      <c r="R659" s="179"/>
      <c r="S659" s="179"/>
      <c r="T659" s="54"/>
      <c r="U659" s="179"/>
    </row>
    <row r="660" spans="1:21" ht="38.25">
      <c r="A660" s="6">
        <v>2016</v>
      </c>
      <c r="B660" s="179" t="s">
        <v>3629</v>
      </c>
      <c r="C660" s="112" t="s">
        <v>61</v>
      </c>
      <c r="D660" s="34" t="s">
        <v>1500</v>
      </c>
      <c r="E660" s="34"/>
      <c r="F660" s="179" t="s">
        <v>3630</v>
      </c>
      <c r="G660" s="179" t="s">
        <v>3631</v>
      </c>
      <c r="H660" s="186">
        <v>200000</v>
      </c>
      <c r="I660" s="179" t="s">
        <v>2508</v>
      </c>
      <c r="J660" s="179" t="s">
        <v>1828</v>
      </c>
      <c r="K660" s="54" t="s">
        <v>82</v>
      </c>
      <c r="L660" s="179" t="s">
        <v>6064</v>
      </c>
      <c r="M660" s="179"/>
      <c r="N660" s="179"/>
      <c r="O660" s="52"/>
      <c r="P660" s="536" t="s">
        <v>1808</v>
      </c>
      <c r="Q660" s="179"/>
      <c r="R660" s="179"/>
      <c r="S660" s="179" t="s">
        <v>1824</v>
      </c>
      <c r="T660" s="54"/>
      <c r="U660" s="304"/>
    </row>
    <row r="661" spans="1:21" ht="25.5">
      <c r="A661" s="6">
        <v>2016</v>
      </c>
      <c r="B661" s="179" t="s">
        <v>3632</v>
      </c>
      <c r="C661" s="112" t="s">
        <v>61</v>
      </c>
      <c r="D661" s="34" t="s">
        <v>1500</v>
      </c>
      <c r="E661" s="34"/>
      <c r="F661" s="178" t="s">
        <v>3633</v>
      </c>
      <c r="G661" s="179" t="s">
        <v>3634</v>
      </c>
      <c r="H661" s="186">
        <v>200000</v>
      </c>
      <c r="I661" s="179" t="s">
        <v>1938</v>
      </c>
      <c r="J661" s="179" t="s">
        <v>1828</v>
      </c>
      <c r="K661" s="54" t="s">
        <v>82</v>
      </c>
      <c r="L661" s="179" t="s">
        <v>6064</v>
      </c>
      <c r="M661" s="178"/>
      <c r="N661" s="178"/>
      <c r="O661" s="52"/>
      <c r="P661" s="536" t="s">
        <v>1808</v>
      </c>
      <c r="Q661" s="179"/>
      <c r="R661" s="179"/>
      <c r="S661" s="179" t="s">
        <v>1824</v>
      </c>
      <c r="T661" s="54"/>
      <c r="U661" s="304"/>
    </row>
    <row r="662" spans="1:21" ht="38.25">
      <c r="A662" s="6">
        <v>2016</v>
      </c>
      <c r="B662" s="179" t="s">
        <v>3635</v>
      </c>
      <c r="C662" s="112" t="s">
        <v>61</v>
      </c>
      <c r="D662" s="34" t="s">
        <v>1500</v>
      </c>
      <c r="E662" s="34"/>
      <c r="F662" s="179" t="s">
        <v>3636</v>
      </c>
      <c r="G662" s="179" t="s">
        <v>3637</v>
      </c>
      <c r="H662" s="186">
        <v>200000</v>
      </c>
      <c r="I662" s="179"/>
      <c r="J662" s="179" t="s">
        <v>1886</v>
      </c>
      <c r="K662" s="54" t="s">
        <v>82</v>
      </c>
      <c r="L662" s="179" t="s">
        <v>6064</v>
      </c>
      <c r="M662" s="179"/>
      <c r="N662" s="179"/>
      <c r="O662" s="52"/>
      <c r="P662" s="536" t="s">
        <v>1808</v>
      </c>
      <c r="Q662" s="179"/>
      <c r="R662" s="179"/>
      <c r="S662" s="179" t="s">
        <v>1824</v>
      </c>
      <c r="T662" s="54"/>
      <c r="U662" s="304"/>
    </row>
    <row r="663" spans="1:21" ht="25.5">
      <c r="A663" s="6">
        <v>2016</v>
      </c>
      <c r="B663" s="179" t="s">
        <v>3638</v>
      </c>
      <c r="C663" s="112" t="s">
        <v>61</v>
      </c>
      <c r="D663" s="34" t="s">
        <v>1500</v>
      </c>
      <c r="E663" s="34"/>
      <c r="F663" s="179" t="s">
        <v>3639</v>
      </c>
      <c r="G663" s="179" t="s">
        <v>3640</v>
      </c>
      <c r="H663" s="186">
        <v>200000</v>
      </c>
      <c r="I663" s="179"/>
      <c r="J663" s="179" t="s">
        <v>1886</v>
      </c>
      <c r="K663" s="54" t="s">
        <v>82</v>
      </c>
      <c r="L663" s="179" t="s">
        <v>6064</v>
      </c>
      <c r="M663" s="179"/>
      <c r="N663" s="179"/>
      <c r="O663" s="52"/>
      <c r="P663" s="536" t="s">
        <v>1808</v>
      </c>
      <c r="Q663" s="179"/>
      <c r="R663" s="179"/>
      <c r="S663" s="179" t="s">
        <v>1824</v>
      </c>
      <c r="T663" s="54"/>
      <c r="U663" s="304"/>
    </row>
    <row r="664" spans="1:21" ht="25.5">
      <c r="A664" s="6">
        <v>2016</v>
      </c>
      <c r="B664" s="179" t="s">
        <v>3641</v>
      </c>
      <c r="C664" s="112" t="s">
        <v>61</v>
      </c>
      <c r="D664" s="34" t="s">
        <v>1500</v>
      </c>
      <c r="E664" s="34"/>
      <c r="F664" s="179" t="s">
        <v>3582</v>
      </c>
      <c r="G664" s="179" t="s">
        <v>707</v>
      </c>
      <c r="H664" s="186">
        <v>200000</v>
      </c>
      <c r="I664" s="179"/>
      <c r="J664" s="179" t="s">
        <v>1896</v>
      </c>
      <c r="K664" s="54" t="s">
        <v>82</v>
      </c>
      <c r="L664" s="179" t="s">
        <v>6064</v>
      </c>
      <c r="M664" s="179"/>
      <c r="N664" s="179"/>
      <c r="O664" s="52"/>
      <c r="P664" s="536" t="s">
        <v>1808</v>
      </c>
      <c r="Q664" s="179"/>
      <c r="R664" s="179"/>
      <c r="S664" s="179" t="s">
        <v>1824</v>
      </c>
      <c r="T664" s="54"/>
      <c r="U664" s="304"/>
    </row>
    <row r="665" spans="1:21" ht="12.75">
      <c r="A665" s="6">
        <v>2016</v>
      </c>
      <c r="B665" s="179" t="s">
        <v>3642</v>
      </c>
      <c r="C665" s="112" t="s">
        <v>61</v>
      </c>
      <c r="D665" s="34" t="s">
        <v>1500</v>
      </c>
      <c r="E665" s="34"/>
      <c r="F665" s="179" t="s">
        <v>3643</v>
      </c>
      <c r="G665" s="179" t="s">
        <v>1451</v>
      </c>
      <c r="H665" s="186">
        <v>200000</v>
      </c>
      <c r="I665" s="179"/>
      <c r="J665" s="179" t="s">
        <v>2051</v>
      </c>
      <c r="K665" s="54" t="s">
        <v>82</v>
      </c>
      <c r="L665" s="179" t="s">
        <v>6064</v>
      </c>
      <c r="M665" s="179"/>
      <c r="N665" s="179"/>
      <c r="O665" s="52"/>
      <c r="P665" s="536" t="s">
        <v>1808</v>
      </c>
      <c r="Q665" s="179"/>
      <c r="R665" s="179"/>
      <c r="S665" s="179" t="s">
        <v>1824</v>
      </c>
      <c r="T665" s="54"/>
      <c r="U665" s="304"/>
    </row>
    <row r="666" spans="1:21" ht="25.5">
      <c r="A666" s="6">
        <v>2016</v>
      </c>
      <c r="B666" s="179" t="s">
        <v>3644</v>
      </c>
      <c r="C666" s="112" t="s">
        <v>61</v>
      </c>
      <c r="D666" s="34" t="s">
        <v>1500</v>
      </c>
      <c r="E666" s="34"/>
      <c r="F666" s="179" t="s">
        <v>3645</v>
      </c>
      <c r="G666" s="179" t="s">
        <v>3646</v>
      </c>
      <c r="H666" s="186">
        <v>200000</v>
      </c>
      <c r="I666" s="179"/>
      <c r="J666" s="179" t="s">
        <v>1855</v>
      </c>
      <c r="K666" s="54" t="s">
        <v>82</v>
      </c>
      <c r="L666" s="179" t="s">
        <v>6064</v>
      </c>
      <c r="M666" s="179"/>
      <c r="N666" s="179"/>
      <c r="O666" s="52"/>
      <c r="P666" s="536" t="s">
        <v>1808</v>
      </c>
      <c r="Q666" s="179"/>
      <c r="R666" s="179"/>
      <c r="S666" s="179" t="s">
        <v>1824</v>
      </c>
      <c r="T666" s="54"/>
      <c r="U666" s="304"/>
    </row>
    <row r="667" spans="1:21" ht="25.5">
      <c r="A667" s="6">
        <v>2016</v>
      </c>
      <c r="B667" s="179" t="s">
        <v>3647</v>
      </c>
      <c r="C667" s="112" t="s">
        <v>61</v>
      </c>
      <c r="D667" s="34" t="s">
        <v>1500</v>
      </c>
      <c r="E667" s="34"/>
      <c r="F667" s="179" t="s">
        <v>3648</v>
      </c>
      <c r="G667" s="179" t="s">
        <v>3649</v>
      </c>
      <c r="H667" s="186">
        <v>200000</v>
      </c>
      <c r="I667" s="179"/>
      <c r="J667" s="179" t="s">
        <v>2047</v>
      </c>
      <c r="K667" s="54" t="s">
        <v>82</v>
      </c>
      <c r="L667" s="179" t="s">
        <v>6064</v>
      </c>
      <c r="M667" s="179"/>
      <c r="N667" s="179"/>
      <c r="O667" s="52"/>
      <c r="P667" s="536" t="s">
        <v>1808</v>
      </c>
      <c r="Q667" s="179"/>
      <c r="R667" s="179"/>
      <c r="S667" s="179" t="s">
        <v>1824</v>
      </c>
      <c r="T667" s="54"/>
      <c r="U667" s="304"/>
    </row>
    <row r="668" spans="1:21" ht="38.25">
      <c r="A668" s="6">
        <v>2016</v>
      </c>
      <c r="B668" s="179" t="s">
        <v>3650</v>
      </c>
      <c r="C668" s="112" t="s">
        <v>61</v>
      </c>
      <c r="D668" s="34" t="s">
        <v>1500</v>
      </c>
      <c r="E668" s="34"/>
      <c r="F668" s="179" t="s">
        <v>3651</v>
      </c>
      <c r="G668" s="179" t="s">
        <v>1556</v>
      </c>
      <c r="H668" s="186">
        <v>1655000</v>
      </c>
      <c r="I668" s="179" t="s">
        <v>1938</v>
      </c>
      <c r="J668" s="179" t="s">
        <v>1828</v>
      </c>
      <c r="K668" s="54" t="s">
        <v>82</v>
      </c>
      <c r="L668" s="179" t="s">
        <v>6064</v>
      </c>
      <c r="M668" s="179"/>
      <c r="N668" s="179"/>
      <c r="O668" s="52"/>
      <c r="P668" s="536" t="s">
        <v>1808</v>
      </c>
      <c r="Q668" s="179"/>
      <c r="R668" s="179"/>
      <c r="S668" s="179" t="s">
        <v>1824</v>
      </c>
      <c r="T668" s="54"/>
      <c r="U668" s="304"/>
    </row>
    <row r="669" spans="1:21" ht="63.75">
      <c r="A669" s="6">
        <v>2016</v>
      </c>
      <c r="B669" s="179" t="s">
        <v>3652</v>
      </c>
      <c r="C669" s="112" t="s">
        <v>61</v>
      </c>
      <c r="D669" s="34" t="s">
        <v>1500</v>
      </c>
      <c r="E669" s="34"/>
      <c r="F669" s="179" t="s">
        <v>3653</v>
      </c>
      <c r="G669" s="179" t="s">
        <v>3654</v>
      </c>
      <c r="H669" s="186">
        <v>200000</v>
      </c>
      <c r="I669" s="187" t="s">
        <v>3655</v>
      </c>
      <c r="J669" s="179" t="s">
        <v>1828</v>
      </c>
      <c r="K669" s="54" t="s">
        <v>82</v>
      </c>
      <c r="L669" s="179" t="s">
        <v>6064</v>
      </c>
      <c r="M669" s="179"/>
      <c r="N669" s="179"/>
      <c r="O669" s="52"/>
      <c r="P669" s="536" t="s">
        <v>1808</v>
      </c>
      <c r="Q669" s="179"/>
      <c r="R669" s="179"/>
      <c r="S669" s="179" t="s">
        <v>1824</v>
      </c>
      <c r="T669" s="54"/>
      <c r="U669" s="787"/>
    </row>
    <row r="670" spans="1:21" ht="38.25">
      <c r="A670" s="6">
        <v>2016</v>
      </c>
      <c r="B670" s="179" t="s">
        <v>3656</v>
      </c>
      <c r="C670" s="112" t="s">
        <v>61</v>
      </c>
      <c r="D670" s="34" t="s">
        <v>1500</v>
      </c>
      <c r="E670" s="34"/>
      <c r="F670" s="179" t="s">
        <v>3657</v>
      </c>
      <c r="G670" s="179" t="s">
        <v>3658</v>
      </c>
      <c r="H670" s="186">
        <v>200000</v>
      </c>
      <c r="I670" s="187" t="s">
        <v>3659</v>
      </c>
      <c r="J670" s="179" t="s">
        <v>1828</v>
      </c>
      <c r="K670" s="54" t="s">
        <v>82</v>
      </c>
      <c r="L670" s="179" t="s">
        <v>6064</v>
      </c>
      <c r="M670" s="179"/>
      <c r="N670" s="179"/>
      <c r="O670" s="52"/>
      <c r="P670" s="536" t="s">
        <v>1808</v>
      </c>
      <c r="Q670" s="179"/>
      <c r="R670" s="179"/>
      <c r="S670" s="179" t="s">
        <v>1824</v>
      </c>
      <c r="T670" s="54"/>
      <c r="U670" s="787"/>
    </row>
    <row r="671" spans="1:21" ht="25.5">
      <c r="A671" s="6">
        <v>2016</v>
      </c>
      <c r="B671" s="179" t="s">
        <v>3660</v>
      </c>
      <c r="C671" s="112" t="s">
        <v>61</v>
      </c>
      <c r="D671" s="34" t="s">
        <v>1500</v>
      </c>
      <c r="E671" s="34"/>
      <c r="F671" s="179" t="s">
        <v>3661</v>
      </c>
      <c r="G671" s="179" t="s">
        <v>3662</v>
      </c>
      <c r="H671" s="186">
        <v>200000</v>
      </c>
      <c r="I671" s="187" t="s">
        <v>3663</v>
      </c>
      <c r="J671" s="179" t="s">
        <v>1879</v>
      </c>
      <c r="K671" s="54" t="s">
        <v>82</v>
      </c>
      <c r="L671" s="179" t="s">
        <v>6064</v>
      </c>
      <c r="M671" s="179"/>
      <c r="N671" s="179"/>
      <c r="O671" s="52"/>
      <c r="P671" s="536" t="s">
        <v>1808</v>
      </c>
      <c r="Q671" s="179"/>
      <c r="R671" s="179"/>
      <c r="S671" s="179" t="s">
        <v>1824</v>
      </c>
      <c r="T671" s="54"/>
      <c r="U671" s="787"/>
    </row>
    <row r="672" spans="1:21" ht="76.5">
      <c r="A672" s="6">
        <v>2016</v>
      </c>
      <c r="B672" s="179" t="s">
        <v>3664</v>
      </c>
      <c r="C672" s="112" t="s">
        <v>61</v>
      </c>
      <c r="D672" s="34" t="s">
        <v>1500</v>
      </c>
      <c r="E672" s="34"/>
      <c r="F672" s="179" t="s">
        <v>3665</v>
      </c>
      <c r="G672" s="179" t="s">
        <v>3666</v>
      </c>
      <c r="H672" s="186">
        <v>200000</v>
      </c>
      <c r="I672" s="187" t="s">
        <v>3667</v>
      </c>
      <c r="J672" s="179" t="s">
        <v>1899</v>
      </c>
      <c r="K672" s="54" t="s">
        <v>82</v>
      </c>
      <c r="L672" s="179" t="s">
        <v>6064</v>
      </c>
      <c r="M672" s="179"/>
      <c r="N672" s="179"/>
      <c r="O672" s="52"/>
      <c r="P672" s="536" t="s">
        <v>1808</v>
      </c>
      <c r="Q672" s="179"/>
      <c r="R672" s="179"/>
      <c r="S672" s="179" t="s">
        <v>1824</v>
      </c>
      <c r="T672" s="54"/>
      <c r="U672" s="787"/>
    </row>
    <row r="673" spans="1:21" ht="38.25">
      <c r="A673" s="6">
        <v>2016</v>
      </c>
      <c r="B673" s="179" t="s">
        <v>3668</v>
      </c>
      <c r="C673" s="112" t="s">
        <v>61</v>
      </c>
      <c r="D673" s="34" t="s">
        <v>1500</v>
      </c>
      <c r="E673" s="34"/>
      <c r="F673" s="179" t="s">
        <v>3669</v>
      </c>
      <c r="G673" s="179" t="s">
        <v>3670</v>
      </c>
      <c r="H673" s="186">
        <v>200000</v>
      </c>
      <c r="I673" s="187" t="s">
        <v>3671</v>
      </c>
      <c r="J673" s="179" t="s">
        <v>2659</v>
      </c>
      <c r="K673" s="54" t="s">
        <v>82</v>
      </c>
      <c r="L673" s="179" t="s">
        <v>6064</v>
      </c>
      <c r="M673" s="179"/>
      <c r="N673" s="179"/>
      <c r="O673" s="52"/>
      <c r="P673" s="536" t="s">
        <v>1808</v>
      </c>
      <c r="Q673" s="179"/>
      <c r="R673" s="179"/>
      <c r="S673" s="179" t="s">
        <v>1824</v>
      </c>
      <c r="T673" s="54"/>
      <c r="U673" s="787"/>
    </row>
    <row r="674" spans="1:21" ht="25.5">
      <c r="A674" s="6">
        <v>2016</v>
      </c>
      <c r="B674" s="179" t="s">
        <v>3672</v>
      </c>
      <c r="C674" s="112" t="s">
        <v>61</v>
      </c>
      <c r="D674" s="34" t="s">
        <v>1500</v>
      </c>
      <c r="E674" s="34"/>
      <c r="F674" s="179" t="s">
        <v>3673</v>
      </c>
      <c r="G674" s="179" t="s">
        <v>3674</v>
      </c>
      <c r="H674" s="186">
        <v>200000</v>
      </c>
      <c r="I674" s="187" t="s">
        <v>2793</v>
      </c>
      <c r="J674" s="179" t="s">
        <v>2130</v>
      </c>
      <c r="K674" s="54" t="s">
        <v>82</v>
      </c>
      <c r="L674" s="179" t="s">
        <v>6064</v>
      </c>
      <c r="M674" s="179"/>
      <c r="N674" s="179"/>
      <c r="O674" s="52"/>
      <c r="P674" s="536" t="s">
        <v>1808</v>
      </c>
      <c r="Q674" s="179"/>
      <c r="R674" s="179"/>
      <c r="S674" s="179" t="s">
        <v>1824</v>
      </c>
      <c r="T674" s="54"/>
      <c r="U674" s="787"/>
    </row>
    <row r="675" spans="1:21" ht="63.75">
      <c r="A675" s="6">
        <v>2016</v>
      </c>
      <c r="B675" s="179" t="s">
        <v>3675</v>
      </c>
      <c r="C675" s="112" t="s">
        <v>61</v>
      </c>
      <c r="D675" s="34" t="s">
        <v>1500</v>
      </c>
      <c r="E675" s="34"/>
      <c r="F675" s="179" t="s">
        <v>3676</v>
      </c>
      <c r="G675" s="179" t="s">
        <v>3677</v>
      </c>
      <c r="H675" s="186">
        <v>200000</v>
      </c>
      <c r="I675" s="187" t="s">
        <v>3678</v>
      </c>
      <c r="J675" s="179" t="s">
        <v>1828</v>
      </c>
      <c r="K675" s="54" t="s">
        <v>82</v>
      </c>
      <c r="L675" s="179" t="s">
        <v>6064</v>
      </c>
      <c r="M675" s="179"/>
      <c r="N675" s="179"/>
      <c r="O675" s="52"/>
      <c r="P675" s="536" t="s">
        <v>1808</v>
      </c>
      <c r="Q675" s="179"/>
      <c r="R675" s="179"/>
      <c r="S675" s="179" t="s">
        <v>1824</v>
      </c>
      <c r="T675" s="54"/>
      <c r="U675" s="787"/>
    </row>
    <row r="676" spans="1:21" ht="38.25">
      <c r="A676" s="6">
        <v>2016</v>
      </c>
      <c r="B676" s="179" t="s">
        <v>3679</v>
      </c>
      <c r="C676" s="112" t="s">
        <v>61</v>
      </c>
      <c r="D676" s="34" t="s">
        <v>1500</v>
      </c>
      <c r="E676" s="34"/>
      <c r="F676" s="179" t="s">
        <v>3680</v>
      </c>
      <c r="G676" s="179" t="s">
        <v>3681</v>
      </c>
      <c r="H676" s="186">
        <v>200000</v>
      </c>
      <c r="I676" s="187" t="s">
        <v>3682</v>
      </c>
      <c r="J676" s="179" t="s">
        <v>1828</v>
      </c>
      <c r="K676" s="54" t="s">
        <v>82</v>
      </c>
      <c r="L676" s="179" t="s">
        <v>6064</v>
      </c>
      <c r="M676" s="179"/>
      <c r="N676" s="179"/>
      <c r="O676" s="52"/>
      <c r="P676" s="536" t="s">
        <v>1808</v>
      </c>
      <c r="Q676" s="179"/>
      <c r="R676" s="179"/>
      <c r="S676" s="179" t="s">
        <v>1824</v>
      </c>
      <c r="T676" s="54"/>
      <c r="U676" s="787"/>
    </row>
    <row r="677" spans="1:21" ht="25.5">
      <c r="A677" s="6">
        <v>2016</v>
      </c>
      <c r="B677" s="179" t="s">
        <v>3683</v>
      </c>
      <c r="C677" s="112" t="s">
        <v>61</v>
      </c>
      <c r="D677" s="34" t="s">
        <v>1500</v>
      </c>
      <c r="E677" s="34"/>
      <c r="F677" s="179" t="s">
        <v>3684</v>
      </c>
      <c r="G677" s="179" t="s">
        <v>3685</v>
      </c>
      <c r="H677" s="186">
        <v>200000</v>
      </c>
      <c r="I677" s="187" t="s">
        <v>3686</v>
      </c>
      <c r="J677" s="179" t="s">
        <v>1886</v>
      </c>
      <c r="K677" s="54" t="s">
        <v>82</v>
      </c>
      <c r="L677" s="179" t="s">
        <v>6064</v>
      </c>
      <c r="M677" s="179"/>
      <c r="N677" s="179"/>
      <c r="O677" s="52"/>
      <c r="P677" s="536" t="s">
        <v>1808</v>
      </c>
      <c r="Q677" s="179"/>
      <c r="R677" s="179"/>
      <c r="S677" s="179" t="s">
        <v>1824</v>
      </c>
      <c r="T677" s="54"/>
      <c r="U677" s="787"/>
    </row>
    <row r="678" spans="1:21" ht="25.5">
      <c r="A678" s="6">
        <v>2016</v>
      </c>
      <c r="B678" s="179" t="s">
        <v>3687</v>
      </c>
      <c r="C678" s="112" t="s">
        <v>61</v>
      </c>
      <c r="D678" s="54" t="s">
        <v>3092</v>
      </c>
      <c r="E678" s="54"/>
      <c r="F678" s="179" t="s">
        <v>3688</v>
      </c>
      <c r="G678" s="179" t="s">
        <v>3689</v>
      </c>
      <c r="H678" s="186">
        <v>432150</v>
      </c>
      <c r="I678" s="179"/>
      <c r="J678" s="179" t="s">
        <v>7234</v>
      </c>
      <c r="K678" s="54" t="s">
        <v>1904</v>
      </c>
      <c r="L678" s="179" t="s">
        <v>6064</v>
      </c>
      <c r="M678" s="179"/>
      <c r="N678" s="179"/>
      <c r="O678" s="52"/>
      <c r="P678" s="536" t="s">
        <v>1808</v>
      </c>
      <c r="Q678" s="179"/>
      <c r="R678" s="179"/>
      <c r="S678" s="179" t="s">
        <v>1824</v>
      </c>
      <c r="T678" s="54"/>
      <c r="U678" s="179"/>
    </row>
    <row r="679" spans="1:21" ht="51">
      <c r="A679" s="6">
        <v>2016</v>
      </c>
      <c r="B679" s="179" t="s">
        <v>3691</v>
      </c>
      <c r="C679" s="112" t="s">
        <v>61</v>
      </c>
      <c r="D679" s="54" t="s">
        <v>3092</v>
      </c>
      <c r="E679" s="54"/>
      <c r="F679" s="179" t="s">
        <v>3692</v>
      </c>
      <c r="G679" s="179" t="s">
        <v>3693</v>
      </c>
      <c r="H679" s="186">
        <v>282080</v>
      </c>
      <c r="I679" s="187" t="s">
        <v>3694</v>
      </c>
      <c r="J679" s="179" t="s">
        <v>1855</v>
      </c>
      <c r="K679" s="54" t="s">
        <v>1904</v>
      </c>
      <c r="L679" s="179" t="s">
        <v>6064</v>
      </c>
      <c r="M679" s="179"/>
      <c r="N679" s="179"/>
      <c r="O679" s="52"/>
      <c r="P679" s="536" t="s">
        <v>1808</v>
      </c>
      <c r="Q679" s="179"/>
      <c r="R679" s="179"/>
      <c r="S679" s="179" t="s">
        <v>1824</v>
      </c>
      <c r="T679" s="54"/>
      <c r="U679" s="187"/>
    </row>
    <row r="680" spans="1:21" ht="25.5">
      <c r="A680" s="6">
        <v>2016</v>
      </c>
      <c r="B680" s="179" t="s">
        <v>3695</v>
      </c>
      <c r="C680" s="112" t="s">
        <v>61</v>
      </c>
      <c r="D680" s="54" t="s">
        <v>3092</v>
      </c>
      <c r="E680" s="54"/>
      <c r="F680" s="179" t="s">
        <v>3696</v>
      </c>
      <c r="G680" s="179" t="s">
        <v>581</v>
      </c>
      <c r="H680" s="186">
        <v>339700</v>
      </c>
      <c r="I680" s="179"/>
      <c r="J680" s="179" t="s">
        <v>1916</v>
      </c>
      <c r="K680" s="54" t="s">
        <v>1904</v>
      </c>
      <c r="L680" s="179" t="s">
        <v>6064</v>
      </c>
      <c r="M680" s="179"/>
      <c r="N680" s="179"/>
      <c r="O680" s="52"/>
      <c r="P680" s="536" t="s">
        <v>1808</v>
      </c>
      <c r="Q680" s="179"/>
      <c r="R680" s="179"/>
      <c r="S680" s="179" t="s">
        <v>1824</v>
      </c>
      <c r="T680" s="54"/>
      <c r="U680" s="179"/>
    </row>
    <row r="681" spans="1:21" ht="38.25">
      <c r="A681" s="6">
        <v>2016</v>
      </c>
      <c r="B681" s="179" t="s">
        <v>3697</v>
      </c>
      <c r="C681" s="112" t="s">
        <v>61</v>
      </c>
      <c r="D681" s="34" t="s">
        <v>62</v>
      </c>
      <c r="E681" s="34"/>
      <c r="F681" s="179" t="s">
        <v>3698</v>
      </c>
      <c r="G681" s="179" t="s">
        <v>3699</v>
      </c>
      <c r="H681" s="186">
        <v>1065240</v>
      </c>
      <c r="I681" s="187" t="s">
        <v>3700</v>
      </c>
      <c r="J681" s="179" t="s">
        <v>1886</v>
      </c>
      <c r="K681" s="54" t="s">
        <v>1904</v>
      </c>
      <c r="L681" s="179" t="s">
        <v>6064</v>
      </c>
      <c r="M681" s="179"/>
      <c r="N681" s="179"/>
      <c r="O681" s="52"/>
      <c r="P681" s="179" t="s">
        <v>6179</v>
      </c>
      <c r="Q681" s="179"/>
      <c r="R681" s="179"/>
      <c r="S681" s="179"/>
      <c r="T681" s="54"/>
      <c r="U681" s="787"/>
    </row>
    <row r="682" spans="1:21" ht="38.25">
      <c r="A682" s="6">
        <v>2016</v>
      </c>
      <c r="B682" s="179" t="s">
        <v>3701</v>
      </c>
      <c r="C682" s="112" t="s">
        <v>61</v>
      </c>
      <c r="D682" s="54" t="s">
        <v>5043</v>
      </c>
      <c r="E682" s="54"/>
      <c r="F682" s="179" t="s">
        <v>3702</v>
      </c>
      <c r="G682" s="179" t="s">
        <v>3703</v>
      </c>
      <c r="H682" s="186">
        <v>96000</v>
      </c>
      <c r="I682" s="187" t="s">
        <v>3704</v>
      </c>
      <c r="J682" s="179" t="s">
        <v>1828</v>
      </c>
      <c r="K682" s="54" t="s">
        <v>1874</v>
      </c>
      <c r="L682" s="179" t="s">
        <v>7245</v>
      </c>
      <c r="M682" s="179"/>
      <c r="N682" s="179"/>
      <c r="O682" s="52"/>
      <c r="P682" s="179" t="s">
        <v>6132</v>
      </c>
      <c r="Q682" s="179"/>
      <c r="R682" s="179"/>
      <c r="S682" s="179"/>
      <c r="T682" s="54"/>
      <c r="U682" s="187"/>
    </row>
    <row r="683" spans="1:21" ht="51">
      <c r="A683" s="6">
        <v>2016</v>
      </c>
      <c r="B683" s="179" t="s">
        <v>3706</v>
      </c>
      <c r="C683" s="112" t="s">
        <v>61</v>
      </c>
      <c r="D683" s="54" t="s">
        <v>652</v>
      </c>
      <c r="E683" s="54"/>
      <c r="F683" s="179" t="s">
        <v>3707</v>
      </c>
      <c r="G683" s="179" t="s">
        <v>3708</v>
      </c>
      <c r="H683" s="194">
        <v>62473.45</v>
      </c>
      <c r="I683" s="187" t="s">
        <v>3709</v>
      </c>
      <c r="J683" s="179" t="s">
        <v>1886</v>
      </c>
      <c r="K683" s="54" t="s">
        <v>1874</v>
      </c>
      <c r="L683" s="179" t="s">
        <v>6724</v>
      </c>
      <c r="M683" s="179"/>
      <c r="N683" s="179"/>
      <c r="O683" s="52"/>
      <c r="P683" s="179" t="s">
        <v>6132</v>
      </c>
      <c r="Q683" s="179"/>
      <c r="R683" s="179"/>
      <c r="S683" s="179"/>
      <c r="T683" s="54"/>
      <c r="U683" s="187"/>
    </row>
    <row r="684" spans="1:21" ht="76.5">
      <c r="A684" s="6">
        <v>2016</v>
      </c>
      <c r="B684" s="179" t="s">
        <v>3710</v>
      </c>
      <c r="C684" s="112" t="s">
        <v>61</v>
      </c>
      <c r="D684" s="54" t="s">
        <v>652</v>
      </c>
      <c r="E684" s="54"/>
      <c r="F684" s="179" t="s">
        <v>3711</v>
      </c>
      <c r="G684" s="179" t="s">
        <v>3712</v>
      </c>
      <c r="H684" s="186">
        <v>100000</v>
      </c>
      <c r="I684" s="187" t="s">
        <v>3713</v>
      </c>
      <c r="J684" s="179" t="s">
        <v>1828</v>
      </c>
      <c r="K684" s="54" t="s">
        <v>1874</v>
      </c>
      <c r="L684" s="179" t="s">
        <v>6104</v>
      </c>
      <c r="M684" s="179"/>
      <c r="N684" s="179"/>
      <c r="O684" s="52"/>
      <c r="P684" s="179" t="s">
        <v>6132</v>
      </c>
      <c r="Q684" s="179"/>
      <c r="R684" s="179"/>
      <c r="S684" s="179"/>
      <c r="T684" s="54"/>
      <c r="U684" s="187"/>
    </row>
    <row r="685" spans="1:21" ht="25.5">
      <c r="A685" s="6">
        <v>2016</v>
      </c>
      <c r="B685" s="179" t="s">
        <v>3714</v>
      </c>
      <c r="C685" s="112" t="s">
        <v>61</v>
      </c>
      <c r="D685" s="54" t="s">
        <v>68</v>
      </c>
      <c r="E685" s="54"/>
      <c r="F685" s="179" t="s">
        <v>3715</v>
      </c>
      <c r="G685" s="179" t="s">
        <v>3716</v>
      </c>
      <c r="H685" s="186">
        <v>99600</v>
      </c>
      <c r="I685" s="187" t="s">
        <v>3717</v>
      </c>
      <c r="J685" s="179" t="s">
        <v>2031</v>
      </c>
      <c r="K685" s="54" t="s">
        <v>1874</v>
      </c>
      <c r="L685" s="179" t="s">
        <v>6104</v>
      </c>
      <c r="M685" s="179"/>
      <c r="N685" s="179"/>
      <c r="O685" s="52"/>
      <c r="P685" s="179" t="s">
        <v>6132</v>
      </c>
      <c r="Q685" s="179"/>
      <c r="R685" s="179"/>
      <c r="S685" s="179"/>
      <c r="T685" s="54"/>
      <c r="U685" s="187"/>
    </row>
    <row r="686" spans="1:21" ht="38.25">
      <c r="A686" s="6">
        <v>2016</v>
      </c>
      <c r="B686" s="179" t="s">
        <v>3718</v>
      </c>
      <c r="C686" s="112" t="s">
        <v>61</v>
      </c>
      <c r="D686" s="54" t="s">
        <v>3719</v>
      </c>
      <c r="E686" s="54"/>
      <c r="F686" s="179" t="s">
        <v>3720</v>
      </c>
      <c r="G686" s="179" t="s">
        <v>1556</v>
      </c>
      <c r="H686" s="186">
        <v>300000</v>
      </c>
      <c r="I686" s="187" t="s">
        <v>3682</v>
      </c>
      <c r="J686" s="179" t="s">
        <v>1828</v>
      </c>
      <c r="K686" s="54"/>
      <c r="L686" s="179" t="s">
        <v>6064</v>
      </c>
      <c r="M686" s="179"/>
      <c r="N686" s="179"/>
      <c r="O686" s="52"/>
      <c r="P686" s="536" t="s">
        <v>1808</v>
      </c>
      <c r="Q686" s="179"/>
      <c r="R686" s="179"/>
      <c r="S686" s="179" t="s">
        <v>1824</v>
      </c>
      <c r="T686" s="54"/>
      <c r="U686" s="187"/>
    </row>
    <row r="687" spans="1:21" ht="63.75">
      <c r="A687" s="54"/>
      <c r="B687" s="179" t="s">
        <v>3721</v>
      </c>
      <c r="C687" s="179" t="s">
        <v>2328</v>
      </c>
      <c r="D687" s="54" t="s">
        <v>3109</v>
      </c>
      <c r="E687" s="54"/>
      <c r="F687" s="179" t="s">
        <v>3722</v>
      </c>
      <c r="G687" s="179" t="s">
        <v>3723</v>
      </c>
      <c r="H687" s="186">
        <v>30000</v>
      </c>
      <c r="I687" s="187" t="s">
        <v>3724</v>
      </c>
      <c r="J687" s="179" t="s">
        <v>1828</v>
      </c>
      <c r="K687" s="54"/>
      <c r="L687" s="179" t="s">
        <v>7245</v>
      </c>
      <c r="M687" s="179"/>
      <c r="N687" s="179"/>
      <c r="O687" s="52"/>
      <c r="P687" s="179" t="s">
        <v>6132</v>
      </c>
      <c r="Q687" s="179"/>
      <c r="R687" s="179"/>
      <c r="S687" s="179"/>
      <c r="T687" s="54"/>
      <c r="U687" s="187"/>
    </row>
    <row r="688" spans="1:21" ht="63.75">
      <c r="A688" s="54"/>
      <c r="B688" s="179" t="s">
        <v>3725</v>
      </c>
      <c r="C688" s="179" t="s">
        <v>2328</v>
      </c>
      <c r="D688" s="54" t="s">
        <v>3109</v>
      </c>
      <c r="E688" s="54"/>
      <c r="F688" s="179" t="s">
        <v>3726</v>
      </c>
      <c r="G688" s="179" t="s">
        <v>3727</v>
      </c>
      <c r="H688" s="186">
        <v>100000</v>
      </c>
      <c r="I688" s="187" t="s">
        <v>3728</v>
      </c>
      <c r="J688" s="179" t="s">
        <v>2611</v>
      </c>
      <c r="K688" s="54"/>
      <c r="L688" s="179" t="s">
        <v>6941</v>
      </c>
      <c r="M688" s="179"/>
      <c r="N688" s="179"/>
      <c r="O688" s="52"/>
      <c r="P688" s="179" t="s">
        <v>6132</v>
      </c>
      <c r="Q688" s="179"/>
      <c r="R688" s="179"/>
      <c r="S688" s="179"/>
      <c r="T688" s="54"/>
      <c r="U688" s="187"/>
    </row>
    <row r="689" spans="1:21" ht="38.25">
      <c r="A689" s="6">
        <v>2016</v>
      </c>
      <c r="B689" s="179" t="s">
        <v>3729</v>
      </c>
      <c r="C689" s="112" t="s">
        <v>61</v>
      </c>
      <c r="D689" s="54" t="s">
        <v>3335</v>
      </c>
      <c r="E689" s="54"/>
      <c r="F689" s="179" t="s">
        <v>3730</v>
      </c>
      <c r="G689" s="179" t="s">
        <v>1556</v>
      </c>
      <c r="H689" s="186">
        <v>1412800</v>
      </c>
      <c r="I689" s="187" t="s">
        <v>3682</v>
      </c>
      <c r="J689" s="179" t="s">
        <v>1828</v>
      </c>
      <c r="K689" s="54" t="s">
        <v>82</v>
      </c>
      <c r="L689" s="179" t="s">
        <v>6064</v>
      </c>
      <c r="M689" s="179"/>
      <c r="N689" s="179"/>
      <c r="O689" s="52"/>
      <c r="P689" s="536" t="s">
        <v>1808</v>
      </c>
      <c r="Q689" s="179"/>
      <c r="R689" s="179"/>
      <c r="S689" s="179" t="s">
        <v>1824</v>
      </c>
      <c r="T689" s="54"/>
      <c r="U689" s="187"/>
    </row>
    <row r="690" spans="1:21" ht="12.75">
      <c r="A690" s="6">
        <v>2016</v>
      </c>
      <c r="B690" s="179" t="s">
        <v>3731</v>
      </c>
      <c r="C690" s="112" t="s">
        <v>61</v>
      </c>
      <c r="D690" s="34" t="s">
        <v>1500</v>
      </c>
      <c r="E690" s="34"/>
      <c r="F690" s="179" t="s">
        <v>3732</v>
      </c>
      <c r="G690" s="179" t="s">
        <v>3733</v>
      </c>
      <c r="H690" s="186">
        <v>200000</v>
      </c>
      <c r="I690" s="179"/>
      <c r="J690" s="179" t="s">
        <v>6809</v>
      </c>
      <c r="K690" s="54" t="s">
        <v>82</v>
      </c>
      <c r="L690" s="179" t="s">
        <v>6064</v>
      </c>
      <c r="M690" s="179"/>
      <c r="N690" s="179"/>
      <c r="O690" s="52"/>
      <c r="P690" s="536" t="s">
        <v>1808</v>
      </c>
      <c r="Q690" s="179"/>
      <c r="R690" s="179"/>
      <c r="S690" s="179" t="s">
        <v>1824</v>
      </c>
      <c r="T690" s="54"/>
      <c r="U690" s="304"/>
    </row>
    <row r="691" spans="1:21" ht="25.5">
      <c r="A691" s="6">
        <v>2016</v>
      </c>
      <c r="B691" s="179" t="s">
        <v>3734</v>
      </c>
      <c r="C691" s="112" t="s">
        <v>61</v>
      </c>
      <c r="D691" s="54" t="s">
        <v>3092</v>
      </c>
      <c r="E691" s="54"/>
      <c r="F691" s="179" t="s">
        <v>3735</v>
      </c>
      <c r="G691" s="179" t="s">
        <v>3333</v>
      </c>
      <c r="H691" s="186">
        <v>432150</v>
      </c>
      <c r="I691" s="179"/>
      <c r="J691" s="179" t="s">
        <v>1828</v>
      </c>
      <c r="K691" s="54" t="s">
        <v>1904</v>
      </c>
      <c r="L691" s="179" t="s">
        <v>6064</v>
      </c>
      <c r="M691" s="179"/>
      <c r="N691" s="179"/>
      <c r="O691" s="52"/>
      <c r="P691" s="536" t="s">
        <v>1808</v>
      </c>
      <c r="Q691" s="179"/>
      <c r="R691" s="179"/>
      <c r="S691" s="179" t="s">
        <v>1824</v>
      </c>
      <c r="T691" s="54"/>
      <c r="U691" s="179"/>
    </row>
    <row r="692" spans="1:21" ht="38.25">
      <c r="A692" s="6">
        <v>2016</v>
      </c>
      <c r="B692" s="179" t="s">
        <v>3736</v>
      </c>
      <c r="C692" s="112" t="s">
        <v>61</v>
      </c>
      <c r="D692" s="54" t="s">
        <v>68</v>
      </c>
      <c r="E692" s="54"/>
      <c r="F692" s="179" t="s">
        <v>3737</v>
      </c>
      <c r="G692" s="179" t="s">
        <v>3738</v>
      </c>
      <c r="H692" s="186">
        <v>726800</v>
      </c>
      <c r="I692" s="187" t="s">
        <v>3739</v>
      </c>
      <c r="J692" s="179" t="s">
        <v>1886</v>
      </c>
      <c r="K692" s="54" t="s">
        <v>1874</v>
      </c>
      <c r="L692" s="179" t="s">
        <v>6941</v>
      </c>
      <c r="M692" s="179"/>
      <c r="N692" s="179"/>
      <c r="O692" s="52"/>
      <c r="P692" s="179" t="s">
        <v>6132</v>
      </c>
      <c r="Q692" s="179"/>
      <c r="R692" s="179"/>
      <c r="S692" s="179"/>
      <c r="T692" s="54"/>
      <c r="U692" s="187"/>
    </row>
    <row r="693" spans="1:21" ht="38.25">
      <c r="A693" s="6">
        <v>2016</v>
      </c>
      <c r="B693" s="179" t="s">
        <v>3740</v>
      </c>
      <c r="C693" s="112" t="s">
        <v>61</v>
      </c>
      <c r="D693" s="54" t="s">
        <v>3168</v>
      </c>
      <c r="E693" s="54"/>
      <c r="F693" s="179" t="s">
        <v>3741</v>
      </c>
      <c r="G693" s="179" t="s">
        <v>1556</v>
      </c>
      <c r="H693" s="186">
        <v>394000</v>
      </c>
      <c r="I693" s="187" t="s">
        <v>3682</v>
      </c>
      <c r="J693" s="179" t="s">
        <v>1828</v>
      </c>
      <c r="K693" s="54"/>
      <c r="L693" s="179" t="s">
        <v>6064</v>
      </c>
      <c r="M693" s="179"/>
      <c r="N693" s="179"/>
      <c r="O693" s="52"/>
      <c r="P693" s="536" t="s">
        <v>1808</v>
      </c>
      <c r="Q693" s="179"/>
      <c r="R693" s="179"/>
      <c r="S693" s="179" t="s">
        <v>1824</v>
      </c>
      <c r="T693" s="54"/>
      <c r="U693" s="187"/>
    </row>
    <row r="694" spans="1:21" ht="38.25">
      <c r="A694" s="6">
        <v>2016</v>
      </c>
      <c r="B694" s="179" t="s">
        <v>3742</v>
      </c>
      <c r="C694" s="112" t="s">
        <v>1926</v>
      </c>
      <c r="D694" s="34" t="s">
        <v>62</v>
      </c>
      <c r="E694" s="34"/>
      <c r="F694" s="179" t="s">
        <v>3744</v>
      </c>
      <c r="G694" s="179" t="s">
        <v>3745</v>
      </c>
      <c r="H694" s="179"/>
      <c r="I694" s="187" t="s">
        <v>3746</v>
      </c>
      <c r="J694" s="179" t="s">
        <v>1886</v>
      </c>
      <c r="K694" s="54" t="s">
        <v>1904</v>
      </c>
      <c r="L694" s="179" t="s">
        <v>6955</v>
      </c>
      <c r="M694" s="334">
        <v>42572</v>
      </c>
      <c r="N694" s="179"/>
      <c r="O694" s="52"/>
      <c r="P694" s="179" t="s">
        <v>6132</v>
      </c>
      <c r="Q694" s="179"/>
      <c r="R694" s="179"/>
      <c r="S694" s="179"/>
      <c r="T694" s="54"/>
      <c r="U694" s="787"/>
    </row>
    <row r="695" spans="1:21" ht="38.25">
      <c r="A695" s="6">
        <v>2016</v>
      </c>
      <c r="B695" s="179" t="s">
        <v>3747</v>
      </c>
      <c r="C695" s="112" t="s">
        <v>61</v>
      </c>
      <c r="D695" s="6" t="s">
        <v>12013</v>
      </c>
      <c r="E695" s="6"/>
      <c r="F695" s="179" t="s">
        <v>3748</v>
      </c>
      <c r="G695" s="179" t="s">
        <v>1556</v>
      </c>
      <c r="H695" s="186">
        <v>1200000</v>
      </c>
      <c r="I695" s="187" t="s">
        <v>3682</v>
      </c>
      <c r="J695" s="179" t="s">
        <v>1828</v>
      </c>
      <c r="K695" s="54"/>
      <c r="L695" s="179" t="s">
        <v>6064</v>
      </c>
      <c r="M695" s="179"/>
      <c r="N695" s="179"/>
      <c r="O695" s="52"/>
      <c r="P695" s="536" t="s">
        <v>1808</v>
      </c>
      <c r="Q695" s="179"/>
      <c r="R695" s="179"/>
      <c r="S695" s="179" t="s">
        <v>1824</v>
      </c>
      <c r="T695" s="54"/>
      <c r="U695" s="187"/>
    </row>
    <row r="696" spans="1:21" ht="38.25">
      <c r="A696" s="6">
        <v>2016</v>
      </c>
      <c r="B696" s="179" t="s">
        <v>3749</v>
      </c>
      <c r="C696" s="112" t="s">
        <v>61</v>
      </c>
      <c r="D696" s="34" t="s">
        <v>62</v>
      </c>
      <c r="E696" s="34"/>
      <c r="F696" s="179" t="s">
        <v>3750</v>
      </c>
      <c r="G696" s="179" t="s">
        <v>3751</v>
      </c>
      <c r="H696" s="186">
        <v>1986200</v>
      </c>
      <c r="I696" s="187" t="s">
        <v>3752</v>
      </c>
      <c r="J696" s="179" t="s">
        <v>1828</v>
      </c>
      <c r="K696" s="54" t="s">
        <v>1904</v>
      </c>
      <c r="L696" s="179" t="s">
        <v>7274</v>
      </c>
      <c r="M696" s="179"/>
      <c r="N696" s="179"/>
      <c r="O696" s="52"/>
      <c r="P696" s="179" t="s">
        <v>6179</v>
      </c>
      <c r="Q696" s="179"/>
      <c r="R696" s="179"/>
      <c r="S696" s="179"/>
      <c r="T696" s="54"/>
      <c r="U696" s="787"/>
    </row>
    <row r="697" spans="1:21" ht="76.5">
      <c r="A697" s="6">
        <v>2016</v>
      </c>
      <c r="B697" s="179" t="s">
        <v>3753</v>
      </c>
      <c r="C697" s="112" t="s">
        <v>61</v>
      </c>
      <c r="D697" s="34" t="s">
        <v>62</v>
      </c>
      <c r="E697" s="34"/>
      <c r="F697" s="179" t="s">
        <v>3754</v>
      </c>
      <c r="G697" s="179" t="s">
        <v>12022</v>
      </c>
      <c r="H697" s="186">
        <v>1923000</v>
      </c>
      <c r="I697" s="788" t="s">
        <v>3756</v>
      </c>
      <c r="J697" s="179" t="s">
        <v>1828</v>
      </c>
      <c r="K697" s="54" t="s">
        <v>1904</v>
      </c>
      <c r="L697" s="179" t="s">
        <v>7274</v>
      </c>
      <c r="M697" s="179"/>
      <c r="N697" s="179"/>
      <c r="O697" s="52"/>
      <c r="P697" s="179" t="s">
        <v>6179</v>
      </c>
      <c r="Q697" s="179"/>
      <c r="R697" s="179"/>
      <c r="S697" s="179"/>
      <c r="T697" s="54"/>
      <c r="U697" s="613"/>
    </row>
    <row r="698" spans="1:21" ht="25.5">
      <c r="A698" s="6">
        <v>2016</v>
      </c>
      <c r="B698" s="179" t="s">
        <v>3757</v>
      </c>
      <c r="C698" s="112" t="s">
        <v>61</v>
      </c>
      <c r="D698" s="54" t="s">
        <v>1383</v>
      </c>
      <c r="E698" s="54"/>
      <c r="F698" s="179" t="s">
        <v>3758</v>
      </c>
      <c r="G698" s="179" t="s">
        <v>3449</v>
      </c>
      <c r="H698" s="186">
        <v>121500</v>
      </c>
      <c r="I698" s="187"/>
      <c r="J698" s="190" t="s">
        <v>1828</v>
      </c>
      <c r="K698" s="54" t="s">
        <v>82</v>
      </c>
      <c r="L698" s="179" t="s">
        <v>6064</v>
      </c>
      <c r="M698" s="179"/>
      <c r="N698" s="179"/>
      <c r="O698" s="52"/>
      <c r="P698" s="536" t="s">
        <v>1808</v>
      </c>
      <c r="Q698" s="179"/>
      <c r="R698" s="179"/>
      <c r="S698" s="179"/>
      <c r="T698" s="54"/>
      <c r="U698" s="187"/>
    </row>
    <row r="699" spans="1:21" ht="38.25">
      <c r="A699" s="6">
        <v>2016</v>
      </c>
      <c r="B699" s="179" t="s">
        <v>3759</v>
      </c>
      <c r="C699" s="112" t="s">
        <v>61</v>
      </c>
      <c r="D699" s="6" t="s">
        <v>12013</v>
      </c>
      <c r="E699" s="6"/>
      <c r="F699" s="179" t="s">
        <v>3760</v>
      </c>
      <c r="G699" s="179" t="s">
        <v>1556</v>
      </c>
      <c r="H699" s="186">
        <v>3000000</v>
      </c>
      <c r="I699" s="187" t="s">
        <v>3682</v>
      </c>
      <c r="J699" s="179" t="s">
        <v>1828</v>
      </c>
      <c r="K699" s="54"/>
      <c r="L699" s="179" t="s">
        <v>6064</v>
      </c>
      <c r="M699" s="179"/>
      <c r="N699" s="179"/>
      <c r="O699" s="52"/>
      <c r="P699" s="536" t="s">
        <v>1808</v>
      </c>
      <c r="Q699" s="179"/>
      <c r="R699" s="179"/>
      <c r="S699" s="179" t="s">
        <v>1824</v>
      </c>
      <c r="T699" s="54"/>
      <c r="U699" s="187"/>
    </row>
    <row r="700" spans="1:21" ht="38.25">
      <c r="A700" s="6">
        <v>2016</v>
      </c>
      <c r="B700" s="179" t="s">
        <v>3761</v>
      </c>
      <c r="C700" s="112" t="s">
        <v>61</v>
      </c>
      <c r="D700" s="34" t="s">
        <v>62</v>
      </c>
      <c r="E700" s="34"/>
      <c r="F700" s="179" t="s">
        <v>3433</v>
      </c>
      <c r="G700" s="179" t="s">
        <v>3762</v>
      </c>
      <c r="H700" s="186">
        <v>793460</v>
      </c>
      <c r="I700" s="179"/>
      <c r="J700" s="190" t="s">
        <v>1896</v>
      </c>
      <c r="K700" s="54" t="s">
        <v>1904</v>
      </c>
      <c r="L700" s="179" t="s">
        <v>6064</v>
      </c>
      <c r="M700" s="179"/>
      <c r="N700" s="179"/>
      <c r="O700" s="52"/>
      <c r="P700" s="179" t="s">
        <v>6132</v>
      </c>
      <c r="Q700" s="179"/>
      <c r="R700" s="179"/>
      <c r="S700" s="179"/>
      <c r="T700" s="54"/>
      <c r="U700" s="304"/>
    </row>
    <row r="701" spans="1:21" ht="25.5">
      <c r="A701" s="6">
        <v>2016</v>
      </c>
      <c r="B701" s="179" t="s">
        <v>3764</v>
      </c>
      <c r="C701" s="112" t="s">
        <v>61</v>
      </c>
      <c r="D701" s="54" t="s">
        <v>1730</v>
      </c>
      <c r="E701" s="54"/>
      <c r="F701" s="179" t="s">
        <v>3765</v>
      </c>
      <c r="G701" s="179" t="s">
        <v>3631</v>
      </c>
      <c r="H701" s="186">
        <v>165000</v>
      </c>
      <c r="I701" s="179" t="s">
        <v>2508</v>
      </c>
      <c r="J701" s="179" t="s">
        <v>1828</v>
      </c>
      <c r="K701" s="54" t="s">
        <v>82</v>
      </c>
      <c r="L701" s="179" t="s">
        <v>7286</v>
      </c>
      <c r="M701" s="179"/>
      <c r="N701" s="179"/>
      <c r="O701" s="52"/>
      <c r="P701" s="536" t="s">
        <v>1808</v>
      </c>
      <c r="Q701" s="179"/>
      <c r="R701" s="179"/>
      <c r="S701" s="179" t="s">
        <v>1824</v>
      </c>
      <c r="T701" s="54"/>
      <c r="U701" s="179"/>
    </row>
    <row r="702" spans="1:21" ht="38.25">
      <c r="A702" s="6">
        <v>2016</v>
      </c>
      <c r="B702" s="179" t="s">
        <v>3766</v>
      </c>
      <c r="C702" s="112" t="s">
        <v>61</v>
      </c>
      <c r="D702" s="54" t="s">
        <v>3168</v>
      </c>
      <c r="E702" s="54"/>
      <c r="F702" s="179" t="s">
        <v>3767</v>
      </c>
      <c r="G702" s="179" t="s">
        <v>3064</v>
      </c>
      <c r="H702" s="186">
        <v>200000</v>
      </c>
      <c r="I702" s="187" t="s">
        <v>3768</v>
      </c>
      <c r="J702" s="179" t="s">
        <v>2611</v>
      </c>
      <c r="K702" s="54"/>
      <c r="L702" s="179" t="s">
        <v>6410</v>
      </c>
      <c r="M702" s="179"/>
      <c r="N702" s="179"/>
      <c r="O702" s="52"/>
      <c r="P702" s="536" t="s">
        <v>1808</v>
      </c>
      <c r="Q702" s="179"/>
      <c r="R702" s="179"/>
      <c r="S702" s="179" t="s">
        <v>1824</v>
      </c>
      <c r="T702" s="54"/>
      <c r="U702" s="187"/>
    </row>
    <row r="703" spans="1:21" ht="51">
      <c r="A703" s="54"/>
      <c r="B703" s="179" t="s">
        <v>3769</v>
      </c>
      <c r="C703" s="179" t="s">
        <v>2328</v>
      </c>
      <c r="D703" s="54" t="s">
        <v>3538</v>
      </c>
      <c r="E703" s="54"/>
      <c r="F703" s="179" t="s">
        <v>3770</v>
      </c>
      <c r="G703" s="179" t="s">
        <v>3771</v>
      </c>
      <c r="H703" s="186">
        <v>78200</v>
      </c>
      <c r="I703" s="187" t="s">
        <v>3772</v>
      </c>
      <c r="J703" s="179" t="s">
        <v>2656</v>
      </c>
      <c r="K703" s="54"/>
      <c r="L703" s="179" t="s">
        <v>6137</v>
      </c>
      <c r="M703" s="179"/>
      <c r="N703" s="179"/>
      <c r="O703" s="52"/>
      <c r="P703" s="179" t="s">
        <v>6132</v>
      </c>
      <c r="Q703" s="179"/>
      <c r="R703" s="179"/>
      <c r="S703" s="179"/>
      <c r="T703" s="54"/>
      <c r="U703" s="187"/>
    </row>
    <row r="704" spans="1:21" ht="38.25">
      <c r="A704" s="54"/>
      <c r="B704" s="179" t="s">
        <v>3773</v>
      </c>
      <c r="C704" s="179" t="s">
        <v>2328</v>
      </c>
      <c r="D704" s="54" t="s">
        <v>62</v>
      </c>
      <c r="E704" s="54"/>
      <c r="F704" s="179" t="s">
        <v>3774</v>
      </c>
      <c r="G704" s="179" t="s">
        <v>3775</v>
      </c>
      <c r="H704" s="186">
        <v>522500</v>
      </c>
      <c r="I704" s="187" t="s">
        <v>3776</v>
      </c>
      <c r="J704" s="179" t="s">
        <v>6370</v>
      </c>
      <c r="K704" s="54"/>
      <c r="L704" s="179" t="s">
        <v>6217</v>
      </c>
      <c r="M704" s="179"/>
      <c r="N704" s="179"/>
      <c r="O704" s="52"/>
      <c r="P704" s="179" t="s">
        <v>6132</v>
      </c>
      <c r="Q704" s="179"/>
      <c r="R704" s="179"/>
      <c r="S704" s="179"/>
      <c r="T704" s="54"/>
      <c r="U704" s="187"/>
    </row>
    <row r="705" spans="1:21" ht="51">
      <c r="A705" s="54"/>
      <c r="B705" s="179" t="s">
        <v>3777</v>
      </c>
      <c r="C705" s="179" t="s">
        <v>2328</v>
      </c>
      <c r="D705" s="54" t="s">
        <v>3781</v>
      </c>
      <c r="E705" s="54"/>
      <c r="F705" s="179" t="s">
        <v>3778</v>
      </c>
      <c r="G705" s="179" t="s">
        <v>3779</v>
      </c>
      <c r="H705" s="186">
        <v>70625</v>
      </c>
      <c r="I705" s="187" t="s">
        <v>3780</v>
      </c>
      <c r="J705" s="179" t="s">
        <v>1828</v>
      </c>
      <c r="K705" s="54"/>
      <c r="L705" s="179" t="s">
        <v>6092</v>
      </c>
      <c r="M705" s="179"/>
      <c r="N705" s="179"/>
      <c r="O705" s="52"/>
      <c r="P705" s="179" t="s">
        <v>6132</v>
      </c>
      <c r="Q705" s="179"/>
      <c r="R705" s="179"/>
      <c r="S705" s="179"/>
      <c r="T705" s="54"/>
      <c r="U705" s="187"/>
    </row>
    <row r="706" spans="1:21" ht="76.5">
      <c r="A706" s="54"/>
      <c r="B706" s="179" t="s">
        <v>3782</v>
      </c>
      <c r="C706" s="179" t="s">
        <v>2328</v>
      </c>
      <c r="D706" s="54" t="s">
        <v>62</v>
      </c>
      <c r="E706" s="54"/>
      <c r="F706" s="179" t="s">
        <v>3784</v>
      </c>
      <c r="G706" s="179" t="s">
        <v>3785</v>
      </c>
      <c r="H706" s="179" t="s">
        <v>3783</v>
      </c>
      <c r="I706" s="187" t="s">
        <v>3786</v>
      </c>
      <c r="J706" s="179" t="s">
        <v>1828</v>
      </c>
      <c r="K706" s="54"/>
      <c r="L706" s="179" t="s">
        <v>6217</v>
      </c>
      <c r="M706" s="179"/>
      <c r="N706" s="179"/>
      <c r="O706" s="52"/>
      <c r="P706" s="179" t="s">
        <v>6132</v>
      </c>
      <c r="Q706" s="179"/>
      <c r="R706" s="179"/>
      <c r="S706" s="179"/>
      <c r="T706" s="54"/>
      <c r="U706" s="187"/>
    </row>
    <row r="707" spans="1:21" ht="51">
      <c r="A707" s="54"/>
      <c r="B707" s="179" t="s">
        <v>3787</v>
      </c>
      <c r="C707" s="179" t="s">
        <v>2328</v>
      </c>
      <c r="D707" s="54" t="s">
        <v>62</v>
      </c>
      <c r="E707" s="54"/>
      <c r="F707" s="179" t="s">
        <v>3774</v>
      </c>
      <c r="G707" s="179" t="s">
        <v>3788</v>
      </c>
      <c r="H707" s="186">
        <v>650000</v>
      </c>
      <c r="I707" s="187" t="s">
        <v>3789</v>
      </c>
      <c r="J707" s="179" t="s">
        <v>6370</v>
      </c>
      <c r="K707" s="54"/>
      <c r="L707" s="179" t="s">
        <v>6217</v>
      </c>
      <c r="M707" s="179"/>
      <c r="N707" s="179"/>
      <c r="O707" s="52"/>
      <c r="P707" s="179" t="s">
        <v>6132</v>
      </c>
      <c r="Q707" s="179"/>
      <c r="R707" s="179"/>
      <c r="S707" s="179"/>
      <c r="T707" s="54"/>
      <c r="U707" s="187"/>
    </row>
    <row r="708" spans="1:21" ht="51">
      <c r="A708" s="54"/>
      <c r="B708" s="179" t="s">
        <v>3790</v>
      </c>
      <c r="C708" s="179" t="s">
        <v>2328</v>
      </c>
      <c r="D708" s="54" t="s">
        <v>3791</v>
      </c>
      <c r="E708" s="54"/>
      <c r="F708" s="179" t="s">
        <v>3792</v>
      </c>
      <c r="G708" s="179" t="s">
        <v>3793</v>
      </c>
      <c r="H708" s="186">
        <v>143175</v>
      </c>
      <c r="I708" s="187" t="s">
        <v>3794</v>
      </c>
      <c r="J708" s="179" t="s">
        <v>1828</v>
      </c>
      <c r="K708" s="54"/>
      <c r="L708" s="179" t="s">
        <v>6137</v>
      </c>
      <c r="M708" s="179"/>
      <c r="N708" s="179"/>
      <c r="O708" s="52"/>
      <c r="P708" s="6" t="s">
        <v>7299</v>
      </c>
      <c r="Q708" s="179"/>
      <c r="R708" s="179"/>
      <c r="S708" s="179"/>
      <c r="T708" s="54"/>
      <c r="U708" s="187"/>
    </row>
    <row r="709" spans="1:21" ht="38.25">
      <c r="A709" s="54"/>
      <c r="B709" s="179" t="s">
        <v>3795</v>
      </c>
      <c r="C709" s="179" t="s">
        <v>2328</v>
      </c>
      <c r="D709" s="54" t="s">
        <v>2728</v>
      </c>
      <c r="E709" s="54"/>
      <c r="F709" s="179" t="s">
        <v>3796</v>
      </c>
      <c r="G709" s="179" t="s">
        <v>3797</v>
      </c>
      <c r="H709" s="186">
        <v>515560</v>
      </c>
      <c r="I709" s="187" t="s">
        <v>3798</v>
      </c>
      <c r="J709" s="179" t="s">
        <v>1828</v>
      </c>
      <c r="K709" s="54"/>
      <c r="L709" s="179" t="s">
        <v>1867</v>
      </c>
      <c r="M709" s="179"/>
      <c r="N709" s="179"/>
      <c r="O709" s="52"/>
      <c r="P709" s="187" t="s">
        <v>6132</v>
      </c>
      <c r="Q709" s="179"/>
      <c r="R709" s="179"/>
      <c r="S709" s="179"/>
      <c r="T709" s="54"/>
      <c r="U709" s="187"/>
    </row>
    <row r="710" spans="1:21" ht="38.25">
      <c r="A710" s="6">
        <v>2016</v>
      </c>
      <c r="B710" s="179" t="s">
        <v>3799</v>
      </c>
      <c r="C710" s="112"/>
      <c r="D710" s="54" t="s">
        <v>6063</v>
      </c>
      <c r="E710" s="54"/>
      <c r="F710" s="179" t="s">
        <v>3800</v>
      </c>
      <c r="G710" s="179" t="s">
        <v>3801</v>
      </c>
      <c r="H710" s="186">
        <v>2000000</v>
      </c>
      <c r="I710" s="187" t="s">
        <v>3682</v>
      </c>
      <c r="J710" s="179" t="s">
        <v>1828</v>
      </c>
      <c r="K710" s="54" t="s">
        <v>1874</v>
      </c>
      <c r="L710" s="179" t="s">
        <v>6064</v>
      </c>
      <c r="M710" s="179"/>
      <c r="N710" s="179"/>
      <c r="O710" s="52"/>
      <c r="P710" s="536" t="s">
        <v>1808</v>
      </c>
      <c r="Q710" s="179"/>
      <c r="R710" s="179"/>
      <c r="S710" s="179" t="s">
        <v>1824</v>
      </c>
      <c r="T710" s="54"/>
      <c r="U710" s="187"/>
    </row>
    <row r="711" spans="1:21" ht="38.25">
      <c r="A711" s="6">
        <v>2016</v>
      </c>
      <c r="B711" s="179" t="s">
        <v>3802</v>
      </c>
      <c r="C711" s="112" t="s">
        <v>61</v>
      </c>
      <c r="D711" s="34" t="s">
        <v>62</v>
      </c>
      <c r="E711" s="34"/>
      <c r="F711" s="179" t="s">
        <v>3803</v>
      </c>
      <c r="G711" s="179" t="s">
        <v>3804</v>
      </c>
      <c r="H711" s="186">
        <v>6232775</v>
      </c>
      <c r="I711" s="187" t="s">
        <v>3805</v>
      </c>
      <c r="J711" s="179" t="s">
        <v>1828</v>
      </c>
      <c r="K711" s="54" t="s">
        <v>1904</v>
      </c>
      <c r="L711" s="179" t="s">
        <v>7308</v>
      </c>
      <c r="M711" s="179"/>
      <c r="N711" s="179"/>
      <c r="O711" s="52"/>
      <c r="P711" s="179" t="s">
        <v>6132</v>
      </c>
      <c r="Q711" s="179"/>
      <c r="R711" s="179"/>
      <c r="S711" s="179"/>
      <c r="T711" s="54"/>
      <c r="U711" s="787"/>
    </row>
    <row r="712" spans="1:21" ht="38.25">
      <c r="A712" s="6">
        <v>2016</v>
      </c>
      <c r="B712" s="179" t="s">
        <v>3806</v>
      </c>
      <c r="C712" s="112" t="s">
        <v>61</v>
      </c>
      <c r="D712" s="34" t="s">
        <v>62</v>
      </c>
      <c r="E712" s="34"/>
      <c r="F712" s="179" t="s">
        <v>3807</v>
      </c>
      <c r="G712" s="179" t="s">
        <v>3808</v>
      </c>
      <c r="H712" s="194">
        <v>1297977.67</v>
      </c>
      <c r="I712" s="179"/>
      <c r="J712" s="190" t="s">
        <v>2051</v>
      </c>
      <c r="K712" s="54" t="s">
        <v>1904</v>
      </c>
      <c r="L712" s="179" t="s">
        <v>6170</v>
      </c>
      <c r="M712" s="179"/>
      <c r="N712" s="179"/>
      <c r="O712" s="52"/>
      <c r="P712" s="179" t="s">
        <v>6132</v>
      </c>
      <c r="Q712" s="179"/>
      <c r="R712" s="179"/>
      <c r="S712" s="179"/>
      <c r="T712" s="54"/>
      <c r="U712" s="304"/>
    </row>
    <row r="713" spans="1:21" ht="38.25">
      <c r="A713" s="6">
        <v>2016</v>
      </c>
      <c r="B713" s="179" t="s">
        <v>3809</v>
      </c>
      <c r="C713" s="112" t="s">
        <v>61</v>
      </c>
      <c r="D713" s="34" t="s">
        <v>62</v>
      </c>
      <c r="E713" s="34"/>
      <c r="F713" s="179" t="s">
        <v>3810</v>
      </c>
      <c r="G713" s="179" t="s">
        <v>3811</v>
      </c>
      <c r="H713" s="194">
        <v>1036115.4</v>
      </c>
      <c r="I713" s="179"/>
      <c r="J713" s="190" t="s">
        <v>1899</v>
      </c>
      <c r="K713" s="54" t="s">
        <v>1904</v>
      </c>
      <c r="L713" s="179" t="s">
        <v>6137</v>
      </c>
      <c r="M713" s="179"/>
      <c r="N713" s="179"/>
      <c r="O713" s="52"/>
      <c r="P713" s="179" t="s">
        <v>6132</v>
      </c>
      <c r="Q713" s="179"/>
      <c r="R713" s="179"/>
      <c r="S713" s="179"/>
      <c r="T713" s="54"/>
      <c r="U713" s="304"/>
    </row>
    <row r="714" spans="1:21" ht="76.5">
      <c r="A714" s="6">
        <v>2016</v>
      </c>
      <c r="B714" s="179" t="s">
        <v>3812</v>
      </c>
      <c r="C714" s="112" t="s">
        <v>61</v>
      </c>
      <c r="D714" s="54" t="s">
        <v>1383</v>
      </c>
      <c r="E714" s="54"/>
      <c r="F714" s="179" t="s">
        <v>3813</v>
      </c>
      <c r="G714" s="179" t="s">
        <v>3814</v>
      </c>
      <c r="H714" s="186">
        <v>60100</v>
      </c>
      <c r="I714" s="179" t="s">
        <v>3815</v>
      </c>
      <c r="J714" s="179" t="s">
        <v>1828</v>
      </c>
      <c r="K714" s="54" t="s">
        <v>82</v>
      </c>
      <c r="L714" s="179" t="s">
        <v>6064</v>
      </c>
      <c r="M714" s="179"/>
      <c r="N714" s="180" t="s">
        <v>3816</v>
      </c>
      <c r="O714" s="52"/>
      <c r="P714" s="536" t="s">
        <v>1808</v>
      </c>
      <c r="Q714" s="179"/>
      <c r="R714" s="179"/>
      <c r="S714" s="179"/>
      <c r="T714" s="54"/>
      <c r="U714" s="179"/>
    </row>
    <row r="715" spans="1:21" ht="76.5">
      <c r="A715" s="6">
        <v>2016</v>
      </c>
      <c r="B715" s="179" t="s">
        <v>3817</v>
      </c>
      <c r="C715" s="112" t="s">
        <v>61</v>
      </c>
      <c r="D715" s="54" t="s">
        <v>1383</v>
      </c>
      <c r="E715" s="54"/>
      <c r="F715" s="179" t="s">
        <v>3818</v>
      </c>
      <c r="G715" s="179" t="s">
        <v>3819</v>
      </c>
      <c r="H715" s="186">
        <v>50000</v>
      </c>
      <c r="I715" s="179"/>
      <c r="J715" s="190" t="s">
        <v>1828</v>
      </c>
      <c r="K715" s="54" t="s">
        <v>82</v>
      </c>
      <c r="L715" s="179" t="s">
        <v>6064</v>
      </c>
      <c r="M715" s="179"/>
      <c r="N715" s="180" t="s">
        <v>3820</v>
      </c>
      <c r="O715" s="52"/>
      <c r="P715" s="536" t="s">
        <v>1808</v>
      </c>
      <c r="Q715" s="179"/>
      <c r="R715" s="179"/>
      <c r="S715" s="179"/>
      <c r="T715" s="54"/>
      <c r="U715" s="179"/>
    </row>
    <row r="716" spans="1:21" ht="114.75">
      <c r="A716" s="6">
        <v>2016</v>
      </c>
      <c r="B716" s="179" t="s">
        <v>3821</v>
      </c>
      <c r="C716" s="112" t="s">
        <v>61</v>
      </c>
      <c r="D716" s="54" t="s">
        <v>1383</v>
      </c>
      <c r="E716" s="54"/>
      <c r="F716" s="179" t="s">
        <v>3822</v>
      </c>
      <c r="G716" s="179" t="s">
        <v>3823</v>
      </c>
      <c r="H716" s="186">
        <v>40000</v>
      </c>
      <c r="I716" s="179" t="s">
        <v>3824</v>
      </c>
      <c r="J716" s="179" t="s">
        <v>1828</v>
      </c>
      <c r="K716" s="54" t="s">
        <v>82</v>
      </c>
      <c r="L716" s="179" t="s">
        <v>6064</v>
      </c>
      <c r="M716" s="179"/>
      <c r="N716" s="180" t="s">
        <v>3825</v>
      </c>
      <c r="O716" s="52"/>
      <c r="P716" s="536" t="s">
        <v>1808</v>
      </c>
      <c r="Q716" s="179"/>
      <c r="R716" s="179"/>
      <c r="S716" s="179"/>
      <c r="T716" s="54"/>
      <c r="U716" s="179"/>
    </row>
    <row r="717" spans="1:21" ht="25.5">
      <c r="A717" s="6">
        <v>2016</v>
      </c>
      <c r="B717" s="190" t="s">
        <v>3826</v>
      </c>
      <c r="C717" s="112" t="s">
        <v>61</v>
      </c>
      <c r="D717" s="190" t="s">
        <v>3827</v>
      </c>
      <c r="E717" s="190"/>
      <c r="F717" s="190" t="s">
        <v>3827</v>
      </c>
      <c r="G717" s="190" t="s">
        <v>3827</v>
      </c>
      <c r="H717" s="190" t="s">
        <v>3827</v>
      </c>
      <c r="I717" s="190" t="s">
        <v>3827</v>
      </c>
      <c r="J717" s="190"/>
      <c r="K717" s="54"/>
      <c r="L717" s="190" t="s">
        <v>3827</v>
      </c>
      <c r="M717" s="190"/>
      <c r="N717" s="190" t="s">
        <v>3827</v>
      </c>
      <c r="O717" s="52"/>
      <c r="P717" s="789" t="s">
        <v>1808</v>
      </c>
      <c r="Q717" s="190"/>
      <c r="R717" s="190"/>
      <c r="S717" s="190"/>
      <c r="T717" s="54"/>
      <c r="U717" s="190"/>
    </row>
    <row r="718" spans="1:21" ht="76.5">
      <c r="A718" s="6">
        <v>2016</v>
      </c>
      <c r="B718" s="179" t="s">
        <v>3828</v>
      </c>
      <c r="C718" s="112" t="s">
        <v>61</v>
      </c>
      <c r="D718" s="54" t="s">
        <v>3168</v>
      </c>
      <c r="E718" s="54"/>
      <c r="F718" s="179" t="s">
        <v>3829</v>
      </c>
      <c r="G718" s="179" t="s">
        <v>3830</v>
      </c>
      <c r="H718" s="186">
        <v>60000</v>
      </c>
      <c r="I718" s="179" t="s">
        <v>3831</v>
      </c>
      <c r="J718" s="179" t="s">
        <v>1828</v>
      </c>
      <c r="K718" s="54"/>
      <c r="L718" s="179" t="s">
        <v>6064</v>
      </c>
      <c r="M718" s="334">
        <v>42444</v>
      </c>
      <c r="N718" s="180" t="s">
        <v>3832</v>
      </c>
      <c r="O718" s="52"/>
      <c r="P718" s="536" t="s">
        <v>1808</v>
      </c>
      <c r="Q718" s="179"/>
      <c r="R718" s="179"/>
      <c r="S718" s="179"/>
      <c r="T718" s="54"/>
      <c r="U718" s="179"/>
    </row>
    <row r="719" spans="1:21" ht="76.5">
      <c r="A719" s="6">
        <v>2016</v>
      </c>
      <c r="B719" s="179" t="s">
        <v>3833</v>
      </c>
      <c r="C719" s="112" t="s">
        <v>61</v>
      </c>
      <c r="D719" s="54" t="s">
        <v>394</v>
      </c>
      <c r="E719" s="54"/>
      <c r="F719" s="179" t="s">
        <v>3834</v>
      </c>
      <c r="G719" s="179" t="s">
        <v>3835</v>
      </c>
      <c r="H719" s="186">
        <v>55000</v>
      </c>
      <c r="I719" s="179" t="s">
        <v>3836</v>
      </c>
      <c r="J719" s="179" t="s">
        <v>2130</v>
      </c>
      <c r="K719" s="54" t="s">
        <v>1853</v>
      </c>
      <c r="L719" s="179" t="s">
        <v>6071</v>
      </c>
      <c r="M719" s="179"/>
      <c r="N719" s="180" t="s">
        <v>3837</v>
      </c>
      <c r="O719" s="52"/>
      <c r="P719" s="536" t="s">
        <v>1808</v>
      </c>
      <c r="Q719" s="179"/>
      <c r="R719" s="179"/>
      <c r="S719" s="179"/>
      <c r="T719" s="54"/>
      <c r="U719" s="179"/>
    </row>
    <row r="720" spans="1:21" ht="63.75">
      <c r="A720" s="6">
        <v>2016</v>
      </c>
      <c r="B720" s="179" t="s">
        <v>3838</v>
      </c>
      <c r="C720" s="112" t="s">
        <v>61</v>
      </c>
      <c r="D720" s="54" t="s">
        <v>3168</v>
      </c>
      <c r="E720" s="54"/>
      <c r="F720" s="179" t="s">
        <v>3839</v>
      </c>
      <c r="G720" s="179" t="s">
        <v>3840</v>
      </c>
      <c r="H720" s="186">
        <v>100000</v>
      </c>
      <c r="I720" s="179" t="s">
        <v>3841</v>
      </c>
      <c r="J720" s="179" t="s">
        <v>1828</v>
      </c>
      <c r="K720" s="54"/>
      <c r="L720" s="179" t="s">
        <v>6064</v>
      </c>
      <c r="M720" s="334">
        <v>42446</v>
      </c>
      <c r="N720" s="180" t="s">
        <v>3842</v>
      </c>
      <c r="O720" s="52"/>
      <c r="P720" s="536" t="s">
        <v>1808</v>
      </c>
      <c r="Q720" s="179"/>
      <c r="R720" s="179"/>
      <c r="S720" s="179"/>
      <c r="T720" s="54"/>
      <c r="U720" s="179"/>
    </row>
    <row r="721" spans="1:21" ht="38.25">
      <c r="A721" s="6">
        <v>2016</v>
      </c>
      <c r="B721" s="179" t="s">
        <v>3843</v>
      </c>
      <c r="C721" s="112" t="s">
        <v>61</v>
      </c>
      <c r="D721" s="54" t="s">
        <v>586</v>
      </c>
      <c r="E721" s="54"/>
      <c r="F721" s="179" t="s">
        <v>3844</v>
      </c>
      <c r="G721" s="179" t="s">
        <v>3845</v>
      </c>
      <c r="H721" s="186">
        <v>15950</v>
      </c>
      <c r="I721" s="179" t="s">
        <v>3846</v>
      </c>
      <c r="J721" s="179" t="s">
        <v>1886</v>
      </c>
      <c r="K721" s="54" t="s">
        <v>1874</v>
      </c>
      <c r="L721" s="179" t="s">
        <v>6137</v>
      </c>
      <c r="M721" s="334">
        <v>42489</v>
      </c>
      <c r="N721" s="180" t="s">
        <v>3847</v>
      </c>
      <c r="O721" s="52"/>
      <c r="P721" s="179" t="s">
        <v>6179</v>
      </c>
      <c r="Q721" s="179"/>
      <c r="R721" s="179"/>
      <c r="S721" s="179"/>
      <c r="T721" s="54"/>
      <c r="U721" s="179"/>
    </row>
    <row r="722" spans="1:21" ht="51">
      <c r="A722" s="6">
        <v>2016</v>
      </c>
      <c r="B722" s="179" t="s">
        <v>3848</v>
      </c>
      <c r="C722" s="112" t="s">
        <v>61</v>
      </c>
      <c r="D722" s="54" t="s">
        <v>3168</v>
      </c>
      <c r="E722" s="54"/>
      <c r="F722" s="179" t="s">
        <v>3849</v>
      </c>
      <c r="G722" s="179" t="s">
        <v>3850</v>
      </c>
      <c r="H722" s="186">
        <v>100000</v>
      </c>
      <c r="I722" s="179" t="s">
        <v>3851</v>
      </c>
      <c r="J722" s="179" t="s">
        <v>1828</v>
      </c>
      <c r="K722" s="54"/>
      <c r="L722" s="179" t="s">
        <v>6071</v>
      </c>
      <c r="M722" s="334">
        <v>42495</v>
      </c>
      <c r="N722" s="180" t="s">
        <v>3852</v>
      </c>
      <c r="O722" s="52"/>
      <c r="P722" s="536" t="s">
        <v>1808</v>
      </c>
      <c r="Q722" s="179"/>
      <c r="R722" s="179"/>
      <c r="S722" s="179"/>
      <c r="T722" s="54"/>
      <c r="U722" s="179"/>
    </row>
    <row r="723" spans="1:21" ht="51">
      <c r="A723" s="6">
        <v>2016</v>
      </c>
      <c r="B723" s="179" t="s">
        <v>3853</v>
      </c>
      <c r="C723" s="112" t="s">
        <v>61</v>
      </c>
      <c r="D723" s="54" t="s">
        <v>394</v>
      </c>
      <c r="E723" s="54"/>
      <c r="F723" s="179" t="s">
        <v>3419</v>
      </c>
      <c r="G723" s="179" t="s">
        <v>3854</v>
      </c>
      <c r="H723" s="186">
        <v>58000</v>
      </c>
      <c r="I723" s="179" t="s">
        <v>3855</v>
      </c>
      <c r="J723" s="179" t="s">
        <v>1855</v>
      </c>
      <c r="K723" s="54" t="s">
        <v>1853</v>
      </c>
      <c r="L723" s="179" t="s">
        <v>6071</v>
      </c>
      <c r="M723" s="334">
        <v>42514</v>
      </c>
      <c r="N723" s="180" t="s">
        <v>3856</v>
      </c>
      <c r="O723" s="52"/>
      <c r="P723" s="536" t="s">
        <v>1808</v>
      </c>
      <c r="Q723" s="179"/>
      <c r="R723" s="179"/>
      <c r="S723" s="179"/>
      <c r="T723" s="54"/>
      <c r="U723" s="179"/>
    </row>
    <row r="724" spans="1:21" ht="76.5">
      <c r="A724" s="6">
        <v>2016</v>
      </c>
      <c r="B724" s="179" t="s">
        <v>3857</v>
      </c>
      <c r="C724" s="112" t="s">
        <v>61</v>
      </c>
      <c r="D724" s="54" t="s">
        <v>1730</v>
      </c>
      <c r="E724" s="54"/>
      <c r="F724" s="179" t="s">
        <v>3858</v>
      </c>
      <c r="G724" s="179" t="s">
        <v>3859</v>
      </c>
      <c r="H724" s="194">
        <v>90015.75</v>
      </c>
      <c r="I724" s="179" t="s">
        <v>3860</v>
      </c>
      <c r="J724" s="179" t="s">
        <v>1855</v>
      </c>
      <c r="K724" s="54" t="s">
        <v>1904</v>
      </c>
      <c r="L724" s="179" t="s">
        <v>6137</v>
      </c>
      <c r="M724" s="334">
        <v>42514</v>
      </c>
      <c r="N724" s="180" t="s">
        <v>3861</v>
      </c>
      <c r="O724" s="52"/>
      <c r="P724" s="536" t="s">
        <v>1808</v>
      </c>
      <c r="Q724" s="179"/>
      <c r="R724" s="179"/>
      <c r="S724" s="179"/>
      <c r="T724" s="54"/>
      <c r="U724" s="179"/>
    </row>
    <row r="725" spans="1:21" ht="63.75">
      <c r="A725" s="6">
        <v>2016</v>
      </c>
      <c r="B725" s="179" t="s">
        <v>3862</v>
      </c>
      <c r="C725" s="112" t="s">
        <v>61</v>
      </c>
      <c r="D725" s="54" t="s">
        <v>1730</v>
      </c>
      <c r="E725" s="54"/>
      <c r="F725" s="179" t="s">
        <v>3863</v>
      </c>
      <c r="G725" s="179" t="s">
        <v>3859</v>
      </c>
      <c r="H725" s="186">
        <v>94505</v>
      </c>
      <c r="I725" s="179" t="s">
        <v>3860</v>
      </c>
      <c r="J725" s="179" t="s">
        <v>1855</v>
      </c>
      <c r="K725" s="54" t="s">
        <v>1904</v>
      </c>
      <c r="L725" s="179" t="s">
        <v>6071</v>
      </c>
      <c r="M725" s="334">
        <v>42514</v>
      </c>
      <c r="N725" s="180" t="s">
        <v>3864</v>
      </c>
      <c r="O725" s="52"/>
      <c r="P725" s="536" t="s">
        <v>1808</v>
      </c>
      <c r="Q725" s="179"/>
      <c r="R725" s="179"/>
      <c r="S725" s="179"/>
      <c r="T725" s="54"/>
      <c r="U725" s="179"/>
    </row>
    <row r="726" spans="1:21" ht="76.5">
      <c r="A726" s="6">
        <v>2016</v>
      </c>
      <c r="B726" s="179" t="s">
        <v>3865</v>
      </c>
      <c r="C726" s="112" t="s">
        <v>61</v>
      </c>
      <c r="D726" s="54" t="s">
        <v>1730</v>
      </c>
      <c r="E726" s="54"/>
      <c r="F726" s="179" t="s">
        <v>3866</v>
      </c>
      <c r="G726" s="179" t="s">
        <v>3867</v>
      </c>
      <c r="H726" s="194">
        <v>98105</v>
      </c>
      <c r="I726" s="179"/>
      <c r="J726" s="190" t="s">
        <v>1855</v>
      </c>
      <c r="K726" s="54" t="s">
        <v>1904</v>
      </c>
      <c r="L726" s="179" t="s">
        <v>6137</v>
      </c>
      <c r="M726" s="334">
        <v>42522</v>
      </c>
      <c r="N726" s="180" t="s">
        <v>3868</v>
      </c>
      <c r="O726" s="52"/>
      <c r="P726" s="536" t="s">
        <v>1808</v>
      </c>
      <c r="Q726" s="179"/>
      <c r="R726" s="179"/>
      <c r="S726" s="179"/>
      <c r="T726" s="54"/>
      <c r="U726" s="179"/>
    </row>
    <row r="727" spans="1:21" ht="89.25">
      <c r="A727" s="6">
        <v>2016</v>
      </c>
      <c r="B727" s="179" t="s">
        <v>3869</v>
      </c>
      <c r="C727" s="112" t="s">
        <v>61</v>
      </c>
      <c r="D727" s="54" t="s">
        <v>394</v>
      </c>
      <c r="E727" s="54"/>
      <c r="F727" s="179" t="s">
        <v>3870</v>
      </c>
      <c r="G727" s="179" t="s">
        <v>3871</v>
      </c>
      <c r="H727" s="186">
        <v>46000</v>
      </c>
      <c r="I727" s="179" t="s">
        <v>3872</v>
      </c>
      <c r="J727" s="179" t="s">
        <v>2085</v>
      </c>
      <c r="K727" s="54" t="s">
        <v>1853</v>
      </c>
      <c r="L727" s="179" t="s">
        <v>6071</v>
      </c>
      <c r="M727" s="334">
        <v>42528</v>
      </c>
      <c r="N727" s="180" t="s">
        <v>3873</v>
      </c>
      <c r="O727" s="52"/>
      <c r="P727" s="536" t="s">
        <v>1808</v>
      </c>
      <c r="Q727" s="179"/>
      <c r="R727" s="179"/>
      <c r="S727" s="179"/>
      <c r="T727" s="54"/>
      <c r="U727" s="179"/>
    </row>
    <row r="728" spans="1:21" ht="102">
      <c r="A728" s="6">
        <v>2016</v>
      </c>
      <c r="B728" s="179" t="s">
        <v>3874</v>
      </c>
      <c r="C728" s="112" t="s">
        <v>61</v>
      </c>
      <c r="D728" s="54" t="s">
        <v>3168</v>
      </c>
      <c r="E728" s="54"/>
      <c r="F728" s="179" t="s">
        <v>3875</v>
      </c>
      <c r="G728" s="179" t="s">
        <v>3876</v>
      </c>
      <c r="H728" s="186">
        <v>99000</v>
      </c>
      <c r="I728" s="179" t="s">
        <v>3877</v>
      </c>
      <c r="J728" s="179" t="s">
        <v>1828</v>
      </c>
      <c r="K728" s="54"/>
      <c r="L728" s="179" t="s">
        <v>6064</v>
      </c>
      <c r="M728" s="334">
        <v>42530</v>
      </c>
      <c r="N728" s="180" t="s">
        <v>3878</v>
      </c>
      <c r="O728" s="52"/>
      <c r="P728" s="536" t="s">
        <v>1808</v>
      </c>
      <c r="Q728" s="179"/>
      <c r="R728" s="179"/>
      <c r="S728" s="179"/>
      <c r="T728" s="54"/>
      <c r="U728" s="179"/>
    </row>
    <row r="729" spans="1:21" ht="89.25">
      <c r="A729" s="6">
        <v>2016</v>
      </c>
      <c r="B729" s="179" t="s">
        <v>3879</v>
      </c>
      <c r="C729" s="112" t="s">
        <v>61</v>
      </c>
      <c r="D729" s="54" t="s">
        <v>1763</v>
      </c>
      <c r="E729" s="54"/>
      <c r="F729" s="179" t="s">
        <v>3880</v>
      </c>
      <c r="G729" s="179" t="s">
        <v>3881</v>
      </c>
      <c r="H729" s="186">
        <v>18400</v>
      </c>
      <c r="I729" s="179" t="s">
        <v>3882</v>
      </c>
      <c r="J729" s="179" t="s">
        <v>1828</v>
      </c>
      <c r="K729" s="54"/>
      <c r="L729" s="179" t="s">
        <v>6217</v>
      </c>
      <c r="M729" s="334">
        <v>42543</v>
      </c>
      <c r="N729" s="180" t="s">
        <v>3883</v>
      </c>
      <c r="O729" s="52"/>
      <c r="P729" s="179" t="s">
        <v>6179</v>
      </c>
      <c r="Q729" s="179"/>
      <c r="R729" s="179"/>
      <c r="S729" s="179"/>
      <c r="T729" s="54"/>
      <c r="U729" s="179"/>
    </row>
    <row r="730" spans="1:21" ht="89.25">
      <c r="A730" s="6">
        <v>2016</v>
      </c>
      <c r="B730" s="179" t="s">
        <v>3884</v>
      </c>
      <c r="C730" s="112" t="s">
        <v>61</v>
      </c>
      <c r="D730" s="54" t="s">
        <v>1763</v>
      </c>
      <c r="E730" s="54"/>
      <c r="F730" s="179" t="s">
        <v>3885</v>
      </c>
      <c r="G730" s="179" t="s">
        <v>3886</v>
      </c>
      <c r="H730" s="186">
        <v>78000</v>
      </c>
      <c r="I730" s="179" t="s">
        <v>3397</v>
      </c>
      <c r="J730" s="179" t="s">
        <v>2656</v>
      </c>
      <c r="K730" s="54"/>
      <c r="L730" s="179" t="s">
        <v>6217</v>
      </c>
      <c r="M730" s="334">
        <v>42549</v>
      </c>
      <c r="N730" s="180" t="s">
        <v>12023</v>
      </c>
      <c r="O730" s="52"/>
      <c r="P730" s="179" t="s">
        <v>6132</v>
      </c>
      <c r="Q730" s="179"/>
      <c r="R730" s="179"/>
      <c r="S730" s="179"/>
      <c r="T730" s="54"/>
      <c r="U730" s="179"/>
    </row>
    <row r="731" spans="1:21" ht="102">
      <c r="A731" s="6">
        <v>2016</v>
      </c>
      <c r="B731" s="179" t="s">
        <v>3888</v>
      </c>
      <c r="C731" s="112" t="s">
        <v>61</v>
      </c>
      <c r="D731" s="54" t="s">
        <v>1763</v>
      </c>
      <c r="E731" s="54"/>
      <c r="F731" s="179" t="s">
        <v>3889</v>
      </c>
      <c r="G731" s="179" t="s">
        <v>3890</v>
      </c>
      <c r="H731" s="186">
        <v>24750</v>
      </c>
      <c r="I731" s="179" t="s">
        <v>3891</v>
      </c>
      <c r="J731" s="179" t="s">
        <v>1828</v>
      </c>
      <c r="K731" s="54"/>
      <c r="L731" s="179" t="s">
        <v>6217</v>
      </c>
      <c r="M731" s="334">
        <v>42549</v>
      </c>
      <c r="N731" s="180" t="s">
        <v>3892</v>
      </c>
      <c r="O731" s="52"/>
      <c r="P731" s="179" t="s">
        <v>6179</v>
      </c>
      <c r="Q731" s="179"/>
      <c r="R731" s="179"/>
      <c r="S731" s="179"/>
      <c r="T731" s="54"/>
      <c r="U731" s="179"/>
    </row>
    <row r="732" spans="1:21" ht="76.5">
      <c r="A732" s="6">
        <v>2016</v>
      </c>
      <c r="B732" s="179" t="s">
        <v>3893</v>
      </c>
      <c r="C732" s="112" t="s">
        <v>61</v>
      </c>
      <c r="D732" s="54" t="s">
        <v>1763</v>
      </c>
      <c r="E732" s="54"/>
      <c r="F732" s="179" t="s">
        <v>3894</v>
      </c>
      <c r="G732" s="179" t="s">
        <v>3895</v>
      </c>
      <c r="H732" s="186">
        <v>6900</v>
      </c>
      <c r="I732" s="179"/>
      <c r="J732" s="179" t="s">
        <v>1828</v>
      </c>
      <c r="K732" s="54"/>
      <c r="L732" s="179" t="s">
        <v>6217</v>
      </c>
      <c r="M732" s="334">
        <v>42549</v>
      </c>
      <c r="N732" s="180" t="s">
        <v>3896</v>
      </c>
      <c r="O732" s="52"/>
      <c r="P732" s="179" t="s">
        <v>6179</v>
      </c>
      <c r="Q732" s="179"/>
      <c r="R732" s="179"/>
      <c r="S732" s="179"/>
      <c r="T732" s="54"/>
      <c r="U732" s="179"/>
    </row>
    <row r="733" spans="1:21" ht="102">
      <c r="A733" s="6">
        <v>2016</v>
      </c>
      <c r="B733" s="179" t="s">
        <v>3897</v>
      </c>
      <c r="C733" s="112" t="s">
        <v>61</v>
      </c>
      <c r="D733" s="54" t="s">
        <v>3168</v>
      </c>
      <c r="E733" s="54"/>
      <c r="F733" s="179" t="s">
        <v>3898</v>
      </c>
      <c r="G733" s="179" t="s">
        <v>3899</v>
      </c>
      <c r="H733" s="186">
        <v>50000</v>
      </c>
      <c r="I733" s="179"/>
      <c r="J733" s="179" t="s">
        <v>1828</v>
      </c>
      <c r="K733" s="54"/>
      <c r="L733" s="179" t="s">
        <v>6064</v>
      </c>
      <c r="M733" s="334">
        <v>42551</v>
      </c>
      <c r="N733" s="180" t="s">
        <v>12024</v>
      </c>
      <c r="O733" s="52"/>
      <c r="P733" s="536" t="s">
        <v>1808</v>
      </c>
      <c r="Q733" s="179"/>
      <c r="R733" s="179"/>
      <c r="S733" s="179"/>
      <c r="T733" s="54"/>
      <c r="U733" s="179"/>
    </row>
    <row r="734" spans="1:21" ht="102">
      <c r="A734" s="6">
        <v>2016</v>
      </c>
      <c r="B734" s="179" t="s">
        <v>3901</v>
      </c>
      <c r="C734" s="112" t="s">
        <v>61</v>
      </c>
      <c r="D734" s="54" t="s">
        <v>3168</v>
      </c>
      <c r="E734" s="54"/>
      <c r="F734" s="179" t="s">
        <v>3902</v>
      </c>
      <c r="G734" s="179" t="s">
        <v>3903</v>
      </c>
      <c r="H734" s="186">
        <v>100000</v>
      </c>
      <c r="I734" s="179" t="s">
        <v>3851</v>
      </c>
      <c r="J734" s="179" t="s">
        <v>1828</v>
      </c>
      <c r="K734" s="54"/>
      <c r="L734" s="179" t="s">
        <v>6064</v>
      </c>
      <c r="M734" s="334">
        <v>42555</v>
      </c>
      <c r="N734" s="180" t="s">
        <v>12025</v>
      </c>
      <c r="O734" s="52"/>
      <c r="P734" s="536" t="s">
        <v>1808</v>
      </c>
      <c r="Q734" s="179"/>
      <c r="R734" s="179"/>
      <c r="S734" s="179"/>
      <c r="T734" s="54"/>
      <c r="U734" s="179"/>
    </row>
    <row r="735" spans="1:21" ht="76.5">
      <c r="A735" s="6">
        <v>2016</v>
      </c>
      <c r="B735" s="179" t="s">
        <v>3905</v>
      </c>
      <c r="C735" s="112" t="s">
        <v>61</v>
      </c>
      <c r="D735" s="54" t="s">
        <v>1763</v>
      </c>
      <c r="E735" s="54"/>
      <c r="F735" s="179" t="s">
        <v>3906</v>
      </c>
      <c r="G735" s="179" t="s">
        <v>3907</v>
      </c>
      <c r="H735" s="186">
        <v>28000</v>
      </c>
      <c r="I735" s="179" t="s">
        <v>3841</v>
      </c>
      <c r="J735" s="179" t="s">
        <v>1828</v>
      </c>
      <c r="K735" s="54"/>
      <c r="L735" s="179" t="s">
        <v>6217</v>
      </c>
      <c r="M735" s="334">
        <v>42563</v>
      </c>
      <c r="N735" s="180" t="s">
        <v>3908</v>
      </c>
      <c r="O735" s="52"/>
      <c r="P735" s="179" t="s">
        <v>6179</v>
      </c>
      <c r="Q735" s="179"/>
      <c r="R735" s="179"/>
      <c r="S735" s="179"/>
      <c r="T735" s="54"/>
      <c r="U735" s="179"/>
    </row>
    <row r="736" spans="1:21" ht="102">
      <c r="A736" s="6">
        <v>2016</v>
      </c>
      <c r="B736" s="179" t="s">
        <v>3909</v>
      </c>
      <c r="C736" s="112" t="s">
        <v>61</v>
      </c>
      <c r="D736" s="54" t="s">
        <v>3168</v>
      </c>
      <c r="E736" s="54"/>
      <c r="F736" s="179" t="s">
        <v>3910</v>
      </c>
      <c r="G736" s="179" t="s">
        <v>811</v>
      </c>
      <c r="H736" s="186">
        <v>99000</v>
      </c>
      <c r="I736" s="179" t="s">
        <v>3841</v>
      </c>
      <c r="J736" s="179" t="s">
        <v>1828</v>
      </c>
      <c r="K736" s="54"/>
      <c r="L736" s="179" t="s">
        <v>6217</v>
      </c>
      <c r="M736" s="334">
        <v>42565</v>
      </c>
      <c r="N736" s="180" t="s">
        <v>3911</v>
      </c>
      <c r="O736" s="52"/>
      <c r="P736" s="536" t="s">
        <v>1808</v>
      </c>
      <c r="Q736" s="179"/>
      <c r="R736" s="179"/>
      <c r="S736" s="179"/>
      <c r="T736" s="54"/>
      <c r="U736" s="179"/>
    </row>
    <row r="737" spans="1:21" ht="102">
      <c r="A737" s="6">
        <v>2016</v>
      </c>
      <c r="B737" s="179" t="s">
        <v>3912</v>
      </c>
      <c r="C737" s="112" t="s">
        <v>61</v>
      </c>
      <c r="D737" s="54" t="s">
        <v>394</v>
      </c>
      <c r="E737" s="54"/>
      <c r="F737" s="179" t="s">
        <v>3913</v>
      </c>
      <c r="G737" s="179" t="s">
        <v>840</v>
      </c>
      <c r="H737" s="186">
        <v>52000</v>
      </c>
      <c r="I737" s="179" t="s">
        <v>3841</v>
      </c>
      <c r="J737" s="179" t="s">
        <v>1828</v>
      </c>
      <c r="K737" s="54" t="s">
        <v>1853</v>
      </c>
      <c r="L737" s="179" t="s">
        <v>6071</v>
      </c>
      <c r="M737" s="334">
        <v>42566</v>
      </c>
      <c r="N737" s="180" t="s">
        <v>3914</v>
      </c>
      <c r="O737" s="52"/>
      <c r="P737" s="536" t="s">
        <v>1808</v>
      </c>
      <c r="Q737" s="179"/>
      <c r="R737" s="179"/>
      <c r="S737" s="179"/>
      <c r="T737" s="54"/>
      <c r="U737" s="179"/>
    </row>
    <row r="738" spans="1:21" ht="114.75">
      <c r="A738" s="6">
        <v>2016</v>
      </c>
      <c r="B738" s="179" t="s">
        <v>3915</v>
      </c>
      <c r="C738" s="112" t="s">
        <v>61</v>
      </c>
      <c r="D738" s="54" t="s">
        <v>12026</v>
      </c>
      <c r="E738" s="54"/>
      <c r="F738" s="179" t="s">
        <v>3916</v>
      </c>
      <c r="G738" s="179" t="s">
        <v>811</v>
      </c>
      <c r="H738" s="186">
        <v>43000</v>
      </c>
      <c r="I738" s="179" t="s">
        <v>3841</v>
      </c>
      <c r="J738" s="179" t="s">
        <v>1828</v>
      </c>
      <c r="K738" s="54"/>
      <c r="L738" s="179" t="s">
        <v>6064</v>
      </c>
      <c r="M738" s="334">
        <v>42571</v>
      </c>
      <c r="N738" s="180" t="s">
        <v>3917</v>
      </c>
      <c r="O738" s="52"/>
      <c r="P738" s="536" t="s">
        <v>1808</v>
      </c>
      <c r="Q738" s="179"/>
      <c r="R738" s="179"/>
      <c r="S738" s="179"/>
      <c r="T738" s="54"/>
      <c r="U738" s="179"/>
    </row>
    <row r="739" spans="1:21" ht="63.75">
      <c r="A739" s="6">
        <v>2016</v>
      </c>
      <c r="B739" s="179" t="s">
        <v>3918</v>
      </c>
      <c r="C739" s="112" t="s">
        <v>61</v>
      </c>
      <c r="D739" s="54" t="s">
        <v>3168</v>
      </c>
      <c r="E739" s="54"/>
      <c r="F739" s="179" t="s">
        <v>3919</v>
      </c>
      <c r="G739" s="179" t="s">
        <v>3920</v>
      </c>
      <c r="H739" s="186">
        <v>100000</v>
      </c>
      <c r="I739" s="179" t="s">
        <v>3921</v>
      </c>
      <c r="J739" s="179" t="s">
        <v>2611</v>
      </c>
      <c r="K739" s="54"/>
      <c r="L739" s="179" t="s">
        <v>6137</v>
      </c>
      <c r="M739" s="334">
        <v>42580</v>
      </c>
      <c r="N739" s="180" t="s">
        <v>3922</v>
      </c>
      <c r="O739" s="52"/>
      <c r="P739" s="536" t="s">
        <v>1808</v>
      </c>
      <c r="Q739" s="179"/>
      <c r="R739" s="179"/>
      <c r="S739" s="179"/>
      <c r="T739" s="54"/>
      <c r="U739" s="179"/>
    </row>
    <row r="740" spans="1:21" ht="63.75">
      <c r="A740" s="6">
        <v>2016</v>
      </c>
      <c r="B740" s="179" t="s">
        <v>3923</v>
      </c>
      <c r="C740" s="112" t="s">
        <v>61</v>
      </c>
      <c r="D740" s="54" t="s">
        <v>1383</v>
      </c>
      <c r="E740" s="54"/>
      <c r="F740" s="179" t="s">
        <v>3924</v>
      </c>
      <c r="G740" s="179" t="s">
        <v>3340</v>
      </c>
      <c r="H740" s="186">
        <v>28500</v>
      </c>
      <c r="I740" s="179" t="s">
        <v>3925</v>
      </c>
      <c r="J740" s="179" t="s">
        <v>1828</v>
      </c>
      <c r="K740" s="54" t="s">
        <v>82</v>
      </c>
      <c r="L740" s="179" t="s">
        <v>6064</v>
      </c>
      <c r="M740" s="334">
        <v>42591</v>
      </c>
      <c r="N740" s="180" t="s">
        <v>3926</v>
      </c>
      <c r="O740" s="52"/>
      <c r="P740" s="536" t="s">
        <v>1808</v>
      </c>
      <c r="Q740" s="179"/>
      <c r="R740" s="179"/>
      <c r="S740" s="179"/>
      <c r="T740" s="54"/>
      <c r="U740" s="179"/>
    </row>
    <row r="741" spans="1:21" ht="89.25">
      <c r="A741" s="6">
        <v>2016</v>
      </c>
      <c r="B741" s="179" t="s">
        <v>3927</v>
      </c>
      <c r="C741" s="112" t="s">
        <v>61</v>
      </c>
      <c r="D741" s="54" t="s">
        <v>394</v>
      </c>
      <c r="E741" s="54"/>
      <c r="F741" s="179" t="s">
        <v>3928</v>
      </c>
      <c r="G741" s="179" t="s">
        <v>3929</v>
      </c>
      <c r="H741" s="186">
        <v>37400</v>
      </c>
      <c r="I741" s="179" t="s">
        <v>3930</v>
      </c>
      <c r="J741" s="179" t="s">
        <v>1886</v>
      </c>
      <c r="K741" s="54" t="s">
        <v>1853</v>
      </c>
      <c r="L741" s="179" t="s">
        <v>6071</v>
      </c>
      <c r="M741" s="334">
        <v>42592</v>
      </c>
      <c r="N741" s="180" t="s">
        <v>3931</v>
      </c>
      <c r="O741" s="52"/>
      <c r="P741" s="536" t="s">
        <v>1808</v>
      </c>
      <c r="Q741" s="179"/>
      <c r="R741" s="179"/>
      <c r="S741" s="179"/>
      <c r="T741" s="54"/>
      <c r="U741" s="179"/>
    </row>
    <row r="742" spans="1:21" ht="89.25">
      <c r="A742" s="6">
        <v>2016</v>
      </c>
      <c r="B742" s="179" t="s">
        <v>3932</v>
      </c>
      <c r="C742" s="112" t="s">
        <v>61</v>
      </c>
      <c r="D742" s="54" t="s">
        <v>394</v>
      </c>
      <c r="E742" s="54"/>
      <c r="F742" s="179" t="s">
        <v>3933</v>
      </c>
      <c r="G742" s="179" t="s">
        <v>3934</v>
      </c>
      <c r="H742" s="186">
        <v>46600</v>
      </c>
      <c r="I742" s="179" t="s">
        <v>3935</v>
      </c>
      <c r="J742" s="179" t="s">
        <v>2085</v>
      </c>
      <c r="K742" s="54" t="s">
        <v>1853</v>
      </c>
      <c r="L742" s="179" t="s">
        <v>6071</v>
      </c>
      <c r="M742" s="334">
        <v>42599</v>
      </c>
      <c r="N742" s="180" t="s">
        <v>3936</v>
      </c>
      <c r="O742" s="52"/>
      <c r="P742" s="536" t="s">
        <v>1808</v>
      </c>
      <c r="Q742" s="179"/>
      <c r="R742" s="179"/>
      <c r="S742" s="179"/>
      <c r="T742" s="54"/>
      <c r="U742" s="179"/>
    </row>
    <row r="743" spans="1:21" ht="89.25">
      <c r="A743" s="6">
        <v>2016</v>
      </c>
      <c r="B743" s="179" t="s">
        <v>3937</v>
      </c>
      <c r="C743" s="112" t="s">
        <v>61</v>
      </c>
      <c r="D743" s="54" t="s">
        <v>1141</v>
      </c>
      <c r="E743" s="54"/>
      <c r="F743" s="179" t="s">
        <v>3938</v>
      </c>
      <c r="G743" s="179" t="s">
        <v>3939</v>
      </c>
      <c r="H743" s="194">
        <v>88006.86</v>
      </c>
      <c r="I743" s="179" t="s">
        <v>3940</v>
      </c>
      <c r="J743" s="179" t="s">
        <v>1899</v>
      </c>
      <c r="K743" s="54" t="s">
        <v>1904</v>
      </c>
      <c r="L743" s="179" t="s">
        <v>6137</v>
      </c>
      <c r="M743" s="334">
        <v>42615</v>
      </c>
      <c r="N743" s="180" t="s">
        <v>3941</v>
      </c>
      <c r="O743" s="52"/>
      <c r="P743" s="536" t="s">
        <v>1808</v>
      </c>
      <c r="Q743" s="179"/>
      <c r="R743" s="179"/>
      <c r="S743" s="179"/>
      <c r="T743" s="54"/>
      <c r="U743" s="179"/>
    </row>
    <row r="744" spans="1:21" ht="102">
      <c r="A744" s="6">
        <v>2016</v>
      </c>
      <c r="B744" s="179" t="s">
        <v>3942</v>
      </c>
      <c r="C744" s="112" t="s">
        <v>61</v>
      </c>
      <c r="D744" s="54" t="s">
        <v>1141</v>
      </c>
      <c r="E744" s="54"/>
      <c r="F744" s="6" t="s">
        <v>3943</v>
      </c>
      <c r="G744" s="179" t="s">
        <v>3939</v>
      </c>
      <c r="H744" s="194">
        <v>39629.879999999997</v>
      </c>
      <c r="I744" s="179" t="s">
        <v>3940</v>
      </c>
      <c r="J744" s="179" t="s">
        <v>1899</v>
      </c>
      <c r="K744" s="54" t="s">
        <v>1904</v>
      </c>
      <c r="L744" s="179" t="s">
        <v>6137</v>
      </c>
      <c r="M744" s="7">
        <v>42615</v>
      </c>
      <c r="N744" s="180" t="s">
        <v>3944</v>
      </c>
      <c r="O744" s="52"/>
      <c r="P744" s="536" t="s">
        <v>1808</v>
      </c>
      <c r="Q744" s="179"/>
      <c r="R744" s="179"/>
      <c r="S744" s="179"/>
      <c r="T744" s="54"/>
      <c r="U744" s="179"/>
    </row>
    <row r="745" spans="1:21" ht="114.75">
      <c r="A745" s="6">
        <v>2016</v>
      </c>
      <c r="B745" s="179" t="s">
        <v>3945</v>
      </c>
      <c r="C745" s="112" t="s">
        <v>61</v>
      </c>
      <c r="D745" s="54" t="s">
        <v>394</v>
      </c>
      <c r="E745" s="54"/>
      <c r="F745" s="179" t="s">
        <v>3913</v>
      </c>
      <c r="G745" s="179" t="s">
        <v>840</v>
      </c>
      <c r="H745" s="186">
        <v>97500</v>
      </c>
      <c r="I745" s="179" t="s">
        <v>3841</v>
      </c>
      <c r="J745" s="179" t="s">
        <v>1828</v>
      </c>
      <c r="K745" s="54" t="s">
        <v>1853</v>
      </c>
      <c r="L745" s="179" t="s">
        <v>6071</v>
      </c>
      <c r="M745" s="334">
        <v>42618</v>
      </c>
      <c r="N745" s="180" t="s">
        <v>3946</v>
      </c>
      <c r="O745" s="52"/>
      <c r="P745" s="536" t="s">
        <v>1808</v>
      </c>
      <c r="Q745" s="179"/>
      <c r="R745" s="179"/>
      <c r="S745" s="179"/>
      <c r="T745" s="54"/>
      <c r="U745" s="179"/>
    </row>
    <row r="746" spans="1:21" ht="102">
      <c r="A746" s="6">
        <v>2016</v>
      </c>
      <c r="B746" s="179" t="s">
        <v>3947</v>
      </c>
      <c r="C746" s="112" t="s">
        <v>61</v>
      </c>
      <c r="D746" s="54" t="s">
        <v>586</v>
      </c>
      <c r="E746" s="54"/>
      <c r="F746" s="179" t="s">
        <v>3948</v>
      </c>
      <c r="G746" s="179" t="s">
        <v>3949</v>
      </c>
      <c r="H746" s="186">
        <v>12640</v>
      </c>
      <c r="I746" s="179" t="s">
        <v>3950</v>
      </c>
      <c r="J746" s="179" t="s">
        <v>1828</v>
      </c>
      <c r="K746" s="54" t="s">
        <v>1874</v>
      </c>
      <c r="L746" s="179" t="s">
        <v>6092</v>
      </c>
      <c r="M746" s="334">
        <v>42618</v>
      </c>
      <c r="N746" s="180" t="s">
        <v>3951</v>
      </c>
      <c r="O746" s="52"/>
      <c r="P746" s="179" t="s">
        <v>6132</v>
      </c>
      <c r="Q746" s="179"/>
      <c r="R746" s="179"/>
      <c r="S746" s="179"/>
      <c r="T746" s="54"/>
      <c r="U746" s="179"/>
    </row>
    <row r="747" spans="1:21" ht="63.75">
      <c r="A747" s="6">
        <v>2016</v>
      </c>
      <c r="B747" s="179" t="s">
        <v>3952</v>
      </c>
      <c r="C747" s="112" t="s">
        <v>61</v>
      </c>
      <c r="D747" s="54" t="s">
        <v>394</v>
      </c>
      <c r="E747" s="54"/>
      <c r="F747" s="179" t="s">
        <v>3928</v>
      </c>
      <c r="G747" s="179" t="s">
        <v>3953</v>
      </c>
      <c r="H747" s="186">
        <v>45800</v>
      </c>
      <c r="I747" s="179" t="s">
        <v>3954</v>
      </c>
      <c r="J747" s="179" t="s">
        <v>1899</v>
      </c>
      <c r="K747" s="54" t="s">
        <v>1853</v>
      </c>
      <c r="L747" s="179" t="s">
        <v>6071</v>
      </c>
      <c r="M747" s="334">
        <v>42622</v>
      </c>
      <c r="N747" s="180" t="s">
        <v>12027</v>
      </c>
      <c r="O747" s="52"/>
      <c r="P747" s="536" t="s">
        <v>1808</v>
      </c>
      <c r="Q747" s="179"/>
      <c r="R747" s="179"/>
      <c r="S747" s="179"/>
      <c r="T747" s="54"/>
      <c r="U747" s="179"/>
    </row>
    <row r="748" spans="1:21" ht="89.25">
      <c r="A748" s="6">
        <v>2016</v>
      </c>
      <c r="B748" s="179" t="s">
        <v>3956</v>
      </c>
      <c r="C748" s="112" t="s">
        <v>61</v>
      </c>
      <c r="D748" s="54" t="s">
        <v>1141</v>
      </c>
      <c r="E748" s="54"/>
      <c r="F748" s="179" t="s">
        <v>3957</v>
      </c>
      <c r="G748" s="179" t="s">
        <v>3939</v>
      </c>
      <c r="H748" s="186">
        <v>69273</v>
      </c>
      <c r="I748" s="179" t="s">
        <v>3940</v>
      </c>
      <c r="J748" s="179" t="s">
        <v>1899</v>
      </c>
      <c r="K748" s="54" t="s">
        <v>1904</v>
      </c>
      <c r="L748" s="179" t="s">
        <v>6137</v>
      </c>
      <c r="M748" s="334">
        <v>42632</v>
      </c>
      <c r="N748" s="180" t="s">
        <v>3958</v>
      </c>
      <c r="O748" s="52"/>
      <c r="P748" s="536" t="s">
        <v>1808</v>
      </c>
      <c r="Q748" s="179"/>
      <c r="R748" s="179"/>
      <c r="S748" s="179"/>
      <c r="T748" s="54"/>
      <c r="U748" s="179"/>
    </row>
    <row r="749" spans="1:21" ht="51">
      <c r="A749" s="6">
        <v>2016</v>
      </c>
      <c r="B749" s="179" t="s">
        <v>3959</v>
      </c>
      <c r="C749" s="112" t="s">
        <v>61</v>
      </c>
      <c r="D749" s="179" t="s">
        <v>1730</v>
      </c>
      <c r="E749" s="179"/>
      <c r="F749" s="179" t="s">
        <v>3960</v>
      </c>
      <c r="G749" s="179" t="s">
        <v>3961</v>
      </c>
      <c r="H749" s="186">
        <v>100000</v>
      </c>
      <c r="I749" s="179" t="s">
        <v>3921</v>
      </c>
      <c r="J749" s="179" t="s">
        <v>2031</v>
      </c>
      <c r="K749" s="54" t="s">
        <v>1904</v>
      </c>
      <c r="L749" s="179" t="s">
        <v>6137</v>
      </c>
      <c r="M749" s="334">
        <v>42635</v>
      </c>
      <c r="N749" s="180" t="s">
        <v>3962</v>
      </c>
      <c r="O749" s="52"/>
      <c r="P749" s="536" t="s">
        <v>1808</v>
      </c>
      <c r="Q749" s="179"/>
      <c r="R749" s="179"/>
      <c r="S749" s="179"/>
      <c r="T749" s="54"/>
      <c r="U749" s="179"/>
    </row>
    <row r="750" spans="1:21" ht="76.5">
      <c r="A750" s="6">
        <v>2016</v>
      </c>
      <c r="B750" s="179" t="s">
        <v>3963</v>
      </c>
      <c r="C750" s="112" t="s">
        <v>61</v>
      </c>
      <c r="D750" s="179" t="s">
        <v>394</v>
      </c>
      <c r="E750" s="179"/>
      <c r="F750" s="179" t="s">
        <v>3419</v>
      </c>
      <c r="G750" s="179" t="s">
        <v>3964</v>
      </c>
      <c r="H750" s="186">
        <v>67200</v>
      </c>
      <c r="I750" s="179" t="s">
        <v>3965</v>
      </c>
      <c r="J750" s="179" t="s">
        <v>1855</v>
      </c>
      <c r="K750" s="54" t="s">
        <v>1853</v>
      </c>
      <c r="L750" s="179" t="s">
        <v>6071</v>
      </c>
      <c r="M750" s="334">
        <v>42641</v>
      </c>
      <c r="N750" s="180" t="s">
        <v>3966</v>
      </c>
      <c r="O750" s="52"/>
      <c r="P750" s="536" t="s">
        <v>1808</v>
      </c>
      <c r="Q750" s="179"/>
      <c r="R750" s="179"/>
      <c r="S750" s="179"/>
      <c r="T750" s="54"/>
      <c r="U750" s="179"/>
    </row>
    <row r="751" spans="1:21" ht="63.75">
      <c r="A751" s="6">
        <v>2016</v>
      </c>
      <c r="B751" s="179" t="s">
        <v>3967</v>
      </c>
      <c r="C751" s="112" t="s">
        <v>61</v>
      </c>
      <c r="D751" s="179" t="s">
        <v>1763</v>
      </c>
      <c r="E751" s="179"/>
      <c r="F751" s="179" t="s">
        <v>3968</v>
      </c>
      <c r="G751" s="179" t="s">
        <v>3969</v>
      </c>
      <c r="H751" s="186">
        <v>68000</v>
      </c>
      <c r="I751" s="179" t="s">
        <v>3970</v>
      </c>
      <c r="J751" s="179" t="s">
        <v>2656</v>
      </c>
      <c r="K751" s="54"/>
      <c r="L751" s="179" t="s">
        <v>6064</v>
      </c>
      <c r="M751" s="334">
        <v>42643</v>
      </c>
      <c r="N751" s="180" t="s">
        <v>3971</v>
      </c>
      <c r="O751" s="52"/>
      <c r="P751" s="536" t="s">
        <v>1808</v>
      </c>
      <c r="Q751" s="179"/>
      <c r="R751" s="179"/>
      <c r="S751" s="179"/>
      <c r="T751" s="54"/>
      <c r="U751" s="179"/>
    </row>
    <row r="752" spans="1:21" ht="102">
      <c r="A752" s="6">
        <v>2016</v>
      </c>
      <c r="B752" s="179" t="s">
        <v>3972</v>
      </c>
      <c r="C752" s="112" t="s">
        <v>61</v>
      </c>
      <c r="D752" s="179" t="s">
        <v>394</v>
      </c>
      <c r="E752" s="179"/>
      <c r="F752" s="179" t="s">
        <v>3973</v>
      </c>
      <c r="G752" s="179" t="s">
        <v>3974</v>
      </c>
      <c r="H752" s="186">
        <v>63800</v>
      </c>
      <c r="I752" s="179" t="s">
        <v>12028</v>
      </c>
      <c r="J752" s="179" t="s">
        <v>1919</v>
      </c>
      <c r="K752" s="54" t="s">
        <v>1853</v>
      </c>
      <c r="L752" s="179" t="s">
        <v>6071</v>
      </c>
      <c r="M752" s="334">
        <v>42643</v>
      </c>
      <c r="N752" s="180" t="s">
        <v>3975</v>
      </c>
      <c r="O752" s="52"/>
      <c r="P752" s="536" t="s">
        <v>1808</v>
      </c>
      <c r="Q752" s="179"/>
      <c r="R752" s="179"/>
      <c r="S752" s="179"/>
      <c r="T752" s="54"/>
      <c r="U752" s="179"/>
    </row>
    <row r="753" spans="1:21" ht="102">
      <c r="A753" s="6">
        <v>2016</v>
      </c>
      <c r="B753" s="179" t="s">
        <v>3976</v>
      </c>
      <c r="C753" s="112" t="s">
        <v>61</v>
      </c>
      <c r="D753" s="179" t="s">
        <v>1141</v>
      </c>
      <c r="E753" s="179"/>
      <c r="F753" s="179" t="s">
        <v>3977</v>
      </c>
      <c r="G753" s="179" t="s">
        <v>3939</v>
      </c>
      <c r="H753" s="194">
        <v>84114.45</v>
      </c>
      <c r="I753" s="179" t="s">
        <v>3940</v>
      </c>
      <c r="J753" s="179" t="s">
        <v>1899</v>
      </c>
      <c r="K753" s="54" t="s">
        <v>1904</v>
      </c>
      <c r="L753" s="179" t="s">
        <v>6137</v>
      </c>
      <c r="M753" s="334">
        <v>42643</v>
      </c>
      <c r="N753" s="180" t="s">
        <v>12029</v>
      </c>
      <c r="O753" s="52"/>
      <c r="P753" s="536" t="s">
        <v>1808</v>
      </c>
      <c r="Q753" s="179"/>
      <c r="R753" s="179"/>
      <c r="S753" s="179"/>
      <c r="T753" s="54"/>
      <c r="U753" s="179"/>
    </row>
    <row r="754" spans="1:21" ht="51">
      <c r="A754" s="6">
        <v>2016</v>
      </c>
      <c r="B754" s="179" t="s">
        <v>3979</v>
      </c>
      <c r="C754" s="112" t="s">
        <v>61</v>
      </c>
      <c r="D754" s="179" t="s">
        <v>394</v>
      </c>
      <c r="E754" s="179"/>
      <c r="F754" s="179" t="s">
        <v>3419</v>
      </c>
      <c r="G754" s="179" t="s">
        <v>3980</v>
      </c>
      <c r="H754" s="186">
        <v>68000</v>
      </c>
      <c r="I754" s="179" t="s">
        <v>3405</v>
      </c>
      <c r="J754" s="179" t="s">
        <v>2130</v>
      </c>
      <c r="K754" s="54" t="s">
        <v>1853</v>
      </c>
      <c r="L754" s="179" t="s">
        <v>6071</v>
      </c>
      <c r="M754" s="334">
        <v>42646</v>
      </c>
      <c r="N754" s="180" t="s">
        <v>3981</v>
      </c>
      <c r="O754" s="52"/>
      <c r="P754" s="536" t="s">
        <v>1808</v>
      </c>
      <c r="Q754" s="179"/>
      <c r="R754" s="179"/>
      <c r="S754" s="179"/>
      <c r="T754" s="54"/>
      <c r="U754" s="179"/>
    </row>
    <row r="755" spans="1:21" ht="76.5">
      <c r="A755" s="6">
        <v>2016</v>
      </c>
      <c r="B755" s="179" t="s">
        <v>3982</v>
      </c>
      <c r="C755" s="112" t="s">
        <v>61</v>
      </c>
      <c r="D755" s="179" t="s">
        <v>1383</v>
      </c>
      <c r="E755" s="179"/>
      <c r="F755" s="179" t="s">
        <v>3983</v>
      </c>
      <c r="G755" s="179" t="s">
        <v>811</v>
      </c>
      <c r="H755" s="186">
        <v>83480</v>
      </c>
      <c r="I755" s="179" t="s">
        <v>3500</v>
      </c>
      <c r="J755" s="179" t="s">
        <v>1828</v>
      </c>
      <c r="K755" s="54" t="s">
        <v>82</v>
      </c>
      <c r="L755" s="179" t="s">
        <v>6064</v>
      </c>
      <c r="M755" s="334">
        <v>42650</v>
      </c>
      <c r="N755" s="180" t="s">
        <v>3984</v>
      </c>
      <c r="O755" s="52"/>
      <c r="P755" s="536" t="s">
        <v>1808</v>
      </c>
      <c r="Q755" s="179"/>
      <c r="R755" s="179"/>
      <c r="S755" s="179"/>
      <c r="T755" s="54"/>
      <c r="U755" s="179"/>
    </row>
    <row r="756" spans="1:21" ht="63.75">
      <c r="A756" s="6">
        <v>2016</v>
      </c>
      <c r="B756" s="179" t="s">
        <v>3985</v>
      </c>
      <c r="C756" s="112" t="s">
        <v>61</v>
      </c>
      <c r="D756" s="179" t="s">
        <v>394</v>
      </c>
      <c r="E756" s="179"/>
      <c r="F756" s="179" t="s">
        <v>3986</v>
      </c>
      <c r="G756" s="179" t="s">
        <v>3987</v>
      </c>
      <c r="H756" s="186">
        <v>67200</v>
      </c>
      <c r="I756" s="179" t="s">
        <v>3988</v>
      </c>
      <c r="J756" s="179" t="s">
        <v>1896</v>
      </c>
      <c r="K756" s="54" t="s">
        <v>1853</v>
      </c>
      <c r="L756" s="179" t="s">
        <v>6071</v>
      </c>
      <c r="M756" s="334">
        <v>42650</v>
      </c>
      <c r="N756" s="180" t="s">
        <v>3989</v>
      </c>
      <c r="O756" s="52"/>
      <c r="P756" s="536" t="s">
        <v>1808</v>
      </c>
      <c r="Q756" s="179"/>
      <c r="R756" s="179"/>
      <c r="S756" s="179"/>
      <c r="T756" s="54"/>
      <c r="U756" s="179"/>
    </row>
    <row r="757" spans="1:21" ht="63.75">
      <c r="A757" s="6">
        <v>2016</v>
      </c>
      <c r="B757" s="179" t="s">
        <v>3990</v>
      </c>
      <c r="C757" s="112" t="s">
        <v>61</v>
      </c>
      <c r="D757" s="179" t="s">
        <v>394</v>
      </c>
      <c r="E757" s="179"/>
      <c r="F757" s="179" t="s">
        <v>3991</v>
      </c>
      <c r="G757" s="179" t="s">
        <v>3987</v>
      </c>
      <c r="H757" s="186">
        <v>71800</v>
      </c>
      <c r="I757" s="179" t="s">
        <v>3988</v>
      </c>
      <c r="J757" s="179" t="s">
        <v>1896</v>
      </c>
      <c r="K757" s="54" t="s">
        <v>1853</v>
      </c>
      <c r="L757" s="179" t="s">
        <v>6071</v>
      </c>
      <c r="M757" s="334">
        <v>42650</v>
      </c>
      <c r="N757" s="180" t="s">
        <v>3989</v>
      </c>
      <c r="O757" s="52"/>
      <c r="P757" s="536" t="s">
        <v>1808</v>
      </c>
      <c r="Q757" s="179"/>
      <c r="R757" s="179"/>
      <c r="S757" s="179"/>
      <c r="T757" s="54"/>
      <c r="U757" s="179"/>
    </row>
    <row r="758" spans="1:21" ht="63.75">
      <c r="A758" s="6">
        <v>2016</v>
      </c>
      <c r="B758" s="179" t="s">
        <v>3992</v>
      </c>
      <c r="C758" s="112" t="s">
        <v>61</v>
      </c>
      <c r="D758" s="179" t="s">
        <v>3168</v>
      </c>
      <c r="E758" s="179"/>
      <c r="F758" s="179" t="s">
        <v>3993</v>
      </c>
      <c r="G758" s="179" t="s">
        <v>811</v>
      </c>
      <c r="H758" s="186">
        <v>100000</v>
      </c>
      <c r="I758" s="179" t="s">
        <v>3841</v>
      </c>
      <c r="J758" s="179" t="s">
        <v>1828</v>
      </c>
      <c r="K758" s="54"/>
      <c r="L758" s="179" t="s">
        <v>6064</v>
      </c>
      <c r="M758" s="334">
        <v>42657</v>
      </c>
      <c r="N758" s="180" t="s">
        <v>12030</v>
      </c>
      <c r="O758" s="52"/>
      <c r="P758" s="536" t="s">
        <v>1808</v>
      </c>
      <c r="Q758" s="179"/>
      <c r="R758" s="179"/>
      <c r="S758" s="179"/>
      <c r="T758" s="54"/>
      <c r="U758" s="179"/>
    </row>
    <row r="759" spans="1:21" ht="63.75">
      <c r="A759" s="6">
        <v>2016</v>
      </c>
      <c r="B759" s="179" t="s">
        <v>3995</v>
      </c>
      <c r="C759" s="112" t="s">
        <v>61</v>
      </c>
      <c r="D759" s="179" t="s">
        <v>3168</v>
      </c>
      <c r="E759" s="179"/>
      <c r="F759" s="179" t="s">
        <v>3996</v>
      </c>
      <c r="G759" s="179" t="s">
        <v>3997</v>
      </c>
      <c r="H759" s="186">
        <v>50000</v>
      </c>
      <c r="I759" s="179"/>
      <c r="J759" s="179" t="s">
        <v>1828</v>
      </c>
      <c r="K759" s="54"/>
      <c r="L759" s="179" t="s">
        <v>6064</v>
      </c>
      <c r="M759" s="334">
        <v>42657</v>
      </c>
      <c r="N759" s="180" t="s">
        <v>3998</v>
      </c>
      <c r="O759" s="52"/>
      <c r="P759" s="536" t="s">
        <v>1808</v>
      </c>
      <c r="Q759" s="179"/>
      <c r="R759" s="179"/>
      <c r="S759" s="179"/>
      <c r="T759" s="54"/>
      <c r="U759" s="179"/>
    </row>
    <row r="760" spans="1:21" ht="25.5">
      <c r="A760" s="6">
        <v>2016</v>
      </c>
      <c r="B760" s="190" t="s">
        <v>3999</v>
      </c>
      <c r="C760" s="112" t="s">
        <v>61</v>
      </c>
      <c r="D760" s="190" t="s">
        <v>3827</v>
      </c>
      <c r="E760" s="190"/>
      <c r="F760" s="190" t="s">
        <v>3827</v>
      </c>
      <c r="G760" s="190" t="s">
        <v>3827</v>
      </c>
      <c r="H760" s="190" t="s">
        <v>3827</v>
      </c>
      <c r="I760" s="190" t="s">
        <v>3827</v>
      </c>
      <c r="J760" s="190"/>
      <c r="K760" s="54"/>
      <c r="L760" s="190" t="s">
        <v>3827</v>
      </c>
      <c r="M760" s="190"/>
      <c r="N760" s="190" t="s">
        <v>3827</v>
      </c>
      <c r="O760" s="52"/>
      <c r="P760" s="789" t="s">
        <v>1808</v>
      </c>
      <c r="Q760" s="190"/>
      <c r="R760" s="190"/>
      <c r="S760" s="179"/>
      <c r="T760" s="54"/>
      <c r="U760" s="190"/>
    </row>
    <row r="761" spans="1:21" ht="76.5">
      <c r="A761" s="6">
        <v>2016</v>
      </c>
      <c r="B761" s="179" t="s">
        <v>4000</v>
      </c>
      <c r="C761" s="112" t="s">
        <v>61</v>
      </c>
      <c r="D761" s="179" t="s">
        <v>1763</v>
      </c>
      <c r="E761" s="179"/>
      <c r="F761" s="179" t="s">
        <v>4001</v>
      </c>
      <c r="G761" s="179" t="s">
        <v>4002</v>
      </c>
      <c r="H761" s="186">
        <v>10500</v>
      </c>
      <c r="I761" s="179" t="s">
        <v>4003</v>
      </c>
      <c r="J761" s="179" t="s">
        <v>1828</v>
      </c>
      <c r="K761" s="54"/>
      <c r="L761" s="179" t="s">
        <v>7365</v>
      </c>
      <c r="M761" s="334">
        <v>42657</v>
      </c>
      <c r="N761" s="180" t="s">
        <v>12031</v>
      </c>
      <c r="O761" s="52"/>
      <c r="P761" s="179" t="s">
        <v>6132</v>
      </c>
      <c r="Q761" s="179"/>
      <c r="R761" s="179"/>
      <c r="S761" s="179"/>
      <c r="T761" s="54"/>
      <c r="U761" s="179"/>
    </row>
    <row r="762" spans="1:21" ht="76.5">
      <c r="A762" s="6">
        <v>2016</v>
      </c>
      <c r="B762" s="179" t="s">
        <v>4005</v>
      </c>
      <c r="C762" s="112" t="s">
        <v>61</v>
      </c>
      <c r="D762" s="179" t="s">
        <v>1383</v>
      </c>
      <c r="E762" s="179"/>
      <c r="F762" s="179" t="s">
        <v>4006</v>
      </c>
      <c r="G762" s="179" t="s">
        <v>4007</v>
      </c>
      <c r="H762" s="186">
        <v>15000</v>
      </c>
      <c r="I762" s="179" t="s">
        <v>4008</v>
      </c>
      <c r="J762" s="179" t="s">
        <v>1828</v>
      </c>
      <c r="K762" s="54" t="s">
        <v>82</v>
      </c>
      <c r="L762" s="179" t="s">
        <v>6064</v>
      </c>
      <c r="M762" s="334">
        <v>42660</v>
      </c>
      <c r="N762" s="180" t="s">
        <v>4009</v>
      </c>
      <c r="O762" s="52"/>
      <c r="P762" s="179" t="s">
        <v>6132</v>
      </c>
      <c r="Q762" s="179"/>
      <c r="R762" s="179"/>
      <c r="S762" s="179"/>
      <c r="T762" s="54"/>
      <c r="U762" s="179"/>
    </row>
    <row r="763" spans="1:21" ht="76.5">
      <c r="A763" s="6">
        <v>2016</v>
      </c>
      <c r="B763" s="179" t="s">
        <v>4010</v>
      </c>
      <c r="C763" s="112" t="s">
        <v>61</v>
      </c>
      <c r="D763" s="179" t="s">
        <v>394</v>
      </c>
      <c r="E763" s="179"/>
      <c r="F763" s="179" t="s">
        <v>3391</v>
      </c>
      <c r="G763" s="179" t="s">
        <v>4011</v>
      </c>
      <c r="H763" s="186">
        <v>65200</v>
      </c>
      <c r="I763" s="179" t="s">
        <v>4012</v>
      </c>
      <c r="J763" s="179" t="s">
        <v>2082</v>
      </c>
      <c r="K763" s="54" t="s">
        <v>1853</v>
      </c>
      <c r="L763" s="179" t="s">
        <v>6071</v>
      </c>
      <c r="M763" s="334">
        <v>42661</v>
      </c>
      <c r="N763" s="180" t="s">
        <v>4013</v>
      </c>
      <c r="O763" s="52"/>
      <c r="P763" s="536" t="s">
        <v>1808</v>
      </c>
      <c r="Q763" s="179"/>
      <c r="R763" s="179"/>
      <c r="S763" s="179"/>
      <c r="T763" s="54"/>
      <c r="U763" s="179"/>
    </row>
    <row r="764" spans="1:21" ht="89.25">
      <c r="A764" s="6">
        <v>2016</v>
      </c>
      <c r="B764" s="179" t="s">
        <v>4014</v>
      </c>
      <c r="C764" s="112" t="s">
        <v>61</v>
      </c>
      <c r="D764" s="179" t="s">
        <v>1730</v>
      </c>
      <c r="E764" s="179"/>
      <c r="F764" s="179" t="s">
        <v>4015</v>
      </c>
      <c r="G764" s="179" t="s">
        <v>3859</v>
      </c>
      <c r="H764" s="186">
        <v>99998</v>
      </c>
      <c r="I764" s="179" t="s">
        <v>4016</v>
      </c>
      <c r="J764" s="179" t="s">
        <v>1855</v>
      </c>
      <c r="K764" s="54" t="s">
        <v>1904</v>
      </c>
      <c r="L764" s="179" t="s">
        <v>6064</v>
      </c>
      <c r="M764" s="334">
        <v>42670</v>
      </c>
      <c r="N764" s="180" t="s">
        <v>4017</v>
      </c>
      <c r="O764" s="52"/>
      <c r="P764" s="536" t="s">
        <v>1808</v>
      </c>
      <c r="Q764" s="179"/>
      <c r="R764" s="179"/>
      <c r="S764" s="179"/>
      <c r="T764" s="54"/>
      <c r="U764" s="179"/>
    </row>
    <row r="765" spans="1:21" ht="89.25">
      <c r="A765" s="6">
        <v>2016</v>
      </c>
      <c r="B765" s="179" t="s">
        <v>4018</v>
      </c>
      <c r="C765" s="112" t="s">
        <v>61</v>
      </c>
      <c r="D765" s="179" t="s">
        <v>1383</v>
      </c>
      <c r="E765" s="179"/>
      <c r="F765" s="179" t="s">
        <v>4019</v>
      </c>
      <c r="G765" s="179" t="s">
        <v>4020</v>
      </c>
      <c r="H765" s="186">
        <v>66000</v>
      </c>
      <c r="I765" s="179" t="s">
        <v>4021</v>
      </c>
      <c r="J765" s="179" t="s">
        <v>1828</v>
      </c>
      <c r="K765" s="54" t="s">
        <v>82</v>
      </c>
      <c r="L765" s="179" t="s">
        <v>6064</v>
      </c>
      <c r="M765" s="334">
        <v>42671</v>
      </c>
      <c r="N765" s="180" t="s">
        <v>12032</v>
      </c>
      <c r="O765" s="52"/>
      <c r="P765" s="536" t="s">
        <v>1808</v>
      </c>
      <c r="Q765" s="179"/>
      <c r="R765" s="179"/>
      <c r="S765" s="179"/>
      <c r="T765" s="54"/>
      <c r="U765" s="179"/>
    </row>
    <row r="766" spans="1:21" ht="89.25">
      <c r="A766" s="6">
        <v>2016</v>
      </c>
      <c r="B766" s="179" t="s">
        <v>4023</v>
      </c>
      <c r="C766" s="112" t="s">
        <v>61</v>
      </c>
      <c r="D766" s="179" t="s">
        <v>394</v>
      </c>
      <c r="E766" s="179"/>
      <c r="F766" s="179" t="s">
        <v>3419</v>
      </c>
      <c r="G766" s="179" t="s">
        <v>4024</v>
      </c>
      <c r="H766" s="186">
        <v>62000</v>
      </c>
      <c r="I766" s="179" t="s">
        <v>4025</v>
      </c>
      <c r="J766" s="179" t="s">
        <v>1896</v>
      </c>
      <c r="K766" s="54" t="s">
        <v>1853</v>
      </c>
      <c r="L766" s="179" t="s">
        <v>6071</v>
      </c>
      <c r="M766" s="334">
        <v>42677</v>
      </c>
      <c r="N766" s="180" t="s">
        <v>4026</v>
      </c>
      <c r="O766" s="52"/>
      <c r="P766" s="536" t="s">
        <v>1808</v>
      </c>
      <c r="Q766" s="179"/>
      <c r="R766" s="179"/>
      <c r="S766" s="179"/>
      <c r="T766" s="54"/>
      <c r="U766" s="179"/>
    </row>
    <row r="767" spans="1:21" ht="89.25">
      <c r="A767" s="6">
        <v>2016</v>
      </c>
      <c r="B767" s="179" t="s">
        <v>4027</v>
      </c>
      <c r="C767" s="112" t="s">
        <v>61</v>
      </c>
      <c r="D767" s="179" t="s">
        <v>394</v>
      </c>
      <c r="E767" s="179"/>
      <c r="F767" s="179" t="s">
        <v>4028</v>
      </c>
      <c r="G767" s="179" t="s">
        <v>4029</v>
      </c>
      <c r="H767" s="186">
        <v>51000</v>
      </c>
      <c r="I767" s="179" t="s">
        <v>4030</v>
      </c>
      <c r="J767" s="179" t="s">
        <v>2082</v>
      </c>
      <c r="K767" s="54" t="s">
        <v>1853</v>
      </c>
      <c r="L767" s="179" t="s">
        <v>6071</v>
      </c>
      <c r="M767" s="334">
        <v>42681</v>
      </c>
      <c r="N767" s="180" t="s">
        <v>12033</v>
      </c>
      <c r="O767" s="52"/>
      <c r="P767" s="536" t="s">
        <v>1808</v>
      </c>
      <c r="Q767" s="179"/>
      <c r="R767" s="179"/>
      <c r="S767" s="179"/>
      <c r="T767" s="54"/>
      <c r="U767" s="179"/>
    </row>
    <row r="768" spans="1:21" ht="63.75">
      <c r="A768" s="6">
        <v>2016</v>
      </c>
      <c r="B768" s="179" t="s">
        <v>4032</v>
      </c>
      <c r="C768" s="112" t="s">
        <v>61</v>
      </c>
      <c r="D768" s="179" t="s">
        <v>394</v>
      </c>
      <c r="E768" s="304"/>
      <c r="F768" s="179" t="s">
        <v>3391</v>
      </c>
      <c r="G768" s="179" t="s">
        <v>4033</v>
      </c>
      <c r="H768" s="186">
        <v>58500</v>
      </c>
      <c r="J768" s="179" t="s">
        <v>2659</v>
      </c>
      <c r="K768" s="54" t="s">
        <v>1853</v>
      </c>
      <c r="L768" s="179" t="s">
        <v>6071</v>
      </c>
      <c r="M768" s="334">
        <v>42682</v>
      </c>
      <c r="N768" s="180" t="s">
        <v>4034</v>
      </c>
      <c r="O768" s="52"/>
      <c r="P768" s="536" t="s">
        <v>1808</v>
      </c>
      <c r="Q768" s="179"/>
      <c r="R768" s="179"/>
      <c r="S768" s="179"/>
      <c r="T768" s="54"/>
    </row>
    <row r="769" spans="1:21" ht="76.5">
      <c r="A769" s="6">
        <v>2016</v>
      </c>
      <c r="B769" s="179" t="s">
        <v>4035</v>
      </c>
      <c r="C769" s="112" t="s">
        <v>61</v>
      </c>
      <c r="D769" s="179" t="s">
        <v>1763</v>
      </c>
      <c r="E769" s="179"/>
      <c r="F769" s="179" t="s">
        <v>4036</v>
      </c>
      <c r="G769" s="179" t="s">
        <v>4037</v>
      </c>
      <c r="H769" s="186">
        <v>50000</v>
      </c>
      <c r="I769" s="179" t="s">
        <v>4038</v>
      </c>
      <c r="J769" s="179" t="s">
        <v>2656</v>
      </c>
      <c r="K769" s="54"/>
      <c r="L769" s="179" t="s">
        <v>7365</v>
      </c>
      <c r="M769" s="334">
        <v>42682</v>
      </c>
      <c r="N769" s="180" t="s">
        <v>4039</v>
      </c>
      <c r="O769" s="52"/>
      <c r="P769" s="179" t="s">
        <v>6132</v>
      </c>
      <c r="Q769" s="179"/>
      <c r="R769" s="179"/>
      <c r="S769" s="179"/>
      <c r="T769" s="54"/>
      <c r="U769" s="179"/>
    </row>
    <row r="770" spans="1:21" ht="51">
      <c r="A770" s="6">
        <v>2016</v>
      </c>
      <c r="B770" s="179" t="s">
        <v>4040</v>
      </c>
      <c r="C770" s="112" t="s">
        <v>61</v>
      </c>
      <c r="D770" s="179" t="s">
        <v>394</v>
      </c>
      <c r="E770" s="179"/>
      <c r="F770" s="179" t="s">
        <v>4041</v>
      </c>
      <c r="G770" s="179" t="s">
        <v>4042</v>
      </c>
      <c r="H770" s="186">
        <v>42000</v>
      </c>
      <c r="I770" s="790" t="s">
        <v>12034</v>
      </c>
      <c r="J770" s="179" t="s">
        <v>2085</v>
      </c>
      <c r="K770" s="54" t="s">
        <v>1853</v>
      </c>
      <c r="L770" s="179" t="s">
        <v>6071</v>
      </c>
      <c r="M770" s="334">
        <v>42683</v>
      </c>
      <c r="N770" s="180" t="s">
        <v>4043</v>
      </c>
      <c r="O770" s="52"/>
      <c r="P770" s="536" t="s">
        <v>1808</v>
      </c>
      <c r="Q770" s="179"/>
      <c r="R770" s="179"/>
      <c r="S770" s="179"/>
      <c r="T770" s="54"/>
      <c r="U770" s="790"/>
    </row>
    <row r="771" spans="1:21" ht="63.75">
      <c r="A771" s="6">
        <v>2016</v>
      </c>
      <c r="B771" s="179" t="s">
        <v>4044</v>
      </c>
      <c r="C771" s="112" t="s">
        <v>61</v>
      </c>
      <c r="D771" s="179" t="s">
        <v>394</v>
      </c>
      <c r="E771" s="179"/>
      <c r="F771" s="179" t="s">
        <v>4045</v>
      </c>
      <c r="G771" s="179" t="s">
        <v>4046</v>
      </c>
      <c r="H771" s="186">
        <v>32000</v>
      </c>
      <c r="I771" s="790" t="s">
        <v>12035</v>
      </c>
      <c r="J771" s="179" t="s">
        <v>1896</v>
      </c>
      <c r="K771" s="54" t="s">
        <v>1853</v>
      </c>
      <c r="L771" s="179" t="s">
        <v>6071</v>
      </c>
      <c r="M771" s="334">
        <v>42685</v>
      </c>
      <c r="N771" s="180" t="s">
        <v>4047</v>
      </c>
      <c r="O771" s="52"/>
      <c r="P771" s="536" t="s">
        <v>1808</v>
      </c>
      <c r="Q771" s="179"/>
      <c r="R771" s="179"/>
      <c r="S771" s="179"/>
      <c r="T771" s="54"/>
      <c r="U771" s="790"/>
    </row>
    <row r="772" spans="1:21" ht="51">
      <c r="A772" s="6">
        <v>2016</v>
      </c>
      <c r="B772" s="179" t="s">
        <v>4048</v>
      </c>
      <c r="C772" s="112" t="s">
        <v>61</v>
      </c>
      <c r="D772" s="179" t="s">
        <v>394</v>
      </c>
      <c r="E772" s="179"/>
      <c r="F772" s="179" t="s">
        <v>3419</v>
      </c>
      <c r="G772" s="179" t="s">
        <v>4049</v>
      </c>
      <c r="H772" s="186">
        <v>38000</v>
      </c>
      <c r="I772" s="196" t="s">
        <v>12036</v>
      </c>
      <c r="J772" s="179" t="s">
        <v>1886</v>
      </c>
      <c r="K772" s="54" t="s">
        <v>1853</v>
      </c>
      <c r="L772" s="179" t="s">
        <v>6071</v>
      </c>
      <c r="M772" s="334">
        <v>42685</v>
      </c>
      <c r="N772" s="180" t="s">
        <v>4050</v>
      </c>
      <c r="O772" s="52"/>
      <c r="P772" s="536" t="s">
        <v>1808</v>
      </c>
      <c r="Q772" s="179"/>
      <c r="R772" s="179"/>
      <c r="S772" s="179"/>
      <c r="T772" s="54"/>
      <c r="U772" s="196"/>
    </row>
    <row r="773" spans="1:21" ht="63.75">
      <c r="A773" s="6">
        <v>2016</v>
      </c>
      <c r="B773" s="179" t="s">
        <v>4051</v>
      </c>
      <c r="C773" s="112" t="s">
        <v>61</v>
      </c>
      <c r="D773" s="179" t="s">
        <v>394</v>
      </c>
      <c r="E773" s="179"/>
      <c r="F773" s="179" t="s">
        <v>4052</v>
      </c>
      <c r="G773" s="179" t="s">
        <v>4053</v>
      </c>
      <c r="H773" s="186">
        <v>68000</v>
      </c>
      <c r="I773" s="179" t="s">
        <v>4054</v>
      </c>
      <c r="J773" s="179" t="s">
        <v>1855</v>
      </c>
      <c r="K773" s="54" t="s">
        <v>1853</v>
      </c>
      <c r="L773" s="179" t="s">
        <v>6071</v>
      </c>
      <c r="M773" s="334">
        <v>42685</v>
      </c>
      <c r="N773" s="180" t="s">
        <v>4055</v>
      </c>
      <c r="O773" s="52"/>
      <c r="P773" s="536" t="s">
        <v>1808</v>
      </c>
      <c r="Q773" s="179"/>
      <c r="R773" s="179"/>
      <c r="S773" s="179"/>
      <c r="T773" s="54"/>
      <c r="U773" s="179"/>
    </row>
    <row r="774" spans="1:21" ht="63.75">
      <c r="A774" s="6">
        <v>2016</v>
      </c>
      <c r="B774" s="179" t="s">
        <v>4056</v>
      </c>
      <c r="C774" s="112" t="s">
        <v>61</v>
      </c>
      <c r="D774" s="179" t="s">
        <v>3092</v>
      </c>
      <c r="E774" s="179"/>
      <c r="F774" s="179" t="s">
        <v>4057</v>
      </c>
      <c r="G774" s="179" t="s">
        <v>3333</v>
      </c>
      <c r="H774" s="186">
        <v>95135</v>
      </c>
      <c r="I774" s="179" t="s">
        <v>4058</v>
      </c>
      <c r="J774" s="179" t="s">
        <v>1828</v>
      </c>
      <c r="K774" s="54" t="s">
        <v>1904</v>
      </c>
      <c r="L774" s="179" t="s">
        <v>6137</v>
      </c>
      <c r="M774" s="334">
        <v>42691</v>
      </c>
      <c r="N774" s="180" t="s">
        <v>4059</v>
      </c>
      <c r="O774" s="52"/>
      <c r="P774" s="536" t="s">
        <v>1808</v>
      </c>
      <c r="Q774" s="179"/>
      <c r="R774" s="179"/>
      <c r="S774" s="179"/>
      <c r="T774" s="54"/>
      <c r="U774" s="179"/>
    </row>
    <row r="775" spans="1:21" ht="76.5">
      <c r="A775" s="6">
        <v>2016</v>
      </c>
      <c r="B775" s="179" t="s">
        <v>4060</v>
      </c>
      <c r="C775" s="112" t="s">
        <v>61</v>
      </c>
      <c r="D775" s="179" t="s">
        <v>3168</v>
      </c>
      <c r="E775" s="179"/>
      <c r="F775" s="179" t="s">
        <v>4061</v>
      </c>
      <c r="G775" s="179" t="s">
        <v>4062</v>
      </c>
      <c r="H775" s="186">
        <v>39200</v>
      </c>
      <c r="I775" s="179" t="s">
        <v>4063</v>
      </c>
      <c r="J775" s="179" t="s">
        <v>2449</v>
      </c>
      <c r="K775" s="54"/>
      <c r="L775" s="179" t="s">
        <v>6071</v>
      </c>
      <c r="M775" s="334">
        <v>42691</v>
      </c>
      <c r="N775" s="180" t="s">
        <v>4064</v>
      </c>
      <c r="O775" s="52"/>
      <c r="P775" s="536" t="s">
        <v>1808</v>
      </c>
      <c r="Q775" s="179"/>
      <c r="R775" s="179"/>
      <c r="S775" s="179"/>
      <c r="T775" s="54"/>
      <c r="U775" s="179"/>
    </row>
    <row r="776" spans="1:21" ht="25.5">
      <c r="A776" s="6">
        <v>2016</v>
      </c>
      <c r="B776" s="179" t="s">
        <v>4065</v>
      </c>
      <c r="C776" s="112" t="s">
        <v>61</v>
      </c>
      <c r="D776" s="190" t="s">
        <v>3827</v>
      </c>
      <c r="E776" s="190"/>
      <c r="F776" s="190" t="s">
        <v>3827</v>
      </c>
      <c r="G776" s="190" t="s">
        <v>3827</v>
      </c>
      <c r="H776" s="190" t="s">
        <v>3827</v>
      </c>
      <c r="I776" s="190" t="s">
        <v>3827</v>
      </c>
      <c r="J776" s="190"/>
      <c r="K776" s="54"/>
      <c r="L776" s="190" t="s">
        <v>3827</v>
      </c>
      <c r="M776" s="190"/>
      <c r="N776" s="190" t="s">
        <v>3827</v>
      </c>
      <c r="O776" s="52"/>
      <c r="P776" s="789" t="s">
        <v>1808</v>
      </c>
      <c r="Q776" s="190"/>
      <c r="R776" s="190"/>
      <c r="S776" s="179"/>
      <c r="T776" s="54"/>
      <c r="U776" s="190"/>
    </row>
    <row r="777" spans="1:21" ht="76.5">
      <c r="A777" s="6">
        <v>2016</v>
      </c>
      <c r="B777" s="179" t="s">
        <v>4066</v>
      </c>
      <c r="C777" s="112" t="s">
        <v>61</v>
      </c>
      <c r="D777" s="179" t="s">
        <v>1383</v>
      </c>
      <c r="E777" s="179"/>
      <c r="F777" s="179" t="s">
        <v>4067</v>
      </c>
      <c r="G777" s="179" t="s">
        <v>4068</v>
      </c>
      <c r="H777" s="186">
        <v>50000</v>
      </c>
      <c r="I777" s="179" t="s">
        <v>4058</v>
      </c>
      <c r="J777" s="179" t="s">
        <v>1828</v>
      </c>
      <c r="K777" s="54" t="s">
        <v>82</v>
      </c>
      <c r="L777" s="179" t="s">
        <v>6170</v>
      </c>
      <c r="M777" s="334">
        <v>42709</v>
      </c>
      <c r="N777" s="180" t="s">
        <v>4069</v>
      </c>
      <c r="O777" s="52"/>
      <c r="P777" s="536" t="s">
        <v>1808</v>
      </c>
      <c r="Q777" s="179"/>
      <c r="R777" s="179"/>
      <c r="S777" s="179"/>
      <c r="T777" s="54"/>
      <c r="U777" s="179"/>
    </row>
    <row r="778" spans="1:21" ht="102">
      <c r="A778" s="6">
        <v>2016</v>
      </c>
      <c r="B778" s="179" t="s">
        <v>4070</v>
      </c>
      <c r="C778" s="112" t="s">
        <v>61</v>
      </c>
      <c r="D778" s="179" t="s">
        <v>394</v>
      </c>
      <c r="E778" s="179"/>
      <c r="F778" s="179" t="s">
        <v>4071</v>
      </c>
      <c r="G778" s="179" t="s">
        <v>4072</v>
      </c>
      <c r="H778" s="186">
        <v>70000</v>
      </c>
      <c r="I778" s="179" t="s">
        <v>4073</v>
      </c>
      <c r="J778" s="179" t="s">
        <v>2085</v>
      </c>
      <c r="K778" s="54" t="s">
        <v>1853</v>
      </c>
      <c r="L778" s="179" t="s">
        <v>6071</v>
      </c>
      <c r="M778" s="334">
        <v>42711</v>
      </c>
      <c r="N778" s="180" t="s">
        <v>12037</v>
      </c>
      <c r="O778" s="52"/>
      <c r="P778" s="536" t="s">
        <v>1808</v>
      </c>
      <c r="Q778" s="179"/>
      <c r="R778" s="179"/>
      <c r="S778" s="179"/>
      <c r="T778" s="54"/>
      <c r="U778" s="179"/>
    </row>
    <row r="779" spans="1:21" ht="63.75">
      <c r="A779" s="6">
        <v>2016</v>
      </c>
      <c r="B779" s="179" t="s">
        <v>4075</v>
      </c>
      <c r="C779" s="112" t="s">
        <v>61</v>
      </c>
      <c r="D779" s="54" t="s">
        <v>586</v>
      </c>
      <c r="E779" s="54"/>
      <c r="F779" s="179" t="s">
        <v>4076</v>
      </c>
      <c r="G779" s="179" t="s">
        <v>4077</v>
      </c>
      <c r="H779" s="186">
        <v>8500</v>
      </c>
      <c r="I779" s="179" t="s">
        <v>4078</v>
      </c>
      <c r="J779" s="179" t="s">
        <v>1828</v>
      </c>
      <c r="K779" s="54" t="s">
        <v>1874</v>
      </c>
      <c r="L779" s="179" t="s">
        <v>6724</v>
      </c>
      <c r="M779" s="334">
        <v>42724</v>
      </c>
      <c r="N779" s="180" t="s">
        <v>12038</v>
      </c>
      <c r="O779" s="52"/>
      <c r="P779" s="536" t="s">
        <v>6132</v>
      </c>
      <c r="Q779" s="179"/>
      <c r="R779" s="179"/>
      <c r="S779" s="179"/>
      <c r="T779" s="54"/>
      <c r="U779" s="179"/>
    </row>
    <row r="780" spans="1:21" ht="63.75">
      <c r="A780" s="6">
        <v>2016</v>
      </c>
      <c r="B780" s="179" t="s">
        <v>4080</v>
      </c>
      <c r="C780" s="112" t="s">
        <v>61</v>
      </c>
      <c r="D780" s="179" t="s">
        <v>1383</v>
      </c>
      <c r="E780" s="179"/>
      <c r="F780" s="179" t="s">
        <v>4081</v>
      </c>
      <c r="G780" s="179" t="s">
        <v>4082</v>
      </c>
      <c r="H780" s="186">
        <v>50000</v>
      </c>
      <c r="I780" s="179" t="s">
        <v>3925</v>
      </c>
      <c r="J780" s="179" t="s">
        <v>1828</v>
      </c>
      <c r="K780" s="54" t="s">
        <v>82</v>
      </c>
      <c r="L780" s="179" t="s">
        <v>6064</v>
      </c>
      <c r="M780" s="334">
        <v>42726</v>
      </c>
      <c r="N780" s="180" t="s">
        <v>4083</v>
      </c>
      <c r="O780" s="52"/>
      <c r="P780" s="536" t="s">
        <v>1808</v>
      </c>
      <c r="Q780" s="179"/>
      <c r="R780" s="179"/>
      <c r="S780" s="179"/>
      <c r="T780" s="54"/>
      <c r="U780" s="179"/>
    </row>
    <row r="781" spans="1:21" ht="76.5">
      <c r="A781" s="6">
        <v>2016</v>
      </c>
      <c r="B781" s="179" t="s">
        <v>4084</v>
      </c>
      <c r="C781" s="112" t="s">
        <v>61</v>
      </c>
      <c r="D781" s="179" t="s">
        <v>1141</v>
      </c>
      <c r="E781" s="179"/>
      <c r="F781" s="179" t="s">
        <v>4085</v>
      </c>
      <c r="G781" s="179" t="s">
        <v>4086</v>
      </c>
      <c r="H781" s="186">
        <v>49880</v>
      </c>
      <c r="I781" s="179" t="s">
        <v>4087</v>
      </c>
      <c r="J781" s="179" t="s">
        <v>1919</v>
      </c>
      <c r="K781" s="54" t="s">
        <v>1904</v>
      </c>
      <c r="L781" s="179" t="s">
        <v>6137</v>
      </c>
      <c r="M781" s="334">
        <v>42727</v>
      </c>
      <c r="N781" s="180" t="s">
        <v>4088</v>
      </c>
      <c r="O781" s="52"/>
      <c r="P781" s="536" t="s">
        <v>1808</v>
      </c>
      <c r="Q781" s="179"/>
      <c r="R781" s="179"/>
      <c r="S781" s="179"/>
      <c r="T781" s="54"/>
      <c r="U781" s="179"/>
    </row>
    <row r="782" spans="1:21" ht="25.5">
      <c r="A782" s="9">
        <v>2015</v>
      </c>
      <c r="B782" s="185">
        <v>42005</v>
      </c>
      <c r="C782" s="112" t="s">
        <v>3096</v>
      </c>
      <c r="D782" s="180" t="s">
        <v>3075</v>
      </c>
      <c r="E782" s="180"/>
      <c r="F782" s="178" t="s">
        <v>4089</v>
      </c>
      <c r="G782" s="178" t="s">
        <v>3076</v>
      </c>
      <c r="H782" s="186">
        <v>384896</v>
      </c>
      <c r="I782" s="187" t="s">
        <v>1938</v>
      </c>
      <c r="J782" s="179" t="s">
        <v>1828</v>
      </c>
      <c r="K782" s="52"/>
      <c r="L782" s="53" t="s">
        <v>6189</v>
      </c>
      <c r="M782" s="178"/>
      <c r="N782" s="178"/>
      <c r="O782" s="52"/>
      <c r="P782" s="179" t="s">
        <v>22</v>
      </c>
      <c r="Q782" s="53"/>
      <c r="R782" s="53"/>
      <c r="S782" s="179" t="s">
        <v>1824</v>
      </c>
      <c r="T782" s="52"/>
      <c r="U782" s="187"/>
    </row>
    <row r="783" spans="1:21" ht="38.25">
      <c r="A783" s="9">
        <v>2015</v>
      </c>
      <c r="B783" s="185">
        <v>42036</v>
      </c>
      <c r="C783" s="112" t="s">
        <v>1867</v>
      </c>
      <c r="D783" s="180" t="s">
        <v>4090</v>
      </c>
      <c r="E783" s="180"/>
      <c r="F783" s="179" t="s">
        <v>4091</v>
      </c>
      <c r="G783" s="179" t="s">
        <v>4092</v>
      </c>
      <c r="H783" s="179"/>
      <c r="I783" s="187" t="s">
        <v>4093</v>
      </c>
      <c r="J783" s="179" t="s">
        <v>1828</v>
      </c>
      <c r="K783" s="52"/>
      <c r="L783" s="53" t="s">
        <v>6092</v>
      </c>
      <c r="M783" s="179"/>
      <c r="N783" s="179"/>
      <c r="O783" s="52"/>
      <c r="P783" s="179" t="s">
        <v>6132</v>
      </c>
      <c r="Q783" s="53"/>
      <c r="R783" s="53"/>
      <c r="S783" s="179"/>
      <c r="T783" s="52"/>
      <c r="U783" s="187"/>
    </row>
    <row r="784" spans="1:21" ht="38.25">
      <c r="A784" s="9">
        <v>2015</v>
      </c>
      <c r="B784" s="185">
        <v>42064</v>
      </c>
      <c r="C784" s="112" t="s">
        <v>1867</v>
      </c>
      <c r="D784" s="180" t="s">
        <v>3097</v>
      </c>
      <c r="E784" s="180"/>
      <c r="F784" s="179" t="s">
        <v>4094</v>
      </c>
      <c r="G784" s="189" t="s">
        <v>4095</v>
      </c>
      <c r="H784" s="179"/>
      <c r="I784" s="187" t="s">
        <v>4096</v>
      </c>
      <c r="J784" s="179" t="s">
        <v>1828</v>
      </c>
      <c r="K784" s="52"/>
      <c r="L784" s="53" t="s">
        <v>6064</v>
      </c>
      <c r="M784" s="179"/>
      <c r="N784" s="179"/>
      <c r="O784" s="52"/>
      <c r="P784" s="179" t="s">
        <v>6132</v>
      </c>
      <c r="Q784" s="53"/>
      <c r="R784" s="53"/>
      <c r="S784" s="179"/>
      <c r="T784" s="52"/>
      <c r="U784" s="187"/>
    </row>
    <row r="785" spans="1:21" ht="38.25">
      <c r="A785" s="9">
        <v>2015</v>
      </c>
      <c r="B785" s="185">
        <v>42095</v>
      </c>
      <c r="C785" s="112" t="s">
        <v>1867</v>
      </c>
      <c r="D785" s="188" t="s">
        <v>62</v>
      </c>
      <c r="E785" s="188"/>
      <c r="F785" s="179" t="s">
        <v>4097</v>
      </c>
      <c r="G785" s="179" t="s">
        <v>4098</v>
      </c>
      <c r="H785" s="179"/>
      <c r="I785" s="187" t="s">
        <v>4099</v>
      </c>
      <c r="J785" s="179" t="s">
        <v>2031</v>
      </c>
      <c r="K785" s="52" t="s">
        <v>1904</v>
      </c>
      <c r="L785" s="53" t="s">
        <v>6064</v>
      </c>
      <c r="M785" s="179"/>
      <c r="N785" s="179"/>
      <c r="O785" s="52"/>
      <c r="P785" s="179" t="s">
        <v>6179</v>
      </c>
      <c r="Q785" s="53"/>
      <c r="R785" s="53"/>
      <c r="S785" s="179"/>
      <c r="T785" s="52"/>
      <c r="U785" s="787"/>
    </row>
    <row r="786" spans="1:21" ht="114.75">
      <c r="A786" s="9">
        <v>2015</v>
      </c>
      <c r="B786" s="185">
        <v>42125</v>
      </c>
      <c r="C786" s="112" t="s">
        <v>1867</v>
      </c>
      <c r="D786" s="191" t="s">
        <v>1231</v>
      </c>
      <c r="E786" s="191"/>
      <c r="F786" s="179" t="s">
        <v>4101</v>
      </c>
      <c r="G786" s="179" t="s">
        <v>4102</v>
      </c>
      <c r="H786" s="179" t="s">
        <v>4100</v>
      </c>
      <c r="I786" s="189" t="s">
        <v>1938</v>
      </c>
      <c r="J786" s="179" t="s">
        <v>1828</v>
      </c>
      <c r="K786" s="52"/>
      <c r="L786" s="53" t="s">
        <v>6064</v>
      </c>
      <c r="M786" s="334">
        <v>42030</v>
      </c>
      <c r="N786" s="528" t="s">
        <v>12039</v>
      </c>
      <c r="O786" s="52"/>
      <c r="P786" s="179" t="s">
        <v>12040</v>
      </c>
      <c r="Q786" s="53"/>
      <c r="R786" s="53"/>
      <c r="S786" s="179"/>
      <c r="T786" s="54" t="s">
        <v>7405</v>
      </c>
      <c r="U786" s="189"/>
    </row>
    <row r="787" spans="1:21" ht="165.75">
      <c r="A787" s="9">
        <v>2015</v>
      </c>
      <c r="B787" s="185">
        <v>42156</v>
      </c>
      <c r="C787" s="112" t="s">
        <v>3096</v>
      </c>
      <c r="D787" s="191" t="s">
        <v>3371</v>
      </c>
      <c r="E787" s="191"/>
      <c r="F787" s="179" t="s">
        <v>4103</v>
      </c>
      <c r="G787" s="179" t="s">
        <v>4104</v>
      </c>
      <c r="H787" s="186">
        <v>744000</v>
      </c>
      <c r="I787" s="189" t="s">
        <v>1938</v>
      </c>
      <c r="J787" s="179" t="s">
        <v>1828</v>
      </c>
      <c r="K787" s="52"/>
      <c r="L787" s="53" t="s">
        <v>6064</v>
      </c>
      <c r="M787" s="334">
        <v>42030</v>
      </c>
      <c r="N787" s="180" t="s">
        <v>12041</v>
      </c>
      <c r="O787" s="52"/>
      <c r="P787" s="179" t="s">
        <v>22</v>
      </c>
      <c r="Q787" s="53"/>
      <c r="R787" s="53"/>
      <c r="S787" s="179" t="s">
        <v>1824</v>
      </c>
      <c r="T787" s="52"/>
      <c r="U787" s="189"/>
    </row>
    <row r="788" spans="1:21" ht="204">
      <c r="A788" s="9">
        <v>2015</v>
      </c>
      <c r="B788" s="192">
        <v>42186</v>
      </c>
      <c r="C788" s="112" t="s">
        <v>3096</v>
      </c>
      <c r="D788" s="191" t="s">
        <v>1383</v>
      </c>
      <c r="E788" s="191"/>
      <c r="F788" s="179" t="s">
        <v>4105</v>
      </c>
      <c r="G788" s="179" t="s">
        <v>4106</v>
      </c>
      <c r="H788" s="186">
        <v>7796082</v>
      </c>
      <c r="I788" s="189" t="s">
        <v>1938</v>
      </c>
      <c r="J788" s="179" t="s">
        <v>1828</v>
      </c>
      <c r="K788" s="52"/>
      <c r="L788" s="53" t="s">
        <v>6064</v>
      </c>
      <c r="M788" s="334">
        <v>42030</v>
      </c>
      <c r="N788" s="180" t="s">
        <v>12042</v>
      </c>
      <c r="O788" s="52"/>
      <c r="P788" s="179" t="s">
        <v>22</v>
      </c>
      <c r="Q788" s="53"/>
      <c r="R788" s="53"/>
      <c r="S788" s="179" t="s">
        <v>1824</v>
      </c>
      <c r="T788" s="52"/>
      <c r="U788" s="189"/>
    </row>
    <row r="789" spans="1:21" ht="38.25">
      <c r="A789" s="9">
        <v>2015</v>
      </c>
      <c r="B789" s="185">
        <v>42217</v>
      </c>
      <c r="C789" s="112" t="s">
        <v>61</v>
      </c>
      <c r="D789" s="180" t="s">
        <v>1383</v>
      </c>
      <c r="E789" s="180"/>
      <c r="F789" s="178" t="s">
        <v>4107</v>
      </c>
      <c r="G789" s="178" t="s">
        <v>4108</v>
      </c>
      <c r="H789" s="782">
        <v>500000</v>
      </c>
      <c r="I789" s="187" t="s">
        <v>1938</v>
      </c>
      <c r="J789" s="180" t="s">
        <v>1828</v>
      </c>
      <c r="K789" s="143" t="s">
        <v>82</v>
      </c>
      <c r="L789" s="53" t="s">
        <v>6064</v>
      </c>
      <c r="M789" s="178"/>
      <c r="N789" s="178"/>
      <c r="O789" s="52"/>
      <c r="P789" s="179" t="s">
        <v>22</v>
      </c>
      <c r="Q789" s="53"/>
      <c r="R789" s="53"/>
      <c r="S789" s="179" t="s">
        <v>1824</v>
      </c>
      <c r="T789" s="52"/>
      <c r="U789" s="187"/>
    </row>
    <row r="790" spans="1:21" ht="51">
      <c r="A790" s="9">
        <v>2015</v>
      </c>
      <c r="B790" s="185">
        <v>42248</v>
      </c>
      <c r="C790" s="112" t="s">
        <v>61</v>
      </c>
      <c r="D790" s="180" t="s">
        <v>1383</v>
      </c>
      <c r="E790" s="180"/>
      <c r="F790" s="179" t="s">
        <v>4109</v>
      </c>
      <c r="G790" s="179" t="s">
        <v>4110</v>
      </c>
      <c r="H790" s="186">
        <v>1000000</v>
      </c>
      <c r="I790" s="187" t="s">
        <v>4111</v>
      </c>
      <c r="J790" s="180" t="s">
        <v>1828</v>
      </c>
      <c r="K790" s="143" t="s">
        <v>82</v>
      </c>
      <c r="L790" s="53" t="s">
        <v>6064</v>
      </c>
      <c r="M790" s="179"/>
      <c r="N790" s="179"/>
      <c r="O790" s="52"/>
      <c r="P790" s="179" t="s">
        <v>22</v>
      </c>
      <c r="Q790" s="53"/>
      <c r="R790" s="53"/>
      <c r="S790" s="179" t="s">
        <v>1824</v>
      </c>
      <c r="T790" s="52"/>
      <c r="U790" s="187"/>
    </row>
    <row r="791" spans="1:21" ht="38.25">
      <c r="A791" s="9">
        <v>2015</v>
      </c>
      <c r="B791" s="192">
        <v>42278</v>
      </c>
      <c r="C791" s="112" t="s">
        <v>61</v>
      </c>
      <c r="D791" s="180" t="s">
        <v>1383</v>
      </c>
      <c r="E791" s="180"/>
      <c r="F791" s="179" t="s">
        <v>4112</v>
      </c>
      <c r="G791" s="179" t="s">
        <v>4113</v>
      </c>
      <c r="H791" s="186">
        <v>500000</v>
      </c>
      <c r="I791" s="187" t="s">
        <v>4114</v>
      </c>
      <c r="J791" s="180" t="s">
        <v>1828</v>
      </c>
      <c r="K791" s="143" t="s">
        <v>82</v>
      </c>
      <c r="L791" s="53" t="s">
        <v>6064</v>
      </c>
      <c r="M791" s="179"/>
      <c r="N791" s="179"/>
      <c r="O791" s="52"/>
      <c r="P791" s="179" t="s">
        <v>22</v>
      </c>
      <c r="Q791" s="53"/>
      <c r="R791" s="53"/>
      <c r="S791" s="179" t="s">
        <v>1824</v>
      </c>
      <c r="T791" s="52"/>
      <c r="U791" s="187"/>
    </row>
    <row r="792" spans="1:21" ht="63.75">
      <c r="A792" s="9">
        <v>2015</v>
      </c>
      <c r="B792" s="192">
        <v>42309</v>
      </c>
      <c r="C792" s="112" t="s">
        <v>61</v>
      </c>
      <c r="D792" s="22" t="s">
        <v>62</v>
      </c>
      <c r="E792" s="22"/>
      <c r="F792" s="179" t="s">
        <v>4115</v>
      </c>
      <c r="G792" s="179" t="s">
        <v>4116</v>
      </c>
      <c r="H792" s="791">
        <v>672777.28</v>
      </c>
      <c r="I792" s="187" t="s">
        <v>4117</v>
      </c>
      <c r="J792" s="180" t="s">
        <v>1828</v>
      </c>
      <c r="K792" s="143" t="s">
        <v>1904</v>
      </c>
      <c r="L792" s="53" t="s">
        <v>6137</v>
      </c>
      <c r="M792" s="179"/>
      <c r="N792" s="179"/>
      <c r="O792" s="52"/>
      <c r="P792" s="179" t="s">
        <v>6132</v>
      </c>
      <c r="Q792" s="53"/>
      <c r="R792" s="53"/>
      <c r="S792" s="179"/>
      <c r="T792" s="52"/>
      <c r="U792" s="187"/>
    </row>
    <row r="793" spans="1:21" ht="51">
      <c r="A793" s="9">
        <v>2015</v>
      </c>
      <c r="B793" s="192">
        <v>42339</v>
      </c>
      <c r="C793" s="112" t="s">
        <v>61</v>
      </c>
      <c r="D793" s="180" t="s">
        <v>3168</v>
      </c>
      <c r="E793" s="180"/>
      <c r="F793" s="179" t="s">
        <v>4118</v>
      </c>
      <c r="G793" s="179" t="s">
        <v>4119</v>
      </c>
      <c r="H793" s="792">
        <v>500000</v>
      </c>
      <c r="I793" s="179" t="s">
        <v>2508</v>
      </c>
      <c r="J793" s="180" t="s">
        <v>1828</v>
      </c>
      <c r="K793" s="143" t="s">
        <v>82</v>
      </c>
      <c r="L793" s="53" t="s">
        <v>6064</v>
      </c>
      <c r="M793" s="179"/>
      <c r="N793" s="179"/>
      <c r="O793" s="52"/>
      <c r="P793" s="179" t="s">
        <v>22</v>
      </c>
      <c r="Q793" s="53"/>
      <c r="R793" s="53"/>
      <c r="S793" s="179" t="s">
        <v>1824</v>
      </c>
      <c r="T793" s="52"/>
      <c r="U793" s="179"/>
    </row>
    <row r="794" spans="1:21" ht="25.5">
      <c r="A794" s="9">
        <v>2015</v>
      </c>
      <c r="B794" s="179" t="s">
        <v>4120</v>
      </c>
      <c r="C794" s="112" t="s">
        <v>61</v>
      </c>
      <c r="D794" s="180" t="s">
        <v>1383</v>
      </c>
      <c r="E794" s="180"/>
      <c r="F794" s="179" t="s">
        <v>4121</v>
      </c>
      <c r="G794" s="178" t="s">
        <v>4122</v>
      </c>
      <c r="H794" s="186">
        <v>500000</v>
      </c>
      <c r="I794" s="179" t="s">
        <v>2508</v>
      </c>
      <c r="J794" s="180" t="s">
        <v>1828</v>
      </c>
      <c r="K794" s="143" t="s">
        <v>82</v>
      </c>
      <c r="L794" s="53" t="s">
        <v>6064</v>
      </c>
      <c r="M794" s="179"/>
      <c r="N794" s="179"/>
      <c r="O794" s="52"/>
      <c r="P794" s="179" t="s">
        <v>22</v>
      </c>
      <c r="Q794" s="53"/>
      <c r="R794" s="53"/>
      <c r="S794" s="179" t="s">
        <v>1824</v>
      </c>
      <c r="T794" s="52"/>
      <c r="U794" s="179"/>
    </row>
    <row r="795" spans="1:21" ht="25.5">
      <c r="A795" s="9">
        <v>2015</v>
      </c>
      <c r="B795" s="179" t="s">
        <v>4123</v>
      </c>
      <c r="C795" s="112" t="s">
        <v>61</v>
      </c>
      <c r="D795" s="180" t="s">
        <v>1383</v>
      </c>
      <c r="E795" s="180"/>
      <c r="F795" s="179" t="s">
        <v>4124</v>
      </c>
      <c r="G795" s="178" t="s">
        <v>4119</v>
      </c>
      <c r="H795" s="186">
        <v>500000</v>
      </c>
      <c r="I795" s="179" t="s">
        <v>2508</v>
      </c>
      <c r="J795" s="180" t="s">
        <v>1828</v>
      </c>
      <c r="K795" s="143" t="s">
        <v>82</v>
      </c>
      <c r="L795" s="53" t="s">
        <v>6064</v>
      </c>
      <c r="M795" s="179"/>
      <c r="N795" s="179"/>
      <c r="O795" s="52"/>
      <c r="P795" s="179" t="s">
        <v>22</v>
      </c>
      <c r="Q795" s="53"/>
      <c r="R795" s="53"/>
      <c r="S795" s="179" t="s">
        <v>1824</v>
      </c>
      <c r="T795" s="52"/>
      <c r="U795" s="179"/>
    </row>
    <row r="796" spans="1:21" ht="51">
      <c r="A796" s="9">
        <v>2015</v>
      </c>
      <c r="B796" s="179" t="s">
        <v>4125</v>
      </c>
      <c r="C796" s="112" t="s">
        <v>61</v>
      </c>
      <c r="D796" s="180" t="s">
        <v>1383</v>
      </c>
      <c r="E796" s="180"/>
      <c r="F796" s="178" t="s">
        <v>4126</v>
      </c>
      <c r="G796" s="179" t="s">
        <v>4127</v>
      </c>
      <c r="H796" s="186">
        <v>500000</v>
      </c>
      <c r="I796" s="179"/>
      <c r="J796" s="191" t="s">
        <v>1828</v>
      </c>
      <c r="K796" s="143" t="s">
        <v>82</v>
      </c>
      <c r="L796" s="53" t="s">
        <v>6064</v>
      </c>
      <c r="M796" s="178"/>
      <c r="N796" s="178"/>
      <c r="O796" s="52"/>
      <c r="P796" s="179" t="s">
        <v>22</v>
      </c>
      <c r="Q796" s="53"/>
      <c r="R796" s="53"/>
      <c r="S796" s="179" t="s">
        <v>1824</v>
      </c>
      <c r="T796" s="52"/>
      <c r="U796" s="179"/>
    </row>
    <row r="797" spans="1:21" ht="51">
      <c r="A797" s="9">
        <v>2015</v>
      </c>
      <c r="B797" s="179" t="s">
        <v>4128</v>
      </c>
      <c r="C797" s="112" t="s">
        <v>61</v>
      </c>
      <c r="D797" s="180" t="s">
        <v>1383</v>
      </c>
      <c r="E797" s="180"/>
      <c r="F797" s="179" t="s">
        <v>4129</v>
      </c>
      <c r="G797" s="179" t="s">
        <v>3571</v>
      </c>
      <c r="H797" s="186">
        <v>500000</v>
      </c>
      <c r="I797" s="179"/>
      <c r="J797" s="191" t="s">
        <v>1828</v>
      </c>
      <c r="K797" s="143" t="s">
        <v>82</v>
      </c>
      <c r="L797" s="53" t="s">
        <v>6064</v>
      </c>
      <c r="M797" s="179"/>
      <c r="N797" s="179"/>
      <c r="O797" s="52"/>
      <c r="P797" s="179" t="s">
        <v>22</v>
      </c>
      <c r="Q797" s="53"/>
      <c r="R797" s="53"/>
      <c r="S797" s="179"/>
      <c r="T797" s="52"/>
      <c r="U797" s="179"/>
    </row>
    <row r="798" spans="1:21" ht="25.5">
      <c r="A798" s="9">
        <v>2015</v>
      </c>
      <c r="B798" s="179" t="s">
        <v>4130</v>
      </c>
      <c r="C798" s="112" t="s">
        <v>61</v>
      </c>
      <c r="D798" s="180" t="s">
        <v>2993</v>
      </c>
      <c r="E798" s="180"/>
      <c r="F798" s="179" t="s">
        <v>4131</v>
      </c>
      <c r="G798" s="179" t="s">
        <v>4132</v>
      </c>
      <c r="H798" s="186">
        <v>230000</v>
      </c>
      <c r="I798" s="179"/>
      <c r="J798" s="191" t="s">
        <v>1828</v>
      </c>
      <c r="K798" s="143" t="s">
        <v>1874</v>
      </c>
      <c r="L798" s="53" t="s">
        <v>6064</v>
      </c>
      <c r="M798" s="179"/>
      <c r="N798" s="179"/>
      <c r="O798" s="52"/>
      <c r="P798" s="179" t="s">
        <v>22</v>
      </c>
      <c r="Q798" s="53"/>
      <c r="R798" s="53"/>
      <c r="S798" s="179"/>
      <c r="T798" s="52"/>
      <c r="U798" s="179"/>
    </row>
    <row r="799" spans="1:21" ht="25.5">
      <c r="A799" s="9">
        <v>2015</v>
      </c>
      <c r="B799" s="179" t="s">
        <v>4133</v>
      </c>
      <c r="C799" s="112" t="s">
        <v>61</v>
      </c>
      <c r="D799" s="180" t="s">
        <v>2993</v>
      </c>
      <c r="E799" s="180"/>
      <c r="F799" s="179" t="s">
        <v>4134</v>
      </c>
      <c r="G799" s="179" t="s">
        <v>4132</v>
      </c>
      <c r="H799" s="186">
        <v>220000</v>
      </c>
      <c r="I799" s="179"/>
      <c r="J799" s="191" t="s">
        <v>1828</v>
      </c>
      <c r="K799" s="143" t="s">
        <v>1874</v>
      </c>
      <c r="L799" s="53" t="s">
        <v>6064</v>
      </c>
      <c r="M799" s="179"/>
      <c r="N799" s="179"/>
      <c r="O799" s="52"/>
      <c r="P799" s="179" t="s">
        <v>22</v>
      </c>
      <c r="Q799" s="53"/>
      <c r="R799" s="53"/>
      <c r="S799" s="179"/>
      <c r="T799" s="52"/>
      <c r="U799" s="179"/>
    </row>
    <row r="800" spans="1:21" ht="38.25">
      <c r="A800" s="9">
        <v>2015</v>
      </c>
      <c r="B800" s="179" t="s">
        <v>4135</v>
      </c>
      <c r="C800" s="112" t="s">
        <v>61</v>
      </c>
      <c r="D800" s="180" t="s">
        <v>3092</v>
      </c>
      <c r="E800" s="180"/>
      <c r="F800" s="179" t="s">
        <v>4136</v>
      </c>
      <c r="G800" s="179" t="s">
        <v>4137</v>
      </c>
      <c r="H800" s="194">
        <v>366000</v>
      </c>
      <c r="I800" s="187" t="s">
        <v>4138</v>
      </c>
      <c r="J800" s="180" t="s">
        <v>2051</v>
      </c>
      <c r="K800" s="143" t="s">
        <v>1904</v>
      </c>
      <c r="L800" s="53" t="s">
        <v>6064</v>
      </c>
      <c r="M800" s="179"/>
      <c r="N800" s="179"/>
      <c r="O800" s="52"/>
      <c r="P800" s="179" t="s">
        <v>6179</v>
      </c>
      <c r="Q800" s="53"/>
      <c r="R800" s="53"/>
      <c r="S800" s="179"/>
      <c r="T800" s="52"/>
      <c r="U800" s="187"/>
    </row>
    <row r="801" spans="1:21" ht="89.25">
      <c r="A801" s="9">
        <v>2015</v>
      </c>
      <c r="B801" s="179" t="s">
        <v>4139</v>
      </c>
      <c r="C801" s="112" t="s">
        <v>3096</v>
      </c>
      <c r="D801" s="191" t="s">
        <v>1231</v>
      </c>
      <c r="E801" s="191"/>
      <c r="F801" s="179" t="s">
        <v>4140</v>
      </c>
      <c r="G801" s="179" t="s">
        <v>4141</v>
      </c>
      <c r="H801" s="186">
        <v>200000</v>
      </c>
      <c r="I801" s="187" t="s">
        <v>1938</v>
      </c>
      <c r="J801" s="179" t="s">
        <v>1828</v>
      </c>
      <c r="K801" s="52"/>
      <c r="L801" s="53" t="s">
        <v>6064</v>
      </c>
      <c r="M801" s="334">
        <v>42164</v>
      </c>
      <c r="N801" s="180" t="s">
        <v>12043</v>
      </c>
      <c r="O801" s="52"/>
      <c r="P801" s="179" t="s">
        <v>22</v>
      </c>
      <c r="Q801" s="53"/>
      <c r="R801" s="53"/>
      <c r="S801" s="179" t="s">
        <v>1824</v>
      </c>
      <c r="T801" s="52"/>
      <c r="U801" s="187"/>
    </row>
    <row r="802" spans="1:21" ht="51">
      <c r="A802" s="9">
        <v>2015</v>
      </c>
      <c r="B802" s="179" t="s">
        <v>4142</v>
      </c>
      <c r="C802" s="112" t="s">
        <v>61</v>
      </c>
      <c r="D802" s="22" t="s">
        <v>62</v>
      </c>
      <c r="E802" s="22"/>
      <c r="F802" s="179" t="s">
        <v>4143</v>
      </c>
      <c r="G802" s="179" t="s">
        <v>4144</v>
      </c>
      <c r="H802" s="791">
        <v>1800000</v>
      </c>
      <c r="I802" s="187" t="s">
        <v>4145</v>
      </c>
      <c r="J802" s="180" t="s">
        <v>1828</v>
      </c>
      <c r="K802" s="143" t="s">
        <v>1904</v>
      </c>
      <c r="L802" s="53" t="s">
        <v>6064</v>
      </c>
      <c r="M802" s="179"/>
      <c r="N802" s="179"/>
      <c r="O802" s="52"/>
      <c r="P802" s="179" t="s">
        <v>6179</v>
      </c>
      <c r="Q802" s="53"/>
      <c r="R802" s="53"/>
      <c r="S802" s="179"/>
      <c r="T802" s="52"/>
      <c r="U802" s="187"/>
    </row>
    <row r="803" spans="1:21" ht="63.75">
      <c r="A803" s="9">
        <v>2015</v>
      </c>
      <c r="B803" s="179" t="s">
        <v>4146</v>
      </c>
      <c r="C803" s="112" t="s">
        <v>61</v>
      </c>
      <c r="D803" s="180" t="s">
        <v>3168</v>
      </c>
      <c r="E803" s="180"/>
      <c r="F803" s="179" t="s">
        <v>4147</v>
      </c>
      <c r="G803" s="179" t="s">
        <v>4148</v>
      </c>
      <c r="H803" s="792">
        <v>160000</v>
      </c>
      <c r="I803" s="187" t="s">
        <v>4149</v>
      </c>
      <c r="J803" s="180" t="s">
        <v>1828</v>
      </c>
      <c r="K803" s="143" t="s">
        <v>82</v>
      </c>
      <c r="L803" s="53" t="s">
        <v>6064</v>
      </c>
      <c r="M803" s="179"/>
      <c r="N803" s="179"/>
      <c r="O803" s="52"/>
      <c r="P803" s="179" t="s">
        <v>22</v>
      </c>
      <c r="Q803" s="53"/>
      <c r="R803" s="53"/>
      <c r="S803" s="179" t="s">
        <v>1824</v>
      </c>
      <c r="T803" s="52"/>
      <c r="U803" s="187"/>
    </row>
    <row r="804" spans="1:21" ht="25.5">
      <c r="A804" s="9">
        <v>2015</v>
      </c>
      <c r="B804" s="179" t="s">
        <v>4150</v>
      </c>
      <c r="C804" s="112" t="s">
        <v>61</v>
      </c>
      <c r="D804" s="180" t="s">
        <v>4151</v>
      </c>
      <c r="E804" s="180"/>
      <c r="F804" s="179" t="s">
        <v>4152</v>
      </c>
      <c r="G804" s="179" t="s">
        <v>811</v>
      </c>
      <c r="H804" s="186">
        <v>220000</v>
      </c>
      <c r="I804" s="187" t="s">
        <v>4149</v>
      </c>
      <c r="J804" s="180" t="s">
        <v>1828</v>
      </c>
      <c r="K804" s="143" t="s">
        <v>1874</v>
      </c>
      <c r="L804" s="53" t="s">
        <v>6064</v>
      </c>
      <c r="M804" s="179"/>
      <c r="N804" s="179"/>
      <c r="O804" s="52"/>
      <c r="P804" s="179" t="s">
        <v>22</v>
      </c>
      <c r="Q804" s="53"/>
      <c r="R804" s="53"/>
      <c r="S804" s="179" t="s">
        <v>1824</v>
      </c>
      <c r="T804" s="52"/>
      <c r="U804" s="187"/>
    </row>
    <row r="805" spans="1:21" ht="140.25">
      <c r="A805" s="9">
        <v>2015</v>
      </c>
      <c r="B805" s="179" t="s">
        <v>4153</v>
      </c>
      <c r="C805" s="112" t="s">
        <v>61</v>
      </c>
      <c r="D805" s="180" t="s">
        <v>1383</v>
      </c>
      <c r="E805" s="180"/>
      <c r="F805" s="179" t="s">
        <v>4154</v>
      </c>
      <c r="G805" s="179" t="s">
        <v>4155</v>
      </c>
      <c r="H805" s="793">
        <v>954000</v>
      </c>
      <c r="I805" s="187"/>
      <c r="J805" s="180" t="s">
        <v>1919</v>
      </c>
      <c r="K805" s="143" t="s">
        <v>82</v>
      </c>
      <c r="L805" s="53" t="s">
        <v>6064</v>
      </c>
      <c r="M805" s="334">
        <v>42164</v>
      </c>
      <c r="N805" s="180" t="s">
        <v>12044</v>
      </c>
      <c r="O805" s="52"/>
      <c r="P805" s="179" t="s">
        <v>22</v>
      </c>
      <c r="Q805" s="53"/>
      <c r="R805" s="53"/>
      <c r="S805" s="179" t="s">
        <v>1824</v>
      </c>
      <c r="T805" s="52"/>
      <c r="U805" s="187"/>
    </row>
    <row r="806" spans="1:21" ht="153">
      <c r="A806" s="9">
        <v>2015</v>
      </c>
      <c r="B806" s="179" t="s">
        <v>4156</v>
      </c>
      <c r="C806" s="112" t="s">
        <v>61</v>
      </c>
      <c r="D806" s="180" t="s">
        <v>1383</v>
      </c>
      <c r="E806" s="180"/>
      <c r="F806" s="179" t="s">
        <v>4157</v>
      </c>
      <c r="G806" s="179" t="s">
        <v>4158</v>
      </c>
      <c r="H806" s="793">
        <v>575000</v>
      </c>
      <c r="I806" s="179"/>
      <c r="J806" s="180" t="s">
        <v>2085</v>
      </c>
      <c r="K806" s="143" t="s">
        <v>82</v>
      </c>
      <c r="L806" s="53" t="s">
        <v>6064</v>
      </c>
      <c r="M806" s="334">
        <v>42164</v>
      </c>
      <c r="N806" s="180" t="s">
        <v>12045</v>
      </c>
      <c r="O806" s="52"/>
      <c r="P806" s="179" t="s">
        <v>22</v>
      </c>
      <c r="Q806" s="53"/>
      <c r="R806" s="53"/>
      <c r="S806" s="179" t="s">
        <v>1824</v>
      </c>
      <c r="T806" s="52"/>
      <c r="U806" s="179"/>
    </row>
    <row r="807" spans="1:21" ht="114.75">
      <c r="A807" s="9">
        <v>2015</v>
      </c>
      <c r="B807" s="179" t="s">
        <v>4159</v>
      </c>
      <c r="C807" s="112" t="s">
        <v>61</v>
      </c>
      <c r="D807" s="180" t="s">
        <v>1383</v>
      </c>
      <c r="E807" s="180"/>
      <c r="F807" s="179" t="s">
        <v>4160</v>
      </c>
      <c r="G807" s="179" t="s">
        <v>4161</v>
      </c>
      <c r="H807" s="793">
        <v>800000</v>
      </c>
      <c r="I807" s="179"/>
      <c r="J807" s="180" t="s">
        <v>2472</v>
      </c>
      <c r="K807" s="143" t="s">
        <v>82</v>
      </c>
      <c r="L807" s="53" t="s">
        <v>6064</v>
      </c>
      <c r="M807" s="334">
        <v>42164</v>
      </c>
      <c r="N807" s="180" t="s">
        <v>12046</v>
      </c>
      <c r="O807" s="52"/>
      <c r="P807" s="179" t="s">
        <v>22</v>
      </c>
      <c r="Q807" s="53"/>
      <c r="R807" s="53"/>
      <c r="S807" s="179" t="s">
        <v>1824</v>
      </c>
      <c r="T807" s="52"/>
      <c r="U807" s="179"/>
    </row>
    <row r="808" spans="1:21" ht="25.5">
      <c r="A808" s="9">
        <v>2015</v>
      </c>
      <c r="B808" s="179" t="s">
        <v>4162</v>
      </c>
      <c r="C808" s="112" t="s">
        <v>61</v>
      </c>
      <c r="D808" s="180" t="s">
        <v>394</v>
      </c>
      <c r="E808" s="180"/>
      <c r="F808" s="179" t="s">
        <v>4163</v>
      </c>
      <c r="G808" s="179" t="s">
        <v>581</v>
      </c>
      <c r="H808" s="791">
        <v>375000</v>
      </c>
      <c r="I808" s="179"/>
      <c r="J808" s="180" t="s">
        <v>1916</v>
      </c>
      <c r="K808" s="180" t="s">
        <v>1853</v>
      </c>
      <c r="L808" s="53" t="s">
        <v>6071</v>
      </c>
      <c r="M808" s="179"/>
      <c r="N808" s="179"/>
      <c r="O808" s="52"/>
      <c r="P808" s="179" t="s">
        <v>22</v>
      </c>
      <c r="Q808" s="53"/>
      <c r="R808" s="53"/>
      <c r="S808" s="179" t="s">
        <v>1824</v>
      </c>
      <c r="T808" s="52"/>
      <c r="U808" s="179"/>
    </row>
    <row r="809" spans="1:21" ht="63.75">
      <c r="A809" s="9">
        <v>2015</v>
      </c>
      <c r="B809" s="179" t="s">
        <v>4164</v>
      </c>
      <c r="C809" s="112" t="s">
        <v>61</v>
      </c>
      <c r="D809" s="180" t="s">
        <v>1383</v>
      </c>
      <c r="E809" s="180"/>
      <c r="F809" s="179" t="s">
        <v>4165</v>
      </c>
      <c r="G809" s="179" t="s">
        <v>4166</v>
      </c>
      <c r="H809" s="186">
        <v>243000</v>
      </c>
      <c r="I809" s="179"/>
      <c r="J809" s="191" t="s">
        <v>1855</v>
      </c>
      <c r="K809" s="143" t="s">
        <v>82</v>
      </c>
      <c r="L809" s="53" t="s">
        <v>6064</v>
      </c>
      <c r="M809" s="179"/>
      <c r="N809" s="179"/>
      <c r="O809" s="52"/>
      <c r="P809" s="179" t="s">
        <v>22</v>
      </c>
      <c r="Q809" s="53"/>
      <c r="R809" s="53"/>
      <c r="S809" s="179" t="s">
        <v>1824</v>
      </c>
      <c r="T809" s="52"/>
      <c r="U809" s="54" t="s">
        <v>12047</v>
      </c>
    </row>
    <row r="810" spans="1:21" ht="38.25">
      <c r="A810" s="9">
        <v>2015</v>
      </c>
      <c r="B810" s="179" t="s">
        <v>4167</v>
      </c>
      <c r="C810" s="112" t="s">
        <v>61</v>
      </c>
      <c r="D810" s="22" t="s">
        <v>586</v>
      </c>
      <c r="E810" s="22"/>
      <c r="F810" s="179" t="s">
        <v>4168</v>
      </c>
      <c r="G810" s="179" t="s">
        <v>4169</v>
      </c>
      <c r="H810" s="186">
        <v>106000</v>
      </c>
      <c r="I810" s="187" t="s">
        <v>4170</v>
      </c>
      <c r="J810" s="180" t="s">
        <v>1828</v>
      </c>
      <c r="K810" s="143" t="s">
        <v>1874</v>
      </c>
      <c r="L810" s="53" t="s">
        <v>6064</v>
      </c>
      <c r="M810" s="179"/>
      <c r="N810" s="179"/>
      <c r="O810" s="52"/>
      <c r="P810" s="179" t="s">
        <v>6132</v>
      </c>
      <c r="Q810" s="53"/>
      <c r="R810" s="53"/>
      <c r="S810" s="179"/>
      <c r="T810" s="52"/>
      <c r="U810" s="187"/>
    </row>
    <row r="811" spans="1:21" ht="38.25">
      <c r="A811" s="9">
        <v>2015</v>
      </c>
      <c r="B811" s="179" t="s">
        <v>4171</v>
      </c>
      <c r="C811" s="112" t="s">
        <v>61</v>
      </c>
      <c r="D811" s="180" t="s">
        <v>394</v>
      </c>
      <c r="E811" s="180"/>
      <c r="F811" s="179" t="s">
        <v>4172</v>
      </c>
      <c r="G811" s="179" t="s">
        <v>1478</v>
      </c>
      <c r="H811" s="791">
        <v>168660</v>
      </c>
      <c r="I811" s="179"/>
      <c r="J811" s="180" t="s">
        <v>1879</v>
      </c>
      <c r="K811" s="180" t="s">
        <v>1853</v>
      </c>
      <c r="L811" s="53" t="s">
        <v>6071</v>
      </c>
      <c r="M811" s="179"/>
      <c r="N811" s="179"/>
      <c r="O811" s="52"/>
      <c r="P811" s="179" t="s">
        <v>22</v>
      </c>
      <c r="Q811" s="53"/>
      <c r="R811" s="53"/>
      <c r="S811" s="179" t="s">
        <v>1824</v>
      </c>
      <c r="T811" s="52"/>
      <c r="U811" s="179"/>
    </row>
    <row r="812" spans="1:21" ht="38.25">
      <c r="A812" s="9">
        <v>2015</v>
      </c>
      <c r="B812" s="179" t="s">
        <v>4173</v>
      </c>
      <c r="C812" s="112" t="s">
        <v>4174</v>
      </c>
      <c r="D812" s="180"/>
      <c r="E812" s="180"/>
      <c r="F812" s="179" t="s">
        <v>4175</v>
      </c>
      <c r="G812" s="179" t="s">
        <v>4176</v>
      </c>
      <c r="H812" s="186">
        <v>200000</v>
      </c>
      <c r="I812" s="179" t="s">
        <v>4149</v>
      </c>
      <c r="J812" s="179" t="s">
        <v>1828</v>
      </c>
      <c r="K812" s="52"/>
      <c r="L812" s="53" t="s">
        <v>6064</v>
      </c>
      <c r="M812" s="179"/>
      <c r="N812" s="179"/>
      <c r="O812" s="52"/>
      <c r="P812" s="179" t="s">
        <v>22</v>
      </c>
      <c r="Q812" s="53"/>
      <c r="R812" s="53"/>
      <c r="S812" s="179" t="s">
        <v>1824</v>
      </c>
      <c r="T812" s="52"/>
      <c r="U812" s="179"/>
    </row>
    <row r="813" spans="1:21" ht="38.25">
      <c r="A813" s="9">
        <v>2015</v>
      </c>
      <c r="B813" s="179" t="s">
        <v>4177</v>
      </c>
      <c r="C813" s="112" t="s">
        <v>61</v>
      </c>
      <c r="D813" s="143" t="s">
        <v>3168</v>
      </c>
      <c r="E813" s="143"/>
      <c r="F813" s="179" t="s">
        <v>4178</v>
      </c>
      <c r="G813" s="179" t="s">
        <v>811</v>
      </c>
      <c r="H813" s="792">
        <v>176000</v>
      </c>
      <c r="I813" s="179" t="s">
        <v>4149</v>
      </c>
      <c r="J813" s="180" t="s">
        <v>1828</v>
      </c>
      <c r="K813" s="143" t="s">
        <v>82</v>
      </c>
      <c r="L813" s="53" t="s">
        <v>6064</v>
      </c>
      <c r="M813" s="179"/>
      <c r="N813" s="179"/>
      <c r="O813" s="52"/>
      <c r="P813" s="179" t="s">
        <v>22</v>
      </c>
      <c r="Q813" s="53"/>
      <c r="R813" s="53"/>
      <c r="S813" s="179" t="s">
        <v>1824</v>
      </c>
      <c r="T813" s="52"/>
      <c r="U813" s="179"/>
    </row>
    <row r="814" spans="1:21" ht="38.25">
      <c r="A814" s="9">
        <v>2015</v>
      </c>
      <c r="B814" s="179" t="s">
        <v>4179</v>
      </c>
      <c r="C814" s="112" t="s">
        <v>61</v>
      </c>
      <c r="D814" s="180" t="s">
        <v>3168</v>
      </c>
      <c r="E814" s="180"/>
      <c r="F814" s="179" t="s">
        <v>4180</v>
      </c>
      <c r="G814" s="179" t="s">
        <v>811</v>
      </c>
      <c r="H814" s="792">
        <v>272000</v>
      </c>
      <c r="I814" s="179" t="s">
        <v>4149</v>
      </c>
      <c r="J814" s="180" t="s">
        <v>1828</v>
      </c>
      <c r="K814" s="143" t="s">
        <v>82</v>
      </c>
      <c r="L814" s="53" t="s">
        <v>6064</v>
      </c>
      <c r="M814" s="179"/>
      <c r="N814" s="179"/>
      <c r="O814" s="52"/>
      <c r="P814" s="179" t="s">
        <v>22</v>
      </c>
      <c r="Q814" s="53"/>
      <c r="R814" s="53"/>
      <c r="S814" s="179" t="s">
        <v>1824</v>
      </c>
      <c r="T814" s="52"/>
      <c r="U814" s="179"/>
    </row>
    <row r="815" spans="1:21" ht="191.25">
      <c r="A815" s="9">
        <v>2015</v>
      </c>
      <c r="B815" s="179" t="s">
        <v>4181</v>
      </c>
      <c r="C815" s="112" t="s">
        <v>61</v>
      </c>
      <c r="D815" s="180" t="s">
        <v>1383</v>
      </c>
      <c r="E815" s="180"/>
      <c r="F815" s="179" t="s">
        <v>4165</v>
      </c>
      <c r="G815" s="187" t="s">
        <v>4166</v>
      </c>
      <c r="H815" s="186">
        <v>147000</v>
      </c>
      <c r="I815" s="179"/>
      <c r="J815" s="180" t="s">
        <v>1855</v>
      </c>
      <c r="K815" s="143" t="s">
        <v>82</v>
      </c>
      <c r="L815" s="53" t="s">
        <v>6064</v>
      </c>
      <c r="M815" s="334">
        <v>42265</v>
      </c>
      <c r="N815" s="180" t="s">
        <v>12048</v>
      </c>
      <c r="O815" s="52"/>
      <c r="P815" s="179" t="s">
        <v>22</v>
      </c>
      <c r="Q815" s="53"/>
      <c r="R815" s="53"/>
      <c r="S815" s="179" t="s">
        <v>1824</v>
      </c>
      <c r="T815" s="52"/>
      <c r="U815" s="179"/>
    </row>
    <row r="816" spans="1:21" ht="25.5">
      <c r="A816" s="9">
        <v>2015</v>
      </c>
      <c r="B816" s="179" t="s">
        <v>4182</v>
      </c>
      <c r="C816" s="112" t="s">
        <v>61</v>
      </c>
      <c r="D816" s="180" t="s">
        <v>1383</v>
      </c>
      <c r="E816" s="180"/>
      <c r="F816" s="179" t="s">
        <v>4183</v>
      </c>
      <c r="G816" s="179" t="s">
        <v>4184</v>
      </c>
      <c r="H816" s="186">
        <v>250000</v>
      </c>
      <c r="I816" s="187" t="s">
        <v>4185</v>
      </c>
      <c r="J816" s="143" t="s">
        <v>2676</v>
      </c>
      <c r="K816" s="143" t="s">
        <v>82</v>
      </c>
      <c r="L816" s="53" t="s">
        <v>6064</v>
      </c>
      <c r="M816" s="179"/>
      <c r="N816" s="179"/>
      <c r="O816" s="52"/>
      <c r="P816" s="179" t="s">
        <v>22</v>
      </c>
      <c r="Q816" s="53"/>
      <c r="R816" s="53"/>
      <c r="S816" s="179" t="s">
        <v>1824</v>
      </c>
      <c r="T816" s="52"/>
      <c r="U816" s="187"/>
    </row>
    <row r="817" spans="1:21" ht="89.25">
      <c r="A817" s="9">
        <v>2015</v>
      </c>
      <c r="B817" s="179" t="s">
        <v>4186</v>
      </c>
      <c r="C817" s="112" t="s">
        <v>61</v>
      </c>
      <c r="D817" s="22" t="s">
        <v>62</v>
      </c>
      <c r="E817" s="22"/>
      <c r="F817" s="179" t="s">
        <v>4187</v>
      </c>
      <c r="G817" s="179" t="s">
        <v>4188</v>
      </c>
      <c r="H817" s="791">
        <v>2000000</v>
      </c>
      <c r="I817" s="187" t="s">
        <v>4189</v>
      </c>
      <c r="J817" s="180" t="s">
        <v>2051</v>
      </c>
      <c r="K817" s="143" t="s">
        <v>1904</v>
      </c>
      <c r="L817" s="53" t="s">
        <v>6064</v>
      </c>
      <c r="M817" s="179"/>
      <c r="N817" s="179"/>
      <c r="O817" s="52"/>
      <c r="P817" s="179" t="s">
        <v>6179</v>
      </c>
      <c r="Q817" s="53"/>
      <c r="R817" s="53"/>
      <c r="S817" s="179"/>
      <c r="T817" s="52"/>
      <c r="U817" s="187"/>
    </row>
    <row r="818" spans="1:21" ht="51">
      <c r="A818" s="9">
        <v>2015</v>
      </c>
      <c r="B818" s="179" t="s">
        <v>4190</v>
      </c>
      <c r="C818" s="112" t="s">
        <v>61</v>
      </c>
      <c r="D818" s="180" t="s">
        <v>3092</v>
      </c>
      <c r="E818" s="180"/>
      <c r="F818" s="179" t="s">
        <v>4191</v>
      </c>
      <c r="G818" s="179" t="s">
        <v>4192</v>
      </c>
      <c r="H818" s="194">
        <v>818000</v>
      </c>
      <c r="I818" s="179"/>
      <c r="J818" s="180" t="s">
        <v>2047</v>
      </c>
      <c r="K818" s="143" t="s">
        <v>1904</v>
      </c>
      <c r="L818" s="53" t="s">
        <v>6064</v>
      </c>
      <c r="M818" s="179"/>
      <c r="N818" s="179"/>
      <c r="O818" s="52"/>
      <c r="P818" s="179" t="s">
        <v>22</v>
      </c>
      <c r="Q818" s="53"/>
      <c r="R818" s="53"/>
      <c r="S818" s="179"/>
      <c r="T818" s="52"/>
      <c r="U818" s="179"/>
    </row>
    <row r="819" spans="1:21" ht="38.25">
      <c r="A819" s="9">
        <v>2015</v>
      </c>
      <c r="B819" s="179" t="s">
        <v>4193</v>
      </c>
      <c r="C819" s="112" t="s">
        <v>61</v>
      </c>
      <c r="D819" s="180" t="s">
        <v>1141</v>
      </c>
      <c r="E819" s="180"/>
      <c r="F819" s="179" t="s">
        <v>4194</v>
      </c>
      <c r="G819" s="179" t="s">
        <v>4195</v>
      </c>
      <c r="H819" s="792">
        <v>53759.67</v>
      </c>
      <c r="I819" s="179" t="s">
        <v>4196</v>
      </c>
      <c r="J819" s="180" t="s">
        <v>2472</v>
      </c>
      <c r="K819" s="143" t="s">
        <v>1904</v>
      </c>
      <c r="L819" s="53" t="s">
        <v>6064</v>
      </c>
      <c r="M819" s="179"/>
      <c r="N819" s="179"/>
      <c r="O819" s="52"/>
      <c r="P819" s="179" t="s">
        <v>22</v>
      </c>
      <c r="Q819" s="53"/>
      <c r="R819" s="53"/>
      <c r="S819" s="179"/>
      <c r="T819" s="52"/>
      <c r="U819" s="179"/>
    </row>
    <row r="820" spans="1:21" ht="25.5">
      <c r="A820" s="9">
        <v>2015</v>
      </c>
      <c r="B820" s="179" t="s">
        <v>4197</v>
      </c>
      <c r="C820" s="112" t="s">
        <v>61</v>
      </c>
      <c r="D820" s="180" t="s">
        <v>652</v>
      </c>
      <c r="E820" s="180"/>
      <c r="F820" s="179" t="s">
        <v>4198</v>
      </c>
      <c r="G820" s="179" t="s">
        <v>4199</v>
      </c>
      <c r="H820" s="186">
        <v>1135672</v>
      </c>
      <c r="I820" s="187" t="s">
        <v>4200</v>
      </c>
      <c r="J820" s="180" t="s">
        <v>2472</v>
      </c>
      <c r="K820" s="143" t="s">
        <v>1874</v>
      </c>
      <c r="L820" s="53" t="s">
        <v>6064</v>
      </c>
      <c r="M820" s="179"/>
      <c r="N820" s="179"/>
      <c r="O820" s="52"/>
      <c r="P820" s="179" t="s">
        <v>6132</v>
      </c>
      <c r="Q820" s="53"/>
      <c r="R820" s="53"/>
      <c r="S820" s="179"/>
      <c r="T820" s="52"/>
      <c r="U820" s="187"/>
    </row>
    <row r="821" spans="1:21" ht="51">
      <c r="A821" s="9">
        <v>2015</v>
      </c>
      <c r="B821" s="179" t="s">
        <v>4201</v>
      </c>
      <c r="C821" s="112" t="s">
        <v>61</v>
      </c>
      <c r="D821" s="180" t="s">
        <v>394</v>
      </c>
      <c r="E821" s="180"/>
      <c r="F821" s="179" t="s">
        <v>4202</v>
      </c>
      <c r="G821" s="179" t="s">
        <v>4176</v>
      </c>
      <c r="H821" s="791">
        <v>191150</v>
      </c>
      <c r="I821" s="187" t="s">
        <v>4149</v>
      </c>
      <c r="J821" s="180" t="s">
        <v>1828</v>
      </c>
      <c r="K821" s="180" t="s">
        <v>1853</v>
      </c>
      <c r="L821" s="53" t="s">
        <v>6064</v>
      </c>
      <c r="M821" s="179"/>
      <c r="N821" s="179"/>
      <c r="O821" s="52"/>
      <c r="P821" s="179" t="s">
        <v>22</v>
      </c>
      <c r="Q821" s="53"/>
      <c r="R821" s="53"/>
      <c r="S821" s="179" t="s">
        <v>1824</v>
      </c>
      <c r="T821" s="52"/>
      <c r="U821" s="187"/>
    </row>
    <row r="822" spans="1:21" ht="114.75">
      <c r="A822" s="9">
        <v>2015</v>
      </c>
      <c r="B822" s="179" t="s">
        <v>4203</v>
      </c>
      <c r="C822" s="112" t="s">
        <v>1867</v>
      </c>
      <c r="D822" s="191"/>
      <c r="E822" s="191"/>
      <c r="F822" s="179" t="s">
        <v>4204</v>
      </c>
      <c r="G822" s="179" t="s">
        <v>4205</v>
      </c>
      <c r="H822" s="190"/>
      <c r="I822" s="187" t="s">
        <v>4206</v>
      </c>
      <c r="J822" s="179" t="s">
        <v>1896</v>
      </c>
      <c r="K822" s="52"/>
      <c r="L822" s="53" t="s">
        <v>7491</v>
      </c>
      <c r="M822" s="334">
        <v>42265</v>
      </c>
      <c r="N822" s="180" t="s">
        <v>12049</v>
      </c>
      <c r="O822" s="52"/>
      <c r="P822" s="179" t="s">
        <v>6132</v>
      </c>
      <c r="Q822" s="53"/>
      <c r="R822" s="53"/>
      <c r="S822" s="179"/>
      <c r="T822" s="52"/>
      <c r="U822" s="187"/>
    </row>
    <row r="823" spans="1:21" ht="165.75">
      <c r="A823" s="9">
        <v>2015</v>
      </c>
      <c r="B823" s="179" t="s">
        <v>4207</v>
      </c>
      <c r="C823" s="112" t="s">
        <v>61</v>
      </c>
      <c r="D823" s="180" t="s">
        <v>68</v>
      </c>
      <c r="E823" s="180"/>
      <c r="F823" s="179" t="s">
        <v>4208</v>
      </c>
      <c r="G823" s="179" t="s">
        <v>4209</v>
      </c>
      <c r="H823" s="194">
        <v>30000</v>
      </c>
      <c r="I823" s="187" t="s">
        <v>4210</v>
      </c>
      <c r="J823" s="180" t="s">
        <v>1828</v>
      </c>
      <c r="K823" s="143" t="s">
        <v>1874</v>
      </c>
      <c r="L823" s="53" t="s">
        <v>6064</v>
      </c>
      <c r="M823" s="334">
        <v>42265</v>
      </c>
      <c r="N823" s="180" t="s">
        <v>12050</v>
      </c>
      <c r="O823" s="52"/>
      <c r="P823" s="179" t="s">
        <v>6132</v>
      </c>
      <c r="Q823" s="53"/>
      <c r="R823" s="53"/>
      <c r="S823" s="179"/>
      <c r="T823" s="52"/>
      <c r="U823" s="187"/>
    </row>
    <row r="824" spans="1:21" ht="38.25">
      <c r="A824" s="9">
        <v>2015</v>
      </c>
      <c r="B824" s="179" t="s">
        <v>4211</v>
      </c>
      <c r="C824" s="112" t="s">
        <v>61</v>
      </c>
      <c r="D824" s="180" t="s">
        <v>394</v>
      </c>
      <c r="E824" s="180"/>
      <c r="F824" s="179" t="s">
        <v>4212</v>
      </c>
      <c r="G824" s="179" t="s">
        <v>4213</v>
      </c>
      <c r="H824" s="791">
        <v>107900</v>
      </c>
      <c r="I824" s="187" t="s">
        <v>3311</v>
      </c>
      <c r="J824" s="180" t="s">
        <v>1899</v>
      </c>
      <c r="K824" s="180" t="s">
        <v>1853</v>
      </c>
      <c r="L824" s="53" t="s">
        <v>6071</v>
      </c>
      <c r="M824" s="179"/>
      <c r="N824" s="179"/>
      <c r="O824" s="52"/>
      <c r="P824" s="179" t="s">
        <v>22</v>
      </c>
      <c r="Q824" s="53"/>
      <c r="R824" s="53"/>
      <c r="S824" s="179" t="s">
        <v>1824</v>
      </c>
      <c r="T824" s="52"/>
      <c r="U824" s="187"/>
    </row>
    <row r="825" spans="1:21" ht="51">
      <c r="A825" s="9">
        <v>2015</v>
      </c>
      <c r="B825" s="179" t="s">
        <v>4214</v>
      </c>
      <c r="C825" s="53" t="s">
        <v>61</v>
      </c>
      <c r="D825" s="180" t="s">
        <v>3092</v>
      </c>
      <c r="E825" s="180"/>
      <c r="F825" s="179" t="s">
        <v>4191</v>
      </c>
      <c r="G825" s="179" t="s">
        <v>4215</v>
      </c>
      <c r="H825" s="194">
        <v>531000</v>
      </c>
      <c r="I825" s="187" t="s">
        <v>4216</v>
      </c>
      <c r="J825" s="180" t="s">
        <v>1828</v>
      </c>
      <c r="K825" s="143" t="s">
        <v>1904</v>
      </c>
      <c r="L825" s="53" t="s">
        <v>6064</v>
      </c>
      <c r="M825" s="179" t="s">
        <v>12051</v>
      </c>
      <c r="N825" s="179"/>
      <c r="O825" s="52"/>
      <c r="P825" s="179" t="s">
        <v>22</v>
      </c>
      <c r="Q825" s="53"/>
      <c r="R825" s="53"/>
      <c r="S825" s="179" t="s">
        <v>1824</v>
      </c>
      <c r="T825" s="52"/>
      <c r="U825" s="187"/>
    </row>
    <row r="826" spans="1:21" ht="76.5">
      <c r="A826" s="9">
        <v>2015</v>
      </c>
      <c r="B826" s="179" t="s">
        <v>4217</v>
      </c>
      <c r="C826" s="112" t="s">
        <v>61</v>
      </c>
      <c r="D826" s="180" t="s">
        <v>1141</v>
      </c>
      <c r="E826" s="180"/>
      <c r="F826" s="179" t="s">
        <v>4218</v>
      </c>
      <c r="G826" s="179" t="s">
        <v>4219</v>
      </c>
      <c r="H826" s="794">
        <v>138019.25</v>
      </c>
      <c r="I826" s="187" t="s">
        <v>4220</v>
      </c>
      <c r="J826" s="180" t="s">
        <v>2051</v>
      </c>
      <c r="K826" s="143" t="s">
        <v>1904</v>
      </c>
      <c r="L826" s="53" t="s">
        <v>6064</v>
      </c>
      <c r="M826" s="179"/>
      <c r="N826" s="179"/>
      <c r="O826" s="52"/>
      <c r="P826" s="179" t="s">
        <v>22</v>
      </c>
      <c r="Q826" s="53"/>
      <c r="R826" s="53"/>
      <c r="S826" s="179"/>
      <c r="T826" s="52"/>
      <c r="U826" s="187"/>
    </row>
    <row r="827" spans="1:21" ht="114.75">
      <c r="A827" s="9">
        <v>2015</v>
      </c>
      <c r="B827" s="179" t="s">
        <v>4221</v>
      </c>
      <c r="C827" s="112" t="s">
        <v>61</v>
      </c>
      <c r="D827" s="22" t="s">
        <v>62</v>
      </c>
      <c r="E827" s="22"/>
      <c r="F827" s="178" t="s">
        <v>4222</v>
      </c>
      <c r="G827" s="179" t="s">
        <v>4223</v>
      </c>
      <c r="H827" s="791">
        <v>195000</v>
      </c>
      <c r="I827" s="187" t="s">
        <v>4224</v>
      </c>
      <c r="J827" s="180" t="s">
        <v>2472</v>
      </c>
      <c r="K827" s="143" t="s">
        <v>1904</v>
      </c>
      <c r="L827" s="53" t="s">
        <v>6064</v>
      </c>
      <c r="M827" s="178"/>
      <c r="N827" s="178"/>
      <c r="O827" s="52"/>
      <c r="P827" s="179" t="s">
        <v>6132</v>
      </c>
      <c r="Q827" s="53"/>
      <c r="R827" s="53"/>
      <c r="S827" s="179"/>
      <c r="T827" s="52"/>
      <c r="U827" s="187"/>
    </row>
    <row r="828" spans="1:21" ht="51">
      <c r="A828" s="9">
        <v>2015</v>
      </c>
      <c r="B828" s="179" t="s">
        <v>4225</v>
      </c>
      <c r="C828" s="112" t="s">
        <v>61</v>
      </c>
      <c r="D828" s="22" t="s">
        <v>62</v>
      </c>
      <c r="E828" s="22"/>
      <c r="F828" s="179" t="s">
        <v>4226</v>
      </c>
      <c r="G828" s="179" t="s">
        <v>4227</v>
      </c>
      <c r="H828" s="791">
        <v>1930000</v>
      </c>
      <c r="I828" s="187" t="s">
        <v>4228</v>
      </c>
      <c r="J828" s="180" t="s">
        <v>2472</v>
      </c>
      <c r="K828" s="143" t="s">
        <v>1904</v>
      </c>
      <c r="L828" s="53" t="s">
        <v>6064</v>
      </c>
      <c r="M828" s="179"/>
      <c r="N828" s="179"/>
      <c r="O828" s="52"/>
      <c r="P828" s="179" t="s">
        <v>6179</v>
      </c>
      <c r="Q828" s="53"/>
      <c r="R828" s="53"/>
      <c r="S828" s="179"/>
      <c r="T828" s="52"/>
      <c r="U828" s="187"/>
    </row>
    <row r="829" spans="1:21" ht="38.25">
      <c r="A829" s="9">
        <v>2015</v>
      </c>
      <c r="B829" s="179" t="s">
        <v>4229</v>
      </c>
      <c r="C829" s="112" t="s">
        <v>61</v>
      </c>
      <c r="D829" s="180" t="s">
        <v>68</v>
      </c>
      <c r="E829" s="180"/>
      <c r="F829" s="179" t="s">
        <v>4230</v>
      </c>
      <c r="G829" s="179" t="s">
        <v>4231</v>
      </c>
      <c r="H829" s="194">
        <v>480000</v>
      </c>
      <c r="I829" s="187" t="s">
        <v>4232</v>
      </c>
      <c r="J829" s="180" t="s">
        <v>1828</v>
      </c>
      <c r="K829" s="143" t="s">
        <v>1874</v>
      </c>
      <c r="L829" s="53" t="s">
        <v>6104</v>
      </c>
      <c r="M829" s="179"/>
      <c r="N829" s="179"/>
      <c r="O829" s="52"/>
      <c r="P829" s="179" t="s">
        <v>6132</v>
      </c>
      <c r="Q829" s="53"/>
      <c r="R829" s="53"/>
      <c r="S829" s="179"/>
      <c r="T829" s="52"/>
      <c r="U829" s="187"/>
    </row>
    <row r="830" spans="1:21" ht="51">
      <c r="A830" s="9">
        <v>2015</v>
      </c>
      <c r="B830" s="179" t="s">
        <v>4233</v>
      </c>
      <c r="C830" s="112" t="s">
        <v>61</v>
      </c>
      <c r="D830" s="180" t="s">
        <v>3168</v>
      </c>
      <c r="E830" s="180"/>
      <c r="F830" s="179" t="s">
        <v>4234</v>
      </c>
      <c r="G830" s="179" t="s">
        <v>4235</v>
      </c>
      <c r="H830" s="794">
        <v>556600</v>
      </c>
      <c r="I830" s="179" t="s">
        <v>4149</v>
      </c>
      <c r="J830" s="180" t="s">
        <v>1828</v>
      </c>
      <c r="K830" s="143" t="s">
        <v>82</v>
      </c>
      <c r="L830" s="53" t="s">
        <v>6064</v>
      </c>
      <c r="M830" s="179"/>
      <c r="N830" s="179"/>
      <c r="O830" s="52"/>
      <c r="P830" s="179" t="s">
        <v>22</v>
      </c>
      <c r="Q830" s="53"/>
      <c r="R830" s="53"/>
      <c r="S830" s="179" t="s">
        <v>1824</v>
      </c>
      <c r="T830" s="52"/>
      <c r="U830" s="179"/>
    </row>
    <row r="831" spans="1:21" ht="153">
      <c r="A831" s="9">
        <v>2015</v>
      </c>
      <c r="B831" s="179" t="s">
        <v>4236</v>
      </c>
      <c r="C831" s="112" t="s">
        <v>1867</v>
      </c>
      <c r="D831" s="191"/>
      <c r="E831" s="191"/>
      <c r="F831" s="179" t="s">
        <v>4237</v>
      </c>
      <c r="G831" s="179" t="s">
        <v>4238</v>
      </c>
      <c r="H831" s="190"/>
      <c r="I831" s="189" t="s">
        <v>4239</v>
      </c>
      <c r="J831" s="179" t="s">
        <v>1916</v>
      </c>
      <c r="K831" s="52"/>
      <c r="L831" s="53" t="s">
        <v>6064</v>
      </c>
      <c r="M831" s="334">
        <v>42300</v>
      </c>
      <c r="N831" s="180" t="s">
        <v>12052</v>
      </c>
      <c r="O831" s="52"/>
      <c r="P831" s="179" t="s">
        <v>6132</v>
      </c>
      <c r="Q831" s="53"/>
      <c r="R831" s="53"/>
      <c r="S831" s="179"/>
      <c r="T831" s="52"/>
      <c r="U831" s="189"/>
    </row>
    <row r="832" spans="1:21" ht="153">
      <c r="A832" s="9">
        <v>2015</v>
      </c>
      <c r="B832" s="179" t="s">
        <v>4240</v>
      </c>
      <c r="C832" s="112" t="s">
        <v>3096</v>
      </c>
      <c r="D832" s="191"/>
      <c r="E832" s="191"/>
      <c r="F832" s="179" t="s">
        <v>4241</v>
      </c>
      <c r="G832" s="179" t="s">
        <v>4242</v>
      </c>
      <c r="H832" s="194">
        <v>483315</v>
      </c>
      <c r="I832" s="179" t="s">
        <v>4149</v>
      </c>
      <c r="J832" s="179" t="s">
        <v>1828</v>
      </c>
      <c r="K832" s="52" t="s">
        <v>2078</v>
      </c>
      <c r="L832" s="53" t="s">
        <v>6064</v>
      </c>
      <c r="M832" s="334">
        <v>42319</v>
      </c>
      <c r="N832" s="180" t="s">
        <v>12053</v>
      </c>
      <c r="O832" s="52"/>
      <c r="P832" s="179" t="s">
        <v>22</v>
      </c>
      <c r="Q832" s="53"/>
      <c r="R832" s="53"/>
      <c r="S832" s="179" t="s">
        <v>1824</v>
      </c>
      <c r="T832" s="52"/>
      <c r="U832" s="179"/>
    </row>
    <row r="833" spans="1:21" ht="63.75">
      <c r="A833" s="9">
        <v>2015</v>
      </c>
      <c r="B833" s="179" t="s">
        <v>4243</v>
      </c>
      <c r="C833" s="112" t="s">
        <v>61</v>
      </c>
      <c r="D833" s="180" t="s">
        <v>1383</v>
      </c>
      <c r="E833" s="180"/>
      <c r="F833" s="179" t="s">
        <v>4244</v>
      </c>
      <c r="G833" s="179" t="s">
        <v>1753</v>
      </c>
      <c r="H833" s="186">
        <v>1225800</v>
      </c>
      <c r="I833" s="179" t="s">
        <v>4149</v>
      </c>
      <c r="J833" s="180" t="s">
        <v>1828</v>
      </c>
      <c r="K833" s="143" t="s">
        <v>82</v>
      </c>
      <c r="L833" s="53" t="s">
        <v>6064</v>
      </c>
      <c r="M833" s="179"/>
      <c r="N833" s="179"/>
      <c r="O833" s="52"/>
      <c r="P833" s="179" t="s">
        <v>22</v>
      </c>
      <c r="Q833" s="53"/>
      <c r="R833" s="53"/>
      <c r="S833" s="179" t="s">
        <v>1824</v>
      </c>
      <c r="T833" s="52"/>
      <c r="U833" s="179"/>
    </row>
    <row r="834" spans="1:21" ht="38.25">
      <c r="A834" s="9">
        <v>2015</v>
      </c>
      <c r="B834" s="179" t="s">
        <v>4245</v>
      </c>
      <c r="C834" s="112" t="s">
        <v>61</v>
      </c>
      <c r="D834" s="180" t="s">
        <v>1383</v>
      </c>
      <c r="E834" s="180"/>
      <c r="F834" s="179" t="s">
        <v>4246</v>
      </c>
      <c r="G834" s="179" t="s">
        <v>1753</v>
      </c>
      <c r="H834" s="186">
        <v>210250</v>
      </c>
      <c r="I834" s="179" t="s">
        <v>4149</v>
      </c>
      <c r="J834" s="180" t="s">
        <v>1828</v>
      </c>
      <c r="K834" s="143" t="s">
        <v>82</v>
      </c>
      <c r="L834" s="53" t="s">
        <v>6064</v>
      </c>
      <c r="M834" s="179"/>
      <c r="N834" s="179"/>
      <c r="O834" s="52"/>
      <c r="P834" s="179" t="s">
        <v>22</v>
      </c>
      <c r="Q834" s="53"/>
      <c r="R834" s="53"/>
      <c r="S834" s="179" t="s">
        <v>1824</v>
      </c>
      <c r="T834" s="52"/>
      <c r="U834" s="179"/>
    </row>
    <row r="835" spans="1:21" ht="25.5">
      <c r="A835" s="9">
        <v>2015</v>
      </c>
      <c r="B835" s="179" t="s">
        <v>4247</v>
      </c>
      <c r="C835" s="112" t="s">
        <v>61</v>
      </c>
      <c r="D835" s="180" t="s">
        <v>1383</v>
      </c>
      <c r="E835" s="180"/>
      <c r="F835" s="179" t="s">
        <v>4248</v>
      </c>
      <c r="G835" s="179" t="s">
        <v>4249</v>
      </c>
      <c r="H835" s="186">
        <v>888000</v>
      </c>
      <c r="I835" s="179"/>
      <c r="J835" s="180" t="s">
        <v>2472</v>
      </c>
      <c r="K835" s="143" t="s">
        <v>82</v>
      </c>
      <c r="L835" s="53" t="s">
        <v>6064</v>
      </c>
      <c r="M835" s="179"/>
      <c r="N835" s="179"/>
      <c r="O835" s="52"/>
      <c r="P835" s="179" t="s">
        <v>22</v>
      </c>
      <c r="Q835" s="53"/>
      <c r="R835" s="53"/>
      <c r="S835" s="179" t="s">
        <v>1824</v>
      </c>
      <c r="T835" s="52"/>
      <c r="U835" s="179"/>
    </row>
    <row r="836" spans="1:21" ht="63.75">
      <c r="A836" s="9">
        <v>2015</v>
      </c>
      <c r="B836" s="179" t="s">
        <v>4250</v>
      </c>
      <c r="C836" s="112" t="s">
        <v>61</v>
      </c>
      <c r="D836" s="180" t="s">
        <v>68</v>
      </c>
      <c r="E836" s="180"/>
      <c r="F836" s="179" t="s">
        <v>4251</v>
      </c>
      <c r="G836" s="179" t="s">
        <v>4252</v>
      </c>
      <c r="H836" s="194">
        <v>41440</v>
      </c>
      <c r="I836" s="187" t="s">
        <v>4253</v>
      </c>
      <c r="J836" s="180" t="s">
        <v>2472</v>
      </c>
      <c r="K836" s="143" t="s">
        <v>1874</v>
      </c>
      <c r="L836" s="53" t="s">
        <v>6064</v>
      </c>
      <c r="M836" s="179"/>
      <c r="N836" s="179"/>
      <c r="O836" s="52"/>
      <c r="P836" s="179" t="s">
        <v>6132</v>
      </c>
      <c r="Q836" s="53"/>
      <c r="R836" s="53"/>
      <c r="S836" s="179"/>
      <c r="T836" s="52"/>
      <c r="U836" s="187"/>
    </row>
    <row r="837" spans="1:21" ht="38.25">
      <c r="A837" s="9">
        <v>2015</v>
      </c>
      <c r="B837" s="179" t="s">
        <v>4254</v>
      </c>
      <c r="C837" s="112" t="s">
        <v>61</v>
      </c>
      <c r="D837" s="180" t="s">
        <v>68</v>
      </c>
      <c r="E837" s="180"/>
      <c r="F837" s="179" t="s">
        <v>4255</v>
      </c>
      <c r="G837" s="179" t="s">
        <v>4256</v>
      </c>
      <c r="H837" s="194">
        <v>604800</v>
      </c>
      <c r="I837" s="187" t="s">
        <v>4257</v>
      </c>
      <c r="J837" s="180" t="s">
        <v>1828</v>
      </c>
      <c r="K837" s="143" t="s">
        <v>1874</v>
      </c>
      <c r="L837" s="53" t="s">
        <v>6064</v>
      </c>
      <c r="M837" s="179"/>
      <c r="N837" s="179"/>
      <c r="O837" s="52"/>
      <c r="P837" s="179" t="s">
        <v>6132</v>
      </c>
      <c r="Q837" s="53"/>
      <c r="R837" s="53"/>
      <c r="S837" s="179"/>
      <c r="T837" s="52"/>
      <c r="U837" s="187"/>
    </row>
    <row r="838" spans="1:21" ht="38.25">
      <c r="A838" s="9">
        <v>2015</v>
      </c>
      <c r="B838" s="179" t="s">
        <v>4258</v>
      </c>
      <c r="C838" s="112" t="s">
        <v>61</v>
      </c>
      <c r="D838" s="22" t="s">
        <v>62</v>
      </c>
      <c r="E838" s="22"/>
      <c r="F838" s="179" t="s">
        <v>4259</v>
      </c>
      <c r="G838" s="179" t="s">
        <v>4260</v>
      </c>
      <c r="H838" s="791">
        <v>958369.8</v>
      </c>
      <c r="I838" s="187" t="s">
        <v>4261</v>
      </c>
      <c r="J838" s="180" t="s">
        <v>1899</v>
      </c>
      <c r="K838" s="143" t="s">
        <v>1904</v>
      </c>
      <c r="L838" s="53" t="s">
        <v>6064</v>
      </c>
      <c r="M838" s="179"/>
      <c r="N838" s="179"/>
      <c r="O838" s="52"/>
      <c r="P838" s="179" t="s">
        <v>6132</v>
      </c>
      <c r="Q838" s="53"/>
      <c r="R838" s="53"/>
      <c r="S838" s="179"/>
      <c r="T838" s="52"/>
      <c r="U838" s="187"/>
    </row>
    <row r="839" spans="1:21" ht="38.25">
      <c r="A839" s="9">
        <v>2015</v>
      </c>
      <c r="B839" s="179" t="s">
        <v>4262</v>
      </c>
      <c r="C839" s="112" t="s">
        <v>61</v>
      </c>
      <c r="D839" s="22" t="s">
        <v>62</v>
      </c>
      <c r="E839" s="22"/>
      <c r="F839" s="179" t="s">
        <v>4263</v>
      </c>
      <c r="G839" s="179" t="s">
        <v>4264</v>
      </c>
      <c r="H839" s="791">
        <v>410000</v>
      </c>
      <c r="I839" s="187" t="s">
        <v>4265</v>
      </c>
      <c r="J839" s="180" t="s">
        <v>2472</v>
      </c>
      <c r="K839" s="143" t="s">
        <v>1904</v>
      </c>
      <c r="L839" s="53" t="s">
        <v>6064</v>
      </c>
      <c r="M839" s="179"/>
      <c r="N839" s="179"/>
      <c r="O839" s="52"/>
      <c r="P839" s="179" t="s">
        <v>6132</v>
      </c>
      <c r="Q839" s="53"/>
      <c r="R839" s="53"/>
      <c r="S839" s="179"/>
      <c r="T839" s="52"/>
      <c r="U839" s="187"/>
    </row>
    <row r="840" spans="1:21" ht="51">
      <c r="A840" s="9">
        <v>2015</v>
      </c>
      <c r="B840" s="179" t="s">
        <v>4266</v>
      </c>
      <c r="C840" s="112" t="s">
        <v>61</v>
      </c>
      <c r="D840" s="22" t="s">
        <v>62</v>
      </c>
      <c r="E840" s="22"/>
      <c r="F840" s="179" t="s">
        <v>4267</v>
      </c>
      <c r="G840" s="179" t="s">
        <v>4268</v>
      </c>
      <c r="H840" s="791">
        <v>1956500</v>
      </c>
      <c r="I840" s="187" t="s">
        <v>4269</v>
      </c>
      <c r="J840" s="180" t="s">
        <v>2472</v>
      </c>
      <c r="K840" s="143" t="s">
        <v>1904</v>
      </c>
      <c r="L840" s="53" t="s">
        <v>6064</v>
      </c>
      <c r="M840" s="179"/>
      <c r="N840" s="179"/>
      <c r="O840" s="52"/>
      <c r="P840" s="179" t="s">
        <v>6179</v>
      </c>
      <c r="Q840" s="53"/>
      <c r="R840" s="53"/>
      <c r="S840" s="179"/>
      <c r="T840" s="52"/>
      <c r="U840" s="187"/>
    </row>
    <row r="841" spans="1:21" ht="38.25">
      <c r="A841" s="9">
        <v>2015</v>
      </c>
      <c r="B841" s="179" t="s">
        <v>4270</v>
      </c>
      <c r="C841" s="112" t="s">
        <v>61</v>
      </c>
      <c r="D841" s="22" t="s">
        <v>62</v>
      </c>
      <c r="E841" s="22"/>
      <c r="F841" s="179" t="s">
        <v>4271</v>
      </c>
      <c r="G841" s="179" t="s">
        <v>4272</v>
      </c>
      <c r="H841" s="791">
        <v>1900000</v>
      </c>
      <c r="I841" s="187" t="s">
        <v>4273</v>
      </c>
      <c r="J841" s="180" t="s">
        <v>2472</v>
      </c>
      <c r="K841" s="143" t="s">
        <v>1904</v>
      </c>
      <c r="L841" s="53" t="s">
        <v>6064</v>
      </c>
      <c r="M841" s="179"/>
      <c r="N841" s="179"/>
      <c r="O841" s="52"/>
      <c r="P841" s="179" t="s">
        <v>6132</v>
      </c>
      <c r="Q841" s="53"/>
      <c r="R841" s="53"/>
      <c r="S841" s="179"/>
      <c r="T841" s="52"/>
      <c r="U841" s="187"/>
    </row>
    <row r="842" spans="1:21" ht="63.75">
      <c r="A842" s="9">
        <v>2015</v>
      </c>
      <c r="B842" s="179" t="s">
        <v>4274</v>
      </c>
      <c r="C842" s="112" t="s">
        <v>61</v>
      </c>
      <c r="D842" s="22" t="s">
        <v>62</v>
      </c>
      <c r="E842" s="22"/>
      <c r="F842" s="179" t="s">
        <v>4275</v>
      </c>
      <c r="G842" s="179" t="s">
        <v>4276</v>
      </c>
      <c r="H842" s="791">
        <v>598728</v>
      </c>
      <c r="I842" s="187" t="s">
        <v>4277</v>
      </c>
      <c r="J842" s="180" t="s">
        <v>1919</v>
      </c>
      <c r="K842" s="143" t="s">
        <v>1904</v>
      </c>
      <c r="L842" s="53" t="s">
        <v>6064</v>
      </c>
      <c r="M842" s="179"/>
      <c r="N842" s="179"/>
      <c r="O842" s="52"/>
      <c r="P842" s="179" t="s">
        <v>6132</v>
      </c>
      <c r="Q842" s="53"/>
      <c r="R842" s="53"/>
      <c r="S842" s="179"/>
      <c r="T842" s="52"/>
      <c r="U842" s="187"/>
    </row>
    <row r="843" spans="1:21" ht="25.5">
      <c r="A843" s="9">
        <v>2015</v>
      </c>
      <c r="B843" s="179" t="s">
        <v>4278</v>
      </c>
      <c r="C843" s="112" t="s">
        <v>61</v>
      </c>
      <c r="D843" s="22" t="s">
        <v>62</v>
      </c>
      <c r="E843" s="22"/>
      <c r="F843" s="179" t="s">
        <v>807</v>
      </c>
      <c r="G843" s="179" t="s">
        <v>811</v>
      </c>
      <c r="H843" s="791">
        <v>420000</v>
      </c>
      <c r="I843" s="179" t="s">
        <v>4149</v>
      </c>
      <c r="J843" s="180" t="s">
        <v>1828</v>
      </c>
      <c r="K843" s="143" t="s">
        <v>1904</v>
      </c>
      <c r="L843" s="53" t="s">
        <v>6064</v>
      </c>
      <c r="M843" s="179"/>
      <c r="N843" s="179"/>
      <c r="O843" s="52"/>
      <c r="P843" s="179"/>
      <c r="Q843" s="53"/>
      <c r="R843" s="53"/>
      <c r="S843" s="179" t="s">
        <v>1824</v>
      </c>
      <c r="T843" s="52"/>
      <c r="U843" s="179"/>
    </row>
    <row r="844" spans="1:21" ht="63.75">
      <c r="A844" s="9">
        <v>2015</v>
      </c>
      <c r="B844" s="179" t="s">
        <v>4279</v>
      </c>
      <c r="C844" s="112" t="s">
        <v>61</v>
      </c>
      <c r="D844" s="180" t="s">
        <v>1383</v>
      </c>
      <c r="E844" s="180"/>
      <c r="F844" s="179" t="s">
        <v>4280</v>
      </c>
      <c r="G844" s="179" t="s">
        <v>4281</v>
      </c>
      <c r="H844" s="186">
        <v>30000</v>
      </c>
      <c r="I844" s="179" t="s">
        <v>4282</v>
      </c>
      <c r="J844" s="180" t="s">
        <v>1847</v>
      </c>
      <c r="K844" s="143" t="s">
        <v>82</v>
      </c>
      <c r="L844" s="53" t="s">
        <v>6064</v>
      </c>
      <c r="M844" s="334">
        <v>42011</v>
      </c>
      <c r="N844" s="180" t="s">
        <v>7535</v>
      </c>
      <c r="O844" s="52"/>
      <c r="P844" s="179" t="s">
        <v>22</v>
      </c>
      <c r="Q844" s="53"/>
      <c r="R844" s="53"/>
      <c r="S844" s="179"/>
      <c r="T844" s="52"/>
      <c r="U844" s="179"/>
    </row>
    <row r="845" spans="1:21" ht="63.75">
      <c r="A845" s="9">
        <v>2015</v>
      </c>
      <c r="B845" s="179" t="s">
        <v>4283</v>
      </c>
      <c r="C845" s="112" t="s">
        <v>61</v>
      </c>
      <c r="D845" s="22" t="s">
        <v>586</v>
      </c>
      <c r="E845" s="22"/>
      <c r="F845" s="179" t="s">
        <v>4284</v>
      </c>
      <c r="G845" s="179" t="s">
        <v>4285</v>
      </c>
      <c r="H845" s="186">
        <v>50000</v>
      </c>
      <c r="I845" s="179" t="s">
        <v>4286</v>
      </c>
      <c r="J845" s="180" t="s">
        <v>1847</v>
      </c>
      <c r="K845" s="143" t="s">
        <v>1874</v>
      </c>
      <c r="L845" s="53" t="s">
        <v>6941</v>
      </c>
      <c r="M845" s="334">
        <v>42016</v>
      </c>
      <c r="N845" s="180" t="s">
        <v>7537</v>
      </c>
      <c r="O845" s="52"/>
      <c r="P845" s="179" t="s">
        <v>6132</v>
      </c>
      <c r="Q845" s="53"/>
      <c r="R845" s="53"/>
      <c r="S845" s="179"/>
      <c r="T845" s="52"/>
      <c r="U845" s="179"/>
    </row>
    <row r="846" spans="1:21" ht="76.5">
      <c r="A846" s="9">
        <v>2015</v>
      </c>
      <c r="B846" s="179" t="s">
        <v>4287</v>
      </c>
      <c r="C846" s="112" t="s">
        <v>61</v>
      </c>
      <c r="D846" s="180" t="s">
        <v>1383</v>
      </c>
      <c r="E846" s="180"/>
      <c r="F846" s="179" t="s">
        <v>4288</v>
      </c>
      <c r="G846" s="179" t="s">
        <v>4289</v>
      </c>
      <c r="H846" s="186">
        <v>27176</v>
      </c>
      <c r="I846" s="179" t="s">
        <v>4290</v>
      </c>
      <c r="J846" s="180" t="s">
        <v>2472</v>
      </c>
      <c r="K846" s="143" t="s">
        <v>82</v>
      </c>
      <c r="L846" s="53" t="s">
        <v>6941</v>
      </c>
      <c r="M846" s="334">
        <v>42024</v>
      </c>
      <c r="N846" s="180" t="s">
        <v>7540</v>
      </c>
      <c r="O846" s="52"/>
      <c r="P846" s="179" t="s">
        <v>22</v>
      </c>
      <c r="Q846" s="53"/>
      <c r="R846" s="53"/>
      <c r="S846" s="179"/>
      <c r="T846" s="52"/>
      <c r="U846" s="179" t="s">
        <v>1934</v>
      </c>
    </row>
    <row r="847" spans="1:21" ht="38.25">
      <c r="A847" s="9">
        <v>2015</v>
      </c>
      <c r="B847" s="179" t="s">
        <v>4291</v>
      </c>
      <c r="C847" s="112" t="s">
        <v>61</v>
      </c>
      <c r="D847" s="180" t="s">
        <v>1383</v>
      </c>
      <c r="E847" s="180"/>
      <c r="F847" s="179" t="s">
        <v>4292</v>
      </c>
      <c r="G847" s="179" t="s">
        <v>4293</v>
      </c>
      <c r="H847" s="186">
        <v>41880</v>
      </c>
      <c r="I847" s="179" t="s">
        <v>1828</v>
      </c>
      <c r="J847" s="180" t="s">
        <v>1828</v>
      </c>
      <c r="K847" s="143" t="s">
        <v>82</v>
      </c>
      <c r="L847" s="53" t="s">
        <v>6064</v>
      </c>
      <c r="M847" s="334">
        <v>42027</v>
      </c>
      <c r="N847" s="180" t="s">
        <v>7542</v>
      </c>
      <c r="O847" s="52"/>
      <c r="P847" s="179" t="s">
        <v>6132</v>
      </c>
      <c r="Q847" s="53"/>
      <c r="R847" s="53"/>
      <c r="S847" s="179"/>
      <c r="T847" s="52"/>
      <c r="U847" s="179" t="s">
        <v>1934</v>
      </c>
    </row>
    <row r="848" spans="1:21" ht="51">
      <c r="A848" s="9">
        <v>2015</v>
      </c>
      <c r="B848" s="179" t="s">
        <v>4294</v>
      </c>
      <c r="C848" s="112" t="s">
        <v>61</v>
      </c>
      <c r="D848" s="180" t="s">
        <v>394</v>
      </c>
      <c r="E848" s="180"/>
      <c r="F848" s="179" t="s">
        <v>4295</v>
      </c>
      <c r="G848" s="179" t="s">
        <v>4161</v>
      </c>
      <c r="H848" s="791">
        <v>90000</v>
      </c>
      <c r="I848" s="179" t="s">
        <v>4296</v>
      </c>
      <c r="J848" s="180" t="s">
        <v>1828</v>
      </c>
      <c r="K848" s="180" t="s">
        <v>1853</v>
      </c>
      <c r="L848" s="53" t="s">
        <v>6071</v>
      </c>
      <c r="M848" s="334">
        <v>42039</v>
      </c>
      <c r="N848" s="180" t="s">
        <v>7544</v>
      </c>
      <c r="O848" s="52"/>
      <c r="P848" s="179" t="s">
        <v>22</v>
      </c>
      <c r="Q848" s="53"/>
      <c r="R848" s="53"/>
      <c r="S848" s="179"/>
      <c r="T848" s="52"/>
      <c r="U848" s="179"/>
    </row>
    <row r="849" spans="1:21" ht="89.25">
      <c r="A849" s="9">
        <v>2015</v>
      </c>
      <c r="B849" s="179" t="s">
        <v>4297</v>
      </c>
      <c r="C849" s="112" t="s">
        <v>61</v>
      </c>
      <c r="D849" s="180" t="s">
        <v>1383</v>
      </c>
      <c r="E849" s="180"/>
      <c r="F849" s="179" t="s">
        <v>4298</v>
      </c>
      <c r="G849" s="179" t="s">
        <v>4281</v>
      </c>
      <c r="H849" s="186">
        <v>30000</v>
      </c>
      <c r="I849" s="179" t="s">
        <v>4299</v>
      </c>
      <c r="J849" s="180" t="s">
        <v>1828</v>
      </c>
      <c r="K849" s="143" t="s">
        <v>82</v>
      </c>
      <c r="L849" s="53" t="s">
        <v>6064</v>
      </c>
      <c r="M849" s="334">
        <v>42041</v>
      </c>
      <c r="N849" s="528" t="s">
        <v>7547</v>
      </c>
      <c r="O849" s="52"/>
      <c r="P849" s="179" t="s">
        <v>22</v>
      </c>
      <c r="Q849" s="53"/>
      <c r="R849" s="53"/>
      <c r="S849" s="179"/>
      <c r="T849" s="52"/>
      <c r="U849" s="179" t="s">
        <v>1934</v>
      </c>
    </row>
    <row r="850" spans="1:21" ht="25.5">
      <c r="A850" s="9">
        <v>2015</v>
      </c>
      <c r="B850" s="179" t="s">
        <v>4300</v>
      </c>
      <c r="C850" s="112" t="s">
        <v>61</v>
      </c>
      <c r="D850" s="180" t="s">
        <v>1763</v>
      </c>
      <c r="E850" s="180"/>
      <c r="F850" s="179" t="s">
        <v>4301</v>
      </c>
      <c r="G850" s="179" t="s">
        <v>4302</v>
      </c>
      <c r="H850" s="792">
        <v>16250</v>
      </c>
      <c r="I850" s="179" t="s">
        <v>4303</v>
      </c>
      <c r="J850" s="180" t="s">
        <v>1855</v>
      </c>
      <c r="K850" s="143" t="s">
        <v>82</v>
      </c>
      <c r="L850" s="53" t="s">
        <v>6064</v>
      </c>
      <c r="M850" s="334">
        <v>42059</v>
      </c>
      <c r="N850" s="180" t="s">
        <v>12054</v>
      </c>
      <c r="O850" s="52"/>
      <c r="P850" s="179" t="s">
        <v>6132</v>
      </c>
      <c r="Q850" s="53"/>
      <c r="R850" s="53"/>
      <c r="S850" s="179"/>
      <c r="T850" s="52"/>
      <c r="U850" s="179"/>
    </row>
    <row r="851" spans="1:21" ht="51">
      <c r="A851" s="9">
        <v>2015</v>
      </c>
      <c r="B851" s="179" t="s">
        <v>4304</v>
      </c>
      <c r="C851" s="112" t="s">
        <v>61</v>
      </c>
      <c r="D851" s="180" t="s">
        <v>1383</v>
      </c>
      <c r="E851" s="180"/>
      <c r="F851" s="179" t="s">
        <v>4305</v>
      </c>
      <c r="G851" s="179" t="s">
        <v>4302</v>
      </c>
      <c r="H851" s="186">
        <v>50000</v>
      </c>
      <c r="I851" s="179"/>
      <c r="J851" s="180" t="s">
        <v>1855</v>
      </c>
      <c r="K851" s="143" t="s">
        <v>82</v>
      </c>
      <c r="L851" s="53" t="s">
        <v>6064</v>
      </c>
      <c r="M851" s="334">
        <v>42067</v>
      </c>
      <c r="N851" s="180" t="s">
        <v>7551</v>
      </c>
      <c r="O851" s="52"/>
      <c r="P851" s="179" t="s">
        <v>6132</v>
      </c>
      <c r="Q851" s="53"/>
      <c r="R851" s="53"/>
      <c r="S851" s="179"/>
      <c r="T851" s="52"/>
      <c r="U851" s="179" t="s">
        <v>1934</v>
      </c>
    </row>
    <row r="852" spans="1:21" ht="102">
      <c r="A852" s="9">
        <v>2015</v>
      </c>
      <c r="B852" s="179" t="s">
        <v>4306</v>
      </c>
      <c r="C852" s="112" t="s">
        <v>61</v>
      </c>
      <c r="D852" s="180" t="s">
        <v>1383</v>
      </c>
      <c r="E852" s="180"/>
      <c r="F852" s="179" t="s">
        <v>4307</v>
      </c>
      <c r="G852" s="179" t="s">
        <v>4308</v>
      </c>
      <c r="H852" s="186">
        <v>50000</v>
      </c>
      <c r="I852" s="179" t="s">
        <v>4309</v>
      </c>
      <c r="J852" s="180" t="s">
        <v>1916</v>
      </c>
      <c r="K852" s="143" t="s">
        <v>82</v>
      </c>
      <c r="L852" s="53" t="s">
        <v>6064</v>
      </c>
      <c r="M852" s="334">
        <v>42067</v>
      </c>
      <c r="N852" s="180" t="s">
        <v>7553</v>
      </c>
      <c r="O852" s="52"/>
      <c r="P852" s="179" t="s">
        <v>6132</v>
      </c>
      <c r="Q852" s="53"/>
      <c r="R852" s="53"/>
      <c r="S852" s="179"/>
      <c r="T852" s="52"/>
      <c r="U852" s="179" t="s">
        <v>1934</v>
      </c>
    </row>
    <row r="853" spans="1:21" ht="25.5">
      <c r="A853" s="9">
        <v>2015</v>
      </c>
      <c r="B853" s="179" t="s">
        <v>4310</v>
      </c>
      <c r="C853" s="112" t="s">
        <v>61</v>
      </c>
      <c r="D853" s="180" t="s">
        <v>1383</v>
      </c>
      <c r="E853" s="180"/>
      <c r="F853" s="179" t="s">
        <v>4311</v>
      </c>
      <c r="G853" s="179" t="s">
        <v>4312</v>
      </c>
      <c r="H853" s="186">
        <v>50000</v>
      </c>
      <c r="I853" s="179" t="s">
        <v>4313</v>
      </c>
      <c r="J853" s="180" t="s">
        <v>1828</v>
      </c>
      <c r="K853" s="143" t="s">
        <v>82</v>
      </c>
      <c r="L853" s="53" t="s">
        <v>6064</v>
      </c>
      <c r="M853" s="334">
        <v>42067</v>
      </c>
      <c r="N853" s="180" t="s">
        <v>7555</v>
      </c>
      <c r="O853" s="52"/>
      <c r="P853" s="179" t="s">
        <v>6179</v>
      </c>
      <c r="Q853" s="53"/>
      <c r="R853" s="53"/>
      <c r="S853" s="179"/>
      <c r="T853" s="52"/>
      <c r="U853" s="179" t="s">
        <v>2172</v>
      </c>
    </row>
    <row r="854" spans="1:21" ht="63.75">
      <c r="A854" s="9">
        <v>2015</v>
      </c>
      <c r="B854" s="179" t="s">
        <v>4314</v>
      </c>
      <c r="C854" s="112" t="s">
        <v>61</v>
      </c>
      <c r="D854" s="180" t="s">
        <v>1383</v>
      </c>
      <c r="E854" s="180"/>
      <c r="F854" s="179" t="s">
        <v>4315</v>
      </c>
      <c r="G854" s="179" t="s">
        <v>4316</v>
      </c>
      <c r="H854" s="186">
        <v>40000</v>
      </c>
      <c r="I854" s="179"/>
      <c r="J854" s="191" t="s">
        <v>1828</v>
      </c>
      <c r="K854" s="143" t="s">
        <v>82</v>
      </c>
      <c r="L854" s="53" t="s">
        <v>6064</v>
      </c>
      <c r="M854" s="334">
        <v>42068</v>
      </c>
      <c r="N854" s="180" t="s">
        <v>7557</v>
      </c>
      <c r="O854" s="52"/>
      <c r="P854" s="179" t="s">
        <v>6132</v>
      </c>
      <c r="Q854" s="53"/>
      <c r="R854" s="53"/>
      <c r="S854" s="179"/>
      <c r="T854" s="52"/>
      <c r="U854" s="179"/>
    </row>
    <row r="855" spans="1:21" ht="76.5">
      <c r="A855" s="9">
        <v>2015</v>
      </c>
      <c r="B855" s="179" t="s">
        <v>4317</v>
      </c>
      <c r="C855" s="112" t="s">
        <v>61</v>
      </c>
      <c r="D855" s="180" t="s">
        <v>1383</v>
      </c>
      <c r="E855" s="180"/>
      <c r="F855" s="179" t="s">
        <v>4318</v>
      </c>
      <c r="G855" s="179" t="s">
        <v>4319</v>
      </c>
      <c r="H855" s="186">
        <v>99000</v>
      </c>
      <c r="I855" s="179"/>
      <c r="J855" s="191" t="s">
        <v>1828</v>
      </c>
      <c r="K855" s="143" t="s">
        <v>82</v>
      </c>
      <c r="L855" s="53" t="s">
        <v>6064</v>
      </c>
      <c r="M855" s="334">
        <v>42069</v>
      </c>
      <c r="N855" s="180" t="s">
        <v>12055</v>
      </c>
      <c r="O855" s="52"/>
      <c r="P855" s="179" t="s">
        <v>22</v>
      </c>
      <c r="Q855" s="53"/>
      <c r="R855" s="53"/>
      <c r="S855" s="179"/>
      <c r="T855" s="52"/>
      <c r="U855" s="179" t="s">
        <v>1934</v>
      </c>
    </row>
    <row r="856" spans="1:21" ht="76.5">
      <c r="A856" s="9">
        <v>2015</v>
      </c>
      <c r="B856" s="179" t="s">
        <v>4320</v>
      </c>
      <c r="C856" s="112" t="s">
        <v>61</v>
      </c>
      <c r="D856" s="180" t="s">
        <v>1383</v>
      </c>
      <c r="E856" s="180"/>
      <c r="F856" s="179" t="s">
        <v>4321</v>
      </c>
      <c r="G856" s="179" t="s">
        <v>4322</v>
      </c>
      <c r="H856" s="186">
        <v>20660</v>
      </c>
      <c r="I856" s="179"/>
      <c r="J856" s="191" t="s">
        <v>1828</v>
      </c>
      <c r="K856" s="143" t="s">
        <v>82</v>
      </c>
      <c r="L856" s="53" t="s">
        <v>6189</v>
      </c>
      <c r="M856" s="334">
        <v>42076</v>
      </c>
      <c r="N856" s="180" t="s">
        <v>7561</v>
      </c>
      <c r="O856" s="52"/>
      <c r="P856" s="179" t="s">
        <v>22</v>
      </c>
      <c r="Q856" s="53"/>
      <c r="R856" s="53"/>
      <c r="S856" s="179"/>
      <c r="T856" s="52"/>
      <c r="U856" s="179" t="s">
        <v>1934</v>
      </c>
    </row>
    <row r="857" spans="1:21" ht="51">
      <c r="A857" s="9">
        <v>2015</v>
      </c>
      <c r="B857" s="179" t="s">
        <v>4323</v>
      </c>
      <c r="C857" s="112" t="s">
        <v>61</v>
      </c>
      <c r="D857" s="180" t="s">
        <v>394</v>
      </c>
      <c r="E857" s="180"/>
      <c r="F857" s="179" t="s">
        <v>4324</v>
      </c>
      <c r="G857" s="179" t="s">
        <v>4325</v>
      </c>
      <c r="H857" s="791">
        <v>77500</v>
      </c>
      <c r="I857" s="179"/>
      <c r="J857" s="180" t="s">
        <v>1855</v>
      </c>
      <c r="K857" s="180" t="s">
        <v>1853</v>
      </c>
      <c r="L857" s="53" t="s">
        <v>6064</v>
      </c>
      <c r="M857" s="334">
        <v>42076</v>
      </c>
      <c r="N857" s="180" t="s">
        <v>7563</v>
      </c>
      <c r="O857" s="52"/>
      <c r="P857" s="179" t="s">
        <v>22</v>
      </c>
      <c r="Q857" s="53"/>
      <c r="R857" s="53"/>
      <c r="S857" s="179"/>
      <c r="T857" s="52"/>
      <c r="U857" s="179"/>
    </row>
    <row r="858" spans="1:21" ht="127.5">
      <c r="A858" s="9">
        <v>2015</v>
      </c>
      <c r="B858" s="179" t="s">
        <v>4326</v>
      </c>
      <c r="C858" s="112" t="s">
        <v>61</v>
      </c>
      <c r="D858" s="180" t="s">
        <v>1763</v>
      </c>
      <c r="E858" s="180"/>
      <c r="F858" s="179" t="s">
        <v>4327</v>
      </c>
      <c r="G858" s="179" t="s">
        <v>4328</v>
      </c>
      <c r="H858" s="792">
        <v>15875</v>
      </c>
      <c r="I858" s="179" t="s">
        <v>4329</v>
      </c>
      <c r="J858" s="180" t="s">
        <v>1916</v>
      </c>
      <c r="K858" s="143" t="s">
        <v>82</v>
      </c>
      <c r="L858" s="53" t="s">
        <v>6064</v>
      </c>
      <c r="M858" s="334">
        <v>42079</v>
      </c>
      <c r="N858" s="180" t="s">
        <v>12056</v>
      </c>
      <c r="O858" s="52"/>
      <c r="P858" s="179" t="s">
        <v>6132</v>
      </c>
      <c r="Q858" s="53"/>
      <c r="R858" s="53"/>
      <c r="S858" s="179"/>
      <c r="T858" s="52"/>
      <c r="U858" s="179"/>
    </row>
    <row r="859" spans="1:21" ht="76.5">
      <c r="A859" s="9">
        <v>2015</v>
      </c>
      <c r="B859" s="179" t="s">
        <v>4330</v>
      </c>
      <c r="C859" s="112" t="s">
        <v>61</v>
      </c>
      <c r="D859" s="180" t="s">
        <v>2993</v>
      </c>
      <c r="E859" s="180"/>
      <c r="F859" s="179" t="s">
        <v>4331</v>
      </c>
      <c r="G859" s="179" t="s">
        <v>4332</v>
      </c>
      <c r="H859" s="194">
        <v>84805</v>
      </c>
      <c r="I859" s="179" t="s">
        <v>4333</v>
      </c>
      <c r="J859" s="180" t="s">
        <v>2031</v>
      </c>
      <c r="K859" s="143" t="s">
        <v>1874</v>
      </c>
      <c r="L859" s="53" t="s">
        <v>6064</v>
      </c>
      <c r="M859" s="334">
        <v>42079</v>
      </c>
      <c r="N859" s="180" t="s">
        <v>7567</v>
      </c>
      <c r="O859" s="52"/>
      <c r="P859" s="179" t="s">
        <v>22</v>
      </c>
      <c r="Q859" s="53"/>
      <c r="R859" s="53"/>
      <c r="S859" s="179"/>
      <c r="T859" s="52"/>
      <c r="U859" s="179"/>
    </row>
    <row r="860" spans="1:21" ht="38.25">
      <c r="A860" s="9">
        <v>2015</v>
      </c>
      <c r="B860" s="179" t="s">
        <v>4334</v>
      </c>
      <c r="C860" s="112" t="s">
        <v>61</v>
      </c>
      <c r="D860" s="180" t="s">
        <v>1383</v>
      </c>
      <c r="E860" s="180"/>
      <c r="F860" s="179" t="s">
        <v>4335</v>
      </c>
      <c r="G860" s="179" t="s">
        <v>3859</v>
      </c>
      <c r="H860" s="186">
        <v>65000</v>
      </c>
      <c r="I860" s="179" t="s">
        <v>4336</v>
      </c>
      <c r="J860" s="180" t="s">
        <v>1855</v>
      </c>
      <c r="K860" s="143" t="s">
        <v>82</v>
      </c>
      <c r="L860" s="53" t="s">
        <v>6064</v>
      </c>
      <c r="M860" s="334">
        <v>42100</v>
      </c>
      <c r="N860" s="180" t="s">
        <v>7570</v>
      </c>
      <c r="O860" s="52"/>
      <c r="P860" s="179" t="s">
        <v>22</v>
      </c>
      <c r="Q860" s="53"/>
      <c r="R860" s="53"/>
      <c r="S860" s="179"/>
      <c r="T860" s="52"/>
      <c r="U860" s="196" t="s">
        <v>1520</v>
      </c>
    </row>
    <row r="861" spans="1:21" ht="51">
      <c r="A861" s="9">
        <v>2015</v>
      </c>
      <c r="B861" s="179" t="s">
        <v>4337</v>
      </c>
      <c r="C861" s="112" t="s">
        <v>61</v>
      </c>
      <c r="D861" s="180" t="s">
        <v>1763</v>
      </c>
      <c r="E861" s="180"/>
      <c r="F861" s="179" t="s">
        <v>4338</v>
      </c>
      <c r="G861" s="179" t="s">
        <v>4339</v>
      </c>
      <c r="H861" s="792">
        <v>16100</v>
      </c>
      <c r="I861" s="179"/>
      <c r="J861" s="180" t="s">
        <v>2472</v>
      </c>
      <c r="K861" s="143" t="s">
        <v>82</v>
      </c>
      <c r="L861" s="53" t="s">
        <v>6064</v>
      </c>
      <c r="M861" s="334">
        <v>42102</v>
      </c>
      <c r="N861" s="180" t="s">
        <v>7572</v>
      </c>
      <c r="O861" s="52"/>
      <c r="P861" s="179" t="s">
        <v>6179</v>
      </c>
      <c r="Q861" s="53"/>
      <c r="R861" s="53"/>
      <c r="S861" s="179"/>
      <c r="T861" s="52"/>
      <c r="U861" s="179"/>
    </row>
    <row r="862" spans="1:21" ht="51">
      <c r="A862" s="9">
        <v>2015</v>
      </c>
      <c r="B862" s="179" t="s">
        <v>4340</v>
      </c>
      <c r="C862" s="112" t="s">
        <v>61</v>
      </c>
      <c r="D862" s="180" t="s">
        <v>394</v>
      </c>
      <c r="E862" s="180"/>
      <c r="F862" s="179" t="s">
        <v>4341</v>
      </c>
      <c r="G862" s="179" t="s">
        <v>4342</v>
      </c>
      <c r="H862" s="791">
        <v>55000</v>
      </c>
      <c r="I862" s="179" t="s">
        <v>4343</v>
      </c>
      <c r="J862" s="180" t="s">
        <v>1899</v>
      </c>
      <c r="K862" s="180" t="s">
        <v>1853</v>
      </c>
      <c r="L862" s="53" t="s">
        <v>6071</v>
      </c>
      <c r="M862" s="334">
        <v>42110</v>
      </c>
      <c r="N862" s="180" t="s">
        <v>7574</v>
      </c>
      <c r="O862" s="52"/>
      <c r="P862" s="179" t="s">
        <v>22</v>
      </c>
      <c r="Q862" s="53"/>
      <c r="R862" s="53"/>
      <c r="S862" s="179"/>
      <c r="T862" s="52"/>
      <c r="U862" s="179"/>
    </row>
    <row r="863" spans="1:21" ht="89.25">
      <c r="A863" s="9">
        <v>2015</v>
      </c>
      <c r="B863" s="179" t="s">
        <v>4344</v>
      </c>
      <c r="C863" s="112" t="s">
        <v>61</v>
      </c>
      <c r="D863" s="180" t="s">
        <v>1383</v>
      </c>
      <c r="E863" s="180"/>
      <c r="F863" s="179" t="s">
        <v>4345</v>
      </c>
      <c r="G863" s="179" t="s">
        <v>4346</v>
      </c>
      <c r="H863" s="186">
        <v>100000</v>
      </c>
      <c r="I863" s="179" t="s">
        <v>4347</v>
      </c>
      <c r="J863" s="180" t="s">
        <v>1828</v>
      </c>
      <c r="K863" s="143" t="s">
        <v>82</v>
      </c>
      <c r="L863" s="53" t="s">
        <v>6064</v>
      </c>
      <c r="M863" s="334">
        <v>42122</v>
      </c>
      <c r="N863" s="180" t="s">
        <v>7576</v>
      </c>
      <c r="O863" s="52"/>
      <c r="P863" s="179" t="s">
        <v>22</v>
      </c>
      <c r="Q863" s="53"/>
      <c r="R863" s="53"/>
      <c r="S863" s="179"/>
      <c r="T863" s="52"/>
      <c r="U863" s="179"/>
    </row>
    <row r="864" spans="1:21" ht="89.25">
      <c r="A864" s="9">
        <v>2015</v>
      </c>
      <c r="B864" s="179" t="s">
        <v>4348</v>
      </c>
      <c r="C864" s="112" t="s">
        <v>61</v>
      </c>
      <c r="D864" s="180" t="s">
        <v>3092</v>
      </c>
      <c r="E864" s="180"/>
      <c r="F864" s="179" t="s">
        <v>4349</v>
      </c>
      <c r="G864" s="179" t="s">
        <v>4350</v>
      </c>
      <c r="H864" s="194">
        <v>48800</v>
      </c>
      <c r="I864" s="179"/>
      <c r="J864" s="180" t="s">
        <v>1855</v>
      </c>
      <c r="K864" s="143" t="s">
        <v>1904</v>
      </c>
      <c r="L864" s="53" t="s">
        <v>6064</v>
      </c>
      <c r="M864" s="334">
        <v>42135</v>
      </c>
      <c r="N864" s="180" t="s">
        <v>12057</v>
      </c>
      <c r="O864" s="52"/>
      <c r="P864" s="179" t="s">
        <v>6179</v>
      </c>
      <c r="Q864" s="53"/>
      <c r="R864" s="53"/>
      <c r="S864" s="179"/>
      <c r="T864" s="52"/>
      <c r="U864" s="179"/>
    </row>
    <row r="865" spans="1:21" ht="51">
      <c r="A865" s="9">
        <v>2015</v>
      </c>
      <c r="B865" s="179" t="s">
        <v>4351</v>
      </c>
      <c r="C865" s="112" t="s">
        <v>61</v>
      </c>
      <c r="D865" s="180" t="s">
        <v>1383</v>
      </c>
      <c r="E865" s="180"/>
      <c r="F865" s="179" t="s">
        <v>4352</v>
      </c>
      <c r="G865" s="179" t="s">
        <v>4353</v>
      </c>
      <c r="H865" s="186">
        <v>48000</v>
      </c>
      <c r="I865" s="179" t="s">
        <v>4354</v>
      </c>
      <c r="J865" s="180" t="s">
        <v>1828</v>
      </c>
      <c r="K865" s="143" t="s">
        <v>82</v>
      </c>
      <c r="L865" s="53" t="s">
        <v>6064</v>
      </c>
      <c r="M865" s="334">
        <v>42138</v>
      </c>
      <c r="N865" s="180" t="s">
        <v>12058</v>
      </c>
      <c r="O865" s="52"/>
      <c r="P865" s="179" t="s">
        <v>6132</v>
      </c>
      <c r="Q865" s="53"/>
      <c r="R865" s="53"/>
      <c r="S865" s="179"/>
      <c r="T865" s="52"/>
      <c r="U865" s="179" t="s">
        <v>1934</v>
      </c>
    </row>
    <row r="866" spans="1:21" ht="63.75">
      <c r="A866" s="9">
        <v>2015</v>
      </c>
      <c r="B866" s="179" t="s">
        <v>4355</v>
      </c>
      <c r="C866" s="112" t="s">
        <v>61</v>
      </c>
      <c r="D866" s="180" t="s">
        <v>3168</v>
      </c>
      <c r="E866" s="180"/>
      <c r="F866" s="179" t="s">
        <v>4356</v>
      </c>
      <c r="G866" s="179" t="s">
        <v>2331</v>
      </c>
      <c r="H866" s="792">
        <v>73000</v>
      </c>
      <c r="I866" s="179"/>
      <c r="J866" s="180" t="s">
        <v>1828</v>
      </c>
      <c r="K866" s="143" t="s">
        <v>82</v>
      </c>
      <c r="L866" s="53" t="s">
        <v>6064</v>
      </c>
      <c r="M866" s="334">
        <v>42139</v>
      </c>
      <c r="N866" s="180" t="s">
        <v>12059</v>
      </c>
      <c r="O866" s="52"/>
      <c r="P866" s="179" t="s">
        <v>22</v>
      </c>
      <c r="Q866" s="53"/>
      <c r="R866" s="53"/>
      <c r="S866" s="179"/>
      <c r="T866" s="52"/>
      <c r="U866" s="179"/>
    </row>
    <row r="867" spans="1:21" ht="38.25">
      <c r="A867" s="9">
        <v>2015</v>
      </c>
      <c r="B867" s="179" t="s">
        <v>4357</v>
      </c>
      <c r="C867" s="112" t="s">
        <v>61</v>
      </c>
      <c r="D867" s="180" t="s">
        <v>394</v>
      </c>
      <c r="E867" s="180"/>
      <c r="F867" s="179" t="s">
        <v>4358</v>
      </c>
      <c r="G867" s="179" t="s">
        <v>4359</v>
      </c>
      <c r="H867" s="791">
        <v>55000</v>
      </c>
      <c r="I867" s="179" t="s">
        <v>4360</v>
      </c>
      <c r="J867" s="180" t="s">
        <v>1899</v>
      </c>
      <c r="K867" s="180" t="s">
        <v>1853</v>
      </c>
      <c r="L867" s="53" t="s">
        <v>6071</v>
      </c>
      <c r="M867" s="334">
        <v>42150</v>
      </c>
      <c r="N867" s="528" t="s">
        <v>7584</v>
      </c>
      <c r="O867" s="52"/>
      <c r="P867" s="179" t="s">
        <v>22</v>
      </c>
      <c r="Q867" s="53"/>
      <c r="R867" s="53"/>
      <c r="S867" s="179"/>
      <c r="T867" s="52"/>
      <c r="U867" s="179"/>
    </row>
    <row r="868" spans="1:21" ht="38.25">
      <c r="A868" s="9">
        <v>2015</v>
      </c>
      <c r="B868" s="179" t="s">
        <v>4361</v>
      </c>
      <c r="C868" s="112" t="s">
        <v>61</v>
      </c>
      <c r="D868" s="180" t="s">
        <v>3168</v>
      </c>
      <c r="E868" s="180"/>
      <c r="F868" s="179" t="s">
        <v>4362</v>
      </c>
      <c r="G868" s="179" t="s">
        <v>4363</v>
      </c>
      <c r="H868" s="792">
        <v>50000</v>
      </c>
      <c r="I868" s="179"/>
      <c r="J868" s="191" t="s">
        <v>1828</v>
      </c>
      <c r="K868" s="143" t="s">
        <v>82</v>
      </c>
      <c r="L868" s="53" t="s">
        <v>6071</v>
      </c>
      <c r="M868" s="334">
        <v>42163</v>
      </c>
      <c r="N868" s="180" t="s">
        <v>12060</v>
      </c>
      <c r="O868" s="52"/>
      <c r="P868" s="179" t="s">
        <v>22</v>
      </c>
      <c r="Q868" s="53"/>
      <c r="R868" s="53"/>
      <c r="S868" s="179"/>
      <c r="T868" s="52"/>
      <c r="U868" s="179"/>
    </row>
    <row r="869" spans="1:21" ht="51">
      <c r="A869" s="9">
        <v>2015</v>
      </c>
      <c r="B869" s="179" t="s">
        <v>4364</v>
      </c>
      <c r="C869" s="112" t="s">
        <v>61</v>
      </c>
      <c r="D869" s="180" t="s">
        <v>2993</v>
      </c>
      <c r="E869" s="180"/>
      <c r="F869" s="179" t="s">
        <v>4365</v>
      </c>
      <c r="G869" s="179" t="s">
        <v>4366</v>
      </c>
      <c r="H869" s="186">
        <v>39000</v>
      </c>
      <c r="I869" s="179"/>
      <c r="J869" s="191" t="s">
        <v>1828</v>
      </c>
      <c r="K869" s="143" t="s">
        <v>1874</v>
      </c>
      <c r="L869" s="53" t="s">
        <v>6064</v>
      </c>
      <c r="M869" s="334">
        <v>42164</v>
      </c>
      <c r="N869" s="180" t="s">
        <v>7588</v>
      </c>
      <c r="O869" s="52"/>
      <c r="P869" s="179" t="s">
        <v>6132</v>
      </c>
      <c r="Q869" s="53"/>
      <c r="R869" s="53"/>
      <c r="S869" s="179"/>
      <c r="T869" s="52"/>
      <c r="U869" s="179"/>
    </row>
    <row r="870" spans="1:21" ht="76.5">
      <c r="A870" s="9">
        <v>2015</v>
      </c>
      <c r="B870" s="179" t="s">
        <v>4367</v>
      </c>
      <c r="C870" s="112" t="s">
        <v>61</v>
      </c>
      <c r="D870" s="180" t="s">
        <v>652</v>
      </c>
      <c r="E870" s="180"/>
      <c r="F870" s="179" t="s">
        <v>4368</v>
      </c>
      <c r="G870" s="179" t="s">
        <v>4369</v>
      </c>
      <c r="H870" s="194">
        <v>99860</v>
      </c>
      <c r="I870" s="179" t="s">
        <v>4370</v>
      </c>
      <c r="J870" s="180" t="s">
        <v>1828</v>
      </c>
      <c r="K870" s="143" t="s">
        <v>1874</v>
      </c>
      <c r="L870" s="53" t="s">
        <v>6064</v>
      </c>
      <c r="M870" s="334">
        <v>42164</v>
      </c>
      <c r="N870" s="180" t="s">
        <v>7590</v>
      </c>
      <c r="O870" s="52"/>
      <c r="P870" s="179" t="s">
        <v>6132</v>
      </c>
      <c r="Q870" s="53"/>
      <c r="R870" s="53"/>
      <c r="S870" s="179"/>
      <c r="T870" s="52"/>
      <c r="U870" s="179"/>
    </row>
    <row r="871" spans="1:21" ht="51">
      <c r="A871" s="9">
        <v>2015</v>
      </c>
      <c r="B871" s="179" t="s">
        <v>4371</v>
      </c>
      <c r="C871" s="112" t="s">
        <v>61</v>
      </c>
      <c r="D871" s="180" t="s">
        <v>2993</v>
      </c>
      <c r="E871" s="180"/>
      <c r="F871" s="179" t="s">
        <v>4372</v>
      </c>
      <c r="G871" s="179" t="s">
        <v>4366</v>
      </c>
      <c r="H871" s="186">
        <v>65000</v>
      </c>
      <c r="I871" s="179"/>
      <c r="J871" s="191" t="s">
        <v>1828</v>
      </c>
      <c r="K871" s="143" t="s">
        <v>1874</v>
      </c>
      <c r="L871" s="53" t="s">
        <v>6064</v>
      </c>
      <c r="M871" s="334">
        <v>42164</v>
      </c>
      <c r="N871" s="180" t="s">
        <v>7588</v>
      </c>
      <c r="O871" s="52"/>
      <c r="P871" s="179" t="s">
        <v>6132</v>
      </c>
      <c r="Q871" s="53"/>
      <c r="R871" s="53"/>
      <c r="S871" s="179"/>
      <c r="T871" s="52"/>
      <c r="U871" s="179"/>
    </row>
    <row r="872" spans="1:21" ht="51">
      <c r="A872" s="9">
        <v>2015</v>
      </c>
      <c r="B872" s="179" t="s">
        <v>4373</v>
      </c>
      <c r="C872" s="112" t="s">
        <v>61</v>
      </c>
      <c r="D872" s="180" t="s">
        <v>2993</v>
      </c>
      <c r="E872" s="180"/>
      <c r="F872" s="179" t="s">
        <v>4374</v>
      </c>
      <c r="G872" s="179" t="s">
        <v>4366</v>
      </c>
      <c r="H872" s="186">
        <v>39000</v>
      </c>
      <c r="I872" s="179"/>
      <c r="J872" s="191" t="s">
        <v>1828</v>
      </c>
      <c r="K872" s="143" t="s">
        <v>1874</v>
      </c>
      <c r="L872" s="53" t="s">
        <v>6064</v>
      </c>
      <c r="M872" s="334">
        <v>42164</v>
      </c>
      <c r="N872" s="180" t="s">
        <v>7588</v>
      </c>
      <c r="O872" s="52"/>
      <c r="P872" s="179" t="s">
        <v>6132</v>
      </c>
      <c r="Q872" s="53"/>
      <c r="R872" s="53"/>
      <c r="S872" s="179"/>
      <c r="T872" s="52"/>
      <c r="U872" s="179"/>
    </row>
    <row r="873" spans="1:21" ht="76.5">
      <c r="A873" s="9">
        <v>2015</v>
      </c>
      <c r="B873" s="179" t="s">
        <v>4375</v>
      </c>
      <c r="C873" s="112" t="s">
        <v>61</v>
      </c>
      <c r="D873" s="180" t="s">
        <v>652</v>
      </c>
      <c r="E873" s="180"/>
      <c r="F873" s="179" t="s">
        <v>4376</v>
      </c>
      <c r="G873" s="179" t="s">
        <v>4377</v>
      </c>
      <c r="H873" s="194">
        <v>76569.679999999993</v>
      </c>
      <c r="I873" s="179" t="s">
        <v>4378</v>
      </c>
      <c r="J873" s="180" t="s">
        <v>2472</v>
      </c>
      <c r="K873" s="143" t="s">
        <v>1874</v>
      </c>
      <c r="L873" s="53" t="s">
        <v>6064</v>
      </c>
      <c r="M873" s="334">
        <v>42166</v>
      </c>
      <c r="N873" s="180" t="s">
        <v>12061</v>
      </c>
      <c r="O873" s="52"/>
      <c r="P873" s="179" t="s">
        <v>6132</v>
      </c>
      <c r="Q873" s="53"/>
      <c r="R873" s="53"/>
      <c r="S873" s="179"/>
      <c r="T873" s="52"/>
      <c r="U873" s="179"/>
    </row>
    <row r="874" spans="1:21" ht="89.25">
      <c r="A874" s="9">
        <v>2015</v>
      </c>
      <c r="B874" s="179" t="s">
        <v>4379</v>
      </c>
      <c r="C874" s="112" t="s">
        <v>61</v>
      </c>
      <c r="D874" s="180" t="s">
        <v>3168</v>
      </c>
      <c r="E874" s="180"/>
      <c r="F874" s="179" t="s">
        <v>4380</v>
      </c>
      <c r="G874" s="179" t="s">
        <v>4381</v>
      </c>
      <c r="H874" s="792">
        <v>99000</v>
      </c>
      <c r="I874" s="179" t="s">
        <v>4382</v>
      </c>
      <c r="J874" s="180" t="s">
        <v>1828</v>
      </c>
      <c r="K874" s="143" t="s">
        <v>82</v>
      </c>
      <c r="L874" s="53" t="s">
        <v>6064</v>
      </c>
      <c r="M874" s="786">
        <v>42173</v>
      </c>
      <c r="N874" s="180" t="s">
        <v>7596</v>
      </c>
      <c r="O874" s="52"/>
      <c r="P874" s="179" t="s">
        <v>6132</v>
      </c>
      <c r="Q874" s="53"/>
      <c r="R874" s="53"/>
      <c r="S874" s="179"/>
      <c r="T874" s="52"/>
      <c r="U874" s="179"/>
    </row>
    <row r="875" spans="1:21" ht="51">
      <c r="A875" s="9">
        <v>2015</v>
      </c>
      <c r="B875" s="179" t="s">
        <v>4383</v>
      </c>
      <c r="C875" s="112" t="s">
        <v>61</v>
      </c>
      <c r="D875" s="180" t="s">
        <v>3168</v>
      </c>
      <c r="E875" s="180"/>
      <c r="F875" s="179" t="s">
        <v>4384</v>
      </c>
      <c r="G875" s="179" t="s">
        <v>4381</v>
      </c>
      <c r="H875" s="792">
        <v>35000</v>
      </c>
      <c r="I875" s="179" t="s">
        <v>4382</v>
      </c>
      <c r="J875" s="180" t="s">
        <v>1828</v>
      </c>
      <c r="K875" s="143" t="s">
        <v>82</v>
      </c>
      <c r="L875" s="53" t="s">
        <v>6064</v>
      </c>
      <c r="M875" s="334">
        <v>42177</v>
      </c>
      <c r="N875" s="180" t="s">
        <v>12062</v>
      </c>
      <c r="O875" s="52"/>
      <c r="P875" s="179" t="s">
        <v>6132</v>
      </c>
      <c r="Q875" s="53"/>
      <c r="R875" s="53"/>
      <c r="S875" s="179"/>
      <c r="T875" s="52"/>
      <c r="U875" s="179"/>
    </row>
    <row r="876" spans="1:21" ht="89.25">
      <c r="A876" s="9">
        <v>2015</v>
      </c>
      <c r="B876" s="179" t="s">
        <v>4385</v>
      </c>
      <c r="C876" s="112" t="s">
        <v>3096</v>
      </c>
      <c r="D876" s="197" t="s">
        <v>4386</v>
      </c>
      <c r="E876" s="197"/>
      <c r="F876" s="179" t="s">
        <v>4387</v>
      </c>
      <c r="G876" s="179" t="s">
        <v>4388</v>
      </c>
      <c r="H876" s="186">
        <v>75000</v>
      </c>
      <c r="I876" s="179" t="s">
        <v>3322</v>
      </c>
      <c r="J876" s="179" t="s">
        <v>1828</v>
      </c>
      <c r="K876" s="52"/>
      <c r="L876" s="53" t="s">
        <v>6064</v>
      </c>
      <c r="M876" s="334">
        <v>42180</v>
      </c>
      <c r="N876" s="180" t="s">
        <v>7599</v>
      </c>
      <c r="O876" s="52"/>
      <c r="P876" s="179" t="s">
        <v>22</v>
      </c>
      <c r="Q876" s="53"/>
      <c r="R876" s="53"/>
      <c r="S876" s="179"/>
      <c r="T876" s="52"/>
      <c r="U876" s="179"/>
    </row>
    <row r="877" spans="1:21" ht="102">
      <c r="A877" s="9">
        <v>2015</v>
      </c>
      <c r="B877" s="179" t="s">
        <v>4389</v>
      </c>
      <c r="C877" s="112" t="s">
        <v>61</v>
      </c>
      <c r="D877" s="180" t="s">
        <v>394</v>
      </c>
      <c r="E877" s="180"/>
      <c r="F877" s="179" t="s">
        <v>4390</v>
      </c>
      <c r="G877" s="179" t="s">
        <v>4391</v>
      </c>
      <c r="H877" s="791">
        <v>58000</v>
      </c>
      <c r="I877" s="179" t="s">
        <v>4392</v>
      </c>
      <c r="J877" s="143" t="s">
        <v>1916</v>
      </c>
      <c r="K877" s="180" t="s">
        <v>1853</v>
      </c>
      <c r="L877" s="53" t="s">
        <v>6071</v>
      </c>
      <c r="M877" s="334">
        <v>42180</v>
      </c>
      <c r="N877" s="180" t="s">
        <v>12063</v>
      </c>
      <c r="O877" s="52"/>
      <c r="P877" s="179" t="s">
        <v>22</v>
      </c>
      <c r="Q877" s="53"/>
      <c r="R877" s="53"/>
      <c r="S877" s="179"/>
      <c r="T877" s="52"/>
      <c r="U877" s="179"/>
    </row>
    <row r="878" spans="1:21" ht="51">
      <c r="A878" s="9">
        <v>2015</v>
      </c>
      <c r="B878" s="179" t="s">
        <v>4393</v>
      </c>
      <c r="C878" s="112" t="s">
        <v>61</v>
      </c>
      <c r="D878" s="180" t="s">
        <v>3092</v>
      </c>
      <c r="E878" s="180"/>
      <c r="F878" s="179" t="s">
        <v>4394</v>
      </c>
      <c r="G878" s="179" t="s">
        <v>4395</v>
      </c>
      <c r="H878" s="194">
        <v>80000</v>
      </c>
      <c r="I878" s="179"/>
      <c r="J878" s="180" t="s">
        <v>1899</v>
      </c>
      <c r="K878" s="143" t="s">
        <v>1904</v>
      </c>
      <c r="L878" s="53" t="s">
        <v>6064</v>
      </c>
      <c r="M878" s="334">
        <v>42205</v>
      </c>
      <c r="N878" s="180" t="s">
        <v>7603</v>
      </c>
      <c r="O878" s="52"/>
      <c r="P878" s="179" t="s">
        <v>6132</v>
      </c>
      <c r="Q878" s="53"/>
      <c r="R878" s="53"/>
      <c r="S878" s="179"/>
      <c r="T878" s="52"/>
      <c r="U878" s="179"/>
    </row>
    <row r="879" spans="1:21" ht="25.5">
      <c r="A879" s="52"/>
      <c r="B879" s="190" t="s">
        <v>7605</v>
      </c>
      <c r="C879" s="190" t="s">
        <v>3827</v>
      </c>
      <c r="D879" s="190" t="s">
        <v>3827</v>
      </c>
      <c r="E879" s="190"/>
      <c r="F879" s="190" t="s">
        <v>3827</v>
      </c>
      <c r="G879" s="190" t="s">
        <v>3827</v>
      </c>
      <c r="H879" s="190" t="s">
        <v>3827</v>
      </c>
      <c r="I879" s="190" t="s">
        <v>3827</v>
      </c>
      <c r="J879" s="190"/>
      <c r="K879" s="52"/>
      <c r="L879" s="204" t="s">
        <v>3827</v>
      </c>
      <c r="M879" s="190"/>
      <c r="N879" s="190" t="s">
        <v>3827</v>
      </c>
      <c r="O879" s="52"/>
      <c r="P879" s="190" t="s">
        <v>22</v>
      </c>
      <c r="Q879" s="204"/>
      <c r="R879" s="204"/>
      <c r="S879" s="179"/>
      <c r="T879" s="52"/>
      <c r="U879" s="190"/>
    </row>
    <row r="880" spans="1:21" ht="76.5">
      <c r="A880" s="9">
        <v>2015</v>
      </c>
      <c r="B880" s="179" t="s">
        <v>4396</v>
      </c>
      <c r="C880" s="112" t="s">
        <v>1926</v>
      </c>
      <c r="D880" s="180" t="s">
        <v>62</v>
      </c>
      <c r="E880" s="180"/>
      <c r="F880" s="179" t="s">
        <v>4397</v>
      </c>
      <c r="G880" s="179" t="s">
        <v>4398</v>
      </c>
      <c r="H880" s="186">
        <v>34008</v>
      </c>
      <c r="I880" s="179" t="s">
        <v>4399</v>
      </c>
      <c r="J880" s="179" t="s">
        <v>2051</v>
      </c>
      <c r="K880" s="52" t="s">
        <v>1904</v>
      </c>
      <c r="L880" s="53" t="s">
        <v>6064</v>
      </c>
      <c r="M880" s="334">
        <v>42221</v>
      </c>
      <c r="N880" s="180" t="s">
        <v>7606</v>
      </c>
      <c r="O880" s="52"/>
      <c r="P880" s="179" t="s">
        <v>22</v>
      </c>
      <c r="Q880" s="53"/>
      <c r="R880" s="53"/>
      <c r="S880" s="179"/>
      <c r="T880" s="52"/>
      <c r="U880" s="179"/>
    </row>
    <row r="881" spans="1:21" ht="51">
      <c r="A881" s="9">
        <v>2015</v>
      </c>
      <c r="B881" s="179" t="s">
        <v>4400</v>
      </c>
      <c r="C881" s="112" t="s">
        <v>61</v>
      </c>
      <c r="D881" s="180" t="s">
        <v>1763</v>
      </c>
      <c r="E881" s="180"/>
      <c r="F881" s="179" t="s">
        <v>4401</v>
      </c>
      <c r="G881" s="179" t="s">
        <v>4402</v>
      </c>
      <c r="H881" s="792">
        <v>17400</v>
      </c>
      <c r="I881" s="179" t="s">
        <v>4403</v>
      </c>
      <c r="J881" s="180" t="s">
        <v>1828</v>
      </c>
      <c r="K881" s="143" t="s">
        <v>82</v>
      </c>
      <c r="L881" s="53" t="s">
        <v>6064</v>
      </c>
      <c r="M881" s="334">
        <v>42223</v>
      </c>
      <c r="N881" s="180" t="s">
        <v>12064</v>
      </c>
      <c r="O881" s="52"/>
      <c r="P881" s="179" t="s">
        <v>6179</v>
      </c>
      <c r="Q881" s="53"/>
      <c r="R881" s="53"/>
      <c r="S881" s="179"/>
      <c r="T881" s="52"/>
      <c r="U881" s="179"/>
    </row>
    <row r="882" spans="1:21" ht="51">
      <c r="A882" s="9">
        <v>2015</v>
      </c>
      <c r="B882" s="179" t="s">
        <v>4404</v>
      </c>
      <c r="C882" s="112" t="s">
        <v>61</v>
      </c>
      <c r="D882" s="180" t="s">
        <v>3168</v>
      </c>
      <c r="E882" s="180"/>
      <c r="F882" s="179" t="s">
        <v>4405</v>
      </c>
      <c r="G882" s="179" t="s">
        <v>4406</v>
      </c>
      <c r="H882" s="792">
        <v>50000</v>
      </c>
      <c r="I882" s="179" t="s">
        <v>4407</v>
      </c>
      <c r="J882" s="180" t="s">
        <v>2041</v>
      </c>
      <c r="K882" s="143" t="s">
        <v>82</v>
      </c>
      <c r="L882" s="53" t="s">
        <v>6933</v>
      </c>
      <c r="M882" s="334">
        <v>42229</v>
      </c>
      <c r="N882" s="180" t="s">
        <v>7611</v>
      </c>
      <c r="O882" s="52"/>
      <c r="P882" s="179" t="s">
        <v>22</v>
      </c>
      <c r="Q882" s="53"/>
      <c r="R882" s="53"/>
      <c r="S882" s="179"/>
      <c r="T882" s="52"/>
      <c r="U882" s="179"/>
    </row>
    <row r="883" spans="1:21" ht="89.25">
      <c r="A883" s="9">
        <v>2015</v>
      </c>
      <c r="B883" s="179" t="s">
        <v>4408</v>
      </c>
      <c r="C883" s="112" t="s">
        <v>61</v>
      </c>
      <c r="D883" s="180" t="s">
        <v>1383</v>
      </c>
      <c r="E883" s="180"/>
      <c r="F883" s="179" t="s">
        <v>4409</v>
      </c>
      <c r="G883" s="179" t="s">
        <v>4410</v>
      </c>
      <c r="H883" s="186">
        <v>100000</v>
      </c>
      <c r="I883" s="179"/>
      <c r="J883" s="180" t="s">
        <v>2472</v>
      </c>
      <c r="K883" s="143" t="s">
        <v>82</v>
      </c>
      <c r="L883" s="53" t="s">
        <v>6933</v>
      </c>
      <c r="M883" s="334">
        <v>42251</v>
      </c>
      <c r="N883" s="180" t="s">
        <v>7613</v>
      </c>
      <c r="O883" s="52"/>
      <c r="P883" s="179" t="s">
        <v>22</v>
      </c>
      <c r="Q883" s="53"/>
      <c r="R883" s="53"/>
      <c r="S883" s="179"/>
      <c r="T883" s="52"/>
      <c r="U883" s="179" t="s">
        <v>1383</v>
      </c>
    </row>
    <row r="884" spans="1:21" ht="51">
      <c r="A884" s="9">
        <v>2015</v>
      </c>
      <c r="B884" s="179" t="s">
        <v>4411</v>
      </c>
      <c r="C884" s="112" t="s">
        <v>61</v>
      </c>
      <c r="D884" s="180" t="s">
        <v>1763</v>
      </c>
      <c r="E884" s="180"/>
      <c r="F884" s="179" t="s">
        <v>4412</v>
      </c>
      <c r="G884" s="179" t="s">
        <v>4413</v>
      </c>
      <c r="H884" s="792">
        <v>21600</v>
      </c>
      <c r="I884" s="179" t="s">
        <v>4414</v>
      </c>
      <c r="J884" s="180" t="s">
        <v>2047</v>
      </c>
      <c r="K884" s="143" t="s">
        <v>82</v>
      </c>
      <c r="L884" s="53" t="s">
        <v>6064</v>
      </c>
      <c r="M884" s="334">
        <v>42256</v>
      </c>
      <c r="N884" s="180" t="s">
        <v>7616</v>
      </c>
      <c r="O884" s="52"/>
      <c r="P884" s="179" t="s">
        <v>6179</v>
      </c>
      <c r="Q884" s="53"/>
      <c r="R884" s="53"/>
      <c r="S884" s="179"/>
      <c r="T884" s="52"/>
      <c r="U884" s="179"/>
    </row>
    <row r="885" spans="1:21" ht="76.5">
      <c r="A885" s="9">
        <v>2015</v>
      </c>
      <c r="B885" s="179" t="s">
        <v>4415</v>
      </c>
      <c r="C885" s="112" t="s">
        <v>61</v>
      </c>
      <c r="D885" s="180" t="s">
        <v>3092</v>
      </c>
      <c r="E885" s="180"/>
      <c r="F885" s="179" t="s">
        <v>4416</v>
      </c>
      <c r="G885" s="179" t="s">
        <v>4417</v>
      </c>
      <c r="H885" s="194">
        <v>48000</v>
      </c>
      <c r="I885" s="179" t="s">
        <v>4418</v>
      </c>
      <c r="J885" s="180" t="s">
        <v>1899</v>
      </c>
      <c r="K885" s="143" t="s">
        <v>1904</v>
      </c>
      <c r="L885" s="53" t="s">
        <v>6064</v>
      </c>
      <c r="M885" s="334">
        <v>42258</v>
      </c>
      <c r="N885" s="180" t="s">
        <v>12065</v>
      </c>
      <c r="O885" s="52"/>
      <c r="P885" s="179" t="s">
        <v>6132</v>
      </c>
      <c r="Q885" s="53"/>
      <c r="R885" s="53"/>
      <c r="S885" s="179"/>
      <c r="T885" s="52"/>
      <c r="U885" s="179"/>
    </row>
    <row r="886" spans="1:21" ht="76.5">
      <c r="A886" s="9">
        <v>2015</v>
      </c>
      <c r="B886" s="179" t="s">
        <v>4419</v>
      </c>
      <c r="C886" s="112" t="s">
        <v>61</v>
      </c>
      <c r="D886" s="180" t="s">
        <v>3092</v>
      </c>
      <c r="E886" s="180"/>
      <c r="F886" s="179" t="s">
        <v>4416</v>
      </c>
      <c r="G886" s="179" t="s">
        <v>4420</v>
      </c>
      <c r="H886" s="194">
        <v>48000</v>
      </c>
      <c r="I886" s="179" t="s">
        <v>4421</v>
      </c>
      <c r="J886" s="180" t="s">
        <v>1899</v>
      </c>
      <c r="K886" s="143" t="s">
        <v>1904</v>
      </c>
      <c r="L886" s="53" t="s">
        <v>6064</v>
      </c>
      <c r="M886" s="334">
        <v>42258</v>
      </c>
      <c r="N886" s="180" t="s">
        <v>12066</v>
      </c>
      <c r="O886" s="52"/>
      <c r="P886" s="179" t="s">
        <v>6179</v>
      </c>
      <c r="Q886" s="53"/>
      <c r="R886" s="53"/>
      <c r="S886" s="179"/>
      <c r="T886" s="52"/>
      <c r="U886" s="179"/>
    </row>
    <row r="887" spans="1:21" ht="38.25">
      <c r="A887" s="9">
        <v>2015</v>
      </c>
      <c r="B887" s="179" t="s">
        <v>4422</v>
      </c>
      <c r="C887" s="112" t="s">
        <v>61</v>
      </c>
      <c r="D887" s="180" t="s">
        <v>1383</v>
      </c>
      <c r="E887" s="180"/>
      <c r="F887" s="179" t="s">
        <v>4423</v>
      </c>
      <c r="G887" s="179" t="s">
        <v>4424</v>
      </c>
      <c r="H887" s="186">
        <v>26000</v>
      </c>
      <c r="I887" s="179" t="s">
        <v>4425</v>
      </c>
      <c r="J887" s="180" t="s">
        <v>2472</v>
      </c>
      <c r="K887" s="143" t="s">
        <v>82</v>
      </c>
      <c r="L887" s="53" t="s">
        <v>6064</v>
      </c>
      <c r="M887" s="334">
        <v>42264</v>
      </c>
      <c r="N887" s="180" t="s">
        <v>7622</v>
      </c>
      <c r="O887" s="52"/>
      <c r="P887" s="179" t="s">
        <v>6132</v>
      </c>
      <c r="Q887" s="53"/>
      <c r="R887" s="53"/>
      <c r="S887" s="179"/>
      <c r="T887" s="52"/>
      <c r="U887" s="179" t="s">
        <v>1934</v>
      </c>
    </row>
    <row r="888" spans="1:21" ht="89.25">
      <c r="A888" s="9">
        <v>2015</v>
      </c>
      <c r="B888" s="179" t="s">
        <v>4426</v>
      </c>
      <c r="C888" s="112" t="s">
        <v>61</v>
      </c>
      <c r="D888" s="180" t="s">
        <v>1383</v>
      </c>
      <c r="E888" s="180"/>
      <c r="F888" s="179" t="s">
        <v>4427</v>
      </c>
      <c r="G888" s="179" t="s">
        <v>4428</v>
      </c>
      <c r="H888" s="186">
        <v>42000</v>
      </c>
      <c r="I888" s="179"/>
      <c r="J888" s="180" t="s">
        <v>1828</v>
      </c>
      <c r="K888" s="143" t="s">
        <v>82</v>
      </c>
      <c r="L888" s="53" t="s">
        <v>6933</v>
      </c>
      <c r="M888" s="334">
        <v>42265</v>
      </c>
      <c r="N888" s="180" t="s">
        <v>7624</v>
      </c>
      <c r="O888" s="52"/>
      <c r="P888" s="179" t="s">
        <v>22</v>
      </c>
      <c r="Q888" s="53"/>
      <c r="R888" s="53"/>
      <c r="S888" s="179"/>
      <c r="T888" s="52"/>
      <c r="U888" s="179" t="s">
        <v>1383</v>
      </c>
    </row>
    <row r="889" spans="1:21" ht="63.75">
      <c r="A889" s="9">
        <v>2015</v>
      </c>
      <c r="B889" s="179" t="s">
        <v>4429</v>
      </c>
      <c r="C889" s="112" t="s">
        <v>61</v>
      </c>
      <c r="D889" s="180" t="s">
        <v>394</v>
      </c>
      <c r="E889" s="180"/>
      <c r="F889" s="179" t="s">
        <v>4430</v>
      </c>
      <c r="G889" s="179" t="s">
        <v>4431</v>
      </c>
      <c r="H889" s="791">
        <v>64000</v>
      </c>
      <c r="I889" s="179" t="s">
        <v>4414</v>
      </c>
      <c r="J889" s="180" t="s">
        <v>2047</v>
      </c>
      <c r="K889" s="180" t="s">
        <v>1853</v>
      </c>
      <c r="L889" s="53" t="s">
        <v>6071</v>
      </c>
      <c r="M889" s="334">
        <v>42275</v>
      </c>
      <c r="N889" s="180" t="s">
        <v>7626</v>
      </c>
      <c r="O889" s="52"/>
      <c r="P889" s="179" t="s">
        <v>22</v>
      </c>
      <c r="Q889" s="53"/>
      <c r="R889" s="53"/>
      <c r="S889" s="179"/>
      <c r="T889" s="52"/>
      <c r="U889" s="179"/>
    </row>
    <row r="890" spans="1:21" ht="76.5">
      <c r="A890" s="9">
        <v>2015</v>
      </c>
      <c r="B890" s="179" t="s">
        <v>4432</v>
      </c>
      <c r="C890" s="112" t="s">
        <v>61</v>
      </c>
      <c r="D890" s="22" t="s">
        <v>586</v>
      </c>
      <c r="E890" s="22"/>
      <c r="F890" s="179" t="s">
        <v>4433</v>
      </c>
      <c r="G890" s="179" t="s">
        <v>4434</v>
      </c>
      <c r="H890" s="186">
        <v>14390</v>
      </c>
      <c r="I890" s="179" t="s">
        <v>4435</v>
      </c>
      <c r="J890" s="180" t="s">
        <v>1828</v>
      </c>
      <c r="K890" s="143" t="s">
        <v>1874</v>
      </c>
      <c r="L890" s="53" t="s">
        <v>7630</v>
      </c>
      <c r="M890" s="334">
        <v>42275</v>
      </c>
      <c r="N890" s="180" t="s">
        <v>7628</v>
      </c>
      <c r="O890" s="52"/>
      <c r="P890" s="179" t="s">
        <v>6132</v>
      </c>
      <c r="Q890" s="53"/>
      <c r="R890" s="53"/>
      <c r="S890" s="179"/>
      <c r="T890" s="52"/>
      <c r="U890" s="179"/>
    </row>
    <row r="891" spans="1:21" ht="76.5">
      <c r="A891" s="9">
        <v>2015</v>
      </c>
      <c r="B891" s="179" t="s">
        <v>4436</v>
      </c>
      <c r="C891" s="112" t="s">
        <v>61</v>
      </c>
      <c r="D891" s="197" t="s">
        <v>3168</v>
      </c>
      <c r="E891" s="197"/>
      <c r="F891" s="179" t="s">
        <v>4437</v>
      </c>
      <c r="G891" s="179" t="s">
        <v>4438</v>
      </c>
      <c r="H891" s="186">
        <v>77550</v>
      </c>
      <c r="I891" s="179" t="s">
        <v>4439</v>
      </c>
      <c r="J891" s="180" t="s">
        <v>1828</v>
      </c>
      <c r="K891" s="143" t="s">
        <v>82</v>
      </c>
      <c r="L891" s="53" t="s">
        <v>6064</v>
      </c>
      <c r="M891" s="334">
        <v>42276</v>
      </c>
      <c r="N891" s="180" t="s">
        <v>12067</v>
      </c>
      <c r="O891" s="52"/>
      <c r="P891" s="179" t="s">
        <v>22</v>
      </c>
      <c r="Q891" s="53"/>
      <c r="R891" s="53"/>
      <c r="S891" s="179"/>
      <c r="T891" s="52"/>
      <c r="U891" s="179"/>
    </row>
    <row r="892" spans="1:21" ht="102">
      <c r="A892" s="9">
        <v>2015</v>
      </c>
      <c r="B892" s="179" t="s">
        <v>4440</v>
      </c>
      <c r="C892" s="112" t="s">
        <v>61</v>
      </c>
      <c r="D892" s="180" t="s">
        <v>1383</v>
      </c>
      <c r="E892" s="180"/>
      <c r="F892" s="179" t="s">
        <v>4441</v>
      </c>
      <c r="G892" s="179" t="s">
        <v>4442</v>
      </c>
      <c r="H892" s="186">
        <v>50000</v>
      </c>
      <c r="I892" s="179" t="s">
        <v>4443</v>
      </c>
      <c r="J892" s="180" t="s">
        <v>1828</v>
      </c>
      <c r="K892" s="143" t="s">
        <v>82</v>
      </c>
      <c r="L892" s="53" t="s">
        <v>6064</v>
      </c>
      <c r="M892" s="334">
        <v>42283</v>
      </c>
      <c r="N892" s="180" t="s">
        <v>7633</v>
      </c>
      <c r="O892" s="52"/>
      <c r="P892" s="179" t="s">
        <v>22</v>
      </c>
      <c r="Q892" s="53"/>
      <c r="R892" s="53"/>
      <c r="S892" s="179"/>
      <c r="T892" s="52"/>
      <c r="U892" s="196" t="s">
        <v>7755</v>
      </c>
    </row>
    <row r="893" spans="1:21" ht="51">
      <c r="A893" s="9">
        <v>2015</v>
      </c>
      <c r="B893" s="179" t="s">
        <v>4444</v>
      </c>
      <c r="C893" s="112" t="s">
        <v>61</v>
      </c>
      <c r="D893" s="180" t="s">
        <v>1383</v>
      </c>
      <c r="E893" s="180"/>
      <c r="F893" s="179" t="s">
        <v>4445</v>
      </c>
      <c r="G893" s="179" t="s">
        <v>4446</v>
      </c>
      <c r="H893" s="186">
        <v>25000</v>
      </c>
      <c r="I893" s="179" t="s">
        <v>4447</v>
      </c>
      <c r="J893" s="180" t="s">
        <v>2031</v>
      </c>
      <c r="K893" s="143" t="s">
        <v>82</v>
      </c>
      <c r="L893" s="53" t="s">
        <v>6064</v>
      </c>
      <c r="M893" s="334">
        <v>42283</v>
      </c>
      <c r="N893" s="180" t="s">
        <v>7635</v>
      </c>
      <c r="O893" s="52"/>
      <c r="P893" s="179" t="s">
        <v>22</v>
      </c>
      <c r="Q893" s="53"/>
      <c r="R893" s="53"/>
      <c r="S893" s="179"/>
      <c r="T893" s="52"/>
      <c r="U893" s="196" t="s">
        <v>7755</v>
      </c>
    </row>
    <row r="894" spans="1:21" ht="102">
      <c r="A894" s="9">
        <v>2015</v>
      </c>
      <c r="B894" s="179" t="s">
        <v>4448</v>
      </c>
      <c r="C894" s="112" t="s">
        <v>61</v>
      </c>
      <c r="D894" s="180" t="s">
        <v>394</v>
      </c>
      <c r="E894" s="180"/>
      <c r="F894" s="179" t="s">
        <v>4449</v>
      </c>
      <c r="G894" s="179" t="s">
        <v>4450</v>
      </c>
      <c r="H894" s="791">
        <v>107900</v>
      </c>
      <c r="I894" s="179" t="s">
        <v>3500</v>
      </c>
      <c r="J894" s="180" t="s">
        <v>1828</v>
      </c>
      <c r="K894" s="180" t="s">
        <v>1853</v>
      </c>
      <c r="L894" s="53" t="s">
        <v>6071</v>
      </c>
      <c r="M894" s="334">
        <v>42300</v>
      </c>
      <c r="N894" s="180" t="s">
        <v>7637</v>
      </c>
      <c r="O894" s="52"/>
      <c r="P894" s="179" t="s">
        <v>22</v>
      </c>
      <c r="Q894" s="53"/>
      <c r="R894" s="53"/>
      <c r="S894" s="179"/>
      <c r="T894" s="52"/>
      <c r="U894" s="179"/>
    </row>
    <row r="895" spans="1:21" ht="63.75">
      <c r="A895" s="9">
        <v>2015</v>
      </c>
      <c r="B895" s="179" t="s">
        <v>4451</v>
      </c>
      <c r="C895" s="112" t="s">
        <v>61</v>
      </c>
      <c r="D895" s="180" t="s">
        <v>3168</v>
      </c>
      <c r="E895" s="180"/>
      <c r="F895" s="179" t="s">
        <v>4452</v>
      </c>
      <c r="G895" s="179" t="s">
        <v>4453</v>
      </c>
      <c r="H895" s="792">
        <v>61500</v>
      </c>
      <c r="I895" s="179" t="s">
        <v>4454</v>
      </c>
      <c r="J895" s="180" t="s">
        <v>1828</v>
      </c>
      <c r="K895" s="143" t="s">
        <v>82</v>
      </c>
      <c r="L895" s="53" t="s">
        <v>6104</v>
      </c>
      <c r="M895" s="334">
        <v>42285</v>
      </c>
      <c r="N895" s="180" t="s">
        <v>7639</v>
      </c>
      <c r="O895" s="52"/>
      <c r="P895" s="179" t="s">
        <v>22</v>
      </c>
      <c r="Q895" s="53"/>
      <c r="R895" s="53"/>
      <c r="S895" s="179"/>
      <c r="T895" s="52"/>
      <c r="U895" s="179"/>
    </row>
    <row r="896" spans="1:21" ht="63.75">
      <c r="A896" s="9">
        <v>2015</v>
      </c>
      <c r="B896" s="179" t="s">
        <v>4455</v>
      </c>
      <c r="C896" s="112" t="s">
        <v>61</v>
      </c>
      <c r="D896" s="180" t="s">
        <v>1141</v>
      </c>
      <c r="E896" s="180"/>
      <c r="F896" s="179" t="s">
        <v>4456</v>
      </c>
      <c r="G896" s="179" t="s">
        <v>4457</v>
      </c>
      <c r="H896" s="792">
        <v>30110</v>
      </c>
      <c r="I896" s="179" t="s">
        <v>4458</v>
      </c>
      <c r="J896" s="180" t="s">
        <v>2472</v>
      </c>
      <c r="K896" s="143" t="s">
        <v>1904</v>
      </c>
      <c r="L896" s="53" t="s">
        <v>6137</v>
      </c>
      <c r="M896" s="334">
        <v>42291</v>
      </c>
      <c r="N896" s="180" t="s">
        <v>7641</v>
      </c>
      <c r="O896" s="52"/>
      <c r="P896" s="179" t="s">
        <v>22</v>
      </c>
      <c r="Q896" s="53"/>
      <c r="R896" s="53"/>
      <c r="S896" s="179"/>
      <c r="T896" s="52"/>
      <c r="U896" s="179"/>
    </row>
    <row r="897" spans="1:21" ht="89.25">
      <c r="A897" s="9">
        <v>2015</v>
      </c>
      <c r="B897" s="179" t="s">
        <v>4459</v>
      </c>
      <c r="C897" s="112" t="s">
        <v>61</v>
      </c>
      <c r="D897" s="180" t="s">
        <v>2993</v>
      </c>
      <c r="E897" s="180"/>
      <c r="F897" s="179" t="s">
        <v>4460</v>
      </c>
      <c r="G897" s="179" t="s">
        <v>4461</v>
      </c>
      <c r="H897" s="186">
        <v>81000</v>
      </c>
      <c r="I897" s="179" t="s">
        <v>4462</v>
      </c>
      <c r="J897" s="180" t="s">
        <v>1896</v>
      </c>
      <c r="K897" s="143" t="s">
        <v>1874</v>
      </c>
      <c r="L897" s="53" t="s">
        <v>6941</v>
      </c>
      <c r="M897" s="334">
        <v>42305</v>
      </c>
      <c r="N897" s="180" t="s">
        <v>7644</v>
      </c>
      <c r="O897" s="52"/>
      <c r="P897" s="179" t="s">
        <v>6179</v>
      </c>
      <c r="Q897" s="53"/>
      <c r="R897" s="53"/>
      <c r="S897" s="179"/>
      <c r="T897" s="52"/>
      <c r="U897" s="179"/>
    </row>
    <row r="898" spans="1:21" ht="63.75">
      <c r="A898" s="9">
        <v>2015</v>
      </c>
      <c r="B898" s="179" t="s">
        <v>4463</v>
      </c>
      <c r="C898" s="112" t="s">
        <v>61</v>
      </c>
      <c r="D898" s="180" t="s">
        <v>3092</v>
      </c>
      <c r="E898" s="180"/>
      <c r="F898" s="179" t="s">
        <v>4464</v>
      </c>
      <c r="G898" s="179" t="s">
        <v>4465</v>
      </c>
      <c r="H898" s="194">
        <v>86000</v>
      </c>
      <c r="I898" s="179" t="s">
        <v>4466</v>
      </c>
      <c r="J898" s="180" t="s">
        <v>2051</v>
      </c>
      <c r="K898" s="143" t="s">
        <v>1904</v>
      </c>
      <c r="L898" s="53" t="s">
        <v>6064</v>
      </c>
      <c r="M898" s="334">
        <v>42334</v>
      </c>
      <c r="N898" s="180" t="s">
        <v>7646</v>
      </c>
      <c r="O898" s="52"/>
      <c r="P898" s="179" t="s">
        <v>22</v>
      </c>
      <c r="Q898" s="53"/>
      <c r="R898" s="53"/>
      <c r="S898" s="179"/>
      <c r="T898" s="52"/>
      <c r="U898" s="179"/>
    </row>
    <row r="899" spans="1:21" ht="51">
      <c r="A899" s="9">
        <v>2015</v>
      </c>
      <c r="B899" s="179" t="s">
        <v>4467</v>
      </c>
      <c r="C899" s="112" t="s">
        <v>61</v>
      </c>
      <c r="D899" s="180" t="s">
        <v>3092</v>
      </c>
      <c r="E899" s="180"/>
      <c r="F899" s="179" t="s">
        <v>4468</v>
      </c>
      <c r="G899" s="179" t="s">
        <v>4469</v>
      </c>
      <c r="H899" s="194">
        <v>94600</v>
      </c>
      <c r="I899" s="179" t="s">
        <v>4470</v>
      </c>
      <c r="J899" s="180" t="s">
        <v>1899</v>
      </c>
      <c r="K899" s="143" t="s">
        <v>1904</v>
      </c>
      <c r="L899" s="53" t="s">
        <v>6064</v>
      </c>
      <c r="M899" s="334">
        <v>42334</v>
      </c>
      <c r="N899" s="180" t="s">
        <v>7648</v>
      </c>
      <c r="O899" s="52"/>
      <c r="P899" s="179" t="s">
        <v>22</v>
      </c>
      <c r="Q899" s="53"/>
      <c r="R899" s="53"/>
      <c r="S899" s="179"/>
      <c r="T899" s="52"/>
      <c r="U899" s="179"/>
    </row>
    <row r="900" spans="1:21" ht="63.75">
      <c r="A900" s="9">
        <v>2015</v>
      </c>
      <c r="B900" s="179" t="s">
        <v>4471</v>
      </c>
      <c r="C900" s="112" t="s">
        <v>61</v>
      </c>
      <c r="D900" s="180" t="s">
        <v>1383</v>
      </c>
      <c r="E900" s="180"/>
      <c r="F900" s="179" t="s">
        <v>4472</v>
      </c>
      <c r="G900" s="179" t="s">
        <v>811</v>
      </c>
      <c r="H900" s="186">
        <v>47000</v>
      </c>
      <c r="I900" s="179" t="s">
        <v>4382</v>
      </c>
      <c r="J900" s="180" t="s">
        <v>1828</v>
      </c>
      <c r="K900" s="143" t="s">
        <v>82</v>
      </c>
      <c r="L900" s="53" t="s">
        <v>6064</v>
      </c>
      <c r="M900" s="334">
        <v>42334</v>
      </c>
      <c r="N900" s="180" t="s">
        <v>7650</v>
      </c>
      <c r="O900" s="52"/>
      <c r="P900" s="179" t="s">
        <v>22</v>
      </c>
      <c r="Q900" s="53"/>
      <c r="R900" s="53"/>
      <c r="S900" s="179"/>
      <c r="T900" s="52"/>
      <c r="U900" s="179" t="s">
        <v>1934</v>
      </c>
    </row>
    <row r="901" spans="1:21" ht="102">
      <c r="A901" s="9">
        <v>2015</v>
      </c>
      <c r="B901" s="179" t="s">
        <v>4473</v>
      </c>
      <c r="C901" s="112" t="s">
        <v>61</v>
      </c>
      <c r="D901" s="180" t="s">
        <v>1141</v>
      </c>
      <c r="E901" s="180"/>
      <c r="F901" s="179" t="s">
        <v>4474</v>
      </c>
      <c r="G901" s="179" t="s">
        <v>4475</v>
      </c>
      <c r="H901" s="792">
        <v>54820</v>
      </c>
      <c r="I901" s="179" t="s">
        <v>4476</v>
      </c>
      <c r="J901" s="180" t="s">
        <v>2472</v>
      </c>
      <c r="K901" s="143" t="s">
        <v>1904</v>
      </c>
      <c r="L901" s="53" t="s">
        <v>6137</v>
      </c>
      <c r="M901" s="334">
        <v>42335</v>
      </c>
      <c r="N901" s="180" t="s">
        <v>12068</v>
      </c>
      <c r="O901" s="52"/>
      <c r="P901" s="179" t="s">
        <v>22</v>
      </c>
      <c r="Q901" s="53"/>
      <c r="R901" s="53"/>
      <c r="S901" s="179"/>
      <c r="T901" s="52"/>
      <c r="U901" s="179"/>
    </row>
    <row r="902" spans="1:21" ht="76.5">
      <c r="A902" s="9">
        <v>2015</v>
      </c>
      <c r="B902" s="179" t="s">
        <v>4477</v>
      </c>
      <c r="C902" s="112" t="s">
        <v>61</v>
      </c>
      <c r="D902" s="180" t="s">
        <v>1141</v>
      </c>
      <c r="E902" s="180"/>
      <c r="F902" s="179" t="s">
        <v>4478</v>
      </c>
      <c r="G902" s="179" t="s">
        <v>4479</v>
      </c>
      <c r="H902" s="792">
        <v>83912</v>
      </c>
      <c r="I902" s="179" t="s">
        <v>4480</v>
      </c>
      <c r="J902" s="180" t="s">
        <v>2051</v>
      </c>
      <c r="K902" s="143" t="s">
        <v>1904</v>
      </c>
      <c r="L902" s="53" t="s">
        <v>6941</v>
      </c>
      <c r="M902" s="334">
        <v>42353</v>
      </c>
      <c r="N902" s="180" t="s">
        <v>7657</v>
      </c>
      <c r="O902" s="52"/>
      <c r="P902" s="179" t="s">
        <v>22</v>
      </c>
      <c r="Q902" s="53"/>
      <c r="R902" s="53"/>
      <c r="S902" s="179"/>
      <c r="T902" s="52"/>
      <c r="U902" s="179"/>
    </row>
    <row r="903" spans="1:21" ht="63.75">
      <c r="A903" s="9">
        <v>2015</v>
      </c>
      <c r="B903" s="179" t="s">
        <v>4481</v>
      </c>
      <c r="C903" s="112" t="s">
        <v>61</v>
      </c>
      <c r="D903" s="180" t="s">
        <v>1383</v>
      </c>
      <c r="E903" s="180"/>
      <c r="F903" s="179" t="s">
        <v>4482</v>
      </c>
      <c r="G903" s="179" t="s">
        <v>4483</v>
      </c>
      <c r="H903" s="186">
        <v>67200</v>
      </c>
      <c r="I903" s="179"/>
      <c r="J903" s="180" t="s">
        <v>1828</v>
      </c>
      <c r="K903" s="143" t="s">
        <v>82</v>
      </c>
      <c r="L903" s="53" t="s">
        <v>6064</v>
      </c>
      <c r="M903" s="334">
        <v>42366</v>
      </c>
      <c r="N903" s="180" t="s">
        <v>7659</v>
      </c>
      <c r="O903" s="52"/>
      <c r="P903" s="179" t="s">
        <v>22</v>
      </c>
      <c r="Q903" s="53"/>
      <c r="R903" s="53"/>
      <c r="S903" s="179"/>
      <c r="T903" s="52"/>
      <c r="U903" s="179" t="s">
        <v>1934</v>
      </c>
    </row>
    <row r="904" spans="1:21" ht="12.75">
      <c r="A904" s="6">
        <v>2014</v>
      </c>
      <c r="B904" s="185">
        <v>41640</v>
      </c>
      <c r="C904" s="112" t="s">
        <v>61</v>
      </c>
      <c r="D904" s="180" t="s">
        <v>1383</v>
      </c>
      <c r="E904" s="180"/>
      <c r="F904" s="178" t="s">
        <v>4484</v>
      </c>
      <c r="G904" s="178" t="s">
        <v>4485</v>
      </c>
      <c r="H904" s="186">
        <v>336300</v>
      </c>
      <c r="I904" s="187"/>
      <c r="J904" s="795" t="s">
        <v>2041</v>
      </c>
      <c r="K904" s="143" t="s">
        <v>82</v>
      </c>
      <c r="L904" s="52" t="s">
        <v>6189</v>
      </c>
      <c r="M904" s="178"/>
      <c r="N904" s="178"/>
      <c r="O904" s="52"/>
      <c r="P904" s="179" t="s">
        <v>22</v>
      </c>
      <c r="Q904" s="52"/>
      <c r="R904" s="52"/>
      <c r="S904" s="179" t="s">
        <v>1824</v>
      </c>
      <c r="T904" s="54"/>
      <c r="U904" s="54"/>
    </row>
    <row r="905" spans="1:21" ht="25.5">
      <c r="A905" s="6">
        <v>2014</v>
      </c>
      <c r="B905" s="185">
        <v>41671</v>
      </c>
      <c r="C905" s="112" t="s">
        <v>61</v>
      </c>
      <c r="D905" s="180" t="s">
        <v>1383</v>
      </c>
      <c r="E905" s="180"/>
      <c r="F905" s="179" t="s">
        <v>4486</v>
      </c>
      <c r="G905" s="179" t="s">
        <v>2331</v>
      </c>
      <c r="H905" s="186">
        <v>2023600</v>
      </c>
      <c r="I905" s="187" t="s">
        <v>4487</v>
      </c>
      <c r="J905" s="180" t="s">
        <v>1828</v>
      </c>
      <c r="K905" s="143" t="s">
        <v>82</v>
      </c>
      <c r="L905" s="52" t="s">
        <v>6064</v>
      </c>
      <c r="M905" s="179"/>
      <c r="N905" s="179"/>
      <c r="O905" s="52"/>
      <c r="P905" s="179" t="s">
        <v>22</v>
      </c>
      <c r="Q905" s="52"/>
      <c r="R905" s="52"/>
      <c r="S905" s="179" t="s">
        <v>1824</v>
      </c>
      <c r="T905" s="54"/>
      <c r="U905" s="54"/>
    </row>
    <row r="906" spans="1:21" ht="76.5">
      <c r="A906" s="6">
        <v>2014</v>
      </c>
      <c r="B906" s="185">
        <v>41699</v>
      </c>
      <c r="C906" s="112" t="s">
        <v>61</v>
      </c>
      <c r="D906" s="22" t="s">
        <v>62</v>
      </c>
      <c r="E906" s="22"/>
      <c r="F906" s="179" t="s">
        <v>4488</v>
      </c>
      <c r="G906" s="189" t="s">
        <v>4489</v>
      </c>
      <c r="H906" s="791">
        <v>491892</v>
      </c>
      <c r="I906" s="187" t="s">
        <v>4490</v>
      </c>
      <c r="J906" s="180" t="s">
        <v>1828</v>
      </c>
      <c r="K906" s="143" t="s">
        <v>1904</v>
      </c>
      <c r="L906" s="52" t="s">
        <v>6064</v>
      </c>
      <c r="M906" s="179"/>
      <c r="N906" s="179"/>
      <c r="O906" s="52"/>
      <c r="P906" s="179" t="s">
        <v>6132</v>
      </c>
      <c r="Q906" s="52"/>
      <c r="R906" s="52"/>
      <c r="S906" s="179"/>
      <c r="T906" s="54"/>
      <c r="U906" s="187"/>
    </row>
    <row r="907" spans="1:21" ht="25.5">
      <c r="A907" s="6">
        <v>2014</v>
      </c>
      <c r="B907" s="185">
        <v>41730</v>
      </c>
      <c r="C907" s="112" t="s">
        <v>61</v>
      </c>
      <c r="D907" s="180" t="s">
        <v>4151</v>
      </c>
      <c r="E907" s="180"/>
      <c r="F907" s="179" t="s">
        <v>4491</v>
      </c>
      <c r="G907" s="179" t="s">
        <v>2331</v>
      </c>
      <c r="H907" s="194">
        <v>178000</v>
      </c>
      <c r="I907" s="187" t="s">
        <v>4487</v>
      </c>
      <c r="J907" s="180" t="s">
        <v>1828</v>
      </c>
      <c r="K907" s="143" t="s">
        <v>1874</v>
      </c>
      <c r="L907" s="52" t="s">
        <v>6064</v>
      </c>
      <c r="M907" s="179"/>
      <c r="N907" s="179"/>
      <c r="O907" s="52"/>
      <c r="P907" s="179" t="s">
        <v>22</v>
      </c>
      <c r="Q907" s="52"/>
      <c r="R907" s="52"/>
      <c r="S907" s="179" t="s">
        <v>1824</v>
      </c>
      <c r="T907" s="54"/>
      <c r="U907" s="187"/>
    </row>
    <row r="908" spans="1:21" ht="25.5">
      <c r="A908" s="6">
        <v>2014</v>
      </c>
      <c r="B908" s="185">
        <v>41760</v>
      </c>
      <c r="C908" s="112" t="s">
        <v>3096</v>
      </c>
      <c r="D908" s="180" t="s">
        <v>3075</v>
      </c>
      <c r="E908" s="180"/>
      <c r="F908" s="179" t="s">
        <v>4492</v>
      </c>
      <c r="G908" s="179" t="s">
        <v>4493</v>
      </c>
      <c r="H908" s="194"/>
      <c r="I908" s="187" t="s">
        <v>4487</v>
      </c>
      <c r="J908" s="179" t="s">
        <v>1828</v>
      </c>
      <c r="K908" s="52"/>
      <c r="L908" s="52" t="s">
        <v>6189</v>
      </c>
      <c r="M908" s="179"/>
      <c r="N908" s="179"/>
      <c r="O908" s="52"/>
      <c r="P908" s="179" t="s">
        <v>22</v>
      </c>
      <c r="Q908" s="52"/>
      <c r="R908" s="52"/>
      <c r="S908" s="179" t="s">
        <v>1824</v>
      </c>
      <c r="T908" s="54"/>
      <c r="U908" s="187"/>
    </row>
    <row r="909" spans="1:21" ht="51">
      <c r="A909" s="6">
        <v>2014</v>
      </c>
      <c r="B909" s="185">
        <v>41791</v>
      </c>
      <c r="C909" s="112" t="s">
        <v>61</v>
      </c>
      <c r="D909" s="180" t="s">
        <v>68</v>
      </c>
      <c r="E909" s="180"/>
      <c r="F909" s="179" t="s">
        <v>4494</v>
      </c>
      <c r="G909" s="179" t="s">
        <v>4495</v>
      </c>
      <c r="H909" s="194">
        <v>880971</v>
      </c>
      <c r="I909" s="187" t="s">
        <v>4496</v>
      </c>
      <c r="J909" s="180" t="s">
        <v>1828</v>
      </c>
      <c r="K909" s="143" t="s">
        <v>1874</v>
      </c>
      <c r="L909" s="52" t="s">
        <v>6064</v>
      </c>
      <c r="M909" s="179"/>
      <c r="N909" s="179"/>
      <c r="O909" s="52"/>
      <c r="P909" s="179" t="s">
        <v>6132</v>
      </c>
      <c r="Q909" s="52"/>
      <c r="R909" s="52"/>
      <c r="S909" s="179"/>
      <c r="T909" s="179" t="s">
        <v>7669</v>
      </c>
      <c r="U909" s="187"/>
    </row>
    <row r="910" spans="1:21" ht="153">
      <c r="A910" s="6">
        <v>2014</v>
      </c>
      <c r="B910" s="192">
        <v>41821</v>
      </c>
      <c r="C910" s="112" t="s">
        <v>61</v>
      </c>
      <c r="D910" s="180" t="s">
        <v>3075</v>
      </c>
      <c r="E910" s="180"/>
      <c r="F910" s="179" t="s">
        <v>4497</v>
      </c>
      <c r="G910" s="179" t="s">
        <v>4498</v>
      </c>
      <c r="H910" s="194">
        <v>400000</v>
      </c>
      <c r="I910" s="187" t="s">
        <v>4487</v>
      </c>
      <c r="J910" s="180" t="s">
        <v>1828</v>
      </c>
      <c r="K910" s="143" t="s">
        <v>1853</v>
      </c>
      <c r="L910" s="52" t="s">
        <v>6189</v>
      </c>
      <c r="M910" s="334">
        <v>41771</v>
      </c>
      <c r="N910" s="180" t="s">
        <v>12069</v>
      </c>
      <c r="O910" s="52"/>
      <c r="P910" s="179" t="s">
        <v>22</v>
      </c>
      <c r="Q910" s="52"/>
      <c r="R910" s="52"/>
      <c r="S910" s="179" t="s">
        <v>1824</v>
      </c>
      <c r="T910" s="54"/>
      <c r="U910" s="187"/>
    </row>
    <row r="911" spans="1:21" ht="38.25">
      <c r="A911" s="6">
        <v>2014</v>
      </c>
      <c r="B911" s="185">
        <v>41852</v>
      </c>
      <c r="C911" s="112" t="s">
        <v>61</v>
      </c>
      <c r="D911" s="180" t="s">
        <v>1383</v>
      </c>
      <c r="E911" s="180"/>
      <c r="F911" s="178" t="s">
        <v>4499</v>
      </c>
      <c r="G911" s="178" t="s">
        <v>4500</v>
      </c>
      <c r="H911" s="782">
        <v>200000</v>
      </c>
      <c r="I911" s="187" t="s">
        <v>4487</v>
      </c>
      <c r="J911" s="180" t="s">
        <v>1828</v>
      </c>
      <c r="K911" s="143" t="s">
        <v>82</v>
      </c>
      <c r="L911" s="52" t="s">
        <v>6064</v>
      </c>
      <c r="M911" s="178"/>
      <c r="N911" s="178"/>
      <c r="O911" s="52"/>
      <c r="P911" s="179" t="s">
        <v>22</v>
      </c>
      <c r="Q911" s="52"/>
      <c r="R911" s="52"/>
      <c r="S911" s="179" t="s">
        <v>1824</v>
      </c>
      <c r="T911" s="54"/>
      <c r="U911" s="54"/>
    </row>
    <row r="912" spans="1:21" ht="38.25">
      <c r="A912" s="6">
        <v>2014</v>
      </c>
      <c r="B912" s="185">
        <v>41883</v>
      </c>
      <c r="C912" s="112" t="s">
        <v>61</v>
      </c>
      <c r="D912" s="180" t="s">
        <v>1383</v>
      </c>
      <c r="E912" s="180"/>
      <c r="F912" s="179" t="s">
        <v>4501</v>
      </c>
      <c r="G912" s="179" t="s">
        <v>4502</v>
      </c>
      <c r="H912" s="186">
        <v>200000</v>
      </c>
      <c r="I912" s="187" t="s">
        <v>4487</v>
      </c>
      <c r="J912" s="180" t="s">
        <v>1828</v>
      </c>
      <c r="K912" s="143" t="s">
        <v>82</v>
      </c>
      <c r="L912" s="52" t="s">
        <v>6064</v>
      </c>
      <c r="M912" s="179"/>
      <c r="N912" s="179"/>
      <c r="O912" s="52"/>
      <c r="P912" s="179" t="s">
        <v>22</v>
      </c>
      <c r="Q912" s="52"/>
      <c r="R912" s="52"/>
      <c r="S912" s="179" t="s">
        <v>1824</v>
      </c>
      <c r="T912" s="54"/>
      <c r="U912" s="54"/>
    </row>
    <row r="913" spans="1:21" ht="127.5">
      <c r="A913" s="6">
        <v>2014</v>
      </c>
      <c r="B913" s="192">
        <v>41913</v>
      </c>
      <c r="C913" s="112" t="s">
        <v>61</v>
      </c>
      <c r="D913" s="180" t="s">
        <v>1383</v>
      </c>
      <c r="E913" s="180"/>
      <c r="F913" s="179" t="s">
        <v>4503</v>
      </c>
      <c r="G913" s="179" t="s">
        <v>2171</v>
      </c>
      <c r="H913" s="186">
        <v>750000</v>
      </c>
      <c r="I913" s="187" t="s">
        <v>4504</v>
      </c>
      <c r="J913" s="180" t="s">
        <v>1916</v>
      </c>
      <c r="K913" s="143" t="s">
        <v>82</v>
      </c>
      <c r="L913" s="52" t="s">
        <v>6933</v>
      </c>
      <c r="M913" s="334">
        <v>41772</v>
      </c>
      <c r="N913" s="180" t="s">
        <v>12070</v>
      </c>
      <c r="O913" s="52"/>
      <c r="P913" s="179" t="s">
        <v>22</v>
      </c>
      <c r="Q913" s="52"/>
      <c r="R913" s="52"/>
      <c r="S913" s="179" t="s">
        <v>1824</v>
      </c>
      <c r="T913" s="54"/>
      <c r="U913" s="54"/>
    </row>
    <row r="914" spans="1:21" ht="76.5">
      <c r="A914" s="6">
        <v>2014</v>
      </c>
      <c r="B914" s="192">
        <v>41944</v>
      </c>
      <c r="C914" s="112" t="s">
        <v>61</v>
      </c>
      <c r="D914" s="180" t="s">
        <v>3168</v>
      </c>
      <c r="E914" s="180"/>
      <c r="F914" s="179" t="s">
        <v>4505</v>
      </c>
      <c r="G914" s="179" t="s">
        <v>4506</v>
      </c>
      <c r="H914" s="194">
        <v>235000</v>
      </c>
      <c r="I914" s="187" t="s">
        <v>2508</v>
      </c>
      <c r="J914" s="180" t="s">
        <v>1828</v>
      </c>
      <c r="K914" s="143" t="s">
        <v>82</v>
      </c>
      <c r="L914" s="52" t="s">
        <v>6064</v>
      </c>
      <c r="M914" s="179"/>
      <c r="N914" s="179"/>
      <c r="O914" s="52"/>
      <c r="P914" s="179" t="s">
        <v>22</v>
      </c>
      <c r="Q914" s="52"/>
      <c r="R914" s="52"/>
      <c r="S914" s="179" t="s">
        <v>1824</v>
      </c>
      <c r="T914" s="54"/>
      <c r="U914" s="187"/>
    </row>
    <row r="915" spans="1:21" ht="25.5">
      <c r="A915" s="6">
        <v>2014</v>
      </c>
      <c r="B915" s="179" t="s">
        <v>4507</v>
      </c>
      <c r="C915" s="112" t="s">
        <v>61</v>
      </c>
      <c r="D915" s="180" t="s">
        <v>1383</v>
      </c>
      <c r="E915" s="180"/>
      <c r="F915" s="179" t="s">
        <v>4508</v>
      </c>
      <c r="G915" s="179" t="s">
        <v>4509</v>
      </c>
      <c r="H915" s="186">
        <v>200000</v>
      </c>
      <c r="I915" s="179" t="s">
        <v>3686</v>
      </c>
      <c r="J915" s="180" t="s">
        <v>2472</v>
      </c>
      <c r="K915" s="143" t="s">
        <v>82</v>
      </c>
      <c r="L915" s="52" t="s">
        <v>6064</v>
      </c>
      <c r="M915" s="179"/>
      <c r="N915" s="179"/>
      <c r="O915" s="52"/>
      <c r="P915" s="179" t="s">
        <v>22</v>
      </c>
      <c r="Q915" s="52"/>
      <c r="R915" s="52"/>
      <c r="S915" s="179"/>
      <c r="T915" s="54"/>
      <c r="U915" s="54"/>
    </row>
    <row r="916" spans="1:21" ht="38.25">
      <c r="A916" s="6">
        <v>2014</v>
      </c>
      <c r="B916" s="179" t="s">
        <v>4510</v>
      </c>
      <c r="C916" s="112" t="s">
        <v>61</v>
      </c>
      <c r="D916" s="180" t="s">
        <v>1383</v>
      </c>
      <c r="E916" s="180"/>
      <c r="F916" s="179" t="s">
        <v>4511</v>
      </c>
      <c r="G916" s="178" t="s">
        <v>4512</v>
      </c>
      <c r="H916" s="186">
        <v>200000</v>
      </c>
      <c r="I916" s="179"/>
      <c r="J916" s="180" t="s">
        <v>1828</v>
      </c>
      <c r="K916" s="143" t="s">
        <v>82</v>
      </c>
      <c r="L916" s="52" t="s">
        <v>6064</v>
      </c>
      <c r="M916" s="179"/>
      <c r="N916" s="179"/>
      <c r="O916" s="52"/>
      <c r="P916" s="179" t="s">
        <v>22</v>
      </c>
      <c r="Q916" s="52"/>
      <c r="R916" s="52"/>
      <c r="S916" s="179"/>
      <c r="T916" s="54"/>
      <c r="U916" s="54"/>
    </row>
    <row r="917" spans="1:21" ht="51">
      <c r="A917" s="6">
        <v>2014</v>
      </c>
      <c r="B917" s="179" t="s">
        <v>4513</v>
      </c>
      <c r="C917" s="112" t="s">
        <v>61</v>
      </c>
      <c r="D917" s="180" t="s">
        <v>1383</v>
      </c>
      <c r="E917" s="180"/>
      <c r="F917" s="179" t="s">
        <v>4514</v>
      </c>
      <c r="G917" s="178" t="s">
        <v>4515</v>
      </c>
      <c r="H917" s="186">
        <v>200000</v>
      </c>
      <c r="I917" s="187" t="s">
        <v>2293</v>
      </c>
      <c r="J917" s="180" t="s">
        <v>2472</v>
      </c>
      <c r="K917" s="143" t="s">
        <v>82</v>
      </c>
      <c r="L917" s="52" t="s">
        <v>6064</v>
      </c>
      <c r="M917" s="179"/>
      <c r="N917" s="179"/>
      <c r="O917" s="52"/>
      <c r="P917" s="179" t="s">
        <v>22</v>
      </c>
      <c r="Q917" s="52"/>
      <c r="R917" s="52"/>
      <c r="S917" s="179" t="s">
        <v>1824</v>
      </c>
      <c r="T917" s="54"/>
      <c r="U917" s="54"/>
    </row>
    <row r="918" spans="1:21" ht="38.25">
      <c r="A918" s="6">
        <v>2014</v>
      </c>
      <c r="B918" s="179" t="s">
        <v>4516</v>
      </c>
      <c r="C918" s="112" t="s">
        <v>61</v>
      </c>
      <c r="D918" s="22" t="s">
        <v>62</v>
      </c>
      <c r="E918" s="22"/>
      <c r="F918" s="178" t="s">
        <v>4517</v>
      </c>
      <c r="G918" s="179" t="s">
        <v>4518</v>
      </c>
      <c r="H918" s="791">
        <v>494491</v>
      </c>
      <c r="I918" s="179" t="s">
        <v>4519</v>
      </c>
      <c r="J918" s="180" t="s">
        <v>1828</v>
      </c>
      <c r="K918" s="143" t="s">
        <v>1904</v>
      </c>
      <c r="L918" s="52" t="s">
        <v>6064</v>
      </c>
      <c r="M918" s="178"/>
      <c r="N918" s="178"/>
      <c r="O918" s="52"/>
      <c r="P918" s="179" t="s">
        <v>6179</v>
      </c>
      <c r="Q918" s="52"/>
      <c r="R918" s="52"/>
      <c r="S918" s="179"/>
      <c r="T918" s="54"/>
      <c r="U918" s="179"/>
    </row>
    <row r="919" spans="1:21" ht="102">
      <c r="A919" s="6">
        <v>2014</v>
      </c>
      <c r="B919" s="179" t="s">
        <v>4520</v>
      </c>
      <c r="C919" s="112" t="s">
        <v>2406</v>
      </c>
      <c r="D919" s="191" t="s">
        <v>62</v>
      </c>
      <c r="E919" s="191"/>
      <c r="F919" s="179" t="s">
        <v>4522</v>
      </c>
      <c r="G919" s="179" t="s">
        <v>4523</v>
      </c>
      <c r="H919" s="199" t="s">
        <v>4521</v>
      </c>
      <c r="I919" s="179"/>
      <c r="J919" s="190" t="s">
        <v>1919</v>
      </c>
      <c r="K919" s="52"/>
      <c r="L919" s="52" t="s">
        <v>6064</v>
      </c>
      <c r="M919" s="334">
        <v>41796</v>
      </c>
      <c r="N919" s="180" t="s">
        <v>12071</v>
      </c>
      <c r="O919" s="52"/>
      <c r="P919" s="179" t="s">
        <v>6179</v>
      </c>
      <c r="Q919" s="52"/>
      <c r="R919" s="52"/>
      <c r="S919" s="179"/>
      <c r="T919" s="54"/>
      <c r="U919" s="179"/>
    </row>
    <row r="920" spans="1:21" ht="38.25">
      <c r="A920" s="6">
        <v>2014</v>
      </c>
      <c r="B920" s="179" t="s">
        <v>4524</v>
      </c>
      <c r="C920" s="112" t="s">
        <v>61</v>
      </c>
      <c r="D920" s="180" t="s">
        <v>1383</v>
      </c>
      <c r="E920" s="180"/>
      <c r="F920" s="179" t="s">
        <v>4525</v>
      </c>
      <c r="G920" s="179" t="s">
        <v>4526</v>
      </c>
      <c r="H920" s="186">
        <v>200000</v>
      </c>
      <c r="I920" s="179" t="s">
        <v>4487</v>
      </c>
      <c r="J920" s="180" t="s">
        <v>1828</v>
      </c>
      <c r="K920" s="143" t="s">
        <v>82</v>
      </c>
      <c r="L920" s="52" t="s">
        <v>6064</v>
      </c>
      <c r="M920" s="179"/>
      <c r="N920" s="179"/>
      <c r="O920" s="52"/>
      <c r="P920" s="179" t="s">
        <v>22</v>
      </c>
      <c r="Q920" s="52"/>
      <c r="R920" s="52"/>
      <c r="S920" s="179" t="s">
        <v>1824</v>
      </c>
      <c r="T920" s="54"/>
      <c r="U920" s="54"/>
    </row>
    <row r="921" spans="1:21" ht="140.25">
      <c r="A921" s="6">
        <v>2014</v>
      </c>
      <c r="B921" s="179" t="s">
        <v>4527</v>
      </c>
      <c r="C921" s="112" t="s">
        <v>61</v>
      </c>
      <c r="D921" s="180" t="s">
        <v>1383</v>
      </c>
      <c r="E921" s="180"/>
      <c r="F921" s="179" t="s">
        <v>4528</v>
      </c>
      <c r="G921" s="179" t="s">
        <v>4529</v>
      </c>
      <c r="H921" s="793">
        <v>320000</v>
      </c>
      <c r="I921" s="179"/>
      <c r="J921" s="796" t="s">
        <v>1919</v>
      </c>
      <c r="K921" s="143" t="s">
        <v>82</v>
      </c>
      <c r="L921" s="52" t="s">
        <v>6933</v>
      </c>
      <c r="M921" s="334">
        <v>41822</v>
      </c>
      <c r="N921" s="180" t="s">
        <v>12072</v>
      </c>
      <c r="O921" s="52"/>
      <c r="P921" s="179" t="s">
        <v>22</v>
      </c>
      <c r="Q921" s="52"/>
      <c r="R921" s="52"/>
      <c r="S921" s="179" t="s">
        <v>1824</v>
      </c>
      <c r="T921" s="54" t="s">
        <v>7683</v>
      </c>
      <c r="U921" s="190"/>
    </row>
    <row r="922" spans="1:21" ht="25.5">
      <c r="A922" s="6">
        <v>2014</v>
      </c>
      <c r="B922" s="179" t="s">
        <v>4530</v>
      </c>
      <c r="C922" s="112" t="s">
        <v>4174</v>
      </c>
      <c r="D922" s="180" t="s">
        <v>2724</v>
      </c>
      <c r="E922" s="180"/>
      <c r="F922" s="179" t="s">
        <v>4531</v>
      </c>
      <c r="G922" s="179" t="s">
        <v>4493</v>
      </c>
      <c r="H922" s="194">
        <v>250000</v>
      </c>
      <c r="I922" s="187" t="s">
        <v>4487</v>
      </c>
      <c r="J922" s="179" t="s">
        <v>1828</v>
      </c>
      <c r="K922" s="52" t="s">
        <v>1874</v>
      </c>
      <c r="L922" s="52" t="s">
        <v>7686</v>
      </c>
      <c r="M922" s="179"/>
      <c r="N922" s="179"/>
      <c r="O922" s="52"/>
      <c r="P922" s="179" t="s">
        <v>22</v>
      </c>
      <c r="Q922" s="52"/>
      <c r="R922" s="52"/>
      <c r="S922" s="179" t="s">
        <v>1824</v>
      </c>
      <c r="T922" s="54"/>
      <c r="U922" s="187"/>
    </row>
    <row r="923" spans="1:21" ht="114.75">
      <c r="A923" s="6">
        <v>2014</v>
      </c>
      <c r="B923" s="179" t="s">
        <v>4532</v>
      </c>
      <c r="C923" s="112" t="s">
        <v>61</v>
      </c>
      <c r="D923" s="180" t="s">
        <v>1383</v>
      </c>
      <c r="E923" s="180"/>
      <c r="F923" s="179" t="s">
        <v>4533</v>
      </c>
      <c r="G923" s="179" t="s">
        <v>4534</v>
      </c>
      <c r="H923" s="793">
        <v>800000</v>
      </c>
      <c r="I923" s="187"/>
      <c r="J923" s="180" t="s">
        <v>1896</v>
      </c>
      <c r="K923" s="143" t="s">
        <v>82</v>
      </c>
      <c r="L923" s="52" t="s">
        <v>6933</v>
      </c>
      <c r="M923" s="334">
        <v>41838</v>
      </c>
      <c r="N923" s="180" t="s">
        <v>12073</v>
      </c>
      <c r="O923" s="52"/>
      <c r="P923" s="179" t="s">
        <v>22</v>
      </c>
      <c r="Q923" s="52"/>
      <c r="R923" s="52"/>
      <c r="S923" s="179"/>
      <c r="T923" s="179" t="s">
        <v>12074</v>
      </c>
      <c r="U923" s="190"/>
    </row>
    <row r="924" spans="1:21" ht="38.25">
      <c r="A924" s="6">
        <v>2014</v>
      </c>
      <c r="B924" s="179" t="s">
        <v>4535</v>
      </c>
      <c r="C924" s="112" t="s">
        <v>61</v>
      </c>
      <c r="D924" s="180" t="s">
        <v>3092</v>
      </c>
      <c r="E924" s="180"/>
      <c r="F924" s="179" t="s">
        <v>4536</v>
      </c>
      <c r="G924" s="179" t="s">
        <v>4537</v>
      </c>
      <c r="H924" s="194">
        <v>522000</v>
      </c>
      <c r="I924" s="187" t="s">
        <v>4538</v>
      </c>
      <c r="J924" s="180" t="s">
        <v>2472</v>
      </c>
      <c r="K924" s="143" t="s">
        <v>1904</v>
      </c>
      <c r="L924" s="52" t="s">
        <v>6189</v>
      </c>
      <c r="M924" s="179"/>
      <c r="N924" s="179"/>
      <c r="O924" s="52"/>
      <c r="P924" s="179" t="s">
        <v>22</v>
      </c>
      <c r="Q924" s="52"/>
      <c r="R924" s="52"/>
      <c r="S924" s="179"/>
      <c r="T924" s="54"/>
      <c r="U924" s="187"/>
    </row>
    <row r="925" spans="1:21" ht="63.75">
      <c r="A925" s="6">
        <v>2014</v>
      </c>
      <c r="B925" s="179" t="s">
        <v>4539</v>
      </c>
      <c r="C925" s="112" t="s">
        <v>61</v>
      </c>
      <c r="D925" s="180" t="s">
        <v>1383</v>
      </c>
      <c r="E925" s="180"/>
      <c r="F925" s="179" t="s">
        <v>4540</v>
      </c>
      <c r="G925" s="179" t="s">
        <v>4541</v>
      </c>
      <c r="H925" s="186">
        <v>850000</v>
      </c>
      <c r="I925" s="201" t="s">
        <v>4542</v>
      </c>
      <c r="J925" s="180" t="s">
        <v>1855</v>
      </c>
      <c r="K925" s="143" t="s">
        <v>82</v>
      </c>
      <c r="L925" s="52" t="s">
        <v>6933</v>
      </c>
      <c r="M925" s="334">
        <v>41870</v>
      </c>
      <c r="N925" s="180" t="s">
        <v>12075</v>
      </c>
      <c r="O925" s="52"/>
      <c r="P925" s="179" t="s">
        <v>22</v>
      </c>
      <c r="Q925" s="52"/>
      <c r="R925" s="52"/>
      <c r="S925" s="179" t="s">
        <v>1824</v>
      </c>
      <c r="T925" s="54"/>
      <c r="U925" s="190" t="s">
        <v>1468</v>
      </c>
    </row>
    <row r="926" spans="1:21" ht="51">
      <c r="A926" s="6">
        <v>2014</v>
      </c>
      <c r="B926" s="179" t="s">
        <v>4543</v>
      </c>
      <c r="C926" s="112" t="s">
        <v>61</v>
      </c>
      <c r="D926" s="180" t="s">
        <v>652</v>
      </c>
      <c r="E926" s="180"/>
      <c r="F926" s="179" t="s">
        <v>4544</v>
      </c>
      <c r="G926" s="179" t="s">
        <v>12076</v>
      </c>
      <c r="H926" s="194">
        <v>231600</v>
      </c>
      <c r="I926" s="187" t="s">
        <v>4546</v>
      </c>
      <c r="J926" s="180" t="s">
        <v>1919</v>
      </c>
      <c r="K926" s="143" t="s">
        <v>1874</v>
      </c>
      <c r="L926" s="52" t="s">
        <v>6933</v>
      </c>
      <c r="M926" s="179"/>
      <c r="N926" s="179"/>
      <c r="O926" s="52"/>
      <c r="P926" s="179" t="s">
        <v>6179</v>
      </c>
      <c r="Q926" s="52"/>
      <c r="R926" s="52"/>
      <c r="S926" s="179"/>
      <c r="T926" s="54"/>
      <c r="U926" s="187"/>
    </row>
    <row r="927" spans="1:21" ht="38.25">
      <c r="A927" s="54"/>
      <c r="B927" s="179" t="s">
        <v>7695</v>
      </c>
      <c r="C927" s="53" t="s">
        <v>2328</v>
      </c>
      <c r="D927" s="54" t="s">
        <v>12077</v>
      </c>
      <c r="E927" s="54"/>
      <c r="F927" s="179" t="s">
        <v>7697</v>
      </c>
      <c r="G927" s="179" t="s">
        <v>7698</v>
      </c>
      <c r="H927" s="194"/>
      <c r="I927" s="179" t="s">
        <v>7699</v>
      </c>
      <c r="J927" s="179" t="s">
        <v>7643</v>
      </c>
      <c r="K927" s="52"/>
      <c r="L927" s="52" t="s">
        <v>6064</v>
      </c>
      <c r="M927" s="179"/>
      <c r="N927" s="179"/>
      <c r="O927" s="52"/>
      <c r="P927" s="179" t="s">
        <v>6132</v>
      </c>
      <c r="Q927" s="52"/>
      <c r="R927" s="52"/>
      <c r="S927" s="179"/>
      <c r="T927" s="54"/>
      <c r="U927" s="179"/>
    </row>
    <row r="928" spans="1:21" ht="51">
      <c r="A928" s="54"/>
      <c r="B928" s="179" t="s">
        <v>7700</v>
      </c>
      <c r="C928" s="53" t="s">
        <v>2328</v>
      </c>
      <c r="D928" s="54" t="s">
        <v>12077</v>
      </c>
      <c r="E928" s="54"/>
      <c r="F928" s="179" t="s">
        <v>7702</v>
      </c>
      <c r="G928" s="179" t="s">
        <v>7703</v>
      </c>
      <c r="H928" s="194"/>
      <c r="I928" s="179" t="s">
        <v>7704</v>
      </c>
      <c r="J928" s="179" t="s">
        <v>7573</v>
      </c>
      <c r="K928" s="52"/>
      <c r="L928" s="52" t="s">
        <v>6064</v>
      </c>
      <c r="M928" s="179"/>
      <c r="N928" s="179"/>
      <c r="O928" s="52"/>
      <c r="P928" s="179" t="s">
        <v>6132</v>
      </c>
      <c r="Q928" s="52"/>
      <c r="R928" s="52"/>
      <c r="S928" s="179"/>
      <c r="T928" s="54"/>
      <c r="U928" s="179"/>
    </row>
    <row r="929" spans="1:21" ht="38.25">
      <c r="A929" s="6">
        <v>2014</v>
      </c>
      <c r="B929" s="179" t="s">
        <v>4547</v>
      </c>
      <c r="C929" s="112" t="s">
        <v>61</v>
      </c>
      <c r="D929" s="22" t="s">
        <v>62</v>
      </c>
      <c r="E929" s="22"/>
      <c r="F929" s="179" t="s">
        <v>4548</v>
      </c>
      <c r="G929" s="179" t="s">
        <v>4549</v>
      </c>
      <c r="H929" s="791">
        <v>1121750</v>
      </c>
      <c r="I929" s="179" t="s">
        <v>4550</v>
      </c>
      <c r="J929" s="180" t="s">
        <v>1899</v>
      </c>
      <c r="K929" s="143" t="s">
        <v>1904</v>
      </c>
      <c r="L929" s="52" t="s">
        <v>6170</v>
      </c>
      <c r="M929" s="179"/>
      <c r="N929" s="179"/>
      <c r="O929" s="52"/>
      <c r="P929" s="179" t="s">
        <v>6179</v>
      </c>
      <c r="Q929" s="52"/>
      <c r="R929" s="52"/>
      <c r="S929" s="179"/>
      <c r="T929" s="54"/>
      <c r="U929" s="179"/>
    </row>
    <row r="930" spans="1:21" ht="34.5" customHeight="1">
      <c r="A930" s="6">
        <v>2014</v>
      </c>
      <c r="B930" s="179" t="s">
        <v>4551</v>
      </c>
      <c r="C930" s="112" t="s">
        <v>61</v>
      </c>
      <c r="D930" s="22" t="s">
        <v>62</v>
      </c>
      <c r="E930" s="22"/>
      <c r="F930" s="179" t="s">
        <v>4552</v>
      </c>
      <c r="G930" s="179" t="s">
        <v>4553</v>
      </c>
      <c r="H930" s="791">
        <v>1000000</v>
      </c>
      <c r="I930" s="179" t="s">
        <v>4554</v>
      </c>
      <c r="J930" s="180" t="s">
        <v>1828</v>
      </c>
      <c r="K930" s="143" t="s">
        <v>1904</v>
      </c>
      <c r="L930" s="52" t="s">
        <v>6170</v>
      </c>
      <c r="M930" s="179"/>
      <c r="N930" s="179"/>
      <c r="O930" s="52"/>
      <c r="P930" s="179" t="s">
        <v>6179</v>
      </c>
      <c r="Q930" s="52"/>
      <c r="R930" s="52"/>
      <c r="S930" s="179"/>
      <c r="T930" s="54"/>
      <c r="U930" s="179"/>
    </row>
    <row r="931" spans="1:21" ht="25.5">
      <c r="A931" s="6">
        <v>2014</v>
      </c>
      <c r="B931" s="179" t="s">
        <v>4555</v>
      </c>
      <c r="C931" s="112" t="s">
        <v>3096</v>
      </c>
      <c r="D931" s="180" t="s">
        <v>1231</v>
      </c>
      <c r="E931" s="180"/>
      <c r="F931" s="179" t="s">
        <v>4556</v>
      </c>
      <c r="G931" s="179" t="s">
        <v>4557</v>
      </c>
      <c r="H931" s="194">
        <v>200000</v>
      </c>
      <c r="I931" s="179" t="s">
        <v>4558</v>
      </c>
      <c r="J931" s="179" t="s">
        <v>1828</v>
      </c>
      <c r="K931" s="52"/>
      <c r="L931" s="52" t="s">
        <v>6064</v>
      </c>
      <c r="M931" s="179"/>
      <c r="N931" s="179"/>
      <c r="O931" s="52"/>
      <c r="P931" s="179" t="s">
        <v>22</v>
      </c>
      <c r="Q931" s="52"/>
      <c r="R931" s="52"/>
      <c r="S931" s="179"/>
      <c r="T931" s="54"/>
      <c r="U931" s="179"/>
    </row>
    <row r="932" spans="1:21" ht="12.75">
      <c r="A932" s="6">
        <v>2014</v>
      </c>
      <c r="B932" s="179" t="s">
        <v>4559</v>
      </c>
      <c r="C932" s="112" t="s">
        <v>61</v>
      </c>
      <c r="D932" s="180" t="s">
        <v>1141</v>
      </c>
      <c r="E932" s="180"/>
      <c r="F932" s="179" t="s">
        <v>4560</v>
      </c>
      <c r="G932" s="179" t="s">
        <v>4561</v>
      </c>
      <c r="H932" s="792">
        <v>78604</v>
      </c>
      <c r="I932" s="187" t="s">
        <v>4562</v>
      </c>
      <c r="J932" s="180" t="s">
        <v>2472</v>
      </c>
      <c r="K932" s="143" t="s">
        <v>1904</v>
      </c>
      <c r="L932" s="52" t="s">
        <v>6137</v>
      </c>
      <c r="M932" s="179"/>
      <c r="N932" s="179"/>
      <c r="O932" s="52"/>
      <c r="P932" s="179" t="s">
        <v>22</v>
      </c>
      <c r="Q932" s="52"/>
      <c r="R932" s="52"/>
      <c r="S932" s="179"/>
      <c r="T932" s="54"/>
      <c r="U932" s="187"/>
    </row>
    <row r="933" spans="1:21" ht="63.75">
      <c r="A933" s="6">
        <v>2014</v>
      </c>
      <c r="B933" s="179" t="s">
        <v>4563</v>
      </c>
      <c r="C933" s="112" t="s">
        <v>61</v>
      </c>
      <c r="D933" s="180" t="s">
        <v>3092</v>
      </c>
      <c r="E933" s="180"/>
      <c r="F933" s="179" t="s">
        <v>4564</v>
      </c>
      <c r="G933" s="179" t="s">
        <v>4565</v>
      </c>
      <c r="H933" s="194">
        <v>430000</v>
      </c>
      <c r="I933" s="202" t="s">
        <v>4566</v>
      </c>
      <c r="J933" s="180" t="s">
        <v>1828</v>
      </c>
      <c r="K933" s="143" t="s">
        <v>1904</v>
      </c>
      <c r="L933" s="52" t="s">
        <v>6189</v>
      </c>
      <c r="M933" s="179"/>
      <c r="N933" s="179"/>
      <c r="O933" s="52"/>
      <c r="P933" s="179" t="s">
        <v>22</v>
      </c>
      <c r="Q933" s="52"/>
      <c r="R933" s="52"/>
      <c r="S933" s="179" t="s">
        <v>1824</v>
      </c>
      <c r="T933" s="54"/>
      <c r="U933" s="202"/>
    </row>
    <row r="934" spans="1:21" ht="153">
      <c r="A934" s="54"/>
      <c r="B934" s="179" t="s">
        <v>7710</v>
      </c>
      <c r="C934" s="53"/>
      <c r="D934" s="190"/>
      <c r="E934" s="190"/>
      <c r="F934" s="179" t="s">
        <v>4522</v>
      </c>
      <c r="G934" s="179" t="s">
        <v>4523</v>
      </c>
      <c r="H934" s="199" t="s">
        <v>4521</v>
      </c>
      <c r="I934" s="179"/>
      <c r="J934" s="190"/>
      <c r="K934" s="52"/>
      <c r="L934" s="52" t="s">
        <v>7712</v>
      </c>
      <c r="M934" s="786">
        <v>41927</v>
      </c>
      <c r="N934" s="180" t="s">
        <v>12078</v>
      </c>
      <c r="O934" s="52"/>
      <c r="P934" s="179" t="s">
        <v>6179</v>
      </c>
      <c r="Q934" s="52"/>
      <c r="R934" s="52"/>
      <c r="S934" s="179"/>
      <c r="T934" s="54"/>
      <c r="U934" s="179"/>
    </row>
    <row r="935" spans="1:21" ht="25.5">
      <c r="A935" s="6">
        <v>2014</v>
      </c>
      <c r="B935" s="179" t="s">
        <v>4567</v>
      </c>
      <c r="C935" s="112" t="s">
        <v>3096</v>
      </c>
      <c r="D935" s="143" t="s">
        <v>3075</v>
      </c>
      <c r="E935" s="143"/>
      <c r="F935" s="179" t="s">
        <v>4568</v>
      </c>
      <c r="G935" s="179" t="s">
        <v>4569</v>
      </c>
      <c r="H935" s="194">
        <v>132000</v>
      </c>
      <c r="I935" s="179" t="s">
        <v>4487</v>
      </c>
      <c r="J935" s="179" t="s">
        <v>1828</v>
      </c>
      <c r="K935" s="52"/>
      <c r="L935" s="52" t="s">
        <v>7712</v>
      </c>
      <c r="M935" s="179"/>
      <c r="N935" s="179"/>
      <c r="O935" s="52"/>
      <c r="P935" s="179" t="s">
        <v>22</v>
      </c>
      <c r="Q935" s="52"/>
      <c r="R935" s="52"/>
      <c r="S935" s="179" t="s">
        <v>1824</v>
      </c>
      <c r="T935" s="54"/>
      <c r="U935" s="179"/>
    </row>
    <row r="936" spans="1:21" ht="63.75">
      <c r="A936" s="6">
        <v>2014</v>
      </c>
      <c r="B936" s="179" t="s">
        <v>4570</v>
      </c>
      <c r="C936" s="112" t="s">
        <v>61</v>
      </c>
      <c r="D936" s="22" t="s">
        <v>2993</v>
      </c>
      <c r="E936" s="22"/>
      <c r="F936" s="179" t="s">
        <v>4571</v>
      </c>
      <c r="G936" s="179" t="s">
        <v>12079</v>
      </c>
      <c r="H936" s="194">
        <v>247000</v>
      </c>
      <c r="I936" s="179" t="s">
        <v>4573</v>
      </c>
      <c r="J936" s="180" t="s">
        <v>1896</v>
      </c>
      <c r="K936" s="143" t="s">
        <v>1874</v>
      </c>
      <c r="L936" s="52" t="s">
        <v>6104</v>
      </c>
      <c r="M936" s="179"/>
      <c r="N936" s="179"/>
      <c r="O936" s="52"/>
      <c r="P936" s="6" t="s">
        <v>7717</v>
      </c>
      <c r="Q936" s="52"/>
      <c r="R936" s="52"/>
      <c r="S936" s="179"/>
      <c r="T936" s="54"/>
      <c r="U936" s="179"/>
    </row>
    <row r="937" spans="1:21" ht="63.75">
      <c r="A937" s="54"/>
      <c r="B937" s="179" t="s">
        <v>4718</v>
      </c>
      <c r="C937" s="53" t="s">
        <v>2328</v>
      </c>
      <c r="D937" s="54" t="s">
        <v>3705</v>
      </c>
      <c r="E937" s="54"/>
      <c r="F937" s="179" t="s">
        <v>7719</v>
      </c>
      <c r="G937" s="187" t="s">
        <v>7720</v>
      </c>
      <c r="H937" s="194"/>
      <c r="I937" s="179" t="s">
        <v>7721</v>
      </c>
      <c r="J937" s="179" t="s">
        <v>7539</v>
      </c>
      <c r="K937" s="52"/>
      <c r="L937" s="52" t="s">
        <v>6064</v>
      </c>
      <c r="M937" s="179"/>
      <c r="N937" s="179"/>
      <c r="O937" s="52"/>
      <c r="P937" s="179" t="s">
        <v>6132</v>
      </c>
      <c r="Q937" s="52"/>
      <c r="R937" s="52"/>
      <c r="S937" s="179"/>
      <c r="T937" s="54"/>
      <c r="U937" s="179"/>
    </row>
    <row r="938" spans="1:21" ht="51">
      <c r="A938" s="6">
        <v>2014</v>
      </c>
      <c r="B938" s="179" t="s">
        <v>4574</v>
      </c>
      <c r="C938" s="112" t="s">
        <v>61</v>
      </c>
      <c r="D938" s="22" t="s">
        <v>62</v>
      </c>
      <c r="E938" s="22"/>
      <c r="F938" s="179" t="s">
        <v>4575</v>
      </c>
      <c r="G938" s="179" t="s">
        <v>4576</v>
      </c>
      <c r="H938" s="791">
        <v>1793500</v>
      </c>
      <c r="I938" s="187" t="s">
        <v>4577</v>
      </c>
      <c r="J938" s="180" t="s">
        <v>1828</v>
      </c>
      <c r="K938" s="143" t="s">
        <v>1904</v>
      </c>
      <c r="L938" s="52" t="s">
        <v>6170</v>
      </c>
      <c r="M938" s="179"/>
      <c r="N938" s="179"/>
      <c r="O938" s="52"/>
      <c r="P938" s="179" t="s">
        <v>6132</v>
      </c>
      <c r="Q938" s="52"/>
      <c r="R938" s="52"/>
      <c r="S938" s="179"/>
      <c r="T938" s="54"/>
      <c r="U938" s="187"/>
    </row>
    <row r="939" spans="1:21" ht="140.25">
      <c r="A939" s="6">
        <v>2014</v>
      </c>
      <c r="B939" s="179" t="s">
        <v>4578</v>
      </c>
      <c r="C939" s="112" t="s">
        <v>61</v>
      </c>
      <c r="D939" s="191" t="s">
        <v>3092</v>
      </c>
      <c r="E939" s="191"/>
      <c r="F939" s="203" t="s">
        <v>4579</v>
      </c>
      <c r="G939" s="187" t="s">
        <v>4580</v>
      </c>
      <c r="H939" s="195">
        <v>1271400</v>
      </c>
      <c r="I939" s="187" t="s">
        <v>4581</v>
      </c>
      <c r="J939" s="180" t="s">
        <v>1828</v>
      </c>
      <c r="K939" s="143" t="s">
        <v>1904</v>
      </c>
      <c r="L939" s="52" t="s">
        <v>6933</v>
      </c>
      <c r="M939" s="797">
        <v>41954</v>
      </c>
      <c r="N939" s="545" t="s">
        <v>12080</v>
      </c>
      <c r="O939" s="52"/>
      <c r="P939" s="179" t="s">
        <v>22</v>
      </c>
      <c r="Q939" s="52"/>
      <c r="R939" s="52"/>
      <c r="S939" s="179"/>
      <c r="T939" s="179" t="s">
        <v>12081</v>
      </c>
      <c r="U939" s="187"/>
    </row>
    <row r="940" spans="1:21" ht="51">
      <c r="A940" s="54"/>
      <c r="B940" s="179" t="s">
        <v>7725</v>
      </c>
      <c r="C940" s="53" t="s">
        <v>1867</v>
      </c>
      <c r="D940" s="54" t="s">
        <v>12082</v>
      </c>
      <c r="E940" s="54"/>
      <c r="F940" s="179" t="s">
        <v>7727</v>
      </c>
      <c r="G940" s="179" t="s">
        <v>7728</v>
      </c>
      <c r="H940" s="194"/>
      <c r="I940" s="179" t="s">
        <v>7729</v>
      </c>
      <c r="J940" s="179" t="s">
        <v>7434</v>
      </c>
      <c r="K940" s="52"/>
      <c r="L940" s="52" t="s">
        <v>6104</v>
      </c>
      <c r="M940" s="334">
        <v>41954</v>
      </c>
      <c r="N940" s="179"/>
      <c r="O940" s="52"/>
      <c r="P940" s="179" t="s">
        <v>6132</v>
      </c>
      <c r="Q940" s="52"/>
      <c r="R940" s="52"/>
      <c r="S940" s="179"/>
      <c r="T940" s="54"/>
      <c r="U940" s="179"/>
    </row>
    <row r="941" spans="1:21" ht="89.25">
      <c r="A941" s="6">
        <v>2014</v>
      </c>
      <c r="B941" s="179" t="s">
        <v>4582</v>
      </c>
      <c r="C941" s="112" t="s">
        <v>61</v>
      </c>
      <c r="D941" s="22" t="s">
        <v>62</v>
      </c>
      <c r="E941" s="22"/>
      <c r="F941" s="179" t="s">
        <v>4583</v>
      </c>
      <c r="G941" s="179" t="s">
        <v>4584</v>
      </c>
      <c r="H941" s="791">
        <v>1000000</v>
      </c>
      <c r="I941" s="179" t="s">
        <v>4585</v>
      </c>
      <c r="J941" s="180" t="s">
        <v>2051</v>
      </c>
      <c r="K941" s="143" t="s">
        <v>1904</v>
      </c>
      <c r="L941" s="52" t="s">
        <v>6170</v>
      </c>
      <c r="M941" s="179"/>
      <c r="N941" s="179"/>
      <c r="O941" s="52"/>
      <c r="P941" s="179" t="s">
        <v>6179</v>
      </c>
      <c r="Q941" s="52"/>
      <c r="R941" s="52"/>
      <c r="S941" s="179"/>
      <c r="T941" s="54"/>
      <c r="U941" s="179"/>
    </row>
    <row r="942" spans="1:21" ht="76.5">
      <c r="A942" s="6">
        <v>2014</v>
      </c>
      <c r="B942" s="179" t="s">
        <v>4586</v>
      </c>
      <c r="C942" s="112" t="s">
        <v>61</v>
      </c>
      <c r="D942" s="22" t="s">
        <v>62</v>
      </c>
      <c r="E942" s="22"/>
      <c r="F942" s="179" t="s">
        <v>4587</v>
      </c>
      <c r="G942" s="179" t="s">
        <v>4588</v>
      </c>
      <c r="H942" s="791">
        <v>2500000</v>
      </c>
      <c r="I942" s="187" t="s">
        <v>4589</v>
      </c>
      <c r="J942" s="180" t="s">
        <v>2472</v>
      </c>
      <c r="K942" s="143" t="s">
        <v>1904</v>
      </c>
      <c r="L942" s="52" t="s">
        <v>6092</v>
      </c>
      <c r="M942" s="179"/>
      <c r="N942" s="179"/>
      <c r="O942" s="52"/>
      <c r="P942" s="179" t="s">
        <v>6179</v>
      </c>
      <c r="Q942" s="52"/>
      <c r="R942" s="52"/>
      <c r="S942" s="179"/>
      <c r="T942" s="54"/>
      <c r="U942" s="187"/>
    </row>
    <row r="943" spans="1:21" ht="38.25">
      <c r="A943" s="6">
        <v>2014</v>
      </c>
      <c r="B943" s="179" t="s">
        <v>4590</v>
      </c>
      <c r="C943" s="112" t="s">
        <v>61</v>
      </c>
      <c r="D943" s="22" t="s">
        <v>62</v>
      </c>
      <c r="E943" s="22"/>
      <c r="F943" s="179" t="s">
        <v>4591</v>
      </c>
      <c r="G943" s="179" t="s">
        <v>4592</v>
      </c>
      <c r="H943" s="791">
        <v>1850000</v>
      </c>
      <c r="I943" s="187" t="s">
        <v>4593</v>
      </c>
      <c r="J943" s="180" t="s">
        <v>2472</v>
      </c>
      <c r="K943" s="143" t="s">
        <v>1904</v>
      </c>
      <c r="L943" s="52" t="s">
        <v>6092</v>
      </c>
      <c r="M943" s="179"/>
      <c r="N943" s="179"/>
      <c r="O943" s="52"/>
      <c r="P943" s="179" t="s">
        <v>6132</v>
      </c>
      <c r="Q943" s="52"/>
      <c r="R943" s="52"/>
      <c r="S943" s="179"/>
      <c r="T943" s="54"/>
      <c r="U943" s="187"/>
    </row>
    <row r="944" spans="1:21" ht="38.25">
      <c r="A944" s="6">
        <v>2014</v>
      </c>
      <c r="B944" s="179" t="s">
        <v>4594</v>
      </c>
      <c r="C944" s="112" t="s">
        <v>61</v>
      </c>
      <c r="D944" s="180" t="s">
        <v>1383</v>
      </c>
      <c r="E944" s="180"/>
      <c r="F944" s="179" t="s">
        <v>4595</v>
      </c>
      <c r="G944" s="179" t="s">
        <v>1689</v>
      </c>
      <c r="H944" s="186">
        <v>632000</v>
      </c>
      <c r="I944" s="178" t="s">
        <v>4487</v>
      </c>
      <c r="J944" s="180" t="s">
        <v>1828</v>
      </c>
      <c r="K944" s="143" t="s">
        <v>82</v>
      </c>
      <c r="L944" s="52" t="s">
        <v>6933</v>
      </c>
      <c r="M944" s="179"/>
      <c r="N944" s="179"/>
      <c r="O944" s="52"/>
      <c r="P944" s="179" t="s">
        <v>22</v>
      </c>
      <c r="Q944" s="52"/>
      <c r="R944" s="52"/>
      <c r="S944" s="179" t="s">
        <v>1824</v>
      </c>
      <c r="T944" s="54"/>
      <c r="U944" s="54"/>
    </row>
    <row r="945" spans="1:21" ht="63.75">
      <c r="A945" s="6">
        <v>2014</v>
      </c>
      <c r="B945" s="179" t="s">
        <v>4596</v>
      </c>
      <c r="C945" s="112" t="s">
        <v>61</v>
      </c>
      <c r="D945" s="180" t="s">
        <v>68</v>
      </c>
      <c r="E945" s="180"/>
      <c r="F945" s="179" t="s">
        <v>4597</v>
      </c>
      <c r="G945" s="179" t="s">
        <v>4598</v>
      </c>
      <c r="H945" s="194">
        <v>993412.5</v>
      </c>
      <c r="I945" s="187" t="s">
        <v>4599</v>
      </c>
      <c r="J945" s="180" t="s">
        <v>1828</v>
      </c>
      <c r="K945" s="143" t="s">
        <v>1874</v>
      </c>
      <c r="L945" s="52" t="s">
        <v>6941</v>
      </c>
      <c r="M945" s="179"/>
      <c r="N945" s="179"/>
      <c r="O945" s="52"/>
      <c r="P945" s="179" t="s">
        <v>6132</v>
      </c>
      <c r="Q945" s="52"/>
      <c r="R945" s="52"/>
      <c r="S945" s="179"/>
      <c r="T945" s="54"/>
      <c r="U945" s="187"/>
    </row>
    <row r="946" spans="1:21" ht="51">
      <c r="A946" s="6">
        <v>2014</v>
      </c>
      <c r="B946" s="179" t="s">
        <v>4600</v>
      </c>
      <c r="C946" s="112" t="s">
        <v>61</v>
      </c>
      <c r="D946" s="22" t="s">
        <v>62</v>
      </c>
      <c r="E946" s="22"/>
      <c r="F946" s="179" t="s">
        <v>4601</v>
      </c>
      <c r="G946" s="179" t="s">
        <v>4602</v>
      </c>
      <c r="H946" s="791">
        <v>618554</v>
      </c>
      <c r="I946" s="187" t="s">
        <v>4603</v>
      </c>
      <c r="J946" s="180" t="s">
        <v>1828</v>
      </c>
      <c r="K946" s="143" t="s">
        <v>1904</v>
      </c>
      <c r="L946" s="52" t="s">
        <v>6170</v>
      </c>
      <c r="M946" s="179"/>
      <c r="N946" s="179"/>
      <c r="O946" s="52"/>
      <c r="P946" s="179" t="s">
        <v>6132</v>
      </c>
      <c r="Q946" s="52"/>
      <c r="R946" s="52"/>
      <c r="S946" s="179"/>
      <c r="T946" s="54"/>
      <c r="U946" s="187"/>
    </row>
    <row r="947" spans="1:21" ht="51">
      <c r="A947" s="6">
        <v>2014</v>
      </c>
      <c r="B947" s="179" t="s">
        <v>4604</v>
      </c>
      <c r="C947" s="112" t="s">
        <v>61</v>
      </c>
      <c r="D947" s="180" t="s">
        <v>68</v>
      </c>
      <c r="E947" s="180"/>
      <c r="F947" s="179" t="s">
        <v>4605</v>
      </c>
      <c r="G947" s="179" t="s">
        <v>4606</v>
      </c>
      <c r="H947" s="194">
        <v>958103</v>
      </c>
      <c r="I947" s="187" t="s">
        <v>4607</v>
      </c>
      <c r="J947" s="180" t="s">
        <v>2472</v>
      </c>
      <c r="K947" s="143" t="s">
        <v>1874</v>
      </c>
      <c r="L947" s="52" t="s">
        <v>6104</v>
      </c>
      <c r="M947" s="179"/>
      <c r="N947" s="179"/>
      <c r="O947" s="52"/>
      <c r="P947" s="179" t="s">
        <v>6132</v>
      </c>
      <c r="Q947" s="52"/>
      <c r="R947" s="52"/>
      <c r="S947" s="179"/>
      <c r="T947" s="179" t="s">
        <v>7737</v>
      </c>
      <c r="U947" s="187"/>
    </row>
    <row r="948" spans="1:21" ht="25.5">
      <c r="A948" s="6">
        <v>2014</v>
      </c>
      <c r="B948" s="179" t="s">
        <v>4608</v>
      </c>
      <c r="C948" s="112" t="s">
        <v>61</v>
      </c>
      <c r="D948" s="180" t="s">
        <v>3168</v>
      </c>
      <c r="E948" s="180"/>
      <c r="F948" s="179" t="s">
        <v>4609</v>
      </c>
      <c r="G948" s="179" t="s">
        <v>1689</v>
      </c>
      <c r="H948" s="194">
        <v>250000</v>
      </c>
      <c r="I948" s="187" t="s">
        <v>4487</v>
      </c>
      <c r="J948" s="180" t="s">
        <v>1828</v>
      </c>
      <c r="K948" s="143" t="s">
        <v>1904</v>
      </c>
      <c r="L948" s="52" t="s">
        <v>6064</v>
      </c>
      <c r="M948" s="179"/>
      <c r="N948" s="179"/>
      <c r="O948" s="52"/>
      <c r="P948" s="179" t="s">
        <v>22</v>
      </c>
      <c r="Q948" s="52"/>
      <c r="R948" s="52"/>
      <c r="S948" s="179" t="s">
        <v>1824</v>
      </c>
      <c r="T948" s="54"/>
      <c r="U948" s="187"/>
    </row>
    <row r="949" spans="1:21" ht="12.75">
      <c r="A949" s="6">
        <v>2014</v>
      </c>
      <c r="B949" s="179" t="s">
        <v>4610</v>
      </c>
      <c r="C949" s="53" t="s">
        <v>61</v>
      </c>
      <c r="D949" s="180" t="s">
        <v>1763</v>
      </c>
      <c r="E949" s="180"/>
      <c r="F949" s="178" t="s">
        <v>4611</v>
      </c>
      <c r="G949" s="179"/>
      <c r="H949" s="194">
        <v>26000</v>
      </c>
      <c r="I949" s="187"/>
      <c r="J949" s="798" t="s">
        <v>1828</v>
      </c>
      <c r="K949" s="143" t="s">
        <v>82</v>
      </c>
      <c r="L949" s="52" t="s">
        <v>6064</v>
      </c>
      <c r="M949" s="784">
        <v>41883</v>
      </c>
      <c r="N949" s="178"/>
      <c r="O949" s="52"/>
      <c r="P949" s="179" t="s">
        <v>22</v>
      </c>
      <c r="Q949" s="52"/>
      <c r="R949" s="52"/>
      <c r="S949" s="179"/>
      <c r="T949" s="54"/>
      <c r="U949" s="187"/>
    </row>
    <row r="950" spans="1:21" ht="76.5">
      <c r="A950" s="6">
        <v>2014</v>
      </c>
      <c r="B950" s="185">
        <v>41671</v>
      </c>
      <c r="C950" s="112" t="s">
        <v>61</v>
      </c>
      <c r="D950" s="180" t="s">
        <v>2993</v>
      </c>
      <c r="E950" s="180"/>
      <c r="F950" s="179" t="s">
        <v>4612</v>
      </c>
      <c r="G950" s="179" t="s">
        <v>4613</v>
      </c>
      <c r="H950" s="194">
        <v>53797</v>
      </c>
      <c r="I950" s="187" t="s">
        <v>4614</v>
      </c>
      <c r="J950" s="180" t="s">
        <v>1828</v>
      </c>
      <c r="K950" s="143" t="s">
        <v>1874</v>
      </c>
      <c r="L950" s="52" t="s">
        <v>6104</v>
      </c>
      <c r="M950" s="179"/>
      <c r="N950" s="179"/>
      <c r="O950" s="52"/>
      <c r="P950" s="179" t="s">
        <v>6179</v>
      </c>
      <c r="Q950" s="52"/>
      <c r="R950" s="52"/>
      <c r="S950" s="179" t="s">
        <v>1824</v>
      </c>
      <c r="T950" s="54"/>
      <c r="U950" s="187"/>
    </row>
    <row r="951" spans="1:21" ht="63.75">
      <c r="A951" s="6">
        <v>2014</v>
      </c>
      <c r="B951" s="185">
        <v>41699</v>
      </c>
      <c r="C951" s="112" t="s">
        <v>3096</v>
      </c>
      <c r="D951" s="197" t="s">
        <v>2412</v>
      </c>
      <c r="E951" s="197"/>
      <c r="F951" s="179" t="s">
        <v>4615</v>
      </c>
      <c r="G951" s="179" t="s">
        <v>4616</v>
      </c>
      <c r="H951" s="194">
        <v>44640</v>
      </c>
      <c r="I951" s="187"/>
      <c r="J951" s="179" t="s">
        <v>1828</v>
      </c>
      <c r="K951" s="52" t="s">
        <v>2412</v>
      </c>
      <c r="L951" s="179" t="s">
        <v>7739</v>
      </c>
      <c r="M951" s="334">
        <v>41709</v>
      </c>
      <c r="N951" s="180" t="s">
        <v>12083</v>
      </c>
      <c r="O951" s="52"/>
      <c r="P951" s="179" t="s">
        <v>22</v>
      </c>
      <c r="Q951" s="179"/>
      <c r="R951" s="179"/>
      <c r="S951" s="179" t="s">
        <v>1824</v>
      </c>
      <c r="T951" s="54"/>
      <c r="U951" s="187"/>
    </row>
    <row r="952" spans="1:21" ht="25.5">
      <c r="A952" s="6">
        <v>2014</v>
      </c>
      <c r="B952" s="185">
        <v>41730</v>
      </c>
      <c r="C952" s="112" t="s">
        <v>61</v>
      </c>
      <c r="D952" s="180" t="s">
        <v>3168</v>
      </c>
      <c r="E952" s="180"/>
      <c r="F952" s="179" t="s">
        <v>4617</v>
      </c>
      <c r="G952" s="179" t="s">
        <v>4618</v>
      </c>
      <c r="H952" s="194">
        <v>60000</v>
      </c>
      <c r="I952" s="179" t="s">
        <v>4619</v>
      </c>
      <c r="J952" s="180" t="s">
        <v>2051</v>
      </c>
      <c r="K952" s="143" t="s">
        <v>82</v>
      </c>
      <c r="L952" s="179" t="s">
        <v>7739</v>
      </c>
      <c r="M952" s="179"/>
      <c r="N952" s="179"/>
      <c r="O952" s="52"/>
      <c r="P952" s="179" t="s">
        <v>22</v>
      </c>
      <c r="Q952" s="179"/>
      <c r="R952" s="179"/>
      <c r="S952" s="179" t="s">
        <v>1824</v>
      </c>
      <c r="T952" s="54"/>
      <c r="U952" s="179"/>
    </row>
    <row r="953" spans="1:21" ht="38.25">
      <c r="A953" s="6">
        <v>2014</v>
      </c>
      <c r="B953" s="185">
        <v>41760</v>
      </c>
      <c r="C953" s="112" t="s">
        <v>61</v>
      </c>
      <c r="D953" s="191" t="s">
        <v>3092</v>
      </c>
      <c r="E953" s="191"/>
      <c r="F953" s="179" t="s">
        <v>4620</v>
      </c>
      <c r="G953" s="179" t="s">
        <v>4621</v>
      </c>
      <c r="H953" s="194">
        <v>98000</v>
      </c>
      <c r="I953" s="187" t="s">
        <v>4622</v>
      </c>
      <c r="J953" s="180" t="s">
        <v>1916</v>
      </c>
      <c r="K953" s="143" t="s">
        <v>1904</v>
      </c>
      <c r="L953" s="179" t="s">
        <v>6364</v>
      </c>
      <c r="M953" s="179"/>
      <c r="N953" s="179"/>
      <c r="O953" s="52"/>
      <c r="P953" s="179" t="s">
        <v>6179</v>
      </c>
      <c r="Q953" s="179"/>
      <c r="R953" s="179"/>
      <c r="S953" s="179" t="s">
        <v>7740</v>
      </c>
      <c r="T953" s="54"/>
      <c r="U953" s="187"/>
    </row>
    <row r="954" spans="1:21" ht="25.5">
      <c r="A954" s="6">
        <v>2014</v>
      </c>
      <c r="B954" s="185">
        <v>41791</v>
      </c>
      <c r="C954" s="112" t="s">
        <v>61</v>
      </c>
      <c r="D954" s="180" t="s">
        <v>3168</v>
      </c>
      <c r="E954" s="180"/>
      <c r="F954" s="179" t="s">
        <v>4623</v>
      </c>
      <c r="G954" s="179" t="s">
        <v>4624</v>
      </c>
      <c r="H954" s="194">
        <v>50000</v>
      </c>
      <c r="I954" s="179" t="s">
        <v>4625</v>
      </c>
      <c r="J954" s="180" t="s">
        <v>1828</v>
      </c>
      <c r="K954" s="143" t="s">
        <v>82</v>
      </c>
      <c r="L954" s="179" t="s">
        <v>7739</v>
      </c>
      <c r="M954" s="179"/>
      <c r="N954" s="179"/>
      <c r="O954" s="52"/>
      <c r="P954" s="179" t="s">
        <v>6132</v>
      </c>
      <c r="Q954" s="179"/>
      <c r="R954" s="179"/>
      <c r="S954" s="179" t="s">
        <v>1824</v>
      </c>
      <c r="T954" s="54"/>
      <c r="U954" s="179"/>
    </row>
    <row r="955" spans="1:21" ht="25.5">
      <c r="A955" s="6">
        <v>2014</v>
      </c>
      <c r="B955" s="185">
        <v>41821</v>
      </c>
      <c r="C955" s="112" t="s">
        <v>61</v>
      </c>
      <c r="D955" s="180" t="s">
        <v>394</v>
      </c>
      <c r="E955" s="180"/>
      <c r="F955" s="179" t="s">
        <v>4626</v>
      </c>
      <c r="G955" s="179" t="s">
        <v>840</v>
      </c>
      <c r="H955" s="791">
        <v>80000</v>
      </c>
      <c r="I955" s="179" t="s">
        <v>4627</v>
      </c>
      <c r="J955" s="180" t="s">
        <v>1828</v>
      </c>
      <c r="K955" s="180" t="s">
        <v>1853</v>
      </c>
      <c r="L955" s="179" t="s">
        <v>7741</v>
      </c>
      <c r="M955" s="179"/>
      <c r="N955" s="179"/>
      <c r="O955" s="52"/>
      <c r="P955" s="179" t="s">
        <v>22</v>
      </c>
      <c r="Q955" s="179"/>
      <c r="R955" s="179"/>
      <c r="S955" s="179" t="s">
        <v>1824</v>
      </c>
      <c r="T955" s="54"/>
      <c r="U955" s="179"/>
    </row>
    <row r="956" spans="1:21" ht="63.75">
      <c r="A956" s="6">
        <v>2014</v>
      </c>
      <c r="B956" s="185">
        <v>41852</v>
      </c>
      <c r="C956" s="112" t="s">
        <v>61</v>
      </c>
      <c r="D956" s="180" t="s">
        <v>1763</v>
      </c>
      <c r="E956" s="180"/>
      <c r="F956" s="179" t="s">
        <v>4628</v>
      </c>
      <c r="G956" s="179" t="s">
        <v>4629</v>
      </c>
      <c r="H956" s="194">
        <v>13700</v>
      </c>
      <c r="I956" s="179" t="s">
        <v>4630</v>
      </c>
      <c r="J956" s="180" t="s">
        <v>1828</v>
      </c>
      <c r="K956" s="143" t="s">
        <v>82</v>
      </c>
      <c r="L956" s="179" t="s">
        <v>6092</v>
      </c>
      <c r="M956" s="179"/>
      <c r="N956" s="179"/>
      <c r="O956" s="52"/>
      <c r="P956" s="179" t="s">
        <v>6132</v>
      </c>
      <c r="Q956" s="179"/>
      <c r="R956" s="179"/>
      <c r="S956" s="179" t="s">
        <v>7742</v>
      </c>
      <c r="T956" s="54"/>
      <c r="U956" s="179"/>
    </row>
    <row r="957" spans="1:21" ht="51">
      <c r="A957" s="6">
        <v>2014</v>
      </c>
      <c r="B957" s="185">
        <v>41883</v>
      </c>
      <c r="C957" s="112" t="s">
        <v>61</v>
      </c>
      <c r="D957" s="180" t="s">
        <v>1763</v>
      </c>
      <c r="E957" s="180"/>
      <c r="F957" s="179" t="s">
        <v>4631</v>
      </c>
      <c r="G957" s="179" t="s">
        <v>4632</v>
      </c>
      <c r="H957" s="194">
        <v>5000</v>
      </c>
      <c r="I957" s="179" t="s">
        <v>4633</v>
      </c>
      <c r="J957" s="180" t="s">
        <v>2472</v>
      </c>
      <c r="K957" s="143" t="s">
        <v>82</v>
      </c>
      <c r="L957" s="179" t="s">
        <v>7741</v>
      </c>
      <c r="M957" s="179"/>
      <c r="N957" s="179"/>
      <c r="O957" s="52"/>
      <c r="P957" s="179" t="s">
        <v>6132</v>
      </c>
      <c r="Q957" s="179"/>
      <c r="R957" s="179"/>
      <c r="S957" s="179" t="s">
        <v>1824</v>
      </c>
      <c r="T957" s="54"/>
      <c r="U957" s="179"/>
    </row>
    <row r="958" spans="1:21" ht="102">
      <c r="A958" s="6">
        <v>2014</v>
      </c>
      <c r="B958" s="185">
        <v>41913</v>
      </c>
      <c r="C958" s="112" t="s">
        <v>4634</v>
      </c>
      <c r="D958" s="180"/>
      <c r="E958" s="180"/>
      <c r="F958" s="179" t="s">
        <v>4635</v>
      </c>
      <c r="G958" s="179" t="s">
        <v>4636</v>
      </c>
      <c r="H958" s="194">
        <v>47031.75</v>
      </c>
      <c r="I958" s="187" t="s">
        <v>4637</v>
      </c>
      <c r="J958" s="53" t="s">
        <v>5924</v>
      </c>
      <c r="K958" s="52" t="s">
        <v>1231</v>
      </c>
      <c r="L958" s="179" t="s">
        <v>6364</v>
      </c>
      <c r="M958" s="334">
        <v>41815</v>
      </c>
      <c r="N958" s="22" t="s">
        <v>12084</v>
      </c>
      <c r="O958" s="52"/>
      <c r="P958" s="179" t="s">
        <v>22</v>
      </c>
      <c r="Q958" s="179"/>
      <c r="R958" s="179"/>
      <c r="S958" s="179" t="s">
        <v>7743</v>
      </c>
      <c r="T958" s="54"/>
      <c r="U958" s="187"/>
    </row>
    <row r="959" spans="1:21" ht="38.25">
      <c r="A959" s="6">
        <v>2014</v>
      </c>
      <c r="B959" s="185">
        <v>41944</v>
      </c>
      <c r="C959" s="112" t="s">
        <v>61</v>
      </c>
      <c r="D959" s="180" t="s">
        <v>394</v>
      </c>
      <c r="E959" s="180"/>
      <c r="F959" s="179" t="s">
        <v>4638</v>
      </c>
      <c r="G959" s="179" t="s">
        <v>844</v>
      </c>
      <c r="H959" s="791">
        <v>34000</v>
      </c>
      <c r="I959" s="187" t="s">
        <v>4639</v>
      </c>
      <c r="J959" s="180" t="s">
        <v>1896</v>
      </c>
      <c r="K959" s="180" t="s">
        <v>1853</v>
      </c>
      <c r="L959" s="179" t="s">
        <v>7741</v>
      </c>
      <c r="M959" s="179"/>
      <c r="N959" s="179"/>
      <c r="O959" s="52"/>
      <c r="P959" s="179" t="s">
        <v>22</v>
      </c>
      <c r="Q959" s="179"/>
      <c r="R959" s="179"/>
      <c r="S959" s="179" t="s">
        <v>1824</v>
      </c>
      <c r="T959" s="54"/>
      <c r="U959" s="187"/>
    </row>
    <row r="960" spans="1:21" ht="25.5">
      <c r="A960" s="6">
        <v>2014</v>
      </c>
      <c r="B960" s="185">
        <v>41974</v>
      </c>
      <c r="C960" s="112" t="s">
        <v>61</v>
      </c>
      <c r="D960" s="180" t="s">
        <v>394</v>
      </c>
      <c r="E960" s="180"/>
      <c r="F960" s="179" t="s">
        <v>4640</v>
      </c>
      <c r="G960" s="179" t="s">
        <v>1593</v>
      </c>
      <c r="H960" s="791">
        <v>58000</v>
      </c>
      <c r="I960" s="187" t="s">
        <v>4641</v>
      </c>
      <c r="J960" s="180" t="s">
        <v>1899</v>
      </c>
      <c r="K960" s="180" t="s">
        <v>1853</v>
      </c>
      <c r="L960" s="179" t="s">
        <v>7741</v>
      </c>
      <c r="M960" s="179"/>
      <c r="N960" s="179"/>
      <c r="O960" s="52"/>
      <c r="P960" s="179" t="s">
        <v>22</v>
      </c>
      <c r="Q960" s="179"/>
      <c r="R960" s="179"/>
      <c r="S960" s="179" t="s">
        <v>1824</v>
      </c>
      <c r="T960" s="54"/>
      <c r="U960" s="187"/>
    </row>
    <row r="961" spans="1:21" ht="25.5">
      <c r="A961" s="6">
        <v>2014</v>
      </c>
      <c r="B961" s="179" t="s">
        <v>4642</v>
      </c>
      <c r="C961" s="112" t="s">
        <v>61</v>
      </c>
      <c r="D961" s="180" t="s">
        <v>1383</v>
      </c>
      <c r="E961" s="180"/>
      <c r="F961" s="179" t="s">
        <v>4528</v>
      </c>
      <c r="G961" s="179" t="s">
        <v>4643</v>
      </c>
      <c r="H961" s="186">
        <v>320000</v>
      </c>
      <c r="I961" s="187" t="s">
        <v>4644</v>
      </c>
      <c r="J961" s="180" t="s">
        <v>2051</v>
      </c>
      <c r="K961" s="143" t="s">
        <v>82</v>
      </c>
      <c r="L961" s="179" t="s">
        <v>6064</v>
      </c>
      <c r="M961" s="179"/>
      <c r="N961" s="179"/>
      <c r="O961" s="52"/>
      <c r="P961" s="179" t="s">
        <v>22</v>
      </c>
      <c r="Q961" s="179"/>
      <c r="R961" s="179"/>
      <c r="S961" s="179" t="s">
        <v>1824</v>
      </c>
      <c r="T961" s="54"/>
      <c r="U961" s="54"/>
    </row>
    <row r="962" spans="1:21" ht="89.25">
      <c r="A962" s="6">
        <v>2014</v>
      </c>
      <c r="B962" s="179" t="s">
        <v>4510</v>
      </c>
      <c r="C962" s="112" t="s">
        <v>61</v>
      </c>
      <c r="D962" s="180" t="s">
        <v>3168</v>
      </c>
      <c r="E962" s="180"/>
      <c r="F962" s="179" t="s">
        <v>4645</v>
      </c>
      <c r="G962" s="179" t="s">
        <v>4646</v>
      </c>
      <c r="H962" s="194">
        <v>50000</v>
      </c>
      <c r="I962" s="187" t="s">
        <v>4647</v>
      </c>
      <c r="J962" s="180" t="s">
        <v>1828</v>
      </c>
      <c r="K962" s="143" t="s">
        <v>82</v>
      </c>
      <c r="L962" s="179" t="s">
        <v>7741</v>
      </c>
      <c r="M962" s="179"/>
      <c r="N962" s="179"/>
      <c r="O962" s="52"/>
      <c r="P962" s="179" t="s">
        <v>22</v>
      </c>
      <c r="Q962" s="179"/>
      <c r="R962" s="179"/>
      <c r="S962" s="179" t="s">
        <v>7743</v>
      </c>
      <c r="T962" s="54"/>
      <c r="U962" s="187"/>
    </row>
    <row r="963" spans="1:21" ht="51">
      <c r="A963" s="6">
        <v>2014</v>
      </c>
      <c r="B963" s="179" t="s">
        <v>4648</v>
      </c>
      <c r="C963" s="112" t="s">
        <v>61</v>
      </c>
      <c r="D963" s="180" t="s">
        <v>394</v>
      </c>
      <c r="E963" s="180"/>
      <c r="F963" s="179"/>
      <c r="G963" s="179" t="s">
        <v>4649</v>
      </c>
      <c r="H963" s="791">
        <v>38000</v>
      </c>
      <c r="I963" s="187" t="s">
        <v>4650</v>
      </c>
      <c r="J963" s="180" t="s">
        <v>1899</v>
      </c>
      <c r="K963" s="180" t="s">
        <v>1853</v>
      </c>
      <c r="L963" s="179" t="s">
        <v>7741</v>
      </c>
      <c r="M963" s="179"/>
      <c r="N963" s="179"/>
      <c r="O963" s="52"/>
      <c r="P963" s="179" t="s">
        <v>22</v>
      </c>
      <c r="Q963" s="179"/>
      <c r="R963" s="179"/>
      <c r="S963" s="179" t="s">
        <v>7743</v>
      </c>
      <c r="T963" s="54"/>
      <c r="U963" s="187"/>
    </row>
    <row r="964" spans="1:21" ht="63.75">
      <c r="A964" s="6">
        <v>2014</v>
      </c>
      <c r="B964" s="179" t="s">
        <v>4651</v>
      </c>
      <c r="C964" s="112" t="s">
        <v>61</v>
      </c>
      <c r="D964" s="180" t="s">
        <v>1383</v>
      </c>
      <c r="E964" s="180"/>
      <c r="F964" s="179" t="s">
        <v>4652</v>
      </c>
      <c r="G964" s="179" t="s">
        <v>4653</v>
      </c>
      <c r="H964" s="186">
        <v>27000</v>
      </c>
      <c r="I964" s="187" t="s">
        <v>4654</v>
      </c>
      <c r="J964" s="180" t="s">
        <v>1828</v>
      </c>
      <c r="K964" s="143" t="s">
        <v>82</v>
      </c>
      <c r="L964" s="179" t="s">
        <v>6064</v>
      </c>
      <c r="M964" s="179"/>
      <c r="N964" s="179"/>
      <c r="O964" s="52"/>
      <c r="P964" s="179" t="s">
        <v>22</v>
      </c>
      <c r="Q964" s="179"/>
      <c r="R964" s="179"/>
      <c r="S964" s="179" t="s">
        <v>7745</v>
      </c>
      <c r="T964" s="54"/>
      <c r="U964" s="54"/>
    </row>
    <row r="965" spans="1:21" ht="102">
      <c r="A965" s="6">
        <v>2014</v>
      </c>
      <c r="B965" s="179" t="s">
        <v>4520</v>
      </c>
      <c r="C965" s="112" t="s">
        <v>61</v>
      </c>
      <c r="D965" s="180" t="s">
        <v>394</v>
      </c>
      <c r="E965" s="180"/>
      <c r="F965" s="179" t="s">
        <v>4655</v>
      </c>
      <c r="G965" s="179" t="s">
        <v>854</v>
      </c>
      <c r="H965" s="791">
        <v>120000</v>
      </c>
      <c r="I965" s="179" t="s">
        <v>4656</v>
      </c>
      <c r="J965" s="180" t="s">
        <v>1916</v>
      </c>
      <c r="K965" s="180" t="s">
        <v>1853</v>
      </c>
      <c r="L965" s="179" t="s">
        <v>7741</v>
      </c>
      <c r="M965" s="179"/>
      <c r="N965" s="179"/>
      <c r="O965" s="52"/>
      <c r="P965" s="179" t="s">
        <v>22</v>
      </c>
      <c r="Q965" s="179"/>
      <c r="R965" s="179"/>
      <c r="S965" s="179" t="s">
        <v>1824</v>
      </c>
      <c r="T965" s="54"/>
      <c r="U965" s="179"/>
    </row>
    <row r="966" spans="1:21" ht="51">
      <c r="A966" s="6">
        <v>2014</v>
      </c>
      <c r="B966" s="179" t="s">
        <v>4657</v>
      </c>
      <c r="C966" s="112" t="s">
        <v>61</v>
      </c>
      <c r="D966" s="180" t="s">
        <v>3168</v>
      </c>
      <c r="E966" s="180"/>
      <c r="F966" s="179" t="s">
        <v>4658</v>
      </c>
      <c r="G966" s="179" t="s">
        <v>4659</v>
      </c>
      <c r="H966" s="194">
        <v>50000</v>
      </c>
      <c r="I966" s="179" t="s">
        <v>4660</v>
      </c>
      <c r="J966" s="180" t="s">
        <v>1828</v>
      </c>
      <c r="K966" s="143" t="s">
        <v>82</v>
      </c>
      <c r="L966" s="179" t="s">
        <v>7741</v>
      </c>
      <c r="M966" s="179"/>
      <c r="N966" s="179"/>
      <c r="O966" s="52"/>
      <c r="P966" s="179" t="s">
        <v>22</v>
      </c>
      <c r="Q966" s="179"/>
      <c r="R966" s="179"/>
      <c r="S966" s="179" t="s">
        <v>1824</v>
      </c>
      <c r="T966" s="54"/>
      <c r="U966" s="179"/>
    </row>
    <row r="967" spans="1:21" ht="89.25">
      <c r="A967" s="6">
        <v>2014</v>
      </c>
      <c r="B967" s="179" t="s">
        <v>4661</v>
      </c>
      <c r="C967" s="112" t="s">
        <v>61</v>
      </c>
      <c r="D967" s="180" t="s">
        <v>1383</v>
      </c>
      <c r="E967" s="180"/>
      <c r="F967" s="179" t="s">
        <v>4662</v>
      </c>
      <c r="G967" s="179" t="s">
        <v>854</v>
      </c>
      <c r="H967" s="186">
        <v>100000</v>
      </c>
      <c r="I967" s="179" t="s">
        <v>4663</v>
      </c>
      <c r="J967" s="180" t="s">
        <v>1916</v>
      </c>
      <c r="K967" s="143" t="s">
        <v>82</v>
      </c>
      <c r="L967" s="179" t="s">
        <v>7741</v>
      </c>
      <c r="M967" s="179"/>
      <c r="N967" s="179"/>
      <c r="O967" s="52"/>
      <c r="P967" s="179" t="s">
        <v>22</v>
      </c>
      <c r="Q967" s="179"/>
      <c r="R967" s="179"/>
      <c r="S967" s="179" t="s">
        <v>1824</v>
      </c>
      <c r="T967" s="54"/>
      <c r="U967" s="54"/>
    </row>
    <row r="968" spans="1:21" ht="51">
      <c r="A968" s="6">
        <v>2014</v>
      </c>
      <c r="B968" s="179" t="s">
        <v>4524</v>
      </c>
      <c r="C968" s="112" t="s">
        <v>61</v>
      </c>
      <c r="D968" s="180" t="s">
        <v>652</v>
      </c>
      <c r="E968" s="180"/>
      <c r="F968" s="179" t="s">
        <v>4664</v>
      </c>
      <c r="G968" s="179" t="s">
        <v>4665</v>
      </c>
      <c r="H968" s="194">
        <v>346753.22</v>
      </c>
      <c r="I968" s="179" t="s">
        <v>4666</v>
      </c>
      <c r="J968" s="180" t="s">
        <v>1828</v>
      </c>
      <c r="K968" s="143" t="s">
        <v>1874</v>
      </c>
      <c r="L968" s="179" t="s">
        <v>7741</v>
      </c>
      <c r="M968" s="179"/>
      <c r="N968" s="179"/>
      <c r="O968" s="52"/>
      <c r="P968" s="179" t="s">
        <v>22</v>
      </c>
      <c r="Q968" s="179"/>
      <c r="R968" s="179"/>
      <c r="S968" s="179" t="s">
        <v>7742</v>
      </c>
      <c r="T968" s="54"/>
      <c r="U968" s="179"/>
    </row>
    <row r="969" spans="1:21" ht="38.25">
      <c r="A969" s="6">
        <v>2014</v>
      </c>
      <c r="B969" s="179" t="s">
        <v>4527</v>
      </c>
      <c r="C969" s="112" t="s">
        <v>61</v>
      </c>
      <c r="D969" s="180" t="s">
        <v>1383</v>
      </c>
      <c r="E969" s="180"/>
      <c r="F969" s="179" t="s">
        <v>4667</v>
      </c>
      <c r="G969" s="179" t="s">
        <v>854</v>
      </c>
      <c r="H969" s="186">
        <v>100000</v>
      </c>
      <c r="I969" s="179" t="s">
        <v>4668</v>
      </c>
      <c r="J969" s="180" t="s">
        <v>2051</v>
      </c>
      <c r="K969" s="143" t="s">
        <v>82</v>
      </c>
      <c r="L969" s="179" t="s">
        <v>6064</v>
      </c>
      <c r="M969" s="179"/>
      <c r="N969" s="179"/>
      <c r="O969" s="52"/>
      <c r="P969" s="179" t="s">
        <v>22</v>
      </c>
      <c r="Q969" s="179"/>
      <c r="R969" s="179"/>
      <c r="S969" s="179"/>
      <c r="T969" s="54"/>
      <c r="U969" s="54"/>
    </row>
    <row r="970" spans="1:21" ht="38.25">
      <c r="A970" s="6">
        <v>2014</v>
      </c>
      <c r="B970" s="179" t="s">
        <v>4530</v>
      </c>
      <c r="C970" s="112" t="s">
        <v>61</v>
      </c>
      <c r="D970" s="180" t="s">
        <v>1141</v>
      </c>
      <c r="E970" s="180"/>
      <c r="F970" s="179" t="s">
        <v>4669</v>
      </c>
      <c r="G970" s="179" t="s">
        <v>4670</v>
      </c>
      <c r="H970" s="792">
        <v>96889</v>
      </c>
      <c r="I970" s="179" t="s">
        <v>4671</v>
      </c>
      <c r="J970" s="180" t="s">
        <v>1919</v>
      </c>
      <c r="K970" s="143" t="s">
        <v>1904</v>
      </c>
      <c r="L970" s="179" t="s">
        <v>6364</v>
      </c>
      <c r="M970" s="179"/>
      <c r="N970" s="179"/>
      <c r="O970" s="52"/>
      <c r="P970" s="179" t="s">
        <v>22</v>
      </c>
      <c r="Q970" s="179"/>
      <c r="R970" s="179"/>
      <c r="S970" s="179" t="s">
        <v>7743</v>
      </c>
      <c r="T970" s="54"/>
      <c r="U970" s="179"/>
    </row>
    <row r="971" spans="1:21" ht="25.5">
      <c r="A971" s="6">
        <v>2014</v>
      </c>
      <c r="B971" s="179" t="s">
        <v>4532</v>
      </c>
      <c r="C971" s="112" t="s">
        <v>61</v>
      </c>
      <c r="D971" s="180" t="s">
        <v>1383</v>
      </c>
      <c r="E971" s="180"/>
      <c r="F971" s="179" t="s">
        <v>4672</v>
      </c>
      <c r="G971" s="179" t="s">
        <v>4673</v>
      </c>
      <c r="H971" s="186">
        <v>67600</v>
      </c>
      <c r="I971" s="179" t="s">
        <v>3417</v>
      </c>
      <c r="J971" s="180" t="s">
        <v>1828</v>
      </c>
      <c r="K971" s="143" t="s">
        <v>82</v>
      </c>
      <c r="L971" s="179" t="s">
        <v>6064</v>
      </c>
      <c r="M971" s="179"/>
      <c r="N971" s="179"/>
      <c r="O971" s="52"/>
      <c r="P971" s="179" t="s">
        <v>22</v>
      </c>
      <c r="Q971" s="179"/>
      <c r="R971" s="179"/>
      <c r="S971" s="179" t="s">
        <v>7745</v>
      </c>
      <c r="T971" s="54"/>
      <c r="U971" s="54"/>
    </row>
    <row r="972" spans="1:21" ht="51">
      <c r="A972" s="6">
        <v>2014</v>
      </c>
      <c r="B972" s="179" t="s">
        <v>4535</v>
      </c>
      <c r="C972" s="112" t="s">
        <v>61</v>
      </c>
      <c r="D972" s="191" t="s">
        <v>3092</v>
      </c>
      <c r="E972" s="191"/>
      <c r="F972" s="179" t="s">
        <v>4674</v>
      </c>
      <c r="G972" s="179" t="s">
        <v>4675</v>
      </c>
      <c r="H972" s="194">
        <v>64800</v>
      </c>
      <c r="I972" s="179" t="s">
        <v>4676</v>
      </c>
      <c r="J972" s="180" t="s">
        <v>1828</v>
      </c>
      <c r="K972" s="143" t="s">
        <v>1904</v>
      </c>
      <c r="L972" s="179" t="s">
        <v>6364</v>
      </c>
      <c r="M972" s="179"/>
      <c r="N972" s="179"/>
      <c r="O972" s="52"/>
      <c r="P972" s="179" t="s">
        <v>22</v>
      </c>
      <c r="Q972" s="179"/>
      <c r="R972" s="179"/>
      <c r="S972" s="179" t="s">
        <v>7745</v>
      </c>
      <c r="T972" s="54"/>
      <c r="U972" s="179"/>
    </row>
    <row r="973" spans="1:21" ht="51">
      <c r="A973" s="6">
        <v>2014</v>
      </c>
      <c r="B973" s="179" t="s">
        <v>4539</v>
      </c>
      <c r="C973" s="112" t="s">
        <v>61</v>
      </c>
      <c r="D973" s="191" t="s">
        <v>3092</v>
      </c>
      <c r="E973" s="191"/>
      <c r="F973" s="179" t="s">
        <v>4677</v>
      </c>
      <c r="G973" s="179" t="s">
        <v>4675</v>
      </c>
      <c r="H973" s="194">
        <v>99600</v>
      </c>
      <c r="I973" s="179" t="s">
        <v>4676</v>
      </c>
      <c r="J973" s="180" t="s">
        <v>1828</v>
      </c>
      <c r="K973" s="143" t="s">
        <v>1904</v>
      </c>
      <c r="L973" s="179" t="s">
        <v>6364</v>
      </c>
      <c r="M973" s="179"/>
      <c r="N973" s="179"/>
      <c r="O973" s="52"/>
      <c r="P973" s="179" t="s">
        <v>22</v>
      </c>
      <c r="Q973" s="179"/>
      <c r="R973" s="179"/>
      <c r="S973" s="179" t="s">
        <v>7745</v>
      </c>
      <c r="T973" s="54"/>
      <c r="U973" s="179"/>
    </row>
    <row r="974" spans="1:21" ht="51">
      <c r="A974" s="6">
        <v>2014</v>
      </c>
      <c r="B974" s="179" t="s">
        <v>4678</v>
      </c>
      <c r="C974" s="112" t="s">
        <v>61</v>
      </c>
      <c r="D974" s="191" t="s">
        <v>3092</v>
      </c>
      <c r="E974" s="191"/>
      <c r="F974" s="179" t="s">
        <v>4679</v>
      </c>
      <c r="G974" s="179" t="s">
        <v>4675</v>
      </c>
      <c r="H974" s="194">
        <v>48000</v>
      </c>
      <c r="I974" s="179" t="s">
        <v>4676</v>
      </c>
      <c r="J974" s="180" t="s">
        <v>1828</v>
      </c>
      <c r="K974" s="143" t="s">
        <v>1904</v>
      </c>
      <c r="L974" s="179" t="s">
        <v>6364</v>
      </c>
      <c r="M974" s="179"/>
      <c r="N974" s="179"/>
      <c r="O974" s="52"/>
      <c r="P974" s="179" t="s">
        <v>22</v>
      </c>
      <c r="Q974" s="179"/>
      <c r="R974" s="179"/>
      <c r="S974" s="179" t="s">
        <v>7745</v>
      </c>
      <c r="T974" s="54"/>
      <c r="U974" s="179"/>
    </row>
    <row r="975" spans="1:21" ht="38.25">
      <c r="A975" s="6">
        <v>2014</v>
      </c>
      <c r="B975" s="179" t="s">
        <v>4680</v>
      </c>
      <c r="C975" s="112" t="s">
        <v>61</v>
      </c>
      <c r="D975" s="180" t="s">
        <v>1383</v>
      </c>
      <c r="E975" s="180"/>
      <c r="F975" s="179" t="s">
        <v>4681</v>
      </c>
      <c r="G975" s="179" t="s">
        <v>838</v>
      </c>
      <c r="H975" s="186">
        <v>100000</v>
      </c>
      <c r="I975" s="179" t="s">
        <v>4682</v>
      </c>
      <c r="J975" s="180" t="s">
        <v>1855</v>
      </c>
      <c r="K975" s="143" t="s">
        <v>82</v>
      </c>
      <c r="L975" s="179" t="s">
        <v>6064</v>
      </c>
      <c r="M975" s="179"/>
      <c r="N975" s="179"/>
      <c r="O975" s="52"/>
      <c r="P975" s="179" t="s">
        <v>22</v>
      </c>
      <c r="Q975" s="179"/>
      <c r="R975" s="179"/>
      <c r="S975" s="179" t="s">
        <v>1824</v>
      </c>
      <c r="T975" s="54"/>
      <c r="U975" s="54"/>
    </row>
    <row r="976" spans="1:21" ht="25.5">
      <c r="A976" s="6">
        <v>2014</v>
      </c>
      <c r="B976" s="179" t="s">
        <v>4683</v>
      </c>
      <c r="C976" s="112" t="s">
        <v>61</v>
      </c>
      <c r="D976" s="22" t="s">
        <v>113</v>
      </c>
      <c r="E976" s="22"/>
      <c r="F976" s="179" t="s">
        <v>4684</v>
      </c>
      <c r="G976" s="179" t="s">
        <v>575</v>
      </c>
      <c r="H976" s="194">
        <v>37000</v>
      </c>
      <c r="I976" s="179" t="s">
        <v>1938</v>
      </c>
      <c r="J976" s="180" t="s">
        <v>1828</v>
      </c>
      <c r="K976" s="143" t="s">
        <v>611</v>
      </c>
      <c r="L976" s="179" t="s">
        <v>6064</v>
      </c>
      <c r="M976" s="179"/>
      <c r="N976" s="179"/>
      <c r="O976" s="52"/>
      <c r="P976" s="179" t="s">
        <v>22</v>
      </c>
      <c r="Q976" s="179"/>
      <c r="R976" s="179"/>
      <c r="S976" s="179" t="s">
        <v>1824</v>
      </c>
      <c r="T976" s="54"/>
      <c r="U976" s="179"/>
    </row>
    <row r="977" spans="1:21" ht="25.5">
      <c r="A977" s="6">
        <v>2014</v>
      </c>
      <c r="B977" s="179" t="s">
        <v>4685</v>
      </c>
      <c r="C977" s="112" t="s">
        <v>61</v>
      </c>
      <c r="D977" s="180" t="s">
        <v>394</v>
      </c>
      <c r="E977" s="180"/>
      <c r="F977" s="179" t="s">
        <v>4686</v>
      </c>
      <c r="G977" s="179" t="s">
        <v>1346</v>
      </c>
      <c r="H977" s="791">
        <v>55600</v>
      </c>
      <c r="I977" s="179" t="s">
        <v>1938</v>
      </c>
      <c r="J977" s="143" t="s">
        <v>5924</v>
      </c>
      <c r="K977" s="180" t="s">
        <v>1853</v>
      </c>
      <c r="L977" s="179" t="s">
        <v>7741</v>
      </c>
      <c r="M977" s="179"/>
      <c r="N977" s="179"/>
      <c r="O977" s="52"/>
      <c r="P977" s="179" t="s">
        <v>22</v>
      </c>
      <c r="Q977" s="179"/>
      <c r="R977" s="179"/>
      <c r="S977" s="179" t="s">
        <v>7747</v>
      </c>
      <c r="T977" s="54"/>
      <c r="U977" s="179"/>
    </row>
    <row r="978" spans="1:21" ht="25.5">
      <c r="A978" s="6">
        <v>2014</v>
      </c>
      <c r="B978" s="179" t="s">
        <v>4547</v>
      </c>
      <c r="C978" s="112" t="s">
        <v>61</v>
      </c>
      <c r="D978" s="180" t="s">
        <v>394</v>
      </c>
      <c r="E978" s="180"/>
      <c r="F978" s="179" t="s">
        <v>4687</v>
      </c>
      <c r="G978" s="179" t="s">
        <v>1593</v>
      </c>
      <c r="H978" s="791">
        <v>28000</v>
      </c>
      <c r="I978" s="179" t="s">
        <v>4688</v>
      </c>
      <c r="J978" s="180" t="s">
        <v>1899</v>
      </c>
      <c r="K978" s="180" t="s">
        <v>1853</v>
      </c>
      <c r="L978" s="179" t="s">
        <v>7741</v>
      </c>
      <c r="M978" s="179"/>
      <c r="N978" s="179"/>
      <c r="O978" s="52"/>
      <c r="P978" s="179" t="s">
        <v>22</v>
      </c>
      <c r="Q978" s="179"/>
      <c r="R978" s="179"/>
      <c r="S978" s="179" t="s">
        <v>7747</v>
      </c>
      <c r="T978" s="54"/>
      <c r="U978" s="179"/>
    </row>
    <row r="979" spans="1:21" ht="25.5">
      <c r="A979" s="6">
        <v>2014</v>
      </c>
      <c r="B979" s="179" t="s">
        <v>4689</v>
      </c>
      <c r="C979" s="112" t="s">
        <v>61</v>
      </c>
      <c r="D979" s="180" t="s">
        <v>394</v>
      </c>
      <c r="E979" s="180"/>
      <c r="F979" s="179" t="s">
        <v>4690</v>
      </c>
      <c r="G979" s="179" t="s">
        <v>1605</v>
      </c>
      <c r="H979" s="791">
        <v>34000</v>
      </c>
      <c r="I979" s="179" t="s">
        <v>4691</v>
      </c>
      <c r="J979" s="180" t="s">
        <v>1919</v>
      </c>
      <c r="K979" s="180" t="s">
        <v>1853</v>
      </c>
      <c r="L979" s="179" t="s">
        <v>7741</v>
      </c>
      <c r="M979" s="179"/>
      <c r="N979" s="179"/>
      <c r="O979" s="52"/>
      <c r="P979" s="179" t="s">
        <v>22</v>
      </c>
      <c r="Q979" s="179"/>
      <c r="R979" s="179"/>
      <c r="S979" s="179" t="s">
        <v>7747</v>
      </c>
      <c r="T979" s="54"/>
      <c r="U979" s="179"/>
    </row>
    <row r="980" spans="1:21" ht="25.5">
      <c r="A980" s="6">
        <v>2014</v>
      </c>
      <c r="B980" s="179" t="s">
        <v>4692</v>
      </c>
      <c r="C980" s="112" t="s">
        <v>61</v>
      </c>
      <c r="D980" s="180" t="s">
        <v>394</v>
      </c>
      <c r="E980" s="180"/>
      <c r="F980" s="179" t="s">
        <v>4693</v>
      </c>
      <c r="G980" s="179" t="s">
        <v>1605</v>
      </c>
      <c r="H980" s="791">
        <v>26000</v>
      </c>
      <c r="I980" s="179" t="s">
        <v>4694</v>
      </c>
      <c r="J980" s="180" t="s">
        <v>1919</v>
      </c>
      <c r="K980" s="180" t="s">
        <v>1853</v>
      </c>
      <c r="L980" s="179" t="s">
        <v>7741</v>
      </c>
      <c r="M980" s="179"/>
      <c r="N980" s="179"/>
      <c r="O980" s="52"/>
      <c r="P980" s="179" t="s">
        <v>22</v>
      </c>
      <c r="Q980" s="179"/>
      <c r="R980" s="179"/>
      <c r="S980" s="179" t="s">
        <v>7747</v>
      </c>
      <c r="T980" s="54"/>
      <c r="U980" s="179"/>
    </row>
    <row r="981" spans="1:21" ht="63.75">
      <c r="A981" s="6">
        <v>2014</v>
      </c>
      <c r="B981" s="179" t="s">
        <v>4695</v>
      </c>
      <c r="C981" s="112" t="s">
        <v>61</v>
      </c>
      <c r="D981" s="180" t="s">
        <v>2724</v>
      </c>
      <c r="E981" s="180"/>
      <c r="F981" s="179" t="s">
        <v>4696</v>
      </c>
      <c r="G981" s="179" t="s">
        <v>1605</v>
      </c>
      <c r="H981" s="194">
        <v>68045.67</v>
      </c>
      <c r="I981" s="179" t="s">
        <v>4697</v>
      </c>
      <c r="J981" s="180" t="s">
        <v>1855</v>
      </c>
      <c r="K981" s="143" t="s">
        <v>1874</v>
      </c>
      <c r="L981" s="179" t="s">
        <v>6364</v>
      </c>
      <c r="M981" s="179"/>
      <c r="N981" s="179"/>
      <c r="O981" s="52"/>
      <c r="P981" s="179" t="s">
        <v>22</v>
      </c>
      <c r="Q981" s="179"/>
      <c r="R981" s="179"/>
      <c r="S981" s="179" t="s">
        <v>7747</v>
      </c>
      <c r="T981" s="54"/>
      <c r="U981" s="179"/>
    </row>
    <row r="982" spans="1:21" ht="25.5">
      <c r="A982" s="6">
        <v>2014</v>
      </c>
      <c r="B982" s="179" t="s">
        <v>4559</v>
      </c>
      <c r="C982" s="112" t="s">
        <v>61</v>
      </c>
      <c r="D982" s="180" t="s">
        <v>1383</v>
      </c>
      <c r="E982" s="180"/>
      <c r="F982" s="179" t="s">
        <v>4698</v>
      </c>
      <c r="G982" s="179" t="s">
        <v>4699</v>
      </c>
      <c r="H982" s="186">
        <v>100000</v>
      </c>
      <c r="I982" s="179" t="s">
        <v>1938</v>
      </c>
      <c r="J982" s="180" t="s">
        <v>1828</v>
      </c>
      <c r="K982" s="143" t="s">
        <v>82</v>
      </c>
      <c r="L982" s="179" t="s">
        <v>6064</v>
      </c>
      <c r="M982" s="179"/>
      <c r="N982" s="179"/>
      <c r="O982" s="52"/>
      <c r="P982" s="179" t="s">
        <v>22</v>
      </c>
      <c r="Q982" s="179"/>
      <c r="R982" s="179"/>
      <c r="S982" s="179" t="s">
        <v>7747</v>
      </c>
      <c r="T982" s="54"/>
      <c r="U982" s="54"/>
    </row>
    <row r="983" spans="1:21" ht="38.25">
      <c r="A983" s="6">
        <v>2014</v>
      </c>
      <c r="B983" s="179" t="s">
        <v>4700</v>
      </c>
      <c r="C983" s="112" t="s">
        <v>61</v>
      </c>
      <c r="D983" s="180" t="s">
        <v>1763</v>
      </c>
      <c r="E983" s="180"/>
      <c r="F983" s="179" t="s">
        <v>4701</v>
      </c>
      <c r="G983" s="179" t="s">
        <v>4702</v>
      </c>
      <c r="H983" s="194">
        <v>7800</v>
      </c>
      <c r="I983" s="179" t="s">
        <v>1938</v>
      </c>
      <c r="J983" s="180" t="s">
        <v>1828</v>
      </c>
      <c r="K983" s="143" t="s">
        <v>82</v>
      </c>
      <c r="L983" s="179" t="s">
        <v>6064</v>
      </c>
      <c r="M983" s="179"/>
      <c r="N983" s="179"/>
      <c r="O983" s="52"/>
      <c r="P983" s="179" t="s">
        <v>6179</v>
      </c>
      <c r="Q983" s="179"/>
      <c r="R983" s="179"/>
      <c r="S983" s="179" t="s">
        <v>7747</v>
      </c>
      <c r="T983" s="54"/>
      <c r="U983" s="179"/>
    </row>
    <row r="984" spans="1:21" ht="102">
      <c r="A984" s="6">
        <v>2014</v>
      </c>
      <c r="B984" s="179" t="s">
        <v>4703</v>
      </c>
      <c r="C984" s="112" t="s">
        <v>61</v>
      </c>
      <c r="D984" s="180" t="s">
        <v>3168</v>
      </c>
      <c r="E984" s="180"/>
      <c r="F984" s="179" t="s">
        <v>4704</v>
      </c>
      <c r="G984" s="179" t="s">
        <v>4705</v>
      </c>
      <c r="H984" s="194">
        <v>50000</v>
      </c>
      <c r="I984" s="179" t="s">
        <v>4706</v>
      </c>
      <c r="J984" s="180" t="s">
        <v>1828</v>
      </c>
      <c r="K984" s="143" t="s">
        <v>82</v>
      </c>
      <c r="L984" s="179" t="s">
        <v>7741</v>
      </c>
      <c r="M984" s="179"/>
      <c r="N984" s="179"/>
      <c r="O984" s="52"/>
      <c r="P984" s="179" t="s">
        <v>22</v>
      </c>
      <c r="Q984" s="179"/>
      <c r="R984" s="179"/>
      <c r="S984" s="179" t="s">
        <v>7743</v>
      </c>
      <c r="T984" s="54"/>
      <c r="U984" s="179"/>
    </row>
    <row r="985" spans="1:21" ht="25.5">
      <c r="A985" s="6">
        <v>2014</v>
      </c>
      <c r="B985" s="179" t="s">
        <v>4707</v>
      </c>
      <c r="C985" s="112" t="s">
        <v>61</v>
      </c>
      <c r="D985" s="22" t="s">
        <v>113</v>
      </c>
      <c r="E985" s="22"/>
      <c r="F985" s="179" t="s">
        <v>4708</v>
      </c>
      <c r="G985" s="179" t="s">
        <v>575</v>
      </c>
      <c r="H985" s="194">
        <v>38500</v>
      </c>
      <c r="I985" s="179" t="s">
        <v>1938</v>
      </c>
      <c r="J985" s="180" t="s">
        <v>1828</v>
      </c>
      <c r="K985" s="143" t="s">
        <v>82</v>
      </c>
      <c r="L985" s="179" t="s">
        <v>6064</v>
      </c>
      <c r="M985" s="179"/>
      <c r="N985" s="179"/>
      <c r="O985" s="52"/>
      <c r="P985" s="179"/>
      <c r="Q985" s="179"/>
      <c r="R985" s="179"/>
      <c r="S985" s="179" t="s">
        <v>1824</v>
      </c>
      <c r="T985" s="54"/>
      <c r="U985" s="179"/>
    </row>
    <row r="986" spans="1:21" ht="25.5">
      <c r="A986" s="6">
        <v>2014</v>
      </c>
      <c r="B986" s="179" t="s">
        <v>4709</v>
      </c>
      <c r="C986" s="112" t="s">
        <v>61</v>
      </c>
      <c r="D986" s="180" t="s">
        <v>1763</v>
      </c>
      <c r="E986" s="180"/>
      <c r="F986" s="179" t="s">
        <v>4710</v>
      </c>
      <c r="G986" s="179" t="s">
        <v>4711</v>
      </c>
      <c r="H986" s="194">
        <v>26000</v>
      </c>
      <c r="I986" s="179" t="s">
        <v>1938</v>
      </c>
      <c r="J986" s="180" t="s">
        <v>1828</v>
      </c>
      <c r="K986" s="143" t="s">
        <v>82</v>
      </c>
      <c r="L986" s="179" t="s">
        <v>6064</v>
      </c>
      <c r="M986" s="179"/>
      <c r="N986" s="179"/>
      <c r="O986" s="52"/>
      <c r="P986" s="179" t="s">
        <v>6179</v>
      </c>
      <c r="Q986" s="179"/>
      <c r="R986" s="179"/>
      <c r="S986" s="179" t="s">
        <v>7747</v>
      </c>
      <c r="T986" s="54"/>
      <c r="U986" s="179"/>
    </row>
    <row r="987" spans="1:21" ht="12.75">
      <c r="A987" s="6">
        <v>2014</v>
      </c>
      <c r="B987" s="179" t="s">
        <v>4567</v>
      </c>
      <c r="C987" s="112" t="s">
        <v>61</v>
      </c>
      <c r="D987" s="180" t="s">
        <v>1763</v>
      </c>
      <c r="E987" s="180"/>
      <c r="F987" s="179" t="s">
        <v>4712</v>
      </c>
      <c r="G987" s="179" t="s">
        <v>4713</v>
      </c>
      <c r="H987" s="194">
        <v>46500</v>
      </c>
      <c r="I987" s="179" t="s">
        <v>1938</v>
      </c>
      <c r="J987" s="180" t="s">
        <v>1828</v>
      </c>
      <c r="K987" s="143" t="s">
        <v>82</v>
      </c>
      <c r="L987" s="179" t="s">
        <v>6064</v>
      </c>
      <c r="M987" s="179"/>
      <c r="N987" s="179"/>
      <c r="O987" s="52"/>
      <c r="P987" s="179" t="s">
        <v>6132</v>
      </c>
      <c r="Q987" s="179"/>
      <c r="R987" s="179"/>
      <c r="S987" s="179" t="s">
        <v>7747</v>
      </c>
      <c r="T987" s="54"/>
      <c r="U987" s="179"/>
    </row>
    <row r="988" spans="1:21" ht="25.5">
      <c r="A988" s="6">
        <v>2014</v>
      </c>
      <c r="B988" s="179" t="s">
        <v>4714</v>
      </c>
      <c r="C988" s="112" t="s">
        <v>61</v>
      </c>
      <c r="D988" s="180" t="s">
        <v>3168</v>
      </c>
      <c r="E988" s="180"/>
      <c r="F988" s="179" t="s">
        <v>4715</v>
      </c>
      <c r="G988" s="179" t="s">
        <v>4716</v>
      </c>
      <c r="H988" s="194">
        <v>55000</v>
      </c>
      <c r="I988" s="179" t="s">
        <v>4717</v>
      </c>
      <c r="J988" s="180" t="s">
        <v>1828</v>
      </c>
      <c r="K988" s="143" t="s">
        <v>82</v>
      </c>
      <c r="L988" s="179" t="s">
        <v>7741</v>
      </c>
      <c r="M988" s="179"/>
      <c r="N988" s="179"/>
      <c r="O988" s="52"/>
      <c r="P988" s="179" t="s">
        <v>22</v>
      </c>
      <c r="Q988" s="179"/>
      <c r="R988" s="179"/>
      <c r="S988" s="179" t="s">
        <v>7743</v>
      </c>
      <c r="T988" s="54"/>
      <c r="U988" s="179"/>
    </row>
    <row r="989" spans="1:21" ht="63.75">
      <c r="A989" s="54"/>
      <c r="B989" s="179" t="s">
        <v>7750</v>
      </c>
      <c r="C989" s="53" t="s">
        <v>2328</v>
      </c>
      <c r="D989" s="54" t="s">
        <v>12077</v>
      </c>
      <c r="E989" s="54"/>
      <c r="F989" s="179" t="s">
        <v>7751</v>
      </c>
      <c r="G989" s="179" t="s">
        <v>7752</v>
      </c>
      <c r="H989" s="194"/>
      <c r="I989" s="179" t="s">
        <v>7753</v>
      </c>
      <c r="J989" s="53" t="s">
        <v>7615</v>
      </c>
      <c r="K989" s="52" t="s">
        <v>2412</v>
      </c>
      <c r="L989" s="179" t="s">
        <v>6364</v>
      </c>
      <c r="M989" s="179"/>
      <c r="N989" s="179"/>
      <c r="O989" s="52"/>
      <c r="P989" s="179" t="s">
        <v>6132</v>
      </c>
      <c r="Q989" s="179"/>
      <c r="R989" s="179"/>
      <c r="S989" s="179" t="s">
        <v>7743</v>
      </c>
      <c r="T989" s="54"/>
      <c r="U989" s="179"/>
    </row>
    <row r="990" spans="1:21" ht="38.25">
      <c r="A990" s="6">
        <v>2014</v>
      </c>
      <c r="B990" s="179" t="s">
        <v>4718</v>
      </c>
      <c r="C990" s="112" t="s">
        <v>61</v>
      </c>
      <c r="D990" s="180" t="s">
        <v>652</v>
      </c>
      <c r="E990" s="180"/>
      <c r="F990" s="179" t="s">
        <v>4719</v>
      </c>
      <c r="G990" s="179" t="s">
        <v>4720</v>
      </c>
      <c r="H990" s="194">
        <v>100000</v>
      </c>
      <c r="I990" s="179" t="s">
        <v>4721</v>
      </c>
      <c r="J990" s="180" t="s">
        <v>1828</v>
      </c>
      <c r="K990" s="143" t="s">
        <v>1874</v>
      </c>
      <c r="L990" s="179" t="s">
        <v>6092</v>
      </c>
      <c r="M990" s="179"/>
      <c r="N990" s="179"/>
      <c r="O990" s="52"/>
      <c r="P990" s="179" t="s">
        <v>6132</v>
      </c>
      <c r="Q990" s="179"/>
      <c r="R990" s="179"/>
      <c r="S990" s="179" t="s">
        <v>7742</v>
      </c>
      <c r="T990" s="54"/>
      <c r="U990" s="179"/>
    </row>
    <row r="991" spans="1:21" ht="25.5">
      <c r="A991" s="6">
        <v>2014</v>
      </c>
      <c r="B991" s="179" t="s">
        <v>4574</v>
      </c>
      <c r="C991" s="112" t="s">
        <v>61</v>
      </c>
      <c r="D991" s="180" t="s">
        <v>1383</v>
      </c>
      <c r="E991" s="180"/>
      <c r="F991" s="179" t="s">
        <v>4722</v>
      </c>
      <c r="G991" s="179" t="s">
        <v>4723</v>
      </c>
      <c r="H991" s="186">
        <v>106960</v>
      </c>
      <c r="I991" s="179"/>
      <c r="J991" s="180" t="s">
        <v>1828</v>
      </c>
      <c r="K991" s="143" t="s">
        <v>82</v>
      </c>
      <c r="L991" s="179" t="s">
        <v>6064</v>
      </c>
      <c r="M991" s="179"/>
      <c r="N991" s="179"/>
      <c r="O991" s="52"/>
      <c r="P991" s="179" t="s">
        <v>12085</v>
      </c>
      <c r="Q991" s="179"/>
      <c r="R991" s="179"/>
      <c r="S991" s="179" t="s">
        <v>7742</v>
      </c>
      <c r="T991" s="54"/>
      <c r="U991" s="6"/>
    </row>
    <row r="992" spans="1:21" ht="140.25">
      <c r="A992" s="6">
        <v>2013</v>
      </c>
      <c r="B992" s="185">
        <v>41275</v>
      </c>
      <c r="C992" s="112" t="s">
        <v>3096</v>
      </c>
      <c r="D992" s="191"/>
      <c r="E992" s="191"/>
      <c r="F992" s="178" t="s">
        <v>4724</v>
      </c>
      <c r="G992" s="178" t="s">
        <v>4725</v>
      </c>
      <c r="H992" s="194">
        <v>400000</v>
      </c>
      <c r="I992" s="187" t="s">
        <v>4726</v>
      </c>
      <c r="J992" s="179" t="s">
        <v>1828</v>
      </c>
      <c r="K992" s="52"/>
      <c r="L992" s="179" t="s">
        <v>1824</v>
      </c>
      <c r="M992" s="784">
        <v>41339</v>
      </c>
      <c r="N992" s="180" t="s">
        <v>12086</v>
      </c>
      <c r="O992" s="52"/>
      <c r="P992" s="179"/>
      <c r="Q992" s="179"/>
      <c r="R992" s="179"/>
      <c r="S992" s="179"/>
      <c r="T992" s="54"/>
      <c r="U992" s="187"/>
    </row>
    <row r="993" spans="1:21" ht="76.5">
      <c r="A993" s="6">
        <v>2013</v>
      </c>
      <c r="B993" s="185">
        <v>41334</v>
      </c>
      <c r="C993" s="112" t="s">
        <v>61</v>
      </c>
      <c r="D993" s="191" t="s">
        <v>3092</v>
      </c>
      <c r="E993" s="191"/>
      <c r="F993" s="179" t="s">
        <v>4727</v>
      </c>
      <c r="G993" s="179" t="s">
        <v>4728</v>
      </c>
      <c r="H993" s="194">
        <v>386800</v>
      </c>
      <c r="I993" s="201" t="s">
        <v>4729</v>
      </c>
      <c r="J993" s="180" t="s">
        <v>1919</v>
      </c>
      <c r="K993" s="143" t="s">
        <v>1904</v>
      </c>
      <c r="L993" s="179" t="s">
        <v>6137</v>
      </c>
      <c r="M993" s="179"/>
      <c r="N993" s="179"/>
      <c r="O993" s="52"/>
      <c r="P993" s="179" t="s">
        <v>22</v>
      </c>
      <c r="Q993" s="179"/>
      <c r="R993" s="179"/>
      <c r="S993" s="179"/>
      <c r="T993" s="179" t="s">
        <v>7758</v>
      </c>
      <c r="U993" s="201"/>
    </row>
    <row r="994" spans="1:21" ht="25.5">
      <c r="A994" s="6">
        <v>2013</v>
      </c>
      <c r="B994" s="185">
        <v>41426</v>
      </c>
      <c r="C994" s="112" t="s">
        <v>61</v>
      </c>
      <c r="D994" s="180" t="s">
        <v>1383</v>
      </c>
      <c r="E994" s="180"/>
      <c r="F994" s="179" t="s">
        <v>4730</v>
      </c>
      <c r="G994" s="189" t="s">
        <v>1473</v>
      </c>
      <c r="H994" s="186">
        <v>321500</v>
      </c>
      <c r="I994" s="187" t="s">
        <v>2837</v>
      </c>
      <c r="J994" s="180" t="s">
        <v>2472</v>
      </c>
      <c r="K994" s="143" t="s">
        <v>82</v>
      </c>
      <c r="L994" s="179" t="s">
        <v>1824</v>
      </c>
      <c r="M994" s="179"/>
      <c r="N994" s="179"/>
      <c r="O994" s="52"/>
      <c r="P994" s="179"/>
      <c r="Q994" s="179"/>
      <c r="R994" s="179"/>
      <c r="S994" s="179"/>
      <c r="T994" s="54"/>
      <c r="U994" s="54"/>
    </row>
    <row r="995" spans="1:21" ht="38.25">
      <c r="A995" s="6">
        <v>2013</v>
      </c>
      <c r="B995" s="185">
        <v>41456</v>
      </c>
      <c r="C995" s="112" t="s">
        <v>61</v>
      </c>
      <c r="D995" s="180" t="s">
        <v>1383</v>
      </c>
      <c r="E995" s="180"/>
      <c r="F995" s="179" t="s">
        <v>4731</v>
      </c>
      <c r="G995" s="179" t="s">
        <v>1680</v>
      </c>
      <c r="H995" s="186">
        <v>450000</v>
      </c>
      <c r="I995" s="187" t="s">
        <v>4732</v>
      </c>
      <c r="J995" s="180" t="s">
        <v>2659</v>
      </c>
      <c r="K995" s="143" t="s">
        <v>82</v>
      </c>
      <c r="L995" s="179" t="s">
        <v>1824</v>
      </c>
      <c r="M995" s="179"/>
      <c r="N995" s="179"/>
      <c r="O995" s="52"/>
      <c r="P995" s="179"/>
      <c r="Q995" s="179"/>
      <c r="R995" s="179"/>
      <c r="S995" s="179"/>
      <c r="T995" s="54"/>
      <c r="U995" s="54"/>
    </row>
    <row r="996" spans="1:21" ht="25.5">
      <c r="A996" s="6">
        <v>2013</v>
      </c>
      <c r="B996" s="185">
        <v>41487</v>
      </c>
      <c r="C996" s="112" t="s">
        <v>61</v>
      </c>
      <c r="D996" s="180" t="s">
        <v>1383</v>
      </c>
      <c r="E996" s="180"/>
      <c r="F996" s="179" t="s">
        <v>4733</v>
      </c>
      <c r="G996" s="179" t="s">
        <v>1680</v>
      </c>
      <c r="H996" s="186">
        <v>426000</v>
      </c>
      <c r="I996" s="187" t="s">
        <v>4734</v>
      </c>
      <c r="J996" s="180" t="s">
        <v>1879</v>
      </c>
      <c r="K996" s="143" t="s">
        <v>82</v>
      </c>
      <c r="L996" s="179" t="s">
        <v>1824</v>
      </c>
      <c r="M996" s="179"/>
      <c r="N996" s="179"/>
      <c r="O996" s="52"/>
      <c r="P996" s="179"/>
      <c r="Q996" s="179"/>
      <c r="R996" s="179"/>
      <c r="S996" s="179"/>
      <c r="T996" s="54"/>
      <c r="U996" s="54"/>
    </row>
    <row r="997" spans="1:21" ht="102">
      <c r="A997" s="6">
        <v>2013</v>
      </c>
      <c r="B997" s="185">
        <v>41518</v>
      </c>
      <c r="C997" s="112" t="s">
        <v>61</v>
      </c>
      <c r="D997" s="180" t="s">
        <v>1383</v>
      </c>
      <c r="E997" s="180"/>
      <c r="F997" s="179" t="s">
        <v>4735</v>
      </c>
      <c r="G997" s="179" t="s">
        <v>4736</v>
      </c>
      <c r="H997" s="186">
        <v>120000</v>
      </c>
      <c r="I997" s="187" t="s">
        <v>4726</v>
      </c>
      <c r="J997" s="180" t="s">
        <v>1828</v>
      </c>
      <c r="K997" s="143" t="s">
        <v>82</v>
      </c>
      <c r="L997" s="179" t="s">
        <v>1824</v>
      </c>
      <c r="M997" s="334">
        <v>41408</v>
      </c>
      <c r="N997" s="180" t="s">
        <v>12087</v>
      </c>
      <c r="O997" s="52"/>
      <c r="P997" s="179"/>
      <c r="Q997" s="179"/>
      <c r="R997" s="179"/>
      <c r="S997" s="179"/>
      <c r="T997" s="54"/>
      <c r="U997" s="190"/>
    </row>
    <row r="998" spans="1:21" ht="51">
      <c r="A998" s="6">
        <v>2013</v>
      </c>
      <c r="B998" s="192">
        <v>41548</v>
      </c>
      <c r="C998" s="112" t="s">
        <v>61</v>
      </c>
      <c r="D998" s="180" t="s">
        <v>652</v>
      </c>
      <c r="E998" s="180"/>
      <c r="F998" s="179" t="s">
        <v>4737</v>
      </c>
      <c r="G998" s="179" t="s">
        <v>4738</v>
      </c>
      <c r="H998" s="194">
        <v>613088.85</v>
      </c>
      <c r="I998" s="187" t="s">
        <v>4739</v>
      </c>
      <c r="J998" s="180" t="s">
        <v>2130</v>
      </c>
      <c r="K998" s="143" t="s">
        <v>1874</v>
      </c>
      <c r="L998" s="179"/>
      <c r="M998" s="179"/>
      <c r="N998" s="179"/>
      <c r="O998" s="52"/>
      <c r="P998" s="179" t="s">
        <v>6132</v>
      </c>
      <c r="Q998" s="179"/>
      <c r="R998" s="179"/>
      <c r="S998" s="179"/>
      <c r="T998" s="179" t="s">
        <v>7765</v>
      </c>
      <c r="U998" s="187"/>
    </row>
    <row r="999" spans="1:21" ht="38.25">
      <c r="A999" s="6">
        <v>2013</v>
      </c>
      <c r="B999" s="185">
        <v>41579</v>
      </c>
      <c r="C999" s="112" t="s">
        <v>61</v>
      </c>
      <c r="D999" s="22" t="s">
        <v>62</v>
      </c>
      <c r="E999" s="22"/>
      <c r="F999" s="178" t="s">
        <v>4740</v>
      </c>
      <c r="G999" s="178" t="s">
        <v>4741</v>
      </c>
      <c r="H999" s="799">
        <v>910963.19999999995</v>
      </c>
      <c r="I999" s="187" t="s">
        <v>4742</v>
      </c>
      <c r="J999" s="180" t="s">
        <v>1828</v>
      </c>
      <c r="K999" s="143" t="s">
        <v>1904</v>
      </c>
      <c r="L999" s="179"/>
      <c r="M999" s="178"/>
      <c r="N999" s="179"/>
      <c r="O999" s="52"/>
      <c r="P999" s="179" t="s">
        <v>6179</v>
      </c>
      <c r="Q999" s="179"/>
      <c r="R999" s="179"/>
      <c r="S999" s="179"/>
      <c r="T999" s="54"/>
      <c r="U999" s="187"/>
    </row>
    <row r="1000" spans="1:21" ht="12.75">
      <c r="A1000" s="6">
        <v>2013</v>
      </c>
      <c r="B1000" s="185">
        <v>41609</v>
      </c>
      <c r="C1000" s="112" t="s">
        <v>61</v>
      </c>
      <c r="D1000" s="22" t="s">
        <v>586</v>
      </c>
      <c r="E1000" s="22"/>
      <c r="F1000" s="179" t="s">
        <v>4743</v>
      </c>
      <c r="G1000" s="179" t="s">
        <v>894</v>
      </c>
      <c r="H1000" s="205">
        <v>161640</v>
      </c>
      <c r="I1000" s="187" t="s">
        <v>2508</v>
      </c>
      <c r="J1000" s="180" t="s">
        <v>1828</v>
      </c>
      <c r="K1000" s="143" t="s">
        <v>1874</v>
      </c>
      <c r="L1000" s="179"/>
      <c r="M1000" s="179"/>
      <c r="N1000" s="179"/>
      <c r="O1000" s="52"/>
      <c r="P1000" s="179" t="s">
        <v>6132</v>
      </c>
      <c r="Q1000" s="179"/>
      <c r="R1000" s="179"/>
      <c r="S1000" s="179"/>
      <c r="T1000" s="54"/>
      <c r="U1000" s="187"/>
    </row>
    <row r="1001" spans="1:21" ht="140.25">
      <c r="A1001" s="6">
        <v>2013</v>
      </c>
      <c r="B1001" s="179" t="s">
        <v>4744</v>
      </c>
      <c r="C1001" s="112" t="s">
        <v>61</v>
      </c>
      <c r="D1001" s="22" t="s">
        <v>62</v>
      </c>
      <c r="E1001" s="22"/>
      <c r="F1001" s="179" t="s">
        <v>4745</v>
      </c>
      <c r="G1001" s="179" t="s">
        <v>4746</v>
      </c>
      <c r="H1001" s="800">
        <v>1187443.3600000001</v>
      </c>
      <c r="I1001" s="187" t="s">
        <v>4747</v>
      </c>
      <c r="J1001" s="180" t="s">
        <v>2031</v>
      </c>
      <c r="K1001" s="143" t="s">
        <v>1904</v>
      </c>
      <c r="L1001" s="179" t="s">
        <v>6137</v>
      </c>
      <c r="M1001" s="179"/>
      <c r="N1001" s="179"/>
      <c r="O1001" s="52"/>
      <c r="P1001" s="179" t="s">
        <v>6132</v>
      </c>
      <c r="Q1001" s="179"/>
      <c r="R1001" s="179"/>
      <c r="S1001" s="179"/>
      <c r="T1001" s="54" t="s">
        <v>7771</v>
      </c>
      <c r="U1001" s="187"/>
    </row>
    <row r="1002" spans="1:21" ht="25.5">
      <c r="A1002" s="6">
        <v>2013</v>
      </c>
      <c r="B1002" s="179" t="s">
        <v>4748</v>
      </c>
      <c r="C1002" s="112" t="s">
        <v>61</v>
      </c>
      <c r="D1002" s="180" t="s">
        <v>611</v>
      </c>
      <c r="E1002" s="180"/>
      <c r="F1002" s="179" t="s">
        <v>4749</v>
      </c>
      <c r="G1002" s="179" t="s">
        <v>811</v>
      </c>
      <c r="H1002" s="194">
        <v>91000</v>
      </c>
      <c r="I1002" s="187" t="s">
        <v>4726</v>
      </c>
      <c r="J1002" s="180" t="s">
        <v>1828</v>
      </c>
      <c r="K1002" s="143" t="s">
        <v>82</v>
      </c>
      <c r="L1002" s="179" t="s">
        <v>1824</v>
      </c>
      <c r="M1002" s="179"/>
      <c r="N1002" s="179"/>
      <c r="O1002" s="52"/>
      <c r="P1002" s="179"/>
      <c r="Q1002" s="179"/>
      <c r="R1002" s="179"/>
      <c r="S1002" s="179"/>
      <c r="T1002" s="54"/>
      <c r="U1002" s="187"/>
    </row>
    <row r="1003" spans="1:21" ht="51">
      <c r="A1003" s="6">
        <v>2013</v>
      </c>
      <c r="B1003" s="179" t="s">
        <v>4750</v>
      </c>
      <c r="C1003" s="112" t="s">
        <v>61</v>
      </c>
      <c r="D1003" s="180" t="s">
        <v>1383</v>
      </c>
      <c r="E1003" s="180"/>
      <c r="F1003" s="179" t="s">
        <v>4751</v>
      </c>
      <c r="G1003" s="179" t="s">
        <v>4752</v>
      </c>
      <c r="H1003" s="186">
        <v>200000</v>
      </c>
      <c r="I1003" s="179" t="s">
        <v>4753</v>
      </c>
      <c r="J1003" s="180" t="s">
        <v>1828</v>
      </c>
      <c r="K1003" s="143" t="s">
        <v>82</v>
      </c>
      <c r="L1003" s="179"/>
      <c r="M1003" s="179"/>
      <c r="N1003" s="179"/>
      <c r="O1003" s="52"/>
      <c r="P1003" s="179"/>
      <c r="Q1003" s="179"/>
      <c r="R1003" s="179"/>
      <c r="S1003" s="179"/>
      <c r="T1003" s="54"/>
      <c r="U1003" s="6" t="s">
        <v>2093</v>
      </c>
    </row>
    <row r="1004" spans="1:21" ht="38.25">
      <c r="A1004" s="6">
        <v>2013</v>
      </c>
      <c r="B1004" s="179" t="s">
        <v>4754</v>
      </c>
      <c r="C1004" s="112" t="s">
        <v>61</v>
      </c>
      <c r="D1004" s="22" t="s">
        <v>62</v>
      </c>
      <c r="E1004" s="22"/>
      <c r="F1004" s="179" t="s">
        <v>4755</v>
      </c>
      <c r="G1004" s="178" t="s">
        <v>4756</v>
      </c>
      <c r="H1004" s="791">
        <v>486612.2</v>
      </c>
      <c r="I1004" s="179" t="s">
        <v>4757</v>
      </c>
      <c r="J1004" s="180" t="s">
        <v>2031</v>
      </c>
      <c r="K1004" s="143" t="s">
        <v>1904</v>
      </c>
      <c r="L1004" s="179" t="s">
        <v>6137</v>
      </c>
      <c r="M1004" s="179"/>
      <c r="N1004" s="179"/>
      <c r="O1004" s="52"/>
      <c r="P1004" s="179" t="s">
        <v>6132</v>
      </c>
      <c r="Q1004" s="179"/>
      <c r="R1004" s="179"/>
      <c r="S1004" s="179"/>
      <c r="T1004" s="54"/>
      <c r="U1004" s="179"/>
    </row>
    <row r="1005" spans="1:21" ht="51">
      <c r="A1005" s="6">
        <v>2013</v>
      </c>
      <c r="B1005" s="179" t="s">
        <v>4758</v>
      </c>
      <c r="C1005" s="112" t="s">
        <v>61</v>
      </c>
      <c r="D1005" s="22" t="s">
        <v>62</v>
      </c>
      <c r="E1005" s="22"/>
      <c r="F1005" s="179" t="s">
        <v>4759</v>
      </c>
      <c r="G1005" s="178" t="s">
        <v>4760</v>
      </c>
      <c r="H1005" s="791">
        <v>424015.98</v>
      </c>
      <c r="I1005" s="179" t="s">
        <v>4761</v>
      </c>
      <c r="J1005" s="180" t="s">
        <v>2031</v>
      </c>
      <c r="K1005" s="143" t="s">
        <v>1904</v>
      </c>
      <c r="L1005" s="179" t="s">
        <v>6137</v>
      </c>
      <c r="M1005" s="179"/>
      <c r="N1005" s="179"/>
      <c r="O1005" s="52"/>
      <c r="P1005" s="179" t="s">
        <v>6132</v>
      </c>
      <c r="Q1005" s="179"/>
      <c r="R1005" s="179"/>
      <c r="S1005" s="179"/>
      <c r="T1005" s="54"/>
      <c r="U1005" s="179"/>
    </row>
    <row r="1006" spans="1:21" ht="51">
      <c r="A1006" s="6">
        <v>2013</v>
      </c>
      <c r="B1006" s="179" t="s">
        <v>4762</v>
      </c>
      <c r="C1006" s="53" t="s">
        <v>61</v>
      </c>
      <c r="D1006" s="22" t="s">
        <v>62</v>
      </c>
      <c r="E1006" s="22"/>
      <c r="F1006" s="178" t="s">
        <v>4763</v>
      </c>
      <c r="G1006" s="179" t="s">
        <v>4764</v>
      </c>
      <c r="H1006" s="791">
        <v>374000</v>
      </c>
      <c r="I1006" s="179" t="s">
        <v>4765</v>
      </c>
      <c r="J1006" s="180" t="s">
        <v>2031</v>
      </c>
      <c r="K1006" s="143" t="s">
        <v>1904</v>
      </c>
      <c r="L1006" s="179" t="s">
        <v>6064</v>
      </c>
      <c r="M1006" s="178"/>
      <c r="N1006" s="179"/>
      <c r="O1006" s="52"/>
      <c r="P1006" s="179" t="s">
        <v>6132</v>
      </c>
      <c r="Q1006" s="179"/>
      <c r="R1006" s="179"/>
      <c r="S1006" s="179"/>
      <c r="T1006" s="54"/>
      <c r="U1006" s="179"/>
    </row>
    <row r="1007" spans="1:21" ht="76.5">
      <c r="A1007" s="6">
        <v>2013</v>
      </c>
      <c r="B1007" s="179" t="s">
        <v>4766</v>
      </c>
      <c r="C1007" s="112" t="s">
        <v>61</v>
      </c>
      <c r="D1007" s="22" t="s">
        <v>62</v>
      </c>
      <c r="E1007" s="22"/>
      <c r="F1007" s="179" t="s">
        <v>4767</v>
      </c>
      <c r="G1007" s="179" t="s">
        <v>4768</v>
      </c>
      <c r="H1007" s="791">
        <v>1071763</v>
      </c>
      <c r="I1007" s="179" t="s">
        <v>4769</v>
      </c>
      <c r="J1007" s="180" t="s">
        <v>1828</v>
      </c>
      <c r="K1007" s="143" t="s">
        <v>1904</v>
      </c>
      <c r="L1007" s="179"/>
      <c r="M1007" s="179"/>
      <c r="N1007" s="179"/>
      <c r="O1007" s="52"/>
      <c r="P1007" s="179" t="s">
        <v>6132</v>
      </c>
      <c r="Q1007" s="179"/>
      <c r="R1007" s="179"/>
      <c r="S1007" s="179"/>
      <c r="T1007" s="54"/>
      <c r="U1007" s="179"/>
    </row>
    <row r="1008" spans="1:21" ht="25.5">
      <c r="A1008" s="6">
        <v>2013</v>
      </c>
      <c r="B1008" s="179" t="s">
        <v>4770</v>
      </c>
      <c r="C1008" s="112" t="s">
        <v>61</v>
      </c>
      <c r="D1008" s="180" t="s">
        <v>1383</v>
      </c>
      <c r="E1008" s="180"/>
      <c r="F1008" s="179" t="s">
        <v>4771</v>
      </c>
      <c r="G1008" s="179" t="s">
        <v>4772</v>
      </c>
      <c r="H1008" s="186">
        <v>414500</v>
      </c>
      <c r="I1008" s="179" t="s">
        <v>4726</v>
      </c>
      <c r="J1008" s="180" t="s">
        <v>1919</v>
      </c>
      <c r="K1008" s="143" t="s">
        <v>82</v>
      </c>
      <c r="L1008" s="179" t="s">
        <v>7739</v>
      </c>
      <c r="M1008" s="179"/>
      <c r="N1008" s="179"/>
      <c r="O1008" s="52"/>
      <c r="P1008" s="179" t="s">
        <v>22</v>
      </c>
      <c r="Q1008" s="179"/>
      <c r="R1008" s="179"/>
      <c r="S1008" s="179"/>
      <c r="T1008" s="54"/>
      <c r="U1008" s="54"/>
    </row>
    <row r="1009" spans="1:21" ht="25.5">
      <c r="A1009" s="6">
        <v>2013</v>
      </c>
      <c r="B1009" s="179" t="s">
        <v>4773</v>
      </c>
      <c r="C1009" s="112" t="s">
        <v>61</v>
      </c>
      <c r="D1009" s="180" t="s">
        <v>1383</v>
      </c>
      <c r="E1009" s="180"/>
      <c r="F1009" s="179" t="s">
        <v>4774</v>
      </c>
      <c r="G1009" s="179" t="s">
        <v>4775</v>
      </c>
      <c r="H1009" s="186">
        <v>357000</v>
      </c>
      <c r="I1009" s="179" t="s">
        <v>2557</v>
      </c>
      <c r="J1009" s="180" t="s">
        <v>1919</v>
      </c>
      <c r="K1009" s="143" t="s">
        <v>82</v>
      </c>
      <c r="L1009" s="179" t="s">
        <v>6064</v>
      </c>
      <c r="M1009" s="179"/>
      <c r="N1009" s="179"/>
      <c r="O1009" s="52"/>
      <c r="P1009" s="179" t="s">
        <v>22</v>
      </c>
      <c r="Q1009" s="179"/>
      <c r="R1009" s="179"/>
      <c r="S1009" s="179"/>
      <c r="T1009" s="54"/>
      <c r="U1009" s="54"/>
    </row>
    <row r="1010" spans="1:21" ht="89.25">
      <c r="A1010" s="6">
        <v>2013</v>
      </c>
      <c r="B1010" s="179" t="s">
        <v>4776</v>
      </c>
      <c r="C1010" s="112" t="s">
        <v>61</v>
      </c>
      <c r="D1010" s="180" t="s">
        <v>68</v>
      </c>
      <c r="E1010" s="180"/>
      <c r="F1010" s="179" t="s">
        <v>4777</v>
      </c>
      <c r="G1010" s="179" t="s">
        <v>4778</v>
      </c>
      <c r="H1010" s="194">
        <v>3000000</v>
      </c>
      <c r="I1010" s="187" t="s">
        <v>4779</v>
      </c>
      <c r="J1010" s="180" t="s">
        <v>1828</v>
      </c>
      <c r="K1010" s="143" t="s">
        <v>1874</v>
      </c>
      <c r="L1010" s="179"/>
      <c r="M1010" s="179"/>
      <c r="N1010" s="179"/>
      <c r="O1010" s="52"/>
      <c r="P1010" s="179" t="s">
        <v>6132</v>
      </c>
      <c r="Q1010" s="179"/>
      <c r="R1010" s="179"/>
      <c r="S1010" s="179"/>
      <c r="T1010" s="54"/>
      <c r="U1010" s="187"/>
    </row>
    <row r="1011" spans="1:21" ht="51">
      <c r="A1011" s="6">
        <v>2013</v>
      </c>
      <c r="B1011" s="179" t="s">
        <v>4780</v>
      </c>
      <c r="C1011" s="112" t="s">
        <v>61</v>
      </c>
      <c r="D1011" s="22" t="s">
        <v>62</v>
      </c>
      <c r="E1011" s="22"/>
      <c r="F1011" s="179" t="s">
        <v>4781</v>
      </c>
      <c r="G1011" s="179" t="s">
        <v>4782</v>
      </c>
      <c r="H1011" s="791">
        <v>297060</v>
      </c>
      <c r="I1011" s="187" t="s">
        <v>4783</v>
      </c>
      <c r="J1011" s="180" t="s">
        <v>2051</v>
      </c>
      <c r="K1011" s="143" t="s">
        <v>1904</v>
      </c>
      <c r="L1011" s="179" t="s">
        <v>7782</v>
      </c>
      <c r="M1011" s="179"/>
      <c r="N1011" s="179"/>
      <c r="O1011" s="52"/>
      <c r="P1011" s="179" t="s">
        <v>6179</v>
      </c>
      <c r="Q1011" s="179"/>
      <c r="R1011" s="179"/>
      <c r="S1011" s="179"/>
      <c r="T1011" s="54"/>
      <c r="U1011" s="187"/>
    </row>
    <row r="1012" spans="1:21" ht="38.25">
      <c r="A1012" s="6">
        <v>2013</v>
      </c>
      <c r="B1012" s="179" t="s">
        <v>4784</v>
      </c>
      <c r="C1012" s="112" t="s">
        <v>61</v>
      </c>
      <c r="D1012" s="180" t="s">
        <v>1383</v>
      </c>
      <c r="E1012" s="180"/>
      <c r="F1012" s="179" t="s">
        <v>4785</v>
      </c>
      <c r="G1012" s="179" t="s">
        <v>1722</v>
      </c>
      <c r="H1012" s="186">
        <v>172000</v>
      </c>
      <c r="I1012" s="187" t="s">
        <v>2557</v>
      </c>
      <c r="J1012" s="180" t="s">
        <v>1919</v>
      </c>
      <c r="K1012" s="143" t="s">
        <v>82</v>
      </c>
      <c r="L1012" s="179" t="s">
        <v>7782</v>
      </c>
      <c r="M1012" s="179"/>
      <c r="N1012" s="179"/>
      <c r="O1012" s="52"/>
      <c r="P1012" s="179" t="s">
        <v>22</v>
      </c>
      <c r="Q1012" s="179"/>
      <c r="R1012" s="179"/>
      <c r="S1012" s="179"/>
      <c r="T1012" s="54"/>
      <c r="U1012" s="54" t="s">
        <v>6049</v>
      </c>
    </row>
    <row r="1013" spans="1:21" ht="38.25">
      <c r="A1013" s="6">
        <v>2013</v>
      </c>
      <c r="B1013" s="179" t="s">
        <v>4786</v>
      </c>
      <c r="C1013" s="112" t="s">
        <v>61</v>
      </c>
      <c r="D1013" s="180" t="s">
        <v>4787</v>
      </c>
      <c r="E1013" s="180"/>
      <c r="F1013" s="179" t="s">
        <v>4788</v>
      </c>
      <c r="G1013" s="179" t="s">
        <v>4789</v>
      </c>
      <c r="H1013" s="194">
        <v>173000</v>
      </c>
      <c r="I1013" s="187"/>
      <c r="J1013" s="180"/>
      <c r="K1013" s="143" t="s">
        <v>82</v>
      </c>
      <c r="L1013" s="179" t="s">
        <v>6064</v>
      </c>
      <c r="M1013" s="179"/>
      <c r="N1013" s="179"/>
      <c r="O1013" s="52"/>
      <c r="P1013" s="179" t="s">
        <v>22</v>
      </c>
      <c r="Q1013" s="179"/>
      <c r="R1013" s="179"/>
      <c r="S1013" s="179"/>
      <c r="T1013" s="54"/>
      <c r="U1013" s="187"/>
    </row>
    <row r="1014" spans="1:21" ht="51">
      <c r="A1014" s="6">
        <v>2013</v>
      </c>
      <c r="B1014" s="179" t="s">
        <v>4790</v>
      </c>
      <c r="C1014" s="112" t="s">
        <v>61</v>
      </c>
      <c r="D1014" s="191" t="s">
        <v>3092</v>
      </c>
      <c r="E1014" s="191"/>
      <c r="F1014" s="179" t="s">
        <v>4791</v>
      </c>
      <c r="G1014" s="179" t="s">
        <v>4792</v>
      </c>
      <c r="H1014" s="194">
        <v>445000</v>
      </c>
      <c r="I1014" s="187" t="s">
        <v>4793</v>
      </c>
      <c r="J1014" s="180" t="s">
        <v>2472</v>
      </c>
      <c r="K1014" s="143" t="s">
        <v>1904</v>
      </c>
      <c r="L1014" s="179"/>
      <c r="M1014" s="179"/>
      <c r="N1014" s="179"/>
      <c r="O1014" s="52"/>
      <c r="P1014" s="179"/>
      <c r="Q1014" s="179"/>
      <c r="R1014" s="179"/>
      <c r="S1014" s="179"/>
      <c r="T1014" s="54"/>
      <c r="U1014" s="187"/>
    </row>
    <row r="1015" spans="1:21" ht="63.75">
      <c r="A1015" s="6">
        <v>2013</v>
      </c>
      <c r="B1015" s="179" t="s">
        <v>4794</v>
      </c>
      <c r="C1015" s="112" t="s">
        <v>61</v>
      </c>
      <c r="D1015" s="180" t="s">
        <v>4787</v>
      </c>
      <c r="E1015" s="180"/>
      <c r="F1015" s="179" t="s">
        <v>4795</v>
      </c>
      <c r="G1015" s="179" t="s">
        <v>4796</v>
      </c>
      <c r="H1015" s="194">
        <v>228945</v>
      </c>
      <c r="I1015" s="179" t="s">
        <v>4797</v>
      </c>
      <c r="J1015" s="180" t="s">
        <v>1828</v>
      </c>
      <c r="K1015" s="143" t="s">
        <v>82</v>
      </c>
      <c r="L1015" s="179" t="s">
        <v>1824</v>
      </c>
      <c r="M1015" s="179"/>
      <c r="N1015" s="179"/>
      <c r="O1015" s="52"/>
      <c r="P1015" s="179"/>
      <c r="Q1015" s="179"/>
      <c r="R1015" s="179"/>
      <c r="S1015" s="179"/>
      <c r="T1015" s="54"/>
      <c r="U1015" s="179"/>
    </row>
    <row r="1016" spans="1:21" ht="63.75">
      <c r="A1016" s="6">
        <v>2013</v>
      </c>
      <c r="B1016" s="179" t="s">
        <v>4798</v>
      </c>
      <c r="C1016" s="112" t="s">
        <v>61</v>
      </c>
      <c r="D1016" s="22" t="s">
        <v>62</v>
      </c>
      <c r="E1016" s="22"/>
      <c r="F1016" s="179" t="s">
        <v>4799</v>
      </c>
      <c r="G1016" s="179" t="s">
        <v>4800</v>
      </c>
      <c r="H1016" s="791">
        <v>659400</v>
      </c>
      <c r="I1016" s="179" t="s">
        <v>4801</v>
      </c>
      <c r="J1016" s="180" t="s">
        <v>2472</v>
      </c>
      <c r="K1016" s="143" t="s">
        <v>1904</v>
      </c>
      <c r="L1016" s="179"/>
      <c r="M1016" s="179"/>
      <c r="N1016" s="179"/>
      <c r="O1016" s="52"/>
      <c r="P1016" s="179" t="s">
        <v>6179</v>
      </c>
      <c r="Q1016" s="179"/>
      <c r="R1016" s="179"/>
      <c r="S1016" s="179"/>
      <c r="T1016" s="54"/>
      <c r="U1016" s="179"/>
    </row>
    <row r="1017" spans="1:21" ht="25.5">
      <c r="A1017" s="6">
        <v>2013</v>
      </c>
      <c r="B1017" s="179" t="s">
        <v>4802</v>
      </c>
      <c r="C1017" s="112" t="s">
        <v>3096</v>
      </c>
      <c r="D1017" s="180" t="s">
        <v>3075</v>
      </c>
      <c r="E1017" s="180"/>
      <c r="F1017" s="179" t="s">
        <v>4803</v>
      </c>
      <c r="G1017" s="179" t="s">
        <v>4804</v>
      </c>
      <c r="H1017" s="194">
        <v>200000</v>
      </c>
      <c r="I1017" s="179" t="s">
        <v>4726</v>
      </c>
      <c r="J1017" s="179" t="s">
        <v>1828</v>
      </c>
      <c r="K1017" s="52"/>
      <c r="L1017" s="179" t="s">
        <v>1824</v>
      </c>
      <c r="M1017" s="179"/>
      <c r="N1017" s="179"/>
      <c r="O1017" s="52"/>
      <c r="P1017" s="179"/>
      <c r="Q1017" s="179"/>
      <c r="R1017" s="179"/>
      <c r="S1017" s="179"/>
      <c r="T1017" s="54"/>
      <c r="U1017" s="179"/>
    </row>
    <row r="1018" spans="1:21" ht="76.5">
      <c r="A1018" s="6">
        <v>2013</v>
      </c>
      <c r="B1018" s="179" t="s">
        <v>4805</v>
      </c>
      <c r="C1018" s="112" t="s">
        <v>3096</v>
      </c>
      <c r="D1018" s="180" t="s">
        <v>125</v>
      </c>
      <c r="E1018" s="180"/>
      <c r="F1018" s="179" t="s">
        <v>4806</v>
      </c>
      <c r="G1018" s="179" t="s">
        <v>4804</v>
      </c>
      <c r="H1018" s="195">
        <v>360600</v>
      </c>
      <c r="I1018" s="179" t="s">
        <v>4726</v>
      </c>
      <c r="J1018" s="179" t="s">
        <v>1828</v>
      </c>
      <c r="K1018" s="52"/>
      <c r="L1018" s="179" t="s">
        <v>1824</v>
      </c>
      <c r="M1018" s="179"/>
      <c r="N1018" s="179"/>
      <c r="O1018" s="52"/>
      <c r="P1018" s="179"/>
      <c r="Q1018" s="179"/>
      <c r="R1018" s="179"/>
      <c r="S1018" s="179"/>
      <c r="T1018" s="179" t="s">
        <v>12088</v>
      </c>
      <c r="U1018" s="179"/>
    </row>
    <row r="1019" spans="1:21" ht="76.5">
      <c r="A1019" s="6">
        <v>2013</v>
      </c>
      <c r="B1019" s="179" t="s">
        <v>4807</v>
      </c>
      <c r="C1019" s="112" t="s">
        <v>61</v>
      </c>
      <c r="D1019" s="180" t="s">
        <v>68</v>
      </c>
      <c r="E1019" s="180"/>
      <c r="F1019" s="179" t="s">
        <v>4808</v>
      </c>
      <c r="G1019" s="179" t="s">
        <v>4809</v>
      </c>
      <c r="H1019" s="194">
        <v>996976</v>
      </c>
      <c r="I1019" s="179" t="s">
        <v>4810</v>
      </c>
      <c r="J1019" s="180" t="s">
        <v>1828</v>
      </c>
      <c r="K1019" s="143" t="s">
        <v>1874</v>
      </c>
      <c r="L1019" s="179"/>
      <c r="M1019" s="179"/>
      <c r="N1019" s="179"/>
      <c r="O1019" s="52"/>
      <c r="P1019" s="179" t="s">
        <v>6132</v>
      </c>
      <c r="Q1019" s="179"/>
      <c r="R1019" s="179"/>
      <c r="S1019" s="179"/>
      <c r="T1019" s="179" t="s">
        <v>7793</v>
      </c>
      <c r="U1019" s="179"/>
    </row>
    <row r="1020" spans="1:21" ht="38.25">
      <c r="A1020" s="6">
        <v>2013</v>
      </c>
      <c r="B1020" s="179" t="s">
        <v>4811</v>
      </c>
      <c r="C1020" s="112" t="s">
        <v>61</v>
      </c>
      <c r="D1020" s="180" t="s">
        <v>652</v>
      </c>
      <c r="E1020" s="180"/>
      <c r="F1020" s="179" t="s">
        <v>4812</v>
      </c>
      <c r="G1020" s="179" t="s">
        <v>4813</v>
      </c>
      <c r="H1020" s="58">
        <v>109500</v>
      </c>
      <c r="I1020" s="187" t="s">
        <v>4814</v>
      </c>
      <c r="J1020" s="180" t="s">
        <v>2472</v>
      </c>
      <c r="K1020" s="143" t="s">
        <v>1874</v>
      </c>
      <c r="L1020" s="179"/>
      <c r="M1020" s="179"/>
      <c r="N1020" s="179"/>
      <c r="O1020" s="52"/>
      <c r="P1020" s="179" t="s">
        <v>6132</v>
      </c>
      <c r="Q1020" s="179"/>
      <c r="R1020" s="179"/>
      <c r="S1020" s="179"/>
      <c r="T1020" s="179" t="s">
        <v>7796</v>
      </c>
      <c r="U1020" s="187"/>
    </row>
    <row r="1021" spans="1:21" ht="38.25">
      <c r="A1021" s="6">
        <v>2013</v>
      </c>
      <c r="B1021" s="179" t="s">
        <v>4815</v>
      </c>
      <c r="C1021" s="112" t="s">
        <v>61</v>
      </c>
      <c r="D1021" s="191" t="s">
        <v>3092</v>
      </c>
      <c r="E1021" s="191"/>
      <c r="F1021" s="179" t="s">
        <v>4816</v>
      </c>
      <c r="G1021" s="179" t="s">
        <v>4817</v>
      </c>
      <c r="H1021" s="194">
        <v>340000</v>
      </c>
      <c r="I1021" s="179" t="s">
        <v>4818</v>
      </c>
      <c r="J1021" s="180" t="s">
        <v>2472</v>
      </c>
      <c r="K1021" s="143" t="s">
        <v>1904</v>
      </c>
      <c r="L1021" s="179"/>
      <c r="M1021" s="179"/>
      <c r="N1021" s="179"/>
      <c r="O1021" s="52"/>
      <c r="P1021" s="179"/>
      <c r="Q1021" s="179"/>
      <c r="R1021" s="179"/>
      <c r="S1021" s="179"/>
      <c r="T1021" s="54"/>
      <c r="U1021" s="179"/>
    </row>
    <row r="1022" spans="1:21" ht="51">
      <c r="A1022" s="6">
        <v>2013</v>
      </c>
      <c r="B1022" s="185">
        <v>41275</v>
      </c>
      <c r="C1022" s="112" t="s">
        <v>61</v>
      </c>
      <c r="D1022" s="180" t="s">
        <v>3168</v>
      </c>
      <c r="E1022" s="180"/>
      <c r="F1022" s="179" t="s">
        <v>4819</v>
      </c>
      <c r="G1022" s="179" t="s">
        <v>4820</v>
      </c>
      <c r="H1022" s="194">
        <v>50000</v>
      </c>
      <c r="I1022" s="179" t="s">
        <v>4821</v>
      </c>
      <c r="J1022" s="180" t="s">
        <v>1828</v>
      </c>
      <c r="K1022" s="143" t="s">
        <v>82</v>
      </c>
      <c r="L1022" s="179" t="s">
        <v>7741</v>
      </c>
      <c r="M1022" s="179"/>
      <c r="N1022" s="179"/>
      <c r="O1022" s="52"/>
      <c r="P1022" s="179" t="s">
        <v>6132</v>
      </c>
      <c r="Q1022" s="179"/>
      <c r="R1022" s="179"/>
      <c r="S1022" s="179" t="s">
        <v>7743</v>
      </c>
      <c r="T1022" s="54"/>
      <c r="U1022" s="179"/>
    </row>
    <row r="1023" spans="1:21" ht="25.5">
      <c r="A1023" s="6">
        <v>2013</v>
      </c>
      <c r="B1023" s="185">
        <v>41306</v>
      </c>
      <c r="C1023" s="112" t="s">
        <v>61</v>
      </c>
      <c r="D1023" s="180" t="s">
        <v>1763</v>
      </c>
      <c r="E1023" s="180"/>
      <c r="F1023" s="206" t="s">
        <v>4822</v>
      </c>
      <c r="G1023" s="179" t="s">
        <v>4823</v>
      </c>
      <c r="H1023" s="194">
        <v>80000</v>
      </c>
      <c r="I1023" s="179" t="s">
        <v>4824</v>
      </c>
      <c r="J1023" s="180" t="s">
        <v>2472</v>
      </c>
      <c r="K1023" s="143" t="s">
        <v>82</v>
      </c>
      <c r="L1023" s="179" t="s">
        <v>6064</v>
      </c>
      <c r="M1023" s="206"/>
      <c r="N1023" s="179"/>
      <c r="O1023" s="52"/>
      <c r="P1023" s="179" t="s">
        <v>6132</v>
      </c>
      <c r="Q1023" s="179"/>
      <c r="R1023" s="179"/>
      <c r="S1023" s="179" t="s">
        <v>7747</v>
      </c>
      <c r="T1023" s="54"/>
      <c r="U1023" s="179"/>
    </row>
    <row r="1024" spans="1:21" ht="63.75">
      <c r="A1024" s="6">
        <v>2013</v>
      </c>
      <c r="B1024" s="185">
        <v>41334</v>
      </c>
      <c r="C1024" s="112" t="s">
        <v>61</v>
      </c>
      <c r="D1024" s="180" t="s">
        <v>1383</v>
      </c>
      <c r="E1024" s="180"/>
      <c r="F1024" s="179" t="s">
        <v>4825</v>
      </c>
      <c r="G1024" s="179" t="s">
        <v>4826</v>
      </c>
      <c r="H1024" s="186">
        <v>21000</v>
      </c>
      <c r="I1024" s="179" t="s">
        <v>4827</v>
      </c>
      <c r="J1024" s="180" t="s">
        <v>1828</v>
      </c>
      <c r="K1024" s="143" t="s">
        <v>82</v>
      </c>
      <c r="L1024" s="179" t="s">
        <v>6064</v>
      </c>
      <c r="M1024" s="179"/>
      <c r="N1024" s="6"/>
      <c r="O1024" s="52"/>
      <c r="P1024" s="6" t="s">
        <v>22</v>
      </c>
      <c r="Q1024" s="179"/>
      <c r="R1024" s="179"/>
      <c r="S1024" s="179" t="s">
        <v>7745</v>
      </c>
      <c r="T1024" s="54"/>
      <c r="U1024" s="54"/>
    </row>
    <row r="1025" spans="1:21" ht="76.5">
      <c r="A1025" s="6">
        <v>2013</v>
      </c>
      <c r="B1025" s="185">
        <v>41365</v>
      </c>
      <c r="C1025" s="112" t="s">
        <v>61</v>
      </c>
      <c r="D1025" s="180" t="s">
        <v>3168</v>
      </c>
      <c r="E1025" s="180"/>
      <c r="F1025" s="206" t="s">
        <v>4828</v>
      </c>
      <c r="G1025" s="187" t="s">
        <v>4829</v>
      </c>
      <c r="H1025" s="194">
        <v>12061.25</v>
      </c>
      <c r="I1025" s="179" t="s">
        <v>4830</v>
      </c>
      <c r="J1025" s="180" t="s">
        <v>1916</v>
      </c>
      <c r="K1025" s="143" t="s">
        <v>82</v>
      </c>
      <c r="L1025" s="179" t="s">
        <v>7741</v>
      </c>
      <c r="M1025" s="206"/>
      <c r="N1025" s="179"/>
      <c r="O1025" s="52"/>
      <c r="P1025" s="179" t="s">
        <v>22</v>
      </c>
      <c r="Q1025" s="179"/>
      <c r="R1025" s="179"/>
      <c r="S1025" s="179" t="s">
        <v>7747</v>
      </c>
      <c r="T1025" s="54"/>
      <c r="U1025" s="179"/>
    </row>
    <row r="1026" spans="1:21" ht="38.25">
      <c r="A1026" s="6">
        <v>2013</v>
      </c>
      <c r="B1026" s="185">
        <v>41395</v>
      </c>
      <c r="C1026" s="112" t="s">
        <v>61</v>
      </c>
      <c r="D1026" s="180" t="s">
        <v>1383</v>
      </c>
      <c r="E1026" s="180"/>
      <c r="F1026" s="179" t="s">
        <v>4831</v>
      </c>
      <c r="G1026" s="179" t="s">
        <v>4832</v>
      </c>
      <c r="H1026" s="186">
        <v>25128</v>
      </c>
      <c r="I1026" s="187"/>
      <c r="J1026" s="180" t="s">
        <v>1828</v>
      </c>
      <c r="K1026" s="143" t="s">
        <v>82</v>
      </c>
      <c r="L1026" s="179" t="s">
        <v>6064</v>
      </c>
      <c r="M1026" s="179"/>
      <c r="N1026" s="179"/>
      <c r="O1026" s="52"/>
      <c r="P1026" s="179" t="s">
        <v>22</v>
      </c>
      <c r="Q1026" s="179"/>
      <c r="R1026" s="179"/>
      <c r="S1026" s="179" t="s">
        <v>7747</v>
      </c>
      <c r="T1026" s="54" t="s">
        <v>7798</v>
      </c>
      <c r="U1026" s="54" t="s">
        <v>6049</v>
      </c>
    </row>
    <row r="1027" spans="1:21" ht="51">
      <c r="A1027" s="6">
        <v>2013</v>
      </c>
      <c r="B1027" s="185">
        <v>41426</v>
      </c>
      <c r="C1027" s="112" t="s">
        <v>61</v>
      </c>
      <c r="D1027" s="180" t="s">
        <v>1383</v>
      </c>
      <c r="E1027" s="180"/>
      <c r="F1027" s="206" t="s">
        <v>4833</v>
      </c>
      <c r="G1027" s="187" t="s">
        <v>4834</v>
      </c>
      <c r="H1027" s="186">
        <v>10904.3</v>
      </c>
      <c r="I1027" s="187" t="s">
        <v>4835</v>
      </c>
      <c r="J1027" s="180" t="s">
        <v>1828</v>
      </c>
      <c r="K1027" s="143" t="s">
        <v>82</v>
      </c>
      <c r="L1027" s="179" t="s">
        <v>6064</v>
      </c>
      <c r="M1027" s="206"/>
      <c r="N1027" s="179"/>
      <c r="O1027" s="52"/>
      <c r="P1027" s="179" t="s">
        <v>22</v>
      </c>
      <c r="Q1027" s="179"/>
      <c r="R1027" s="179"/>
      <c r="S1027" s="179" t="s">
        <v>7747</v>
      </c>
      <c r="T1027" s="54" t="s">
        <v>7798</v>
      </c>
      <c r="U1027" s="54" t="s">
        <v>6049</v>
      </c>
    </row>
    <row r="1028" spans="1:21" ht="25.5">
      <c r="A1028" s="6">
        <v>2013</v>
      </c>
      <c r="B1028" s="185">
        <v>41456</v>
      </c>
      <c r="C1028" s="112" t="s">
        <v>61</v>
      </c>
      <c r="D1028" s="180" t="s">
        <v>1763</v>
      </c>
      <c r="E1028" s="180"/>
      <c r="F1028" s="179" t="s">
        <v>4836</v>
      </c>
      <c r="G1028" s="179" t="s">
        <v>4837</v>
      </c>
      <c r="H1028" s="194">
        <v>100000</v>
      </c>
      <c r="I1028" s="179" t="s">
        <v>4838</v>
      </c>
      <c r="J1028" s="180" t="s">
        <v>2472</v>
      </c>
      <c r="K1028" s="143" t="s">
        <v>82</v>
      </c>
      <c r="L1028" s="179" t="s">
        <v>6064</v>
      </c>
      <c r="M1028" s="179"/>
      <c r="N1028" s="179"/>
      <c r="O1028" s="52"/>
      <c r="P1028" s="179" t="s">
        <v>22</v>
      </c>
      <c r="Q1028" s="179"/>
      <c r="R1028" s="179"/>
      <c r="S1028" s="179" t="s">
        <v>7747</v>
      </c>
      <c r="T1028" s="54"/>
      <c r="U1028" s="179"/>
    </row>
    <row r="1029" spans="1:21" ht="25.5">
      <c r="A1029" s="6">
        <v>2013</v>
      </c>
      <c r="B1029" s="185">
        <v>41487</v>
      </c>
      <c r="C1029" s="112" t="s">
        <v>61</v>
      </c>
      <c r="D1029" s="180" t="s">
        <v>394</v>
      </c>
      <c r="E1029" s="180"/>
      <c r="F1029" s="179" t="s">
        <v>4839</v>
      </c>
      <c r="G1029" s="179" t="s">
        <v>1346</v>
      </c>
      <c r="H1029" s="791">
        <v>32000</v>
      </c>
      <c r="I1029" s="179" t="s">
        <v>4149</v>
      </c>
      <c r="J1029" s="143" t="s">
        <v>5924</v>
      </c>
      <c r="K1029" s="180" t="s">
        <v>1853</v>
      </c>
      <c r="L1029" s="179" t="s">
        <v>7741</v>
      </c>
      <c r="M1029" s="179"/>
      <c r="N1029" s="179"/>
      <c r="O1029" s="52"/>
      <c r="P1029" s="179" t="s">
        <v>22</v>
      </c>
      <c r="Q1029" s="179"/>
      <c r="R1029" s="179"/>
      <c r="S1029" s="179" t="s">
        <v>7747</v>
      </c>
      <c r="T1029" s="54"/>
      <c r="U1029" s="179"/>
    </row>
    <row r="1030" spans="1:21" ht="25.5">
      <c r="A1030" s="6">
        <v>2013</v>
      </c>
      <c r="B1030" s="185">
        <v>41518</v>
      </c>
      <c r="C1030" s="112" t="s">
        <v>61</v>
      </c>
      <c r="D1030" s="180" t="s">
        <v>1141</v>
      </c>
      <c r="E1030" s="180"/>
      <c r="F1030" s="179" t="s">
        <v>4840</v>
      </c>
      <c r="G1030" s="179" t="s">
        <v>4841</v>
      </c>
      <c r="H1030" s="792">
        <v>94895</v>
      </c>
      <c r="I1030" s="187" t="s">
        <v>4842</v>
      </c>
      <c r="J1030" s="180" t="s">
        <v>1916</v>
      </c>
      <c r="K1030" s="143" t="s">
        <v>1904</v>
      </c>
      <c r="L1030" s="179" t="s">
        <v>6092</v>
      </c>
      <c r="M1030" s="179"/>
      <c r="N1030" s="179"/>
      <c r="O1030" s="52"/>
      <c r="P1030" s="179" t="s">
        <v>22</v>
      </c>
      <c r="Q1030" s="179"/>
      <c r="R1030" s="179"/>
      <c r="S1030" s="179" t="s">
        <v>7747</v>
      </c>
      <c r="T1030" s="54"/>
      <c r="U1030" s="187"/>
    </row>
    <row r="1031" spans="1:21" ht="89.25">
      <c r="A1031" s="6">
        <v>2013</v>
      </c>
      <c r="B1031" s="192">
        <v>41548</v>
      </c>
      <c r="C1031" s="112" t="s">
        <v>61</v>
      </c>
      <c r="D1031" s="180" t="s">
        <v>4787</v>
      </c>
      <c r="E1031" s="180"/>
      <c r="F1031" s="179" t="s">
        <v>4843</v>
      </c>
      <c r="G1031" s="179" t="s">
        <v>4844</v>
      </c>
      <c r="H1031" s="194">
        <v>84000</v>
      </c>
      <c r="I1031" s="187" t="s">
        <v>4845</v>
      </c>
      <c r="J1031" s="180" t="s">
        <v>1828</v>
      </c>
      <c r="K1031" s="143" t="s">
        <v>82</v>
      </c>
      <c r="L1031" s="179" t="s">
        <v>7741</v>
      </c>
      <c r="M1031" s="179"/>
      <c r="N1031" s="179"/>
      <c r="O1031" s="52"/>
      <c r="P1031" s="179" t="s">
        <v>22</v>
      </c>
      <c r="Q1031" s="179"/>
      <c r="R1031" s="179"/>
      <c r="S1031" s="179" t="s">
        <v>1824</v>
      </c>
      <c r="T1031" s="54"/>
      <c r="U1031" s="187"/>
    </row>
    <row r="1032" spans="1:21" ht="25.5">
      <c r="A1032" s="6">
        <v>2013</v>
      </c>
      <c r="B1032" s="179" t="s">
        <v>4846</v>
      </c>
      <c r="C1032" s="112" t="s">
        <v>61</v>
      </c>
      <c r="D1032" s="180" t="s">
        <v>1383</v>
      </c>
      <c r="E1032" s="180"/>
      <c r="F1032" s="179" t="s">
        <v>4847</v>
      </c>
      <c r="G1032" s="179" t="s">
        <v>840</v>
      </c>
      <c r="H1032" s="186">
        <v>100000</v>
      </c>
      <c r="I1032" s="178" t="s">
        <v>4848</v>
      </c>
      <c r="J1032" s="180" t="s">
        <v>1828</v>
      </c>
      <c r="K1032" s="143" t="s">
        <v>82</v>
      </c>
      <c r="L1032" s="179" t="s">
        <v>6064</v>
      </c>
      <c r="M1032" s="179"/>
      <c r="N1032" s="179"/>
      <c r="O1032" s="52"/>
      <c r="P1032" s="179" t="s">
        <v>22</v>
      </c>
      <c r="Q1032" s="179"/>
      <c r="R1032" s="179"/>
      <c r="S1032" s="179" t="s">
        <v>7747</v>
      </c>
      <c r="T1032" s="54"/>
      <c r="U1032" s="54" t="s">
        <v>6049</v>
      </c>
    </row>
    <row r="1033" spans="1:21" ht="25.5">
      <c r="A1033" s="6">
        <v>2013</v>
      </c>
      <c r="B1033" s="192">
        <v>41609</v>
      </c>
      <c r="C1033" s="112" t="s">
        <v>61</v>
      </c>
      <c r="D1033" s="180" t="s">
        <v>1383</v>
      </c>
      <c r="E1033" s="180"/>
      <c r="F1033" s="179" t="s">
        <v>4849</v>
      </c>
      <c r="G1033" s="179" t="s">
        <v>1346</v>
      </c>
      <c r="H1033" s="186">
        <v>30000</v>
      </c>
      <c r="I1033" s="187" t="s">
        <v>4848</v>
      </c>
      <c r="J1033" s="143" t="s">
        <v>5924</v>
      </c>
      <c r="K1033" s="143" t="s">
        <v>82</v>
      </c>
      <c r="L1033" s="179" t="s">
        <v>6064</v>
      </c>
      <c r="M1033" s="179"/>
      <c r="N1033" s="179"/>
      <c r="O1033" s="52"/>
      <c r="P1033" s="179" t="s">
        <v>22</v>
      </c>
      <c r="Q1033" s="179"/>
      <c r="R1033" s="179"/>
      <c r="S1033" s="179" t="s">
        <v>7747</v>
      </c>
      <c r="T1033" s="54"/>
      <c r="U1033" s="54" t="s">
        <v>6049</v>
      </c>
    </row>
    <row r="1034" spans="1:21" ht="25.5">
      <c r="A1034" s="6">
        <v>2013</v>
      </c>
      <c r="B1034" s="179" t="s">
        <v>4744</v>
      </c>
      <c r="C1034" s="112" t="s">
        <v>61</v>
      </c>
      <c r="D1034" s="180" t="s">
        <v>1383</v>
      </c>
      <c r="E1034" s="180"/>
      <c r="F1034" s="179" t="s">
        <v>4850</v>
      </c>
      <c r="G1034" s="179" t="s">
        <v>4851</v>
      </c>
      <c r="H1034" s="186">
        <v>50000</v>
      </c>
      <c r="I1034" s="187" t="s">
        <v>4848</v>
      </c>
      <c r="J1034" s="180" t="s">
        <v>1828</v>
      </c>
      <c r="K1034" s="143" t="s">
        <v>82</v>
      </c>
      <c r="L1034" s="179" t="s">
        <v>6064</v>
      </c>
      <c r="M1034" s="179"/>
      <c r="N1034" s="179"/>
      <c r="O1034" s="52"/>
      <c r="P1034" s="179" t="s">
        <v>22</v>
      </c>
      <c r="Q1034" s="179"/>
      <c r="R1034" s="179"/>
      <c r="S1034" s="179" t="s">
        <v>7747</v>
      </c>
      <c r="T1034" s="54" t="s">
        <v>7798</v>
      </c>
      <c r="U1034" s="54"/>
    </row>
    <row r="1035" spans="1:21" ht="38.25">
      <c r="A1035" s="6">
        <v>2013</v>
      </c>
      <c r="B1035" s="179" t="s">
        <v>4748</v>
      </c>
      <c r="C1035" s="112" t="s">
        <v>61</v>
      </c>
      <c r="D1035" s="180" t="s">
        <v>1383</v>
      </c>
      <c r="E1035" s="180"/>
      <c r="F1035" s="179" t="s">
        <v>4852</v>
      </c>
      <c r="G1035" s="179" t="s">
        <v>4853</v>
      </c>
      <c r="H1035" s="186">
        <v>35000</v>
      </c>
      <c r="I1035" s="187" t="s">
        <v>4848</v>
      </c>
      <c r="J1035" s="180" t="s">
        <v>1828</v>
      </c>
      <c r="K1035" s="143" t="s">
        <v>82</v>
      </c>
      <c r="L1035" s="179" t="s">
        <v>6064</v>
      </c>
      <c r="M1035" s="179"/>
      <c r="N1035" s="179"/>
      <c r="O1035" s="52"/>
      <c r="P1035" s="179" t="s">
        <v>22</v>
      </c>
      <c r="Q1035" s="179"/>
      <c r="R1035" s="179"/>
      <c r="S1035" s="179" t="s">
        <v>1824</v>
      </c>
      <c r="T1035" s="54" t="s">
        <v>7799</v>
      </c>
      <c r="U1035" s="54"/>
    </row>
    <row r="1036" spans="1:21" ht="38.25">
      <c r="A1036" s="6">
        <v>2013</v>
      </c>
      <c r="B1036" s="179" t="s">
        <v>4750</v>
      </c>
      <c r="C1036" s="112" t="s">
        <v>61</v>
      </c>
      <c r="D1036" s="180" t="s">
        <v>1141</v>
      </c>
      <c r="E1036" s="180"/>
      <c r="F1036" s="179" t="s">
        <v>4854</v>
      </c>
      <c r="G1036" s="179" t="s">
        <v>4855</v>
      </c>
      <c r="H1036" s="792">
        <v>90693</v>
      </c>
      <c r="I1036" s="187" t="s">
        <v>4856</v>
      </c>
      <c r="J1036" s="180" t="s">
        <v>2031</v>
      </c>
      <c r="K1036" s="143" t="s">
        <v>1904</v>
      </c>
      <c r="L1036" s="179" t="s">
        <v>6364</v>
      </c>
      <c r="M1036" s="179"/>
      <c r="N1036" s="179"/>
      <c r="O1036" s="52"/>
      <c r="P1036" s="179" t="s">
        <v>22</v>
      </c>
      <c r="Q1036" s="179"/>
      <c r="R1036" s="179"/>
      <c r="S1036" s="179" t="s">
        <v>7743</v>
      </c>
      <c r="T1036" s="54"/>
      <c r="U1036" s="187"/>
    </row>
    <row r="1037" spans="1:21" ht="63.75">
      <c r="A1037" s="6">
        <v>2013</v>
      </c>
      <c r="B1037" s="179" t="s">
        <v>4754</v>
      </c>
      <c r="C1037" s="112" t="s">
        <v>61</v>
      </c>
      <c r="D1037" s="180" t="s">
        <v>1763</v>
      </c>
      <c r="E1037" s="180"/>
      <c r="F1037" s="178" t="s">
        <v>4857</v>
      </c>
      <c r="G1037" s="179" t="s">
        <v>4858</v>
      </c>
      <c r="H1037" s="194">
        <v>60000</v>
      </c>
      <c r="I1037" s="187" t="s">
        <v>4859</v>
      </c>
      <c r="J1037" s="795" t="s">
        <v>2041</v>
      </c>
      <c r="K1037" s="143" t="s">
        <v>82</v>
      </c>
      <c r="L1037" s="179" t="s">
        <v>6064</v>
      </c>
      <c r="M1037" s="178"/>
      <c r="N1037" s="179"/>
      <c r="O1037" s="52"/>
      <c r="P1037" s="179" t="s">
        <v>22</v>
      </c>
      <c r="Q1037" s="179"/>
      <c r="R1037" s="179"/>
      <c r="S1037" s="179" t="s">
        <v>7801</v>
      </c>
      <c r="T1037" s="54"/>
      <c r="U1037" s="187"/>
    </row>
    <row r="1038" spans="1:21" ht="38.25">
      <c r="A1038" s="54"/>
      <c r="B1038" s="179" t="s">
        <v>4758</v>
      </c>
      <c r="C1038" s="53" t="s">
        <v>7802</v>
      </c>
      <c r="D1038" s="6" t="s">
        <v>62</v>
      </c>
      <c r="E1038" s="6"/>
      <c r="F1038" s="179" t="s">
        <v>7803</v>
      </c>
      <c r="G1038" s="179" t="s">
        <v>7804</v>
      </c>
      <c r="H1038" s="194"/>
      <c r="I1038" s="187" t="s">
        <v>7805</v>
      </c>
      <c r="J1038" s="53" t="s">
        <v>7573</v>
      </c>
      <c r="K1038" s="52" t="s">
        <v>1231</v>
      </c>
      <c r="L1038" s="179" t="s">
        <v>6092</v>
      </c>
      <c r="M1038" s="179"/>
      <c r="N1038" s="179"/>
      <c r="O1038" s="52"/>
      <c r="P1038" s="179" t="s">
        <v>22</v>
      </c>
      <c r="Q1038" s="179"/>
      <c r="R1038" s="179"/>
      <c r="S1038" s="179" t="s">
        <v>7743</v>
      </c>
      <c r="T1038" s="54"/>
      <c r="U1038" s="187"/>
    </row>
    <row r="1039" spans="1:21" ht="51">
      <c r="A1039" s="6">
        <v>2013</v>
      </c>
      <c r="B1039" s="179" t="s">
        <v>4762</v>
      </c>
      <c r="C1039" s="112" t="s">
        <v>61</v>
      </c>
      <c r="D1039" s="180" t="s">
        <v>1383</v>
      </c>
      <c r="E1039" s="180"/>
      <c r="F1039" s="179" t="s">
        <v>4860</v>
      </c>
      <c r="G1039" s="179" t="s">
        <v>4861</v>
      </c>
      <c r="H1039" s="186">
        <v>25000</v>
      </c>
      <c r="I1039" s="187" t="s">
        <v>4862</v>
      </c>
      <c r="J1039" s="180" t="s">
        <v>1828</v>
      </c>
      <c r="K1039" s="143" t="s">
        <v>82</v>
      </c>
      <c r="L1039" s="179" t="s">
        <v>7806</v>
      </c>
      <c r="M1039" s="179"/>
      <c r="N1039" s="179"/>
      <c r="O1039" s="52"/>
      <c r="P1039" s="179" t="s">
        <v>6132</v>
      </c>
      <c r="Q1039" s="179"/>
      <c r="R1039" s="179"/>
      <c r="S1039" s="179" t="s">
        <v>7801</v>
      </c>
      <c r="T1039" s="54"/>
      <c r="U1039" s="54"/>
    </row>
    <row r="1040" spans="1:21" ht="38.25">
      <c r="A1040" s="6">
        <v>2013</v>
      </c>
      <c r="B1040" s="179" t="s">
        <v>4766</v>
      </c>
      <c r="C1040" s="112" t="s">
        <v>61</v>
      </c>
      <c r="D1040" s="22" t="s">
        <v>62</v>
      </c>
      <c r="E1040" s="22"/>
      <c r="F1040" s="179" t="s">
        <v>4863</v>
      </c>
      <c r="G1040" s="179" t="s">
        <v>4864</v>
      </c>
      <c r="H1040" s="791">
        <v>97464</v>
      </c>
      <c r="I1040" s="179" t="s">
        <v>4865</v>
      </c>
      <c r="J1040" s="180" t="s">
        <v>1899</v>
      </c>
      <c r="K1040" s="143" t="s">
        <v>1904</v>
      </c>
      <c r="L1040" s="179" t="s">
        <v>6364</v>
      </c>
      <c r="M1040" s="179"/>
      <c r="N1040" s="179"/>
      <c r="O1040" s="52"/>
      <c r="P1040" s="179" t="s">
        <v>22</v>
      </c>
      <c r="Q1040" s="179"/>
      <c r="R1040" s="179"/>
      <c r="S1040" s="179" t="s">
        <v>7743</v>
      </c>
      <c r="T1040" s="54"/>
      <c r="U1040" s="179"/>
    </row>
    <row r="1041" spans="1:21" ht="25.5">
      <c r="A1041" s="6">
        <v>2013</v>
      </c>
      <c r="B1041" s="179" t="s">
        <v>4770</v>
      </c>
      <c r="C1041" s="112" t="s">
        <v>61</v>
      </c>
      <c r="D1041" s="180" t="s">
        <v>3168</v>
      </c>
      <c r="E1041" s="180"/>
      <c r="F1041" s="179" t="s">
        <v>4866</v>
      </c>
      <c r="G1041" s="179" t="s">
        <v>575</v>
      </c>
      <c r="H1041" s="194">
        <v>46700</v>
      </c>
      <c r="I1041" s="187" t="s">
        <v>4149</v>
      </c>
      <c r="J1041" s="180" t="s">
        <v>1828</v>
      </c>
      <c r="K1041" s="143" t="s">
        <v>82</v>
      </c>
      <c r="L1041" s="179" t="s">
        <v>7741</v>
      </c>
      <c r="M1041" s="179"/>
      <c r="N1041" s="179"/>
      <c r="O1041" s="52"/>
      <c r="P1041" s="179" t="s">
        <v>22</v>
      </c>
      <c r="Q1041" s="179"/>
      <c r="R1041" s="179"/>
      <c r="S1041" s="179" t="s">
        <v>7747</v>
      </c>
      <c r="T1041" s="54"/>
      <c r="U1041" s="187"/>
    </row>
    <row r="1042" spans="1:21" ht="51">
      <c r="A1042" s="6">
        <v>2013</v>
      </c>
      <c r="B1042" s="179" t="s">
        <v>4867</v>
      </c>
      <c r="C1042" s="112" t="s">
        <v>61</v>
      </c>
      <c r="D1042" s="180" t="s">
        <v>1383</v>
      </c>
      <c r="E1042" s="180"/>
      <c r="F1042" s="179" t="s">
        <v>4868</v>
      </c>
      <c r="G1042" s="179" t="s">
        <v>4869</v>
      </c>
      <c r="H1042" s="186">
        <v>6000</v>
      </c>
      <c r="I1042" s="179" t="s">
        <v>4870</v>
      </c>
      <c r="J1042" s="180" t="s">
        <v>1828</v>
      </c>
      <c r="K1042" s="143" t="s">
        <v>82</v>
      </c>
      <c r="L1042" s="179" t="s">
        <v>6064</v>
      </c>
      <c r="M1042" s="179"/>
      <c r="N1042" s="179"/>
      <c r="O1042" s="52"/>
      <c r="P1042" s="179" t="s">
        <v>22</v>
      </c>
      <c r="Q1042" s="179"/>
      <c r="R1042" s="179"/>
      <c r="S1042" s="179" t="s">
        <v>1824</v>
      </c>
      <c r="T1042" s="54"/>
      <c r="U1042" s="54"/>
    </row>
    <row r="1043" spans="1:21" ht="38.25">
      <c r="A1043" s="6">
        <v>2013</v>
      </c>
      <c r="B1043" s="179" t="s">
        <v>4871</v>
      </c>
      <c r="C1043" s="112" t="s">
        <v>61</v>
      </c>
      <c r="D1043" s="180" t="s">
        <v>1383</v>
      </c>
      <c r="E1043" s="180"/>
      <c r="F1043" s="179" t="s">
        <v>4872</v>
      </c>
      <c r="G1043" s="179" t="s">
        <v>4873</v>
      </c>
      <c r="H1043" s="186">
        <v>100000</v>
      </c>
      <c r="I1043" s="179" t="s">
        <v>4874</v>
      </c>
      <c r="J1043" s="180" t="s">
        <v>2472</v>
      </c>
      <c r="K1043" s="143" t="s">
        <v>82</v>
      </c>
      <c r="L1043" s="179" t="s">
        <v>6064</v>
      </c>
      <c r="M1043" s="179"/>
      <c r="N1043" s="179"/>
      <c r="O1043" s="52"/>
      <c r="P1043" s="179" t="s">
        <v>22</v>
      </c>
      <c r="Q1043" s="179"/>
      <c r="R1043" s="179"/>
      <c r="S1043" s="179" t="s">
        <v>7747</v>
      </c>
      <c r="T1043" s="54"/>
      <c r="U1043" s="54"/>
    </row>
    <row r="1044" spans="1:21" ht="38.25">
      <c r="A1044" s="6">
        <v>2013</v>
      </c>
      <c r="B1044" s="179" t="s">
        <v>4875</v>
      </c>
      <c r="C1044" s="112" t="s">
        <v>61</v>
      </c>
      <c r="D1044" s="180" t="s">
        <v>394</v>
      </c>
      <c r="E1044" s="180"/>
      <c r="F1044" s="179" t="s">
        <v>4876</v>
      </c>
      <c r="G1044" s="179" t="s">
        <v>1508</v>
      </c>
      <c r="H1044" s="791">
        <v>37500</v>
      </c>
      <c r="I1044" s="179" t="s">
        <v>4877</v>
      </c>
      <c r="J1044" s="143" t="s">
        <v>2085</v>
      </c>
      <c r="K1044" s="180" t="s">
        <v>1853</v>
      </c>
      <c r="L1044" s="179" t="s">
        <v>7741</v>
      </c>
      <c r="M1044" s="179"/>
      <c r="N1044" s="179"/>
      <c r="O1044" s="52"/>
      <c r="P1044" s="179" t="s">
        <v>22</v>
      </c>
      <c r="Q1044" s="179"/>
      <c r="R1044" s="179"/>
      <c r="S1044" s="179" t="s">
        <v>7747</v>
      </c>
      <c r="T1044" s="54"/>
      <c r="U1044" s="179"/>
    </row>
    <row r="1045" spans="1:21" ht="25.5">
      <c r="A1045" s="6">
        <v>2013</v>
      </c>
      <c r="B1045" s="179" t="s">
        <v>4878</v>
      </c>
      <c r="C1045" s="53" t="s">
        <v>61</v>
      </c>
      <c r="D1045" s="180" t="s">
        <v>1383</v>
      </c>
      <c r="E1045" s="180"/>
      <c r="F1045" s="179" t="s">
        <v>4879</v>
      </c>
      <c r="G1045" s="179" t="s">
        <v>4880</v>
      </c>
      <c r="H1045" s="186"/>
      <c r="I1045" s="179"/>
      <c r="J1045" s="798"/>
      <c r="K1045" s="143" t="s">
        <v>82</v>
      </c>
      <c r="L1045" s="179" t="s">
        <v>6064</v>
      </c>
      <c r="M1045" s="179" t="s">
        <v>12089</v>
      </c>
      <c r="N1045" s="179"/>
      <c r="O1045" s="52"/>
      <c r="P1045" s="179" t="s">
        <v>22</v>
      </c>
      <c r="Q1045" s="179"/>
      <c r="R1045" s="179"/>
      <c r="S1045" s="179"/>
      <c r="T1045" s="54"/>
      <c r="U1045" s="54"/>
    </row>
    <row r="1046" spans="1:21" ht="76.5">
      <c r="A1046" s="6">
        <v>2013</v>
      </c>
      <c r="B1046" s="179" t="s">
        <v>4881</v>
      </c>
      <c r="C1046" s="112" t="s">
        <v>61</v>
      </c>
      <c r="D1046" s="180" t="s">
        <v>1383</v>
      </c>
      <c r="E1046" s="180"/>
      <c r="F1046" s="179" t="s">
        <v>4882</v>
      </c>
      <c r="G1046" s="179" t="s">
        <v>4883</v>
      </c>
      <c r="H1046" s="186">
        <v>30500</v>
      </c>
      <c r="I1046" s="187" t="s">
        <v>4884</v>
      </c>
      <c r="J1046" s="180" t="s">
        <v>1828</v>
      </c>
      <c r="K1046" s="143" t="s">
        <v>82</v>
      </c>
      <c r="L1046" s="179" t="s">
        <v>6064</v>
      </c>
      <c r="M1046" s="179"/>
      <c r="N1046" s="179"/>
      <c r="O1046" s="52"/>
      <c r="P1046" s="179" t="s">
        <v>22</v>
      </c>
      <c r="Q1046" s="179"/>
      <c r="R1046" s="179"/>
      <c r="S1046" s="179" t="s">
        <v>7745</v>
      </c>
      <c r="T1046" s="54" t="s">
        <v>7799</v>
      </c>
      <c r="U1046" s="54"/>
    </row>
    <row r="1047" spans="1:21" ht="25.5">
      <c r="A1047" s="6">
        <v>2013</v>
      </c>
      <c r="B1047" s="179" t="s">
        <v>4790</v>
      </c>
      <c r="C1047" s="112" t="s">
        <v>61</v>
      </c>
      <c r="D1047" s="180" t="s">
        <v>1383</v>
      </c>
      <c r="E1047" s="180"/>
      <c r="F1047" s="179" t="s">
        <v>4885</v>
      </c>
      <c r="G1047" s="179" t="s">
        <v>4886</v>
      </c>
      <c r="H1047" s="186">
        <v>84500</v>
      </c>
      <c r="I1047" s="187"/>
      <c r="J1047" s="180" t="s">
        <v>1828</v>
      </c>
      <c r="K1047" s="143" t="s">
        <v>82</v>
      </c>
      <c r="L1047" s="179" t="s">
        <v>6064</v>
      </c>
      <c r="M1047" s="179"/>
      <c r="N1047" s="179"/>
      <c r="O1047" s="52"/>
      <c r="P1047" s="179" t="s">
        <v>22</v>
      </c>
      <c r="Q1047" s="179"/>
      <c r="R1047" s="179"/>
      <c r="S1047" s="179" t="s">
        <v>7745</v>
      </c>
      <c r="T1047" s="54" t="s">
        <v>7799</v>
      </c>
      <c r="U1047" s="54"/>
    </row>
    <row r="1048" spans="1:21" ht="51">
      <c r="A1048" s="6">
        <v>2013</v>
      </c>
      <c r="B1048" s="179" t="s">
        <v>4887</v>
      </c>
      <c r="C1048" s="112" t="s">
        <v>61</v>
      </c>
      <c r="D1048" s="180" t="s">
        <v>1383</v>
      </c>
      <c r="E1048" s="180"/>
      <c r="F1048" s="179" t="s">
        <v>4888</v>
      </c>
      <c r="G1048" s="179" t="s">
        <v>4851</v>
      </c>
      <c r="H1048" s="186">
        <v>50000</v>
      </c>
      <c r="I1048" s="187"/>
      <c r="J1048" s="180" t="s">
        <v>1828</v>
      </c>
      <c r="K1048" s="143" t="s">
        <v>82</v>
      </c>
      <c r="L1048" s="179" t="s">
        <v>6064</v>
      </c>
      <c r="M1048" s="179"/>
      <c r="N1048" s="179"/>
      <c r="O1048" s="52"/>
      <c r="P1048" s="179" t="s">
        <v>22</v>
      </c>
      <c r="Q1048" s="179"/>
      <c r="R1048" s="179"/>
      <c r="S1048" s="179" t="s">
        <v>1824</v>
      </c>
      <c r="T1048" s="54" t="s">
        <v>7799</v>
      </c>
      <c r="U1048" s="54"/>
    </row>
    <row r="1049" spans="1:21" ht="38.25">
      <c r="A1049" s="6">
        <v>2013</v>
      </c>
      <c r="B1049" s="179" t="s">
        <v>4798</v>
      </c>
      <c r="C1049" s="112" t="s">
        <v>61</v>
      </c>
      <c r="D1049" s="180" t="s">
        <v>1383</v>
      </c>
      <c r="E1049" s="180"/>
      <c r="F1049" s="179" t="s">
        <v>4889</v>
      </c>
      <c r="G1049" s="179" t="s">
        <v>1598</v>
      </c>
      <c r="H1049" s="186">
        <v>39000</v>
      </c>
      <c r="I1049" s="187" t="s">
        <v>4890</v>
      </c>
      <c r="J1049" s="180" t="s">
        <v>2031</v>
      </c>
      <c r="K1049" s="143" t="s">
        <v>82</v>
      </c>
      <c r="L1049" s="179" t="s">
        <v>7741</v>
      </c>
      <c r="M1049" s="179"/>
      <c r="N1049" s="179"/>
      <c r="O1049" s="52"/>
      <c r="P1049" s="179" t="s">
        <v>22</v>
      </c>
      <c r="Q1049" s="179"/>
      <c r="R1049" s="179"/>
      <c r="S1049" s="179" t="s">
        <v>7747</v>
      </c>
      <c r="T1049" s="54"/>
      <c r="U1049" s="54"/>
    </row>
    <row r="1050" spans="1:21" ht="25.5">
      <c r="A1050" s="6">
        <v>2013</v>
      </c>
      <c r="B1050" s="179" t="s">
        <v>4802</v>
      </c>
      <c r="C1050" s="112" t="s">
        <v>61</v>
      </c>
      <c r="D1050" s="180" t="s">
        <v>1383</v>
      </c>
      <c r="E1050" s="180"/>
      <c r="F1050" s="179" t="s">
        <v>4891</v>
      </c>
      <c r="G1050" s="179" t="s">
        <v>4892</v>
      </c>
      <c r="H1050" s="186">
        <v>50000</v>
      </c>
      <c r="I1050" s="187" t="s">
        <v>3686</v>
      </c>
      <c r="J1050" s="180" t="s">
        <v>2472</v>
      </c>
      <c r="K1050" s="143" t="s">
        <v>82</v>
      </c>
      <c r="L1050" s="179" t="s">
        <v>6064</v>
      </c>
      <c r="M1050" s="179"/>
      <c r="N1050" s="179"/>
      <c r="O1050" s="52"/>
      <c r="P1050" s="179" t="s">
        <v>22</v>
      </c>
      <c r="Q1050" s="179"/>
      <c r="R1050" s="179"/>
      <c r="S1050" s="179" t="s">
        <v>7747</v>
      </c>
      <c r="T1050" s="54"/>
      <c r="U1050" s="54"/>
    </row>
    <row r="1051" spans="1:21" ht="25.5">
      <c r="A1051" s="6">
        <v>2013</v>
      </c>
      <c r="B1051" s="179" t="s">
        <v>4805</v>
      </c>
      <c r="C1051" s="112" t="s">
        <v>61</v>
      </c>
      <c r="D1051" s="180" t="s">
        <v>1383</v>
      </c>
      <c r="E1051" s="180"/>
      <c r="F1051" s="179" t="s">
        <v>4893</v>
      </c>
      <c r="G1051" s="179" t="s">
        <v>4894</v>
      </c>
      <c r="H1051" s="186">
        <v>20000</v>
      </c>
      <c r="I1051" s="187" t="s">
        <v>1938</v>
      </c>
      <c r="J1051" s="180" t="s">
        <v>1828</v>
      </c>
      <c r="K1051" s="143" t="s">
        <v>82</v>
      </c>
      <c r="L1051" s="179" t="s">
        <v>6064</v>
      </c>
      <c r="M1051" s="179"/>
      <c r="N1051" s="179"/>
      <c r="O1051" s="52"/>
      <c r="P1051" s="179" t="s">
        <v>22</v>
      </c>
      <c r="Q1051" s="179"/>
      <c r="R1051" s="179"/>
      <c r="S1051" s="179" t="s">
        <v>7747</v>
      </c>
      <c r="T1051" s="54"/>
      <c r="U1051" s="54"/>
    </row>
    <row r="1052" spans="1:21" ht="38.25">
      <c r="A1052" s="6">
        <v>2013</v>
      </c>
      <c r="B1052" s="179" t="s">
        <v>4807</v>
      </c>
      <c r="C1052" s="112" t="s">
        <v>61</v>
      </c>
      <c r="D1052" s="180" t="s">
        <v>1383</v>
      </c>
      <c r="E1052" s="180"/>
      <c r="F1052" s="179" t="s">
        <v>4895</v>
      </c>
      <c r="G1052" s="179" t="s">
        <v>4896</v>
      </c>
      <c r="H1052" s="186">
        <v>20000</v>
      </c>
      <c r="I1052" s="187" t="s">
        <v>4897</v>
      </c>
      <c r="J1052" s="180" t="s">
        <v>1828</v>
      </c>
      <c r="K1052" s="143" t="s">
        <v>82</v>
      </c>
      <c r="L1052" s="179" t="s">
        <v>6064</v>
      </c>
      <c r="M1052" s="179"/>
      <c r="N1052" s="179"/>
      <c r="O1052" s="52"/>
      <c r="P1052" s="179" t="s">
        <v>22</v>
      </c>
      <c r="Q1052" s="179"/>
      <c r="R1052" s="179"/>
      <c r="S1052" s="179" t="s">
        <v>7747</v>
      </c>
      <c r="T1052" s="54"/>
      <c r="U1052" s="54"/>
    </row>
    <row r="1053" spans="1:21" ht="25.5">
      <c r="A1053" s="6">
        <v>2013</v>
      </c>
      <c r="B1053" s="179" t="s">
        <v>4811</v>
      </c>
      <c r="C1053" s="112" t="s">
        <v>61</v>
      </c>
      <c r="D1053" s="180" t="s">
        <v>1383</v>
      </c>
      <c r="E1053" s="180"/>
      <c r="F1053" s="179" t="s">
        <v>4898</v>
      </c>
      <c r="G1053" s="179" t="s">
        <v>1889</v>
      </c>
      <c r="H1053" s="186">
        <v>20000</v>
      </c>
      <c r="I1053" s="179" t="s">
        <v>1938</v>
      </c>
      <c r="J1053" s="180" t="s">
        <v>1828</v>
      </c>
      <c r="K1053" s="143" t="s">
        <v>82</v>
      </c>
      <c r="L1053" s="179" t="s">
        <v>6064</v>
      </c>
      <c r="M1053" s="179"/>
      <c r="N1053" s="179"/>
      <c r="O1053" s="52"/>
      <c r="P1053" s="179" t="s">
        <v>22</v>
      </c>
      <c r="Q1053" s="179"/>
      <c r="R1053" s="179"/>
      <c r="S1053" s="179" t="s">
        <v>7747</v>
      </c>
      <c r="T1053" s="54"/>
      <c r="U1053" s="54"/>
    </row>
    <row r="1054" spans="1:21" ht="25.5">
      <c r="A1054" s="6">
        <v>2013</v>
      </c>
      <c r="B1054" s="179" t="s">
        <v>4815</v>
      </c>
      <c r="C1054" s="112" t="s">
        <v>61</v>
      </c>
      <c r="D1054" s="180" t="s">
        <v>1383</v>
      </c>
      <c r="E1054" s="180"/>
      <c r="F1054" s="179" t="s">
        <v>4899</v>
      </c>
      <c r="G1054" s="179" t="s">
        <v>1889</v>
      </c>
      <c r="H1054" s="186">
        <v>60000</v>
      </c>
      <c r="I1054" s="179" t="s">
        <v>1938</v>
      </c>
      <c r="J1054" s="180" t="s">
        <v>1828</v>
      </c>
      <c r="K1054" s="143" t="s">
        <v>82</v>
      </c>
      <c r="L1054" s="179" t="s">
        <v>6064</v>
      </c>
      <c r="M1054" s="179"/>
      <c r="N1054" s="179"/>
      <c r="O1054" s="52"/>
      <c r="P1054" s="179" t="s">
        <v>22</v>
      </c>
      <c r="Q1054" s="179"/>
      <c r="R1054" s="179"/>
      <c r="S1054" s="179" t="s">
        <v>7747</v>
      </c>
      <c r="T1054" s="54"/>
      <c r="U1054" s="54"/>
    </row>
    <row r="1055" spans="1:21" ht="25.5">
      <c r="A1055" s="6">
        <v>2013</v>
      </c>
      <c r="B1055" s="179" t="s">
        <v>4900</v>
      </c>
      <c r="C1055" s="112" t="s">
        <v>61</v>
      </c>
      <c r="D1055" s="180" t="s">
        <v>1383</v>
      </c>
      <c r="E1055" s="180"/>
      <c r="F1055" s="179" t="s">
        <v>4901</v>
      </c>
      <c r="G1055" s="179" t="s">
        <v>4837</v>
      </c>
      <c r="H1055" s="186">
        <v>20000</v>
      </c>
      <c r="I1055" s="179" t="s">
        <v>1938</v>
      </c>
      <c r="J1055" s="180" t="s">
        <v>1828</v>
      </c>
      <c r="K1055" s="143" t="s">
        <v>82</v>
      </c>
      <c r="L1055" s="179" t="s">
        <v>6064</v>
      </c>
      <c r="M1055" s="179"/>
      <c r="N1055" s="179"/>
      <c r="O1055" s="52"/>
      <c r="P1055" s="179" t="s">
        <v>22</v>
      </c>
      <c r="Q1055" s="179"/>
      <c r="R1055" s="179"/>
      <c r="S1055" s="179" t="s">
        <v>7747</v>
      </c>
      <c r="T1055" s="54"/>
      <c r="U1055" s="54"/>
    </row>
    <row r="1056" spans="1:21" ht="25.5">
      <c r="A1056" s="6">
        <v>2013</v>
      </c>
      <c r="B1056" s="179" t="s">
        <v>4902</v>
      </c>
      <c r="C1056" s="112" t="s">
        <v>61</v>
      </c>
      <c r="D1056" s="180" t="s">
        <v>1383</v>
      </c>
      <c r="E1056" s="180"/>
      <c r="F1056" s="179" t="s">
        <v>4903</v>
      </c>
      <c r="G1056" s="179" t="s">
        <v>4904</v>
      </c>
      <c r="H1056" s="186">
        <v>20000</v>
      </c>
      <c r="I1056" s="179" t="s">
        <v>1938</v>
      </c>
      <c r="J1056" s="180" t="s">
        <v>2472</v>
      </c>
      <c r="K1056" s="143" t="s">
        <v>82</v>
      </c>
      <c r="L1056" s="179" t="s">
        <v>6064</v>
      </c>
      <c r="M1056" s="179"/>
      <c r="N1056" s="179"/>
      <c r="O1056" s="52"/>
      <c r="P1056" s="179" t="s">
        <v>22</v>
      </c>
      <c r="Q1056" s="179"/>
      <c r="R1056" s="179"/>
      <c r="S1056" s="179" t="s">
        <v>7747</v>
      </c>
      <c r="T1056" s="54"/>
      <c r="U1056" s="54"/>
    </row>
    <row r="1057" spans="1:21" ht="25.5">
      <c r="A1057" s="6">
        <v>2013</v>
      </c>
      <c r="B1057" s="179" t="s">
        <v>4905</v>
      </c>
      <c r="C1057" s="112" t="s">
        <v>61</v>
      </c>
      <c r="D1057" s="180" t="s">
        <v>1383</v>
      </c>
      <c r="E1057" s="180"/>
      <c r="F1057" s="179" t="s">
        <v>4906</v>
      </c>
      <c r="G1057" s="179" t="s">
        <v>4907</v>
      </c>
      <c r="H1057" s="186">
        <v>20000</v>
      </c>
      <c r="I1057" s="179" t="s">
        <v>1938</v>
      </c>
      <c r="J1057" s="180" t="s">
        <v>1828</v>
      </c>
      <c r="K1057" s="143" t="s">
        <v>82</v>
      </c>
      <c r="L1057" s="179" t="s">
        <v>6064</v>
      </c>
      <c r="M1057" s="179"/>
      <c r="N1057" s="179"/>
      <c r="O1057" s="52"/>
      <c r="P1057" s="179" t="s">
        <v>22</v>
      </c>
      <c r="Q1057" s="179"/>
      <c r="R1057" s="179"/>
      <c r="S1057" s="179" t="s">
        <v>7747</v>
      </c>
      <c r="T1057" s="54"/>
      <c r="U1057" s="54"/>
    </row>
    <row r="1058" spans="1:21" ht="25.5">
      <c r="A1058" s="6">
        <v>2013</v>
      </c>
      <c r="B1058" s="179" t="s">
        <v>4908</v>
      </c>
      <c r="C1058" s="112" t="s">
        <v>61</v>
      </c>
      <c r="D1058" s="180" t="s">
        <v>1383</v>
      </c>
      <c r="E1058" s="180"/>
      <c r="F1058" s="179" t="s">
        <v>4909</v>
      </c>
      <c r="G1058" s="179" t="s">
        <v>4910</v>
      </c>
      <c r="H1058" s="186">
        <v>57000</v>
      </c>
      <c r="I1058" s="179" t="s">
        <v>1938</v>
      </c>
      <c r="J1058" s="180" t="s">
        <v>1896</v>
      </c>
      <c r="K1058" s="143" t="s">
        <v>82</v>
      </c>
      <c r="L1058" s="179" t="s">
        <v>6064</v>
      </c>
      <c r="M1058" s="179"/>
      <c r="N1058" s="179"/>
      <c r="O1058" s="52"/>
      <c r="P1058" s="179" t="s">
        <v>22</v>
      </c>
      <c r="Q1058" s="179"/>
      <c r="R1058" s="179"/>
      <c r="S1058" s="179" t="s">
        <v>7747</v>
      </c>
      <c r="T1058" s="54"/>
      <c r="U1058" s="54"/>
    </row>
    <row r="1059" spans="1:21" ht="12.75">
      <c r="A1059" s="6">
        <v>2013</v>
      </c>
      <c r="B1059" s="179" t="s">
        <v>4911</v>
      </c>
      <c r="C1059" s="112" t="s">
        <v>61</v>
      </c>
      <c r="D1059" s="180" t="s">
        <v>1383</v>
      </c>
      <c r="E1059" s="180"/>
      <c r="F1059" s="179" t="s">
        <v>4912</v>
      </c>
      <c r="G1059" s="179" t="s">
        <v>416</v>
      </c>
      <c r="H1059" s="186">
        <v>20000</v>
      </c>
      <c r="I1059" s="179" t="s">
        <v>1938</v>
      </c>
      <c r="J1059" s="180" t="s">
        <v>1828</v>
      </c>
      <c r="K1059" s="143" t="s">
        <v>82</v>
      </c>
      <c r="L1059" s="179" t="s">
        <v>6064</v>
      </c>
      <c r="M1059" s="179"/>
      <c r="N1059" s="179"/>
      <c r="O1059" s="52"/>
      <c r="P1059" s="179" t="s">
        <v>22</v>
      </c>
      <c r="Q1059" s="179"/>
      <c r="R1059" s="179"/>
      <c r="S1059" s="179" t="s">
        <v>7747</v>
      </c>
      <c r="T1059" s="54"/>
      <c r="U1059" s="54"/>
    </row>
    <row r="1060" spans="1:21" ht="38.25">
      <c r="A1060" s="6">
        <v>2013</v>
      </c>
      <c r="B1060" s="179" t="s">
        <v>4913</v>
      </c>
      <c r="C1060" s="112" t="s">
        <v>61</v>
      </c>
      <c r="D1060" s="180" t="s">
        <v>1383</v>
      </c>
      <c r="E1060" s="180"/>
      <c r="F1060" s="179" t="s">
        <v>4914</v>
      </c>
      <c r="G1060" s="179" t="s">
        <v>1641</v>
      </c>
      <c r="H1060" s="186">
        <v>43000</v>
      </c>
      <c r="I1060" s="179" t="s">
        <v>4915</v>
      </c>
      <c r="J1060" s="180" t="s">
        <v>1919</v>
      </c>
      <c r="K1060" s="143" t="s">
        <v>82</v>
      </c>
      <c r="L1060" s="179" t="s">
        <v>7782</v>
      </c>
      <c r="M1060" s="179"/>
      <c r="N1060" s="179"/>
      <c r="O1060" s="52"/>
      <c r="P1060" s="179" t="s">
        <v>22</v>
      </c>
      <c r="Q1060" s="179"/>
      <c r="R1060" s="179"/>
      <c r="S1060" s="179" t="s">
        <v>7747</v>
      </c>
      <c r="T1060" s="54"/>
      <c r="U1060" s="54" t="s">
        <v>6049</v>
      </c>
    </row>
    <row r="1061" spans="1:21" ht="25.5">
      <c r="A1061" s="6">
        <v>2013</v>
      </c>
      <c r="B1061" s="179" t="s">
        <v>4916</v>
      </c>
      <c r="C1061" s="112" t="s">
        <v>61</v>
      </c>
      <c r="D1061" s="180" t="s">
        <v>1383</v>
      </c>
      <c r="E1061" s="180"/>
      <c r="F1061" s="179" t="s">
        <v>4917</v>
      </c>
      <c r="G1061" s="179" t="s">
        <v>1410</v>
      </c>
      <c r="H1061" s="186">
        <v>20000</v>
      </c>
      <c r="I1061" s="179" t="s">
        <v>1938</v>
      </c>
      <c r="J1061" s="180" t="s">
        <v>1828</v>
      </c>
      <c r="K1061" s="143" t="s">
        <v>82</v>
      </c>
      <c r="L1061" s="179" t="s">
        <v>6064</v>
      </c>
      <c r="M1061" s="179"/>
      <c r="N1061" s="179"/>
      <c r="O1061" s="52"/>
      <c r="P1061" s="179" t="s">
        <v>22</v>
      </c>
      <c r="Q1061" s="179"/>
      <c r="R1061" s="179"/>
      <c r="S1061" s="179" t="s">
        <v>7747</v>
      </c>
      <c r="T1061" s="54"/>
      <c r="U1061" s="54"/>
    </row>
    <row r="1062" spans="1:21" ht="25.5">
      <c r="A1062" s="6">
        <v>2013</v>
      </c>
      <c r="B1062" s="179" t="s">
        <v>4918</v>
      </c>
      <c r="C1062" s="112" t="s">
        <v>61</v>
      </c>
      <c r="D1062" s="180" t="s">
        <v>1383</v>
      </c>
      <c r="E1062" s="180"/>
      <c r="F1062" s="179" t="s">
        <v>4919</v>
      </c>
      <c r="G1062" s="179" t="s">
        <v>1585</v>
      </c>
      <c r="H1062" s="186">
        <v>20000</v>
      </c>
      <c r="I1062" s="179" t="s">
        <v>1938</v>
      </c>
      <c r="J1062" s="180" t="s">
        <v>1828</v>
      </c>
      <c r="K1062" s="143" t="s">
        <v>82</v>
      </c>
      <c r="L1062" s="179" t="s">
        <v>6064</v>
      </c>
      <c r="M1062" s="179"/>
      <c r="N1062" s="179"/>
      <c r="O1062" s="52"/>
      <c r="P1062" s="179" t="s">
        <v>22</v>
      </c>
      <c r="Q1062" s="179"/>
      <c r="R1062" s="179"/>
      <c r="S1062" s="179" t="s">
        <v>7747</v>
      </c>
      <c r="T1062" s="54"/>
      <c r="U1062" s="54"/>
    </row>
    <row r="1063" spans="1:21" ht="25.5">
      <c r="A1063" s="6">
        <v>2013</v>
      </c>
      <c r="B1063" s="179" t="s">
        <v>4920</v>
      </c>
      <c r="C1063" s="112" t="s">
        <v>61</v>
      </c>
      <c r="D1063" s="180" t="s">
        <v>1383</v>
      </c>
      <c r="E1063" s="180"/>
      <c r="F1063" s="179" t="s">
        <v>4921</v>
      </c>
      <c r="G1063" s="179" t="s">
        <v>4922</v>
      </c>
      <c r="H1063" s="186">
        <v>50000</v>
      </c>
      <c r="I1063" s="179" t="s">
        <v>1938</v>
      </c>
      <c r="J1063" s="180" t="s">
        <v>1828</v>
      </c>
      <c r="K1063" s="143" t="s">
        <v>82</v>
      </c>
      <c r="L1063" s="179" t="s">
        <v>6064</v>
      </c>
      <c r="M1063" s="179"/>
      <c r="N1063" s="179"/>
      <c r="O1063" s="52"/>
      <c r="P1063" s="179" t="s">
        <v>22</v>
      </c>
      <c r="Q1063" s="179"/>
      <c r="R1063" s="179"/>
      <c r="S1063" s="179" t="s">
        <v>7747</v>
      </c>
      <c r="T1063" s="54"/>
      <c r="U1063" s="54"/>
    </row>
    <row r="1064" spans="1:21" ht="38.25">
      <c r="A1064" s="6">
        <v>2013</v>
      </c>
      <c r="B1064" s="179" t="s">
        <v>4923</v>
      </c>
      <c r="C1064" s="112" t="s">
        <v>61</v>
      </c>
      <c r="D1064" s="180" t="s">
        <v>1383</v>
      </c>
      <c r="E1064" s="180"/>
      <c r="F1064" s="179" t="s">
        <v>4924</v>
      </c>
      <c r="G1064" s="179" t="s">
        <v>4925</v>
      </c>
      <c r="H1064" s="186">
        <v>20000</v>
      </c>
      <c r="I1064" s="179" t="s">
        <v>1938</v>
      </c>
      <c r="J1064" s="180" t="s">
        <v>1828</v>
      </c>
      <c r="K1064" s="143" t="s">
        <v>82</v>
      </c>
      <c r="L1064" s="179" t="s">
        <v>6064</v>
      </c>
      <c r="M1064" s="179"/>
      <c r="N1064" s="179"/>
      <c r="O1064" s="52"/>
      <c r="P1064" s="179" t="s">
        <v>22</v>
      </c>
      <c r="Q1064" s="179"/>
      <c r="R1064" s="179"/>
      <c r="S1064" s="179" t="s">
        <v>7747</v>
      </c>
      <c r="T1064" s="54"/>
      <c r="U1064" s="54"/>
    </row>
    <row r="1065" spans="1:21" ht="38.25">
      <c r="A1065" s="6">
        <v>2013</v>
      </c>
      <c r="B1065" s="179" t="s">
        <v>4926</v>
      </c>
      <c r="C1065" s="112" t="s">
        <v>61</v>
      </c>
      <c r="D1065" s="180" t="s">
        <v>2724</v>
      </c>
      <c r="E1065" s="180"/>
      <c r="F1065" s="179" t="s">
        <v>4927</v>
      </c>
      <c r="G1065" s="179" t="s">
        <v>1598</v>
      </c>
      <c r="H1065" s="194">
        <v>100000</v>
      </c>
      <c r="I1065" s="179" t="s">
        <v>4890</v>
      </c>
      <c r="J1065" s="180" t="s">
        <v>2031</v>
      </c>
      <c r="K1065" s="143" t="s">
        <v>1874</v>
      </c>
      <c r="L1065" s="179" t="s">
        <v>6364</v>
      </c>
      <c r="M1065" s="179"/>
      <c r="N1065" s="179"/>
      <c r="O1065" s="52"/>
      <c r="P1065" s="179" t="s">
        <v>22</v>
      </c>
      <c r="Q1065" s="179"/>
      <c r="R1065" s="179"/>
      <c r="S1065" s="179" t="s">
        <v>7747</v>
      </c>
      <c r="T1065" s="54"/>
      <c r="U1065" s="179"/>
    </row>
    <row r="1066" spans="1:21" ht="38.25">
      <c r="A1066" s="6">
        <v>2013</v>
      </c>
      <c r="B1066" s="179" t="s">
        <v>4928</v>
      </c>
      <c r="C1066" s="112" t="s">
        <v>61</v>
      </c>
      <c r="D1066" s="180" t="s">
        <v>4787</v>
      </c>
      <c r="E1066" s="180"/>
      <c r="F1066" s="179" t="s">
        <v>4929</v>
      </c>
      <c r="G1066" s="179" t="s">
        <v>4930</v>
      </c>
      <c r="H1066" s="194">
        <v>84700</v>
      </c>
      <c r="I1066" s="179" t="s">
        <v>3733</v>
      </c>
      <c r="J1066" s="143" t="s">
        <v>2676</v>
      </c>
      <c r="K1066" s="143" t="s">
        <v>82</v>
      </c>
      <c r="L1066" s="179" t="s">
        <v>6137</v>
      </c>
      <c r="M1066" s="179"/>
      <c r="N1066" s="179"/>
      <c r="O1066" s="52"/>
      <c r="P1066" s="179" t="s">
        <v>6132</v>
      </c>
      <c r="Q1066" s="179"/>
      <c r="R1066" s="179"/>
      <c r="S1066" s="179" t="s">
        <v>7747</v>
      </c>
      <c r="T1066" s="54"/>
      <c r="U1066" s="179"/>
    </row>
    <row r="1067" spans="1:21" ht="38.25">
      <c r="A1067" s="6">
        <v>2013</v>
      </c>
      <c r="B1067" s="179" t="s">
        <v>4931</v>
      </c>
      <c r="C1067" s="112" t="s">
        <v>61</v>
      </c>
      <c r="D1067" s="180" t="s">
        <v>1383</v>
      </c>
      <c r="E1067" s="180"/>
      <c r="F1067" s="179" t="s">
        <v>4932</v>
      </c>
      <c r="G1067" s="179" t="s">
        <v>849</v>
      </c>
      <c r="H1067" s="186">
        <v>30000</v>
      </c>
      <c r="I1067" s="179" t="s">
        <v>4933</v>
      </c>
      <c r="J1067" s="143" t="s">
        <v>2085</v>
      </c>
      <c r="K1067" s="143" t="s">
        <v>82</v>
      </c>
      <c r="L1067" s="179" t="s">
        <v>6064</v>
      </c>
      <c r="M1067" s="179"/>
      <c r="N1067" s="179"/>
      <c r="O1067" s="52"/>
      <c r="P1067" s="179" t="s">
        <v>22</v>
      </c>
      <c r="Q1067" s="179"/>
      <c r="R1067" s="179"/>
      <c r="S1067" s="179" t="s">
        <v>7747</v>
      </c>
      <c r="T1067" s="54"/>
      <c r="U1067" s="54" t="s">
        <v>6049</v>
      </c>
    </row>
    <row r="1068" spans="1:21" ht="63.75">
      <c r="A1068" s="6">
        <v>2013</v>
      </c>
      <c r="B1068" s="179" t="s">
        <v>4934</v>
      </c>
      <c r="C1068" s="112" t="s">
        <v>61</v>
      </c>
      <c r="D1068" s="180" t="s">
        <v>2724</v>
      </c>
      <c r="E1068" s="180"/>
      <c r="F1068" s="179" t="s">
        <v>4935</v>
      </c>
      <c r="G1068" s="179" t="s">
        <v>1598</v>
      </c>
      <c r="H1068" s="194">
        <v>100000</v>
      </c>
      <c r="I1068" s="179" t="s">
        <v>4890</v>
      </c>
      <c r="J1068" s="180" t="s">
        <v>2031</v>
      </c>
      <c r="K1068" s="143" t="s">
        <v>1874</v>
      </c>
      <c r="L1068" s="179" t="s">
        <v>6364</v>
      </c>
      <c r="M1068" s="179"/>
      <c r="N1068" s="179"/>
      <c r="O1068" s="52"/>
      <c r="P1068" s="179" t="s">
        <v>22</v>
      </c>
      <c r="Q1068" s="179"/>
      <c r="R1068" s="179"/>
      <c r="S1068" s="179" t="s">
        <v>7747</v>
      </c>
      <c r="T1068" s="54"/>
      <c r="U1068" s="179"/>
    </row>
    <row r="1069" spans="1:21" ht="38.25">
      <c r="A1069" s="6">
        <v>2013</v>
      </c>
      <c r="B1069" s="179" t="s">
        <v>4936</v>
      </c>
      <c r="C1069" s="112" t="s">
        <v>61</v>
      </c>
      <c r="D1069" s="180" t="s">
        <v>2724</v>
      </c>
      <c r="E1069" s="180"/>
      <c r="F1069" s="179" t="s">
        <v>4937</v>
      </c>
      <c r="G1069" s="179" t="s">
        <v>1598</v>
      </c>
      <c r="H1069" s="194">
        <v>100000</v>
      </c>
      <c r="I1069" s="179" t="s">
        <v>4890</v>
      </c>
      <c r="J1069" s="180" t="s">
        <v>2031</v>
      </c>
      <c r="K1069" s="143" t="s">
        <v>1874</v>
      </c>
      <c r="L1069" s="179" t="s">
        <v>6364</v>
      </c>
      <c r="M1069" s="179"/>
      <c r="N1069" s="179"/>
      <c r="O1069" s="52"/>
      <c r="P1069" s="179" t="s">
        <v>22</v>
      </c>
      <c r="Q1069" s="179"/>
      <c r="R1069" s="179"/>
      <c r="S1069" s="179" t="s">
        <v>7747</v>
      </c>
      <c r="T1069" s="54"/>
      <c r="U1069" s="179"/>
    </row>
    <row r="1070" spans="1:21" ht="76.5">
      <c r="A1070" s="6">
        <v>2013</v>
      </c>
      <c r="B1070" s="179" t="s">
        <v>4938</v>
      </c>
      <c r="C1070" s="112" t="s">
        <v>61</v>
      </c>
      <c r="D1070" s="180" t="s">
        <v>394</v>
      </c>
      <c r="E1070" s="180"/>
      <c r="F1070" s="179" t="s">
        <v>4939</v>
      </c>
      <c r="G1070" s="179" t="s">
        <v>1593</v>
      </c>
      <c r="H1070" s="791">
        <v>36000</v>
      </c>
      <c r="I1070" s="179" t="s">
        <v>4940</v>
      </c>
      <c r="J1070" s="180" t="s">
        <v>1899</v>
      </c>
      <c r="K1070" s="180" t="s">
        <v>1853</v>
      </c>
      <c r="L1070" s="179" t="s">
        <v>7741</v>
      </c>
      <c r="M1070" s="179"/>
      <c r="N1070" s="179"/>
      <c r="O1070" s="52"/>
      <c r="P1070" s="179" t="s">
        <v>22</v>
      </c>
      <c r="Q1070" s="179"/>
      <c r="R1070" s="179"/>
      <c r="S1070" s="179" t="s">
        <v>7747</v>
      </c>
      <c r="T1070" s="54"/>
      <c r="U1070" s="179"/>
    </row>
    <row r="1071" spans="1:21" ht="38.25">
      <c r="A1071" s="6">
        <v>2013</v>
      </c>
      <c r="B1071" s="179" t="s">
        <v>4941</v>
      </c>
      <c r="C1071" s="112" t="s">
        <v>61</v>
      </c>
      <c r="D1071" s="180" t="s">
        <v>1383</v>
      </c>
      <c r="E1071" s="180"/>
      <c r="F1071" s="179" t="s">
        <v>4942</v>
      </c>
      <c r="G1071" s="179" t="s">
        <v>4922</v>
      </c>
      <c r="H1071" s="186">
        <v>20000</v>
      </c>
      <c r="I1071" s="179" t="s">
        <v>1938</v>
      </c>
      <c r="J1071" s="180" t="s">
        <v>1828</v>
      </c>
      <c r="K1071" s="143" t="s">
        <v>82</v>
      </c>
      <c r="L1071" s="179" t="s">
        <v>6064</v>
      </c>
      <c r="M1071" s="179"/>
      <c r="N1071" s="179"/>
      <c r="O1071" s="52"/>
      <c r="P1071" s="179" t="s">
        <v>22</v>
      </c>
      <c r="Q1071" s="179"/>
      <c r="R1071" s="179"/>
      <c r="S1071" s="179" t="s">
        <v>7747</v>
      </c>
      <c r="T1071" s="54"/>
      <c r="U1071" s="54"/>
    </row>
    <row r="1072" spans="1:21" ht="25.5">
      <c r="A1072" s="6">
        <v>2013</v>
      </c>
      <c r="B1072" s="179" t="s">
        <v>4943</v>
      </c>
      <c r="C1072" s="112" t="s">
        <v>61</v>
      </c>
      <c r="D1072" s="180" t="s">
        <v>4787</v>
      </c>
      <c r="E1072" s="180"/>
      <c r="F1072" s="179" t="s">
        <v>4944</v>
      </c>
      <c r="G1072" s="179" t="s">
        <v>4945</v>
      </c>
      <c r="H1072" s="194">
        <v>30000</v>
      </c>
      <c r="I1072" s="179" t="s">
        <v>1938</v>
      </c>
      <c r="J1072" s="180" t="s">
        <v>1828</v>
      </c>
      <c r="K1072" s="143" t="s">
        <v>82</v>
      </c>
      <c r="L1072" s="179" t="s">
        <v>6064</v>
      </c>
      <c r="M1072" s="179"/>
      <c r="N1072" s="179"/>
      <c r="O1072" s="52"/>
      <c r="P1072" s="179" t="s">
        <v>22</v>
      </c>
      <c r="Q1072" s="179"/>
      <c r="R1072" s="179"/>
      <c r="S1072" s="179" t="s">
        <v>7747</v>
      </c>
      <c r="T1072" s="54" t="s">
        <v>7799</v>
      </c>
      <c r="U1072" s="179"/>
    </row>
    <row r="1073" spans="1:21" ht="63.75">
      <c r="A1073" s="6">
        <v>2013</v>
      </c>
      <c r="B1073" s="179" t="s">
        <v>4946</v>
      </c>
      <c r="C1073" s="112" t="s">
        <v>61</v>
      </c>
      <c r="D1073" s="180" t="s">
        <v>1383</v>
      </c>
      <c r="E1073" s="180"/>
      <c r="F1073" s="179" t="s">
        <v>4947</v>
      </c>
      <c r="G1073" s="179" t="s">
        <v>4948</v>
      </c>
      <c r="H1073" s="186">
        <v>40000</v>
      </c>
      <c r="I1073" s="179" t="s">
        <v>4949</v>
      </c>
      <c r="J1073" s="180" t="s">
        <v>1855</v>
      </c>
      <c r="K1073" s="143" t="s">
        <v>82</v>
      </c>
      <c r="L1073" s="179" t="s">
        <v>6064</v>
      </c>
      <c r="M1073" s="179"/>
      <c r="N1073" s="179"/>
      <c r="O1073" s="52"/>
      <c r="P1073" s="179" t="s">
        <v>22</v>
      </c>
      <c r="Q1073" s="179"/>
      <c r="R1073" s="179"/>
      <c r="S1073" s="179" t="s">
        <v>7747</v>
      </c>
      <c r="T1073" s="54" t="s">
        <v>7799</v>
      </c>
      <c r="U1073" s="54"/>
    </row>
    <row r="1074" spans="1:21" ht="76.5">
      <c r="A1074" s="6">
        <v>2013</v>
      </c>
      <c r="B1074" s="179" t="s">
        <v>4950</v>
      </c>
      <c r="C1074" s="112" t="s">
        <v>61</v>
      </c>
      <c r="D1074" s="180" t="s">
        <v>1383</v>
      </c>
      <c r="E1074" s="180"/>
      <c r="F1074" s="179" t="s">
        <v>4951</v>
      </c>
      <c r="G1074" s="179" t="s">
        <v>4952</v>
      </c>
      <c r="H1074" s="186">
        <v>30000</v>
      </c>
      <c r="I1074" s="179" t="s">
        <v>4940</v>
      </c>
      <c r="J1074" s="180" t="s">
        <v>1899</v>
      </c>
      <c r="K1074" s="143" t="s">
        <v>82</v>
      </c>
      <c r="L1074" s="179" t="s">
        <v>6064</v>
      </c>
      <c r="M1074" s="179"/>
      <c r="N1074" s="179"/>
      <c r="O1074" s="52"/>
      <c r="P1074" s="179" t="s">
        <v>22</v>
      </c>
      <c r="Q1074" s="179"/>
      <c r="R1074" s="179"/>
      <c r="S1074" s="179" t="s">
        <v>7747</v>
      </c>
      <c r="T1074" s="54" t="s">
        <v>7799</v>
      </c>
      <c r="U1074" s="54" t="s">
        <v>6049</v>
      </c>
    </row>
    <row r="1075" spans="1:21" ht="76.5">
      <c r="A1075" s="6">
        <v>2013</v>
      </c>
      <c r="B1075" s="179" t="s">
        <v>4953</v>
      </c>
      <c r="C1075" s="112" t="s">
        <v>61</v>
      </c>
      <c r="D1075" s="22" t="s">
        <v>586</v>
      </c>
      <c r="E1075" s="22"/>
      <c r="F1075" s="179" t="s">
        <v>4954</v>
      </c>
      <c r="G1075" s="179" t="s">
        <v>4955</v>
      </c>
      <c r="H1075" s="194">
        <v>50000</v>
      </c>
      <c r="I1075" s="179" t="s">
        <v>4956</v>
      </c>
      <c r="J1075" s="180" t="s">
        <v>1828</v>
      </c>
      <c r="K1075" s="143" t="s">
        <v>1874</v>
      </c>
      <c r="L1075" s="179" t="s">
        <v>6430</v>
      </c>
      <c r="M1075" s="179"/>
      <c r="N1075" s="179"/>
      <c r="O1075" s="52"/>
      <c r="P1075" s="179" t="s">
        <v>6132</v>
      </c>
      <c r="Q1075" s="179"/>
      <c r="R1075" s="179"/>
      <c r="S1075" s="179" t="s">
        <v>7742</v>
      </c>
      <c r="T1075" s="54"/>
      <c r="U1075" s="179"/>
    </row>
    <row r="1076" spans="1:21" ht="38.25">
      <c r="A1076" s="6">
        <v>2013</v>
      </c>
      <c r="B1076" s="179" t="s">
        <v>4957</v>
      </c>
      <c r="C1076" s="112" t="s">
        <v>61</v>
      </c>
      <c r="D1076" s="22" t="s">
        <v>586</v>
      </c>
      <c r="E1076" s="22"/>
      <c r="F1076" s="179" t="s">
        <v>4958</v>
      </c>
      <c r="G1076" s="179" t="s">
        <v>894</v>
      </c>
      <c r="H1076" s="194">
        <v>14840</v>
      </c>
      <c r="I1076" s="179" t="s">
        <v>4959</v>
      </c>
      <c r="J1076" s="180" t="s">
        <v>1828</v>
      </c>
      <c r="K1076" s="143" t="s">
        <v>1874</v>
      </c>
      <c r="L1076" s="179" t="s">
        <v>6430</v>
      </c>
      <c r="M1076" s="179"/>
      <c r="N1076" s="179"/>
      <c r="O1076" s="52"/>
      <c r="P1076" s="179" t="s">
        <v>6132</v>
      </c>
      <c r="Q1076" s="179"/>
      <c r="R1076" s="179"/>
      <c r="S1076" s="179" t="s">
        <v>7742</v>
      </c>
      <c r="T1076" s="54"/>
      <c r="U1076" s="179"/>
    </row>
    <row r="1077" spans="1:21" ht="102">
      <c r="A1077" s="6">
        <v>2013</v>
      </c>
      <c r="B1077" s="179" t="s">
        <v>4960</v>
      </c>
      <c r="C1077" s="112" t="s">
        <v>61</v>
      </c>
      <c r="D1077" s="180" t="s">
        <v>1383</v>
      </c>
      <c r="E1077" s="180"/>
      <c r="F1077" s="179" t="s">
        <v>4961</v>
      </c>
      <c r="G1077" s="179" t="s">
        <v>854</v>
      </c>
      <c r="H1077" s="186">
        <v>40000</v>
      </c>
      <c r="I1077" s="179" t="s">
        <v>4962</v>
      </c>
      <c r="J1077" s="180" t="s">
        <v>1916</v>
      </c>
      <c r="K1077" s="143" t="s">
        <v>82</v>
      </c>
      <c r="L1077" s="179" t="s">
        <v>6064</v>
      </c>
      <c r="M1077" s="179"/>
      <c r="N1077" s="179"/>
      <c r="O1077" s="52"/>
      <c r="P1077" s="179" t="s">
        <v>22</v>
      </c>
      <c r="Q1077" s="179"/>
      <c r="R1077" s="179"/>
      <c r="S1077" s="179" t="s">
        <v>7747</v>
      </c>
      <c r="T1077" s="54"/>
      <c r="U1077" s="54" t="s">
        <v>6049</v>
      </c>
    </row>
    <row r="1078" spans="1:21" ht="51">
      <c r="A1078" s="6">
        <v>2013</v>
      </c>
      <c r="B1078" s="179" t="s">
        <v>4963</v>
      </c>
      <c r="C1078" s="112" t="s">
        <v>61</v>
      </c>
      <c r="D1078" s="22" t="s">
        <v>62</v>
      </c>
      <c r="E1078" s="22"/>
      <c r="F1078" s="179" t="s">
        <v>4964</v>
      </c>
      <c r="G1078" s="179" t="s">
        <v>4965</v>
      </c>
      <c r="H1078" s="791">
        <v>1000000</v>
      </c>
      <c r="I1078" s="179" t="s">
        <v>4966</v>
      </c>
      <c r="J1078" s="180" t="s">
        <v>1899</v>
      </c>
      <c r="K1078" s="143" t="s">
        <v>1904</v>
      </c>
      <c r="L1078" s="179" t="s">
        <v>7806</v>
      </c>
      <c r="M1078" s="179"/>
      <c r="N1078" s="179"/>
      <c r="O1078" s="52"/>
      <c r="P1078" s="179" t="s">
        <v>6179</v>
      </c>
      <c r="Q1078" s="179"/>
      <c r="R1078" s="179"/>
      <c r="S1078" s="179" t="s">
        <v>7745</v>
      </c>
      <c r="T1078" s="54"/>
      <c r="U1078" s="179"/>
    </row>
    <row r="1079" spans="1:21" ht="38.25">
      <c r="A1079" s="6">
        <v>2013</v>
      </c>
      <c r="B1079" s="179" t="s">
        <v>4967</v>
      </c>
      <c r="C1079" s="112" t="s">
        <v>61</v>
      </c>
      <c r="D1079" s="22" t="s">
        <v>62</v>
      </c>
      <c r="E1079" s="22"/>
      <c r="F1079" s="179" t="s">
        <v>4968</v>
      </c>
      <c r="G1079" s="179" t="s">
        <v>4969</v>
      </c>
      <c r="H1079" s="791">
        <v>450155</v>
      </c>
      <c r="I1079" s="179" t="s">
        <v>4970</v>
      </c>
      <c r="J1079" s="180" t="s">
        <v>1899</v>
      </c>
      <c r="K1079" s="143" t="s">
        <v>1904</v>
      </c>
      <c r="L1079" s="179" t="s">
        <v>6364</v>
      </c>
      <c r="M1079" s="179"/>
      <c r="N1079" s="179"/>
      <c r="O1079" s="52"/>
      <c r="P1079" s="179" t="s">
        <v>6179</v>
      </c>
      <c r="Q1079" s="179"/>
      <c r="R1079" s="179"/>
      <c r="S1079" s="179" t="s">
        <v>7745</v>
      </c>
      <c r="T1079" s="54"/>
      <c r="U1079" s="179"/>
    </row>
    <row r="1080" spans="1:21" ht="89.25">
      <c r="A1080" s="6">
        <v>2013</v>
      </c>
      <c r="B1080" s="179" t="s">
        <v>4971</v>
      </c>
      <c r="C1080" s="112" t="s">
        <v>61</v>
      </c>
      <c r="D1080" s="180" t="s">
        <v>1383</v>
      </c>
      <c r="E1080" s="180"/>
      <c r="F1080" s="179" t="s">
        <v>4972</v>
      </c>
      <c r="G1080" s="179" t="s">
        <v>4973</v>
      </c>
      <c r="H1080" s="186">
        <v>27500</v>
      </c>
      <c r="I1080" s="179" t="s">
        <v>4974</v>
      </c>
      <c r="J1080" s="180" t="s">
        <v>1828</v>
      </c>
      <c r="K1080" s="143" t="s">
        <v>82</v>
      </c>
      <c r="L1080" s="179" t="s">
        <v>6064</v>
      </c>
      <c r="M1080" s="179"/>
      <c r="N1080" s="179"/>
      <c r="O1080" s="52"/>
      <c r="P1080" s="179" t="s">
        <v>6132</v>
      </c>
      <c r="Q1080" s="179"/>
      <c r="R1080" s="179"/>
      <c r="S1080" s="179" t="s">
        <v>7745</v>
      </c>
      <c r="T1080" s="54"/>
      <c r="U1080" s="54"/>
    </row>
    <row r="1081" spans="1:21" ht="51">
      <c r="A1081" s="6">
        <v>2013</v>
      </c>
      <c r="B1081" s="179" t="s">
        <v>4975</v>
      </c>
      <c r="C1081" s="112" t="s">
        <v>61</v>
      </c>
      <c r="D1081" s="22" t="s">
        <v>586</v>
      </c>
      <c r="E1081" s="22"/>
      <c r="F1081" s="179" t="s">
        <v>4976</v>
      </c>
      <c r="G1081" s="179" t="s">
        <v>4977</v>
      </c>
      <c r="H1081" s="194">
        <v>1050</v>
      </c>
      <c r="I1081" s="179" t="s">
        <v>4978</v>
      </c>
      <c r="J1081" s="180" t="s">
        <v>2472</v>
      </c>
      <c r="K1081" s="143" t="s">
        <v>1874</v>
      </c>
      <c r="L1081" s="179" t="s">
        <v>7810</v>
      </c>
      <c r="M1081" s="179"/>
      <c r="N1081" s="179"/>
      <c r="O1081" s="52"/>
      <c r="P1081" s="179" t="s">
        <v>6132</v>
      </c>
      <c r="Q1081" s="179"/>
      <c r="R1081" s="179"/>
      <c r="S1081" s="179" t="s">
        <v>7742</v>
      </c>
      <c r="T1081" s="54"/>
      <c r="U1081" s="179"/>
    </row>
    <row r="1082" spans="1:21" ht="25.5">
      <c r="A1082" s="6">
        <v>2013</v>
      </c>
      <c r="B1082" s="179" t="s">
        <v>4979</v>
      </c>
      <c r="C1082" s="112" t="s">
        <v>61</v>
      </c>
      <c r="D1082" s="180" t="s">
        <v>1383</v>
      </c>
      <c r="E1082" s="180"/>
      <c r="F1082" s="179" t="s">
        <v>4980</v>
      </c>
      <c r="G1082" s="179" t="s">
        <v>842</v>
      </c>
      <c r="H1082" s="186">
        <v>30000</v>
      </c>
      <c r="I1082" s="179" t="s">
        <v>4981</v>
      </c>
      <c r="J1082" s="143" t="s">
        <v>2130</v>
      </c>
      <c r="K1082" s="143" t="s">
        <v>82</v>
      </c>
      <c r="L1082" s="179" t="s">
        <v>6064</v>
      </c>
      <c r="M1082" s="179"/>
      <c r="N1082" s="179"/>
      <c r="O1082" s="52"/>
      <c r="P1082" s="179" t="s">
        <v>22</v>
      </c>
      <c r="Q1082" s="179"/>
      <c r="R1082" s="179"/>
      <c r="S1082" s="179" t="s">
        <v>7747</v>
      </c>
      <c r="T1082" s="54"/>
      <c r="U1082" s="54" t="s">
        <v>6049</v>
      </c>
    </row>
    <row r="1083" spans="1:21" ht="89.25">
      <c r="A1083" s="6">
        <v>2012</v>
      </c>
      <c r="B1083" s="185">
        <v>40909</v>
      </c>
      <c r="C1083" s="112" t="s">
        <v>61</v>
      </c>
      <c r="D1083" s="180" t="s">
        <v>4982</v>
      </c>
      <c r="E1083" s="180"/>
      <c r="F1083" s="178" t="s">
        <v>4983</v>
      </c>
      <c r="G1083" s="178" t="s">
        <v>581</v>
      </c>
      <c r="H1083" s="194">
        <v>872700</v>
      </c>
      <c r="I1083" s="187" t="s">
        <v>4984</v>
      </c>
      <c r="J1083" s="180" t="s">
        <v>1916</v>
      </c>
      <c r="K1083" s="180" t="s">
        <v>1904</v>
      </c>
      <c r="L1083" s="179" t="s">
        <v>1824</v>
      </c>
      <c r="M1083" s="178"/>
      <c r="N1083" s="178"/>
      <c r="O1083" s="52"/>
      <c r="P1083" s="536" t="s">
        <v>1808</v>
      </c>
      <c r="Q1083" s="54"/>
      <c r="R1083" s="54"/>
      <c r="S1083" s="54"/>
      <c r="T1083" s="179" t="s">
        <v>7814</v>
      </c>
      <c r="U1083" s="187"/>
    </row>
    <row r="1084" spans="1:21" ht="38.25">
      <c r="A1084" s="6">
        <v>2012</v>
      </c>
      <c r="B1084" s="185">
        <v>40940</v>
      </c>
      <c r="C1084" s="112" t="s">
        <v>61</v>
      </c>
      <c r="D1084" s="180" t="s">
        <v>4982</v>
      </c>
      <c r="E1084" s="180"/>
      <c r="F1084" s="179" t="s">
        <v>4985</v>
      </c>
      <c r="G1084" s="179" t="s">
        <v>1389</v>
      </c>
      <c r="H1084" s="194">
        <v>872700</v>
      </c>
      <c r="I1084" s="187" t="s">
        <v>4986</v>
      </c>
      <c r="J1084" s="180" t="s">
        <v>2031</v>
      </c>
      <c r="K1084" s="180" t="s">
        <v>1904</v>
      </c>
      <c r="L1084" s="179" t="s">
        <v>1824</v>
      </c>
      <c r="M1084" s="179"/>
      <c r="N1084" s="179"/>
      <c r="O1084" s="52"/>
      <c r="P1084" s="536" t="s">
        <v>1808</v>
      </c>
      <c r="Q1084" s="54"/>
      <c r="R1084" s="54"/>
      <c r="S1084" s="54"/>
      <c r="T1084" s="179" t="s">
        <v>7814</v>
      </c>
      <c r="U1084" s="187"/>
    </row>
    <row r="1085" spans="1:21" ht="38.25">
      <c r="A1085" s="6">
        <v>2012</v>
      </c>
      <c r="B1085" s="185">
        <v>40969</v>
      </c>
      <c r="C1085" s="112" t="s">
        <v>61</v>
      </c>
      <c r="D1085" s="180" t="s">
        <v>4987</v>
      </c>
      <c r="E1085" s="180"/>
      <c r="F1085" s="179" t="s">
        <v>4988</v>
      </c>
      <c r="G1085" s="187" t="s">
        <v>1389</v>
      </c>
      <c r="H1085" s="186">
        <v>872700</v>
      </c>
      <c r="I1085" s="187" t="s">
        <v>4986</v>
      </c>
      <c r="J1085" s="180" t="s">
        <v>2031</v>
      </c>
      <c r="K1085" s="180" t="s">
        <v>1904</v>
      </c>
      <c r="L1085" s="179" t="s">
        <v>1824</v>
      </c>
      <c r="M1085" s="179"/>
      <c r="N1085" s="179"/>
      <c r="O1085" s="52"/>
      <c r="P1085" s="536" t="s">
        <v>1808</v>
      </c>
      <c r="Q1085" s="54"/>
      <c r="R1085" s="54"/>
      <c r="S1085" s="54"/>
      <c r="T1085" s="179" t="s">
        <v>7814</v>
      </c>
      <c r="U1085" s="187"/>
    </row>
    <row r="1086" spans="1:21" ht="76.5">
      <c r="A1086" s="6">
        <v>2012</v>
      </c>
      <c r="B1086" s="185">
        <v>41000</v>
      </c>
      <c r="C1086" s="112" t="s">
        <v>61</v>
      </c>
      <c r="D1086" s="180" t="s">
        <v>652</v>
      </c>
      <c r="E1086" s="180"/>
      <c r="F1086" s="179" t="s">
        <v>4989</v>
      </c>
      <c r="G1086" s="179" t="s">
        <v>4990</v>
      </c>
      <c r="H1086" s="195">
        <v>1276000</v>
      </c>
      <c r="I1086" s="187" t="s">
        <v>4991</v>
      </c>
      <c r="J1086" s="180" t="s">
        <v>1828</v>
      </c>
      <c r="K1086" s="180" t="s">
        <v>1874</v>
      </c>
      <c r="L1086" s="179" t="s">
        <v>6217</v>
      </c>
      <c r="M1086" s="179"/>
      <c r="N1086" s="179"/>
      <c r="O1086" s="52"/>
      <c r="P1086" s="536" t="s">
        <v>6132</v>
      </c>
      <c r="Q1086" s="54"/>
      <c r="R1086" s="54"/>
      <c r="S1086" s="54"/>
      <c r="T1086" s="179" t="s">
        <v>12090</v>
      </c>
      <c r="U1086" s="187"/>
    </row>
    <row r="1087" spans="1:21" ht="89.25">
      <c r="A1087" s="6">
        <v>2012</v>
      </c>
      <c r="B1087" s="179" t="s">
        <v>4992</v>
      </c>
      <c r="C1087" s="112" t="s">
        <v>3096</v>
      </c>
      <c r="D1087" s="191" t="s">
        <v>4993</v>
      </c>
      <c r="E1087" s="191"/>
      <c r="F1087" s="179" t="s">
        <v>4995</v>
      </c>
      <c r="G1087" s="179" t="s">
        <v>2331</v>
      </c>
      <c r="H1087" s="179" t="s">
        <v>12091</v>
      </c>
      <c r="I1087" s="187" t="s">
        <v>4996</v>
      </c>
      <c r="J1087" s="179" t="s">
        <v>1828</v>
      </c>
      <c r="K1087" s="54"/>
      <c r="L1087" s="179" t="s">
        <v>1824</v>
      </c>
      <c r="M1087" s="334">
        <v>40970</v>
      </c>
      <c r="N1087" s="180" t="s">
        <v>12092</v>
      </c>
      <c r="O1087" s="52"/>
      <c r="P1087" s="536" t="s">
        <v>1808</v>
      </c>
      <c r="Q1087" s="54"/>
      <c r="R1087" s="54"/>
      <c r="S1087" s="54"/>
      <c r="T1087" s="179" t="s">
        <v>12093</v>
      </c>
      <c r="U1087" s="187"/>
    </row>
    <row r="1088" spans="1:21" ht="51">
      <c r="A1088" s="6">
        <v>2012</v>
      </c>
      <c r="B1088" s="185">
        <v>41091</v>
      </c>
      <c r="C1088" s="112" t="s">
        <v>61</v>
      </c>
      <c r="D1088" s="191" t="s">
        <v>4993</v>
      </c>
      <c r="E1088" s="191"/>
      <c r="F1088" s="179" t="s">
        <v>4997</v>
      </c>
      <c r="G1088" s="179" t="s">
        <v>2331</v>
      </c>
      <c r="H1088" s="186">
        <v>276000</v>
      </c>
      <c r="I1088" s="187" t="s">
        <v>4996</v>
      </c>
      <c r="J1088" s="180" t="s">
        <v>1828</v>
      </c>
      <c r="K1088" s="180" t="s">
        <v>82</v>
      </c>
      <c r="L1088" s="179" t="s">
        <v>1824</v>
      </c>
      <c r="M1088" s="334">
        <v>40970</v>
      </c>
      <c r="N1088" s="22" t="s">
        <v>12094</v>
      </c>
      <c r="O1088" s="52"/>
      <c r="P1088" s="536" t="s">
        <v>1808</v>
      </c>
      <c r="Q1088" s="54"/>
      <c r="R1088" s="54"/>
      <c r="S1088" s="54"/>
      <c r="T1088" s="54"/>
      <c r="U1088" s="187"/>
    </row>
    <row r="1089" spans="1:21" ht="38.25">
      <c r="A1089" s="6">
        <v>2012</v>
      </c>
      <c r="B1089" s="179" t="s">
        <v>4998</v>
      </c>
      <c r="C1089" s="112" t="s">
        <v>61</v>
      </c>
      <c r="D1089" s="191" t="s">
        <v>4993</v>
      </c>
      <c r="E1089" s="191"/>
      <c r="F1089" s="179" t="s">
        <v>4999</v>
      </c>
      <c r="G1089" s="179" t="s">
        <v>5000</v>
      </c>
      <c r="H1089" s="186">
        <v>680000</v>
      </c>
      <c r="I1089" s="187"/>
      <c r="J1089" s="180"/>
      <c r="K1089" s="180" t="s">
        <v>82</v>
      </c>
      <c r="L1089" s="179" t="s">
        <v>1824</v>
      </c>
      <c r="M1089" s="334">
        <v>40970</v>
      </c>
      <c r="N1089" s="180" t="s">
        <v>12095</v>
      </c>
      <c r="O1089" s="52"/>
      <c r="P1089" s="536" t="s">
        <v>1808</v>
      </c>
      <c r="Q1089" s="54"/>
      <c r="R1089" s="54"/>
      <c r="S1089" s="54"/>
      <c r="T1089" s="54"/>
      <c r="U1089" s="187"/>
    </row>
    <row r="1090" spans="1:21" ht="25.5">
      <c r="A1090" s="6">
        <v>2012</v>
      </c>
      <c r="B1090" s="185">
        <v>41153</v>
      </c>
      <c r="C1090" s="112" t="s">
        <v>61</v>
      </c>
      <c r="D1090" s="22" t="s">
        <v>62</v>
      </c>
      <c r="E1090" s="22"/>
      <c r="F1090" s="178" t="s">
        <v>5001</v>
      </c>
      <c r="G1090" s="178" t="s">
        <v>5002</v>
      </c>
      <c r="H1090" s="799">
        <v>500000</v>
      </c>
      <c r="I1090" s="187" t="s">
        <v>5003</v>
      </c>
      <c r="J1090" s="180" t="s">
        <v>2031</v>
      </c>
      <c r="K1090" s="180" t="s">
        <v>1904</v>
      </c>
      <c r="L1090" s="179" t="s">
        <v>6170</v>
      </c>
      <c r="M1090" s="178"/>
      <c r="N1090" s="178"/>
      <c r="O1090" s="52"/>
      <c r="P1090" s="179" t="s">
        <v>6179</v>
      </c>
      <c r="Q1090" s="54"/>
      <c r="R1090" s="54"/>
      <c r="S1090" s="54"/>
      <c r="T1090" s="54"/>
      <c r="U1090" s="187"/>
    </row>
    <row r="1091" spans="1:21" ht="38.25">
      <c r="A1091" s="6">
        <v>2012</v>
      </c>
      <c r="B1091" s="185">
        <v>41183</v>
      </c>
      <c r="C1091" s="112" t="s">
        <v>61</v>
      </c>
      <c r="D1091" s="22" t="s">
        <v>62</v>
      </c>
      <c r="E1091" s="22"/>
      <c r="F1091" s="179" t="s">
        <v>5004</v>
      </c>
      <c r="G1091" s="179" t="s">
        <v>5005</v>
      </c>
      <c r="H1091" s="801">
        <v>240018.59</v>
      </c>
      <c r="I1091" s="187" t="s">
        <v>5006</v>
      </c>
      <c r="J1091" s="180" t="s">
        <v>1899</v>
      </c>
      <c r="K1091" s="180" t="s">
        <v>1904</v>
      </c>
      <c r="L1091" s="179" t="s">
        <v>6170</v>
      </c>
      <c r="M1091" s="179"/>
      <c r="N1091" s="179"/>
      <c r="O1091" s="52"/>
      <c r="P1091" s="179" t="s">
        <v>6179</v>
      </c>
      <c r="Q1091" s="54"/>
      <c r="R1091" s="54"/>
      <c r="S1091" s="54"/>
      <c r="T1091" s="54"/>
      <c r="U1091" s="187"/>
    </row>
    <row r="1092" spans="1:21" ht="38.25">
      <c r="A1092" s="6">
        <v>2012</v>
      </c>
      <c r="B1092" s="192">
        <v>41214</v>
      </c>
      <c r="C1092" s="112" t="s">
        <v>61</v>
      </c>
      <c r="D1092" s="180" t="s">
        <v>4987</v>
      </c>
      <c r="E1092" s="180"/>
      <c r="F1092" s="179" t="s">
        <v>5007</v>
      </c>
      <c r="G1092" s="179" t="s">
        <v>650</v>
      </c>
      <c r="H1092" s="186">
        <v>442700</v>
      </c>
      <c r="I1092" s="187" t="s">
        <v>4877</v>
      </c>
      <c r="J1092" s="180" t="s">
        <v>2085</v>
      </c>
      <c r="K1092" s="180" t="s">
        <v>1904</v>
      </c>
      <c r="L1092" s="179" t="s">
        <v>1824</v>
      </c>
      <c r="M1092" s="179"/>
      <c r="N1092" s="179"/>
      <c r="O1092" s="52"/>
      <c r="P1092" s="536" t="s">
        <v>1808</v>
      </c>
      <c r="Q1092" s="54"/>
      <c r="R1092" s="54"/>
      <c r="S1092" s="54"/>
      <c r="T1092" s="194" t="s">
        <v>7831</v>
      </c>
      <c r="U1092" s="187"/>
    </row>
    <row r="1093" spans="1:21" ht="25.5">
      <c r="A1093" s="6">
        <v>2012</v>
      </c>
      <c r="B1093" s="192">
        <v>41244</v>
      </c>
      <c r="C1093" s="112" t="s">
        <v>61</v>
      </c>
      <c r="D1093" s="180" t="s">
        <v>4987</v>
      </c>
      <c r="E1093" s="180"/>
      <c r="F1093" s="179" t="s">
        <v>5008</v>
      </c>
      <c r="G1093" s="179" t="s">
        <v>5009</v>
      </c>
      <c r="H1093" s="186">
        <v>442700</v>
      </c>
      <c r="I1093" s="187" t="s">
        <v>5010</v>
      </c>
      <c r="J1093" s="180" t="s">
        <v>2472</v>
      </c>
      <c r="K1093" s="180" t="s">
        <v>1904</v>
      </c>
      <c r="L1093" s="179" t="s">
        <v>1824</v>
      </c>
      <c r="M1093" s="179"/>
      <c r="N1093" s="179"/>
      <c r="O1093" s="52"/>
      <c r="P1093" s="536" t="s">
        <v>1808</v>
      </c>
      <c r="Q1093" s="54"/>
      <c r="R1093" s="54"/>
      <c r="S1093" s="54"/>
      <c r="T1093" s="179" t="s">
        <v>7831</v>
      </c>
      <c r="U1093" s="187"/>
    </row>
    <row r="1094" spans="1:21" ht="51">
      <c r="A1094" s="6">
        <v>2012</v>
      </c>
      <c r="B1094" s="179" t="s">
        <v>5011</v>
      </c>
      <c r="C1094" s="112" t="s">
        <v>61</v>
      </c>
      <c r="D1094" s="180" t="s">
        <v>1383</v>
      </c>
      <c r="E1094" s="180"/>
      <c r="F1094" s="179" t="s">
        <v>5012</v>
      </c>
      <c r="G1094" s="179" t="s">
        <v>3333</v>
      </c>
      <c r="H1094" s="186">
        <v>400000</v>
      </c>
      <c r="I1094" s="179" t="s">
        <v>5013</v>
      </c>
      <c r="J1094" s="180" t="s">
        <v>1828</v>
      </c>
      <c r="K1094" s="143" t="s">
        <v>82</v>
      </c>
      <c r="L1094" s="179" t="s">
        <v>1824</v>
      </c>
      <c r="M1094" s="334">
        <v>40997</v>
      </c>
      <c r="N1094" s="180" t="s">
        <v>12096</v>
      </c>
      <c r="O1094" s="52"/>
      <c r="P1094" s="536" t="s">
        <v>1808</v>
      </c>
      <c r="Q1094" s="54"/>
      <c r="R1094" s="54"/>
      <c r="S1094" s="54"/>
      <c r="T1094" s="54"/>
      <c r="U1094" s="190"/>
    </row>
    <row r="1095" spans="1:21" ht="38.25">
      <c r="A1095" s="6">
        <v>2012</v>
      </c>
      <c r="B1095" s="179" t="s">
        <v>5014</v>
      </c>
      <c r="C1095" s="112" t="s">
        <v>61</v>
      </c>
      <c r="D1095" s="180" t="s">
        <v>1763</v>
      </c>
      <c r="E1095" s="180"/>
      <c r="F1095" s="179" t="s">
        <v>5015</v>
      </c>
      <c r="G1095" s="178" t="s">
        <v>2331</v>
      </c>
      <c r="H1095" s="194">
        <v>200000</v>
      </c>
      <c r="I1095" s="179" t="s">
        <v>5013</v>
      </c>
      <c r="J1095" s="180" t="s">
        <v>1828</v>
      </c>
      <c r="K1095" s="143" t="s">
        <v>82</v>
      </c>
      <c r="L1095" s="179" t="s">
        <v>1824</v>
      </c>
      <c r="M1095" s="334">
        <v>40997</v>
      </c>
      <c r="N1095" s="802" t="s">
        <v>12097</v>
      </c>
      <c r="O1095" s="52"/>
      <c r="P1095" s="536" t="s">
        <v>1808</v>
      </c>
      <c r="Q1095" s="54"/>
      <c r="R1095" s="54"/>
      <c r="S1095" s="54"/>
      <c r="T1095" s="54"/>
      <c r="U1095" s="179"/>
    </row>
    <row r="1096" spans="1:21" ht="51">
      <c r="A1096" s="6">
        <v>2012</v>
      </c>
      <c r="B1096" s="179" t="s">
        <v>5016</v>
      </c>
      <c r="C1096" s="112" t="s">
        <v>61</v>
      </c>
      <c r="D1096" s="22" t="s">
        <v>62</v>
      </c>
      <c r="E1096" s="22"/>
      <c r="F1096" s="179" t="s">
        <v>5017</v>
      </c>
      <c r="G1096" s="178" t="s">
        <v>4518</v>
      </c>
      <c r="H1096" s="791">
        <v>270028.34999999998</v>
      </c>
      <c r="I1096" s="179" t="s">
        <v>5018</v>
      </c>
      <c r="J1096" s="180" t="s">
        <v>1828</v>
      </c>
      <c r="K1096" s="180" t="s">
        <v>1904</v>
      </c>
      <c r="L1096" s="179" t="s">
        <v>6170</v>
      </c>
      <c r="M1096" s="179"/>
      <c r="N1096" s="179"/>
      <c r="O1096" s="52"/>
      <c r="P1096" s="179" t="s">
        <v>6179</v>
      </c>
      <c r="Q1096" s="54"/>
      <c r="R1096" s="54"/>
      <c r="S1096" s="54"/>
      <c r="T1096" s="54"/>
      <c r="U1096" s="179"/>
    </row>
    <row r="1097" spans="1:21" ht="63.75">
      <c r="A1097" s="6">
        <v>2012</v>
      </c>
      <c r="B1097" s="179" t="s">
        <v>5019</v>
      </c>
      <c r="C1097" s="112" t="s">
        <v>61</v>
      </c>
      <c r="D1097" s="180" t="s">
        <v>2724</v>
      </c>
      <c r="E1097" s="180"/>
      <c r="F1097" s="178" t="s">
        <v>5020</v>
      </c>
      <c r="G1097" s="179" t="s">
        <v>722</v>
      </c>
      <c r="H1097" s="194">
        <v>154000</v>
      </c>
      <c r="I1097" s="179" t="s">
        <v>5021</v>
      </c>
      <c r="J1097" s="180" t="s">
        <v>1899</v>
      </c>
      <c r="K1097" s="180" t="s">
        <v>1874</v>
      </c>
      <c r="L1097" s="179" t="s">
        <v>6217</v>
      </c>
      <c r="M1097" s="178"/>
      <c r="N1097" s="178"/>
      <c r="O1097" s="52"/>
      <c r="P1097" s="536" t="s">
        <v>1808</v>
      </c>
      <c r="Q1097" s="54"/>
      <c r="R1097" s="54"/>
      <c r="S1097" s="54"/>
      <c r="T1097" s="54"/>
      <c r="U1097" s="179"/>
    </row>
    <row r="1098" spans="1:21" ht="63.75">
      <c r="A1098" s="6">
        <v>2012</v>
      </c>
      <c r="B1098" s="179" t="s">
        <v>5022</v>
      </c>
      <c r="C1098" s="179" t="s">
        <v>61</v>
      </c>
      <c r="D1098" s="180" t="s">
        <v>4787</v>
      </c>
      <c r="E1098" s="180"/>
      <c r="F1098" s="179" t="s">
        <v>5023</v>
      </c>
      <c r="G1098" s="6" t="s">
        <v>5024</v>
      </c>
      <c r="H1098" s="186">
        <v>227000</v>
      </c>
      <c r="I1098" s="6" t="s">
        <v>5024</v>
      </c>
      <c r="J1098" s="180" t="s">
        <v>1828</v>
      </c>
      <c r="K1098" s="180" t="s">
        <v>82</v>
      </c>
      <c r="L1098" s="179" t="s">
        <v>6189</v>
      </c>
      <c r="M1098" s="803">
        <v>41187</v>
      </c>
      <c r="N1098" s="179"/>
      <c r="O1098" s="52"/>
      <c r="P1098" s="536" t="s">
        <v>1808</v>
      </c>
      <c r="Q1098" s="54"/>
      <c r="R1098" s="54"/>
      <c r="S1098" s="54"/>
      <c r="T1098" s="54"/>
      <c r="U1098" s="6"/>
    </row>
    <row r="1099" spans="1:21" ht="51">
      <c r="A1099" s="6">
        <v>2012</v>
      </c>
      <c r="B1099" s="179" t="s">
        <v>5025</v>
      </c>
      <c r="C1099" s="112" t="s">
        <v>61</v>
      </c>
      <c r="D1099" s="22" t="s">
        <v>62</v>
      </c>
      <c r="E1099" s="22"/>
      <c r="F1099" s="179" t="s">
        <v>4115</v>
      </c>
      <c r="G1099" s="179" t="s">
        <v>5026</v>
      </c>
      <c r="H1099" s="791">
        <v>212321.03</v>
      </c>
      <c r="I1099" s="179" t="s">
        <v>5027</v>
      </c>
      <c r="J1099" s="180" t="s">
        <v>1828</v>
      </c>
      <c r="K1099" s="180" t="s">
        <v>1904</v>
      </c>
      <c r="L1099" s="179" t="s">
        <v>7842</v>
      </c>
      <c r="M1099" s="179"/>
      <c r="N1099" s="179"/>
      <c r="O1099" s="52"/>
      <c r="P1099" s="179" t="s">
        <v>6132</v>
      </c>
      <c r="Q1099" s="54"/>
      <c r="R1099" s="54"/>
      <c r="S1099" s="54"/>
      <c r="T1099" s="54"/>
      <c r="U1099" s="179"/>
    </row>
    <row r="1100" spans="1:21" ht="38.25">
      <c r="A1100" s="6">
        <v>2012</v>
      </c>
      <c r="B1100" s="179" t="s">
        <v>5028</v>
      </c>
      <c r="C1100" s="112" t="s">
        <v>61</v>
      </c>
      <c r="D1100" s="180" t="s">
        <v>1383</v>
      </c>
      <c r="E1100" s="180"/>
      <c r="F1100" s="179" t="s">
        <v>5029</v>
      </c>
      <c r="G1100" s="179" t="s">
        <v>1389</v>
      </c>
      <c r="H1100" s="186">
        <v>714600</v>
      </c>
      <c r="I1100" s="179" t="s">
        <v>4986</v>
      </c>
      <c r="J1100" s="180" t="s">
        <v>2031</v>
      </c>
      <c r="K1100" s="143" t="s">
        <v>82</v>
      </c>
      <c r="L1100" s="179" t="s">
        <v>6064</v>
      </c>
      <c r="M1100" s="179"/>
      <c r="N1100" s="179"/>
      <c r="O1100" s="52"/>
      <c r="P1100" s="536" t="s">
        <v>1808</v>
      </c>
      <c r="Q1100" s="54"/>
      <c r="R1100" s="54"/>
      <c r="S1100" s="54"/>
      <c r="T1100" s="54"/>
      <c r="U1100" s="54"/>
    </row>
    <row r="1101" spans="1:21" ht="38.25">
      <c r="A1101" s="6">
        <v>2012</v>
      </c>
      <c r="B1101" s="179" t="s">
        <v>5030</v>
      </c>
      <c r="C1101" s="112" t="s">
        <v>61</v>
      </c>
      <c r="D1101" s="180" t="s">
        <v>5031</v>
      </c>
      <c r="E1101" s="180"/>
      <c r="F1101" s="179" t="s">
        <v>5032</v>
      </c>
      <c r="G1101" s="179" t="s">
        <v>5033</v>
      </c>
      <c r="H1101" s="791">
        <v>120000</v>
      </c>
      <c r="I1101" s="187" t="s">
        <v>5034</v>
      </c>
      <c r="J1101" s="180" t="s">
        <v>1828</v>
      </c>
      <c r="K1101" s="180" t="s">
        <v>82</v>
      </c>
      <c r="L1101" s="179" t="s">
        <v>6064</v>
      </c>
      <c r="M1101" s="179"/>
      <c r="N1101" s="179"/>
      <c r="O1101" s="52"/>
      <c r="P1101" s="536" t="s">
        <v>1808</v>
      </c>
      <c r="Q1101" s="54"/>
      <c r="R1101" s="54"/>
      <c r="S1101" s="54"/>
      <c r="T1101" s="54"/>
      <c r="U1101" s="187"/>
    </row>
    <row r="1102" spans="1:21" ht="51">
      <c r="A1102" s="6">
        <v>2012</v>
      </c>
      <c r="B1102" s="179" t="s">
        <v>5035</v>
      </c>
      <c r="C1102" s="112" t="s">
        <v>61</v>
      </c>
      <c r="D1102" s="180" t="s">
        <v>1383</v>
      </c>
      <c r="E1102" s="180"/>
      <c r="F1102" s="179" t="s">
        <v>5036</v>
      </c>
      <c r="G1102" s="179" t="s">
        <v>5037</v>
      </c>
      <c r="H1102" s="186">
        <v>200000</v>
      </c>
      <c r="I1102" s="187"/>
      <c r="J1102" s="796" t="s">
        <v>1899</v>
      </c>
      <c r="K1102" s="143" t="s">
        <v>82</v>
      </c>
      <c r="L1102" s="179" t="s">
        <v>6064</v>
      </c>
      <c r="M1102" s="179"/>
      <c r="N1102" s="179"/>
      <c r="O1102" s="52"/>
      <c r="P1102" s="536" t="s">
        <v>1808</v>
      </c>
      <c r="Q1102" s="54"/>
      <c r="R1102" s="54"/>
      <c r="S1102" s="54"/>
      <c r="T1102" s="54"/>
      <c r="U1102" s="54"/>
    </row>
    <row r="1103" spans="1:21" ht="25.5">
      <c r="A1103" s="6">
        <v>2012</v>
      </c>
      <c r="B1103" s="179" t="s">
        <v>5038</v>
      </c>
      <c r="C1103" s="112" t="s">
        <v>61</v>
      </c>
      <c r="D1103" s="180" t="s">
        <v>1383</v>
      </c>
      <c r="E1103" s="180"/>
      <c r="F1103" s="179" t="s">
        <v>5039</v>
      </c>
      <c r="G1103" s="179" t="s">
        <v>5040</v>
      </c>
      <c r="H1103" s="186">
        <v>520000</v>
      </c>
      <c r="I1103" s="187" t="s">
        <v>5041</v>
      </c>
      <c r="J1103" s="180" t="s">
        <v>2047</v>
      </c>
      <c r="K1103" s="143" t="s">
        <v>82</v>
      </c>
      <c r="L1103" s="179" t="s">
        <v>6064</v>
      </c>
      <c r="M1103" s="179"/>
      <c r="N1103" s="179"/>
      <c r="O1103" s="52"/>
      <c r="P1103" s="536" t="s">
        <v>1808</v>
      </c>
      <c r="Q1103" s="54"/>
      <c r="R1103" s="54"/>
      <c r="S1103" s="54"/>
      <c r="T1103" s="54"/>
      <c r="U1103" s="54"/>
    </row>
    <row r="1104" spans="1:21" ht="51">
      <c r="A1104" s="6">
        <v>2012</v>
      </c>
      <c r="B1104" s="179" t="s">
        <v>5042</v>
      </c>
      <c r="C1104" s="112" t="s">
        <v>61</v>
      </c>
      <c r="D1104" s="180" t="s">
        <v>5043</v>
      </c>
      <c r="E1104" s="180"/>
      <c r="F1104" s="179" t="s">
        <v>5044</v>
      </c>
      <c r="G1104" s="179" t="s">
        <v>5045</v>
      </c>
      <c r="H1104" s="194">
        <v>250000</v>
      </c>
      <c r="I1104" s="187" t="s">
        <v>5046</v>
      </c>
      <c r="J1104" s="180" t="s">
        <v>1828</v>
      </c>
      <c r="K1104" s="180" t="s">
        <v>1874</v>
      </c>
      <c r="L1104" s="179" t="s">
        <v>6217</v>
      </c>
      <c r="M1104" s="179"/>
      <c r="N1104" s="179"/>
      <c r="O1104" s="52"/>
      <c r="P1104" s="536" t="s">
        <v>1808</v>
      </c>
      <c r="Q1104" s="54"/>
      <c r="R1104" s="54"/>
      <c r="S1104" s="54"/>
      <c r="T1104" s="54"/>
      <c r="U1104" s="187"/>
    </row>
    <row r="1105" spans="1:21" ht="76.5">
      <c r="A1105" s="6">
        <v>2012</v>
      </c>
      <c r="B1105" s="179" t="s">
        <v>5047</v>
      </c>
      <c r="C1105" s="112" t="s">
        <v>61</v>
      </c>
      <c r="D1105" s="180" t="s">
        <v>68</v>
      </c>
      <c r="E1105" s="180"/>
      <c r="F1105" s="179" t="s">
        <v>5048</v>
      </c>
      <c r="G1105" s="179" t="s">
        <v>5049</v>
      </c>
      <c r="H1105" s="195">
        <v>683200</v>
      </c>
      <c r="I1105" s="187" t="s">
        <v>5050</v>
      </c>
      <c r="J1105" s="180" t="s">
        <v>1828</v>
      </c>
      <c r="K1105" s="180" t="s">
        <v>1874</v>
      </c>
      <c r="L1105" s="179" t="s">
        <v>7842</v>
      </c>
      <c r="M1105" s="179"/>
      <c r="N1105" s="179"/>
      <c r="O1105" s="52"/>
      <c r="P1105" s="179" t="s">
        <v>6132</v>
      </c>
      <c r="Q1105" s="54"/>
      <c r="R1105" s="54"/>
      <c r="S1105" s="54"/>
      <c r="T1105" s="179" t="s">
        <v>12098</v>
      </c>
      <c r="U1105" s="187"/>
    </row>
    <row r="1106" spans="1:21" ht="89.25">
      <c r="A1106" s="6">
        <v>2012</v>
      </c>
      <c r="B1106" s="179" t="s">
        <v>5051</v>
      </c>
      <c r="C1106" s="112" t="s">
        <v>61</v>
      </c>
      <c r="D1106" s="180" t="s">
        <v>1141</v>
      </c>
      <c r="E1106" s="180"/>
      <c r="F1106" s="179" t="s">
        <v>5052</v>
      </c>
      <c r="G1106" s="179" t="s">
        <v>2483</v>
      </c>
      <c r="H1106" s="794">
        <v>68718</v>
      </c>
      <c r="I1106" s="179" t="s">
        <v>5053</v>
      </c>
      <c r="J1106" s="180" t="s">
        <v>1916</v>
      </c>
      <c r="K1106" s="143" t="s">
        <v>1904</v>
      </c>
      <c r="L1106" s="179" t="s">
        <v>7854</v>
      </c>
      <c r="M1106" s="179"/>
      <c r="N1106" s="179"/>
      <c r="O1106" s="52"/>
      <c r="P1106" s="536" t="s">
        <v>1808</v>
      </c>
      <c r="Q1106" s="54"/>
      <c r="R1106" s="54"/>
      <c r="S1106" s="54"/>
      <c r="T1106" s="179" t="s">
        <v>12099</v>
      </c>
      <c r="U1106" s="179"/>
    </row>
    <row r="1107" spans="1:21" ht="76.5">
      <c r="A1107" s="6">
        <v>2012</v>
      </c>
      <c r="B1107" s="179" t="s">
        <v>5054</v>
      </c>
      <c r="C1107" s="112" t="s">
        <v>61</v>
      </c>
      <c r="D1107" s="180" t="s">
        <v>4787</v>
      </c>
      <c r="E1107" s="180"/>
      <c r="F1107" s="179" t="s">
        <v>5055</v>
      </c>
      <c r="G1107" s="179" t="s">
        <v>5056</v>
      </c>
      <c r="H1107" s="186">
        <v>190000</v>
      </c>
      <c r="I1107" s="179"/>
      <c r="J1107" s="191" t="s">
        <v>1828</v>
      </c>
      <c r="K1107" s="180" t="s">
        <v>82</v>
      </c>
      <c r="L1107" s="179" t="s">
        <v>1824</v>
      </c>
      <c r="M1107" s="179"/>
      <c r="N1107" s="179"/>
      <c r="O1107" s="52"/>
      <c r="P1107" s="536" t="s">
        <v>1808</v>
      </c>
      <c r="Q1107" s="54"/>
      <c r="R1107" s="54"/>
      <c r="S1107" s="54"/>
      <c r="T1107" s="54"/>
      <c r="U1107" s="179"/>
    </row>
    <row r="1108" spans="1:21" ht="51">
      <c r="A1108" s="6">
        <v>2012</v>
      </c>
      <c r="B1108" s="179" t="s">
        <v>5057</v>
      </c>
      <c r="C1108" s="112" t="s">
        <v>61</v>
      </c>
      <c r="D1108" s="180" t="s">
        <v>652</v>
      </c>
      <c r="E1108" s="180"/>
      <c r="F1108" s="179" t="s">
        <v>5058</v>
      </c>
      <c r="G1108" s="179" t="s">
        <v>5059</v>
      </c>
      <c r="H1108" s="194">
        <v>800000</v>
      </c>
      <c r="I1108" s="179" t="s">
        <v>5060</v>
      </c>
      <c r="J1108" s="180" t="s">
        <v>1899</v>
      </c>
      <c r="K1108" s="180" t="s">
        <v>1874</v>
      </c>
      <c r="L1108" s="179" t="s">
        <v>6217</v>
      </c>
      <c r="M1108" s="179"/>
      <c r="N1108" s="179"/>
      <c r="O1108" s="52"/>
      <c r="P1108" s="179" t="s">
        <v>6132</v>
      </c>
      <c r="Q1108" s="54"/>
      <c r="R1108" s="54"/>
      <c r="S1108" s="54"/>
      <c r="T1108" s="179" t="s">
        <v>7859</v>
      </c>
      <c r="U1108" s="179"/>
    </row>
    <row r="1109" spans="1:21" ht="51">
      <c r="A1109" s="6">
        <v>2012</v>
      </c>
      <c r="B1109" s="179" t="s">
        <v>5061</v>
      </c>
      <c r="C1109" s="112" t="s">
        <v>61</v>
      </c>
      <c r="D1109" s="180" t="s">
        <v>4982</v>
      </c>
      <c r="E1109" s="180"/>
      <c r="F1109" s="179" t="s">
        <v>5062</v>
      </c>
      <c r="G1109" s="179" t="s">
        <v>5063</v>
      </c>
      <c r="H1109" s="194">
        <v>247000</v>
      </c>
      <c r="I1109" s="179" t="s">
        <v>5064</v>
      </c>
      <c r="J1109" s="180" t="s">
        <v>1828</v>
      </c>
      <c r="K1109" s="180" t="s">
        <v>1904</v>
      </c>
      <c r="L1109" s="179" t="s">
        <v>6064</v>
      </c>
      <c r="M1109" s="179"/>
      <c r="N1109" s="179"/>
      <c r="O1109" s="52"/>
      <c r="P1109" s="536" t="s">
        <v>1808</v>
      </c>
      <c r="Q1109" s="54"/>
      <c r="R1109" s="54"/>
      <c r="S1109" s="54"/>
      <c r="T1109" s="179" t="s">
        <v>12100</v>
      </c>
      <c r="U1109" s="179"/>
    </row>
    <row r="1110" spans="1:21" ht="51">
      <c r="A1110" s="6">
        <v>2012</v>
      </c>
      <c r="B1110" s="179" t="s">
        <v>5065</v>
      </c>
      <c r="C1110" s="112" t="s">
        <v>61</v>
      </c>
      <c r="D1110" s="180" t="s">
        <v>4987</v>
      </c>
      <c r="E1110" s="180"/>
      <c r="F1110" s="179" t="s">
        <v>5066</v>
      </c>
      <c r="G1110" s="179" t="s">
        <v>5063</v>
      </c>
      <c r="H1110" s="186">
        <v>820000</v>
      </c>
      <c r="I1110" s="179" t="s">
        <v>5064</v>
      </c>
      <c r="J1110" s="180" t="s">
        <v>1828</v>
      </c>
      <c r="K1110" s="180" t="s">
        <v>1904</v>
      </c>
      <c r="L1110" s="179" t="s">
        <v>6064</v>
      </c>
      <c r="M1110" s="179"/>
      <c r="N1110" s="179"/>
      <c r="O1110" s="52"/>
      <c r="P1110" s="536" t="s">
        <v>1808</v>
      </c>
      <c r="Q1110" s="54"/>
      <c r="R1110" s="54"/>
      <c r="S1110" s="54"/>
      <c r="T1110" s="179" t="s">
        <v>7863</v>
      </c>
      <c r="U1110" s="179"/>
    </row>
    <row r="1111" spans="1:21" ht="63.75">
      <c r="A1111" s="6">
        <v>2012</v>
      </c>
      <c r="B1111" s="179" t="s">
        <v>5067</v>
      </c>
      <c r="C1111" s="112" t="s">
        <v>61</v>
      </c>
      <c r="D1111" s="22" t="s">
        <v>62</v>
      </c>
      <c r="E1111" s="22"/>
      <c r="F1111" s="179" t="s">
        <v>2487</v>
      </c>
      <c r="G1111" s="179" t="s">
        <v>5068</v>
      </c>
      <c r="H1111" s="791">
        <v>460600</v>
      </c>
      <c r="I1111" s="187" t="s">
        <v>5069</v>
      </c>
      <c r="J1111" s="180" t="s">
        <v>1828</v>
      </c>
      <c r="K1111" s="180" t="s">
        <v>1904</v>
      </c>
      <c r="L1111" s="179" t="s">
        <v>6170</v>
      </c>
      <c r="M1111" s="179"/>
      <c r="N1111" s="179"/>
      <c r="O1111" s="52"/>
      <c r="P1111" s="179" t="s">
        <v>6132</v>
      </c>
      <c r="Q1111" s="54"/>
      <c r="R1111" s="54"/>
      <c r="S1111" s="54"/>
      <c r="T1111" s="54"/>
      <c r="U1111" s="187"/>
    </row>
    <row r="1112" spans="1:21" ht="51">
      <c r="A1112" s="6">
        <v>2012</v>
      </c>
      <c r="B1112" s="179" t="s">
        <v>5070</v>
      </c>
      <c r="C1112" s="112" t="s">
        <v>3096</v>
      </c>
      <c r="D1112" s="180" t="s">
        <v>2412</v>
      </c>
      <c r="E1112" s="180"/>
      <c r="F1112" s="179" t="s">
        <v>5071</v>
      </c>
      <c r="G1112" s="179" t="s">
        <v>5072</v>
      </c>
      <c r="H1112" s="195">
        <v>14400000</v>
      </c>
      <c r="I1112" s="179"/>
      <c r="J1112" s="179" t="s">
        <v>1828</v>
      </c>
      <c r="K1112" s="54" t="s">
        <v>82</v>
      </c>
      <c r="L1112" s="179" t="s">
        <v>1824</v>
      </c>
      <c r="M1112" s="179"/>
      <c r="N1112" s="179"/>
      <c r="O1112" s="52"/>
      <c r="P1112" s="536" t="s">
        <v>1808</v>
      </c>
      <c r="Q1112" s="54"/>
      <c r="R1112" s="54"/>
      <c r="S1112" s="54"/>
      <c r="T1112" s="179" t="s">
        <v>12101</v>
      </c>
      <c r="U1112" s="179"/>
    </row>
    <row r="1113" spans="1:21" ht="63.75">
      <c r="A1113" s="6">
        <v>2012</v>
      </c>
      <c r="B1113" s="179" t="s">
        <v>5073</v>
      </c>
      <c r="C1113" s="112" t="s">
        <v>61</v>
      </c>
      <c r="D1113" s="180" t="s">
        <v>68</v>
      </c>
      <c r="E1113" s="180"/>
      <c r="F1113" s="179" t="s">
        <v>4597</v>
      </c>
      <c r="G1113" s="179" t="s">
        <v>4598</v>
      </c>
      <c r="H1113" s="194">
        <v>760675</v>
      </c>
      <c r="I1113" s="179" t="s">
        <v>5074</v>
      </c>
      <c r="J1113" s="180" t="s">
        <v>1828</v>
      </c>
      <c r="K1113" s="180" t="s">
        <v>1874</v>
      </c>
      <c r="L1113" s="179" t="s">
        <v>6220</v>
      </c>
      <c r="M1113" s="179"/>
      <c r="N1113" s="179"/>
      <c r="O1113" s="52"/>
      <c r="P1113" s="179" t="s">
        <v>6132</v>
      </c>
      <c r="Q1113" s="54"/>
      <c r="R1113" s="54"/>
      <c r="S1113" s="54"/>
      <c r="T1113" s="54"/>
      <c r="U1113" s="179"/>
    </row>
    <row r="1114" spans="1:21" ht="63.75">
      <c r="A1114" s="6">
        <v>2012</v>
      </c>
      <c r="B1114" s="179" t="s">
        <v>5075</v>
      </c>
      <c r="C1114" s="112" t="s">
        <v>61</v>
      </c>
      <c r="D1114" s="22" t="s">
        <v>62</v>
      </c>
      <c r="E1114" s="22"/>
      <c r="F1114" s="179" t="s">
        <v>5076</v>
      </c>
      <c r="G1114" s="179" t="s">
        <v>5077</v>
      </c>
      <c r="H1114" s="791">
        <v>1220000</v>
      </c>
      <c r="I1114" s="179" t="s">
        <v>5078</v>
      </c>
      <c r="J1114" s="180" t="s">
        <v>1828</v>
      </c>
      <c r="K1114" s="180" t="s">
        <v>1904</v>
      </c>
      <c r="L1114" s="179" t="s">
        <v>7869</v>
      </c>
      <c r="M1114" s="179"/>
      <c r="N1114" s="179"/>
      <c r="O1114" s="52"/>
      <c r="P1114" s="179" t="s">
        <v>6179</v>
      </c>
      <c r="Q1114" s="54"/>
      <c r="R1114" s="54"/>
      <c r="S1114" s="54"/>
      <c r="T1114" s="54"/>
      <c r="U1114" s="179"/>
    </row>
    <row r="1115" spans="1:21" ht="102">
      <c r="A1115" s="6">
        <v>2012</v>
      </c>
      <c r="B1115" s="179" t="s">
        <v>5079</v>
      </c>
      <c r="C1115" s="112" t="s">
        <v>5080</v>
      </c>
      <c r="D1115" s="180" t="s">
        <v>2172</v>
      </c>
      <c r="E1115" s="180"/>
      <c r="F1115" s="179" t="s">
        <v>5081</v>
      </c>
      <c r="G1115" s="179" t="s">
        <v>1556</v>
      </c>
      <c r="H1115" s="195">
        <v>6430440</v>
      </c>
      <c r="I1115" s="179" t="s">
        <v>2508</v>
      </c>
      <c r="J1115" s="179" t="s">
        <v>1828</v>
      </c>
      <c r="K1115" s="54" t="s">
        <v>82</v>
      </c>
      <c r="L1115" s="179" t="s">
        <v>6064</v>
      </c>
      <c r="M1115" s="334">
        <v>41225</v>
      </c>
      <c r="N1115" s="180" t="s">
        <v>12102</v>
      </c>
      <c r="O1115" s="52"/>
      <c r="P1115" s="536" t="s">
        <v>1808</v>
      </c>
      <c r="Q1115" s="54"/>
      <c r="R1115" s="54"/>
      <c r="S1115" s="54"/>
      <c r="T1115" s="179" t="s">
        <v>12103</v>
      </c>
      <c r="U1115" s="179"/>
    </row>
    <row r="1116" spans="1:21" ht="51">
      <c r="A1116" s="6">
        <v>2012</v>
      </c>
      <c r="B1116" s="179" t="s">
        <v>5082</v>
      </c>
      <c r="C1116" s="112" t="s">
        <v>61</v>
      </c>
      <c r="D1116" s="180" t="s">
        <v>4787</v>
      </c>
      <c r="E1116" s="180"/>
      <c r="F1116" s="179" t="s">
        <v>5083</v>
      </c>
      <c r="G1116" s="187" t="s">
        <v>5084</v>
      </c>
      <c r="H1116" s="194">
        <v>123400</v>
      </c>
      <c r="I1116" s="179" t="s">
        <v>5085</v>
      </c>
      <c r="J1116" s="180" t="s">
        <v>1828</v>
      </c>
      <c r="K1116" s="180" t="s">
        <v>82</v>
      </c>
      <c r="L1116" s="179" t="s">
        <v>6064</v>
      </c>
      <c r="M1116" s="179"/>
      <c r="N1116" s="179"/>
      <c r="O1116" s="52"/>
      <c r="P1116" s="536" t="s">
        <v>1808</v>
      </c>
      <c r="Q1116" s="54"/>
      <c r="R1116" s="54"/>
      <c r="S1116" s="54"/>
      <c r="T1116" s="179" t="s">
        <v>7873</v>
      </c>
      <c r="U1116" s="179"/>
    </row>
    <row r="1117" spans="1:21" ht="51">
      <c r="A1117" s="6">
        <v>2012</v>
      </c>
      <c r="B1117" s="179" t="s">
        <v>5086</v>
      </c>
      <c r="C1117" s="112" t="s">
        <v>61</v>
      </c>
      <c r="D1117" s="22" t="s">
        <v>62</v>
      </c>
      <c r="E1117" s="22"/>
      <c r="F1117" s="179" t="s">
        <v>5087</v>
      </c>
      <c r="G1117" s="179" t="s">
        <v>4602</v>
      </c>
      <c r="H1117" s="791">
        <v>804167.07</v>
      </c>
      <c r="I1117" s="187" t="s">
        <v>5088</v>
      </c>
      <c r="J1117" s="180" t="s">
        <v>1828</v>
      </c>
      <c r="K1117" s="180" t="s">
        <v>1904</v>
      </c>
      <c r="L1117" s="179" t="s">
        <v>6170</v>
      </c>
      <c r="M1117" s="179"/>
      <c r="N1117" s="179"/>
      <c r="O1117" s="52"/>
      <c r="P1117" s="179" t="s">
        <v>6132</v>
      </c>
      <c r="Q1117" s="54"/>
      <c r="R1117" s="54"/>
      <c r="S1117" s="54"/>
      <c r="T1117" s="54"/>
      <c r="U1117" s="187"/>
    </row>
    <row r="1118" spans="1:21" ht="25.5">
      <c r="A1118" s="6">
        <v>2012</v>
      </c>
      <c r="B1118" s="179" t="s">
        <v>5089</v>
      </c>
      <c r="C1118" s="112" t="s">
        <v>61</v>
      </c>
      <c r="D1118" s="180" t="s">
        <v>1141</v>
      </c>
      <c r="E1118" s="180"/>
      <c r="F1118" s="178" t="s">
        <v>5090</v>
      </c>
      <c r="G1118" s="187" t="s">
        <v>5091</v>
      </c>
      <c r="H1118" s="792">
        <v>290780.5</v>
      </c>
      <c r="I1118" s="187" t="s">
        <v>5092</v>
      </c>
      <c r="J1118" s="180" t="s">
        <v>2031</v>
      </c>
      <c r="K1118" s="143" t="s">
        <v>1904</v>
      </c>
      <c r="L1118" s="179" t="s">
        <v>6137</v>
      </c>
      <c r="M1118" s="178"/>
      <c r="N1118" s="178"/>
      <c r="O1118" s="52"/>
      <c r="P1118" s="536" t="s">
        <v>1808</v>
      </c>
      <c r="Q1118" s="54"/>
      <c r="R1118" s="54"/>
      <c r="S1118" s="54"/>
      <c r="T1118" s="54"/>
      <c r="U1118" s="187"/>
    </row>
    <row r="1119" spans="1:21" ht="51">
      <c r="A1119" s="6">
        <v>2012</v>
      </c>
      <c r="B1119" s="179" t="s">
        <v>5093</v>
      </c>
      <c r="C1119" s="112" t="s">
        <v>61</v>
      </c>
      <c r="D1119" s="180" t="s">
        <v>4787</v>
      </c>
      <c r="E1119" s="180"/>
      <c r="F1119" s="179" t="s">
        <v>5094</v>
      </c>
      <c r="G1119" s="179" t="s">
        <v>5095</v>
      </c>
      <c r="H1119" s="194">
        <v>14125</v>
      </c>
      <c r="I1119" s="179" t="s">
        <v>5096</v>
      </c>
      <c r="J1119" s="180" t="s">
        <v>1899</v>
      </c>
      <c r="K1119" s="180" t="s">
        <v>82</v>
      </c>
      <c r="L1119" s="179" t="s">
        <v>6137</v>
      </c>
      <c r="M1119" s="334">
        <v>40911</v>
      </c>
      <c r="N1119" s="179" t="s">
        <v>7876</v>
      </c>
      <c r="O1119" s="52"/>
      <c r="P1119" s="536" t="s">
        <v>1808</v>
      </c>
      <c r="Q1119" s="179"/>
      <c r="R1119" s="179"/>
      <c r="S1119" s="179"/>
      <c r="T1119" s="54"/>
      <c r="U1119" s="179"/>
    </row>
    <row r="1120" spans="1:21" ht="63.75">
      <c r="A1120" s="6">
        <v>2012</v>
      </c>
      <c r="B1120" s="179" t="s">
        <v>5097</v>
      </c>
      <c r="C1120" s="112" t="s">
        <v>61</v>
      </c>
      <c r="D1120" s="180" t="s">
        <v>5031</v>
      </c>
      <c r="E1120" s="180"/>
      <c r="F1120" s="179" t="s">
        <v>5098</v>
      </c>
      <c r="G1120" s="179" t="s">
        <v>1491</v>
      </c>
      <c r="H1120" s="791">
        <v>100000</v>
      </c>
      <c r="I1120" s="179" t="s">
        <v>5099</v>
      </c>
      <c r="J1120" s="795" t="s">
        <v>2041</v>
      </c>
      <c r="K1120" s="180" t="s">
        <v>82</v>
      </c>
      <c r="L1120" s="179" t="s">
        <v>6137</v>
      </c>
      <c r="M1120" s="334">
        <v>40913</v>
      </c>
      <c r="N1120" s="179" t="s">
        <v>7877</v>
      </c>
      <c r="O1120" s="52"/>
      <c r="P1120" s="536" t="s">
        <v>1808</v>
      </c>
      <c r="Q1120" s="179"/>
      <c r="R1120" s="179"/>
      <c r="S1120" s="179"/>
      <c r="T1120" s="54"/>
      <c r="U1120" s="179"/>
    </row>
    <row r="1121" spans="1:21" ht="25.5">
      <c r="A1121" s="6">
        <v>2012</v>
      </c>
      <c r="B1121" s="179" t="s">
        <v>5100</v>
      </c>
      <c r="C1121" s="112" t="s">
        <v>61</v>
      </c>
      <c r="D1121" s="180" t="s">
        <v>1383</v>
      </c>
      <c r="E1121" s="180"/>
      <c r="F1121" s="179" t="s">
        <v>5101</v>
      </c>
      <c r="G1121" s="179" t="s">
        <v>5102</v>
      </c>
      <c r="H1121" s="186">
        <v>142329.60000000001</v>
      </c>
      <c r="I1121" s="187"/>
      <c r="J1121" s="180" t="s">
        <v>1828</v>
      </c>
      <c r="K1121" s="143" t="s">
        <v>82</v>
      </c>
      <c r="L1121" s="179" t="s">
        <v>6064</v>
      </c>
      <c r="M1121" s="334">
        <v>42015</v>
      </c>
      <c r="N1121" s="179" t="s">
        <v>7879</v>
      </c>
      <c r="O1121" s="52"/>
      <c r="P1121" s="536" t="s">
        <v>1808</v>
      </c>
      <c r="Q1121" s="179"/>
      <c r="R1121" s="179"/>
      <c r="S1121" s="179"/>
      <c r="T1121" s="54"/>
      <c r="U1121" s="179" t="s">
        <v>1934</v>
      </c>
    </row>
    <row r="1122" spans="1:21" ht="63.75">
      <c r="A1122" s="6">
        <v>2012</v>
      </c>
      <c r="B1122" s="179" t="s">
        <v>5103</v>
      </c>
      <c r="C1122" s="112" t="s">
        <v>61</v>
      </c>
      <c r="D1122" s="180" t="s">
        <v>1383</v>
      </c>
      <c r="E1122" s="180"/>
      <c r="F1122" s="179" t="s">
        <v>5104</v>
      </c>
      <c r="G1122" s="179" t="s">
        <v>5105</v>
      </c>
      <c r="H1122" s="186">
        <v>37000</v>
      </c>
      <c r="I1122" s="187" t="s">
        <v>5106</v>
      </c>
      <c r="J1122" s="180" t="s">
        <v>1855</v>
      </c>
      <c r="K1122" s="143" t="s">
        <v>82</v>
      </c>
      <c r="L1122" s="179" t="s">
        <v>6064</v>
      </c>
      <c r="M1122" s="190"/>
      <c r="N1122" s="179" t="s">
        <v>7881</v>
      </c>
      <c r="O1122" s="52"/>
      <c r="P1122" s="536" t="s">
        <v>1808</v>
      </c>
      <c r="Q1122" s="179"/>
      <c r="R1122" s="179"/>
      <c r="S1122" s="179"/>
      <c r="T1122" s="54"/>
      <c r="U1122" s="179"/>
    </row>
    <row r="1123" spans="1:21" ht="51">
      <c r="A1123" s="6">
        <v>2012</v>
      </c>
      <c r="B1123" s="179" t="s">
        <v>5107</v>
      </c>
      <c r="C1123" s="112" t="s">
        <v>61</v>
      </c>
      <c r="D1123" s="180" t="s">
        <v>1383</v>
      </c>
      <c r="E1123" s="180"/>
      <c r="F1123" s="179" t="s">
        <v>5108</v>
      </c>
      <c r="G1123" s="179" t="s">
        <v>5109</v>
      </c>
      <c r="H1123" s="186">
        <v>46000</v>
      </c>
      <c r="I1123" s="178" t="s">
        <v>5110</v>
      </c>
      <c r="J1123" s="180" t="s">
        <v>1847</v>
      </c>
      <c r="K1123" s="143" t="s">
        <v>82</v>
      </c>
      <c r="L1123" s="179" t="s">
        <v>6064</v>
      </c>
      <c r="M1123" s="804"/>
      <c r="N1123" s="190"/>
      <c r="O1123" s="52"/>
      <c r="P1123" s="536" t="s">
        <v>1808</v>
      </c>
      <c r="Q1123" s="179"/>
      <c r="R1123" s="179"/>
      <c r="S1123" s="179"/>
      <c r="T1123" s="54"/>
      <c r="U1123" s="179"/>
    </row>
    <row r="1124" spans="1:21" ht="51">
      <c r="A1124" s="6">
        <v>2012</v>
      </c>
      <c r="B1124" s="179" t="s">
        <v>5111</v>
      </c>
      <c r="C1124" s="112" t="s">
        <v>61</v>
      </c>
      <c r="D1124" s="180" t="s">
        <v>4787</v>
      </c>
      <c r="E1124" s="180"/>
      <c r="F1124" s="179" t="s">
        <v>5112</v>
      </c>
      <c r="G1124" s="179" t="s">
        <v>1742</v>
      </c>
      <c r="H1124" s="186">
        <v>50000</v>
      </c>
      <c r="I1124" s="187" t="s">
        <v>5113</v>
      </c>
      <c r="J1124" s="180" t="s">
        <v>1847</v>
      </c>
      <c r="K1124" s="180" t="s">
        <v>82</v>
      </c>
      <c r="L1124" s="179" t="s">
        <v>6064</v>
      </c>
      <c r="M1124" s="334">
        <v>40933</v>
      </c>
      <c r="N1124" s="179" t="s">
        <v>7883</v>
      </c>
      <c r="O1124" s="52"/>
      <c r="P1124" s="536" t="s">
        <v>1808</v>
      </c>
      <c r="Q1124" s="179"/>
      <c r="R1124" s="179"/>
      <c r="S1124" s="179"/>
      <c r="T1124" s="54"/>
      <c r="U1124" s="187"/>
    </row>
    <row r="1125" spans="1:21" ht="63.75">
      <c r="A1125" s="6">
        <v>2012</v>
      </c>
      <c r="B1125" s="179" t="s">
        <v>5114</v>
      </c>
      <c r="C1125" s="112" t="s">
        <v>61</v>
      </c>
      <c r="D1125" s="180" t="s">
        <v>1383</v>
      </c>
      <c r="E1125" s="180"/>
      <c r="F1125" s="179" t="s">
        <v>5115</v>
      </c>
      <c r="G1125" s="179" t="s">
        <v>5116</v>
      </c>
      <c r="H1125" s="186">
        <v>55000</v>
      </c>
      <c r="I1125" s="187" t="s">
        <v>5117</v>
      </c>
      <c r="J1125" s="180" t="s">
        <v>1847</v>
      </c>
      <c r="K1125" s="143" t="s">
        <v>82</v>
      </c>
      <c r="L1125" s="179" t="s">
        <v>6064</v>
      </c>
      <c r="M1125" s="334">
        <v>40942</v>
      </c>
      <c r="N1125" s="179" t="s">
        <v>7884</v>
      </c>
      <c r="O1125" s="52"/>
      <c r="P1125" s="536" t="s">
        <v>1808</v>
      </c>
      <c r="Q1125" s="179"/>
      <c r="R1125" s="179"/>
      <c r="S1125" s="179"/>
      <c r="T1125" s="54"/>
      <c r="U1125" s="179"/>
    </row>
    <row r="1126" spans="1:21" ht="51">
      <c r="A1126" s="6">
        <v>2012</v>
      </c>
      <c r="B1126" s="179" t="s">
        <v>5118</v>
      </c>
      <c r="C1126" s="112" t="s">
        <v>61</v>
      </c>
      <c r="D1126" s="180" t="s">
        <v>1763</v>
      </c>
      <c r="E1126" s="180"/>
      <c r="F1126" s="179" t="s">
        <v>5119</v>
      </c>
      <c r="G1126" s="179" t="s">
        <v>5120</v>
      </c>
      <c r="H1126" s="186">
        <v>20000</v>
      </c>
      <c r="I1126" s="187" t="s">
        <v>5121</v>
      </c>
      <c r="J1126" s="180" t="s">
        <v>1847</v>
      </c>
      <c r="K1126" s="143" t="s">
        <v>82</v>
      </c>
      <c r="L1126" s="179" t="s">
        <v>6217</v>
      </c>
      <c r="M1126" s="804"/>
      <c r="N1126" s="179" t="s">
        <v>12104</v>
      </c>
      <c r="O1126" s="52"/>
      <c r="P1126" s="536" t="s">
        <v>6132</v>
      </c>
      <c r="Q1126" s="179"/>
      <c r="R1126" s="179"/>
      <c r="S1126" s="179"/>
      <c r="T1126" s="54"/>
      <c r="U1126" s="187"/>
    </row>
    <row r="1127" spans="1:21" ht="63.75">
      <c r="A1127" s="6">
        <v>2012</v>
      </c>
      <c r="B1127" s="179" t="s">
        <v>5122</v>
      </c>
      <c r="C1127" s="112" t="s">
        <v>61</v>
      </c>
      <c r="D1127" s="180" t="s">
        <v>1383</v>
      </c>
      <c r="E1127" s="180"/>
      <c r="F1127" s="179" t="s">
        <v>5123</v>
      </c>
      <c r="G1127" s="179" t="s">
        <v>5124</v>
      </c>
      <c r="H1127" s="186">
        <v>40000</v>
      </c>
      <c r="I1127" s="187" t="s">
        <v>5125</v>
      </c>
      <c r="J1127" s="180" t="s">
        <v>1847</v>
      </c>
      <c r="K1127" s="143" t="s">
        <v>82</v>
      </c>
      <c r="L1127" s="179" t="s">
        <v>6064</v>
      </c>
      <c r="M1127" s="334">
        <v>40984</v>
      </c>
      <c r="N1127" s="179" t="s">
        <v>7886</v>
      </c>
      <c r="O1127" s="52"/>
      <c r="P1127" s="536" t="s">
        <v>6179</v>
      </c>
      <c r="Q1127" s="179"/>
      <c r="R1127" s="179"/>
      <c r="S1127" s="179"/>
      <c r="T1127" s="54"/>
      <c r="U1127" s="179"/>
    </row>
    <row r="1128" spans="1:21" ht="38.25">
      <c r="A1128" s="6">
        <v>2012</v>
      </c>
      <c r="B1128" s="179" t="s">
        <v>5126</v>
      </c>
      <c r="C1128" s="112" t="s">
        <v>61</v>
      </c>
      <c r="D1128" s="180" t="s">
        <v>1763</v>
      </c>
      <c r="E1128" s="180"/>
      <c r="F1128" s="178" t="s">
        <v>5127</v>
      </c>
      <c r="G1128" s="179" t="s">
        <v>5128</v>
      </c>
      <c r="H1128" s="194">
        <v>26200</v>
      </c>
      <c r="I1128" s="187" t="s">
        <v>5129</v>
      </c>
      <c r="J1128" s="180" t="s">
        <v>1847</v>
      </c>
      <c r="K1128" s="143" t="s">
        <v>82</v>
      </c>
      <c r="L1128" s="179" t="s">
        <v>6064</v>
      </c>
      <c r="M1128" s="805"/>
      <c r="N1128" s="425"/>
      <c r="O1128" s="52"/>
      <c r="P1128" s="179" t="s">
        <v>6132</v>
      </c>
      <c r="Q1128" s="179"/>
      <c r="R1128" s="179"/>
      <c r="S1128" s="179"/>
      <c r="T1128" s="54"/>
      <c r="U1128" s="187"/>
    </row>
    <row r="1129" spans="1:21" ht="51">
      <c r="A1129" s="6">
        <v>2012</v>
      </c>
      <c r="B1129" s="179" t="s">
        <v>5130</v>
      </c>
      <c r="C1129" s="112" t="s">
        <v>61</v>
      </c>
      <c r="D1129" s="180" t="s">
        <v>4993</v>
      </c>
      <c r="E1129" s="180"/>
      <c r="F1129" s="179" t="s">
        <v>5131</v>
      </c>
      <c r="G1129" s="179" t="s">
        <v>5000</v>
      </c>
      <c r="H1129" s="186">
        <v>40000</v>
      </c>
      <c r="I1129" s="187"/>
      <c r="J1129" s="796" t="s">
        <v>2085</v>
      </c>
      <c r="K1129" s="180" t="s">
        <v>82</v>
      </c>
      <c r="L1129" s="179" t="s">
        <v>6064</v>
      </c>
      <c r="M1129" s="334">
        <v>40994</v>
      </c>
      <c r="N1129" s="179" t="s">
        <v>7887</v>
      </c>
      <c r="O1129" s="52"/>
      <c r="P1129" s="536" t="s">
        <v>1808</v>
      </c>
      <c r="Q1129" s="179"/>
      <c r="R1129" s="179"/>
      <c r="S1129" s="179"/>
      <c r="T1129" s="54"/>
      <c r="U1129" s="187"/>
    </row>
    <row r="1130" spans="1:21" ht="38.25">
      <c r="A1130" s="6">
        <v>2012</v>
      </c>
      <c r="B1130" s="179" t="s">
        <v>5132</v>
      </c>
      <c r="C1130" s="112" t="s">
        <v>61</v>
      </c>
      <c r="D1130" s="180" t="s">
        <v>4993</v>
      </c>
      <c r="E1130" s="180"/>
      <c r="F1130" s="179" t="s">
        <v>5133</v>
      </c>
      <c r="G1130" s="179" t="s">
        <v>5134</v>
      </c>
      <c r="H1130" s="186">
        <v>80000</v>
      </c>
      <c r="I1130" s="187" t="s">
        <v>5135</v>
      </c>
      <c r="J1130" s="180" t="s">
        <v>1828</v>
      </c>
      <c r="K1130" s="180" t="s">
        <v>82</v>
      </c>
      <c r="L1130" s="179" t="s">
        <v>6064</v>
      </c>
      <c r="M1130" s="334">
        <v>40998</v>
      </c>
      <c r="N1130" s="179" t="s">
        <v>7889</v>
      </c>
      <c r="O1130" s="52"/>
      <c r="P1130" s="536" t="s">
        <v>1808</v>
      </c>
      <c r="Q1130" s="179"/>
      <c r="R1130" s="179"/>
      <c r="S1130" s="179"/>
      <c r="T1130" s="54"/>
      <c r="U1130" s="187"/>
    </row>
    <row r="1131" spans="1:21" ht="25.5">
      <c r="A1131" s="6">
        <v>2012</v>
      </c>
      <c r="B1131" s="179" t="s">
        <v>5136</v>
      </c>
      <c r="C1131" s="112" t="s">
        <v>61</v>
      </c>
      <c r="D1131" s="180" t="s">
        <v>4993</v>
      </c>
      <c r="E1131" s="180"/>
      <c r="F1131" s="179" t="s">
        <v>5137</v>
      </c>
      <c r="G1131" s="179" t="s">
        <v>1689</v>
      </c>
      <c r="H1131" s="186">
        <v>80000</v>
      </c>
      <c r="I1131" s="179" t="s">
        <v>5135</v>
      </c>
      <c r="J1131" s="180" t="s">
        <v>1828</v>
      </c>
      <c r="K1131" s="180" t="s">
        <v>82</v>
      </c>
      <c r="L1131" s="179" t="s">
        <v>6064</v>
      </c>
      <c r="M1131" s="334">
        <v>40998</v>
      </c>
      <c r="N1131" s="179" t="s">
        <v>7890</v>
      </c>
      <c r="O1131" s="52"/>
      <c r="P1131" s="536" t="s">
        <v>1808</v>
      </c>
      <c r="Q1131" s="179"/>
      <c r="R1131" s="179"/>
      <c r="S1131" s="179"/>
      <c r="T1131" s="54"/>
      <c r="U1131" s="179"/>
    </row>
    <row r="1132" spans="1:21" ht="51">
      <c r="A1132" s="6">
        <v>2012</v>
      </c>
      <c r="B1132" s="179" t="s">
        <v>5138</v>
      </c>
      <c r="C1132" s="112" t="s">
        <v>61</v>
      </c>
      <c r="D1132" s="180" t="s">
        <v>4993</v>
      </c>
      <c r="E1132" s="180"/>
      <c r="F1132" s="179" t="s">
        <v>5139</v>
      </c>
      <c r="G1132" s="179" t="s">
        <v>5140</v>
      </c>
      <c r="H1132" s="186">
        <v>80000</v>
      </c>
      <c r="I1132" s="187" t="s">
        <v>5141</v>
      </c>
      <c r="J1132" s="180" t="s">
        <v>2472</v>
      </c>
      <c r="K1132" s="180" t="s">
        <v>82</v>
      </c>
      <c r="L1132" s="179" t="s">
        <v>6064</v>
      </c>
      <c r="M1132" s="334">
        <v>40998</v>
      </c>
      <c r="N1132" s="179" t="s">
        <v>12105</v>
      </c>
      <c r="O1132" s="52"/>
      <c r="P1132" s="536" t="s">
        <v>1808</v>
      </c>
      <c r="Q1132" s="179"/>
      <c r="R1132" s="179"/>
      <c r="S1132" s="179"/>
      <c r="T1132" s="54"/>
      <c r="U1132" s="187"/>
    </row>
    <row r="1133" spans="1:21" ht="38.25">
      <c r="A1133" s="6">
        <v>2012</v>
      </c>
      <c r="B1133" s="179" t="s">
        <v>5142</v>
      </c>
      <c r="C1133" s="112" t="s">
        <v>61</v>
      </c>
      <c r="D1133" s="180" t="s">
        <v>4993</v>
      </c>
      <c r="E1133" s="180"/>
      <c r="F1133" s="179" t="s">
        <v>5143</v>
      </c>
      <c r="G1133" s="179" t="s">
        <v>5033</v>
      </c>
      <c r="H1133" s="186">
        <v>80000</v>
      </c>
      <c r="I1133" s="179" t="s">
        <v>5144</v>
      </c>
      <c r="J1133" s="180" t="s">
        <v>1828</v>
      </c>
      <c r="K1133" s="180" t="s">
        <v>82</v>
      </c>
      <c r="L1133" s="179" t="s">
        <v>6064</v>
      </c>
      <c r="M1133" s="334">
        <v>41000</v>
      </c>
      <c r="N1133" s="179" t="s">
        <v>7892</v>
      </c>
      <c r="O1133" s="52"/>
      <c r="P1133" s="536" t="s">
        <v>1808</v>
      </c>
      <c r="Q1133" s="179"/>
      <c r="R1133" s="179"/>
      <c r="S1133" s="179"/>
      <c r="T1133" s="54"/>
      <c r="U1133" s="179"/>
    </row>
    <row r="1134" spans="1:21" ht="51">
      <c r="A1134" s="6">
        <v>2012</v>
      </c>
      <c r="B1134" s="179" t="s">
        <v>5145</v>
      </c>
      <c r="C1134" s="112" t="s">
        <v>61</v>
      </c>
      <c r="D1134" s="180" t="s">
        <v>5031</v>
      </c>
      <c r="E1134" s="180"/>
      <c r="F1134" s="179" t="s">
        <v>5146</v>
      </c>
      <c r="G1134" s="179" t="s">
        <v>5147</v>
      </c>
      <c r="H1134" s="791">
        <v>33600</v>
      </c>
      <c r="I1134" s="179" t="s">
        <v>5148</v>
      </c>
      <c r="J1134" s="180" t="s">
        <v>1899</v>
      </c>
      <c r="K1134" s="180" t="s">
        <v>82</v>
      </c>
      <c r="L1134" s="179" t="s">
        <v>6170</v>
      </c>
      <c r="M1134" s="334">
        <v>41011</v>
      </c>
      <c r="N1134" s="179" t="s">
        <v>7893</v>
      </c>
      <c r="O1134" s="52"/>
      <c r="P1134" s="536" t="s">
        <v>1808</v>
      </c>
      <c r="Q1134" s="179"/>
      <c r="R1134" s="179"/>
      <c r="S1134" s="179"/>
      <c r="T1134" s="54"/>
      <c r="U1134" s="179"/>
    </row>
    <row r="1135" spans="1:21" ht="25.5">
      <c r="A1135" s="6">
        <v>2012</v>
      </c>
      <c r="B1135" s="179" t="s">
        <v>5149</v>
      </c>
      <c r="C1135" s="112" t="s">
        <v>61</v>
      </c>
      <c r="D1135" s="180" t="s">
        <v>1763</v>
      </c>
      <c r="E1135" s="180"/>
      <c r="F1135" s="179" t="s">
        <v>5150</v>
      </c>
      <c r="G1135" s="179" t="s">
        <v>5151</v>
      </c>
      <c r="H1135" s="194">
        <v>10425</v>
      </c>
      <c r="I1135" s="179" t="s">
        <v>5152</v>
      </c>
      <c r="J1135" s="180" t="s">
        <v>1828</v>
      </c>
      <c r="K1135" s="143" t="s">
        <v>82</v>
      </c>
      <c r="L1135" s="179" t="s">
        <v>6217</v>
      </c>
      <c r="M1135" s="804"/>
      <c r="N1135" s="179" t="s">
        <v>7894</v>
      </c>
      <c r="O1135" s="52"/>
      <c r="P1135" s="536" t="s">
        <v>6132</v>
      </c>
      <c r="Q1135" s="179"/>
      <c r="R1135" s="179"/>
      <c r="S1135" s="179"/>
      <c r="T1135" s="54"/>
      <c r="U1135" s="179"/>
    </row>
    <row r="1136" spans="1:21" ht="25.5">
      <c r="A1136" s="6">
        <v>2012</v>
      </c>
      <c r="B1136" s="179" t="s">
        <v>5153</v>
      </c>
      <c r="C1136" s="112" t="s">
        <v>61</v>
      </c>
      <c r="D1136" s="180" t="s">
        <v>4993</v>
      </c>
      <c r="E1136" s="180"/>
      <c r="F1136" s="179" t="s">
        <v>5154</v>
      </c>
      <c r="G1136" s="179" t="s">
        <v>5155</v>
      </c>
      <c r="H1136" s="186">
        <v>80000</v>
      </c>
      <c r="I1136" s="179" t="s">
        <v>3686</v>
      </c>
      <c r="J1136" s="180" t="s">
        <v>2472</v>
      </c>
      <c r="K1136" s="180" t="s">
        <v>82</v>
      </c>
      <c r="L1136" s="179" t="s">
        <v>6064</v>
      </c>
      <c r="M1136" s="334">
        <v>41019</v>
      </c>
      <c r="N1136" s="179" t="s">
        <v>7895</v>
      </c>
      <c r="O1136" s="52"/>
      <c r="P1136" s="536" t="s">
        <v>1808</v>
      </c>
      <c r="Q1136" s="179"/>
      <c r="R1136" s="179"/>
      <c r="S1136" s="179"/>
      <c r="T1136" s="54"/>
      <c r="U1136" s="179"/>
    </row>
    <row r="1137" spans="1:21" ht="51">
      <c r="A1137" s="6">
        <v>2012</v>
      </c>
      <c r="B1137" s="179" t="s">
        <v>5156</v>
      </c>
      <c r="C1137" s="112" t="s">
        <v>61</v>
      </c>
      <c r="D1137" s="180" t="s">
        <v>1763</v>
      </c>
      <c r="E1137" s="180"/>
      <c r="F1137" s="179" t="s">
        <v>5157</v>
      </c>
      <c r="G1137" s="179" t="s">
        <v>5158</v>
      </c>
      <c r="H1137" s="186">
        <v>28600</v>
      </c>
      <c r="I1137" s="187" t="s">
        <v>5159</v>
      </c>
      <c r="J1137" s="180" t="s">
        <v>2472</v>
      </c>
      <c r="K1137" s="143" t="s">
        <v>82</v>
      </c>
      <c r="L1137" s="179" t="s">
        <v>6217</v>
      </c>
      <c r="M1137" s="334">
        <v>41022</v>
      </c>
      <c r="N1137" s="190"/>
      <c r="O1137" s="52"/>
      <c r="P1137" s="179" t="s">
        <v>6132</v>
      </c>
      <c r="Q1137" s="179"/>
      <c r="R1137" s="179"/>
      <c r="S1137" s="179"/>
      <c r="T1137" s="54"/>
      <c r="U1137" s="187"/>
    </row>
    <row r="1138" spans="1:21" ht="51">
      <c r="A1138" s="6">
        <v>2012</v>
      </c>
      <c r="B1138" s="179" t="s">
        <v>5160</v>
      </c>
      <c r="C1138" s="112" t="s">
        <v>61</v>
      </c>
      <c r="D1138" s="180" t="s">
        <v>4993</v>
      </c>
      <c r="E1138" s="180"/>
      <c r="F1138" s="179" t="s">
        <v>5161</v>
      </c>
      <c r="G1138" s="179" t="s">
        <v>5162</v>
      </c>
      <c r="H1138" s="186">
        <v>60000</v>
      </c>
      <c r="I1138" s="187" t="s">
        <v>5163</v>
      </c>
      <c r="J1138" s="180" t="s">
        <v>1828</v>
      </c>
      <c r="K1138" s="180" t="s">
        <v>82</v>
      </c>
      <c r="L1138" s="179" t="s">
        <v>6064</v>
      </c>
      <c r="M1138" s="334">
        <v>41024</v>
      </c>
      <c r="N1138" s="179" t="s">
        <v>7896</v>
      </c>
      <c r="O1138" s="52"/>
      <c r="P1138" s="536" t="s">
        <v>1808</v>
      </c>
      <c r="Q1138" s="179"/>
      <c r="R1138" s="179"/>
      <c r="S1138" s="179"/>
      <c r="T1138" s="54"/>
      <c r="U1138" s="187"/>
    </row>
    <row r="1139" spans="1:21" ht="51">
      <c r="A1139" s="6">
        <v>2012</v>
      </c>
      <c r="B1139" s="179" t="s">
        <v>5164</v>
      </c>
      <c r="C1139" s="112" t="s">
        <v>61</v>
      </c>
      <c r="D1139" s="180" t="s">
        <v>4993</v>
      </c>
      <c r="E1139" s="180"/>
      <c r="F1139" s="179" t="s">
        <v>5165</v>
      </c>
      <c r="G1139" s="179" t="s">
        <v>5166</v>
      </c>
      <c r="H1139" s="186">
        <v>80000</v>
      </c>
      <c r="I1139" s="187" t="s">
        <v>5167</v>
      </c>
      <c r="J1139" s="180" t="s">
        <v>1828</v>
      </c>
      <c r="K1139" s="180" t="s">
        <v>82</v>
      </c>
      <c r="L1139" s="179" t="s">
        <v>6064</v>
      </c>
      <c r="M1139" s="334">
        <v>41029</v>
      </c>
      <c r="N1139" s="179" t="s">
        <v>7895</v>
      </c>
      <c r="O1139" s="52"/>
      <c r="P1139" s="536" t="s">
        <v>1808</v>
      </c>
      <c r="Q1139" s="179"/>
      <c r="R1139" s="179"/>
      <c r="S1139" s="179"/>
      <c r="T1139" s="54"/>
      <c r="U1139" s="187"/>
    </row>
    <row r="1140" spans="1:21" ht="63.75">
      <c r="A1140" s="6">
        <v>2012</v>
      </c>
      <c r="B1140" s="179" t="s">
        <v>5168</v>
      </c>
      <c r="C1140" s="112" t="s">
        <v>61</v>
      </c>
      <c r="D1140" s="180" t="s">
        <v>4993</v>
      </c>
      <c r="E1140" s="180"/>
      <c r="F1140" s="179" t="s">
        <v>5169</v>
      </c>
      <c r="G1140" s="179" t="s">
        <v>5170</v>
      </c>
      <c r="H1140" s="186">
        <v>80000</v>
      </c>
      <c r="I1140" s="187" t="s">
        <v>5171</v>
      </c>
      <c r="J1140" s="180" t="s">
        <v>1828</v>
      </c>
      <c r="K1140" s="180" t="s">
        <v>82</v>
      </c>
      <c r="L1140" s="179" t="s">
        <v>6064</v>
      </c>
      <c r="M1140" s="334">
        <v>41029</v>
      </c>
      <c r="N1140" s="179" t="s">
        <v>12106</v>
      </c>
      <c r="O1140" s="52"/>
      <c r="P1140" s="536" t="s">
        <v>1808</v>
      </c>
      <c r="Q1140" s="179"/>
      <c r="R1140" s="179"/>
      <c r="S1140" s="179"/>
      <c r="T1140" s="54"/>
      <c r="U1140" s="187"/>
    </row>
    <row r="1141" spans="1:21" ht="178.5">
      <c r="A1141" s="6">
        <v>2012</v>
      </c>
      <c r="B1141" s="179" t="s">
        <v>5172</v>
      </c>
      <c r="C1141" s="112" t="s">
        <v>61</v>
      </c>
      <c r="D1141" s="180" t="s">
        <v>4993</v>
      </c>
      <c r="E1141" s="180"/>
      <c r="F1141" s="179" t="s">
        <v>3573</v>
      </c>
      <c r="G1141" s="179" t="s">
        <v>5173</v>
      </c>
      <c r="H1141" s="186">
        <v>80000</v>
      </c>
      <c r="I1141" s="187" t="s">
        <v>5135</v>
      </c>
      <c r="J1141" s="180" t="s">
        <v>1828</v>
      </c>
      <c r="K1141" s="180" t="s">
        <v>82</v>
      </c>
      <c r="L1141" s="179" t="s">
        <v>6064</v>
      </c>
      <c r="M1141" s="334">
        <v>41029</v>
      </c>
      <c r="N1141" s="179" t="s">
        <v>12107</v>
      </c>
      <c r="O1141" s="52"/>
      <c r="P1141" s="536" t="s">
        <v>1808</v>
      </c>
      <c r="Q1141" s="179"/>
      <c r="R1141" s="179"/>
      <c r="S1141" s="179"/>
      <c r="T1141" s="54"/>
      <c r="U1141" s="187"/>
    </row>
    <row r="1142" spans="1:21" ht="76.5">
      <c r="A1142" s="6">
        <v>2012</v>
      </c>
      <c r="B1142" s="179" t="s">
        <v>5174</v>
      </c>
      <c r="C1142" s="112" t="s">
        <v>61</v>
      </c>
      <c r="D1142" s="180" t="s">
        <v>4993</v>
      </c>
      <c r="E1142" s="180"/>
      <c r="F1142" s="179" t="s">
        <v>5175</v>
      </c>
      <c r="G1142" s="179" t="s">
        <v>5176</v>
      </c>
      <c r="H1142" s="186">
        <v>80000</v>
      </c>
      <c r="I1142" s="187" t="s">
        <v>5135</v>
      </c>
      <c r="J1142" s="180" t="s">
        <v>1828</v>
      </c>
      <c r="K1142" s="180" t="s">
        <v>82</v>
      </c>
      <c r="L1142" s="179" t="s">
        <v>6064</v>
      </c>
      <c r="M1142" s="334">
        <v>41029</v>
      </c>
      <c r="N1142" s="179" t="s">
        <v>12108</v>
      </c>
      <c r="O1142" s="52"/>
      <c r="P1142" s="536" t="s">
        <v>1808</v>
      </c>
      <c r="Q1142" s="179"/>
      <c r="R1142" s="179"/>
      <c r="S1142" s="179"/>
      <c r="T1142" s="54"/>
      <c r="U1142" s="187"/>
    </row>
    <row r="1143" spans="1:21" ht="63.75">
      <c r="A1143" s="6">
        <v>2012</v>
      </c>
      <c r="B1143" s="179" t="s">
        <v>5177</v>
      </c>
      <c r="C1143" s="112" t="s">
        <v>61</v>
      </c>
      <c r="D1143" s="180" t="s">
        <v>4993</v>
      </c>
      <c r="E1143" s="180"/>
      <c r="F1143" s="179" t="s">
        <v>5178</v>
      </c>
      <c r="G1143" s="179" t="s">
        <v>5179</v>
      </c>
      <c r="H1143" s="186">
        <v>80000</v>
      </c>
      <c r="I1143" s="187" t="s">
        <v>5180</v>
      </c>
      <c r="J1143" s="180" t="s">
        <v>1828</v>
      </c>
      <c r="K1143" s="180" t="s">
        <v>82</v>
      </c>
      <c r="L1143" s="179" t="s">
        <v>6064</v>
      </c>
      <c r="M1143" s="334">
        <v>41032</v>
      </c>
      <c r="N1143" s="179" t="s">
        <v>12109</v>
      </c>
      <c r="O1143" s="52"/>
      <c r="P1143" s="536" t="s">
        <v>1808</v>
      </c>
      <c r="Q1143" s="179"/>
      <c r="R1143" s="179"/>
      <c r="S1143" s="179"/>
      <c r="T1143" s="54"/>
      <c r="U1143" s="187"/>
    </row>
    <row r="1144" spans="1:21" ht="51">
      <c r="A1144" s="6">
        <v>2012</v>
      </c>
      <c r="B1144" s="179" t="s">
        <v>5181</v>
      </c>
      <c r="C1144" s="112" t="s">
        <v>61</v>
      </c>
      <c r="D1144" s="180" t="s">
        <v>4993</v>
      </c>
      <c r="E1144" s="180"/>
      <c r="F1144" s="179" t="s">
        <v>5182</v>
      </c>
      <c r="G1144" s="179" t="s">
        <v>5183</v>
      </c>
      <c r="H1144" s="186">
        <v>80000</v>
      </c>
      <c r="I1144" s="179" t="s">
        <v>5171</v>
      </c>
      <c r="J1144" s="180" t="s">
        <v>1828</v>
      </c>
      <c r="K1144" s="180" t="s">
        <v>82</v>
      </c>
      <c r="L1144" s="179" t="s">
        <v>6064</v>
      </c>
      <c r="M1144" s="334">
        <v>41032</v>
      </c>
      <c r="N1144" s="179" t="s">
        <v>12110</v>
      </c>
      <c r="O1144" s="52"/>
      <c r="P1144" s="536" t="s">
        <v>1808</v>
      </c>
      <c r="Q1144" s="179"/>
      <c r="R1144" s="179"/>
      <c r="S1144" s="179"/>
      <c r="T1144" s="54"/>
      <c r="U1144" s="179"/>
    </row>
    <row r="1145" spans="1:21" ht="89.25">
      <c r="A1145" s="6">
        <v>2012</v>
      </c>
      <c r="B1145" s="179" t="s">
        <v>5184</v>
      </c>
      <c r="C1145" s="112" t="s">
        <v>61</v>
      </c>
      <c r="D1145" s="180" t="s">
        <v>4993</v>
      </c>
      <c r="E1145" s="180"/>
      <c r="F1145" s="179" t="s">
        <v>5185</v>
      </c>
      <c r="G1145" s="179" t="s">
        <v>5186</v>
      </c>
      <c r="H1145" s="186">
        <v>80000</v>
      </c>
      <c r="I1145" s="179" t="s">
        <v>5187</v>
      </c>
      <c r="J1145" s="180" t="s">
        <v>1828</v>
      </c>
      <c r="K1145" s="180" t="s">
        <v>82</v>
      </c>
      <c r="L1145" s="179" t="s">
        <v>6064</v>
      </c>
      <c r="M1145" s="334">
        <v>41032</v>
      </c>
      <c r="N1145" s="179" t="s">
        <v>7902</v>
      </c>
      <c r="O1145" s="52"/>
      <c r="P1145" s="536" t="s">
        <v>1808</v>
      </c>
      <c r="Q1145" s="179"/>
      <c r="R1145" s="179"/>
      <c r="S1145" s="179"/>
      <c r="T1145" s="54"/>
      <c r="U1145" s="179"/>
    </row>
    <row r="1146" spans="1:21" ht="51">
      <c r="A1146" s="6">
        <v>2012</v>
      </c>
      <c r="B1146" s="179" t="s">
        <v>5188</v>
      </c>
      <c r="C1146" s="112" t="s">
        <v>61</v>
      </c>
      <c r="D1146" s="180" t="s">
        <v>4993</v>
      </c>
      <c r="E1146" s="180"/>
      <c r="F1146" s="179" t="s">
        <v>5189</v>
      </c>
      <c r="G1146" s="179" t="s">
        <v>5190</v>
      </c>
      <c r="H1146" s="186">
        <v>80000</v>
      </c>
      <c r="I1146" s="179" t="s">
        <v>5171</v>
      </c>
      <c r="J1146" s="180" t="s">
        <v>1828</v>
      </c>
      <c r="K1146" s="180" t="s">
        <v>82</v>
      </c>
      <c r="L1146" s="179" t="s">
        <v>6064</v>
      </c>
      <c r="M1146" s="334">
        <v>41037</v>
      </c>
      <c r="N1146" s="179" t="s">
        <v>7903</v>
      </c>
      <c r="O1146" s="52"/>
      <c r="P1146" s="536" t="s">
        <v>1808</v>
      </c>
      <c r="Q1146" s="179"/>
      <c r="R1146" s="179"/>
      <c r="S1146" s="179"/>
      <c r="T1146" s="54"/>
      <c r="U1146" s="179"/>
    </row>
    <row r="1147" spans="1:21" ht="76.5">
      <c r="A1147" s="6">
        <v>2012</v>
      </c>
      <c r="B1147" s="179" t="s">
        <v>5191</v>
      </c>
      <c r="C1147" s="112" t="s">
        <v>61</v>
      </c>
      <c r="D1147" s="180" t="s">
        <v>586</v>
      </c>
      <c r="E1147" s="180"/>
      <c r="F1147" s="179" t="s">
        <v>5192</v>
      </c>
      <c r="G1147" s="179" t="s">
        <v>5193</v>
      </c>
      <c r="H1147" s="194">
        <v>6100</v>
      </c>
      <c r="I1147" s="179" t="s">
        <v>5194</v>
      </c>
      <c r="J1147" s="180" t="s">
        <v>2085</v>
      </c>
      <c r="K1147" s="180" t="s">
        <v>1874</v>
      </c>
      <c r="L1147" s="179" t="s">
        <v>6104</v>
      </c>
      <c r="M1147" s="334">
        <v>41038</v>
      </c>
      <c r="N1147" s="179" t="s">
        <v>12111</v>
      </c>
      <c r="O1147" s="52"/>
      <c r="P1147" s="179" t="s">
        <v>6132</v>
      </c>
      <c r="Q1147" s="179"/>
      <c r="R1147" s="179"/>
      <c r="S1147" s="179"/>
      <c r="T1147" s="54"/>
      <c r="U1147" s="179"/>
    </row>
    <row r="1148" spans="1:21" ht="76.5">
      <c r="A1148" s="6">
        <v>2012</v>
      </c>
      <c r="B1148" s="179" t="s">
        <v>5195</v>
      </c>
      <c r="C1148" s="112" t="s">
        <v>61</v>
      </c>
      <c r="D1148" s="180" t="s">
        <v>4993</v>
      </c>
      <c r="E1148" s="180"/>
      <c r="F1148" s="179" t="s">
        <v>5196</v>
      </c>
      <c r="G1148" s="179" t="s">
        <v>5197</v>
      </c>
      <c r="H1148" s="186">
        <v>80000</v>
      </c>
      <c r="I1148" s="179" t="s">
        <v>5198</v>
      </c>
      <c r="J1148" s="180" t="s">
        <v>1828</v>
      </c>
      <c r="K1148" s="180" t="s">
        <v>82</v>
      </c>
      <c r="L1148" s="179" t="s">
        <v>6064</v>
      </c>
      <c r="M1148" s="334">
        <v>41038</v>
      </c>
      <c r="N1148" s="179" t="s">
        <v>7905</v>
      </c>
      <c r="O1148" s="52"/>
      <c r="P1148" s="536" t="s">
        <v>1808</v>
      </c>
      <c r="Q1148" s="179"/>
      <c r="R1148" s="179"/>
      <c r="S1148" s="179"/>
      <c r="T1148" s="54"/>
      <c r="U1148" s="179"/>
    </row>
    <row r="1149" spans="1:21" ht="38.25">
      <c r="A1149" s="6">
        <v>2012</v>
      </c>
      <c r="B1149" s="179" t="s">
        <v>5199</v>
      </c>
      <c r="C1149" s="112" t="s">
        <v>61</v>
      </c>
      <c r="D1149" s="180" t="s">
        <v>1383</v>
      </c>
      <c r="E1149" s="180"/>
      <c r="F1149" s="179" t="s">
        <v>5200</v>
      </c>
      <c r="G1149" s="179" t="s">
        <v>5201</v>
      </c>
      <c r="H1149" s="186">
        <v>35000</v>
      </c>
      <c r="I1149" s="179" t="s">
        <v>5202</v>
      </c>
      <c r="J1149" s="180" t="s">
        <v>1855</v>
      </c>
      <c r="K1149" s="143" t="s">
        <v>82</v>
      </c>
      <c r="L1149" s="179" t="s">
        <v>6064</v>
      </c>
      <c r="M1149" s="334">
        <v>41050</v>
      </c>
      <c r="N1149" s="179" t="s">
        <v>7906</v>
      </c>
      <c r="O1149" s="52"/>
      <c r="P1149" s="536" t="s">
        <v>1808</v>
      </c>
      <c r="Q1149" s="179"/>
      <c r="R1149" s="179"/>
      <c r="S1149" s="179"/>
      <c r="T1149" s="54"/>
      <c r="U1149" s="179"/>
    </row>
    <row r="1150" spans="1:21" ht="25.5">
      <c r="A1150" s="6">
        <v>2012</v>
      </c>
      <c r="B1150" s="179" t="s">
        <v>5203</v>
      </c>
      <c r="C1150" s="112" t="s">
        <v>61</v>
      </c>
      <c r="D1150" s="180" t="s">
        <v>394</v>
      </c>
      <c r="E1150" s="180"/>
      <c r="F1150" s="179" t="s">
        <v>5204</v>
      </c>
      <c r="G1150" s="179" t="s">
        <v>5205</v>
      </c>
      <c r="H1150" s="791">
        <v>32000</v>
      </c>
      <c r="I1150" s="179" t="s">
        <v>5206</v>
      </c>
      <c r="J1150" s="180" t="s">
        <v>1828</v>
      </c>
      <c r="K1150" s="180" t="s">
        <v>1853</v>
      </c>
      <c r="L1150" s="179" t="s">
        <v>6071</v>
      </c>
      <c r="M1150" s="334">
        <v>41052</v>
      </c>
      <c r="N1150" s="179" t="s">
        <v>7908</v>
      </c>
      <c r="O1150" s="52"/>
      <c r="P1150" s="536" t="s">
        <v>1808</v>
      </c>
      <c r="Q1150" s="179"/>
      <c r="R1150" s="179"/>
      <c r="S1150" s="179"/>
      <c r="T1150" s="54"/>
      <c r="U1150" s="179"/>
    </row>
    <row r="1151" spans="1:21" ht="38.25">
      <c r="A1151" s="6">
        <v>2012</v>
      </c>
      <c r="B1151" s="179" t="s">
        <v>5207</v>
      </c>
      <c r="C1151" s="112" t="s">
        <v>61</v>
      </c>
      <c r="D1151" s="180" t="s">
        <v>4993</v>
      </c>
      <c r="E1151" s="180"/>
      <c r="F1151" s="179" t="s">
        <v>5208</v>
      </c>
      <c r="G1151" s="179" t="s">
        <v>5209</v>
      </c>
      <c r="H1151" s="186">
        <v>80000</v>
      </c>
      <c r="I1151" s="179" t="s">
        <v>5210</v>
      </c>
      <c r="J1151" s="180" t="s">
        <v>1828</v>
      </c>
      <c r="K1151" s="180" t="s">
        <v>82</v>
      </c>
      <c r="L1151" s="179" t="s">
        <v>6217</v>
      </c>
      <c r="M1151" s="334">
        <v>41053</v>
      </c>
      <c r="N1151" s="179" t="s">
        <v>7909</v>
      </c>
      <c r="O1151" s="52"/>
      <c r="P1151" s="536" t="s">
        <v>1808</v>
      </c>
      <c r="Q1151" s="179"/>
      <c r="R1151" s="179"/>
      <c r="S1151" s="179"/>
      <c r="T1151" s="54"/>
      <c r="U1151" s="179"/>
    </row>
    <row r="1152" spans="1:21" ht="25.5">
      <c r="A1152" s="6">
        <v>2012</v>
      </c>
      <c r="B1152" s="179" t="s">
        <v>5211</v>
      </c>
      <c r="C1152" s="112" t="s">
        <v>61</v>
      </c>
      <c r="D1152" s="180" t="s">
        <v>1141</v>
      </c>
      <c r="E1152" s="180"/>
      <c r="F1152" s="179" t="s">
        <v>5212</v>
      </c>
      <c r="G1152" s="179" t="s">
        <v>5213</v>
      </c>
      <c r="H1152" s="792" t="s">
        <v>12112</v>
      </c>
      <c r="I1152" s="179" t="s">
        <v>5214</v>
      </c>
      <c r="J1152" s="180" t="s">
        <v>1855</v>
      </c>
      <c r="K1152" s="143" t="s">
        <v>1904</v>
      </c>
      <c r="L1152" s="179" t="s">
        <v>6137</v>
      </c>
      <c r="M1152" s="334">
        <v>41053</v>
      </c>
      <c r="N1152" s="179" t="s">
        <v>7911</v>
      </c>
      <c r="O1152" s="52"/>
      <c r="P1152" s="536" t="s">
        <v>1808</v>
      </c>
      <c r="Q1152" s="179"/>
      <c r="R1152" s="179"/>
      <c r="S1152" s="179"/>
      <c r="T1152" s="54"/>
      <c r="U1152" s="179"/>
    </row>
    <row r="1153" spans="1:21" ht="38.25">
      <c r="A1153" s="6">
        <v>2012</v>
      </c>
      <c r="B1153" s="179" t="s">
        <v>5215</v>
      </c>
      <c r="C1153" s="112" t="s">
        <v>61</v>
      </c>
      <c r="D1153" s="180" t="s">
        <v>1383</v>
      </c>
      <c r="E1153" s="180"/>
      <c r="F1153" s="179" t="s">
        <v>5216</v>
      </c>
      <c r="G1153" s="179" t="s">
        <v>4834</v>
      </c>
      <c r="H1153" s="186">
        <v>8016.6</v>
      </c>
      <c r="I1153" s="179" t="s">
        <v>5217</v>
      </c>
      <c r="J1153" s="180" t="s">
        <v>1828</v>
      </c>
      <c r="K1153" s="143" t="s">
        <v>82</v>
      </c>
      <c r="L1153" s="179" t="s">
        <v>6064</v>
      </c>
      <c r="M1153" s="334">
        <v>41054</v>
      </c>
      <c r="N1153" s="179" t="s">
        <v>7913</v>
      </c>
      <c r="O1153" s="52"/>
      <c r="P1153" s="536" t="s">
        <v>1808</v>
      </c>
      <c r="Q1153" s="179"/>
      <c r="R1153" s="179"/>
      <c r="S1153" s="179"/>
      <c r="T1153" s="54"/>
      <c r="U1153" s="179"/>
    </row>
    <row r="1154" spans="1:21" ht="89.25">
      <c r="A1154" s="6">
        <v>2012</v>
      </c>
      <c r="B1154" s="179" t="s">
        <v>5218</v>
      </c>
      <c r="C1154" s="112" t="s">
        <v>61</v>
      </c>
      <c r="D1154" s="180" t="s">
        <v>1763</v>
      </c>
      <c r="E1154" s="180"/>
      <c r="F1154" s="179" t="s">
        <v>5219</v>
      </c>
      <c r="G1154" s="179" t="s">
        <v>5220</v>
      </c>
      <c r="H1154" s="194">
        <v>4500</v>
      </c>
      <c r="I1154" s="179" t="s">
        <v>5221</v>
      </c>
      <c r="J1154" s="180" t="s">
        <v>1828</v>
      </c>
      <c r="K1154" s="143" t="s">
        <v>82</v>
      </c>
      <c r="L1154" s="179" t="s">
        <v>6217</v>
      </c>
      <c r="M1154" s="334">
        <v>41058</v>
      </c>
      <c r="N1154" s="179" t="s">
        <v>7914</v>
      </c>
      <c r="O1154" s="52"/>
      <c r="P1154" s="536" t="s">
        <v>6179</v>
      </c>
      <c r="Q1154" s="179"/>
      <c r="R1154" s="179"/>
      <c r="S1154" s="179"/>
      <c r="T1154" s="54"/>
      <c r="U1154" s="179"/>
    </row>
    <row r="1155" spans="1:21" ht="38.25">
      <c r="A1155" s="6">
        <v>2012</v>
      </c>
      <c r="B1155" s="179" t="s">
        <v>5222</v>
      </c>
      <c r="C1155" s="112" t="s">
        <v>61</v>
      </c>
      <c r="D1155" s="180" t="s">
        <v>4993</v>
      </c>
      <c r="E1155" s="180"/>
      <c r="F1155" s="179" t="s">
        <v>5223</v>
      </c>
      <c r="G1155" s="179" t="s">
        <v>5224</v>
      </c>
      <c r="H1155" s="186">
        <v>80000</v>
      </c>
      <c r="I1155" s="179" t="s">
        <v>5225</v>
      </c>
      <c r="J1155" s="180" t="s">
        <v>1828</v>
      </c>
      <c r="K1155" s="180" t="s">
        <v>82</v>
      </c>
      <c r="L1155" s="179" t="s">
        <v>6071</v>
      </c>
      <c r="M1155" s="334">
        <v>41059</v>
      </c>
      <c r="N1155" s="179" t="s">
        <v>7915</v>
      </c>
      <c r="O1155" s="52"/>
      <c r="P1155" s="536" t="s">
        <v>1808</v>
      </c>
      <c r="Q1155" s="179"/>
      <c r="R1155" s="179"/>
      <c r="S1155" s="179"/>
      <c r="T1155" s="54"/>
      <c r="U1155" s="179"/>
    </row>
    <row r="1156" spans="1:21" ht="25.5">
      <c r="A1156" s="6">
        <v>2012</v>
      </c>
      <c r="B1156" s="179" t="s">
        <v>5226</v>
      </c>
      <c r="C1156" s="112" t="s">
        <v>61</v>
      </c>
      <c r="D1156" s="180" t="s">
        <v>1141</v>
      </c>
      <c r="E1156" s="180"/>
      <c r="F1156" s="179" t="s">
        <v>5227</v>
      </c>
      <c r="G1156" s="179" t="s">
        <v>5228</v>
      </c>
      <c r="H1156" s="792">
        <v>48060.02</v>
      </c>
      <c r="I1156" s="179" t="s">
        <v>4425</v>
      </c>
      <c r="J1156" s="180" t="s">
        <v>2472</v>
      </c>
      <c r="K1156" s="143" t="s">
        <v>1904</v>
      </c>
      <c r="L1156" s="179" t="s">
        <v>6137</v>
      </c>
      <c r="M1156" s="334">
        <v>41059</v>
      </c>
      <c r="N1156" s="179" t="s">
        <v>7911</v>
      </c>
      <c r="O1156" s="52"/>
      <c r="P1156" s="536" t="s">
        <v>1808</v>
      </c>
      <c r="Q1156" s="179"/>
      <c r="R1156" s="179"/>
      <c r="S1156" s="179"/>
      <c r="T1156" s="54"/>
      <c r="U1156" s="179"/>
    </row>
    <row r="1157" spans="1:21" ht="38.25">
      <c r="A1157" s="6">
        <v>2012</v>
      </c>
      <c r="B1157" s="179" t="s">
        <v>5229</v>
      </c>
      <c r="C1157" s="112" t="s">
        <v>61</v>
      </c>
      <c r="D1157" s="180" t="s">
        <v>4993</v>
      </c>
      <c r="E1157" s="180"/>
      <c r="F1157" s="179" t="s">
        <v>5230</v>
      </c>
      <c r="G1157" s="179" t="s">
        <v>5231</v>
      </c>
      <c r="H1157" s="186">
        <v>80000</v>
      </c>
      <c r="I1157" s="179" t="s">
        <v>5206</v>
      </c>
      <c r="J1157" s="180" t="s">
        <v>1828</v>
      </c>
      <c r="K1157" s="180" t="s">
        <v>82</v>
      </c>
      <c r="L1157" s="179" t="s">
        <v>6217</v>
      </c>
      <c r="M1157" s="334">
        <v>41061</v>
      </c>
      <c r="N1157" s="179" t="s">
        <v>12113</v>
      </c>
      <c r="O1157" s="52"/>
      <c r="P1157" s="536" t="s">
        <v>1808</v>
      </c>
      <c r="Q1157" s="179"/>
      <c r="R1157" s="179"/>
      <c r="S1157" s="179"/>
      <c r="T1157" s="54"/>
      <c r="U1157" s="179"/>
    </row>
    <row r="1158" spans="1:21" ht="38.25">
      <c r="A1158" s="6">
        <v>2012</v>
      </c>
      <c r="B1158" s="179" t="s">
        <v>5232</v>
      </c>
      <c r="C1158" s="112" t="s">
        <v>61</v>
      </c>
      <c r="D1158" s="180" t="s">
        <v>4993</v>
      </c>
      <c r="E1158" s="180"/>
      <c r="F1158" s="179" t="s">
        <v>5233</v>
      </c>
      <c r="G1158" s="179" t="s">
        <v>5234</v>
      </c>
      <c r="H1158" s="186">
        <v>80000</v>
      </c>
      <c r="I1158" s="179" t="s">
        <v>5235</v>
      </c>
      <c r="J1158" s="180" t="s">
        <v>1828</v>
      </c>
      <c r="K1158" s="180" t="s">
        <v>82</v>
      </c>
      <c r="L1158" s="179" t="s">
        <v>6064</v>
      </c>
      <c r="M1158" s="334">
        <v>41064</v>
      </c>
      <c r="N1158" s="179" t="s">
        <v>12113</v>
      </c>
      <c r="O1158" s="52"/>
      <c r="P1158" s="536" t="s">
        <v>1808</v>
      </c>
      <c r="Q1158" s="179"/>
      <c r="R1158" s="179"/>
      <c r="S1158" s="179"/>
      <c r="T1158" s="54"/>
      <c r="U1158" s="179"/>
    </row>
    <row r="1159" spans="1:21" ht="51">
      <c r="A1159" s="6">
        <v>2012</v>
      </c>
      <c r="B1159" s="179" t="s">
        <v>5236</v>
      </c>
      <c r="C1159" s="112" t="s">
        <v>61</v>
      </c>
      <c r="D1159" s="180" t="s">
        <v>1383</v>
      </c>
      <c r="E1159" s="180"/>
      <c r="F1159" s="179" t="s">
        <v>5237</v>
      </c>
      <c r="G1159" s="179" t="s">
        <v>5238</v>
      </c>
      <c r="H1159" s="186">
        <v>47000</v>
      </c>
      <c r="I1159" s="190"/>
      <c r="J1159" s="180" t="s">
        <v>1828</v>
      </c>
      <c r="K1159" s="143" t="s">
        <v>82</v>
      </c>
      <c r="L1159" s="179" t="s">
        <v>1824</v>
      </c>
      <c r="M1159" s="334">
        <v>41066</v>
      </c>
      <c r="N1159" s="179" t="s">
        <v>7918</v>
      </c>
      <c r="O1159" s="52"/>
      <c r="P1159" s="536" t="s">
        <v>1808</v>
      </c>
      <c r="Q1159" s="179"/>
      <c r="R1159" s="179"/>
      <c r="S1159" s="179"/>
      <c r="T1159" s="54"/>
      <c r="U1159" s="179" t="s">
        <v>1934</v>
      </c>
    </row>
    <row r="1160" spans="1:21" ht="51">
      <c r="A1160" s="6">
        <v>2012</v>
      </c>
      <c r="B1160" s="179" t="s">
        <v>5239</v>
      </c>
      <c r="C1160" s="112" t="s">
        <v>61</v>
      </c>
      <c r="D1160" s="180" t="s">
        <v>4993</v>
      </c>
      <c r="E1160" s="180"/>
      <c r="F1160" s="179" t="s">
        <v>5240</v>
      </c>
      <c r="G1160" s="179" t="s">
        <v>5241</v>
      </c>
      <c r="H1160" s="186">
        <v>80000</v>
      </c>
      <c r="I1160" s="179" t="s">
        <v>5242</v>
      </c>
      <c r="J1160" s="180" t="s">
        <v>1828</v>
      </c>
      <c r="K1160" s="180" t="s">
        <v>82</v>
      </c>
      <c r="L1160" s="179" t="s">
        <v>6941</v>
      </c>
      <c r="M1160" s="334">
        <v>41066</v>
      </c>
      <c r="N1160" s="179" t="s">
        <v>7920</v>
      </c>
      <c r="O1160" s="52"/>
      <c r="P1160" s="536" t="s">
        <v>1808</v>
      </c>
      <c r="Q1160" s="179"/>
      <c r="R1160" s="179"/>
      <c r="S1160" s="179"/>
      <c r="T1160" s="54"/>
      <c r="U1160" s="179"/>
    </row>
    <row r="1161" spans="1:21" ht="63.75">
      <c r="A1161" s="6">
        <v>2012</v>
      </c>
      <c r="B1161" s="179" t="s">
        <v>5243</v>
      </c>
      <c r="C1161" s="112" t="s">
        <v>61</v>
      </c>
      <c r="D1161" s="180" t="s">
        <v>4993</v>
      </c>
      <c r="E1161" s="180"/>
      <c r="F1161" s="179" t="s">
        <v>5244</v>
      </c>
      <c r="G1161" s="179" t="s">
        <v>5245</v>
      </c>
      <c r="H1161" s="194">
        <v>20300</v>
      </c>
      <c r="I1161" s="179" t="s">
        <v>5246</v>
      </c>
      <c r="J1161" s="180" t="s">
        <v>1828</v>
      </c>
      <c r="K1161" s="180" t="s">
        <v>82</v>
      </c>
      <c r="L1161" s="179" t="s">
        <v>6064</v>
      </c>
      <c r="M1161" s="334">
        <v>41068</v>
      </c>
      <c r="N1161" s="179" t="s">
        <v>7921</v>
      </c>
      <c r="O1161" s="52"/>
      <c r="P1161" s="536" t="s">
        <v>1808</v>
      </c>
      <c r="Q1161" s="179"/>
      <c r="R1161" s="179"/>
      <c r="S1161" s="179"/>
      <c r="T1161" s="54"/>
      <c r="U1161" s="179"/>
    </row>
    <row r="1162" spans="1:21" ht="51">
      <c r="A1162" s="6">
        <v>2012</v>
      </c>
      <c r="B1162" s="179" t="s">
        <v>5247</v>
      </c>
      <c r="C1162" s="112" t="s">
        <v>61</v>
      </c>
      <c r="D1162" s="180" t="s">
        <v>1141</v>
      </c>
      <c r="E1162" s="180"/>
      <c r="F1162" s="179" t="s">
        <v>5248</v>
      </c>
      <c r="G1162" s="179" t="s">
        <v>5249</v>
      </c>
      <c r="H1162" s="792">
        <v>120855</v>
      </c>
      <c r="I1162" s="179" t="s">
        <v>4637</v>
      </c>
      <c r="J1162" s="143" t="s">
        <v>5924</v>
      </c>
      <c r="K1162" s="143" t="s">
        <v>1904</v>
      </c>
      <c r="L1162" s="179" t="s">
        <v>6137</v>
      </c>
      <c r="M1162" s="334">
        <v>41074</v>
      </c>
      <c r="N1162" s="179" t="s">
        <v>12114</v>
      </c>
      <c r="O1162" s="52"/>
      <c r="P1162" s="536" t="s">
        <v>1808</v>
      </c>
      <c r="Q1162" s="179"/>
      <c r="R1162" s="179"/>
      <c r="S1162" s="179"/>
      <c r="T1162" s="54"/>
      <c r="U1162" s="179"/>
    </row>
    <row r="1163" spans="1:21" ht="25.5">
      <c r="A1163" s="56">
        <v>2012</v>
      </c>
      <c r="B1163" s="179" t="s">
        <v>5250</v>
      </c>
      <c r="C1163" s="209"/>
      <c r="D1163" s="191"/>
      <c r="E1163" s="191"/>
      <c r="F1163" s="190"/>
      <c r="G1163" s="190"/>
      <c r="H1163" s="190"/>
      <c r="I1163" s="190"/>
      <c r="J1163" s="190"/>
      <c r="K1163" s="54"/>
      <c r="L1163" s="190" t="s">
        <v>7924</v>
      </c>
      <c r="M1163" s="804"/>
      <c r="N1163" s="190"/>
      <c r="O1163" s="554"/>
      <c r="P1163" s="789" t="s">
        <v>1808</v>
      </c>
      <c r="Q1163" s="190"/>
      <c r="R1163" s="190"/>
      <c r="S1163" s="190"/>
      <c r="T1163" s="302"/>
      <c r="U1163" s="190"/>
    </row>
    <row r="1164" spans="1:21" ht="76.5">
      <c r="A1164" s="6">
        <v>2012</v>
      </c>
      <c r="B1164" s="179" t="s">
        <v>5251</v>
      </c>
      <c r="C1164" s="112" t="s">
        <v>61</v>
      </c>
      <c r="D1164" s="180" t="s">
        <v>4993</v>
      </c>
      <c r="E1164" s="180"/>
      <c r="F1164" s="196" t="s">
        <v>5252</v>
      </c>
      <c r="G1164" s="179" t="s">
        <v>5253</v>
      </c>
      <c r="H1164" s="186">
        <v>36000</v>
      </c>
      <c r="I1164" s="179" t="s">
        <v>5254</v>
      </c>
      <c r="J1164" s="180" t="s">
        <v>2472</v>
      </c>
      <c r="K1164" s="180" t="s">
        <v>82</v>
      </c>
      <c r="L1164" s="179" t="s">
        <v>7924</v>
      </c>
      <c r="M1164" s="334">
        <v>41088</v>
      </c>
      <c r="N1164" s="180" t="s">
        <v>12115</v>
      </c>
      <c r="O1164" s="52"/>
      <c r="P1164" s="536" t="s">
        <v>1808</v>
      </c>
      <c r="Q1164" s="179"/>
      <c r="R1164" s="179"/>
      <c r="S1164" s="179"/>
      <c r="T1164" s="54"/>
      <c r="U1164" s="179"/>
    </row>
    <row r="1165" spans="1:21" ht="76.5">
      <c r="A1165" s="6">
        <v>2012</v>
      </c>
      <c r="B1165" s="179" t="s">
        <v>5255</v>
      </c>
      <c r="C1165" s="112" t="s">
        <v>61</v>
      </c>
      <c r="D1165" s="180" t="s">
        <v>1763</v>
      </c>
      <c r="E1165" s="180"/>
      <c r="F1165" s="179" t="s">
        <v>5256</v>
      </c>
      <c r="G1165" s="179" t="s">
        <v>5257</v>
      </c>
      <c r="H1165" s="194">
        <v>7650</v>
      </c>
      <c r="I1165" s="179" t="s">
        <v>5258</v>
      </c>
      <c r="J1165" s="180" t="s">
        <v>1828</v>
      </c>
      <c r="K1165" s="143" t="s">
        <v>82</v>
      </c>
      <c r="L1165" s="179" t="s">
        <v>6217</v>
      </c>
      <c r="M1165" s="334">
        <v>41092</v>
      </c>
      <c r="N1165" s="179" t="s">
        <v>7925</v>
      </c>
      <c r="O1165" s="52"/>
      <c r="P1165" s="536" t="s">
        <v>1808</v>
      </c>
      <c r="Q1165" s="179"/>
      <c r="R1165" s="179"/>
      <c r="S1165" s="179"/>
      <c r="T1165" s="54"/>
      <c r="U1165" s="179"/>
    </row>
    <row r="1166" spans="1:21" ht="51">
      <c r="A1166" s="6">
        <v>2012</v>
      </c>
      <c r="B1166" s="179" t="s">
        <v>5259</v>
      </c>
      <c r="C1166" s="112" t="s">
        <v>61</v>
      </c>
      <c r="D1166" s="180" t="s">
        <v>4787</v>
      </c>
      <c r="E1166" s="180"/>
      <c r="F1166" s="179" t="s">
        <v>5260</v>
      </c>
      <c r="G1166" s="179" t="s">
        <v>5261</v>
      </c>
      <c r="H1166" s="194">
        <v>55000</v>
      </c>
      <c r="I1166" s="179"/>
      <c r="J1166" s="191" t="s">
        <v>1828</v>
      </c>
      <c r="K1166" s="180" t="s">
        <v>82</v>
      </c>
      <c r="L1166" s="179" t="s">
        <v>7928</v>
      </c>
      <c r="M1166" s="334">
        <v>41106</v>
      </c>
      <c r="N1166" s="179" t="s">
        <v>7926</v>
      </c>
      <c r="O1166" s="52"/>
      <c r="P1166" s="536" t="s">
        <v>1808</v>
      </c>
      <c r="Q1166" s="179"/>
      <c r="R1166" s="179"/>
      <c r="S1166" s="179"/>
      <c r="T1166" s="54"/>
      <c r="U1166" s="179"/>
    </row>
    <row r="1167" spans="1:21" ht="89.25">
      <c r="A1167" s="6">
        <v>2012</v>
      </c>
      <c r="B1167" s="179" t="s">
        <v>5262</v>
      </c>
      <c r="C1167" s="112" t="s">
        <v>61</v>
      </c>
      <c r="D1167" s="180" t="s">
        <v>1763</v>
      </c>
      <c r="E1167" s="180"/>
      <c r="F1167" s="179" t="s">
        <v>5263</v>
      </c>
      <c r="G1167" s="179" t="s">
        <v>5264</v>
      </c>
      <c r="H1167" s="194">
        <v>8400</v>
      </c>
      <c r="I1167" s="179" t="s">
        <v>5265</v>
      </c>
      <c r="J1167" s="180" t="s">
        <v>1847</v>
      </c>
      <c r="K1167" s="143" t="s">
        <v>82</v>
      </c>
      <c r="L1167" s="179" t="s">
        <v>6064</v>
      </c>
      <c r="M1167" s="334">
        <v>41106</v>
      </c>
      <c r="N1167" s="179" t="s">
        <v>7929</v>
      </c>
      <c r="O1167" s="52"/>
      <c r="P1167" s="179" t="s">
        <v>6179</v>
      </c>
      <c r="Q1167" s="179"/>
      <c r="R1167" s="179"/>
      <c r="S1167" s="179"/>
      <c r="T1167" s="54"/>
      <c r="U1167" s="179"/>
    </row>
    <row r="1168" spans="1:21" ht="63.75">
      <c r="A1168" s="6">
        <v>2012</v>
      </c>
      <c r="B1168" s="179" t="s">
        <v>5266</v>
      </c>
      <c r="C1168" s="112" t="s">
        <v>61</v>
      </c>
      <c r="D1168" s="180" t="s">
        <v>62</v>
      </c>
      <c r="E1168" s="180"/>
      <c r="F1168" s="179" t="s">
        <v>5267</v>
      </c>
      <c r="G1168" s="179" t="s">
        <v>5268</v>
      </c>
      <c r="H1168" s="791">
        <v>612375.27</v>
      </c>
      <c r="I1168" s="179" t="s">
        <v>5269</v>
      </c>
      <c r="J1168" s="180" t="s">
        <v>1847</v>
      </c>
      <c r="K1168" s="180" t="s">
        <v>1904</v>
      </c>
      <c r="L1168" s="179" t="s">
        <v>6170</v>
      </c>
      <c r="M1168" s="334">
        <v>41114</v>
      </c>
      <c r="N1168" s="179" t="s">
        <v>7931</v>
      </c>
      <c r="O1168" s="52"/>
      <c r="P1168" s="179" t="s">
        <v>6179</v>
      </c>
      <c r="Q1168" s="179"/>
      <c r="R1168" s="179"/>
      <c r="S1168" s="179"/>
      <c r="T1168" s="54"/>
      <c r="U1168" s="179"/>
    </row>
    <row r="1169" spans="1:21" ht="25.5">
      <c r="A1169" s="56">
        <v>2012</v>
      </c>
      <c r="B1169" s="190" t="s">
        <v>5270</v>
      </c>
      <c r="C1169" s="209"/>
      <c r="D1169" s="191"/>
      <c r="E1169" s="191"/>
      <c r="F1169" s="190"/>
      <c r="G1169" s="190"/>
      <c r="H1169" s="190"/>
      <c r="I1169" s="190"/>
      <c r="J1169" s="190"/>
      <c r="K1169" s="302"/>
      <c r="L1169" s="190" t="s">
        <v>7924</v>
      </c>
      <c r="M1169" s="804"/>
      <c r="N1169" s="190"/>
      <c r="O1169" s="554"/>
      <c r="P1169" s="789" t="s">
        <v>1808</v>
      </c>
      <c r="Q1169" s="190"/>
      <c r="R1169" s="190"/>
      <c r="S1169" s="190"/>
      <c r="T1169" s="302"/>
      <c r="U1169" s="190"/>
    </row>
    <row r="1170" spans="1:21" ht="38.25">
      <c r="A1170" s="6">
        <v>2012</v>
      </c>
      <c r="B1170" s="179" t="s">
        <v>5271</v>
      </c>
      <c r="C1170" s="112" t="s">
        <v>61</v>
      </c>
      <c r="D1170" s="180" t="s">
        <v>5031</v>
      </c>
      <c r="E1170" s="180"/>
      <c r="F1170" s="179" t="s">
        <v>5272</v>
      </c>
      <c r="G1170" s="179" t="s">
        <v>5273</v>
      </c>
      <c r="H1170" s="791">
        <v>45000</v>
      </c>
      <c r="I1170" s="179" t="s">
        <v>5034</v>
      </c>
      <c r="J1170" s="180" t="s">
        <v>1828</v>
      </c>
      <c r="K1170" s="180" t="s">
        <v>82</v>
      </c>
      <c r="L1170" s="179" t="s">
        <v>6064</v>
      </c>
      <c r="M1170" s="334">
        <v>41127</v>
      </c>
      <c r="N1170" s="179" t="s">
        <v>7932</v>
      </c>
      <c r="O1170" s="52"/>
      <c r="P1170" s="536" t="s">
        <v>1808</v>
      </c>
      <c r="Q1170" s="179"/>
      <c r="R1170" s="179"/>
      <c r="S1170" s="179"/>
      <c r="T1170" s="54"/>
      <c r="U1170" s="179"/>
    </row>
    <row r="1171" spans="1:21" ht="76.5">
      <c r="A1171" s="6">
        <v>2012</v>
      </c>
      <c r="B1171" s="179" t="s">
        <v>5274</v>
      </c>
      <c r="C1171" s="112" t="s">
        <v>61</v>
      </c>
      <c r="D1171" s="180" t="s">
        <v>5031</v>
      </c>
      <c r="E1171" s="180"/>
      <c r="F1171" s="179" t="s">
        <v>5275</v>
      </c>
      <c r="G1171" s="179" t="s">
        <v>5276</v>
      </c>
      <c r="H1171" s="791">
        <v>50000</v>
      </c>
      <c r="I1171" s="179" t="s">
        <v>5277</v>
      </c>
      <c r="J1171" s="180" t="s">
        <v>1828</v>
      </c>
      <c r="K1171" s="180" t="s">
        <v>82</v>
      </c>
      <c r="L1171" s="179" t="s">
        <v>6064</v>
      </c>
      <c r="M1171" s="334">
        <v>41129</v>
      </c>
      <c r="N1171" s="179" t="s">
        <v>7933</v>
      </c>
      <c r="O1171" s="52"/>
      <c r="P1171" s="536" t="s">
        <v>1808</v>
      </c>
      <c r="Q1171" s="179"/>
      <c r="R1171" s="179"/>
      <c r="S1171" s="179"/>
      <c r="T1171" s="54"/>
      <c r="U1171" s="179"/>
    </row>
    <row r="1172" spans="1:21" ht="63.75">
      <c r="A1172" s="6">
        <v>2012</v>
      </c>
      <c r="B1172" s="179" t="s">
        <v>5278</v>
      </c>
      <c r="C1172" s="112" t="s">
        <v>61</v>
      </c>
      <c r="D1172" s="180" t="s">
        <v>5031</v>
      </c>
      <c r="E1172" s="180"/>
      <c r="F1172" s="179" t="s">
        <v>5279</v>
      </c>
      <c r="G1172" s="179" t="s">
        <v>5280</v>
      </c>
      <c r="H1172" s="791">
        <v>30000</v>
      </c>
      <c r="I1172" s="180" t="s">
        <v>5281</v>
      </c>
      <c r="J1172" s="180" t="s">
        <v>2472</v>
      </c>
      <c r="K1172" s="180" t="s">
        <v>82</v>
      </c>
      <c r="L1172" s="179" t="s">
        <v>6064</v>
      </c>
      <c r="M1172" s="334">
        <v>41134</v>
      </c>
      <c r="N1172" s="179" t="s">
        <v>7934</v>
      </c>
      <c r="O1172" s="52"/>
      <c r="P1172" s="536" t="s">
        <v>1808</v>
      </c>
      <c r="Q1172" s="179"/>
      <c r="R1172" s="179"/>
      <c r="S1172" s="179"/>
      <c r="T1172" s="54"/>
      <c r="U1172" s="180"/>
    </row>
    <row r="1173" spans="1:21" ht="38.25">
      <c r="A1173" s="6">
        <v>2012</v>
      </c>
      <c r="B1173" s="179" t="s">
        <v>5282</v>
      </c>
      <c r="C1173" s="112" t="s">
        <v>61</v>
      </c>
      <c r="D1173" s="180" t="s">
        <v>1383</v>
      </c>
      <c r="E1173" s="180"/>
      <c r="F1173" s="179" t="s">
        <v>5283</v>
      </c>
      <c r="G1173" s="179" t="s">
        <v>5284</v>
      </c>
      <c r="H1173" s="186">
        <v>50000</v>
      </c>
      <c r="I1173" s="179" t="s">
        <v>5285</v>
      </c>
      <c r="J1173" s="180" t="s">
        <v>1828</v>
      </c>
      <c r="K1173" s="143" t="s">
        <v>82</v>
      </c>
      <c r="L1173" s="179" t="s">
        <v>6064</v>
      </c>
      <c r="M1173" s="334">
        <v>41176</v>
      </c>
      <c r="N1173" s="179" t="s">
        <v>7935</v>
      </c>
      <c r="O1173" s="52"/>
      <c r="P1173" s="536" t="s">
        <v>1808</v>
      </c>
      <c r="Q1173" s="179"/>
      <c r="R1173" s="179"/>
      <c r="S1173" s="179"/>
      <c r="T1173" s="54"/>
      <c r="U1173" s="54"/>
    </row>
    <row r="1174" spans="1:21" ht="51">
      <c r="A1174" s="6">
        <v>2012</v>
      </c>
      <c r="B1174" s="179" t="s">
        <v>5286</v>
      </c>
      <c r="C1174" s="112" t="s">
        <v>61</v>
      </c>
      <c r="D1174" s="180" t="s">
        <v>4787</v>
      </c>
      <c r="E1174" s="180"/>
      <c r="F1174" s="179" t="s">
        <v>5287</v>
      </c>
      <c r="G1174" s="179" t="s">
        <v>5288</v>
      </c>
      <c r="H1174" s="186">
        <v>214200</v>
      </c>
      <c r="I1174" s="179"/>
      <c r="J1174" s="180" t="s">
        <v>1828</v>
      </c>
      <c r="K1174" s="180" t="s">
        <v>82</v>
      </c>
      <c r="L1174" s="179" t="s">
        <v>6064</v>
      </c>
      <c r="M1174" s="334">
        <v>41177</v>
      </c>
      <c r="N1174" s="179" t="s">
        <v>7936</v>
      </c>
      <c r="O1174" s="52"/>
      <c r="P1174" s="536" t="s">
        <v>1808</v>
      </c>
      <c r="Q1174" s="179"/>
      <c r="R1174" s="179"/>
      <c r="S1174" s="179"/>
      <c r="T1174" s="54"/>
      <c r="U1174" s="179"/>
    </row>
    <row r="1175" spans="1:21" ht="76.5">
      <c r="A1175" s="6">
        <v>2012</v>
      </c>
      <c r="B1175" s="179" t="s">
        <v>5289</v>
      </c>
      <c r="C1175" s="112" t="s">
        <v>61</v>
      </c>
      <c r="D1175" s="180" t="s">
        <v>1763</v>
      </c>
      <c r="E1175" s="180"/>
      <c r="F1175" s="179" t="s">
        <v>5290</v>
      </c>
      <c r="G1175" s="179" t="s">
        <v>5291</v>
      </c>
      <c r="H1175" s="194">
        <v>7650</v>
      </c>
      <c r="I1175" s="179" t="s">
        <v>5292</v>
      </c>
      <c r="J1175" s="180" t="s">
        <v>1847</v>
      </c>
      <c r="K1175" s="143" t="s">
        <v>82</v>
      </c>
      <c r="L1175" s="179" t="s">
        <v>6217</v>
      </c>
      <c r="M1175" s="334">
        <v>41178</v>
      </c>
      <c r="N1175" s="179" t="s">
        <v>7938</v>
      </c>
      <c r="O1175" s="52"/>
      <c r="P1175" s="179" t="s">
        <v>6132</v>
      </c>
      <c r="Q1175" s="179"/>
      <c r="R1175" s="179"/>
      <c r="S1175" s="179"/>
      <c r="T1175" s="54"/>
      <c r="U1175" s="179"/>
    </row>
    <row r="1176" spans="1:21" ht="51">
      <c r="A1176" s="6">
        <v>2012</v>
      </c>
      <c r="B1176" s="179" t="s">
        <v>5293</v>
      </c>
      <c r="C1176" s="112" t="s">
        <v>61</v>
      </c>
      <c r="D1176" s="180" t="s">
        <v>5031</v>
      </c>
      <c r="E1176" s="180"/>
      <c r="F1176" s="179" t="s">
        <v>5294</v>
      </c>
      <c r="G1176" s="179" t="s">
        <v>5295</v>
      </c>
      <c r="H1176" s="791">
        <v>34000</v>
      </c>
      <c r="I1176" s="179" t="s">
        <v>5296</v>
      </c>
      <c r="J1176" s="795" t="s">
        <v>2041</v>
      </c>
      <c r="K1176" s="180" t="s">
        <v>82</v>
      </c>
      <c r="L1176" s="179" t="s">
        <v>6064</v>
      </c>
      <c r="M1176" s="334">
        <v>41178</v>
      </c>
      <c r="N1176" s="179" t="s">
        <v>7939</v>
      </c>
      <c r="O1176" s="52"/>
      <c r="P1176" s="536" t="s">
        <v>1808</v>
      </c>
      <c r="Q1176" s="179"/>
      <c r="R1176" s="179"/>
      <c r="S1176" s="179"/>
      <c r="T1176" s="54"/>
      <c r="U1176" s="179"/>
    </row>
    <row r="1177" spans="1:21" ht="63.75">
      <c r="A1177" s="6">
        <v>2012</v>
      </c>
      <c r="B1177" s="179" t="s">
        <v>5297</v>
      </c>
      <c r="C1177" s="112" t="s">
        <v>61</v>
      </c>
      <c r="D1177" s="180" t="s">
        <v>394</v>
      </c>
      <c r="E1177" s="180"/>
      <c r="F1177" s="179" t="s">
        <v>4324</v>
      </c>
      <c r="G1177" s="179" t="s">
        <v>5298</v>
      </c>
      <c r="H1177" s="791">
        <v>46800</v>
      </c>
      <c r="I1177" s="179"/>
      <c r="J1177" s="180" t="s">
        <v>1855</v>
      </c>
      <c r="K1177" s="180" t="s">
        <v>1853</v>
      </c>
      <c r="L1177" s="179" t="s">
        <v>6064</v>
      </c>
      <c r="M1177" s="334">
        <v>41191</v>
      </c>
      <c r="N1177" s="179" t="s">
        <v>7941</v>
      </c>
      <c r="O1177" s="52"/>
      <c r="P1177" s="536" t="s">
        <v>1808</v>
      </c>
      <c r="Q1177" s="179"/>
      <c r="R1177" s="179"/>
      <c r="S1177" s="179"/>
      <c r="T1177" s="54"/>
      <c r="U1177" s="179"/>
    </row>
    <row r="1178" spans="1:21" ht="25.5">
      <c r="A1178" s="56">
        <v>2012</v>
      </c>
      <c r="B1178" s="190" t="s">
        <v>5299</v>
      </c>
      <c r="C1178" s="209"/>
      <c r="D1178" s="191"/>
      <c r="E1178" s="191"/>
      <c r="F1178" s="190"/>
      <c r="G1178" s="190"/>
      <c r="H1178" s="190"/>
      <c r="I1178" s="190"/>
      <c r="J1178" s="190"/>
      <c r="K1178" s="302"/>
      <c r="L1178" s="190" t="s">
        <v>7924</v>
      </c>
      <c r="M1178" s="804"/>
      <c r="N1178" s="190"/>
      <c r="O1178" s="554"/>
      <c r="P1178" s="789" t="s">
        <v>1808</v>
      </c>
      <c r="Q1178" s="190"/>
      <c r="R1178" s="190"/>
      <c r="S1178" s="190"/>
      <c r="T1178" s="302"/>
      <c r="U1178" s="190"/>
    </row>
    <row r="1179" spans="1:21" ht="25.5">
      <c r="A1179" s="56">
        <v>2012</v>
      </c>
      <c r="B1179" s="190" t="s">
        <v>5300</v>
      </c>
      <c r="C1179" s="209"/>
      <c r="D1179" s="191"/>
      <c r="E1179" s="191"/>
      <c r="F1179" s="190"/>
      <c r="G1179" s="190"/>
      <c r="H1179" s="190"/>
      <c r="I1179" s="190"/>
      <c r="J1179" s="190"/>
      <c r="K1179" s="302"/>
      <c r="L1179" s="190" t="s">
        <v>7924</v>
      </c>
      <c r="M1179" s="804"/>
      <c r="N1179" s="190"/>
      <c r="O1179" s="554"/>
      <c r="P1179" s="789" t="s">
        <v>1808</v>
      </c>
      <c r="Q1179" s="190"/>
      <c r="R1179" s="190"/>
      <c r="S1179" s="190"/>
      <c r="T1179" s="302"/>
      <c r="U1179" s="190"/>
    </row>
    <row r="1180" spans="1:21" ht="63.75">
      <c r="A1180" s="6">
        <v>2012</v>
      </c>
      <c r="B1180" s="179" t="s">
        <v>5301</v>
      </c>
      <c r="C1180" s="112" t="s">
        <v>61</v>
      </c>
      <c r="D1180" s="22" t="s">
        <v>113</v>
      </c>
      <c r="E1180" s="22"/>
      <c r="F1180" s="179" t="s">
        <v>5302</v>
      </c>
      <c r="G1180" s="179" t="s">
        <v>2331</v>
      </c>
      <c r="H1180" s="194">
        <v>98080</v>
      </c>
      <c r="I1180" s="179"/>
      <c r="J1180" s="180" t="s">
        <v>1828</v>
      </c>
      <c r="K1180" s="180"/>
      <c r="L1180" s="179" t="s">
        <v>6064</v>
      </c>
      <c r="M1180" s="334">
        <v>41225</v>
      </c>
      <c r="N1180" s="179" t="s">
        <v>7943</v>
      </c>
      <c r="O1180" s="52"/>
      <c r="P1180" s="536" t="s">
        <v>1808</v>
      </c>
      <c r="Q1180" s="179"/>
      <c r="R1180" s="179"/>
      <c r="S1180" s="179"/>
      <c r="T1180" s="54"/>
      <c r="U1180" s="179"/>
    </row>
    <row r="1181" spans="1:21" ht="51">
      <c r="A1181" s="6">
        <v>2012</v>
      </c>
      <c r="B1181" s="179" t="s">
        <v>5303</v>
      </c>
      <c r="C1181" s="112" t="s">
        <v>61</v>
      </c>
      <c r="D1181" s="180" t="s">
        <v>1383</v>
      </c>
      <c r="E1181" s="180"/>
      <c r="F1181" s="179" t="s">
        <v>5304</v>
      </c>
      <c r="G1181" s="179" t="s">
        <v>4469</v>
      </c>
      <c r="H1181" s="186">
        <v>50000</v>
      </c>
      <c r="I1181" s="179" t="s">
        <v>4470</v>
      </c>
      <c r="J1181" s="180" t="s">
        <v>1899</v>
      </c>
      <c r="K1181" s="143" t="s">
        <v>82</v>
      </c>
      <c r="L1181" s="179" t="s">
        <v>6092</v>
      </c>
      <c r="M1181" s="334">
        <v>41225</v>
      </c>
      <c r="N1181" s="179" t="s">
        <v>7945</v>
      </c>
      <c r="O1181" s="52"/>
      <c r="P1181" s="536" t="s">
        <v>1808</v>
      </c>
      <c r="Q1181" s="179"/>
      <c r="R1181" s="179"/>
      <c r="S1181" s="179"/>
      <c r="T1181" s="54"/>
      <c r="U1181" s="54"/>
    </row>
    <row r="1182" spans="1:21" ht="38.25">
      <c r="A1182" s="6">
        <v>2011</v>
      </c>
      <c r="B1182" s="185">
        <v>40544</v>
      </c>
      <c r="C1182" s="112" t="s">
        <v>61</v>
      </c>
      <c r="D1182" s="34" t="s">
        <v>62</v>
      </c>
      <c r="E1182" s="34"/>
      <c r="F1182" s="178" t="s">
        <v>7948</v>
      </c>
      <c r="G1182" s="178" t="s">
        <v>7949</v>
      </c>
      <c r="H1182" s="194">
        <v>2000000</v>
      </c>
      <c r="I1182" s="187" t="s">
        <v>7950</v>
      </c>
      <c r="J1182" s="179" t="s">
        <v>1828</v>
      </c>
      <c r="K1182" s="54"/>
      <c r="L1182" s="179" t="s">
        <v>6941</v>
      </c>
      <c r="M1182" s="178"/>
      <c r="N1182" s="178"/>
      <c r="O1182" s="52"/>
      <c r="P1182" s="179" t="s">
        <v>6132</v>
      </c>
      <c r="Q1182" s="179"/>
      <c r="R1182" s="179"/>
      <c r="S1182" s="54"/>
      <c r="T1182" s="54"/>
      <c r="U1182" s="787"/>
    </row>
    <row r="1183" spans="1:21" ht="63.75">
      <c r="A1183" s="6">
        <v>2011</v>
      </c>
      <c r="B1183" s="185">
        <v>40603</v>
      </c>
      <c r="C1183" s="112" t="s">
        <v>61</v>
      </c>
      <c r="D1183" s="54" t="s">
        <v>7951</v>
      </c>
      <c r="E1183" s="54"/>
      <c r="F1183" s="179" t="s">
        <v>7953</v>
      </c>
      <c r="G1183" s="179" t="s">
        <v>7954</v>
      </c>
      <c r="H1183" s="194">
        <v>200436</v>
      </c>
      <c r="I1183" s="201" t="s">
        <v>7955</v>
      </c>
      <c r="J1183" s="179" t="s">
        <v>2467</v>
      </c>
      <c r="K1183" s="54"/>
      <c r="L1183" s="179" t="s">
        <v>6104</v>
      </c>
      <c r="M1183" s="179"/>
      <c r="N1183" s="179"/>
      <c r="O1183" s="52"/>
      <c r="P1183" s="179" t="s">
        <v>6132</v>
      </c>
      <c r="Q1183" s="179"/>
      <c r="R1183" s="179"/>
      <c r="S1183" s="54"/>
      <c r="T1183" s="54"/>
      <c r="U1183" s="201"/>
    </row>
    <row r="1184" spans="1:21" ht="63.75">
      <c r="A1184" s="6">
        <v>2011</v>
      </c>
      <c r="B1184" s="185">
        <v>40634</v>
      </c>
      <c r="C1184" s="112" t="s">
        <v>61</v>
      </c>
      <c r="D1184" s="6" t="s">
        <v>2993</v>
      </c>
      <c r="E1184" s="6"/>
      <c r="F1184" s="179" t="s">
        <v>7959</v>
      </c>
      <c r="G1184" s="187" t="s">
        <v>7960</v>
      </c>
      <c r="H1184" s="194">
        <v>870000</v>
      </c>
      <c r="I1184" s="187" t="s">
        <v>7961</v>
      </c>
      <c r="J1184" s="179" t="s">
        <v>1828</v>
      </c>
      <c r="K1184" s="54"/>
      <c r="L1184" s="179" t="s">
        <v>6933</v>
      </c>
      <c r="M1184" s="179"/>
      <c r="N1184" s="179"/>
      <c r="O1184" s="52"/>
      <c r="P1184" s="536" t="s">
        <v>1808</v>
      </c>
      <c r="Q1184" s="179"/>
      <c r="R1184" s="179"/>
      <c r="S1184" s="54"/>
      <c r="T1184" s="54"/>
      <c r="U1184" s="187"/>
    </row>
    <row r="1185" spans="1:21" ht="76.5">
      <c r="A1185" s="6">
        <v>2011</v>
      </c>
      <c r="B1185" s="185">
        <v>40664</v>
      </c>
      <c r="C1185" s="112" t="s">
        <v>61</v>
      </c>
      <c r="D1185" s="54" t="s">
        <v>5031</v>
      </c>
      <c r="E1185" s="54"/>
      <c r="F1185" s="179" t="s">
        <v>7965</v>
      </c>
      <c r="G1185" s="179" t="s">
        <v>7966</v>
      </c>
      <c r="H1185" s="186">
        <v>100000</v>
      </c>
      <c r="I1185" s="201" t="s">
        <v>7967</v>
      </c>
      <c r="J1185" s="179" t="s">
        <v>1828</v>
      </c>
      <c r="K1185" s="54"/>
      <c r="L1185" s="179" t="s">
        <v>6064</v>
      </c>
      <c r="M1185" s="179"/>
      <c r="N1185" s="179"/>
      <c r="O1185" s="52"/>
      <c r="P1185" s="536" t="s">
        <v>1808</v>
      </c>
      <c r="Q1185" s="179"/>
      <c r="R1185" s="179"/>
      <c r="S1185" s="54"/>
      <c r="T1185" s="54"/>
      <c r="U1185" s="201"/>
    </row>
    <row r="1186" spans="1:21" ht="76.5">
      <c r="A1186" s="6">
        <v>2011</v>
      </c>
      <c r="B1186" s="185">
        <v>40756</v>
      </c>
      <c r="C1186" s="112" t="s">
        <v>61</v>
      </c>
      <c r="D1186" s="54" t="s">
        <v>3505</v>
      </c>
      <c r="E1186" s="54"/>
      <c r="F1186" s="179" t="s">
        <v>7970</v>
      </c>
      <c r="G1186" s="179" t="s">
        <v>7971</v>
      </c>
      <c r="H1186" s="186">
        <v>150000</v>
      </c>
      <c r="I1186" s="201" t="s">
        <v>7972</v>
      </c>
      <c r="J1186" s="179" t="s">
        <v>1828</v>
      </c>
      <c r="K1186" s="54"/>
      <c r="L1186" s="179" t="s">
        <v>6064</v>
      </c>
      <c r="M1186" s="179"/>
      <c r="N1186" s="179"/>
      <c r="O1186" s="52"/>
      <c r="P1186" s="536" t="s">
        <v>1808</v>
      </c>
      <c r="Q1186" s="179"/>
      <c r="R1186" s="179"/>
      <c r="S1186" s="54"/>
      <c r="T1186" s="54"/>
      <c r="U1186" s="201"/>
    </row>
    <row r="1187" spans="1:21" ht="38.25">
      <c r="A1187" s="6">
        <v>2011</v>
      </c>
      <c r="B1187" s="185">
        <v>40848</v>
      </c>
      <c r="C1187" s="112" t="s">
        <v>61</v>
      </c>
      <c r="D1187" s="34" t="s">
        <v>62</v>
      </c>
      <c r="E1187" s="34"/>
      <c r="F1187" s="179" t="s">
        <v>7975</v>
      </c>
      <c r="G1187" s="179" t="s">
        <v>7976</v>
      </c>
      <c r="H1187" s="186">
        <v>500000</v>
      </c>
      <c r="I1187" s="187" t="s">
        <v>7977</v>
      </c>
      <c r="J1187" s="179" t="s">
        <v>2656</v>
      </c>
      <c r="K1187" s="54"/>
      <c r="L1187" s="179" t="s">
        <v>6064</v>
      </c>
      <c r="M1187" s="179"/>
      <c r="N1187" s="179"/>
      <c r="O1187" s="52"/>
      <c r="P1187" s="179" t="s">
        <v>6179</v>
      </c>
      <c r="Q1187" s="179"/>
      <c r="R1187" s="179"/>
      <c r="S1187" s="54"/>
      <c r="T1187" s="54"/>
      <c r="U1187" s="787"/>
    </row>
    <row r="1188" spans="1:21" ht="38.25">
      <c r="A1188" s="6">
        <v>2011</v>
      </c>
      <c r="B1188" s="192">
        <v>40878</v>
      </c>
      <c r="C1188" s="112" t="s">
        <v>61</v>
      </c>
      <c r="D1188" s="34" t="s">
        <v>62</v>
      </c>
      <c r="E1188" s="34"/>
      <c r="F1188" s="179" t="s">
        <v>7980</v>
      </c>
      <c r="G1188" s="179" t="s">
        <v>7981</v>
      </c>
      <c r="H1188" s="194">
        <v>98214.29</v>
      </c>
      <c r="I1188" s="187" t="s">
        <v>7982</v>
      </c>
      <c r="J1188" s="179" t="s">
        <v>6314</v>
      </c>
      <c r="K1188" s="54"/>
      <c r="L1188" s="179" t="s">
        <v>6941</v>
      </c>
      <c r="M1188" s="179"/>
      <c r="N1188" s="179"/>
      <c r="O1188" s="52"/>
      <c r="P1188" s="179" t="s">
        <v>6132</v>
      </c>
      <c r="Q1188" s="179"/>
      <c r="R1188" s="179"/>
      <c r="S1188" s="54"/>
      <c r="T1188" s="54"/>
      <c r="U1188" s="787"/>
    </row>
    <row r="1189" spans="1:21" ht="25.5">
      <c r="A1189" s="6">
        <v>2011</v>
      </c>
      <c r="B1189" s="179" t="s">
        <v>7984</v>
      </c>
      <c r="C1189" s="112" t="s">
        <v>61</v>
      </c>
      <c r="D1189" s="54" t="s">
        <v>12116</v>
      </c>
      <c r="E1189" s="54"/>
      <c r="F1189" s="178" t="s">
        <v>7986</v>
      </c>
      <c r="G1189" s="178" t="s">
        <v>1556</v>
      </c>
      <c r="H1189" s="193">
        <v>651000</v>
      </c>
      <c r="I1189" s="187" t="s">
        <v>5013</v>
      </c>
      <c r="J1189" s="179" t="s">
        <v>1828</v>
      </c>
      <c r="K1189" s="54"/>
      <c r="L1189" s="179" t="s">
        <v>1824</v>
      </c>
      <c r="M1189" s="178"/>
      <c r="N1189" s="178"/>
      <c r="O1189" s="52"/>
      <c r="P1189" s="536" t="s">
        <v>1808</v>
      </c>
      <c r="Q1189" s="179"/>
      <c r="R1189" s="179"/>
      <c r="S1189" s="54"/>
      <c r="T1189" s="54"/>
      <c r="U1189" s="187"/>
    </row>
    <row r="1190" spans="1:21" ht="38.25">
      <c r="A1190" s="6">
        <v>2011</v>
      </c>
      <c r="B1190" s="179" t="s">
        <v>7988</v>
      </c>
      <c r="C1190" s="112" t="s">
        <v>61</v>
      </c>
      <c r="D1190" s="54" t="s">
        <v>4787</v>
      </c>
      <c r="E1190" s="54"/>
      <c r="F1190" s="179" t="s">
        <v>7991</v>
      </c>
      <c r="G1190" s="179" t="s">
        <v>1556</v>
      </c>
      <c r="H1190" s="806">
        <v>200000</v>
      </c>
      <c r="I1190" s="187" t="s">
        <v>5013</v>
      </c>
      <c r="J1190" s="179" t="s">
        <v>1828</v>
      </c>
      <c r="K1190" s="54"/>
      <c r="L1190" s="179" t="s">
        <v>1824</v>
      </c>
      <c r="M1190" s="179"/>
      <c r="N1190" s="179"/>
      <c r="O1190" s="52"/>
      <c r="P1190" s="536" t="s">
        <v>1808</v>
      </c>
      <c r="Q1190" s="179"/>
      <c r="R1190" s="179"/>
      <c r="S1190" s="54"/>
      <c r="T1190" s="54"/>
      <c r="U1190" s="187"/>
    </row>
    <row r="1191" spans="1:21" ht="12.75">
      <c r="A1191" s="6">
        <v>2011</v>
      </c>
      <c r="B1191" s="179" t="s">
        <v>7993</v>
      </c>
      <c r="C1191" s="112" t="s">
        <v>61</v>
      </c>
      <c r="D1191" s="54" t="s">
        <v>68</v>
      </c>
      <c r="E1191" s="54"/>
      <c r="F1191" s="179" t="s">
        <v>7995</v>
      </c>
      <c r="G1191" s="179" t="s">
        <v>5026</v>
      </c>
      <c r="H1191" s="194">
        <v>323607.59999999998</v>
      </c>
      <c r="I1191" s="187"/>
      <c r="J1191" s="179" t="s">
        <v>1828</v>
      </c>
      <c r="K1191" s="54"/>
      <c r="L1191" s="179"/>
      <c r="M1191" s="179"/>
      <c r="N1191" s="179"/>
      <c r="O1191" s="52"/>
      <c r="P1191" s="179" t="s">
        <v>6132</v>
      </c>
      <c r="Q1191" s="179"/>
      <c r="R1191" s="179"/>
      <c r="S1191" s="54"/>
      <c r="T1191" s="54"/>
      <c r="U1191" s="187"/>
    </row>
    <row r="1192" spans="1:21" ht="102">
      <c r="A1192" s="6">
        <v>2011</v>
      </c>
      <c r="B1192" s="179" t="s">
        <v>7997</v>
      </c>
      <c r="C1192" s="112" t="s">
        <v>61</v>
      </c>
      <c r="D1192" s="190"/>
      <c r="E1192" s="190"/>
      <c r="F1192" s="179" t="s">
        <v>7999</v>
      </c>
      <c r="G1192" s="179" t="s">
        <v>8000</v>
      </c>
      <c r="H1192" s="186">
        <v>100000</v>
      </c>
      <c r="I1192" s="187" t="s">
        <v>5013</v>
      </c>
      <c r="J1192" s="179" t="s">
        <v>1828</v>
      </c>
      <c r="K1192" s="54"/>
      <c r="L1192" s="179" t="s">
        <v>1824</v>
      </c>
      <c r="M1192" s="334">
        <v>40821</v>
      </c>
      <c r="N1192" s="180" t="s">
        <v>12117</v>
      </c>
      <c r="O1192" s="52"/>
      <c r="P1192" s="536" t="s">
        <v>1808</v>
      </c>
      <c r="Q1192" s="179"/>
      <c r="R1192" s="179"/>
      <c r="S1192" s="54"/>
      <c r="T1192" s="54"/>
      <c r="U1192" s="187"/>
    </row>
    <row r="1193" spans="1:21" ht="38.25">
      <c r="A1193" s="6">
        <v>2011</v>
      </c>
      <c r="B1193" s="179" t="s">
        <v>8002</v>
      </c>
      <c r="C1193" s="112" t="s">
        <v>61</v>
      </c>
      <c r="D1193" s="54" t="s">
        <v>1141</v>
      </c>
      <c r="E1193" s="54"/>
      <c r="F1193" s="179" t="s">
        <v>8004</v>
      </c>
      <c r="G1193" s="179" t="s">
        <v>8005</v>
      </c>
      <c r="H1193" s="194">
        <v>74046</v>
      </c>
      <c r="I1193" s="179" t="s">
        <v>8006</v>
      </c>
      <c r="J1193" s="179" t="s">
        <v>6370</v>
      </c>
      <c r="K1193" s="54"/>
      <c r="L1193" s="179" t="s">
        <v>6137</v>
      </c>
      <c r="M1193" s="179"/>
      <c r="N1193" s="179"/>
      <c r="O1193" s="52"/>
      <c r="P1193" s="536" t="s">
        <v>1808</v>
      </c>
      <c r="Q1193" s="179"/>
      <c r="R1193" s="179"/>
      <c r="S1193" s="54"/>
      <c r="T1193" s="54"/>
      <c r="U1193" s="179"/>
    </row>
    <row r="1194" spans="1:21" ht="51">
      <c r="A1194" s="6">
        <v>2011</v>
      </c>
      <c r="B1194" s="179" t="s">
        <v>8008</v>
      </c>
      <c r="C1194" s="112" t="s">
        <v>61</v>
      </c>
      <c r="D1194" s="54" t="s">
        <v>1141</v>
      </c>
      <c r="E1194" s="54"/>
      <c r="F1194" s="179" t="s">
        <v>8010</v>
      </c>
      <c r="G1194" s="178" t="s">
        <v>4636</v>
      </c>
      <c r="H1194" s="195">
        <v>83423</v>
      </c>
      <c r="I1194" s="179" t="s">
        <v>4637</v>
      </c>
      <c r="J1194" s="179" t="s">
        <v>5712</v>
      </c>
      <c r="K1194" s="54"/>
      <c r="L1194" s="179" t="s">
        <v>6137</v>
      </c>
      <c r="M1194" s="179"/>
      <c r="N1194" s="179"/>
      <c r="O1194" s="52"/>
      <c r="P1194" s="536" t="s">
        <v>1808</v>
      </c>
      <c r="Q1194" s="179"/>
      <c r="R1194" s="179"/>
      <c r="S1194" s="54"/>
      <c r="T1194" s="179" t="s">
        <v>12118</v>
      </c>
      <c r="U1194" s="179"/>
    </row>
    <row r="1195" spans="1:21" ht="63.75">
      <c r="A1195" s="6">
        <v>2011</v>
      </c>
      <c r="B1195" s="179" t="s">
        <v>8013</v>
      </c>
      <c r="C1195" s="112" t="s">
        <v>61</v>
      </c>
      <c r="D1195" s="54" t="s">
        <v>4987</v>
      </c>
      <c r="E1195" s="54"/>
      <c r="F1195" s="179" t="s">
        <v>8015</v>
      </c>
      <c r="G1195" s="178" t="s">
        <v>722</v>
      </c>
      <c r="H1195" s="186">
        <v>639800</v>
      </c>
      <c r="I1195" s="179" t="s">
        <v>8016</v>
      </c>
      <c r="J1195" s="179" t="s">
        <v>2467</v>
      </c>
      <c r="K1195" s="54"/>
      <c r="L1195" s="179" t="s">
        <v>1824</v>
      </c>
      <c r="M1195" s="179"/>
      <c r="N1195" s="179"/>
      <c r="O1195" s="52"/>
      <c r="P1195" s="536" t="s">
        <v>1808</v>
      </c>
      <c r="Q1195" s="179"/>
      <c r="R1195" s="179"/>
      <c r="S1195" s="54"/>
      <c r="T1195" s="179" t="s">
        <v>8018</v>
      </c>
      <c r="U1195" s="179"/>
    </row>
    <row r="1196" spans="1:21" ht="63.75">
      <c r="A1196" s="6">
        <v>2011</v>
      </c>
      <c r="B1196" s="179" t="s">
        <v>8019</v>
      </c>
      <c r="C1196" s="112" t="s">
        <v>61</v>
      </c>
      <c r="D1196" s="54" t="s">
        <v>4982</v>
      </c>
      <c r="E1196" s="54"/>
      <c r="F1196" s="178" t="s">
        <v>8021</v>
      </c>
      <c r="G1196" s="179" t="s">
        <v>722</v>
      </c>
      <c r="H1196" s="186">
        <v>639800</v>
      </c>
      <c r="I1196" s="179" t="s">
        <v>8016</v>
      </c>
      <c r="J1196" s="179" t="s">
        <v>2467</v>
      </c>
      <c r="K1196" s="54"/>
      <c r="L1196" s="179" t="s">
        <v>1824</v>
      </c>
      <c r="M1196" s="178"/>
      <c r="N1196" s="178"/>
      <c r="O1196" s="52"/>
      <c r="P1196" s="536" t="s">
        <v>1808</v>
      </c>
      <c r="Q1196" s="179"/>
      <c r="R1196" s="179"/>
      <c r="S1196" s="54"/>
      <c r="T1196" s="179" t="s">
        <v>8018</v>
      </c>
      <c r="U1196" s="179"/>
    </row>
    <row r="1197" spans="1:21" ht="51">
      <c r="A1197" s="6">
        <v>2011</v>
      </c>
      <c r="B1197" s="179" t="s">
        <v>8023</v>
      </c>
      <c r="C1197" s="112" t="s">
        <v>61</v>
      </c>
      <c r="D1197" s="34" t="s">
        <v>62</v>
      </c>
      <c r="E1197" s="34"/>
      <c r="F1197" s="179" t="s">
        <v>8025</v>
      </c>
      <c r="G1197" s="6" t="s">
        <v>8026</v>
      </c>
      <c r="H1197" s="194">
        <v>955000</v>
      </c>
      <c r="I1197" s="6" t="s">
        <v>8027</v>
      </c>
      <c r="J1197" s="179" t="s">
        <v>2449</v>
      </c>
      <c r="K1197" s="54"/>
      <c r="L1197" s="179" t="s">
        <v>6703</v>
      </c>
      <c r="M1197" s="179"/>
      <c r="N1197" s="179"/>
      <c r="O1197" s="52"/>
      <c r="P1197" s="179" t="s">
        <v>6132</v>
      </c>
      <c r="Q1197" s="179"/>
      <c r="R1197" s="179"/>
      <c r="S1197" s="54"/>
      <c r="T1197" s="54"/>
      <c r="U1197" s="34"/>
    </row>
    <row r="1198" spans="1:21" ht="38.25">
      <c r="A1198" s="6">
        <v>2011</v>
      </c>
      <c r="B1198" s="179" t="s">
        <v>8029</v>
      </c>
      <c r="C1198" s="112" t="s">
        <v>61</v>
      </c>
      <c r="D1198" s="34" t="s">
        <v>62</v>
      </c>
      <c r="E1198" s="34"/>
      <c r="F1198" s="179" t="s">
        <v>8031</v>
      </c>
      <c r="G1198" s="179" t="s">
        <v>8032</v>
      </c>
      <c r="H1198" s="194">
        <v>620624.52</v>
      </c>
      <c r="I1198" s="179" t="s">
        <v>8034</v>
      </c>
      <c r="J1198" s="179" t="s">
        <v>1828</v>
      </c>
      <c r="K1198" s="54"/>
      <c r="L1198" s="179" t="s">
        <v>6170</v>
      </c>
      <c r="M1198" s="179"/>
      <c r="N1198" s="179"/>
      <c r="O1198" s="52"/>
      <c r="P1198" s="179" t="s">
        <v>6132</v>
      </c>
      <c r="Q1198" s="179"/>
      <c r="R1198" s="179"/>
      <c r="S1198" s="54"/>
      <c r="T1198" s="54"/>
      <c r="U1198" s="304"/>
    </row>
    <row r="1199" spans="1:21" ht="25.5">
      <c r="A1199" s="6">
        <v>2011</v>
      </c>
      <c r="B1199" s="179" t="s">
        <v>8036</v>
      </c>
      <c r="C1199" s="112" t="s">
        <v>61</v>
      </c>
      <c r="D1199" s="54" t="s">
        <v>4987</v>
      </c>
      <c r="E1199" s="54"/>
      <c r="F1199" s="179" t="s">
        <v>8038</v>
      </c>
      <c r="G1199" s="179" t="s">
        <v>3317</v>
      </c>
      <c r="H1199" s="186">
        <v>639800</v>
      </c>
      <c r="I1199" s="179" t="s">
        <v>8039</v>
      </c>
      <c r="J1199" s="179" t="s">
        <v>1828</v>
      </c>
      <c r="K1199" s="54"/>
      <c r="L1199" s="179" t="s">
        <v>1824</v>
      </c>
      <c r="M1199" s="179"/>
      <c r="N1199" s="179"/>
      <c r="O1199" s="52"/>
      <c r="P1199" s="536" t="s">
        <v>1808</v>
      </c>
      <c r="Q1199" s="179"/>
      <c r="R1199" s="179"/>
      <c r="S1199" s="54"/>
      <c r="T1199" s="179" t="s">
        <v>8018</v>
      </c>
      <c r="U1199" s="179"/>
    </row>
    <row r="1200" spans="1:21" ht="51">
      <c r="A1200" s="6">
        <v>2011</v>
      </c>
      <c r="B1200" s="179" t="s">
        <v>8041</v>
      </c>
      <c r="C1200" s="112" t="s">
        <v>61</v>
      </c>
      <c r="D1200" s="34" t="s">
        <v>62</v>
      </c>
      <c r="E1200" s="34"/>
      <c r="F1200" s="179" t="s">
        <v>8043</v>
      </c>
      <c r="G1200" s="179" t="s">
        <v>8044</v>
      </c>
      <c r="H1200" s="186">
        <v>998000</v>
      </c>
      <c r="I1200" s="187" t="s">
        <v>8045</v>
      </c>
      <c r="J1200" s="179" t="s">
        <v>2460</v>
      </c>
      <c r="K1200" s="54"/>
      <c r="L1200" s="179" t="s">
        <v>6064</v>
      </c>
      <c r="M1200" s="179"/>
      <c r="N1200" s="179"/>
      <c r="O1200" s="52"/>
      <c r="P1200" s="179" t="s">
        <v>6132</v>
      </c>
      <c r="Q1200" s="179"/>
      <c r="R1200" s="179"/>
      <c r="S1200" s="54"/>
      <c r="T1200" s="54"/>
      <c r="U1200" s="787"/>
    </row>
    <row r="1201" spans="1:21" ht="51">
      <c r="A1201" s="6">
        <v>2011</v>
      </c>
      <c r="B1201" s="179" t="s">
        <v>8047</v>
      </c>
      <c r="C1201" s="112" t="s">
        <v>61</v>
      </c>
      <c r="D1201" s="34" t="s">
        <v>62</v>
      </c>
      <c r="E1201" s="34"/>
      <c r="F1201" s="179" t="s">
        <v>8049</v>
      </c>
      <c r="G1201" s="179" t="s">
        <v>8050</v>
      </c>
      <c r="H1201" s="194">
        <v>313171</v>
      </c>
      <c r="I1201" s="187" t="s">
        <v>8051</v>
      </c>
      <c r="J1201" s="179" t="s">
        <v>1828</v>
      </c>
      <c r="K1201" s="54"/>
      <c r="L1201" s="179" t="s">
        <v>6064</v>
      </c>
      <c r="M1201" s="179"/>
      <c r="N1201" s="179"/>
      <c r="O1201" s="52"/>
      <c r="P1201" s="179" t="s">
        <v>6179</v>
      </c>
      <c r="Q1201" s="179"/>
      <c r="R1201" s="179"/>
      <c r="S1201" s="54"/>
      <c r="T1201" s="54"/>
      <c r="U1201" s="787"/>
    </row>
    <row r="1202" spans="1:21" ht="25.5">
      <c r="A1202" s="6">
        <v>2011</v>
      </c>
      <c r="B1202" s="179" t="s">
        <v>8053</v>
      </c>
      <c r="C1202" s="112" t="s">
        <v>61</v>
      </c>
      <c r="D1202" s="54" t="s">
        <v>4982</v>
      </c>
      <c r="E1202" s="54"/>
      <c r="F1202" s="179" t="s">
        <v>8055</v>
      </c>
      <c r="G1202" s="179" t="s">
        <v>3317</v>
      </c>
      <c r="H1202" s="194">
        <v>644800</v>
      </c>
      <c r="I1202" s="187" t="s">
        <v>8056</v>
      </c>
      <c r="J1202" s="179" t="s">
        <v>1828</v>
      </c>
      <c r="K1202" s="54"/>
      <c r="L1202" s="179" t="s">
        <v>1824</v>
      </c>
      <c r="M1202" s="179"/>
      <c r="N1202" s="179"/>
      <c r="O1202" s="52"/>
      <c r="P1202" s="536" t="s">
        <v>1808</v>
      </c>
      <c r="Q1202" s="179"/>
      <c r="R1202" s="179"/>
      <c r="S1202" s="54"/>
      <c r="T1202" s="54"/>
      <c r="U1202" s="187"/>
    </row>
    <row r="1203" spans="1:21" ht="25.5">
      <c r="A1203" s="6">
        <v>2011</v>
      </c>
      <c r="B1203" s="179" t="s">
        <v>8058</v>
      </c>
      <c r="C1203" s="112" t="s">
        <v>61</v>
      </c>
      <c r="D1203" s="54" t="s">
        <v>1141</v>
      </c>
      <c r="E1203" s="54"/>
      <c r="F1203" s="179" t="s">
        <v>8060</v>
      </c>
      <c r="G1203" s="179" t="s">
        <v>8005</v>
      </c>
      <c r="H1203" s="194">
        <v>270638.96000000002</v>
      </c>
      <c r="I1203" s="187" t="s">
        <v>8006</v>
      </c>
      <c r="J1203" s="179" t="s">
        <v>6370</v>
      </c>
      <c r="K1203" s="54"/>
      <c r="L1203" s="179"/>
      <c r="M1203" s="179"/>
      <c r="N1203" s="179"/>
      <c r="O1203" s="52"/>
      <c r="P1203" s="536" t="s">
        <v>1808</v>
      </c>
      <c r="Q1203" s="179"/>
      <c r="R1203" s="179"/>
      <c r="S1203" s="54"/>
      <c r="T1203" s="54"/>
      <c r="U1203" s="187"/>
    </row>
    <row r="1204" spans="1:21" ht="38.25">
      <c r="A1204" s="6">
        <v>2011</v>
      </c>
      <c r="B1204" s="179" t="s">
        <v>8062</v>
      </c>
      <c r="C1204" s="112" t="s">
        <v>61</v>
      </c>
      <c r="D1204" s="54" t="s">
        <v>5031</v>
      </c>
      <c r="E1204" s="54"/>
      <c r="F1204" s="179" t="s">
        <v>8065</v>
      </c>
      <c r="G1204" s="179" t="s">
        <v>581</v>
      </c>
      <c r="H1204" s="186">
        <v>265000</v>
      </c>
      <c r="I1204" s="187" t="s">
        <v>8066</v>
      </c>
      <c r="J1204" s="179" t="s">
        <v>6370</v>
      </c>
      <c r="K1204" s="54"/>
      <c r="L1204" s="179" t="s">
        <v>1824</v>
      </c>
      <c r="M1204" s="179"/>
      <c r="N1204" s="179"/>
      <c r="O1204" s="52"/>
      <c r="P1204" s="536" t="s">
        <v>1808</v>
      </c>
      <c r="Q1204" s="179"/>
      <c r="R1204" s="179"/>
      <c r="S1204" s="54"/>
      <c r="T1204" s="54"/>
      <c r="U1204" s="187"/>
    </row>
    <row r="1205" spans="1:21" ht="76.5">
      <c r="A1205" s="6">
        <v>2011</v>
      </c>
      <c r="B1205" s="179" t="s">
        <v>8068</v>
      </c>
      <c r="C1205" s="112" t="s">
        <v>61</v>
      </c>
      <c r="D1205" s="34" t="s">
        <v>62</v>
      </c>
      <c r="E1205" s="34"/>
      <c r="F1205" s="179" t="s">
        <v>8070</v>
      </c>
      <c r="G1205" s="179" t="s">
        <v>8071</v>
      </c>
      <c r="H1205" s="194">
        <v>332552</v>
      </c>
      <c r="I1205" s="179" t="s">
        <v>8072</v>
      </c>
      <c r="J1205" s="179" t="s">
        <v>1828</v>
      </c>
      <c r="K1205" s="54"/>
      <c r="L1205" s="179" t="s">
        <v>7712</v>
      </c>
      <c r="M1205" s="179"/>
      <c r="N1205" s="179"/>
      <c r="O1205" s="52"/>
      <c r="P1205" s="179" t="s">
        <v>6132</v>
      </c>
      <c r="Q1205" s="179"/>
      <c r="R1205" s="179"/>
      <c r="S1205" s="54"/>
      <c r="T1205" s="54"/>
      <c r="U1205" s="304"/>
    </row>
    <row r="1206" spans="1:21" ht="25.5">
      <c r="A1206" s="6">
        <v>2011</v>
      </c>
      <c r="B1206" s="179" t="s">
        <v>8074</v>
      </c>
      <c r="C1206" s="112" t="s">
        <v>61</v>
      </c>
      <c r="D1206" s="6" t="s">
        <v>113</v>
      </c>
      <c r="E1206" s="6"/>
      <c r="F1206" s="179" t="s">
        <v>8076</v>
      </c>
      <c r="G1206" s="179" t="s">
        <v>8077</v>
      </c>
      <c r="H1206" s="186">
        <v>718500</v>
      </c>
      <c r="I1206" s="179" t="s">
        <v>2508</v>
      </c>
      <c r="J1206" s="179" t="s">
        <v>1828</v>
      </c>
      <c r="K1206" s="54"/>
      <c r="L1206" s="179" t="s">
        <v>6170</v>
      </c>
      <c r="M1206" s="179"/>
      <c r="N1206" s="179"/>
      <c r="O1206" s="52"/>
      <c r="P1206" s="536" t="s">
        <v>1808</v>
      </c>
      <c r="Q1206" s="179"/>
      <c r="R1206" s="179"/>
      <c r="S1206" s="54"/>
      <c r="T1206" s="54"/>
      <c r="U1206" s="179"/>
    </row>
    <row r="1207" spans="1:21" ht="51">
      <c r="A1207" s="6">
        <v>2011</v>
      </c>
      <c r="B1207" s="179" t="s">
        <v>8079</v>
      </c>
      <c r="C1207" s="112" t="s">
        <v>61</v>
      </c>
      <c r="D1207" s="34" t="s">
        <v>62</v>
      </c>
      <c r="E1207" s="34"/>
      <c r="F1207" s="179" t="s">
        <v>4115</v>
      </c>
      <c r="G1207" s="179" t="s">
        <v>5026</v>
      </c>
      <c r="H1207" s="194">
        <v>678784</v>
      </c>
      <c r="I1207" s="179" t="s">
        <v>8081</v>
      </c>
      <c r="J1207" s="179" t="s">
        <v>1828</v>
      </c>
      <c r="K1207" s="54"/>
      <c r="L1207" s="179" t="s">
        <v>7712</v>
      </c>
      <c r="M1207" s="179"/>
      <c r="N1207" s="179"/>
      <c r="O1207" s="52"/>
      <c r="P1207" s="179" t="s">
        <v>6132</v>
      </c>
      <c r="Q1207" s="179"/>
      <c r="R1207" s="179"/>
      <c r="S1207" s="54"/>
      <c r="T1207" s="179" t="s">
        <v>8083</v>
      </c>
      <c r="U1207" s="304"/>
    </row>
    <row r="1208" spans="1:21" ht="58.5" customHeight="1">
      <c r="A1208" s="6">
        <v>2011</v>
      </c>
      <c r="B1208" s="179" t="s">
        <v>8084</v>
      </c>
      <c r="C1208" s="112" t="s">
        <v>61</v>
      </c>
      <c r="D1208" s="179" t="s">
        <v>68</v>
      </c>
      <c r="E1208" s="179"/>
      <c r="F1208" s="179" t="s">
        <v>8085</v>
      </c>
      <c r="G1208" s="179" t="s">
        <v>8086</v>
      </c>
      <c r="H1208" s="186">
        <v>53000</v>
      </c>
      <c r="I1208" s="179" t="s">
        <v>8087</v>
      </c>
      <c r="J1208" s="179" t="s">
        <v>8088</v>
      </c>
      <c r="K1208" s="54"/>
      <c r="L1208" s="179" t="s">
        <v>7712</v>
      </c>
      <c r="M1208" s="334">
        <v>40549</v>
      </c>
      <c r="N1208" s="180" t="s">
        <v>8089</v>
      </c>
      <c r="O1208" s="52"/>
      <c r="P1208" s="179" t="s">
        <v>6132</v>
      </c>
      <c r="Q1208" s="179"/>
      <c r="R1208" s="179"/>
      <c r="S1208" s="179"/>
      <c r="T1208" s="54"/>
      <c r="U1208" s="179"/>
    </row>
    <row r="1209" spans="1:21" ht="63.75">
      <c r="A1209" s="6">
        <v>2011</v>
      </c>
      <c r="B1209" s="179" t="s">
        <v>8091</v>
      </c>
      <c r="C1209" s="112" t="s">
        <v>61</v>
      </c>
      <c r="D1209" s="179" t="s">
        <v>62</v>
      </c>
      <c r="E1209" s="179"/>
      <c r="F1209" s="179" t="s">
        <v>8092</v>
      </c>
      <c r="G1209" s="179" t="s">
        <v>8093</v>
      </c>
      <c r="H1209" s="194">
        <v>490120</v>
      </c>
      <c r="I1209" s="179" t="s">
        <v>8094</v>
      </c>
      <c r="J1209" s="179" t="s">
        <v>8095</v>
      </c>
      <c r="K1209" s="54"/>
      <c r="L1209" s="179" t="s">
        <v>6941</v>
      </c>
      <c r="M1209" s="334">
        <v>40570</v>
      </c>
      <c r="N1209" s="180" t="s">
        <v>8096</v>
      </c>
      <c r="O1209" s="52"/>
      <c r="P1209" s="179" t="s">
        <v>6132</v>
      </c>
      <c r="Q1209" s="179"/>
      <c r="R1209" s="179"/>
      <c r="S1209" s="179"/>
      <c r="T1209" s="54"/>
      <c r="U1209" s="179"/>
    </row>
    <row r="1210" spans="1:21" ht="51">
      <c r="A1210" s="6">
        <v>2011</v>
      </c>
      <c r="B1210" s="179" t="s">
        <v>8098</v>
      </c>
      <c r="C1210" s="112" t="s">
        <v>61</v>
      </c>
      <c r="D1210" s="179" t="s">
        <v>62</v>
      </c>
      <c r="E1210" s="179"/>
      <c r="F1210" s="179" t="s">
        <v>8099</v>
      </c>
      <c r="G1210" s="179" t="s">
        <v>8100</v>
      </c>
      <c r="H1210" s="194">
        <v>237050</v>
      </c>
      <c r="I1210" s="187" t="s">
        <v>8102</v>
      </c>
      <c r="J1210" s="179" t="s">
        <v>8103</v>
      </c>
      <c r="K1210" s="54"/>
      <c r="L1210" s="179" t="s">
        <v>6217</v>
      </c>
      <c r="M1210" s="334">
        <v>40575</v>
      </c>
      <c r="N1210" s="180" t="s">
        <v>8104</v>
      </c>
      <c r="O1210" s="52"/>
      <c r="P1210" s="179" t="s">
        <v>6132</v>
      </c>
      <c r="Q1210" s="179"/>
      <c r="R1210" s="179"/>
      <c r="S1210" s="179"/>
      <c r="T1210" s="54"/>
      <c r="U1210" s="187"/>
    </row>
    <row r="1211" spans="1:21" ht="38.25">
      <c r="A1211" s="6">
        <v>2011</v>
      </c>
      <c r="B1211" s="179" t="s">
        <v>8106</v>
      </c>
      <c r="C1211" s="112" t="s">
        <v>61</v>
      </c>
      <c r="D1211" s="179" t="s">
        <v>4787</v>
      </c>
      <c r="E1211" s="179"/>
      <c r="F1211" s="179" t="s">
        <v>8107</v>
      </c>
      <c r="G1211" s="179" t="s">
        <v>8108</v>
      </c>
      <c r="H1211" s="194">
        <v>14177.25</v>
      </c>
      <c r="I1211" s="179" t="s">
        <v>8109</v>
      </c>
      <c r="J1211" s="179" t="s">
        <v>8110</v>
      </c>
      <c r="K1211" s="54"/>
      <c r="L1211" s="179" t="s">
        <v>6933</v>
      </c>
      <c r="M1211" s="196" t="s">
        <v>12119</v>
      </c>
      <c r="N1211" s="180" t="s">
        <v>8111</v>
      </c>
      <c r="O1211" s="52"/>
      <c r="P1211" s="536" t="s">
        <v>1808</v>
      </c>
      <c r="Q1211" s="179"/>
      <c r="R1211" s="179"/>
      <c r="S1211" s="179"/>
      <c r="T1211" s="54"/>
      <c r="U1211" s="179"/>
    </row>
    <row r="1212" spans="1:21" ht="25.5">
      <c r="A1212" s="6">
        <v>2011</v>
      </c>
      <c r="B1212" s="190" t="s">
        <v>8113</v>
      </c>
      <c r="C1212" s="112" t="s">
        <v>61</v>
      </c>
      <c r="D1212" s="190"/>
      <c r="E1212" s="190"/>
      <c r="F1212" s="190" t="s">
        <v>3827</v>
      </c>
      <c r="G1212" s="190" t="s">
        <v>3827</v>
      </c>
      <c r="H1212" s="190" t="s">
        <v>3827</v>
      </c>
      <c r="I1212" s="190" t="s">
        <v>3827</v>
      </c>
      <c r="J1212" s="190"/>
      <c r="K1212" s="54"/>
      <c r="L1212" s="190" t="s">
        <v>7924</v>
      </c>
      <c r="M1212" s="804"/>
      <c r="N1212" s="190" t="s">
        <v>3827</v>
      </c>
      <c r="O1212" s="52"/>
      <c r="P1212" s="789" t="s">
        <v>1808</v>
      </c>
      <c r="Q1212" s="190"/>
      <c r="R1212" s="190"/>
      <c r="S1212" s="179"/>
      <c r="T1212" s="54"/>
      <c r="U1212" s="190"/>
    </row>
    <row r="1213" spans="1:21" ht="25.5">
      <c r="A1213" s="6">
        <v>2011</v>
      </c>
      <c r="B1213" s="190" t="s">
        <v>8114</v>
      </c>
      <c r="C1213" s="112" t="s">
        <v>61</v>
      </c>
      <c r="D1213" s="190"/>
      <c r="E1213" s="190"/>
      <c r="F1213" s="190" t="s">
        <v>3827</v>
      </c>
      <c r="G1213" s="190" t="s">
        <v>3827</v>
      </c>
      <c r="H1213" s="190" t="s">
        <v>3827</v>
      </c>
      <c r="I1213" s="190" t="s">
        <v>3827</v>
      </c>
      <c r="J1213" s="190"/>
      <c r="K1213" s="54"/>
      <c r="L1213" s="190" t="s">
        <v>7924</v>
      </c>
      <c r="M1213" s="804"/>
      <c r="N1213" s="190" t="s">
        <v>3827</v>
      </c>
      <c r="O1213" s="52"/>
      <c r="P1213" s="789" t="s">
        <v>1808</v>
      </c>
      <c r="Q1213" s="190"/>
      <c r="R1213" s="190"/>
      <c r="S1213" s="179"/>
      <c r="T1213" s="54"/>
      <c r="U1213" s="190"/>
    </row>
    <row r="1214" spans="1:21" ht="51">
      <c r="A1214" s="6">
        <v>2011</v>
      </c>
      <c r="B1214" s="179" t="s">
        <v>8115</v>
      </c>
      <c r="C1214" s="112" t="s">
        <v>61</v>
      </c>
      <c r="D1214" s="196" t="s">
        <v>12120</v>
      </c>
      <c r="E1214" s="196"/>
      <c r="F1214" s="179" t="s">
        <v>8116</v>
      </c>
      <c r="G1214" s="179" t="s">
        <v>8117</v>
      </c>
      <c r="H1214" s="186">
        <v>40000</v>
      </c>
      <c r="I1214" s="179" t="s">
        <v>8118</v>
      </c>
      <c r="J1214" s="179" t="s">
        <v>2460</v>
      </c>
      <c r="K1214" s="54"/>
      <c r="L1214" s="179" t="s">
        <v>6933</v>
      </c>
      <c r="M1214" s="334">
        <v>40623</v>
      </c>
      <c r="N1214" s="180" t="s">
        <v>8119</v>
      </c>
      <c r="O1214" s="52"/>
      <c r="P1214" s="6" t="s">
        <v>6132</v>
      </c>
      <c r="Q1214" s="179"/>
      <c r="R1214" s="179"/>
      <c r="S1214" s="179"/>
      <c r="T1214" s="54"/>
      <c r="U1214" s="179"/>
    </row>
    <row r="1215" spans="1:21" ht="51">
      <c r="A1215" s="6">
        <v>2011</v>
      </c>
      <c r="B1215" s="179" t="s">
        <v>8121</v>
      </c>
      <c r="C1215" s="112" t="s">
        <v>61</v>
      </c>
      <c r="D1215" s="179" t="s">
        <v>2172</v>
      </c>
      <c r="E1215" s="179"/>
      <c r="F1215" s="179" t="s">
        <v>8122</v>
      </c>
      <c r="G1215" s="187" t="s">
        <v>4834</v>
      </c>
      <c r="H1215" s="194">
        <v>68455.8</v>
      </c>
      <c r="I1215" s="179" t="s">
        <v>8123</v>
      </c>
      <c r="J1215" s="179" t="s">
        <v>1828</v>
      </c>
      <c r="K1215" s="54"/>
      <c r="L1215" s="179" t="s">
        <v>6933</v>
      </c>
      <c r="M1215" s="334">
        <v>40623</v>
      </c>
      <c r="N1215" s="180" t="s">
        <v>8124</v>
      </c>
      <c r="O1215" s="52"/>
      <c r="P1215" s="536" t="s">
        <v>1808</v>
      </c>
      <c r="Q1215" s="179"/>
      <c r="R1215" s="179"/>
      <c r="S1215" s="179"/>
      <c r="T1215" s="54"/>
      <c r="U1215" s="179"/>
    </row>
    <row r="1216" spans="1:21" ht="25.5">
      <c r="A1216" s="6">
        <v>2011</v>
      </c>
      <c r="B1216" s="179" t="s">
        <v>8126</v>
      </c>
      <c r="C1216" s="112" t="s">
        <v>61</v>
      </c>
      <c r="D1216" s="179" t="s">
        <v>4787</v>
      </c>
      <c r="E1216" s="179"/>
      <c r="F1216" s="179" t="s">
        <v>8127</v>
      </c>
      <c r="G1216" s="179" t="s">
        <v>8128</v>
      </c>
      <c r="H1216" s="179" t="s">
        <v>12121</v>
      </c>
      <c r="I1216" s="187"/>
      <c r="J1216" s="179" t="s">
        <v>1828</v>
      </c>
      <c r="K1216" s="54"/>
      <c r="L1216" s="179" t="s">
        <v>6933</v>
      </c>
      <c r="M1216" s="334">
        <v>40633</v>
      </c>
      <c r="N1216" s="190" t="s">
        <v>8130</v>
      </c>
      <c r="O1216" s="52"/>
      <c r="P1216" s="536" t="s">
        <v>1808</v>
      </c>
      <c r="Q1216" s="179"/>
      <c r="R1216" s="179"/>
      <c r="S1216" s="179"/>
      <c r="T1216" s="54"/>
      <c r="U1216" s="187"/>
    </row>
    <row r="1217" spans="1:21" ht="89.25">
      <c r="A1217" s="6">
        <v>2011</v>
      </c>
      <c r="B1217" s="179" t="s">
        <v>8132</v>
      </c>
      <c r="C1217" s="112" t="s">
        <v>61</v>
      </c>
      <c r="D1217" s="196" t="s">
        <v>12122</v>
      </c>
      <c r="E1217" s="196"/>
      <c r="F1217" s="178" t="s">
        <v>8133</v>
      </c>
      <c r="G1217" s="187" t="s">
        <v>8134</v>
      </c>
      <c r="H1217" s="194">
        <v>200436</v>
      </c>
      <c r="I1217" s="187" t="s">
        <v>8135</v>
      </c>
      <c r="J1217" s="179" t="s">
        <v>2467</v>
      </c>
      <c r="K1217" s="54"/>
      <c r="L1217" s="179" t="s">
        <v>6104</v>
      </c>
      <c r="M1217" s="784">
        <v>40644</v>
      </c>
      <c r="N1217" s="190" t="s">
        <v>8130</v>
      </c>
      <c r="O1217" s="52"/>
      <c r="P1217" s="179" t="s">
        <v>6132</v>
      </c>
      <c r="Q1217" s="179"/>
      <c r="R1217" s="179"/>
      <c r="S1217" s="179"/>
      <c r="T1217" s="54"/>
      <c r="U1217" s="187"/>
    </row>
    <row r="1218" spans="1:21" ht="51">
      <c r="A1218" s="6">
        <v>2011</v>
      </c>
      <c r="B1218" s="179" t="s">
        <v>8136</v>
      </c>
      <c r="C1218" s="112" t="s">
        <v>61</v>
      </c>
      <c r="D1218" s="179" t="s">
        <v>68</v>
      </c>
      <c r="E1218" s="179"/>
      <c r="F1218" s="179" t="s">
        <v>8137</v>
      </c>
      <c r="G1218" s="179" t="s">
        <v>8138</v>
      </c>
      <c r="H1218" s="190"/>
      <c r="I1218" s="179" t="s">
        <v>8139</v>
      </c>
      <c r="J1218" s="179" t="s">
        <v>1828</v>
      </c>
      <c r="K1218" s="54" t="s">
        <v>611</v>
      </c>
      <c r="L1218" s="179" t="s">
        <v>6941</v>
      </c>
      <c r="M1218" s="784">
        <v>40644</v>
      </c>
      <c r="N1218" s="180" t="s">
        <v>8140</v>
      </c>
      <c r="O1218" s="52"/>
      <c r="P1218" s="179" t="s">
        <v>6132</v>
      </c>
      <c r="Q1218" s="179"/>
      <c r="R1218" s="179"/>
      <c r="S1218" s="179"/>
      <c r="T1218" s="54"/>
      <c r="U1218" s="179"/>
    </row>
    <row r="1219" spans="1:21" ht="76.5">
      <c r="A1219" s="6">
        <v>2011</v>
      </c>
      <c r="B1219" s="179" t="s">
        <v>8142</v>
      </c>
      <c r="C1219" s="112" t="s">
        <v>61</v>
      </c>
      <c r="D1219" s="179" t="s">
        <v>62</v>
      </c>
      <c r="E1219" s="179"/>
      <c r="F1219" s="179" t="s">
        <v>8143</v>
      </c>
      <c r="G1219" s="179" t="s">
        <v>8144</v>
      </c>
      <c r="H1219" s="194">
        <v>1645500</v>
      </c>
      <c r="I1219" s="179" t="s">
        <v>8145</v>
      </c>
      <c r="J1219" s="179" t="s">
        <v>1828</v>
      </c>
      <c r="K1219" s="54"/>
      <c r="L1219" s="179" t="s">
        <v>6092</v>
      </c>
      <c r="M1219" s="334">
        <v>40659</v>
      </c>
      <c r="N1219" s="180" t="s">
        <v>8146</v>
      </c>
      <c r="O1219" s="52"/>
      <c r="P1219" s="179" t="s">
        <v>6132</v>
      </c>
      <c r="Q1219" s="179"/>
      <c r="R1219" s="179"/>
      <c r="S1219" s="179"/>
      <c r="T1219" s="54"/>
      <c r="U1219" s="179"/>
    </row>
    <row r="1220" spans="1:21" ht="25.5">
      <c r="A1220" s="6">
        <v>2011</v>
      </c>
      <c r="B1220" s="179" t="s">
        <v>8148</v>
      </c>
      <c r="C1220" s="112" t="s">
        <v>61</v>
      </c>
      <c r="D1220" s="179" t="s">
        <v>4787</v>
      </c>
      <c r="E1220" s="179"/>
      <c r="F1220" s="179" t="s">
        <v>8149</v>
      </c>
      <c r="G1220" s="179" t="s">
        <v>8150</v>
      </c>
      <c r="H1220" s="194">
        <v>165000</v>
      </c>
      <c r="I1220" s="187"/>
      <c r="J1220" s="190"/>
      <c r="K1220" s="54"/>
      <c r="L1220" s="179" t="s">
        <v>6064</v>
      </c>
      <c r="M1220" s="334">
        <v>40665</v>
      </c>
      <c r="N1220" s="190" t="s">
        <v>8130</v>
      </c>
      <c r="O1220" s="52"/>
      <c r="P1220" s="536" t="s">
        <v>1808</v>
      </c>
      <c r="Q1220" s="179"/>
      <c r="R1220" s="179"/>
      <c r="S1220" s="179"/>
      <c r="T1220" s="54"/>
      <c r="U1220" s="187"/>
    </row>
    <row r="1221" spans="1:21" ht="51">
      <c r="A1221" s="6">
        <v>2011</v>
      </c>
      <c r="B1221" s="179" t="s">
        <v>8152</v>
      </c>
      <c r="C1221" s="112" t="s">
        <v>61</v>
      </c>
      <c r="D1221" s="190"/>
      <c r="E1221" s="190"/>
      <c r="F1221" s="179" t="s">
        <v>8153</v>
      </c>
      <c r="G1221" s="179" t="s">
        <v>8154</v>
      </c>
      <c r="H1221" s="194">
        <v>105000</v>
      </c>
      <c r="I1221" s="187"/>
      <c r="J1221" s="190"/>
      <c r="K1221" s="54"/>
      <c r="L1221" s="179" t="s">
        <v>6064</v>
      </c>
      <c r="M1221" s="334">
        <v>40665</v>
      </c>
      <c r="N1221" s="180" t="s">
        <v>8155</v>
      </c>
      <c r="O1221" s="52"/>
      <c r="P1221" s="536" t="s">
        <v>1808</v>
      </c>
      <c r="Q1221" s="179"/>
      <c r="R1221" s="179"/>
      <c r="S1221" s="179"/>
      <c r="T1221" s="54"/>
      <c r="U1221" s="187"/>
    </row>
    <row r="1222" spans="1:21" ht="63.75">
      <c r="A1222" s="6">
        <v>2011</v>
      </c>
      <c r="B1222" s="179" t="s">
        <v>8157</v>
      </c>
      <c r="C1222" s="112" t="s">
        <v>61</v>
      </c>
      <c r="D1222" s="179" t="s">
        <v>1383</v>
      </c>
      <c r="E1222" s="179"/>
      <c r="F1222" s="179" t="s">
        <v>8158</v>
      </c>
      <c r="G1222" s="179" t="s">
        <v>8159</v>
      </c>
      <c r="H1222" s="194">
        <v>44400</v>
      </c>
      <c r="I1222" s="178"/>
      <c r="J1222" s="190"/>
      <c r="K1222" s="54"/>
      <c r="L1222" s="179" t="s">
        <v>6064</v>
      </c>
      <c r="M1222" s="334">
        <v>40665</v>
      </c>
      <c r="N1222" s="180" t="s">
        <v>8160</v>
      </c>
      <c r="O1222" s="52"/>
      <c r="P1222" s="536" t="s">
        <v>1808</v>
      </c>
      <c r="Q1222" s="179"/>
      <c r="R1222" s="179"/>
      <c r="S1222" s="179"/>
      <c r="T1222" s="54"/>
      <c r="U1222" s="178"/>
    </row>
    <row r="1223" spans="1:21" ht="51">
      <c r="A1223" s="6">
        <v>2011</v>
      </c>
      <c r="B1223" s="179" t="s">
        <v>8162</v>
      </c>
      <c r="C1223" s="112" t="s">
        <v>61</v>
      </c>
      <c r="D1223" s="179" t="s">
        <v>62</v>
      </c>
      <c r="E1223" s="179"/>
      <c r="F1223" s="179" t="s">
        <v>8163</v>
      </c>
      <c r="G1223" s="179" t="s">
        <v>8164</v>
      </c>
      <c r="H1223" s="186">
        <v>53917</v>
      </c>
      <c r="I1223" s="187"/>
      <c r="J1223" s="190"/>
      <c r="K1223" s="54"/>
      <c r="L1223" s="179" t="s">
        <v>6217</v>
      </c>
      <c r="M1223" s="334">
        <v>40665</v>
      </c>
      <c r="N1223" s="180" t="s">
        <v>8165</v>
      </c>
      <c r="O1223" s="52"/>
      <c r="P1223" s="179" t="s">
        <v>6132</v>
      </c>
      <c r="Q1223" s="179"/>
      <c r="R1223" s="179"/>
      <c r="S1223" s="179"/>
      <c r="T1223" s="54"/>
      <c r="U1223" s="187"/>
    </row>
    <row r="1224" spans="1:21" ht="25.5">
      <c r="A1224" s="6">
        <v>2011</v>
      </c>
      <c r="B1224" s="179" t="s">
        <v>8167</v>
      </c>
      <c r="C1224" s="112" t="s">
        <v>61</v>
      </c>
      <c r="D1224" s="179" t="s">
        <v>12123</v>
      </c>
      <c r="E1224" s="179"/>
      <c r="F1224" s="179" t="s">
        <v>8168</v>
      </c>
      <c r="G1224" s="179" t="s">
        <v>8169</v>
      </c>
      <c r="H1224" s="186">
        <v>12000</v>
      </c>
      <c r="I1224" s="187" t="s">
        <v>8170</v>
      </c>
      <c r="J1224" s="179" t="s">
        <v>7916</v>
      </c>
      <c r="K1224" s="54" t="s">
        <v>611</v>
      </c>
      <c r="L1224" s="179" t="s">
        <v>6064</v>
      </c>
      <c r="M1224" s="804"/>
      <c r="N1224" s="180" t="s">
        <v>8171</v>
      </c>
      <c r="O1224" s="52"/>
      <c r="P1224" s="536" t="s">
        <v>1808</v>
      </c>
      <c r="Q1224" s="179"/>
      <c r="R1224" s="179"/>
      <c r="S1224" s="179"/>
      <c r="T1224" s="54"/>
      <c r="U1224" s="187"/>
    </row>
    <row r="1225" spans="1:21" ht="63.75">
      <c r="A1225" s="6">
        <v>2011</v>
      </c>
      <c r="B1225" s="179" t="s">
        <v>8173</v>
      </c>
      <c r="C1225" s="112" t="s">
        <v>61</v>
      </c>
      <c r="D1225" s="179" t="s">
        <v>1383</v>
      </c>
      <c r="E1225" s="179"/>
      <c r="F1225" s="179" t="s">
        <v>8174</v>
      </c>
      <c r="G1225" s="179" t="s">
        <v>8175</v>
      </c>
      <c r="H1225" s="194">
        <v>430000</v>
      </c>
      <c r="I1225" s="187" t="s">
        <v>8176</v>
      </c>
      <c r="J1225" s="179" t="s">
        <v>2449</v>
      </c>
      <c r="K1225" s="54"/>
      <c r="L1225" s="179" t="s">
        <v>6064</v>
      </c>
      <c r="M1225" s="334">
        <v>40675</v>
      </c>
      <c r="N1225" s="180" t="s">
        <v>8177</v>
      </c>
      <c r="O1225" s="52"/>
      <c r="P1225" s="536" t="s">
        <v>1808</v>
      </c>
      <c r="Q1225" s="179"/>
      <c r="R1225" s="179"/>
      <c r="S1225" s="179"/>
      <c r="T1225" s="54"/>
      <c r="U1225" s="187"/>
    </row>
    <row r="1226" spans="1:21" ht="38.25">
      <c r="A1226" s="6">
        <v>2011</v>
      </c>
      <c r="B1226" s="179" t="s">
        <v>8179</v>
      </c>
      <c r="C1226" s="112" t="s">
        <v>61</v>
      </c>
      <c r="D1226" s="179" t="s">
        <v>2172</v>
      </c>
      <c r="E1226" s="179"/>
      <c r="F1226" s="179" t="s">
        <v>8180</v>
      </c>
      <c r="G1226" s="179" t="s">
        <v>1502</v>
      </c>
      <c r="H1226" s="186">
        <v>73955.62</v>
      </c>
      <c r="I1226" s="187" t="s">
        <v>8181</v>
      </c>
      <c r="J1226" s="179" t="s">
        <v>2449</v>
      </c>
      <c r="K1226" s="54"/>
      <c r="L1226" s="179" t="s">
        <v>6064</v>
      </c>
      <c r="M1226" s="334">
        <v>40682</v>
      </c>
      <c r="N1226" s="180" t="s">
        <v>8182</v>
      </c>
      <c r="O1226" s="52"/>
      <c r="P1226" s="536" t="s">
        <v>1808</v>
      </c>
      <c r="Q1226" s="179"/>
      <c r="R1226" s="179"/>
      <c r="S1226" s="179"/>
      <c r="T1226" s="54"/>
      <c r="U1226" s="187"/>
    </row>
    <row r="1227" spans="1:21" ht="38.25">
      <c r="A1227" s="6">
        <v>2011</v>
      </c>
      <c r="B1227" s="179" t="s">
        <v>8184</v>
      </c>
      <c r="C1227" s="112" t="s">
        <v>61</v>
      </c>
      <c r="D1227" s="54" t="s">
        <v>6049</v>
      </c>
      <c r="E1227" s="54"/>
      <c r="F1227" s="178" t="s">
        <v>8185</v>
      </c>
      <c r="G1227" s="179" t="s">
        <v>8186</v>
      </c>
      <c r="H1227" s="186">
        <v>20000</v>
      </c>
      <c r="I1227" s="187" t="s">
        <v>8109</v>
      </c>
      <c r="J1227" s="179" t="s">
        <v>6783</v>
      </c>
      <c r="K1227" s="54"/>
      <c r="L1227" s="179" t="s">
        <v>6064</v>
      </c>
      <c r="M1227" s="178"/>
      <c r="N1227" s="545" t="s">
        <v>12124</v>
      </c>
      <c r="O1227" s="52"/>
      <c r="P1227" s="536" t="s">
        <v>1808</v>
      </c>
      <c r="Q1227" s="179"/>
      <c r="R1227" s="179"/>
      <c r="S1227" s="179"/>
      <c r="T1227" s="54"/>
      <c r="U1227" s="187"/>
    </row>
    <row r="1228" spans="1:21" ht="25.5">
      <c r="A1228" s="6">
        <v>2011</v>
      </c>
      <c r="B1228" s="179" t="s">
        <v>8189</v>
      </c>
      <c r="C1228" s="112" t="s">
        <v>61</v>
      </c>
      <c r="D1228" s="54" t="s">
        <v>6049</v>
      </c>
      <c r="E1228" s="54"/>
      <c r="F1228" s="179" t="s">
        <v>8190</v>
      </c>
      <c r="G1228" s="179" t="s">
        <v>8191</v>
      </c>
      <c r="H1228" s="186">
        <v>50000</v>
      </c>
      <c r="I1228" s="187" t="s">
        <v>8192</v>
      </c>
      <c r="J1228" s="179" t="s">
        <v>5647</v>
      </c>
      <c r="K1228" s="54"/>
      <c r="L1228" s="179" t="s">
        <v>6064</v>
      </c>
      <c r="M1228" s="179"/>
      <c r="N1228" s="180" t="s">
        <v>8193</v>
      </c>
      <c r="O1228" s="52"/>
      <c r="P1228" s="536" t="s">
        <v>1808</v>
      </c>
      <c r="Q1228" s="179"/>
      <c r="R1228" s="179"/>
      <c r="S1228" s="179"/>
      <c r="T1228" s="54"/>
      <c r="U1228" s="187"/>
    </row>
    <row r="1229" spans="1:21" ht="25.5">
      <c r="A1229" s="6">
        <v>2011</v>
      </c>
      <c r="B1229" s="190" t="s">
        <v>8114</v>
      </c>
      <c r="C1229" s="112" t="s">
        <v>61</v>
      </c>
      <c r="D1229" s="190"/>
      <c r="E1229" s="190"/>
      <c r="F1229" s="190" t="s">
        <v>3827</v>
      </c>
      <c r="G1229" s="190" t="s">
        <v>3827</v>
      </c>
      <c r="H1229" s="190" t="s">
        <v>3827</v>
      </c>
      <c r="I1229" s="190" t="s">
        <v>3827</v>
      </c>
      <c r="J1229" s="190"/>
      <c r="K1229" s="54"/>
      <c r="L1229" s="190" t="s">
        <v>7924</v>
      </c>
      <c r="M1229" s="804"/>
      <c r="N1229" s="190" t="s">
        <v>3827</v>
      </c>
      <c r="O1229" s="52"/>
      <c r="P1229" s="789" t="s">
        <v>1808</v>
      </c>
      <c r="Q1229" s="190"/>
      <c r="R1229" s="190"/>
      <c r="S1229" s="179"/>
      <c r="T1229" s="54"/>
      <c r="U1229" s="190"/>
    </row>
    <row r="1230" spans="1:21" ht="51">
      <c r="A1230" s="6">
        <v>2011</v>
      </c>
      <c r="B1230" s="179" t="s">
        <v>8195</v>
      </c>
      <c r="C1230" s="112" t="s">
        <v>61</v>
      </c>
      <c r="D1230" s="54" t="s">
        <v>1383</v>
      </c>
      <c r="E1230" s="54"/>
      <c r="F1230" s="179" t="s">
        <v>8196</v>
      </c>
      <c r="G1230" s="179" t="s">
        <v>8197</v>
      </c>
      <c r="H1230" s="186">
        <v>100000</v>
      </c>
      <c r="I1230" s="179"/>
      <c r="J1230" s="190"/>
      <c r="K1230" s="54"/>
      <c r="L1230" s="179" t="s">
        <v>6064</v>
      </c>
      <c r="M1230" s="179"/>
      <c r="N1230" s="180" t="s">
        <v>8198</v>
      </c>
      <c r="O1230" s="52"/>
      <c r="P1230" s="536" t="s">
        <v>1808</v>
      </c>
      <c r="Q1230" s="179"/>
      <c r="R1230" s="179"/>
      <c r="S1230" s="179"/>
      <c r="T1230" s="54"/>
      <c r="U1230" s="179"/>
    </row>
    <row r="1231" spans="1:21" ht="38.25">
      <c r="A1231" s="6">
        <v>2011</v>
      </c>
      <c r="B1231" s="179" t="s">
        <v>8200</v>
      </c>
      <c r="C1231" s="112" t="s">
        <v>61</v>
      </c>
      <c r="D1231" s="54" t="s">
        <v>1862</v>
      </c>
      <c r="E1231" s="54"/>
      <c r="F1231" s="179" t="s">
        <v>8201</v>
      </c>
      <c r="G1231" s="179" t="s">
        <v>8202</v>
      </c>
      <c r="H1231" s="186">
        <v>100000</v>
      </c>
      <c r="I1231" s="187" t="s">
        <v>8203</v>
      </c>
      <c r="J1231" s="179" t="s">
        <v>1828</v>
      </c>
      <c r="K1231" s="54"/>
      <c r="L1231" s="179" t="s">
        <v>6064</v>
      </c>
      <c r="M1231" s="179"/>
      <c r="N1231" s="180" t="s">
        <v>8204</v>
      </c>
      <c r="O1231" s="52"/>
      <c r="P1231" s="536" t="s">
        <v>1808</v>
      </c>
      <c r="Q1231" s="179"/>
      <c r="R1231" s="179"/>
      <c r="S1231" s="179"/>
      <c r="T1231" s="54"/>
      <c r="U1231" s="187"/>
    </row>
    <row r="1232" spans="1:21" ht="38.25">
      <c r="A1232" s="6">
        <v>2011</v>
      </c>
      <c r="B1232" s="179" t="s">
        <v>8206</v>
      </c>
      <c r="C1232" s="112" t="s">
        <v>61</v>
      </c>
      <c r="D1232" s="6" t="s">
        <v>1383</v>
      </c>
      <c r="E1232" s="6"/>
      <c r="F1232" s="179" t="s">
        <v>8207</v>
      </c>
      <c r="G1232" s="179" t="s">
        <v>8208</v>
      </c>
      <c r="H1232" s="186">
        <v>50000</v>
      </c>
      <c r="I1232" s="179" t="s">
        <v>8209</v>
      </c>
      <c r="J1232" s="179" t="s">
        <v>5647</v>
      </c>
      <c r="K1232" s="54"/>
      <c r="L1232" s="179" t="s">
        <v>6064</v>
      </c>
      <c r="M1232" s="179"/>
      <c r="N1232" s="180" t="s">
        <v>8210</v>
      </c>
      <c r="O1232" s="52"/>
      <c r="P1232" s="536" t="s">
        <v>1808</v>
      </c>
      <c r="Q1232" s="179"/>
      <c r="R1232" s="179"/>
      <c r="S1232" s="179"/>
      <c r="T1232" s="54"/>
      <c r="U1232" s="179"/>
    </row>
    <row r="1233" spans="1:21" ht="38.25">
      <c r="A1233" s="6">
        <v>2011</v>
      </c>
      <c r="B1233" s="179" t="s">
        <v>8212</v>
      </c>
      <c r="C1233" s="112" t="s">
        <v>61</v>
      </c>
      <c r="D1233" s="6" t="s">
        <v>1383</v>
      </c>
      <c r="E1233" s="6"/>
      <c r="F1233" s="179" t="s">
        <v>8213</v>
      </c>
      <c r="G1233" s="179" t="s">
        <v>1389</v>
      </c>
      <c r="H1233" s="186">
        <v>30000</v>
      </c>
      <c r="I1233" s="179" t="s">
        <v>8214</v>
      </c>
      <c r="J1233" s="179" t="s">
        <v>2611</v>
      </c>
      <c r="K1233" s="54"/>
      <c r="L1233" s="179" t="s">
        <v>6064</v>
      </c>
      <c r="M1233" s="179"/>
      <c r="N1233" s="180" t="s">
        <v>12125</v>
      </c>
      <c r="O1233" s="52"/>
      <c r="P1233" s="536" t="s">
        <v>1808</v>
      </c>
      <c r="Q1233" s="179"/>
      <c r="R1233" s="179"/>
      <c r="S1233" s="179"/>
      <c r="T1233" s="54"/>
      <c r="U1233" s="179"/>
    </row>
    <row r="1234" spans="1:21" ht="51">
      <c r="A1234" s="6">
        <v>2011</v>
      </c>
      <c r="B1234" s="179" t="s">
        <v>8217</v>
      </c>
      <c r="C1234" s="112" t="s">
        <v>61</v>
      </c>
      <c r="D1234" s="54" t="s">
        <v>68</v>
      </c>
      <c r="E1234" s="54"/>
      <c r="F1234" s="179" t="s">
        <v>8218</v>
      </c>
      <c r="G1234" s="179" t="s">
        <v>8219</v>
      </c>
      <c r="H1234" s="186">
        <v>12000</v>
      </c>
      <c r="I1234" s="179" t="s">
        <v>8220</v>
      </c>
      <c r="J1234" s="179" t="s">
        <v>1828</v>
      </c>
      <c r="K1234" s="54"/>
      <c r="L1234" s="179" t="s">
        <v>6137</v>
      </c>
      <c r="M1234" s="179"/>
      <c r="N1234" s="180" t="s">
        <v>8221</v>
      </c>
      <c r="O1234" s="52"/>
      <c r="P1234" s="179" t="s">
        <v>6132</v>
      </c>
      <c r="Q1234" s="179"/>
      <c r="R1234" s="179"/>
      <c r="S1234" s="179"/>
      <c r="T1234" s="54"/>
      <c r="U1234" s="179"/>
    </row>
    <row r="1235" spans="1:21" ht="25.5">
      <c r="A1235" s="6">
        <v>2011</v>
      </c>
      <c r="B1235" s="179" t="s">
        <v>8223</v>
      </c>
      <c r="C1235" s="112" t="s">
        <v>61</v>
      </c>
      <c r="D1235" s="54" t="s">
        <v>4787</v>
      </c>
      <c r="E1235" s="54"/>
      <c r="F1235" s="179" t="s">
        <v>8224</v>
      </c>
      <c r="G1235" s="179" t="s">
        <v>8225</v>
      </c>
      <c r="H1235" s="194">
        <v>165000</v>
      </c>
      <c r="I1235" s="179" t="s">
        <v>3368</v>
      </c>
      <c r="J1235" s="179" t="s">
        <v>1828</v>
      </c>
      <c r="K1235" s="54"/>
      <c r="L1235" s="179" t="s">
        <v>6064</v>
      </c>
      <c r="M1235" s="179"/>
      <c r="N1235" s="180" t="s">
        <v>8226</v>
      </c>
      <c r="O1235" s="52"/>
      <c r="P1235" s="536" t="s">
        <v>1808</v>
      </c>
      <c r="Q1235" s="179"/>
      <c r="R1235" s="179"/>
      <c r="S1235" s="179"/>
      <c r="T1235" s="54"/>
      <c r="U1235" s="179"/>
    </row>
    <row r="1236" spans="1:21" ht="51">
      <c r="A1236" s="6">
        <v>2011</v>
      </c>
      <c r="B1236" s="179" t="s">
        <v>8228</v>
      </c>
      <c r="C1236" s="112" t="s">
        <v>61</v>
      </c>
      <c r="D1236" s="54" t="s">
        <v>5031</v>
      </c>
      <c r="E1236" s="54"/>
      <c r="F1236" s="179" t="s">
        <v>8229</v>
      </c>
      <c r="G1236" s="179" t="s">
        <v>8230</v>
      </c>
      <c r="H1236" s="186">
        <v>50000</v>
      </c>
      <c r="I1236" s="187" t="s">
        <v>8231</v>
      </c>
      <c r="J1236" s="179" t="s">
        <v>2656</v>
      </c>
      <c r="K1236" s="54"/>
      <c r="L1236" s="179" t="s">
        <v>6064</v>
      </c>
      <c r="M1236" s="179"/>
      <c r="N1236" s="180" t="s">
        <v>8232</v>
      </c>
      <c r="O1236" s="52"/>
      <c r="P1236" s="179" t="s">
        <v>6179</v>
      </c>
      <c r="Q1236" s="179"/>
      <c r="R1236" s="179"/>
      <c r="S1236" s="179"/>
      <c r="T1236" s="54"/>
      <c r="U1236" s="187"/>
    </row>
    <row r="1237" spans="1:21" ht="51">
      <c r="A1237" s="6">
        <v>2011</v>
      </c>
      <c r="B1237" s="179" t="s">
        <v>8234</v>
      </c>
      <c r="C1237" s="112" t="s">
        <v>61</v>
      </c>
      <c r="D1237" s="54" t="s">
        <v>1763</v>
      </c>
      <c r="E1237" s="54"/>
      <c r="F1237" s="179" t="s">
        <v>8235</v>
      </c>
      <c r="G1237" s="179" t="s">
        <v>8236</v>
      </c>
      <c r="H1237" s="186">
        <v>7200</v>
      </c>
      <c r="I1237" s="187" t="s">
        <v>8237</v>
      </c>
      <c r="J1237" s="179" t="s">
        <v>1828</v>
      </c>
      <c r="K1237" s="54"/>
      <c r="L1237" s="179" t="s">
        <v>6064</v>
      </c>
      <c r="M1237" s="179"/>
      <c r="N1237" s="180" t="s">
        <v>8238</v>
      </c>
      <c r="O1237" s="52"/>
      <c r="P1237" s="179" t="s">
        <v>6132</v>
      </c>
      <c r="Q1237" s="179"/>
      <c r="R1237" s="179"/>
      <c r="S1237" s="179"/>
      <c r="T1237" s="54"/>
      <c r="U1237" s="187"/>
    </row>
    <row r="1238" spans="1:21" ht="38.25">
      <c r="A1238" s="6">
        <v>2011</v>
      </c>
      <c r="B1238" s="179" t="s">
        <v>8240</v>
      </c>
      <c r="C1238" s="112" t="s">
        <v>61</v>
      </c>
      <c r="D1238" s="54" t="s">
        <v>1763</v>
      </c>
      <c r="E1238" s="54"/>
      <c r="F1238" s="179" t="s">
        <v>8241</v>
      </c>
      <c r="G1238" s="179" t="s">
        <v>8242</v>
      </c>
      <c r="H1238" s="186">
        <v>8400</v>
      </c>
      <c r="I1238" s="187" t="s">
        <v>8243</v>
      </c>
      <c r="J1238" s="179" t="s">
        <v>1828</v>
      </c>
      <c r="K1238" s="54"/>
      <c r="L1238" s="179" t="s">
        <v>6064</v>
      </c>
      <c r="M1238" s="179"/>
      <c r="N1238" s="180" t="s">
        <v>8244</v>
      </c>
      <c r="O1238" s="52"/>
      <c r="P1238" s="179" t="s">
        <v>6132</v>
      </c>
      <c r="Q1238" s="179"/>
      <c r="R1238" s="179"/>
      <c r="S1238" s="179"/>
      <c r="T1238" s="54"/>
      <c r="U1238" s="187"/>
    </row>
    <row r="1239" spans="1:21" ht="38.25">
      <c r="A1239" s="6">
        <v>2011</v>
      </c>
      <c r="B1239" s="179" t="s">
        <v>8246</v>
      </c>
      <c r="C1239" s="112" t="s">
        <v>61</v>
      </c>
      <c r="D1239" s="54" t="s">
        <v>1763</v>
      </c>
      <c r="E1239" s="54"/>
      <c r="F1239" s="179" t="s">
        <v>8247</v>
      </c>
      <c r="G1239" s="179" t="s">
        <v>8248</v>
      </c>
      <c r="H1239" s="186">
        <v>16400</v>
      </c>
      <c r="I1239" s="187" t="s">
        <v>8249</v>
      </c>
      <c r="J1239" s="179" t="s">
        <v>2656</v>
      </c>
      <c r="K1239" s="54"/>
      <c r="L1239" s="179" t="s">
        <v>6064</v>
      </c>
      <c r="M1239" s="179"/>
      <c r="N1239" s="180" t="s">
        <v>8250</v>
      </c>
      <c r="O1239" s="52"/>
      <c r="P1239" s="179" t="s">
        <v>6132</v>
      </c>
      <c r="Q1239" s="179"/>
      <c r="R1239" s="179"/>
      <c r="S1239" s="179"/>
      <c r="T1239" s="54"/>
      <c r="U1239" s="187"/>
    </row>
    <row r="1240" spans="1:21" ht="51">
      <c r="A1240" s="6">
        <v>2011</v>
      </c>
      <c r="B1240" s="179" t="s">
        <v>8252</v>
      </c>
      <c r="C1240" s="112" t="s">
        <v>61</v>
      </c>
      <c r="D1240" s="54" t="s">
        <v>1763</v>
      </c>
      <c r="E1240" s="54"/>
      <c r="F1240" s="179" t="s">
        <v>8253</v>
      </c>
      <c r="G1240" s="179" t="s">
        <v>8254</v>
      </c>
      <c r="H1240" s="186">
        <v>36000</v>
      </c>
      <c r="I1240" s="187" t="s">
        <v>8243</v>
      </c>
      <c r="J1240" s="179" t="s">
        <v>1828</v>
      </c>
      <c r="K1240" s="54"/>
      <c r="L1240" s="179" t="s">
        <v>6064</v>
      </c>
      <c r="M1240" s="179"/>
      <c r="N1240" s="180" t="s">
        <v>12126</v>
      </c>
      <c r="O1240" s="52"/>
      <c r="P1240" s="179" t="s">
        <v>6132</v>
      </c>
      <c r="Q1240" s="179"/>
      <c r="R1240" s="179"/>
      <c r="S1240" s="179"/>
      <c r="T1240" s="54"/>
      <c r="U1240" s="187"/>
    </row>
    <row r="1241" spans="1:21" ht="25.5">
      <c r="A1241" s="6">
        <v>2011</v>
      </c>
      <c r="B1241" s="190" t="s">
        <v>8257</v>
      </c>
      <c r="C1241" s="112" t="s">
        <v>61</v>
      </c>
      <c r="D1241" s="190"/>
      <c r="E1241" s="190"/>
      <c r="F1241" s="190" t="s">
        <v>3827</v>
      </c>
      <c r="G1241" s="190" t="s">
        <v>8258</v>
      </c>
      <c r="H1241" s="190" t="s">
        <v>3827</v>
      </c>
      <c r="I1241" s="190" t="s">
        <v>3827</v>
      </c>
      <c r="J1241" s="190" t="s">
        <v>3827</v>
      </c>
      <c r="K1241" s="54"/>
      <c r="L1241" s="190" t="s">
        <v>6064</v>
      </c>
      <c r="M1241" s="804"/>
      <c r="N1241" s="190" t="s">
        <v>3827</v>
      </c>
      <c r="O1241" s="52"/>
      <c r="P1241" s="789" t="s">
        <v>1808</v>
      </c>
      <c r="Q1241" s="190"/>
      <c r="R1241" s="190"/>
      <c r="S1241" s="190"/>
      <c r="T1241" s="54"/>
      <c r="U1241" s="190"/>
    </row>
    <row r="1242" spans="1:21" ht="25.5">
      <c r="A1242" s="6">
        <v>2011</v>
      </c>
      <c r="B1242" s="179" t="s">
        <v>8259</v>
      </c>
      <c r="C1242" s="112" t="s">
        <v>61</v>
      </c>
      <c r="D1242" s="6" t="s">
        <v>1383</v>
      </c>
      <c r="E1242" s="6"/>
      <c r="F1242" s="179" t="s">
        <v>8260</v>
      </c>
      <c r="G1242" s="179" t="s">
        <v>8258</v>
      </c>
      <c r="H1242" s="186">
        <v>50000</v>
      </c>
      <c r="I1242" s="187" t="s">
        <v>8261</v>
      </c>
      <c r="J1242" s="179" t="s">
        <v>6801</v>
      </c>
      <c r="K1242" s="54"/>
      <c r="L1242" s="179" t="s">
        <v>6064</v>
      </c>
      <c r="M1242" s="807">
        <v>40745</v>
      </c>
      <c r="N1242" s="180" t="s">
        <v>8262</v>
      </c>
      <c r="O1242" s="52"/>
      <c r="P1242" s="536" t="s">
        <v>1808</v>
      </c>
      <c r="Q1242" s="179"/>
      <c r="R1242" s="179"/>
      <c r="S1242" s="179"/>
      <c r="T1242" s="54"/>
      <c r="U1242" s="187"/>
    </row>
    <row r="1243" spans="1:21" ht="63.75">
      <c r="A1243" s="6">
        <v>2011</v>
      </c>
      <c r="B1243" s="179" t="s">
        <v>8264</v>
      </c>
      <c r="C1243" s="112" t="s">
        <v>61</v>
      </c>
      <c r="D1243" s="54" t="s">
        <v>1383</v>
      </c>
      <c r="E1243" s="54"/>
      <c r="F1243" s="179" t="s">
        <v>8265</v>
      </c>
      <c r="G1243" s="179" t="s">
        <v>8266</v>
      </c>
      <c r="H1243" s="186">
        <v>30000</v>
      </c>
      <c r="I1243" s="179" t="s">
        <v>8267</v>
      </c>
      <c r="J1243" s="179" t="s">
        <v>1828</v>
      </c>
      <c r="K1243" s="54"/>
      <c r="L1243" s="179" t="s">
        <v>6064</v>
      </c>
      <c r="M1243" s="179"/>
      <c r="N1243" s="190" t="s">
        <v>8130</v>
      </c>
      <c r="O1243" s="52"/>
      <c r="P1243" s="536" t="s">
        <v>1808</v>
      </c>
      <c r="Q1243" s="179"/>
      <c r="R1243" s="179"/>
      <c r="S1243" s="179"/>
      <c r="T1243" s="54"/>
      <c r="U1243" s="179"/>
    </row>
    <row r="1244" spans="1:21" ht="38.25">
      <c r="A1244" s="6">
        <v>2011</v>
      </c>
      <c r="B1244" s="179" t="s">
        <v>8269</v>
      </c>
      <c r="C1244" s="112" t="s">
        <v>61</v>
      </c>
      <c r="D1244" s="54" t="s">
        <v>68</v>
      </c>
      <c r="E1244" s="54"/>
      <c r="F1244" s="179" t="s">
        <v>8270</v>
      </c>
      <c r="G1244" s="179" t="s">
        <v>8271</v>
      </c>
      <c r="H1244" s="186">
        <v>25000</v>
      </c>
      <c r="I1244" s="179" t="s">
        <v>8272</v>
      </c>
      <c r="J1244" s="179" t="s">
        <v>6370</v>
      </c>
      <c r="K1244" s="54"/>
      <c r="L1244" s="179" t="s">
        <v>6941</v>
      </c>
      <c r="M1244" s="179"/>
      <c r="N1244" s="180" t="s">
        <v>8273</v>
      </c>
      <c r="O1244" s="52"/>
      <c r="P1244" s="179" t="s">
        <v>6132</v>
      </c>
      <c r="Q1244" s="179"/>
      <c r="R1244" s="179"/>
      <c r="S1244" s="179"/>
      <c r="T1244" s="54"/>
      <c r="U1244" s="179"/>
    </row>
    <row r="1245" spans="1:21" ht="25.5">
      <c r="A1245" s="6">
        <v>2011</v>
      </c>
      <c r="B1245" s="190" t="s">
        <v>8275</v>
      </c>
      <c r="C1245" s="112" t="s">
        <v>61</v>
      </c>
      <c r="D1245" s="190"/>
      <c r="E1245" s="190"/>
      <c r="F1245" s="190" t="s">
        <v>3827</v>
      </c>
      <c r="G1245" s="190" t="s">
        <v>3827</v>
      </c>
      <c r="H1245" s="190" t="s">
        <v>3827</v>
      </c>
      <c r="I1245" s="190" t="s">
        <v>3827</v>
      </c>
      <c r="J1245" s="190" t="s">
        <v>3827</v>
      </c>
      <c r="K1245" s="54"/>
      <c r="L1245" s="190" t="s">
        <v>7924</v>
      </c>
      <c r="M1245" s="804"/>
      <c r="N1245" s="190" t="s">
        <v>3827</v>
      </c>
      <c r="O1245" s="52"/>
      <c r="P1245" s="789" t="s">
        <v>1808</v>
      </c>
      <c r="Q1245" s="190"/>
      <c r="R1245" s="190"/>
      <c r="S1245" s="190"/>
      <c r="T1245" s="54"/>
      <c r="U1245" s="190"/>
    </row>
    <row r="1246" spans="1:21" ht="25.5">
      <c r="A1246" s="6">
        <v>2011</v>
      </c>
      <c r="B1246" s="179" t="s">
        <v>8276</v>
      </c>
      <c r="C1246" s="112" t="s">
        <v>61</v>
      </c>
      <c r="D1246" s="54" t="s">
        <v>6049</v>
      </c>
      <c r="E1246" s="54"/>
      <c r="F1246" s="179" t="s">
        <v>8277</v>
      </c>
      <c r="G1246" s="179" t="s">
        <v>8278</v>
      </c>
      <c r="H1246" s="186">
        <v>50000</v>
      </c>
      <c r="I1246" s="179" t="s">
        <v>8279</v>
      </c>
      <c r="J1246" s="179" t="s">
        <v>8280</v>
      </c>
      <c r="K1246" s="54"/>
      <c r="L1246" s="179" t="s">
        <v>6064</v>
      </c>
      <c r="M1246" s="179"/>
      <c r="N1246" s="180" t="s">
        <v>8281</v>
      </c>
      <c r="O1246" s="52"/>
      <c r="P1246" s="536" t="s">
        <v>1808</v>
      </c>
      <c r="Q1246" s="179"/>
      <c r="R1246" s="179"/>
      <c r="S1246" s="179"/>
      <c r="T1246" s="54"/>
      <c r="U1246" s="179"/>
    </row>
    <row r="1247" spans="1:21" ht="38.25">
      <c r="A1247" s="6">
        <v>2011</v>
      </c>
      <c r="B1247" s="179" t="s">
        <v>8283</v>
      </c>
      <c r="C1247" s="112" t="s">
        <v>61</v>
      </c>
      <c r="D1247" s="54" t="s">
        <v>1141</v>
      </c>
      <c r="E1247" s="54"/>
      <c r="F1247" s="179" t="s">
        <v>8284</v>
      </c>
      <c r="G1247" s="179" t="s">
        <v>8285</v>
      </c>
      <c r="H1247" s="179" t="s">
        <v>12127</v>
      </c>
      <c r="I1247" s="179"/>
      <c r="J1247" s="190"/>
      <c r="K1247" s="54"/>
      <c r="L1247" s="179" t="s">
        <v>6064</v>
      </c>
      <c r="M1247" s="179"/>
      <c r="N1247" s="180" t="s">
        <v>8287</v>
      </c>
      <c r="O1247" s="52"/>
      <c r="P1247" s="179" t="s">
        <v>6132</v>
      </c>
      <c r="Q1247" s="179"/>
      <c r="R1247" s="179"/>
      <c r="S1247" s="179"/>
      <c r="T1247" s="54"/>
      <c r="U1247" s="179"/>
    </row>
    <row r="1248" spans="1:21" ht="38.25">
      <c r="A1248" s="6">
        <v>2011</v>
      </c>
      <c r="B1248" s="179" t="s">
        <v>8289</v>
      </c>
      <c r="C1248" s="112" t="s">
        <v>61</v>
      </c>
      <c r="D1248" s="54" t="s">
        <v>6049</v>
      </c>
      <c r="E1248" s="54"/>
      <c r="F1248" s="179" t="s">
        <v>8290</v>
      </c>
      <c r="G1248" s="179" t="s">
        <v>581</v>
      </c>
      <c r="H1248" s="186">
        <v>20000</v>
      </c>
      <c r="I1248" s="179" t="s">
        <v>8291</v>
      </c>
      <c r="J1248" s="179" t="s">
        <v>6370</v>
      </c>
      <c r="K1248" s="54"/>
      <c r="L1248" s="179" t="s">
        <v>6933</v>
      </c>
      <c r="M1248" s="179"/>
      <c r="N1248" s="180" t="s">
        <v>8292</v>
      </c>
      <c r="O1248" s="52"/>
      <c r="P1248" s="179" t="s">
        <v>6132</v>
      </c>
      <c r="Q1248" s="179"/>
      <c r="R1248" s="179"/>
      <c r="S1248" s="179"/>
      <c r="T1248" s="54"/>
      <c r="U1248" s="179"/>
    </row>
    <row r="1249" spans="1:21" ht="38.25">
      <c r="A1249" s="6">
        <v>2011</v>
      </c>
      <c r="B1249" s="179" t="s">
        <v>8294</v>
      </c>
      <c r="C1249" s="112" t="s">
        <v>61</v>
      </c>
      <c r="D1249" s="54" t="s">
        <v>6049</v>
      </c>
      <c r="E1249" s="54"/>
      <c r="F1249" s="179" t="s">
        <v>8295</v>
      </c>
      <c r="G1249" s="179" t="s">
        <v>8296</v>
      </c>
      <c r="H1249" s="194">
        <v>100000</v>
      </c>
      <c r="I1249" s="179" t="s">
        <v>8243</v>
      </c>
      <c r="J1249" s="179" t="s">
        <v>1847</v>
      </c>
      <c r="K1249" s="54"/>
      <c r="L1249" s="179" t="s">
        <v>6933</v>
      </c>
      <c r="M1249" s="179"/>
      <c r="N1249" s="180" t="s">
        <v>8297</v>
      </c>
      <c r="O1249" s="52"/>
      <c r="P1249" s="179" t="s">
        <v>6132</v>
      </c>
      <c r="Q1249" s="179"/>
      <c r="R1249" s="179"/>
      <c r="S1249" s="179"/>
      <c r="T1249" s="54"/>
      <c r="U1249" s="179"/>
    </row>
    <row r="1250" spans="1:21" ht="51">
      <c r="A1250" s="6">
        <v>2011</v>
      </c>
      <c r="B1250" s="179" t="s">
        <v>8299</v>
      </c>
      <c r="C1250" s="112" t="s">
        <v>61</v>
      </c>
      <c r="D1250" s="54" t="s">
        <v>5031</v>
      </c>
      <c r="E1250" s="54"/>
      <c r="F1250" s="179" t="s">
        <v>8300</v>
      </c>
      <c r="G1250" s="179" t="s">
        <v>8301</v>
      </c>
      <c r="H1250" s="186">
        <v>40000</v>
      </c>
      <c r="I1250" s="179" t="s">
        <v>8302</v>
      </c>
      <c r="J1250" s="179" t="s">
        <v>1847</v>
      </c>
      <c r="K1250" s="54"/>
      <c r="L1250" s="179" t="s">
        <v>6064</v>
      </c>
      <c r="M1250" s="179"/>
      <c r="N1250" s="180" t="s">
        <v>8303</v>
      </c>
      <c r="O1250" s="52"/>
      <c r="P1250" s="536" t="s">
        <v>1808</v>
      </c>
      <c r="Q1250" s="179"/>
      <c r="R1250" s="179"/>
      <c r="S1250" s="179"/>
      <c r="T1250" s="54"/>
      <c r="U1250" s="179"/>
    </row>
    <row r="1251" spans="1:21" ht="63.75">
      <c r="A1251" s="6">
        <v>2011</v>
      </c>
      <c r="B1251" s="179" t="s">
        <v>8305</v>
      </c>
      <c r="C1251" s="112" t="s">
        <v>61</v>
      </c>
      <c r="D1251" s="54" t="s">
        <v>5031</v>
      </c>
      <c r="E1251" s="54"/>
      <c r="F1251" s="179" t="s">
        <v>8306</v>
      </c>
      <c r="G1251" s="179" t="s">
        <v>8307</v>
      </c>
      <c r="H1251" s="194">
        <v>24500</v>
      </c>
      <c r="I1251" s="179"/>
      <c r="J1251" s="190"/>
      <c r="K1251" s="54"/>
      <c r="L1251" s="179" t="s">
        <v>6064</v>
      </c>
      <c r="M1251" s="179"/>
      <c r="N1251" s="180" t="s">
        <v>8308</v>
      </c>
      <c r="O1251" s="52"/>
      <c r="P1251" s="536" t="s">
        <v>1808</v>
      </c>
      <c r="Q1251" s="179"/>
      <c r="R1251" s="179"/>
      <c r="S1251" s="179"/>
      <c r="T1251" s="54"/>
      <c r="U1251" s="179"/>
    </row>
    <row r="1252" spans="1:21" ht="76.5">
      <c r="A1252" s="6">
        <v>2011</v>
      </c>
      <c r="B1252" s="179" t="s">
        <v>8310</v>
      </c>
      <c r="C1252" s="112" t="s">
        <v>61</v>
      </c>
      <c r="D1252" s="54" t="s">
        <v>394</v>
      </c>
      <c r="E1252" s="54"/>
      <c r="F1252" s="179" t="s">
        <v>8311</v>
      </c>
      <c r="G1252" s="179" t="s">
        <v>8312</v>
      </c>
      <c r="H1252" s="194">
        <v>94000</v>
      </c>
      <c r="I1252" s="179" t="s">
        <v>8313</v>
      </c>
      <c r="J1252" s="179" t="s">
        <v>8314</v>
      </c>
      <c r="K1252" s="54"/>
      <c r="L1252" s="179" t="s">
        <v>6064</v>
      </c>
      <c r="M1252" s="179"/>
      <c r="N1252" s="180" t="s">
        <v>8315</v>
      </c>
      <c r="O1252" s="52"/>
      <c r="P1252" s="536" t="s">
        <v>1808</v>
      </c>
      <c r="Q1252" s="179"/>
      <c r="R1252" s="179"/>
      <c r="S1252" s="179"/>
      <c r="T1252" s="54"/>
      <c r="U1252" s="179"/>
    </row>
    <row r="1253" spans="1:21" ht="140.25">
      <c r="A1253" s="6">
        <v>2011</v>
      </c>
      <c r="B1253" s="179" t="s">
        <v>8317</v>
      </c>
      <c r="C1253" s="112" t="s">
        <v>61</v>
      </c>
      <c r="D1253" s="54" t="s">
        <v>4787</v>
      </c>
      <c r="E1253" s="54"/>
      <c r="F1253" s="179" t="s">
        <v>8318</v>
      </c>
      <c r="G1253" s="179" t="s">
        <v>8319</v>
      </c>
      <c r="H1253" s="194">
        <v>150000</v>
      </c>
      <c r="I1253" s="179"/>
      <c r="J1253" s="190"/>
      <c r="K1253" s="54"/>
      <c r="L1253" s="179" t="s">
        <v>6064</v>
      </c>
      <c r="M1253" s="179"/>
      <c r="N1253" s="180" t="s">
        <v>8320</v>
      </c>
      <c r="O1253" s="52"/>
      <c r="P1253" s="536" t="s">
        <v>1808</v>
      </c>
      <c r="Q1253" s="179"/>
      <c r="R1253" s="179"/>
      <c r="S1253" s="179"/>
      <c r="T1253" s="54"/>
      <c r="U1253" s="179"/>
    </row>
    <row r="1254" spans="1:21" ht="25.5">
      <c r="A1254" s="6">
        <v>2011</v>
      </c>
      <c r="B1254" s="179" t="s">
        <v>8322</v>
      </c>
      <c r="C1254" s="112" t="s">
        <v>61</v>
      </c>
      <c r="D1254" s="54" t="s">
        <v>2172</v>
      </c>
      <c r="E1254" s="54"/>
      <c r="F1254" s="179" t="s">
        <v>8323</v>
      </c>
      <c r="G1254" s="179" t="s">
        <v>8324</v>
      </c>
      <c r="H1254" s="194">
        <v>44000</v>
      </c>
      <c r="I1254" s="179" t="s">
        <v>8325</v>
      </c>
      <c r="J1254" s="179" t="s">
        <v>8326</v>
      </c>
      <c r="K1254" s="54"/>
      <c r="L1254" s="179" t="s">
        <v>6064</v>
      </c>
      <c r="M1254" s="179"/>
      <c r="N1254" s="180" t="s">
        <v>8327</v>
      </c>
      <c r="O1254" s="52"/>
      <c r="P1254" s="536" t="s">
        <v>1808</v>
      </c>
      <c r="Q1254" s="179"/>
      <c r="R1254" s="179"/>
      <c r="S1254" s="179"/>
      <c r="T1254" s="54"/>
      <c r="U1254" s="179"/>
    </row>
    <row r="1255" spans="1:21" ht="25.5">
      <c r="A1255" s="6">
        <v>2011</v>
      </c>
      <c r="B1255" s="179" t="s">
        <v>8329</v>
      </c>
      <c r="C1255" s="112" t="s">
        <v>61</v>
      </c>
      <c r="D1255" s="54" t="s">
        <v>394</v>
      </c>
      <c r="E1255" s="54"/>
      <c r="F1255" s="179" t="s">
        <v>8330</v>
      </c>
      <c r="G1255" s="179" t="s">
        <v>8331</v>
      </c>
      <c r="H1255" s="194">
        <v>58000</v>
      </c>
      <c r="I1255" s="179" t="s">
        <v>8332</v>
      </c>
      <c r="J1255" s="179" t="s">
        <v>2460</v>
      </c>
      <c r="K1255" s="54"/>
      <c r="L1255" s="179" t="s">
        <v>6064</v>
      </c>
      <c r="M1255" s="179"/>
      <c r="N1255" s="180" t="s">
        <v>8333</v>
      </c>
      <c r="O1255" s="52"/>
      <c r="P1255" s="536" t="s">
        <v>1808</v>
      </c>
      <c r="Q1255" s="179"/>
      <c r="R1255" s="179"/>
      <c r="S1255" s="179"/>
      <c r="T1255" s="54"/>
      <c r="U1255" s="179"/>
    </row>
    <row r="1256" spans="1:21" ht="38.25">
      <c r="A1256" s="6">
        <v>2011</v>
      </c>
      <c r="B1256" s="179" t="s">
        <v>8335</v>
      </c>
      <c r="C1256" s="112" t="s">
        <v>61</v>
      </c>
      <c r="D1256" s="54" t="s">
        <v>1763</v>
      </c>
      <c r="E1256" s="54"/>
      <c r="F1256" s="179" t="s">
        <v>8336</v>
      </c>
      <c r="G1256" s="179" t="s">
        <v>8337</v>
      </c>
      <c r="H1256" s="186">
        <v>5500</v>
      </c>
      <c r="I1256" s="179" t="s">
        <v>8243</v>
      </c>
      <c r="J1256" s="179" t="s">
        <v>1847</v>
      </c>
      <c r="K1256" s="54"/>
      <c r="L1256" s="179" t="s">
        <v>6064</v>
      </c>
      <c r="M1256" s="179"/>
      <c r="N1256" s="180" t="s">
        <v>8338</v>
      </c>
      <c r="O1256" s="52"/>
      <c r="P1256" s="179" t="s">
        <v>6132</v>
      </c>
      <c r="Q1256" s="179"/>
      <c r="R1256" s="179"/>
      <c r="S1256" s="179"/>
      <c r="T1256" s="54"/>
      <c r="U1256" s="179"/>
    </row>
    <row r="1257" spans="1:21" ht="25.5">
      <c r="A1257" s="6">
        <v>2011</v>
      </c>
      <c r="B1257" s="190" t="s">
        <v>8340</v>
      </c>
      <c r="C1257" s="112" t="s">
        <v>61</v>
      </c>
      <c r="D1257" s="190"/>
      <c r="E1257" s="190"/>
      <c r="F1257" s="190"/>
      <c r="G1257" s="190"/>
      <c r="H1257" s="190"/>
      <c r="I1257" s="190"/>
      <c r="J1257" s="190"/>
      <c r="K1257" s="54"/>
      <c r="L1257" s="190" t="s">
        <v>7924</v>
      </c>
      <c r="M1257" s="804"/>
      <c r="N1257" s="191"/>
      <c r="O1257" s="52"/>
      <c r="P1257" s="789" t="s">
        <v>1808</v>
      </c>
      <c r="Q1257" s="190"/>
      <c r="R1257" s="190"/>
      <c r="S1257" s="190"/>
      <c r="T1257" s="54"/>
      <c r="U1257" s="190"/>
    </row>
    <row r="1258" spans="1:21" ht="51">
      <c r="A1258" s="6">
        <v>2011</v>
      </c>
      <c r="B1258" s="179" t="s">
        <v>8341</v>
      </c>
      <c r="C1258" s="112" t="s">
        <v>61</v>
      </c>
      <c r="D1258" s="54" t="s">
        <v>5031</v>
      </c>
      <c r="E1258" s="54"/>
      <c r="F1258" s="179" t="s">
        <v>8342</v>
      </c>
      <c r="G1258" s="179" t="s">
        <v>8343</v>
      </c>
      <c r="H1258" s="194">
        <v>100000</v>
      </c>
      <c r="I1258" s="179" t="s">
        <v>8344</v>
      </c>
      <c r="J1258" s="179" t="s">
        <v>1847</v>
      </c>
      <c r="K1258" s="54"/>
      <c r="L1258" s="179" t="s">
        <v>6064</v>
      </c>
      <c r="M1258" s="179"/>
      <c r="N1258" s="180" t="s">
        <v>8345</v>
      </c>
      <c r="O1258" s="52"/>
      <c r="P1258" s="536" t="s">
        <v>1808</v>
      </c>
      <c r="Q1258" s="179"/>
      <c r="R1258" s="179"/>
      <c r="S1258" s="179"/>
      <c r="T1258" s="54"/>
      <c r="U1258" s="179"/>
    </row>
    <row r="1259" spans="1:21" ht="76.5">
      <c r="A1259" s="6">
        <v>2011</v>
      </c>
      <c r="B1259" s="179" t="s">
        <v>8347</v>
      </c>
      <c r="C1259" s="112" t="s">
        <v>61</v>
      </c>
      <c r="D1259" s="54" t="s">
        <v>5031</v>
      </c>
      <c r="E1259" s="54"/>
      <c r="F1259" s="179" t="s">
        <v>8348</v>
      </c>
      <c r="G1259" s="179" t="s">
        <v>8349</v>
      </c>
      <c r="H1259" s="194">
        <v>100000</v>
      </c>
      <c r="I1259" s="179" t="s">
        <v>8350</v>
      </c>
      <c r="J1259" s="179" t="s">
        <v>1847</v>
      </c>
      <c r="K1259" s="54"/>
      <c r="L1259" s="179" t="s">
        <v>6933</v>
      </c>
      <c r="M1259" s="179"/>
      <c r="N1259" s="180" t="s">
        <v>8351</v>
      </c>
      <c r="O1259" s="52"/>
      <c r="P1259" s="536" t="s">
        <v>1808</v>
      </c>
      <c r="Q1259" s="179"/>
      <c r="R1259" s="179"/>
      <c r="S1259" s="179"/>
      <c r="T1259" s="54"/>
      <c r="U1259" s="179"/>
    </row>
    <row r="1260" spans="1:21" ht="25.5">
      <c r="A1260" s="6">
        <v>2011</v>
      </c>
      <c r="B1260" s="190" t="s">
        <v>8353</v>
      </c>
      <c r="C1260" s="112" t="s">
        <v>61</v>
      </c>
      <c r="D1260" s="190"/>
      <c r="E1260" s="190"/>
      <c r="F1260" s="190" t="s">
        <v>3827</v>
      </c>
      <c r="G1260" s="190" t="s">
        <v>3827</v>
      </c>
      <c r="H1260" s="190" t="s">
        <v>3827</v>
      </c>
      <c r="I1260" s="190" t="s">
        <v>3827</v>
      </c>
      <c r="J1260" s="190" t="s">
        <v>3827</v>
      </c>
      <c r="K1260" s="54"/>
      <c r="L1260" s="190" t="s">
        <v>7924</v>
      </c>
      <c r="M1260" s="804"/>
      <c r="N1260" s="190" t="s">
        <v>3827</v>
      </c>
      <c r="O1260" s="52"/>
      <c r="P1260" s="789" t="s">
        <v>1808</v>
      </c>
      <c r="Q1260" s="190"/>
      <c r="R1260" s="190"/>
      <c r="S1260" s="190"/>
      <c r="T1260" s="54"/>
      <c r="U1260" s="190"/>
    </row>
    <row r="1261" spans="1:21" ht="25.5">
      <c r="A1261" s="6">
        <v>2011</v>
      </c>
      <c r="B1261" s="190" t="s">
        <v>8354</v>
      </c>
      <c r="C1261" s="112" t="s">
        <v>61</v>
      </c>
      <c r="D1261" s="190"/>
      <c r="E1261" s="190"/>
      <c r="F1261" s="190" t="s">
        <v>3827</v>
      </c>
      <c r="G1261" s="190" t="s">
        <v>3827</v>
      </c>
      <c r="H1261" s="190" t="s">
        <v>3827</v>
      </c>
      <c r="I1261" s="190" t="s">
        <v>3827</v>
      </c>
      <c r="J1261" s="190" t="s">
        <v>3827</v>
      </c>
      <c r="K1261" s="54"/>
      <c r="L1261" s="190" t="s">
        <v>7924</v>
      </c>
      <c r="M1261" s="804"/>
      <c r="N1261" s="190" t="s">
        <v>3827</v>
      </c>
      <c r="O1261" s="52"/>
      <c r="P1261" s="789" t="s">
        <v>1808</v>
      </c>
      <c r="Q1261" s="190"/>
      <c r="R1261" s="190"/>
      <c r="S1261" s="190"/>
      <c r="T1261" s="54"/>
      <c r="U1261" s="190"/>
    </row>
    <row r="1262" spans="1:21" ht="76.5">
      <c r="A1262" s="6">
        <v>2011</v>
      </c>
      <c r="B1262" s="179" t="s">
        <v>8355</v>
      </c>
      <c r="C1262" s="112" t="s">
        <v>61</v>
      </c>
      <c r="D1262" s="54" t="s">
        <v>5031</v>
      </c>
      <c r="E1262" s="54"/>
      <c r="F1262" s="179" t="s">
        <v>8356</v>
      </c>
      <c r="G1262" s="179" t="s">
        <v>8357</v>
      </c>
      <c r="H1262" s="194">
        <v>265000</v>
      </c>
      <c r="I1262" s="179" t="s">
        <v>8358</v>
      </c>
      <c r="J1262" s="179" t="s">
        <v>6370</v>
      </c>
      <c r="K1262" s="54"/>
      <c r="L1262" s="179" t="s">
        <v>6933</v>
      </c>
      <c r="M1262" s="179"/>
      <c r="N1262" s="180" t="s">
        <v>12128</v>
      </c>
      <c r="O1262" s="52"/>
      <c r="P1262" s="536" t="s">
        <v>1808</v>
      </c>
      <c r="Q1262" s="179"/>
      <c r="R1262" s="179"/>
      <c r="S1262" s="179"/>
      <c r="T1262" s="54"/>
      <c r="U1262" s="179"/>
    </row>
    <row r="1263" spans="1:21" ht="38.25">
      <c r="A1263" s="6">
        <v>2011</v>
      </c>
      <c r="B1263" s="179" t="s">
        <v>8361</v>
      </c>
      <c r="C1263" s="112" t="s">
        <v>61</v>
      </c>
      <c r="D1263" s="54" t="s">
        <v>394</v>
      </c>
      <c r="E1263" s="54"/>
      <c r="F1263" s="179" t="s">
        <v>8362</v>
      </c>
      <c r="G1263" s="179" t="s">
        <v>8363</v>
      </c>
      <c r="H1263" s="194">
        <v>29500</v>
      </c>
      <c r="I1263" s="179"/>
      <c r="J1263" s="179" t="s">
        <v>2655</v>
      </c>
      <c r="K1263" s="54"/>
      <c r="L1263" s="179" t="s">
        <v>6071</v>
      </c>
      <c r="M1263" s="179"/>
      <c r="N1263" s="180" t="s">
        <v>8364</v>
      </c>
      <c r="O1263" s="52"/>
      <c r="P1263" s="536" t="s">
        <v>1808</v>
      </c>
      <c r="Q1263" s="179"/>
      <c r="R1263" s="179"/>
      <c r="S1263" s="179"/>
      <c r="T1263" s="54"/>
      <c r="U1263" s="179"/>
    </row>
    <row r="1264" spans="1:21" ht="25.5">
      <c r="A1264" s="6">
        <v>2011</v>
      </c>
      <c r="B1264" s="179" t="s">
        <v>8366</v>
      </c>
      <c r="C1264" s="112" t="s">
        <v>61</v>
      </c>
      <c r="D1264" s="54" t="s">
        <v>1141</v>
      </c>
      <c r="E1264" s="54"/>
      <c r="F1264" s="179" t="s">
        <v>8367</v>
      </c>
      <c r="G1264" s="179" t="s">
        <v>8368</v>
      </c>
      <c r="H1264" s="194">
        <v>33690</v>
      </c>
      <c r="I1264" s="179" t="s">
        <v>8370</v>
      </c>
      <c r="J1264" s="179" t="s">
        <v>8280</v>
      </c>
      <c r="K1264" s="54"/>
      <c r="L1264" s="179" t="s">
        <v>6137</v>
      </c>
      <c r="M1264" s="179"/>
      <c r="N1264" s="180" t="s">
        <v>8371</v>
      </c>
      <c r="O1264" s="52"/>
      <c r="P1264" s="179" t="s">
        <v>6132</v>
      </c>
      <c r="Q1264" s="179"/>
      <c r="R1264" s="179"/>
      <c r="S1264" s="179"/>
      <c r="T1264" s="54"/>
      <c r="U1264" s="179"/>
    </row>
    <row r="1265" spans="1:21" ht="38.25">
      <c r="A1265" s="6">
        <v>2011</v>
      </c>
      <c r="B1265" s="179" t="s">
        <v>8373</v>
      </c>
      <c r="C1265" s="112" t="s">
        <v>61</v>
      </c>
      <c r="D1265" s="54" t="s">
        <v>1141</v>
      </c>
      <c r="E1265" s="54"/>
      <c r="F1265" s="179" t="s">
        <v>8374</v>
      </c>
      <c r="G1265" s="179" t="s">
        <v>2486</v>
      </c>
      <c r="H1265" s="194">
        <v>1126628.3999999999</v>
      </c>
      <c r="I1265" s="179" t="s">
        <v>8375</v>
      </c>
      <c r="J1265" s="179" t="s">
        <v>2467</v>
      </c>
      <c r="K1265" s="54"/>
      <c r="L1265" s="179" t="s">
        <v>6104</v>
      </c>
      <c r="M1265" s="179"/>
      <c r="N1265" s="180" t="s">
        <v>8376</v>
      </c>
      <c r="O1265" s="52"/>
      <c r="P1265" s="536" t="s">
        <v>1808</v>
      </c>
      <c r="Q1265" s="179"/>
      <c r="R1265" s="179"/>
      <c r="S1265" s="179"/>
      <c r="T1265" s="54"/>
      <c r="U1265" s="179"/>
    </row>
    <row r="1266" spans="1:21" ht="25.5">
      <c r="A1266" s="6">
        <v>2011</v>
      </c>
      <c r="B1266" s="179" t="s">
        <v>8378</v>
      </c>
      <c r="C1266" s="112" t="s">
        <v>61</v>
      </c>
      <c r="D1266" s="54" t="s">
        <v>1141</v>
      </c>
      <c r="E1266" s="54"/>
      <c r="F1266" s="179" t="s">
        <v>8379</v>
      </c>
      <c r="G1266" s="179" t="s">
        <v>8380</v>
      </c>
      <c r="H1266" s="186">
        <v>250000</v>
      </c>
      <c r="I1266" s="179" t="s">
        <v>8381</v>
      </c>
      <c r="J1266" s="179" t="s">
        <v>7922</v>
      </c>
      <c r="K1266" s="54"/>
      <c r="L1266" s="179" t="s">
        <v>6137</v>
      </c>
      <c r="M1266" s="179"/>
      <c r="N1266" s="180" t="s">
        <v>8382</v>
      </c>
      <c r="O1266" s="52"/>
      <c r="P1266" s="536" t="s">
        <v>1808</v>
      </c>
      <c r="Q1266" s="179"/>
      <c r="R1266" s="179"/>
      <c r="S1266" s="179"/>
      <c r="T1266" s="54"/>
      <c r="U1266" s="179"/>
    </row>
    <row r="1267" spans="1:21" ht="63.75">
      <c r="A1267" s="70">
        <v>2020</v>
      </c>
      <c r="B1267" s="155">
        <v>43831</v>
      </c>
      <c r="C1267" s="156" t="s">
        <v>61</v>
      </c>
      <c r="D1267" s="156" t="s">
        <v>1940</v>
      </c>
      <c r="E1267" s="156"/>
      <c r="F1267" s="156" t="s">
        <v>2318</v>
      </c>
      <c r="G1267" s="156" t="s">
        <v>2319</v>
      </c>
      <c r="H1267" s="246">
        <v>5969000</v>
      </c>
      <c r="I1267" s="156" t="s">
        <v>2320</v>
      </c>
      <c r="J1267" s="156" t="s">
        <v>1828</v>
      </c>
      <c r="K1267" s="156" t="s">
        <v>2412</v>
      </c>
      <c r="L1267" s="156" t="s">
        <v>6064</v>
      </c>
      <c r="M1267" s="158"/>
      <c r="N1267" s="159" t="s">
        <v>2321</v>
      </c>
      <c r="O1267" s="156"/>
      <c r="P1267" s="475" t="s">
        <v>1808</v>
      </c>
      <c r="Q1267" s="156"/>
      <c r="R1267" s="808" t="s">
        <v>12129</v>
      </c>
      <c r="S1267" s="156" t="s">
        <v>1824</v>
      </c>
      <c r="T1267" s="286" t="s">
        <v>6416</v>
      </c>
      <c r="U1267" s="156"/>
    </row>
    <row r="1268" spans="1:21" ht="114.75">
      <c r="B1268" s="179" t="s">
        <v>8384</v>
      </c>
      <c r="C1268" s="112" t="s">
        <v>61</v>
      </c>
      <c r="D1268" s="34" t="s">
        <v>62</v>
      </c>
      <c r="E1268" s="34"/>
      <c r="F1268" s="179" t="s">
        <v>8385</v>
      </c>
      <c r="G1268" s="179" t="s">
        <v>8386</v>
      </c>
      <c r="H1268" s="194">
        <v>849000</v>
      </c>
      <c r="I1268" s="179" t="s">
        <v>8387</v>
      </c>
      <c r="J1268" s="179" t="s">
        <v>2656</v>
      </c>
      <c r="K1268" s="54"/>
      <c r="L1268" s="179" t="s">
        <v>6137</v>
      </c>
      <c r="M1268" s="179"/>
      <c r="N1268" s="180" t="s">
        <v>8388</v>
      </c>
      <c r="O1268" s="52"/>
      <c r="P1268" s="179" t="s">
        <v>6179</v>
      </c>
      <c r="Q1268" s="179"/>
      <c r="R1268" s="179"/>
      <c r="S1268" s="179"/>
      <c r="T1268" s="6">
        <v>2011</v>
      </c>
      <c r="U1268" s="304"/>
    </row>
    <row r="1269" spans="1:21" ht="25.5">
      <c r="B1269" s="190" t="s">
        <v>8390</v>
      </c>
      <c r="C1269" s="112" t="s">
        <v>61</v>
      </c>
      <c r="D1269" s="190"/>
      <c r="E1269" s="190"/>
      <c r="F1269" s="190" t="s">
        <v>3827</v>
      </c>
      <c r="G1269" s="190" t="s">
        <v>3827</v>
      </c>
      <c r="H1269" s="190" t="s">
        <v>3827</v>
      </c>
      <c r="I1269" s="190" t="s">
        <v>3827</v>
      </c>
      <c r="J1269" s="190" t="s">
        <v>3827</v>
      </c>
      <c r="K1269" s="54"/>
      <c r="L1269" s="190" t="s">
        <v>7924</v>
      </c>
      <c r="M1269" s="804"/>
      <c r="N1269" s="190" t="s">
        <v>3827</v>
      </c>
      <c r="O1269" s="52"/>
      <c r="P1269" s="789" t="s">
        <v>1808</v>
      </c>
      <c r="Q1269" s="190"/>
      <c r="R1269" s="190"/>
      <c r="S1269" s="190"/>
      <c r="T1269" s="6">
        <v>2011</v>
      </c>
      <c r="U1269" s="190"/>
    </row>
    <row r="1270" spans="1:21" ht="76.5">
      <c r="B1270" s="179" t="s">
        <v>8391</v>
      </c>
      <c r="C1270" s="112" t="s">
        <v>61</v>
      </c>
      <c r="D1270" s="34" t="s">
        <v>62</v>
      </c>
      <c r="E1270" s="34"/>
      <c r="F1270" s="179" t="s">
        <v>8392</v>
      </c>
      <c r="G1270" s="179" t="s">
        <v>8393</v>
      </c>
      <c r="H1270" s="194">
        <v>687300</v>
      </c>
      <c r="I1270" s="179" t="s">
        <v>8394</v>
      </c>
      <c r="J1270" s="179" t="s">
        <v>8395</v>
      </c>
      <c r="K1270" s="54"/>
      <c r="L1270" s="179" t="s">
        <v>6217</v>
      </c>
      <c r="M1270" s="179"/>
      <c r="N1270" s="180" t="s">
        <v>8396</v>
      </c>
      <c r="O1270" s="52"/>
      <c r="P1270" s="179" t="s">
        <v>6132</v>
      </c>
      <c r="Q1270" s="179"/>
      <c r="R1270" s="179"/>
      <c r="S1270" s="179"/>
      <c r="T1270" s="6">
        <v>2011</v>
      </c>
      <c r="U1270" s="304"/>
    </row>
    <row r="1271" spans="1:21" ht="76.5">
      <c r="A1271" s="70">
        <v>2020</v>
      </c>
      <c r="B1271" s="61">
        <v>43862</v>
      </c>
      <c r="C1271" s="6" t="s">
        <v>61</v>
      </c>
      <c r="D1271" s="6" t="s">
        <v>62</v>
      </c>
      <c r="E1271" s="6"/>
      <c r="F1271" s="6" t="s">
        <v>1148</v>
      </c>
      <c r="G1271" s="6" t="s">
        <v>2322</v>
      </c>
      <c r="H1271" s="8">
        <v>2957181.66</v>
      </c>
      <c r="I1271" s="160" t="s">
        <v>2323</v>
      </c>
      <c r="J1271" s="6" t="s">
        <v>6314</v>
      </c>
      <c r="K1271" s="6"/>
      <c r="L1271" s="6" t="s">
        <v>6418</v>
      </c>
      <c r="M1271" s="158"/>
      <c r="N1271" s="22" t="s">
        <v>2324</v>
      </c>
      <c r="O1271" s="6"/>
      <c r="P1271" s="6" t="s">
        <v>6132</v>
      </c>
      <c r="Q1271" s="6"/>
      <c r="R1271" s="297" t="s">
        <v>12130</v>
      </c>
      <c r="S1271" s="6"/>
      <c r="T1271" s="54"/>
      <c r="U1271" s="160"/>
    </row>
    <row r="1272" spans="1:21" ht="76.5">
      <c r="A1272" s="70">
        <v>2020</v>
      </c>
      <c r="B1272" s="61">
        <v>43922</v>
      </c>
      <c r="C1272" s="6" t="s">
        <v>61</v>
      </c>
      <c r="D1272" s="161" t="s">
        <v>697</v>
      </c>
      <c r="E1272" s="161"/>
      <c r="F1272" s="6" t="s">
        <v>2325</v>
      </c>
      <c r="G1272" s="6" t="s">
        <v>699</v>
      </c>
      <c r="H1272" s="8">
        <v>546900</v>
      </c>
      <c r="I1272" s="6" t="s">
        <v>2326</v>
      </c>
      <c r="J1272" s="6" t="s">
        <v>1828</v>
      </c>
      <c r="K1272" s="6" t="s">
        <v>611</v>
      </c>
      <c r="L1272" s="6" t="s">
        <v>1824</v>
      </c>
      <c r="M1272" s="158"/>
      <c r="N1272" s="22" t="s">
        <v>2327</v>
      </c>
      <c r="O1272" s="6"/>
      <c r="P1272" s="6"/>
      <c r="Q1272" s="6"/>
      <c r="R1272" s="297" t="s">
        <v>12131</v>
      </c>
      <c r="S1272" s="6" t="s">
        <v>1824</v>
      </c>
      <c r="T1272" s="54"/>
      <c r="U1272" s="6"/>
    </row>
    <row r="1273" spans="1:21" ht="25.5">
      <c r="A1273" s="70">
        <v>2020</v>
      </c>
      <c r="B1273" s="61">
        <v>43952</v>
      </c>
      <c r="C1273" s="6" t="s">
        <v>2328</v>
      </c>
      <c r="D1273" s="56"/>
      <c r="E1273" s="56"/>
      <c r="F1273" s="6" t="s">
        <v>2329</v>
      </c>
      <c r="G1273" s="6" t="s">
        <v>2330</v>
      </c>
      <c r="H1273" s="6"/>
      <c r="I1273" s="6" t="s">
        <v>2326</v>
      </c>
      <c r="J1273" s="6" t="s">
        <v>1828</v>
      </c>
      <c r="K1273" s="6"/>
      <c r="L1273" s="292"/>
      <c r="M1273" s="6"/>
      <c r="N1273" s="22" t="s">
        <v>2028</v>
      </c>
      <c r="O1273" s="6"/>
      <c r="P1273" s="6" t="s">
        <v>6132</v>
      </c>
      <c r="Q1273" s="6"/>
      <c r="R1273" s="297" t="s">
        <v>12132</v>
      </c>
      <c r="S1273" s="6"/>
      <c r="T1273" s="54"/>
      <c r="U1273" s="6"/>
    </row>
    <row r="1274" spans="1:21" ht="38.25">
      <c r="A1274" s="70">
        <v>2020</v>
      </c>
      <c r="B1274" s="61">
        <v>43983</v>
      </c>
      <c r="C1274" s="6" t="s">
        <v>61</v>
      </c>
      <c r="D1274" s="6" t="s">
        <v>1383</v>
      </c>
      <c r="E1274" s="6"/>
      <c r="F1274" s="6" t="s">
        <v>1555</v>
      </c>
      <c r="G1274" s="6" t="s">
        <v>2331</v>
      </c>
      <c r="H1274" s="8">
        <v>1000000</v>
      </c>
      <c r="I1274" s="6" t="s">
        <v>2326</v>
      </c>
      <c r="J1274" s="6" t="s">
        <v>1828</v>
      </c>
      <c r="K1274" s="6" t="s">
        <v>2412</v>
      </c>
      <c r="L1274" s="6" t="s">
        <v>6064</v>
      </c>
      <c r="M1274" s="158"/>
      <c r="N1274" s="22" t="s">
        <v>2332</v>
      </c>
      <c r="O1274" s="6"/>
      <c r="P1274" s="475" t="s">
        <v>1808</v>
      </c>
      <c r="Q1274" s="6"/>
      <c r="R1274" s="291" t="s">
        <v>12133</v>
      </c>
      <c r="S1274" s="6" t="s">
        <v>1824</v>
      </c>
      <c r="T1274" s="54"/>
      <c r="U1274" s="6"/>
    </row>
    <row r="1275" spans="1:21" ht="76.5">
      <c r="A1275" s="70">
        <v>2020</v>
      </c>
      <c r="B1275" s="61">
        <v>44013</v>
      </c>
      <c r="C1275" s="6" t="s">
        <v>61</v>
      </c>
      <c r="D1275" s="6" t="s">
        <v>1383</v>
      </c>
      <c r="E1275" s="6"/>
      <c r="F1275" s="6" t="s">
        <v>1557</v>
      </c>
      <c r="G1275" s="6" t="s">
        <v>1556</v>
      </c>
      <c r="H1275" s="8">
        <v>2590000</v>
      </c>
      <c r="I1275" s="6" t="s">
        <v>2326</v>
      </c>
      <c r="J1275" s="6" t="s">
        <v>1828</v>
      </c>
      <c r="K1275" s="6" t="s">
        <v>2412</v>
      </c>
      <c r="L1275" s="6" t="s">
        <v>6064</v>
      </c>
      <c r="M1275" s="158"/>
      <c r="N1275" s="22" t="s">
        <v>2333</v>
      </c>
      <c r="O1275" s="6"/>
      <c r="P1275" s="475" t="s">
        <v>1808</v>
      </c>
      <c r="Q1275" s="6"/>
      <c r="R1275" s="297" t="s">
        <v>12134</v>
      </c>
      <c r="S1275" s="6" t="s">
        <v>1824</v>
      </c>
      <c r="T1275" s="54"/>
      <c r="U1275" s="6"/>
    </row>
    <row r="1276" spans="1:21" ht="63.75">
      <c r="A1276" s="70">
        <v>2020</v>
      </c>
      <c r="B1276" s="62">
        <v>44075</v>
      </c>
      <c r="C1276" s="6" t="s">
        <v>61</v>
      </c>
      <c r="D1276" s="6" t="s">
        <v>62</v>
      </c>
      <c r="E1276" s="6"/>
      <c r="F1276" s="6" t="s">
        <v>1152</v>
      </c>
      <c r="G1276" s="6" t="s">
        <v>2334</v>
      </c>
      <c r="H1276" s="8">
        <v>1000000</v>
      </c>
      <c r="I1276" s="6" t="s">
        <v>2326</v>
      </c>
      <c r="J1276" s="6" t="s">
        <v>1828</v>
      </c>
      <c r="K1276" s="6" t="s">
        <v>1904</v>
      </c>
      <c r="L1276" s="6" t="s">
        <v>6425</v>
      </c>
      <c r="M1276" s="158"/>
      <c r="N1276" s="22" t="s">
        <v>2335</v>
      </c>
      <c r="O1276" s="6"/>
      <c r="P1276" s="6" t="s">
        <v>6132</v>
      </c>
      <c r="Q1276" s="6"/>
      <c r="R1276" s="297" t="s">
        <v>12135</v>
      </c>
      <c r="S1276" s="6" t="s">
        <v>6423</v>
      </c>
      <c r="T1276" s="54"/>
      <c r="U1276" s="6"/>
    </row>
    <row r="1277" spans="1:21" ht="51">
      <c r="A1277" s="70">
        <v>2020</v>
      </c>
      <c r="B1277" s="61">
        <v>44136</v>
      </c>
      <c r="C1277" s="6" t="s">
        <v>61</v>
      </c>
      <c r="D1277" s="6" t="s">
        <v>62</v>
      </c>
      <c r="E1277" s="6"/>
      <c r="F1277" s="158" t="s">
        <v>1154</v>
      </c>
      <c r="G1277" s="158" t="s">
        <v>2336</v>
      </c>
      <c r="H1277" s="470">
        <v>1000000</v>
      </c>
      <c r="I1277" s="158" t="s">
        <v>2337</v>
      </c>
      <c r="J1277" s="6" t="s">
        <v>2460</v>
      </c>
      <c r="K1277" s="6" t="s">
        <v>1904</v>
      </c>
      <c r="L1277" s="6" t="s">
        <v>6428</v>
      </c>
      <c r="M1277" s="158"/>
      <c r="N1277" s="164" t="s">
        <v>2338</v>
      </c>
      <c r="O1277" s="172"/>
      <c r="P1277" s="6" t="s">
        <v>6132</v>
      </c>
      <c r="Q1277" s="172"/>
      <c r="R1277" s="472" t="s">
        <v>12136</v>
      </c>
      <c r="S1277" s="6" t="s">
        <v>6426</v>
      </c>
      <c r="T1277" s="54"/>
      <c r="U1277" s="158"/>
    </row>
    <row r="1278" spans="1:21" ht="63.75">
      <c r="A1278" s="70">
        <v>2020</v>
      </c>
      <c r="B1278" s="6" t="s">
        <v>1156</v>
      </c>
      <c r="C1278" s="6" t="s">
        <v>61</v>
      </c>
      <c r="D1278" s="6" t="s">
        <v>62</v>
      </c>
      <c r="E1278" s="6"/>
      <c r="F1278" s="6" t="s">
        <v>1157</v>
      </c>
      <c r="G1278" s="6" t="s">
        <v>2339</v>
      </c>
      <c r="H1278" s="8">
        <v>1000000</v>
      </c>
      <c r="I1278" s="160" t="s">
        <v>2340</v>
      </c>
      <c r="J1278" s="6" t="s">
        <v>1828</v>
      </c>
      <c r="K1278" s="6" t="s">
        <v>1904</v>
      </c>
      <c r="L1278" s="6" t="s">
        <v>6430</v>
      </c>
      <c r="M1278" s="158"/>
      <c r="N1278" s="22" t="s">
        <v>2341</v>
      </c>
      <c r="O1278" s="6"/>
      <c r="P1278" s="6" t="s">
        <v>6132</v>
      </c>
      <c r="Q1278" s="6"/>
      <c r="R1278" s="291" t="s">
        <v>12137</v>
      </c>
      <c r="S1278" s="6" t="s">
        <v>6426</v>
      </c>
      <c r="T1278" s="54"/>
      <c r="U1278" s="160"/>
    </row>
    <row r="1279" spans="1:21" ht="63.75">
      <c r="A1279" s="70">
        <v>2020</v>
      </c>
      <c r="B1279" s="6" t="s">
        <v>1159</v>
      </c>
      <c r="C1279" s="6" t="s">
        <v>61</v>
      </c>
      <c r="D1279" s="6" t="s">
        <v>62</v>
      </c>
      <c r="E1279" s="6"/>
      <c r="F1279" s="6" t="s">
        <v>1160</v>
      </c>
      <c r="G1279" s="6" t="s">
        <v>2342</v>
      </c>
      <c r="H1279" s="8">
        <v>2284150</v>
      </c>
      <c r="I1279" s="160" t="s">
        <v>2343</v>
      </c>
      <c r="J1279" s="6" t="s">
        <v>1828</v>
      </c>
      <c r="K1279" s="6" t="s">
        <v>1904</v>
      </c>
      <c r="L1279" s="6" t="s">
        <v>6137</v>
      </c>
      <c r="M1279" s="158"/>
      <c r="N1279" s="22" t="s">
        <v>2344</v>
      </c>
      <c r="O1279" s="6"/>
      <c r="P1279" s="6" t="s">
        <v>6179</v>
      </c>
      <c r="Q1279" s="6"/>
      <c r="R1279" s="297" t="s">
        <v>12138</v>
      </c>
      <c r="S1279" s="6" t="s">
        <v>6426</v>
      </c>
      <c r="T1279" s="54"/>
      <c r="U1279" s="160"/>
    </row>
    <row r="1280" spans="1:21" ht="63.75">
      <c r="A1280" s="70">
        <v>2020</v>
      </c>
      <c r="B1280" s="6" t="s">
        <v>1162</v>
      </c>
      <c r="C1280" s="6" t="s">
        <v>61</v>
      </c>
      <c r="D1280" s="6" t="s">
        <v>62</v>
      </c>
      <c r="E1280" s="6"/>
      <c r="F1280" s="6" t="s">
        <v>1163</v>
      </c>
      <c r="G1280" s="6" t="s">
        <v>12139</v>
      </c>
      <c r="H1280" s="8">
        <v>1621819.5</v>
      </c>
      <c r="I1280" s="160" t="s">
        <v>2346</v>
      </c>
      <c r="J1280" s="6" t="s">
        <v>1828</v>
      </c>
      <c r="K1280" s="6" t="s">
        <v>1904</v>
      </c>
      <c r="L1280" s="6" t="s">
        <v>6434</v>
      </c>
      <c r="M1280" s="158"/>
      <c r="N1280" s="22" t="s">
        <v>2347</v>
      </c>
      <c r="O1280" s="6"/>
      <c r="P1280" s="6" t="s">
        <v>6132</v>
      </c>
      <c r="Q1280" s="6"/>
      <c r="R1280" s="291" t="s">
        <v>12140</v>
      </c>
      <c r="S1280" s="6" t="s">
        <v>6423</v>
      </c>
      <c r="T1280" s="54"/>
      <c r="U1280" s="160"/>
    </row>
    <row r="1281" spans="1:21" ht="51">
      <c r="A1281" s="70">
        <v>2020</v>
      </c>
      <c r="B1281" s="6" t="s">
        <v>1165</v>
      </c>
      <c r="C1281" s="6" t="s">
        <v>61</v>
      </c>
      <c r="D1281" s="6" t="s">
        <v>62</v>
      </c>
      <c r="E1281" s="6"/>
      <c r="F1281" s="6" t="s">
        <v>1166</v>
      </c>
      <c r="G1281" s="6" t="s">
        <v>2348</v>
      </c>
      <c r="H1281" s="8">
        <v>2382264</v>
      </c>
      <c r="I1281" s="160" t="s">
        <v>2349</v>
      </c>
      <c r="J1281" s="6" t="s">
        <v>2467</v>
      </c>
      <c r="K1281" s="6" t="s">
        <v>1904</v>
      </c>
      <c r="L1281" s="6" t="s">
        <v>6418</v>
      </c>
      <c r="M1281" s="158"/>
      <c r="N1281" s="22" t="s">
        <v>2350</v>
      </c>
      <c r="O1281" s="6"/>
      <c r="P1281" s="6" t="s">
        <v>6132</v>
      </c>
      <c r="Q1281" s="6"/>
      <c r="R1281" s="297" t="s">
        <v>12141</v>
      </c>
      <c r="S1281" s="6" t="s">
        <v>6356</v>
      </c>
      <c r="T1281" s="54"/>
      <c r="U1281" s="160"/>
    </row>
    <row r="1282" spans="1:21" ht="51">
      <c r="A1282" s="70">
        <v>2020</v>
      </c>
      <c r="B1282" s="6" t="s">
        <v>1558</v>
      </c>
      <c r="C1282" s="6" t="s">
        <v>61</v>
      </c>
      <c r="D1282" s="6" t="s">
        <v>1549</v>
      </c>
      <c r="E1282" s="6"/>
      <c r="F1282" s="6" t="s">
        <v>1559</v>
      </c>
      <c r="G1282" s="158" t="s">
        <v>1560</v>
      </c>
      <c r="H1282" s="8">
        <v>1000000</v>
      </c>
      <c r="I1282" s="6" t="s">
        <v>2326</v>
      </c>
      <c r="J1282" s="6" t="s">
        <v>1828</v>
      </c>
      <c r="K1282" s="6" t="s">
        <v>2412</v>
      </c>
      <c r="L1282" s="6" t="s">
        <v>6064</v>
      </c>
      <c r="M1282" s="158"/>
      <c r="N1282" s="147" t="s">
        <v>2352</v>
      </c>
      <c r="O1282" s="6"/>
      <c r="P1282" s="475" t="s">
        <v>1808</v>
      </c>
      <c r="Q1282" s="6"/>
      <c r="R1282" s="297" t="s">
        <v>12142</v>
      </c>
      <c r="S1282" s="6" t="s">
        <v>1824</v>
      </c>
      <c r="T1282" s="54"/>
      <c r="U1282" s="6"/>
    </row>
    <row r="1283" spans="1:21" ht="25.5">
      <c r="A1283" s="70">
        <v>2020</v>
      </c>
      <c r="B1283" s="6" t="s">
        <v>2353</v>
      </c>
      <c r="C1283" s="6" t="s">
        <v>2328</v>
      </c>
      <c r="D1283" s="6" t="s">
        <v>1141</v>
      </c>
      <c r="E1283" s="6"/>
      <c r="F1283" s="6" t="s">
        <v>2354</v>
      </c>
      <c r="G1283" s="6" t="s">
        <v>2355</v>
      </c>
      <c r="H1283" s="6"/>
      <c r="I1283" s="6" t="s">
        <v>2326</v>
      </c>
      <c r="J1283" s="6" t="s">
        <v>1828</v>
      </c>
      <c r="K1283" s="6" t="s">
        <v>1231</v>
      </c>
      <c r="L1283" s="6" t="s">
        <v>6137</v>
      </c>
      <c r="M1283" s="158"/>
      <c r="N1283" s="22" t="s">
        <v>2028</v>
      </c>
      <c r="O1283" s="6"/>
      <c r="P1283" s="6" t="s">
        <v>6132</v>
      </c>
      <c r="Q1283" s="6"/>
      <c r="R1283" s="297" t="s">
        <v>12143</v>
      </c>
      <c r="S1283" s="6" t="s">
        <v>2144</v>
      </c>
      <c r="T1283" s="54"/>
      <c r="U1283" s="6"/>
    </row>
    <row r="1284" spans="1:21" ht="51">
      <c r="A1284" s="70">
        <v>2020</v>
      </c>
      <c r="B1284" s="6" t="s">
        <v>767</v>
      </c>
      <c r="C1284" s="6" t="s">
        <v>61</v>
      </c>
      <c r="D1284" s="6" t="s">
        <v>68</v>
      </c>
      <c r="E1284" s="6"/>
      <c r="F1284" s="158" t="s">
        <v>768</v>
      </c>
      <c r="G1284" s="6" t="s">
        <v>769</v>
      </c>
      <c r="H1284" s="8">
        <v>169000</v>
      </c>
      <c r="I1284" s="6" t="s">
        <v>2356</v>
      </c>
      <c r="J1284" s="6" t="s">
        <v>2611</v>
      </c>
      <c r="K1284" s="6" t="s">
        <v>611</v>
      </c>
      <c r="L1284" s="6" t="s">
        <v>6439</v>
      </c>
      <c r="M1284" s="158"/>
      <c r="N1284" s="22" t="s">
        <v>2357</v>
      </c>
      <c r="O1284" s="158"/>
      <c r="P1284" s="6" t="s">
        <v>6132</v>
      </c>
      <c r="Q1284" s="158"/>
      <c r="R1284" s="158"/>
      <c r="S1284" s="6" t="s">
        <v>2144</v>
      </c>
      <c r="T1284" s="54"/>
      <c r="U1284" s="6"/>
    </row>
    <row r="1285" spans="1:21" ht="38.25">
      <c r="A1285" s="70">
        <v>2020</v>
      </c>
      <c r="B1285" s="6" t="s">
        <v>2358</v>
      </c>
      <c r="C1285" s="6" t="s">
        <v>61</v>
      </c>
      <c r="D1285" s="6" t="s">
        <v>1838</v>
      </c>
      <c r="E1285" s="6"/>
      <c r="F1285" s="6" t="s">
        <v>2359</v>
      </c>
      <c r="G1285" s="6" t="s">
        <v>575</v>
      </c>
      <c r="H1285" s="8">
        <v>102405</v>
      </c>
      <c r="I1285" s="6" t="s">
        <v>2298</v>
      </c>
      <c r="J1285" s="6" t="s">
        <v>1828</v>
      </c>
      <c r="K1285" s="6" t="s">
        <v>6345</v>
      </c>
      <c r="L1285" s="6" t="s">
        <v>6064</v>
      </c>
      <c r="M1285" s="158"/>
      <c r="N1285" s="22" t="s">
        <v>2360</v>
      </c>
      <c r="O1285" s="6"/>
      <c r="P1285" s="475" t="s">
        <v>1808</v>
      </c>
      <c r="Q1285" s="6"/>
      <c r="R1285" s="6"/>
      <c r="S1285" s="6" t="s">
        <v>1824</v>
      </c>
      <c r="T1285" s="54"/>
      <c r="U1285" s="6"/>
    </row>
    <row r="1286" spans="1:21" ht="51">
      <c r="A1286" s="70">
        <v>2020</v>
      </c>
      <c r="B1286" s="6" t="s">
        <v>770</v>
      </c>
      <c r="C1286" s="6" t="s">
        <v>61</v>
      </c>
      <c r="D1286" s="6" t="s">
        <v>652</v>
      </c>
      <c r="E1286" s="6"/>
      <c r="F1286" s="6" t="s">
        <v>771</v>
      </c>
      <c r="G1286" s="6" t="s">
        <v>772</v>
      </c>
      <c r="H1286" s="8">
        <v>29878</v>
      </c>
      <c r="I1286" s="6" t="s">
        <v>1828</v>
      </c>
      <c r="J1286" s="6" t="s">
        <v>1828</v>
      </c>
      <c r="K1286" s="6" t="s">
        <v>611</v>
      </c>
      <c r="L1286" s="6" t="s">
        <v>6092</v>
      </c>
      <c r="M1286" s="158"/>
      <c r="N1286" s="22" t="s">
        <v>2361</v>
      </c>
      <c r="O1286" s="6"/>
      <c r="P1286" s="6" t="s">
        <v>6132</v>
      </c>
      <c r="Q1286" s="6"/>
      <c r="R1286" s="6"/>
      <c r="S1286" s="6" t="s">
        <v>2144</v>
      </c>
      <c r="T1286" s="54"/>
      <c r="U1286" s="6"/>
    </row>
    <row r="1287" spans="1:21" ht="89.25">
      <c r="A1287" s="70">
        <v>2020</v>
      </c>
      <c r="B1287" s="6" t="s">
        <v>773</v>
      </c>
      <c r="C1287" s="6" t="s">
        <v>61</v>
      </c>
      <c r="D1287" s="6" t="s">
        <v>652</v>
      </c>
      <c r="E1287" s="6"/>
      <c r="F1287" s="6" t="s">
        <v>774</v>
      </c>
      <c r="G1287" s="6" t="s">
        <v>775</v>
      </c>
      <c r="H1287" s="6" t="s">
        <v>2362</v>
      </c>
      <c r="I1287" s="6" t="s">
        <v>2363</v>
      </c>
      <c r="J1287" s="6" t="s">
        <v>1828</v>
      </c>
      <c r="K1287" s="6" t="s">
        <v>611</v>
      </c>
      <c r="L1287" s="6" t="s">
        <v>6104</v>
      </c>
      <c r="M1287" s="158"/>
      <c r="N1287" s="22" t="s">
        <v>2364</v>
      </c>
      <c r="O1287" s="6"/>
      <c r="P1287" s="6" t="s">
        <v>6132</v>
      </c>
      <c r="Q1287" s="6"/>
      <c r="R1287" s="6"/>
      <c r="S1287" s="6" t="s">
        <v>2144</v>
      </c>
      <c r="T1287" s="54"/>
      <c r="U1287" s="6"/>
    </row>
    <row r="1288" spans="1:21" ht="127.5">
      <c r="A1288" s="70">
        <v>2020</v>
      </c>
      <c r="B1288" s="6" t="s">
        <v>1561</v>
      </c>
      <c r="C1288" s="6" t="s">
        <v>61</v>
      </c>
      <c r="D1288" s="6" t="s">
        <v>1462</v>
      </c>
      <c r="E1288" s="6"/>
      <c r="F1288" s="6" t="s">
        <v>1562</v>
      </c>
      <c r="G1288" s="6" t="s">
        <v>2365</v>
      </c>
      <c r="H1288" s="8">
        <v>200000</v>
      </c>
      <c r="I1288" s="6" t="s">
        <v>575</v>
      </c>
      <c r="J1288" s="6" t="s">
        <v>1828</v>
      </c>
      <c r="K1288" s="6" t="s">
        <v>2412</v>
      </c>
      <c r="L1288" s="6" t="s">
        <v>6064</v>
      </c>
      <c r="M1288" s="158"/>
      <c r="N1288" s="22" t="s">
        <v>2366</v>
      </c>
      <c r="O1288" s="6"/>
      <c r="P1288" s="475" t="s">
        <v>1808</v>
      </c>
      <c r="Q1288" s="6"/>
      <c r="R1288" s="6"/>
      <c r="S1288" s="6" t="s">
        <v>1824</v>
      </c>
      <c r="T1288" s="54"/>
      <c r="U1288" s="6"/>
    </row>
    <row r="1289" spans="1:21" ht="51">
      <c r="A1289" s="70">
        <v>2020</v>
      </c>
      <c r="B1289" s="6" t="s">
        <v>776</v>
      </c>
      <c r="C1289" s="6" t="s">
        <v>61</v>
      </c>
      <c r="D1289" s="6" t="s">
        <v>652</v>
      </c>
      <c r="E1289" s="6"/>
      <c r="F1289" s="6" t="s">
        <v>2367</v>
      </c>
      <c r="G1289" s="6" t="s">
        <v>778</v>
      </c>
      <c r="H1289" s="8">
        <v>350000</v>
      </c>
      <c r="I1289" s="6" t="s">
        <v>2368</v>
      </c>
      <c r="J1289" s="6" t="s">
        <v>6783</v>
      </c>
      <c r="K1289" s="6" t="s">
        <v>1874</v>
      </c>
      <c r="L1289" s="6" t="s">
        <v>6092</v>
      </c>
      <c r="M1289" s="158"/>
      <c r="N1289" s="22" t="s">
        <v>2369</v>
      </c>
      <c r="O1289" s="6"/>
      <c r="P1289" s="6" t="s">
        <v>6132</v>
      </c>
      <c r="Q1289" s="6"/>
      <c r="R1289" s="6"/>
      <c r="S1289" s="6" t="s">
        <v>2144</v>
      </c>
      <c r="T1289" s="54"/>
      <c r="U1289" s="6"/>
    </row>
    <row r="1290" spans="1:21" ht="76.5">
      <c r="A1290" s="70">
        <v>2020</v>
      </c>
      <c r="B1290" s="6" t="s">
        <v>67</v>
      </c>
      <c r="C1290" s="6" t="s">
        <v>61</v>
      </c>
      <c r="D1290" s="6" t="s">
        <v>68</v>
      </c>
      <c r="E1290" s="6"/>
      <c r="F1290" s="6" t="s">
        <v>69</v>
      </c>
      <c r="G1290" s="6" t="s">
        <v>70</v>
      </c>
      <c r="H1290" s="8">
        <v>409314</v>
      </c>
      <c r="I1290" s="6" t="s">
        <v>2370</v>
      </c>
      <c r="J1290" s="6" t="s">
        <v>2460</v>
      </c>
      <c r="K1290" s="6" t="s">
        <v>611</v>
      </c>
      <c r="L1290" s="6" t="s">
        <v>6092</v>
      </c>
      <c r="M1290" s="158"/>
      <c r="N1290" s="22" t="s">
        <v>2371</v>
      </c>
      <c r="O1290" s="6"/>
      <c r="P1290" s="6" t="s">
        <v>6132</v>
      </c>
      <c r="Q1290" s="6"/>
      <c r="R1290" s="6"/>
      <c r="S1290" s="6" t="s">
        <v>2144</v>
      </c>
      <c r="T1290" s="54"/>
      <c r="U1290" s="6"/>
    </row>
    <row r="1291" spans="1:21" ht="89.25">
      <c r="A1291" s="70">
        <v>2020</v>
      </c>
      <c r="B1291" s="6" t="s">
        <v>779</v>
      </c>
      <c r="C1291" s="6" t="s">
        <v>61</v>
      </c>
      <c r="D1291" s="6" t="s">
        <v>68</v>
      </c>
      <c r="E1291" s="6"/>
      <c r="F1291" s="6" t="s">
        <v>780</v>
      </c>
      <c r="G1291" s="6" t="s">
        <v>781</v>
      </c>
      <c r="H1291" s="8">
        <v>156902.65</v>
      </c>
      <c r="I1291" s="6" t="s">
        <v>2372</v>
      </c>
      <c r="J1291" s="6" t="s">
        <v>11983</v>
      </c>
      <c r="K1291" s="6" t="s">
        <v>611</v>
      </c>
      <c r="L1291" s="6" t="s">
        <v>6441</v>
      </c>
      <c r="M1291" s="158"/>
      <c r="N1291" s="22" t="s">
        <v>2373</v>
      </c>
      <c r="O1291" s="6"/>
      <c r="P1291" s="6" t="s">
        <v>6132</v>
      </c>
      <c r="Q1291" s="6"/>
      <c r="R1291" s="6"/>
      <c r="S1291" s="6" t="s">
        <v>6440</v>
      </c>
      <c r="T1291" s="54"/>
      <c r="U1291" s="6"/>
    </row>
    <row r="1292" spans="1:21" ht="51">
      <c r="A1292" s="70">
        <v>2020</v>
      </c>
      <c r="B1292" s="6" t="s">
        <v>1168</v>
      </c>
      <c r="C1292" s="6" t="s">
        <v>61</v>
      </c>
      <c r="D1292" s="6" t="s">
        <v>62</v>
      </c>
      <c r="E1292" s="6"/>
      <c r="F1292" s="6" t="s">
        <v>2374</v>
      </c>
      <c r="G1292" s="6" t="s">
        <v>1170</v>
      </c>
      <c r="H1292" s="8">
        <v>140032</v>
      </c>
      <c r="I1292" s="6" t="s">
        <v>2375</v>
      </c>
      <c r="J1292" s="6" t="s">
        <v>1828</v>
      </c>
      <c r="K1292" s="6" t="s">
        <v>1904</v>
      </c>
      <c r="L1292" s="6" t="s">
        <v>6442</v>
      </c>
      <c r="M1292" s="158"/>
      <c r="N1292" s="22" t="s">
        <v>12144</v>
      </c>
      <c r="O1292" s="6"/>
      <c r="P1292" s="6" t="s">
        <v>6132</v>
      </c>
      <c r="Q1292" s="6"/>
      <c r="R1292" s="6"/>
      <c r="S1292" s="6" t="s">
        <v>6356</v>
      </c>
      <c r="T1292" s="54"/>
      <c r="U1292" s="6"/>
    </row>
    <row r="1293" spans="1:21" ht="114.75">
      <c r="A1293" s="70">
        <v>2020</v>
      </c>
      <c r="B1293" s="6" t="s">
        <v>782</v>
      </c>
      <c r="C1293" s="6" t="s">
        <v>61</v>
      </c>
      <c r="D1293" s="6" t="s">
        <v>68</v>
      </c>
      <c r="E1293" s="6"/>
      <c r="F1293" s="6" t="s">
        <v>2377</v>
      </c>
      <c r="G1293" s="6" t="s">
        <v>784</v>
      </c>
      <c r="H1293" s="8">
        <v>308708.2</v>
      </c>
      <c r="I1293" s="6" t="s">
        <v>2378</v>
      </c>
      <c r="J1293" s="6" t="s">
        <v>1828</v>
      </c>
      <c r="K1293" s="6" t="s">
        <v>611</v>
      </c>
      <c r="L1293" s="6" t="s">
        <v>6439</v>
      </c>
      <c r="M1293" s="158"/>
      <c r="N1293" s="22" t="s">
        <v>2379</v>
      </c>
      <c r="O1293" s="6"/>
      <c r="P1293" s="6" t="s">
        <v>6132</v>
      </c>
      <c r="Q1293" s="6"/>
      <c r="R1293" s="6"/>
      <c r="S1293" s="6" t="s">
        <v>2144</v>
      </c>
      <c r="T1293" s="54"/>
      <c r="U1293" s="6"/>
    </row>
    <row r="1294" spans="1:21" ht="127.5">
      <c r="A1294" s="70">
        <v>2020</v>
      </c>
      <c r="B1294" s="6" t="s">
        <v>785</v>
      </c>
      <c r="C1294" s="6" t="s">
        <v>61</v>
      </c>
      <c r="D1294" s="6" t="s">
        <v>125</v>
      </c>
      <c r="E1294" s="6"/>
      <c r="F1294" s="158" t="s">
        <v>786</v>
      </c>
      <c r="G1294" s="6" t="s">
        <v>787</v>
      </c>
      <c r="H1294" s="8">
        <v>500000</v>
      </c>
      <c r="I1294" s="6" t="s">
        <v>2298</v>
      </c>
      <c r="J1294" s="6" t="s">
        <v>1828</v>
      </c>
      <c r="K1294" s="6" t="s">
        <v>2412</v>
      </c>
      <c r="L1294" s="6" t="s">
        <v>6064</v>
      </c>
      <c r="M1294" s="158"/>
      <c r="N1294" s="22" t="s">
        <v>2380</v>
      </c>
      <c r="O1294" s="158"/>
      <c r="P1294" s="6"/>
      <c r="Q1294" s="158"/>
      <c r="R1294" s="158"/>
      <c r="S1294" s="6" t="s">
        <v>1824</v>
      </c>
      <c r="T1294" s="54"/>
      <c r="U1294" s="6"/>
    </row>
    <row r="1295" spans="1:21" ht="191.25">
      <c r="A1295" s="70">
        <v>2020</v>
      </c>
      <c r="B1295" s="6" t="s">
        <v>1171</v>
      </c>
      <c r="C1295" s="6" t="s">
        <v>61</v>
      </c>
      <c r="D1295" s="6" t="s">
        <v>62</v>
      </c>
      <c r="E1295" s="6"/>
      <c r="F1295" s="6" t="s">
        <v>2382</v>
      </c>
      <c r="G1295" s="6" t="s">
        <v>1173</v>
      </c>
      <c r="H1295" s="8">
        <v>453820</v>
      </c>
      <c r="I1295" s="6" t="s">
        <v>2383</v>
      </c>
      <c r="J1295" s="6" t="s">
        <v>2467</v>
      </c>
      <c r="K1295" s="6" t="s">
        <v>1904</v>
      </c>
      <c r="L1295" s="6" t="s">
        <v>6445</v>
      </c>
      <c r="M1295" s="158"/>
      <c r="N1295" s="22" t="s">
        <v>12145</v>
      </c>
      <c r="O1295" s="6"/>
      <c r="P1295" s="6" t="s">
        <v>6132</v>
      </c>
      <c r="Q1295" s="6"/>
      <c r="R1295" s="6"/>
      <c r="S1295" s="6" t="s">
        <v>6426</v>
      </c>
      <c r="T1295" s="54"/>
      <c r="U1295" s="6"/>
    </row>
    <row r="1296" spans="1:21" ht="191.25">
      <c r="A1296" s="70">
        <v>2020</v>
      </c>
      <c r="B1296" s="6" t="s">
        <v>1564</v>
      </c>
      <c r="C1296" s="6" t="s">
        <v>61</v>
      </c>
      <c r="D1296" s="6" t="s">
        <v>1549</v>
      </c>
      <c r="E1296" s="6"/>
      <c r="F1296" s="6" t="s">
        <v>1565</v>
      </c>
      <c r="G1296" s="6" t="s">
        <v>1566</v>
      </c>
      <c r="H1296" s="8">
        <v>1000000</v>
      </c>
      <c r="I1296" s="6" t="s">
        <v>2298</v>
      </c>
      <c r="J1296" s="6" t="s">
        <v>1828</v>
      </c>
      <c r="K1296" s="6" t="s">
        <v>2412</v>
      </c>
      <c r="L1296" s="6" t="s">
        <v>6064</v>
      </c>
      <c r="M1296" s="158"/>
      <c r="N1296" s="22" t="s">
        <v>2385</v>
      </c>
      <c r="O1296" s="6"/>
      <c r="P1296" s="475" t="s">
        <v>1808</v>
      </c>
      <c r="Q1296" s="6"/>
      <c r="R1296" s="6"/>
      <c r="S1296" s="6" t="s">
        <v>1824</v>
      </c>
      <c r="T1296" s="54"/>
      <c r="U1296" s="6"/>
    </row>
    <row r="1297" spans="1:21" ht="89.25">
      <c r="A1297" s="70">
        <v>2020</v>
      </c>
      <c r="B1297" s="6" t="s">
        <v>2386</v>
      </c>
      <c r="C1297" s="6" t="s">
        <v>61</v>
      </c>
      <c r="D1297" s="6" t="s">
        <v>62</v>
      </c>
      <c r="E1297" s="6"/>
      <c r="F1297" s="6" t="s">
        <v>2387</v>
      </c>
      <c r="G1297" s="6" t="s">
        <v>2388</v>
      </c>
      <c r="H1297" s="8">
        <v>500000</v>
      </c>
      <c r="I1297" s="6" t="s">
        <v>2389</v>
      </c>
      <c r="J1297" s="6" t="s">
        <v>11983</v>
      </c>
      <c r="K1297" s="6" t="s">
        <v>1904</v>
      </c>
      <c r="L1297" s="6" t="s">
        <v>6448</v>
      </c>
      <c r="M1297" s="158"/>
      <c r="N1297" s="165" t="s">
        <v>2390</v>
      </c>
      <c r="O1297" s="6"/>
      <c r="P1297" s="6" t="s">
        <v>6132</v>
      </c>
      <c r="Q1297" s="6"/>
      <c r="R1297" s="6"/>
      <c r="S1297" s="6" t="s">
        <v>6356</v>
      </c>
      <c r="T1297" s="54"/>
      <c r="U1297" s="6"/>
    </row>
    <row r="1298" spans="1:21" ht="89.25">
      <c r="A1298" s="70">
        <v>2020</v>
      </c>
      <c r="B1298" s="6" t="s">
        <v>788</v>
      </c>
      <c r="C1298" s="6" t="s">
        <v>61</v>
      </c>
      <c r="D1298" s="6" t="s">
        <v>789</v>
      </c>
      <c r="E1298" s="6"/>
      <c r="F1298" s="6" t="s">
        <v>790</v>
      </c>
      <c r="G1298" s="6" t="s">
        <v>791</v>
      </c>
      <c r="H1298" s="8">
        <v>324750</v>
      </c>
      <c r="I1298" s="6" t="s">
        <v>2392</v>
      </c>
      <c r="J1298" s="6" t="s">
        <v>1828</v>
      </c>
      <c r="K1298" s="6" t="s">
        <v>12146</v>
      </c>
      <c r="L1298" s="6" t="s">
        <v>6092</v>
      </c>
      <c r="M1298" s="158"/>
      <c r="N1298" s="22" t="s">
        <v>2393</v>
      </c>
      <c r="O1298" s="6"/>
      <c r="P1298" s="6" t="s">
        <v>6132</v>
      </c>
      <c r="Q1298" s="6"/>
      <c r="R1298" s="6"/>
      <c r="S1298" s="6" t="s">
        <v>2144</v>
      </c>
      <c r="T1298" s="54"/>
      <c r="U1298" s="6"/>
    </row>
    <row r="1299" spans="1:21" ht="89.25">
      <c r="A1299" s="70">
        <v>2020</v>
      </c>
      <c r="B1299" s="6" t="s">
        <v>792</v>
      </c>
      <c r="C1299" s="6" t="s">
        <v>61</v>
      </c>
      <c r="D1299" s="6" t="s">
        <v>652</v>
      </c>
      <c r="E1299" s="6"/>
      <c r="F1299" s="6" t="s">
        <v>793</v>
      </c>
      <c r="G1299" s="6" t="s">
        <v>794</v>
      </c>
      <c r="H1299" s="8">
        <v>284446.84000000003</v>
      </c>
      <c r="I1299" s="6" t="s">
        <v>2394</v>
      </c>
      <c r="J1299" s="6" t="s">
        <v>1828</v>
      </c>
      <c r="K1299" s="6" t="s">
        <v>611</v>
      </c>
      <c r="L1299" s="6" t="s">
        <v>6092</v>
      </c>
      <c r="M1299" s="158"/>
      <c r="N1299" s="22" t="s">
        <v>2395</v>
      </c>
      <c r="O1299" s="6"/>
      <c r="P1299" s="6" t="s">
        <v>6132</v>
      </c>
      <c r="Q1299" s="6"/>
      <c r="R1299" s="6"/>
      <c r="S1299" s="6" t="s">
        <v>2144</v>
      </c>
      <c r="T1299" s="54"/>
      <c r="U1299" s="6"/>
    </row>
    <row r="1300" spans="1:21" ht="89.25">
      <c r="A1300" s="70">
        <v>2020</v>
      </c>
      <c r="B1300" s="6" t="s">
        <v>1174</v>
      </c>
      <c r="C1300" s="6" t="s">
        <v>61</v>
      </c>
      <c r="D1300" s="6" t="s">
        <v>62</v>
      </c>
      <c r="E1300" s="6"/>
      <c r="F1300" s="6" t="s">
        <v>1175</v>
      </c>
      <c r="G1300" s="6" t="s">
        <v>1176</v>
      </c>
      <c r="H1300" s="8">
        <v>418714.15</v>
      </c>
      <c r="I1300" s="6" t="s">
        <v>2396</v>
      </c>
      <c r="J1300" s="6" t="s">
        <v>1828</v>
      </c>
      <c r="K1300" s="6" t="s">
        <v>1904</v>
      </c>
      <c r="L1300" s="6" t="s">
        <v>6452</v>
      </c>
      <c r="M1300" s="158"/>
      <c r="N1300" s="22" t="s">
        <v>2397</v>
      </c>
      <c r="O1300" s="6"/>
      <c r="P1300" s="6" t="s">
        <v>6179</v>
      </c>
      <c r="Q1300" s="6"/>
      <c r="R1300" s="6"/>
      <c r="S1300" s="6" t="s">
        <v>6356</v>
      </c>
      <c r="T1300" s="54"/>
      <c r="U1300" s="6"/>
    </row>
    <row r="1301" spans="1:21" ht="51">
      <c r="A1301" s="70">
        <v>2020</v>
      </c>
      <c r="B1301" s="6" t="s">
        <v>2398</v>
      </c>
      <c r="C1301" s="6" t="s">
        <v>1823</v>
      </c>
      <c r="D1301" s="6" t="s">
        <v>113</v>
      </c>
      <c r="E1301" s="6"/>
      <c r="F1301" s="6" t="s">
        <v>2400</v>
      </c>
      <c r="G1301" s="6" t="s">
        <v>611</v>
      </c>
      <c r="H1301" s="6" t="s">
        <v>2399</v>
      </c>
      <c r="I1301" s="6" t="s">
        <v>575</v>
      </c>
      <c r="J1301" s="6" t="s">
        <v>1828</v>
      </c>
      <c r="K1301" s="6" t="s">
        <v>611</v>
      </c>
      <c r="L1301" s="6" t="s">
        <v>6189</v>
      </c>
      <c r="M1301" s="158"/>
      <c r="N1301" s="22" t="s">
        <v>2401</v>
      </c>
      <c r="O1301" s="6"/>
      <c r="P1301" s="475" t="s">
        <v>1808</v>
      </c>
      <c r="Q1301" s="6"/>
      <c r="R1301" s="6"/>
      <c r="S1301" s="6"/>
      <c r="T1301" s="54"/>
      <c r="U1301" s="6"/>
    </row>
    <row r="1302" spans="1:21" ht="51">
      <c r="A1302" s="70">
        <v>2020</v>
      </c>
      <c r="B1302" s="6" t="s">
        <v>2402</v>
      </c>
      <c r="C1302" s="6" t="s">
        <v>1823</v>
      </c>
      <c r="D1302" s="6" t="s">
        <v>611</v>
      </c>
      <c r="E1302" s="6"/>
      <c r="F1302" s="6" t="s">
        <v>2404</v>
      </c>
      <c r="G1302" s="6" t="s">
        <v>611</v>
      </c>
      <c r="H1302" s="6" t="s">
        <v>2403</v>
      </c>
      <c r="I1302" s="6" t="s">
        <v>575</v>
      </c>
      <c r="J1302" s="6" t="s">
        <v>1828</v>
      </c>
      <c r="K1302" s="6"/>
      <c r="L1302" s="6" t="s">
        <v>6189</v>
      </c>
      <c r="M1302" s="158"/>
      <c r="N1302" s="22" t="s">
        <v>2405</v>
      </c>
      <c r="O1302" s="6"/>
      <c r="P1302" s="475" t="s">
        <v>1808</v>
      </c>
      <c r="Q1302" s="6"/>
      <c r="R1302" s="6"/>
      <c r="S1302" s="6"/>
      <c r="T1302" s="54"/>
      <c r="U1302" s="6"/>
    </row>
    <row r="1303" spans="1:21" ht="102">
      <c r="A1303" s="70">
        <v>2020</v>
      </c>
      <c r="B1303" s="6" t="s">
        <v>1177</v>
      </c>
      <c r="C1303" s="6" t="s">
        <v>61</v>
      </c>
      <c r="D1303" s="6" t="s">
        <v>62</v>
      </c>
      <c r="E1303" s="6"/>
      <c r="F1303" s="6" t="s">
        <v>2407</v>
      </c>
      <c r="G1303" s="6" t="s">
        <v>1179</v>
      </c>
      <c r="H1303" s="6">
        <v>1240490</v>
      </c>
      <c r="I1303" s="6" t="s">
        <v>2408</v>
      </c>
      <c r="J1303" s="6" t="s">
        <v>1828</v>
      </c>
      <c r="K1303" s="6" t="s">
        <v>1904</v>
      </c>
      <c r="L1303" s="6" t="s">
        <v>6456</v>
      </c>
      <c r="M1303" s="158"/>
      <c r="N1303" s="22" t="s">
        <v>2409</v>
      </c>
      <c r="O1303" s="6"/>
      <c r="P1303" s="6" t="s">
        <v>6179</v>
      </c>
      <c r="Q1303" s="6"/>
      <c r="R1303" s="6"/>
      <c r="S1303" s="6" t="s">
        <v>6356</v>
      </c>
      <c r="T1303" s="54"/>
      <c r="U1303" s="6"/>
    </row>
    <row r="1304" spans="1:21" ht="51">
      <c r="A1304" s="70">
        <v>2020</v>
      </c>
      <c r="B1304" s="6" t="s">
        <v>2410</v>
      </c>
      <c r="C1304" s="6" t="s">
        <v>1823</v>
      </c>
      <c r="D1304" s="6" t="s">
        <v>1383</v>
      </c>
      <c r="E1304" s="6"/>
      <c r="F1304" s="6" t="s">
        <v>2411</v>
      </c>
      <c r="G1304" s="6" t="s">
        <v>2412</v>
      </c>
      <c r="H1304" s="6"/>
      <c r="I1304" s="6" t="s">
        <v>575</v>
      </c>
      <c r="J1304" s="6" t="s">
        <v>1828</v>
      </c>
      <c r="K1304" s="6"/>
      <c r="L1304" s="6" t="s">
        <v>6189</v>
      </c>
      <c r="M1304" s="158"/>
      <c r="N1304" s="22" t="s">
        <v>2413</v>
      </c>
      <c r="O1304" s="6"/>
      <c r="P1304" s="475" t="s">
        <v>1808</v>
      </c>
      <c r="Q1304" s="6"/>
      <c r="R1304" s="6"/>
      <c r="S1304" s="6"/>
      <c r="T1304" s="54"/>
      <c r="U1304" s="6"/>
    </row>
    <row r="1305" spans="1:21" ht="127.5">
      <c r="A1305" s="70">
        <v>2020</v>
      </c>
      <c r="B1305" s="6" t="s">
        <v>1180</v>
      </c>
      <c r="C1305" s="6" t="s">
        <v>61</v>
      </c>
      <c r="D1305" s="6" t="s">
        <v>62</v>
      </c>
      <c r="E1305" s="6"/>
      <c r="F1305" s="6" t="s">
        <v>1181</v>
      </c>
      <c r="G1305" s="6" t="s">
        <v>1182</v>
      </c>
      <c r="H1305" s="8">
        <v>495000</v>
      </c>
      <c r="I1305" s="6" t="s">
        <v>2414</v>
      </c>
      <c r="J1305" s="6" t="s">
        <v>2656</v>
      </c>
      <c r="K1305" s="6" t="s">
        <v>1904</v>
      </c>
      <c r="L1305" s="6" t="s">
        <v>6459</v>
      </c>
      <c r="M1305" s="158"/>
      <c r="N1305" s="136" t="s">
        <v>2415</v>
      </c>
      <c r="O1305" s="6"/>
      <c r="P1305" s="6" t="s">
        <v>6132</v>
      </c>
      <c r="Q1305" s="6"/>
      <c r="R1305" s="6"/>
      <c r="S1305" s="6" t="s">
        <v>2144</v>
      </c>
      <c r="T1305" s="54"/>
      <c r="U1305" s="6"/>
    </row>
    <row r="1306" spans="1:21" ht="63.75">
      <c r="A1306" s="70">
        <v>2020</v>
      </c>
      <c r="B1306" s="6" t="s">
        <v>2416</v>
      </c>
      <c r="C1306" s="6" t="s">
        <v>1823</v>
      </c>
      <c r="D1306" s="6" t="s">
        <v>62</v>
      </c>
      <c r="E1306" s="6"/>
      <c r="F1306" s="6" t="s">
        <v>2417</v>
      </c>
      <c r="G1306" s="6" t="s">
        <v>1231</v>
      </c>
      <c r="H1306" s="6"/>
      <c r="I1306" s="6" t="s">
        <v>2418</v>
      </c>
      <c r="J1306" s="6" t="s">
        <v>1828</v>
      </c>
      <c r="K1306" s="6"/>
      <c r="L1306" s="6" t="s">
        <v>6189</v>
      </c>
      <c r="M1306" s="158"/>
      <c r="N1306" s="22" t="s">
        <v>2419</v>
      </c>
      <c r="O1306" s="6"/>
      <c r="P1306" s="475" t="s">
        <v>1808</v>
      </c>
      <c r="Q1306" s="6"/>
      <c r="R1306" s="6"/>
      <c r="S1306" s="6"/>
      <c r="T1306" s="54"/>
      <c r="U1306" s="6"/>
    </row>
    <row r="1307" spans="1:21" ht="216.75">
      <c r="A1307" s="70">
        <v>2020</v>
      </c>
      <c r="B1307" s="6" t="s">
        <v>1183</v>
      </c>
      <c r="C1307" s="6" t="s">
        <v>61</v>
      </c>
      <c r="D1307" s="6" t="s">
        <v>62</v>
      </c>
      <c r="E1307" s="6"/>
      <c r="F1307" s="6" t="s">
        <v>1184</v>
      </c>
      <c r="G1307" s="6" t="s">
        <v>1185</v>
      </c>
      <c r="H1307" s="8">
        <v>819000</v>
      </c>
      <c r="I1307" s="6" t="s">
        <v>2420</v>
      </c>
      <c r="J1307" s="6" t="s">
        <v>1828</v>
      </c>
      <c r="K1307" s="6" t="s">
        <v>1904</v>
      </c>
      <c r="L1307" s="6" t="s">
        <v>6461</v>
      </c>
      <c r="M1307" s="158"/>
      <c r="N1307" s="22" t="s">
        <v>2421</v>
      </c>
      <c r="O1307" s="6"/>
      <c r="P1307" s="6" t="s">
        <v>6132</v>
      </c>
      <c r="Q1307" s="6"/>
      <c r="R1307" s="6"/>
      <c r="S1307" s="6" t="s">
        <v>6356</v>
      </c>
      <c r="T1307" s="54"/>
      <c r="U1307" s="6"/>
    </row>
    <row r="1308" spans="1:21" ht="51">
      <c r="A1308" s="70">
        <v>2020</v>
      </c>
      <c r="B1308" s="6" t="s">
        <v>2422</v>
      </c>
      <c r="C1308" s="6" t="s">
        <v>1823</v>
      </c>
      <c r="D1308" s="6" t="s">
        <v>611</v>
      </c>
      <c r="E1308" s="6"/>
      <c r="F1308" s="6" t="s">
        <v>2423</v>
      </c>
      <c r="G1308" s="6" t="s">
        <v>611</v>
      </c>
      <c r="H1308" s="6"/>
      <c r="I1308" s="6" t="s">
        <v>2326</v>
      </c>
      <c r="J1308" s="6" t="s">
        <v>1828</v>
      </c>
      <c r="K1308" s="6"/>
      <c r="L1308" s="6" t="s">
        <v>6189</v>
      </c>
      <c r="M1308" s="158"/>
      <c r="N1308" s="22" t="s">
        <v>2424</v>
      </c>
      <c r="O1308" s="6"/>
      <c r="P1308" s="475" t="s">
        <v>1808</v>
      </c>
      <c r="Q1308" s="6"/>
      <c r="R1308" s="6"/>
      <c r="S1308" s="6"/>
      <c r="T1308" s="54"/>
      <c r="U1308" s="6"/>
    </row>
    <row r="1309" spans="1:21" ht="38.25">
      <c r="A1309" s="70">
        <v>2020</v>
      </c>
      <c r="B1309" s="6" t="s">
        <v>2425</v>
      </c>
      <c r="C1309" s="6" t="s">
        <v>1823</v>
      </c>
      <c r="D1309" s="6" t="s">
        <v>2412</v>
      </c>
      <c r="E1309" s="6"/>
      <c r="F1309" s="6" t="s">
        <v>2426</v>
      </c>
      <c r="G1309" s="6" t="s">
        <v>2412</v>
      </c>
      <c r="H1309" s="6"/>
      <c r="I1309" s="6" t="s">
        <v>2326</v>
      </c>
      <c r="J1309" s="6" t="s">
        <v>1828</v>
      </c>
      <c r="K1309" s="6"/>
      <c r="L1309" s="6" t="s">
        <v>6189</v>
      </c>
      <c r="M1309" s="158"/>
      <c r="N1309" s="22" t="s">
        <v>2427</v>
      </c>
      <c r="O1309" s="6"/>
      <c r="P1309" s="475" t="s">
        <v>1808</v>
      </c>
      <c r="Q1309" s="6"/>
      <c r="R1309" s="6"/>
      <c r="S1309" s="6"/>
      <c r="T1309" s="54"/>
      <c r="U1309" s="6"/>
    </row>
    <row r="1310" spans="1:21" ht="114.75">
      <c r="A1310" s="70">
        <v>2020</v>
      </c>
      <c r="B1310" s="6" t="s">
        <v>1186</v>
      </c>
      <c r="C1310" s="6" t="s">
        <v>61</v>
      </c>
      <c r="D1310" s="6" t="s">
        <v>62</v>
      </c>
      <c r="E1310" s="6"/>
      <c r="F1310" s="6" t="s">
        <v>1187</v>
      </c>
      <c r="G1310" s="6" t="s">
        <v>1188</v>
      </c>
      <c r="H1310" s="8">
        <v>453346.5</v>
      </c>
      <c r="I1310" s="6" t="s">
        <v>2428</v>
      </c>
      <c r="J1310" s="6" t="s">
        <v>2656</v>
      </c>
      <c r="K1310" s="6" t="s">
        <v>1904</v>
      </c>
      <c r="L1310" s="6" t="s">
        <v>6465</v>
      </c>
      <c r="M1310" s="158"/>
      <c r="N1310" s="22" t="s">
        <v>2429</v>
      </c>
      <c r="O1310" s="6"/>
      <c r="P1310" s="6" t="s">
        <v>6179</v>
      </c>
      <c r="Q1310" s="6"/>
      <c r="R1310" s="6"/>
      <c r="S1310" s="6" t="s">
        <v>6356</v>
      </c>
      <c r="T1310" s="54"/>
      <c r="U1310" s="6"/>
    </row>
    <row r="1311" spans="1:21" ht="89.25">
      <c r="A1311" s="70">
        <v>2020</v>
      </c>
      <c r="B1311" s="6" t="s">
        <v>795</v>
      </c>
      <c r="C1311" s="6" t="s">
        <v>61</v>
      </c>
      <c r="D1311" s="6" t="s">
        <v>652</v>
      </c>
      <c r="E1311" s="6"/>
      <c r="F1311" s="6" t="s">
        <v>796</v>
      </c>
      <c r="G1311" s="6" t="s">
        <v>520</v>
      </c>
      <c r="H1311" s="8">
        <v>349930</v>
      </c>
      <c r="I1311" s="6" t="s">
        <v>2430</v>
      </c>
      <c r="J1311" s="6" t="s">
        <v>1879</v>
      </c>
      <c r="K1311" s="6" t="s">
        <v>611</v>
      </c>
      <c r="L1311" s="6" t="s">
        <v>6092</v>
      </c>
      <c r="M1311" s="158"/>
      <c r="N1311" s="22" t="s">
        <v>2431</v>
      </c>
      <c r="O1311" s="6"/>
      <c r="P1311" s="6" t="s">
        <v>6132</v>
      </c>
      <c r="Q1311" s="6"/>
      <c r="R1311" s="6"/>
      <c r="S1311" s="6" t="s">
        <v>6309</v>
      </c>
      <c r="T1311" s="54"/>
      <c r="U1311" s="6"/>
    </row>
    <row r="1312" spans="1:21" ht="89.25">
      <c r="A1312" s="70">
        <v>2020</v>
      </c>
      <c r="B1312" s="6" t="s">
        <v>797</v>
      </c>
      <c r="C1312" s="6" t="s">
        <v>61</v>
      </c>
      <c r="D1312" s="6" t="s">
        <v>652</v>
      </c>
      <c r="E1312" s="6"/>
      <c r="F1312" s="6" t="s">
        <v>798</v>
      </c>
      <c r="G1312" s="6" t="s">
        <v>799</v>
      </c>
      <c r="H1312" s="8">
        <v>350000</v>
      </c>
      <c r="I1312" s="6" t="s">
        <v>2432</v>
      </c>
      <c r="J1312" s="6" t="s">
        <v>5712</v>
      </c>
      <c r="K1312" s="6" t="s">
        <v>611</v>
      </c>
      <c r="L1312" s="6" t="s">
        <v>6092</v>
      </c>
      <c r="M1312" s="158"/>
      <c r="N1312" s="22" t="s">
        <v>2433</v>
      </c>
      <c r="O1312" s="6"/>
      <c r="P1312" s="6" t="s">
        <v>6132</v>
      </c>
      <c r="Q1312" s="6"/>
      <c r="R1312" s="6"/>
      <c r="S1312" s="6" t="s">
        <v>2144</v>
      </c>
      <c r="T1312" s="54"/>
      <c r="U1312" s="6"/>
    </row>
    <row r="1313" spans="1:21" ht="102">
      <c r="A1313" s="70">
        <v>2020</v>
      </c>
      <c r="B1313" s="6" t="s">
        <v>1189</v>
      </c>
      <c r="C1313" s="6" t="s">
        <v>61</v>
      </c>
      <c r="D1313" s="6" t="s">
        <v>1141</v>
      </c>
      <c r="E1313" s="6"/>
      <c r="F1313" s="6" t="s">
        <v>1190</v>
      </c>
      <c r="G1313" s="6" t="s">
        <v>1139</v>
      </c>
      <c r="H1313" s="8">
        <v>87475</v>
      </c>
      <c r="I1313" s="6" t="s">
        <v>2434</v>
      </c>
      <c r="J1313" s="6" t="s">
        <v>6370</v>
      </c>
      <c r="K1313" s="6" t="s">
        <v>1231</v>
      </c>
      <c r="L1313" s="6" t="s">
        <v>6137</v>
      </c>
      <c r="M1313" s="158"/>
      <c r="N1313" s="22" t="s">
        <v>2435</v>
      </c>
      <c r="O1313" s="6"/>
      <c r="P1313" s="475" t="s">
        <v>1808</v>
      </c>
      <c r="Q1313" s="6"/>
      <c r="R1313" s="6"/>
      <c r="S1313" s="6" t="s">
        <v>6373</v>
      </c>
      <c r="T1313" s="54"/>
      <c r="U1313" s="6"/>
    </row>
    <row r="1314" spans="1:21" ht="38.25">
      <c r="A1314" s="70">
        <v>2020</v>
      </c>
      <c r="B1314" s="6" t="s">
        <v>1191</v>
      </c>
      <c r="C1314" s="6" t="s">
        <v>61</v>
      </c>
      <c r="D1314" s="6" t="s">
        <v>1141</v>
      </c>
      <c r="E1314" s="6"/>
      <c r="F1314" s="6" t="s">
        <v>1192</v>
      </c>
      <c r="G1314" s="6" t="s">
        <v>1139</v>
      </c>
      <c r="H1314" s="8">
        <v>122475</v>
      </c>
      <c r="I1314" s="6" t="s">
        <v>2434</v>
      </c>
      <c r="J1314" s="6" t="s">
        <v>6370</v>
      </c>
      <c r="K1314" s="6" t="s">
        <v>1231</v>
      </c>
      <c r="L1314" s="6" t="s">
        <v>6469</v>
      </c>
      <c r="M1314" s="158"/>
      <c r="N1314" s="22"/>
      <c r="O1314" s="6"/>
      <c r="P1314" s="475" t="s">
        <v>1808</v>
      </c>
      <c r="Q1314" s="6"/>
      <c r="R1314" s="6"/>
      <c r="S1314" s="6" t="s">
        <v>6373</v>
      </c>
      <c r="T1314" s="54"/>
      <c r="U1314" s="6"/>
    </row>
    <row r="1315" spans="1:21" ht="89.25">
      <c r="A1315" s="70">
        <v>2020</v>
      </c>
      <c r="B1315" s="6" t="s">
        <v>1193</v>
      </c>
      <c r="C1315" s="6" t="s">
        <v>61</v>
      </c>
      <c r="D1315" s="6" t="s">
        <v>1141</v>
      </c>
      <c r="E1315" s="6"/>
      <c r="F1315" s="6" t="s">
        <v>1194</v>
      </c>
      <c r="G1315" s="6" t="s">
        <v>1139</v>
      </c>
      <c r="H1315" s="8">
        <v>156860</v>
      </c>
      <c r="I1315" s="6" t="s">
        <v>2434</v>
      </c>
      <c r="J1315" s="6" t="s">
        <v>6370</v>
      </c>
      <c r="K1315" s="6" t="s">
        <v>1231</v>
      </c>
      <c r="L1315" s="6" t="s">
        <v>6469</v>
      </c>
      <c r="M1315" s="158"/>
      <c r="N1315" s="22" t="s">
        <v>2436</v>
      </c>
      <c r="O1315" s="6"/>
      <c r="P1315" s="475" t="s">
        <v>1808</v>
      </c>
      <c r="Q1315" s="6"/>
      <c r="R1315" s="6"/>
      <c r="S1315" s="6" t="s">
        <v>6373</v>
      </c>
      <c r="T1315" s="54"/>
      <c r="U1315" s="6"/>
    </row>
    <row r="1316" spans="1:21" ht="89.25">
      <c r="A1316" s="70">
        <v>2020</v>
      </c>
      <c r="B1316" s="6" t="s">
        <v>1195</v>
      </c>
      <c r="C1316" s="6" t="s">
        <v>61</v>
      </c>
      <c r="D1316" s="6" t="s">
        <v>1141</v>
      </c>
      <c r="E1316" s="6"/>
      <c r="F1316" s="6" t="s">
        <v>1196</v>
      </c>
      <c r="G1316" s="6" t="s">
        <v>1139</v>
      </c>
      <c r="H1316" s="8">
        <v>119440</v>
      </c>
      <c r="I1316" s="6" t="s">
        <v>2434</v>
      </c>
      <c r="J1316" s="6" t="s">
        <v>6370</v>
      </c>
      <c r="K1316" s="6" t="s">
        <v>1231</v>
      </c>
      <c r="L1316" s="6" t="s">
        <v>6137</v>
      </c>
      <c r="M1316" s="158"/>
      <c r="N1316" s="22" t="s">
        <v>2437</v>
      </c>
      <c r="O1316" s="6"/>
      <c r="P1316" s="475" t="s">
        <v>1808</v>
      </c>
      <c r="Q1316" s="6"/>
      <c r="R1316" s="6"/>
      <c r="S1316" s="6" t="s">
        <v>6373</v>
      </c>
      <c r="T1316" s="54"/>
      <c r="U1316" s="6"/>
    </row>
    <row r="1317" spans="1:21" ht="89.25">
      <c r="A1317" s="70">
        <v>2020</v>
      </c>
      <c r="B1317" s="6" t="s">
        <v>1197</v>
      </c>
      <c r="C1317" s="6" t="s">
        <v>61</v>
      </c>
      <c r="D1317" s="6" t="s">
        <v>1141</v>
      </c>
      <c r="E1317" s="6"/>
      <c r="F1317" s="6" t="s">
        <v>1198</v>
      </c>
      <c r="G1317" s="6" t="s">
        <v>1139</v>
      </c>
      <c r="H1317" s="8">
        <v>153850</v>
      </c>
      <c r="I1317" s="6" t="s">
        <v>2434</v>
      </c>
      <c r="J1317" s="6" t="s">
        <v>6370</v>
      </c>
      <c r="K1317" s="6" t="s">
        <v>1231</v>
      </c>
      <c r="L1317" s="6" t="s">
        <v>6137</v>
      </c>
      <c r="M1317" s="158"/>
      <c r="N1317" s="22" t="s">
        <v>2438</v>
      </c>
      <c r="O1317" s="6"/>
      <c r="P1317" s="475" t="s">
        <v>1808</v>
      </c>
      <c r="Q1317" s="6"/>
      <c r="R1317" s="6"/>
      <c r="S1317" s="6" t="s">
        <v>6373</v>
      </c>
      <c r="T1317" s="54"/>
      <c r="U1317" s="6"/>
    </row>
  </sheetData>
  <conditionalFormatting sqref="C1:C1270">
    <cfRule type="containsText" dxfId="1" priority="1" operator="containsText" text="Allocation">
      <formula>NOT(ISERROR(SEARCH(("Allocation"),(C1))))</formula>
    </cfRule>
  </conditionalFormatting>
  <dataValidations count="10">
    <dataValidation type="list" allowBlank="1" sqref="D782:E782 D784:E784 D786:E791 D793:E801 D803:E809 U809 D811:E816 D818:E822 D824:E826 D830:E835 D844:E844 U846:U847 U849 U851:U852 U855:U856 U860 U865 D846:E878 U883 U887:U888 D880:E889 U892:U893 U900 D891:E905 U903:U905 U911:U913 D907:E917 U915:U917 D919:E921 U920:U921 U923 U925 D923:E926 D931:E935 D937:E937 D939:E940 D944:E944 U944 U961 U964 U967 U969 U971 D948:E975 U975 D977:E980 U982 D982:E984 D986:E988 D990:E991 D993:E997 D1003:E1003 D1008:E1009 D1012:E1012 D1014:E1014 D1021:E1021 D1023:E1024 D1026:E1030 D1032:E1037 D1039:E1039 D1042:E1064 D1067:E1067 D1070:E1071 D1073:E1074 D1077:E1077 D1080:E1080 D1082:E1082 D1094:E1095 D1100:E1100 D1102:E1103 D1106:E1106 D1118:E1118 D1121:E1123 D1125:E1128 D1135:E1135 D1137:E1137 D1149:E1150 D1152:E1154 D1156:E1156 D1159:E1159 D1162:E1162 D1165:E1165 D1167:E1167 D1173:E1173 D1175:E1175 D1177:E1177 D1181:E1181" xr:uid="{00000000-0002-0000-2800-000000000000}">
      <formula1>"IPRAP,IBED,IBID,Testing and Analyses,TechniCom,ISP,IGF,Accreditation,Enforcement,ISTE,ACU-N,ACU-I,MAP,PMAP,TBED,DTTC,VFP,I-TECH,IBED 2,DATBED,YET,CAMPI,MPEX,DTTC,TIFT"</formula1>
    </dataValidation>
    <dataValidation type="list" allowBlank="1" showInputMessage="1" prompt="Click and enter a value from the list of items" sqref="C825 C927:C928 C934 C937 C940 C949 C989" xr:uid="{00000000-0002-0000-2800-000001000000}">
      <formula1>"Allocation,Termination,Guidelines"</formula1>
    </dataValidation>
    <dataValidation type="list" allowBlank="1" sqref="D142:E143 D146:E146 D151:E151 D161:E161 D203:E204 D208:E208 D225:E229 D325:E325 D491:E491 D992:E992 U994:U997 D998:E998 D1002:E1002 U1008:U1009 U1012 D1013:E1013 D1015:E1015 D1017:E1018 D1020:E1020 D1022:E1022 U1024 D1025:E1025 U1026:U1027 D1031:E1031 U1032:U1035 U1039 D1041:E1041 U1042:U1043 U1045:U1064 D1066:E1066 U1067 U1071 D1072:E1072 U1073:U1074 U1077 U1080 U1082 D1098:E1098 D1107:E1107 D1116:E1116 D1119:E1119 D1124:E1124 D1166:E1166" xr:uid="{00000000-0002-0000-2800-000002000000}">
      <formula1>"IPRAP,IBED,IBID,Testing and Analyses,TechniCom,ISP,IGF,Accreditation,Enforcement,ISTE,RICE/NICE,ACU-N,ACU-I,MAP,PMAP,TBED,DTTC,VFP,I-TECH,IBED 2,DATBED,YET,CAMPI,MPEX,DTTC,TIFT,Pilot"</formula1>
    </dataValidation>
    <dataValidation type="list" allowBlank="1" sqref="K906:K910 K918:K919 K922 K924 K926:K931 K933:K943 K945:K948 K950:K954 K958 K962 K966 K968 K972:K974 K976 K981 K984 K988:K990 K992:K993 K998:K1002 K1004:K1007 K1010:K1011 K1013:K1022 K1025 K1031 K1038 K1040:K1041 K1065:K1066 K1068:K1069 K1072 K1075:K1076 K1078:K1079 K1081" xr:uid="{00000000-0002-0000-2800-000003000000}">
      <formula1>"TIPD,IDD,IBOD,Legal"</formula1>
    </dataValidation>
    <dataValidation type="list" allowBlank="1" sqref="N993:N996 N998:N1082 P782:P1082" xr:uid="{00000000-0002-0000-2800-000004000000}">
      <formula1>"Male,Female,NA"</formula1>
    </dataValidation>
    <dataValidation type="list" allowBlank="1" sqref="S904:S991 Q992:S1082" xr:uid="{00000000-0002-0000-2800-000005000000}">
      <formula1>"Government,Government-DOST,Private Individual,MSMEs,Inventor,Inventor Org,Academia,Private Org"</formula1>
    </dataValidation>
    <dataValidation type="list" allowBlank="1" sqref="J782:J876 J878:J1083 J1091 J1093 J1097 J1106 J1108 J1119:J1120 J1122 J1132 J1134 J1136:J1137 J1149 J1152 J1156 J1162 J1164 J1172 J1176:J1177 J1181" xr:uid="{00000000-0002-0000-2800-000006000000}">
      <formula1>"Region I – Ilocos Region,Region II – Cagayan Valley,Region III – Central Luzon,Region IV‑A – CALABARZON,MIMAROPA Region,Region V – Bicol Region,Region VI – Western Visayas,Region VII – Central Visayas,Region VIII – Eastern Visayas,Region IX – Zamboanga Pe"&amp;"ninsula,Region X – Northern Mindanao,Region XI – Davao Region,Region XII – SOCCSKSARGEN,Region XIII – Caraga,NCR – National Capital Region,CAR – Cordillera Administrative Region,BARMM – Bangsamoro Autonomous Region in Muslim Mindanao"</formula1>
    </dataValidation>
    <dataValidation type="list" allowBlank="1" sqref="S782:S903" xr:uid="{00000000-0002-0000-2800-000007000000}">
      <formula1>"Government,Private Individual,MSMEs,Inventor,Inventor Org,Academia"</formula1>
    </dataValidation>
    <dataValidation type="list" allowBlank="1" sqref="L782:L903 Q782:R903 C1006 C1038 C1045" xr:uid="{00000000-0002-0000-2800-000008000000}">
      <formula1>"Allocation,Termination,Guidelines"</formula1>
    </dataValidation>
    <dataValidation type="list" allowBlank="1" sqref="Q904:R991 L904:L1082" xr:uid="{00000000-0002-0000-2800-000009000000}">
      <formula1>"Agriculture,Promotion,Engineering,Food Processing/Packaging,Health,Environment,Arts and Crafts,Information Technology,Financial and Investment,Knowledge Management"</formula1>
    </dataValidation>
  </dataValidations>
  <hyperlinks>
    <hyperlink ref="R2" r:id="rId1" xr:uid="{00000000-0004-0000-2800-000000000000}"/>
    <hyperlink ref="R3" r:id="rId2" xr:uid="{00000000-0004-0000-2800-000001000000}"/>
    <hyperlink ref="R4" r:id="rId3" xr:uid="{00000000-0004-0000-2800-000002000000}"/>
    <hyperlink ref="R5" r:id="rId4" xr:uid="{00000000-0004-0000-2800-000003000000}"/>
    <hyperlink ref="Q6" r:id="rId5" xr:uid="{00000000-0004-0000-2800-000004000000}"/>
    <hyperlink ref="R6" r:id="rId6" xr:uid="{00000000-0004-0000-2800-000005000000}"/>
    <hyperlink ref="Q7" r:id="rId7" xr:uid="{00000000-0004-0000-2800-000006000000}"/>
    <hyperlink ref="R7" r:id="rId8" xr:uid="{00000000-0004-0000-2800-000007000000}"/>
    <hyperlink ref="R8" r:id="rId9" xr:uid="{00000000-0004-0000-2800-000008000000}"/>
    <hyperlink ref="Q9" r:id="rId10" xr:uid="{00000000-0004-0000-2800-000009000000}"/>
    <hyperlink ref="R9" r:id="rId11" xr:uid="{00000000-0004-0000-2800-00000A000000}"/>
    <hyperlink ref="R10" r:id="rId12" xr:uid="{00000000-0004-0000-2800-00000B000000}"/>
    <hyperlink ref="R11" r:id="rId13" xr:uid="{00000000-0004-0000-2800-00000C000000}"/>
    <hyperlink ref="Q12" r:id="rId14" xr:uid="{00000000-0004-0000-2800-00000D000000}"/>
    <hyperlink ref="R12" r:id="rId15" xr:uid="{00000000-0004-0000-2800-00000E000000}"/>
    <hyperlink ref="R13" r:id="rId16" xr:uid="{00000000-0004-0000-2800-00000F000000}"/>
    <hyperlink ref="R14" r:id="rId17" xr:uid="{00000000-0004-0000-2800-000010000000}"/>
    <hyperlink ref="R15" r:id="rId18" xr:uid="{00000000-0004-0000-2800-000011000000}"/>
    <hyperlink ref="R16" r:id="rId19" xr:uid="{00000000-0004-0000-2800-000012000000}"/>
    <hyperlink ref="Q17" r:id="rId20" xr:uid="{00000000-0004-0000-2800-000013000000}"/>
    <hyperlink ref="R17" r:id="rId21" xr:uid="{00000000-0004-0000-2800-000014000000}"/>
    <hyperlink ref="Q18" r:id="rId22" xr:uid="{00000000-0004-0000-2800-000015000000}"/>
    <hyperlink ref="R18" r:id="rId23" xr:uid="{00000000-0004-0000-2800-000016000000}"/>
    <hyperlink ref="Q19" r:id="rId24" xr:uid="{00000000-0004-0000-2800-000017000000}"/>
    <hyperlink ref="R19" r:id="rId25" xr:uid="{00000000-0004-0000-2800-000018000000}"/>
    <hyperlink ref="Q20" r:id="rId26" xr:uid="{00000000-0004-0000-2800-000019000000}"/>
    <hyperlink ref="R20" r:id="rId27" xr:uid="{00000000-0004-0000-2800-00001A000000}"/>
    <hyperlink ref="Q21" r:id="rId28" xr:uid="{00000000-0004-0000-2800-00001B000000}"/>
    <hyperlink ref="R21" r:id="rId29" xr:uid="{00000000-0004-0000-2800-00001C000000}"/>
    <hyperlink ref="Q22" r:id="rId30" xr:uid="{00000000-0004-0000-2800-00001D000000}"/>
    <hyperlink ref="R22" r:id="rId31" xr:uid="{00000000-0004-0000-2800-00001E000000}"/>
    <hyperlink ref="Q23" r:id="rId32" xr:uid="{00000000-0004-0000-2800-00001F000000}"/>
    <hyperlink ref="R23" r:id="rId33" xr:uid="{00000000-0004-0000-2800-000020000000}"/>
    <hyperlink ref="Q24" r:id="rId34" xr:uid="{00000000-0004-0000-2800-000021000000}"/>
    <hyperlink ref="R24" r:id="rId35" xr:uid="{00000000-0004-0000-2800-000022000000}"/>
    <hyperlink ref="R25" r:id="rId36" xr:uid="{00000000-0004-0000-2800-000023000000}"/>
    <hyperlink ref="Q26" r:id="rId37" xr:uid="{00000000-0004-0000-2800-000024000000}"/>
    <hyperlink ref="R26" r:id="rId38" xr:uid="{00000000-0004-0000-2800-000025000000}"/>
    <hyperlink ref="Q27" r:id="rId39" xr:uid="{00000000-0004-0000-2800-000026000000}"/>
    <hyperlink ref="R27" r:id="rId40" xr:uid="{00000000-0004-0000-2800-000027000000}"/>
    <hyperlink ref="Q28" r:id="rId41" xr:uid="{00000000-0004-0000-2800-000028000000}"/>
    <hyperlink ref="R28" r:id="rId42" xr:uid="{00000000-0004-0000-2800-000029000000}"/>
    <hyperlink ref="Q29" r:id="rId43" xr:uid="{00000000-0004-0000-2800-00002A000000}"/>
    <hyperlink ref="R29" r:id="rId44" xr:uid="{00000000-0004-0000-2800-00002B000000}"/>
    <hyperlink ref="Q30" r:id="rId45" xr:uid="{00000000-0004-0000-2800-00002C000000}"/>
    <hyperlink ref="R30" r:id="rId46" xr:uid="{00000000-0004-0000-2800-00002D000000}"/>
    <hyperlink ref="Q31" r:id="rId47" xr:uid="{00000000-0004-0000-2800-00002E000000}"/>
    <hyperlink ref="R31" r:id="rId48" xr:uid="{00000000-0004-0000-2800-00002F000000}"/>
    <hyperlink ref="R32" r:id="rId49" xr:uid="{00000000-0004-0000-2800-000030000000}"/>
    <hyperlink ref="R33" r:id="rId50" xr:uid="{00000000-0004-0000-2800-000031000000}"/>
    <hyperlink ref="Q34" r:id="rId51" xr:uid="{00000000-0004-0000-2800-000032000000}"/>
    <hyperlink ref="R34" r:id="rId52" xr:uid="{00000000-0004-0000-2800-000033000000}"/>
    <hyperlink ref="R35" r:id="rId53" xr:uid="{00000000-0004-0000-2800-000034000000}"/>
    <hyperlink ref="Q36" r:id="rId54" xr:uid="{00000000-0004-0000-2800-000035000000}"/>
    <hyperlink ref="R36" r:id="rId55" xr:uid="{00000000-0004-0000-2800-000036000000}"/>
    <hyperlink ref="R37" r:id="rId56" xr:uid="{00000000-0004-0000-2800-000037000000}"/>
    <hyperlink ref="R38" r:id="rId57" xr:uid="{00000000-0004-0000-2800-000038000000}"/>
    <hyperlink ref="Q39" r:id="rId58" xr:uid="{00000000-0004-0000-2800-000039000000}"/>
    <hyperlink ref="R39" r:id="rId59" xr:uid="{00000000-0004-0000-2800-00003A000000}"/>
    <hyperlink ref="Q40" r:id="rId60" xr:uid="{00000000-0004-0000-2800-00003B000000}"/>
    <hyperlink ref="R40" r:id="rId61" xr:uid="{00000000-0004-0000-2800-00003C000000}"/>
    <hyperlink ref="R41" r:id="rId62" xr:uid="{00000000-0004-0000-2800-00003D000000}"/>
    <hyperlink ref="R42" r:id="rId63" xr:uid="{00000000-0004-0000-2800-00003E000000}"/>
    <hyperlink ref="R43" r:id="rId64" xr:uid="{00000000-0004-0000-2800-00003F000000}"/>
    <hyperlink ref="R44" r:id="rId65" xr:uid="{00000000-0004-0000-2800-000040000000}"/>
    <hyperlink ref="Q45" r:id="rId66" xr:uid="{00000000-0004-0000-2800-000041000000}"/>
    <hyperlink ref="R45" r:id="rId67" xr:uid="{00000000-0004-0000-2800-000042000000}"/>
    <hyperlink ref="R46" r:id="rId68" xr:uid="{00000000-0004-0000-2800-000043000000}"/>
    <hyperlink ref="Q47" r:id="rId69" xr:uid="{00000000-0004-0000-2800-000044000000}"/>
    <hyperlink ref="R47" r:id="rId70" xr:uid="{00000000-0004-0000-2800-000045000000}"/>
    <hyperlink ref="R48" r:id="rId71" xr:uid="{00000000-0004-0000-2800-000046000000}"/>
    <hyperlink ref="R49" r:id="rId72" xr:uid="{00000000-0004-0000-2800-000047000000}"/>
    <hyperlink ref="R50" r:id="rId73" xr:uid="{00000000-0004-0000-2800-000048000000}"/>
    <hyperlink ref="R51" r:id="rId74" xr:uid="{00000000-0004-0000-2800-000049000000}"/>
    <hyperlink ref="R52" r:id="rId75" xr:uid="{00000000-0004-0000-2800-00004A000000}"/>
    <hyperlink ref="R53" r:id="rId76" xr:uid="{00000000-0004-0000-2800-00004B000000}"/>
    <hyperlink ref="R54" r:id="rId77" xr:uid="{00000000-0004-0000-2800-00004C000000}"/>
    <hyperlink ref="R55" r:id="rId78" xr:uid="{00000000-0004-0000-2800-00004D000000}"/>
    <hyperlink ref="R56" r:id="rId79" xr:uid="{00000000-0004-0000-2800-00004E000000}"/>
    <hyperlink ref="R57" r:id="rId80" xr:uid="{00000000-0004-0000-2800-00004F000000}"/>
    <hyperlink ref="R58" r:id="rId81" xr:uid="{00000000-0004-0000-2800-000050000000}"/>
    <hyperlink ref="R59" r:id="rId82" xr:uid="{00000000-0004-0000-2800-000051000000}"/>
    <hyperlink ref="R60" r:id="rId83" xr:uid="{00000000-0004-0000-2800-000052000000}"/>
    <hyperlink ref="R61" r:id="rId84" xr:uid="{00000000-0004-0000-2800-000053000000}"/>
    <hyperlink ref="R62" r:id="rId85" xr:uid="{00000000-0004-0000-2800-000054000000}"/>
    <hyperlink ref="R63" r:id="rId86" xr:uid="{00000000-0004-0000-2800-000055000000}"/>
    <hyperlink ref="R64" r:id="rId87" xr:uid="{00000000-0004-0000-2800-000056000000}"/>
    <hyperlink ref="R65" r:id="rId88" xr:uid="{00000000-0004-0000-2800-000057000000}"/>
    <hyperlink ref="R66" r:id="rId89" xr:uid="{00000000-0004-0000-2800-000058000000}"/>
    <hyperlink ref="R67" r:id="rId90" xr:uid="{00000000-0004-0000-2800-000059000000}"/>
    <hyperlink ref="R68" r:id="rId91" xr:uid="{00000000-0004-0000-2800-00005A000000}"/>
    <hyperlink ref="R69" r:id="rId92" xr:uid="{00000000-0004-0000-2800-00005B000000}"/>
    <hyperlink ref="R70" r:id="rId93" xr:uid="{00000000-0004-0000-2800-00005C000000}"/>
    <hyperlink ref="R71" r:id="rId94" xr:uid="{00000000-0004-0000-2800-00005D000000}"/>
    <hyperlink ref="R72" r:id="rId95" xr:uid="{00000000-0004-0000-2800-00005E000000}"/>
    <hyperlink ref="R73" r:id="rId96" xr:uid="{00000000-0004-0000-2800-00005F000000}"/>
    <hyperlink ref="R74" r:id="rId97" xr:uid="{00000000-0004-0000-2800-000060000000}"/>
    <hyperlink ref="R75" r:id="rId98" xr:uid="{00000000-0004-0000-2800-000061000000}"/>
    <hyperlink ref="R77" r:id="rId99" xr:uid="{00000000-0004-0000-2800-000062000000}"/>
    <hyperlink ref="R78" r:id="rId100" xr:uid="{00000000-0004-0000-2800-000063000000}"/>
    <hyperlink ref="R79" r:id="rId101" xr:uid="{00000000-0004-0000-2800-000064000000}"/>
    <hyperlink ref="R80" r:id="rId102" xr:uid="{00000000-0004-0000-2800-000065000000}"/>
    <hyperlink ref="R81" r:id="rId103" xr:uid="{00000000-0004-0000-2800-000066000000}"/>
    <hyperlink ref="R86" r:id="rId104" xr:uid="{00000000-0004-0000-2800-000067000000}"/>
    <hyperlink ref="R88" r:id="rId105" xr:uid="{00000000-0004-0000-2800-000068000000}"/>
    <hyperlink ref="R90" r:id="rId106" xr:uid="{00000000-0004-0000-2800-000069000000}"/>
    <hyperlink ref="R91" r:id="rId107" xr:uid="{00000000-0004-0000-2800-00006A000000}"/>
    <hyperlink ref="R92" r:id="rId108" xr:uid="{00000000-0004-0000-2800-00006B000000}"/>
    <hyperlink ref="R93" r:id="rId109" xr:uid="{00000000-0004-0000-2800-00006C000000}"/>
    <hyperlink ref="R94" r:id="rId110" xr:uid="{00000000-0004-0000-2800-00006D000000}"/>
    <hyperlink ref="R95" r:id="rId111" xr:uid="{00000000-0004-0000-2800-00006E000000}"/>
    <hyperlink ref="R96" r:id="rId112" xr:uid="{00000000-0004-0000-2800-00006F000000}"/>
    <hyperlink ref="R97" r:id="rId113" xr:uid="{00000000-0004-0000-2800-000070000000}"/>
    <hyperlink ref="R104" r:id="rId114" xr:uid="{00000000-0004-0000-2800-000071000000}"/>
    <hyperlink ref="R105" r:id="rId115" xr:uid="{00000000-0004-0000-2800-000072000000}"/>
    <hyperlink ref="Q106" r:id="rId116" xr:uid="{00000000-0004-0000-2800-000073000000}"/>
    <hyperlink ref="R106" r:id="rId117" xr:uid="{00000000-0004-0000-2800-000074000000}"/>
    <hyperlink ref="R107" r:id="rId118" xr:uid="{00000000-0004-0000-2800-000075000000}"/>
    <hyperlink ref="Q108" r:id="rId119" xr:uid="{00000000-0004-0000-2800-000076000000}"/>
    <hyperlink ref="Q109" r:id="rId120" xr:uid="{00000000-0004-0000-2800-000077000000}"/>
    <hyperlink ref="R109" r:id="rId121" xr:uid="{00000000-0004-0000-2800-000078000000}"/>
    <hyperlink ref="Q110" r:id="rId122" xr:uid="{00000000-0004-0000-2800-000079000000}"/>
    <hyperlink ref="R110" r:id="rId123" xr:uid="{00000000-0004-0000-2800-00007A000000}"/>
    <hyperlink ref="Q111" r:id="rId124" xr:uid="{00000000-0004-0000-2800-00007B000000}"/>
    <hyperlink ref="R111" r:id="rId125" xr:uid="{00000000-0004-0000-2800-00007C000000}"/>
    <hyperlink ref="Q112" r:id="rId126" xr:uid="{00000000-0004-0000-2800-00007D000000}"/>
    <hyperlink ref="R112" r:id="rId127" xr:uid="{00000000-0004-0000-2800-00007E000000}"/>
    <hyperlink ref="Q113" r:id="rId128" xr:uid="{00000000-0004-0000-2800-00007F000000}"/>
    <hyperlink ref="R113" r:id="rId129" xr:uid="{00000000-0004-0000-2800-000080000000}"/>
    <hyperlink ref="Q130" r:id="rId130" xr:uid="{00000000-0004-0000-2800-000081000000}"/>
    <hyperlink ref="Q131" r:id="rId131" xr:uid="{00000000-0004-0000-2800-000082000000}"/>
    <hyperlink ref="Q133" r:id="rId132" xr:uid="{00000000-0004-0000-2800-000083000000}"/>
    <hyperlink ref="Q134" r:id="rId133" xr:uid="{00000000-0004-0000-2800-000084000000}"/>
    <hyperlink ref="Q135" r:id="rId134" xr:uid="{00000000-0004-0000-2800-000085000000}"/>
    <hyperlink ref="Q136" r:id="rId135" xr:uid="{00000000-0004-0000-2800-000086000000}"/>
    <hyperlink ref="Q137" r:id="rId136" xr:uid="{00000000-0004-0000-2800-000087000000}"/>
    <hyperlink ref="Q138" r:id="rId137" xr:uid="{00000000-0004-0000-2800-000088000000}"/>
    <hyperlink ref="Q139" r:id="rId138" xr:uid="{00000000-0004-0000-2800-000089000000}"/>
    <hyperlink ref="Q140" r:id="rId139" xr:uid="{00000000-0004-0000-2800-00008A000000}"/>
    <hyperlink ref="Q142" r:id="rId140" xr:uid="{00000000-0004-0000-2800-00008B000000}"/>
    <hyperlink ref="Q143" r:id="rId141" xr:uid="{00000000-0004-0000-2800-00008C000000}"/>
    <hyperlink ref="Q144" r:id="rId142" xr:uid="{00000000-0004-0000-2800-00008D000000}"/>
    <hyperlink ref="Q145" r:id="rId143" xr:uid="{00000000-0004-0000-2800-00008E000000}"/>
    <hyperlink ref="Q146" r:id="rId144" xr:uid="{00000000-0004-0000-2800-00008F000000}"/>
    <hyperlink ref="Q147" r:id="rId145" xr:uid="{00000000-0004-0000-2800-000090000000}"/>
    <hyperlink ref="Q148" r:id="rId146" xr:uid="{00000000-0004-0000-2800-000091000000}"/>
    <hyperlink ref="Q149" r:id="rId147" xr:uid="{00000000-0004-0000-2800-000092000000}"/>
    <hyperlink ref="Q150" r:id="rId148" xr:uid="{00000000-0004-0000-2800-000093000000}"/>
    <hyperlink ref="Q151" r:id="rId149" xr:uid="{00000000-0004-0000-2800-000094000000}"/>
    <hyperlink ref="Q152" r:id="rId150" xr:uid="{00000000-0004-0000-2800-000095000000}"/>
    <hyperlink ref="Q153" r:id="rId151" xr:uid="{00000000-0004-0000-2800-000096000000}"/>
    <hyperlink ref="Q154" r:id="rId152" xr:uid="{00000000-0004-0000-2800-000097000000}"/>
    <hyperlink ref="Q155" r:id="rId153" xr:uid="{00000000-0004-0000-2800-000098000000}"/>
    <hyperlink ref="Q157" r:id="rId154" xr:uid="{00000000-0004-0000-2800-000099000000}"/>
    <hyperlink ref="Q158" r:id="rId155" xr:uid="{00000000-0004-0000-2800-00009A000000}"/>
    <hyperlink ref="Q159" r:id="rId156" xr:uid="{00000000-0004-0000-2800-00009B000000}"/>
    <hyperlink ref="Q160" r:id="rId157" xr:uid="{00000000-0004-0000-2800-00009C000000}"/>
    <hyperlink ref="Q161" r:id="rId158" xr:uid="{00000000-0004-0000-2800-00009D000000}"/>
    <hyperlink ref="Q163" r:id="rId159" xr:uid="{00000000-0004-0000-2800-00009E000000}"/>
    <hyperlink ref="Q164" r:id="rId160" xr:uid="{00000000-0004-0000-2800-00009F000000}"/>
    <hyperlink ref="Q165" r:id="rId161" xr:uid="{00000000-0004-0000-2800-0000A0000000}"/>
    <hyperlink ref="Q166" r:id="rId162" xr:uid="{00000000-0004-0000-2800-0000A1000000}"/>
    <hyperlink ref="Q167" r:id="rId163" xr:uid="{00000000-0004-0000-2800-0000A2000000}"/>
    <hyperlink ref="Q168" r:id="rId164" xr:uid="{00000000-0004-0000-2800-0000A3000000}"/>
    <hyperlink ref="Q169" r:id="rId165" xr:uid="{00000000-0004-0000-2800-0000A4000000}"/>
    <hyperlink ref="Q170" r:id="rId166" xr:uid="{00000000-0004-0000-2800-0000A5000000}"/>
    <hyperlink ref="Q172" r:id="rId167" xr:uid="{00000000-0004-0000-2800-0000A6000000}"/>
    <hyperlink ref="Q173" r:id="rId168" xr:uid="{00000000-0004-0000-2800-0000A7000000}"/>
    <hyperlink ref="Q174" r:id="rId169" xr:uid="{00000000-0004-0000-2800-0000A8000000}"/>
    <hyperlink ref="Q175" r:id="rId170" xr:uid="{00000000-0004-0000-2800-0000A9000000}"/>
    <hyperlink ref="Q176" r:id="rId171" xr:uid="{00000000-0004-0000-2800-0000AA000000}"/>
    <hyperlink ref="Q177" r:id="rId172" xr:uid="{00000000-0004-0000-2800-0000AB000000}"/>
    <hyperlink ref="Q178" r:id="rId173" xr:uid="{00000000-0004-0000-2800-0000AC000000}"/>
    <hyperlink ref="Q179" r:id="rId174" xr:uid="{00000000-0004-0000-2800-0000AD000000}"/>
    <hyperlink ref="Q180" r:id="rId175" xr:uid="{00000000-0004-0000-2800-0000AE000000}"/>
    <hyperlink ref="Q181" r:id="rId176" xr:uid="{00000000-0004-0000-2800-0000AF000000}"/>
    <hyperlink ref="Q182" r:id="rId177" xr:uid="{00000000-0004-0000-2800-0000B0000000}"/>
    <hyperlink ref="Q183" r:id="rId178" xr:uid="{00000000-0004-0000-2800-0000B1000000}"/>
    <hyperlink ref="Q184" r:id="rId179" xr:uid="{00000000-0004-0000-2800-0000B2000000}"/>
    <hyperlink ref="Q185" r:id="rId180" xr:uid="{00000000-0004-0000-2800-0000B3000000}"/>
    <hyperlink ref="Q186" r:id="rId181" xr:uid="{00000000-0004-0000-2800-0000B4000000}"/>
    <hyperlink ref="Q187" r:id="rId182" xr:uid="{00000000-0004-0000-2800-0000B5000000}"/>
    <hyperlink ref="Q188" r:id="rId183" xr:uid="{00000000-0004-0000-2800-0000B6000000}"/>
    <hyperlink ref="Q189" r:id="rId184" xr:uid="{00000000-0004-0000-2800-0000B7000000}"/>
    <hyperlink ref="Q190" r:id="rId185" xr:uid="{00000000-0004-0000-2800-0000B8000000}"/>
    <hyperlink ref="Q191" r:id="rId186" xr:uid="{00000000-0004-0000-2800-0000B9000000}"/>
    <hyperlink ref="Q192" r:id="rId187" xr:uid="{00000000-0004-0000-2800-0000BA000000}"/>
    <hyperlink ref="Q193" r:id="rId188" xr:uid="{00000000-0004-0000-2800-0000BB000000}"/>
    <hyperlink ref="Q194" r:id="rId189" xr:uid="{00000000-0004-0000-2800-0000BC000000}"/>
    <hyperlink ref="Q195" r:id="rId190" xr:uid="{00000000-0004-0000-2800-0000BD000000}"/>
    <hyperlink ref="Q196" r:id="rId191" xr:uid="{00000000-0004-0000-2800-0000BE000000}"/>
    <hyperlink ref="Q198" r:id="rId192" xr:uid="{00000000-0004-0000-2800-0000BF000000}"/>
    <hyperlink ref="Q199" r:id="rId193" xr:uid="{00000000-0004-0000-2800-0000C0000000}"/>
    <hyperlink ref="Q200" r:id="rId194" xr:uid="{00000000-0004-0000-2800-0000C1000000}"/>
    <hyperlink ref="Q201" r:id="rId195" xr:uid="{00000000-0004-0000-2800-0000C2000000}"/>
    <hyperlink ref="R351" r:id="rId196" xr:uid="{00000000-0004-0000-2800-0000C3000000}"/>
    <hyperlink ref="R352" r:id="rId197" xr:uid="{00000000-0004-0000-2800-0000C4000000}"/>
    <hyperlink ref="R353" r:id="rId198" xr:uid="{00000000-0004-0000-2800-0000C5000000}"/>
    <hyperlink ref="R354" r:id="rId199" xr:uid="{00000000-0004-0000-2800-0000C6000000}"/>
    <hyperlink ref="R355" r:id="rId200" xr:uid="{00000000-0004-0000-2800-0000C7000000}"/>
    <hyperlink ref="R356" r:id="rId201" xr:uid="{00000000-0004-0000-2800-0000C8000000}"/>
    <hyperlink ref="R357" r:id="rId202" xr:uid="{00000000-0004-0000-2800-0000C9000000}"/>
    <hyperlink ref="R358" r:id="rId203" xr:uid="{00000000-0004-0000-2800-0000CA000000}"/>
    <hyperlink ref="R359" r:id="rId204" xr:uid="{00000000-0004-0000-2800-0000CB000000}"/>
    <hyperlink ref="R360" r:id="rId205" xr:uid="{00000000-0004-0000-2800-0000CC000000}"/>
    <hyperlink ref="R361" r:id="rId206" xr:uid="{00000000-0004-0000-2800-0000CD000000}"/>
    <hyperlink ref="R362" r:id="rId207" xr:uid="{00000000-0004-0000-2800-0000CE000000}"/>
    <hyperlink ref="R363" r:id="rId208" xr:uid="{00000000-0004-0000-2800-0000CF000000}"/>
    <hyperlink ref="R364" r:id="rId209" xr:uid="{00000000-0004-0000-2800-0000D0000000}"/>
    <hyperlink ref="R365" r:id="rId210" xr:uid="{00000000-0004-0000-2800-0000D1000000}"/>
    <hyperlink ref="R366" r:id="rId211" xr:uid="{00000000-0004-0000-2800-0000D2000000}"/>
    <hyperlink ref="R367" r:id="rId212" xr:uid="{00000000-0004-0000-2800-0000D3000000}"/>
    <hyperlink ref="R368" r:id="rId213" xr:uid="{00000000-0004-0000-2800-0000D4000000}"/>
    <hyperlink ref="R369" r:id="rId214" xr:uid="{00000000-0004-0000-2800-0000D5000000}"/>
    <hyperlink ref="R370" r:id="rId215" xr:uid="{00000000-0004-0000-2800-0000D6000000}"/>
    <hyperlink ref="R371" r:id="rId216" xr:uid="{00000000-0004-0000-2800-0000D7000000}"/>
    <hyperlink ref="R372" r:id="rId217" xr:uid="{00000000-0004-0000-2800-0000D8000000}"/>
    <hyperlink ref="R373" r:id="rId218" xr:uid="{00000000-0004-0000-2800-0000D9000000}"/>
    <hyperlink ref="R374" r:id="rId219" xr:uid="{00000000-0004-0000-2800-0000DA000000}"/>
    <hyperlink ref="R375" r:id="rId220" xr:uid="{00000000-0004-0000-2800-0000DB000000}"/>
    <hyperlink ref="R376" r:id="rId221" xr:uid="{00000000-0004-0000-2800-0000DC000000}"/>
    <hyperlink ref="R377" r:id="rId222" xr:uid="{00000000-0004-0000-2800-0000DD000000}"/>
    <hyperlink ref="R378" r:id="rId223" xr:uid="{00000000-0004-0000-2800-0000DE000000}"/>
    <hyperlink ref="R379" r:id="rId224" xr:uid="{00000000-0004-0000-2800-0000DF000000}"/>
    <hyperlink ref="R380" r:id="rId225" xr:uid="{00000000-0004-0000-2800-0000E0000000}"/>
    <hyperlink ref="R381" r:id="rId226" xr:uid="{00000000-0004-0000-2800-0000E1000000}"/>
    <hyperlink ref="R382" r:id="rId227" xr:uid="{00000000-0004-0000-2800-0000E2000000}"/>
    <hyperlink ref="R383" r:id="rId228" xr:uid="{00000000-0004-0000-2800-0000E3000000}"/>
    <hyperlink ref="R384" r:id="rId229" xr:uid="{00000000-0004-0000-2800-0000E4000000}"/>
    <hyperlink ref="R385" r:id="rId230" xr:uid="{00000000-0004-0000-2800-0000E5000000}"/>
    <hyperlink ref="R386" r:id="rId231" xr:uid="{00000000-0004-0000-2800-0000E6000000}"/>
    <hyperlink ref="R387" r:id="rId232" xr:uid="{00000000-0004-0000-2800-0000E7000000}"/>
    <hyperlink ref="R388" r:id="rId233" xr:uid="{00000000-0004-0000-2800-0000E8000000}"/>
    <hyperlink ref="R389" r:id="rId234" xr:uid="{00000000-0004-0000-2800-0000E9000000}"/>
    <hyperlink ref="R390" r:id="rId235" xr:uid="{00000000-0004-0000-2800-0000EA000000}"/>
    <hyperlink ref="R391" r:id="rId236" xr:uid="{00000000-0004-0000-2800-0000EB000000}"/>
    <hyperlink ref="R392" r:id="rId237" xr:uid="{00000000-0004-0000-2800-0000EC000000}"/>
    <hyperlink ref="R393" r:id="rId238" xr:uid="{00000000-0004-0000-2800-0000ED000000}"/>
    <hyperlink ref="R394" r:id="rId239" xr:uid="{00000000-0004-0000-2800-0000EE000000}"/>
    <hyperlink ref="R395" r:id="rId240" xr:uid="{00000000-0004-0000-2800-0000EF000000}"/>
    <hyperlink ref="R396" r:id="rId241" xr:uid="{00000000-0004-0000-2800-0000F0000000}"/>
    <hyperlink ref="R397" r:id="rId242" xr:uid="{00000000-0004-0000-2800-0000F1000000}"/>
    <hyperlink ref="R398" r:id="rId243" xr:uid="{00000000-0004-0000-2800-0000F2000000}"/>
    <hyperlink ref="R399" r:id="rId244" xr:uid="{00000000-0004-0000-2800-0000F3000000}"/>
    <hyperlink ref="R400" r:id="rId245" xr:uid="{00000000-0004-0000-2800-0000F4000000}"/>
    <hyperlink ref="R401" r:id="rId246" xr:uid="{00000000-0004-0000-2800-0000F5000000}"/>
    <hyperlink ref="R402" r:id="rId247" xr:uid="{00000000-0004-0000-2800-0000F6000000}"/>
    <hyperlink ref="R464" r:id="rId248" xr:uid="{00000000-0004-0000-2800-0000F7000000}"/>
    <hyperlink ref="R465" r:id="rId249" xr:uid="{00000000-0004-0000-2800-0000F8000000}"/>
    <hyperlink ref="R1267" r:id="rId250" xr:uid="{00000000-0004-0000-2800-0000F9000000}"/>
    <hyperlink ref="R1271" r:id="rId251" xr:uid="{00000000-0004-0000-2800-0000FA000000}"/>
    <hyperlink ref="R1272" r:id="rId252" xr:uid="{00000000-0004-0000-2800-0000FB000000}"/>
    <hyperlink ref="R1273" r:id="rId253" xr:uid="{00000000-0004-0000-2800-0000FC000000}"/>
    <hyperlink ref="R1274" r:id="rId254" xr:uid="{00000000-0004-0000-2800-0000FD000000}"/>
    <hyperlink ref="R1275" r:id="rId255" xr:uid="{00000000-0004-0000-2800-0000FE000000}"/>
    <hyperlink ref="R1276" r:id="rId256" xr:uid="{00000000-0004-0000-2800-0000FF000000}"/>
    <hyperlink ref="R1277" r:id="rId257" xr:uid="{00000000-0004-0000-2800-000000010000}"/>
    <hyperlink ref="R1278" r:id="rId258" xr:uid="{00000000-0004-0000-2800-000001010000}"/>
    <hyperlink ref="R1279" r:id="rId259" xr:uid="{00000000-0004-0000-2800-000002010000}"/>
    <hyperlink ref="R1280" r:id="rId260" xr:uid="{00000000-0004-0000-2800-000003010000}"/>
    <hyperlink ref="R1281" r:id="rId261" xr:uid="{00000000-0004-0000-2800-000004010000}"/>
    <hyperlink ref="R1282" r:id="rId262" xr:uid="{00000000-0004-0000-2800-000005010000}"/>
    <hyperlink ref="R1283" r:id="rId263" xr:uid="{00000000-0004-0000-2800-00000601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pageSetUpPr fitToPage="1"/>
  </sheetPr>
  <dimension ref="A1:M1236"/>
  <sheetViews>
    <sheetView workbookViewId="0">
      <pane xSplit="5" topLeftCell="F1" activePane="topRight" state="frozen"/>
      <selection pane="topRight" activeCell="G2" sqref="G2"/>
    </sheetView>
  </sheetViews>
  <sheetFormatPr defaultColWidth="12.5703125" defaultRowHeight="15.75" customHeight="1"/>
  <cols>
    <col min="1" max="1" width="8.140625" customWidth="1"/>
    <col min="2" max="2" width="16.140625" customWidth="1"/>
    <col min="4" max="4" width="24" customWidth="1"/>
    <col min="6" max="6" width="22.140625" customWidth="1"/>
    <col min="7" max="7" width="57.5703125" customWidth="1"/>
    <col min="8" max="8" width="40.140625" customWidth="1"/>
    <col min="9" max="9" width="25.85546875" customWidth="1"/>
    <col min="10" max="10" width="27.85546875" customWidth="1"/>
    <col min="11" max="11" width="14.7109375" customWidth="1"/>
    <col min="12" max="12" width="33.7109375" customWidth="1"/>
    <col min="13" max="13" width="24" customWidth="1"/>
  </cols>
  <sheetData>
    <row r="1" spans="1:13">
      <c r="A1" s="107" t="s">
        <v>1</v>
      </c>
      <c r="B1" s="108" t="s">
        <v>2</v>
      </c>
      <c r="C1" s="108" t="s">
        <v>3</v>
      </c>
      <c r="D1" s="107" t="s">
        <v>4</v>
      </c>
      <c r="E1" s="108" t="s">
        <v>1818</v>
      </c>
      <c r="F1" s="108" t="s">
        <v>5</v>
      </c>
      <c r="G1" s="108" t="s">
        <v>6</v>
      </c>
      <c r="H1" s="108" t="s">
        <v>7</v>
      </c>
      <c r="I1" s="109" t="s">
        <v>1819</v>
      </c>
      <c r="J1" s="108" t="s">
        <v>1820</v>
      </c>
      <c r="K1" s="108" t="s">
        <v>1821</v>
      </c>
      <c r="L1" s="108" t="s">
        <v>1822</v>
      </c>
      <c r="M1" s="108" t="s">
        <v>4</v>
      </c>
    </row>
    <row r="2" spans="1:13">
      <c r="A2" s="22">
        <v>2022</v>
      </c>
      <c r="B2" s="61">
        <v>44682</v>
      </c>
      <c r="C2" s="6" t="s">
        <v>1823</v>
      </c>
      <c r="D2" s="6" t="s">
        <v>1782</v>
      </c>
      <c r="E2" s="9" t="s">
        <v>1824</v>
      </c>
      <c r="F2" s="111">
        <v>44588</v>
      </c>
      <c r="G2" s="22" t="s">
        <v>1825</v>
      </c>
      <c r="H2" s="6" t="s">
        <v>1826</v>
      </c>
      <c r="I2" s="110">
        <v>680240</v>
      </c>
      <c r="J2" s="6" t="s">
        <v>1827</v>
      </c>
      <c r="K2" s="9" t="s">
        <v>1828</v>
      </c>
      <c r="L2" s="22" t="s">
        <v>1829</v>
      </c>
      <c r="M2" s="9" t="s">
        <v>1830</v>
      </c>
    </row>
    <row r="3" spans="1:13">
      <c r="A3" s="22">
        <v>2022</v>
      </c>
      <c r="B3" s="61">
        <v>44713</v>
      </c>
      <c r="C3" s="112" t="s">
        <v>61</v>
      </c>
      <c r="D3" s="9" t="s">
        <v>1831</v>
      </c>
      <c r="E3" s="9" t="s">
        <v>1824</v>
      </c>
      <c r="F3" s="113">
        <v>44614</v>
      </c>
      <c r="G3" s="22" t="s">
        <v>1832</v>
      </c>
      <c r="H3" s="6" t="s">
        <v>1826</v>
      </c>
      <c r="I3" s="110">
        <v>210000</v>
      </c>
      <c r="J3" s="6" t="s">
        <v>1827</v>
      </c>
      <c r="K3" s="9" t="s">
        <v>1828</v>
      </c>
      <c r="L3" s="22" t="s">
        <v>1833</v>
      </c>
      <c r="M3" s="9" t="s">
        <v>1831</v>
      </c>
    </row>
    <row r="4" spans="1:13">
      <c r="A4" s="22">
        <v>2022</v>
      </c>
      <c r="B4" s="61">
        <v>44743</v>
      </c>
      <c r="C4" s="112" t="s">
        <v>61</v>
      </c>
      <c r="D4" s="9" t="s">
        <v>575</v>
      </c>
      <c r="E4" s="9" t="s">
        <v>1834</v>
      </c>
      <c r="F4" s="113">
        <v>44594</v>
      </c>
      <c r="G4" s="22" t="s">
        <v>1466</v>
      </c>
      <c r="H4" s="6" t="s">
        <v>1835</v>
      </c>
      <c r="I4" s="110">
        <v>310057.2</v>
      </c>
      <c r="J4" s="6" t="s">
        <v>1836</v>
      </c>
      <c r="K4" s="9" t="s">
        <v>1828</v>
      </c>
      <c r="L4" s="22" t="s">
        <v>1837</v>
      </c>
      <c r="M4" s="9" t="s">
        <v>575</v>
      </c>
    </row>
    <row r="5" spans="1:13">
      <c r="A5" s="22">
        <v>2022</v>
      </c>
      <c r="B5" s="61">
        <v>44774</v>
      </c>
      <c r="C5" s="112" t="s">
        <v>61</v>
      </c>
      <c r="D5" s="9" t="s">
        <v>1838</v>
      </c>
      <c r="E5" s="9" t="s">
        <v>1824</v>
      </c>
      <c r="F5" s="113">
        <v>44614</v>
      </c>
      <c r="G5" s="22" t="s">
        <v>1839</v>
      </c>
      <c r="H5" s="6" t="s">
        <v>1840</v>
      </c>
      <c r="I5" s="110">
        <v>25200</v>
      </c>
      <c r="J5" s="6" t="s">
        <v>1836</v>
      </c>
      <c r="K5" s="9" t="s">
        <v>1828</v>
      </c>
      <c r="L5" s="22" t="s">
        <v>1841</v>
      </c>
      <c r="M5" s="9" t="s">
        <v>1838</v>
      </c>
    </row>
    <row r="6" spans="1:13">
      <c r="A6" s="22">
        <v>2022</v>
      </c>
      <c r="B6" s="61">
        <v>44805</v>
      </c>
      <c r="C6" s="112" t="s">
        <v>1842</v>
      </c>
      <c r="D6" s="9" t="s">
        <v>575</v>
      </c>
      <c r="E6" s="9" t="s">
        <v>1843</v>
      </c>
      <c r="F6" s="113">
        <v>44602</v>
      </c>
      <c r="G6" s="22" t="s">
        <v>1844</v>
      </c>
      <c r="H6" s="6" t="s">
        <v>1845</v>
      </c>
      <c r="I6" s="110">
        <v>5300</v>
      </c>
      <c r="J6" s="6" t="s">
        <v>1846</v>
      </c>
      <c r="K6" s="9" t="s">
        <v>1847</v>
      </c>
      <c r="L6" s="22" t="s">
        <v>1848</v>
      </c>
      <c r="M6" s="9" t="s">
        <v>575</v>
      </c>
    </row>
    <row r="7" spans="1:13">
      <c r="A7" s="22">
        <v>2022</v>
      </c>
      <c r="B7" s="62">
        <v>44835</v>
      </c>
      <c r="C7" s="112" t="s">
        <v>61</v>
      </c>
      <c r="D7" s="9" t="s">
        <v>1849</v>
      </c>
      <c r="E7" s="9" t="s">
        <v>1824</v>
      </c>
      <c r="F7" s="113">
        <v>44608</v>
      </c>
      <c r="G7" s="22" t="s">
        <v>1850</v>
      </c>
      <c r="H7" s="6" t="s">
        <v>1851</v>
      </c>
      <c r="I7" s="110">
        <v>1831800</v>
      </c>
      <c r="J7" s="6" t="s">
        <v>1836</v>
      </c>
      <c r="K7" s="9" t="s">
        <v>1828</v>
      </c>
      <c r="L7" s="22" t="s">
        <v>1852</v>
      </c>
      <c r="M7" s="9" t="s">
        <v>1849</v>
      </c>
    </row>
    <row r="8" spans="1:13">
      <c r="A8" s="22">
        <v>2022</v>
      </c>
      <c r="B8" s="114">
        <v>44866</v>
      </c>
      <c r="C8" s="112" t="s">
        <v>61</v>
      </c>
      <c r="D8" s="115" t="s">
        <v>394</v>
      </c>
      <c r="E8" s="115" t="s">
        <v>1853</v>
      </c>
      <c r="F8" s="117">
        <v>44608</v>
      </c>
      <c r="G8" s="118" t="s">
        <v>571</v>
      </c>
      <c r="H8" s="112" t="s">
        <v>572</v>
      </c>
      <c r="I8" s="116">
        <v>19000</v>
      </c>
      <c r="J8" s="112" t="s">
        <v>1854</v>
      </c>
      <c r="K8" s="115" t="s">
        <v>1855</v>
      </c>
      <c r="L8" s="118" t="s">
        <v>1856</v>
      </c>
      <c r="M8" s="115" t="s">
        <v>394</v>
      </c>
    </row>
    <row r="9" spans="1:13">
      <c r="A9" s="22">
        <v>2022</v>
      </c>
      <c r="B9" s="62">
        <v>44896</v>
      </c>
      <c r="C9" s="112" t="s">
        <v>61</v>
      </c>
      <c r="D9" s="9" t="s">
        <v>573</v>
      </c>
      <c r="E9" s="9" t="s">
        <v>1824</v>
      </c>
      <c r="F9" s="113">
        <v>44622</v>
      </c>
      <c r="G9" s="22" t="s">
        <v>574</v>
      </c>
      <c r="H9" s="6" t="s">
        <v>575</v>
      </c>
      <c r="I9" s="110">
        <v>345000</v>
      </c>
      <c r="J9" s="6" t="s">
        <v>1827</v>
      </c>
      <c r="K9" s="9" t="s">
        <v>1828</v>
      </c>
      <c r="L9" s="22" t="s">
        <v>1857</v>
      </c>
      <c r="M9" s="9" t="s">
        <v>573</v>
      </c>
    </row>
    <row r="10" spans="1:13">
      <c r="A10" s="22">
        <v>2022</v>
      </c>
      <c r="B10" s="119" t="s">
        <v>1858</v>
      </c>
      <c r="C10" s="112" t="s">
        <v>61</v>
      </c>
      <c r="D10" s="115" t="s">
        <v>1383</v>
      </c>
      <c r="E10" s="115" t="s">
        <v>1859</v>
      </c>
      <c r="F10" s="117">
        <v>44573</v>
      </c>
      <c r="G10" s="118" t="s">
        <v>1459</v>
      </c>
      <c r="H10" s="112" t="s">
        <v>1460</v>
      </c>
      <c r="I10" s="120">
        <v>393300</v>
      </c>
      <c r="J10" s="112" t="s">
        <v>1827</v>
      </c>
      <c r="K10" s="115" t="s">
        <v>1847</v>
      </c>
      <c r="L10" s="118" t="s">
        <v>1860</v>
      </c>
      <c r="M10" s="115" t="s">
        <v>1458</v>
      </c>
    </row>
    <row r="11" spans="1:13">
      <c r="A11" s="22">
        <v>2022</v>
      </c>
      <c r="B11" s="119" t="s">
        <v>1861</v>
      </c>
      <c r="C11" s="112" t="s">
        <v>61</v>
      </c>
      <c r="D11" s="115" t="s">
        <v>1862</v>
      </c>
      <c r="E11" s="115" t="s">
        <v>1843</v>
      </c>
      <c r="F11" s="117">
        <v>44573</v>
      </c>
      <c r="G11" s="118" t="s">
        <v>1863</v>
      </c>
      <c r="H11" s="112" t="s">
        <v>1864</v>
      </c>
      <c r="I11" s="120">
        <v>190300</v>
      </c>
      <c r="J11" s="112" t="s">
        <v>1846</v>
      </c>
      <c r="K11" s="115" t="s">
        <v>1847</v>
      </c>
      <c r="L11" s="118" t="s">
        <v>1865</v>
      </c>
      <c r="M11" s="115" t="s">
        <v>1862</v>
      </c>
    </row>
    <row r="12" spans="1:13">
      <c r="A12" s="22">
        <v>2022</v>
      </c>
      <c r="B12" s="119" t="s">
        <v>1866</v>
      </c>
      <c r="C12" s="112" t="s">
        <v>1867</v>
      </c>
      <c r="D12" s="115" t="s">
        <v>1862</v>
      </c>
      <c r="E12" s="115" t="s">
        <v>1834</v>
      </c>
      <c r="F12" s="117">
        <v>44588</v>
      </c>
      <c r="G12" s="118" t="s">
        <v>1868</v>
      </c>
      <c r="H12" s="112" t="s">
        <v>575</v>
      </c>
      <c r="I12" s="120"/>
      <c r="J12" s="112" t="s">
        <v>1849</v>
      </c>
      <c r="K12" s="115" t="s">
        <v>1828</v>
      </c>
      <c r="L12" s="118" t="s">
        <v>1869</v>
      </c>
      <c r="M12" s="115" t="s">
        <v>1862</v>
      </c>
    </row>
    <row r="13" spans="1:13">
      <c r="A13" s="22">
        <v>2022</v>
      </c>
      <c r="B13" s="119" t="s">
        <v>1870</v>
      </c>
      <c r="C13" s="112" t="s">
        <v>61</v>
      </c>
      <c r="D13" s="115" t="s">
        <v>1862</v>
      </c>
      <c r="E13" s="115" t="s">
        <v>1843</v>
      </c>
      <c r="F13" s="117">
        <v>44588</v>
      </c>
      <c r="G13" s="118" t="s">
        <v>1871</v>
      </c>
      <c r="H13" s="112" t="s">
        <v>1872</v>
      </c>
      <c r="I13" s="120">
        <v>544434</v>
      </c>
      <c r="J13" s="112" t="s">
        <v>1872</v>
      </c>
      <c r="K13" s="115" t="s">
        <v>1847</v>
      </c>
      <c r="L13" s="118" t="s">
        <v>1873</v>
      </c>
      <c r="M13" s="115" t="s">
        <v>1862</v>
      </c>
    </row>
    <row r="14" spans="1:13">
      <c r="A14" s="22">
        <v>2022</v>
      </c>
      <c r="B14" s="6" t="s">
        <v>576</v>
      </c>
      <c r="C14" s="112" t="s">
        <v>61</v>
      </c>
      <c r="D14" s="6" t="s">
        <v>125</v>
      </c>
      <c r="E14" s="6" t="s">
        <v>1874</v>
      </c>
      <c r="F14" s="7">
        <v>44881</v>
      </c>
      <c r="G14" s="22" t="s">
        <v>577</v>
      </c>
      <c r="H14" s="6" t="s">
        <v>578</v>
      </c>
      <c r="I14" s="121">
        <v>2353196</v>
      </c>
      <c r="J14" s="6" t="s">
        <v>1875</v>
      </c>
      <c r="K14" s="6" t="s">
        <v>1828</v>
      </c>
      <c r="L14" s="22" t="s">
        <v>1876</v>
      </c>
      <c r="M14" s="6" t="s">
        <v>125</v>
      </c>
    </row>
    <row r="15" spans="1:13">
      <c r="A15" s="22">
        <v>2022</v>
      </c>
      <c r="B15" s="20" t="s">
        <v>685</v>
      </c>
      <c r="C15" s="112" t="s">
        <v>61</v>
      </c>
      <c r="D15" s="17" t="s">
        <v>1877</v>
      </c>
      <c r="E15" s="115" t="s">
        <v>1853</v>
      </c>
      <c r="F15" s="123">
        <v>44896</v>
      </c>
      <c r="G15" s="24" t="s">
        <v>686</v>
      </c>
      <c r="H15" s="115" t="s">
        <v>520</v>
      </c>
      <c r="I15" s="122">
        <v>199890</v>
      </c>
      <c r="J15" s="112" t="s">
        <v>1878</v>
      </c>
      <c r="K15" s="112" t="s">
        <v>1879</v>
      </c>
      <c r="L15" s="124" t="s">
        <v>1880</v>
      </c>
      <c r="M15" s="17" t="s">
        <v>1877</v>
      </c>
    </row>
    <row r="16" spans="1:13">
      <c r="A16" s="22">
        <v>2022</v>
      </c>
      <c r="B16" s="6" t="s">
        <v>687</v>
      </c>
      <c r="C16" s="112" t="s">
        <v>61</v>
      </c>
      <c r="D16" s="6" t="s">
        <v>652</v>
      </c>
      <c r="E16" s="6" t="s">
        <v>1874</v>
      </c>
      <c r="F16" s="125">
        <v>44896</v>
      </c>
      <c r="G16" s="126" t="s">
        <v>688</v>
      </c>
      <c r="H16" s="6" t="s">
        <v>689</v>
      </c>
      <c r="I16" s="64">
        <v>18425</v>
      </c>
      <c r="J16" s="6" t="s">
        <v>1881</v>
      </c>
      <c r="K16" s="112" t="s">
        <v>1879</v>
      </c>
      <c r="L16" s="22" t="s">
        <v>1882</v>
      </c>
      <c r="M16" s="6" t="s">
        <v>652</v>
      </c>
    </row>
    <row r="17" spans="1:13">
      <c r="A17" s="22">
        <v>2022</v>
      </c>
      <c r="B17" s="127" t="s">
        <v>585</v>
      </c>
      <c r="C17" s="112" t="s">
        <v>1883</v>
      </c>
      <c r="D17" s="6" t="s">
        <v>586</v>
      </c>
      <c r="E17" s="6" t="s">
        <v>1874</v>
      </c>
      <c r="F17" s="7">
        <v>44907</v>
      </c>
      <c r="G17" s="22" t="s">
        <v>1884</v>
      </c>
      <c r="H17" s="6"/>
      <c r="I17" s="121"/>
      <c r="J17" s="6"/>
      <c r="K17" s="6"/>
      <c r="L17" s="22"/>
      <c r="M17" s="6" t="s">
        <v>586</v>
      </c>
    </row>
    <row r="18" spans="1:13">
      <c r="A18" s="22">
        <v>2022</v>
      </c>
      <c r="B18" s="112" t="s">
        <v>585</v>
      </c>
      <c r="C18" s="112" t="s">
        <v>61</v>
      </c>
      <c r="D18" s="6" t="s">
        <v>586</v>
      </c>
      <c r="E18" s="6" t="s">
        <v>1874</v>
      </c>
      <c r="F18" s="7">
        <v>44886</v>
      </c>
      <c r="G18" s="22" t="s">
        <v>587</v>
      </c>
      <c r="H18" s="6" t="s">
        <v>588</v>
      </c>
      <c r="I18" s="121">
        <v>17575</v>
      </c>
      <c r="J18" s="6" t="s">
        <v>1885</v>
      </c>
      <c r="K18" s="6" t="s">
        <v>1886</v>
      </c>
      <c r="L18" s="22" t="s">
        <v>1887</v>
      </c>
      <c r="M18" s="6" t="s">
        <v>586</v>
      </c>
    </row>
    <row r="19" spans="1:13">
      <c r="A19" s="22">
        <v>2022</v>
      </c>
      <c r="B19" s="6" t="s">
        <v>589</v>
      </c>
      <c r="C19" s="112" t="s">
        <v>61</v>
      </c>
      <c r="D19" s="6" t="s">
        <v>125</v>
      </c>
      <c r="E19" s="6" t="s">
        <v>1874</v>
      </c>
      <c r="F19" s="7">
        <v>44909</v>
      </c>
      <c r="G19" s="22" t="s">
        <v>590</v>
      </c>
      <c r="H19" s="6" t="s">
        <v>1888</v>
      </c>
      <c r="I19" s="121">
        <v>2995096</v>
      </c>
      <c r="J19" s="6" t="s">
        <v>1889</v>
      </c>
      <c r="K19" s="6" t="s">
        <v>1828</v>
      </c>
      <c r="L19" s="22" t="s">
        <v>1890</v>
      </c>
      <c r="M19" s="6" t="s">
        <v>125</v>
      </c>
    </row>
    <row r="20" spans="1:13">
      <c r="A20" s="22">
        <v>2022</v>
      </c>
      <c r="B20" s="112" t="s">
        <v>592</v>
      </c>
      <c r="C20" s="112" t="s">
        <v>61</v>
      </c>
      <c r="D20" s="6" t="s">
        <v>125</v>
      </c>
      <c r="E20" s="6" t="s">
        <v>1874</v>
      </c>
      <c r="F20" s="7">
        <v>44909</v>
      </c>
      <c r="G20" s="22" t="s">
        <v>1891</v>
      </c>
      <c r="H20" s="6" t="s">
        <v>594</v>
      </c>
      <c r="I20" s="121">
        <v>2692520</v>
      </c>
      <c r="J20" s="6" t="s">
        <v>1892</v>
      </c>
      <c r="K20" s="6" t="s">
        <v>1828</v>
      </c>
      <c r="L20" s="22" t="s">
        <v>1893</v>
      </c>
      <c r="M20" s="6" t="s">
        <v>125</v>
      </c>
    </row>
    <row r="21" spans="1:13">
      <c r="A21" s="22">
        <v>2022</v>
      </c>
      <c r="B21" s="127" t="s">
        <v>595</v>
      </c>
      <c r="C21" s="112" t="s">
        <v>61</v>
      </c>
      <c r="D21" s="6" t="s">
        <v>125</v>
      </c>
      <c r="E21" s="6" t="s">
        <v>1874</v>
      </c>
      <c r="F21" s="6" t="s">
        <v>1894</v>
      </c>
      <c r="G21" s="22" t="s">
        <v>596</v>
      </c>
      <c r="H21" s="6" t="s">
        <v>597</v>
      </c>
      <c r="I21" s="121">
        <v>1450894</v>
      </c>
      <c r="J21" s="6" t="s">
        <v>1895</v>
      </c>
      <c r="K21" s="6" t="s">
        <v>1896</v>
      </c>
      <c r="L21" s="22" t="s">
        <v>1897</v>
      </c>
      <c r="M21" s="6" t="s">
        <v>125</v>
      </c>
    </row>
    <row r="22" spans="1:13">
      <c r="A22" s="22">
        <v>2022</v>
      </c>
      <c r="B22" s="127" t="s">
        <v>598</v>
      </c>
      <c r="C22" s="112" t="s">
        <v>61</v>
      </c>
      <c r="D22" s="6" t="s">
        <v>125</v>
      </c>
      <c r="E22" s="6" t="s">
        <v>1874</v>
      </c>
      <c r="F22" s="6" t="s">
        <v>1894</v>
      </c>
      <c r="G22" s="22" t="s">
        <v>599</v>
      </c>
      <c r="H22" s="6" t="s">
        <v>600</v>
      </c>
      <c r="I22" s="121">
        <v>1780736</v>
      </c>
      <c r="J22" s="6" t="s">
        <v>1898</v>
      </c>
      <c r="K22" s="6" t="s">
        <v>1899</v>
      </c>
      <c r="L22" s="22" t="s">
        <v>1900</v>
      </c>
      <c r="M22" s="6" t="s">
        <v>125</v>
      </c>
    </row>
    <row r="23" spans="1:13">
      <c r="A23" s="22">
        <v>2022</v>
      </c>
      <c r="B23" s="6" t="s">
        <v>601</v>
      </c>
      <c r="C23" s="112" t="s">
        <v>61</v>
      </c>
      <c r="D23" s="6" t="s">
        <v>125</v>
      </c>
      <c r="E23" s="6" t="s">
        <v>1874</v>
      </c>
      <c r="F23" s="6" t="s">
        <v>1901</v>
      </c>
      <c r="G23" s="22" t="s">
        <v>602</v>
      </c>
      <c r="H23" s="6" t="s">
        <v>591</v>
      </c>
      <c r="I23" s="121">
        <v>2802604</v>
      </c>
      <c r="J23" s="6" t="s">
        <v>1902</v>
      </c>
      <c r="K23" s="6" t="s">
        <v>1828</v>
      </c>
      <c r="L23" s="22" t="s">
        <v>1903</v>
      </c>
      <c r="M23" s="6" t="s">
        <v>125</v>
      </c>
    </row>
    <row r="24" spans="1:13">
      <c r="A24" s="22">
        <v>2022</v>
      </c>
      <c r="B24" s="6" t="s">
        <v>75</v>
      </c>
      <c r="C24" s="112" t="s">
        <v>61</v>
      </c>
      <c r="D24" s="6" t="s">
        <v>76</v>
      </c>
      <c r="E24" s="6" t="s">
        <v>1904</v>
      </c>
      <c r="F24" s="6" t="s">
        <v>77</v>
      </c>
      <c r="G24" s="22" t="s">
        <v>78</v>
      </c>
      <c r="H24" s="6" t="s">
        <v>79</v>
      </c>
      <c r="I24" s="121">
        <v>1083679</v>
      </c>
      <c r="J24" s="6" t="s">
        <v>1905</v>
      </c>
      <c r="K24" s="6" t="s">
        <v>1886</v>
      </c>
      <c r="L24" s="22" t="s">
        <v>1906</v>
      </c>
      <c r="M24" s="6" t="s">
        <v>76</v>
      </c>
    </row>
    <row r="25" spans="1:13">
      <c r="A25" s="22">
        <v>2022</v>
      </c>
      <c r="B25" s="112" t="s">
        <v>75</v>
      </c>
      <c r="C25" s="6"/>
      <c r="D25" s="6"/>
      <c r="E25" s="6"/>
      <c r="F25" s="7">
        <v>44924</v>
      </c>
      <c r="G25" s="22"/>
      <c r="H25" s="6"/>
      <c r="I25" s="121"/>
      <c r="J25" s="6"/>
      <c r="K25" s="6"/>
      <c r="L25" s="22"/>
      <c r="M25" s="6"/>
    </row>
    <row r="26" spans="1:13">
      <c r="A26" s="22">
        <v>2022</v>
      </c>
      <c r="B26" s="6" t="s">
        <v>604</v>
      </c>
      <c r="C26" s="112" t="s">
        <v>61</v>
      </c>
      <c r="D26" s="9" t="s">
        <v>573</v>
      </c>
      <c r="E26" s="9" t="s">
        <v>1824</v>
      </c>
      <c r="F26" s="113">
        <v>44622</v>
      </c>
      <c r="G26" s="22" t="s">
        <v>1907</v>
      </c>
      <c r="H26" s="6" t="s">
        <v>575</v>
      </c>
      <c r="I26" s="110">
        <v>1201148.8799999999</v>
      </c>
      <c r="J26" s="6" t="s">
        <v>1827</v>
      </c>
      <c r="K26" s="9" t="s">
        <v>1828</v>
      </c>
      <c r="L26" s="22" t="s">
        <v>1908</v>
      </c>
      <c r="M26" s="9" t="s">
        <v>573</v>
      </c>
    </row>
    <row r="27" spans="1:13">
      <c r="A27" s="22">
        <v>2022</v>
      </c>
      <c r="B27" s="6" t="s">
        <v>1909</v>
      </c>
      <c r="C27" s="112" t="s">
        <v>61</v>
      </c>
      <c r="D27" s="9" t="s">
        <v>575</v>
      </c>
      <c r="E27" s="9" t="s">
        <v>1824</v>
      </c>
      <c r="F27" s="113">
        <v>44622</v>
      </c>
      <c r="G27" s="22" t="s">
        <v>1910</v>
      </c>
      <c r="H27" s="6" t="s">
        <v>575</v>
      </c>
      <c r="I27" s="110">
        <v>389200</v>
      </c>
      <c r="J27" s="6" t="s">
        <v>1827</v>
      </c>
      <c r="K27" s="9" t="s">
        <v>1828</v>
      </c>
      <c r="L27" s="22" t="s">
        <v>1911</v>
      </c>
      <c r="M27" s="9" t="s">
        <v>575</v>
      </c>
    </row>
    <row r="28" spans="1:13">
      <c r="A28" s="22">
        <v>2022</v>
      </c>
      <c r="B28" s="6" t="s">
        <v>1912</v>
      </c>
      <c r="C28" s="112" t="s">
        <v>61</v>
      </c>
      <c r="D28" s="9" t="s">
        <v>575</v>
      </c>
      <c r="E28" s="9" t="s">
        <v>1824</v>
      </c>
      <c r="F28" s="113">
        <v>44622</v>
      </c>
      <c r="G28" s="22" t="s">
        <v>1913</v>
      </c>
      <c r="H28" s="6" t="s">
        <v>575</v>
      </c>
      <c r="I28" s="110">
        <v>1381550</v>
      </c>
      <c r="J28" s="6" t="s">
        <v>1827</v>
      </c>
      <c r="K28" s="9" t="s">
        <v>1828</v>
      </c>
      <c r="L28" s="22" t="s">
        <v>1914</v>
      </c>
      <c r="M28" s="9" t="s">
        <v>575</v>
      </c>
    </row>
    <row r="29" spans="1:13">
      <c r="A29" s="22">
        <v>2022</v>
      </c>
      <c r="B29" s="112" t="s">
        <v>579</v>
      </c>
      <c r="C29" s="112" t="s">
        <v>61</v>
      </c>
      <c r="D29" s="128" t="s">
        <v>394</v>
      </c>
      <c r="E29" s="115" t="s">
        <v>1853</v>
      </c>
      <c r="F29" s="117">
        <v>44629</v>
      </c>
      <c r="G29" s="118" t="s">
        <v>580</v>
      </c>
      <c r="H29" s="112" t="s">
        <v>581</v>
      </c>
      <c r="I29" s="129">
        <v>20000</v>
      </c>
      <c r="J29" s="112" t="s">
        <v>1915</v>
      </c>
      <c r="K29" s="115" t="s">
        <v>1916</v>
      </c>
      <c r="L29" s="118" t="s">
        <v>1917</v>
      </c>
      <c r="M29" s="128" t="s">
        <v>394</v>
      </c>
    </row>
    <row r="30" spans="1:13">
      <c r="A30" s="22">
        <v>2022</v>
      </c>
      <c r="B30" s="112" t="s">
        <v>582</v>
      </c>
      <c r="C30" s="112" t="s">
        <v>61</v>
      </c>
      <c r="D30" s="115" t="s">
        <v>68</v>
      </c>
      <c r="E30" s="6" t="s">
        <v>1874</v>
      </c>
      <c r="F30" s="117">
        <v>44629</v>
      </c>
      <c r="G30" s="118" t="s">
        <v>583</v>
      </c>
      <c r="H30" s="112" t="s">
        <v>584</v>
      </c>
      <c r="I30" s="130">
        <v>300700</v>
      </c>
      <c r="J30" s="112" t="s">
        <v>1918</v>
      </c>
      <c r="K30" s="115" t="s">
        <v>1919</v>
      </c>
      <c r="L30" s="118" t="s">
        <v>1920</v>
      </c>
      <c r="M30" s="115" t="s">
        <v>68</v>
      </c>
    </row>
    <row r="31" spans="1:13">
      <c r="A31" s="22">
        <v>2022</v>
      </c>
      <c r="B31" s="6" t="s">
        <v>1921</v>
      </c>
      <c r="C31" s="112" t="s">
        <v>61</v>
      </c>
      <c r="D31" s="9" t="s">
        <v>1838</v>
      </c>
      <c r="E31" s="9" t="s">
        <v>1824</v>
      </c>
      <c r="F31" s="7">
        <v>44636</v>
      </c>
      <c r="G31" s="22" t="s">
        <v>1922</v>
      </c>
      <c r="H31" s="6" t="s">
        <v>1840</v>
      </c>
      <c r="I31" s="110">
        <v>121200</v>
      </c>
      <c r="J31" s="6" t="s">
        <v>1923</v>
      </c>
      <c r="K31" s="9" t="s">
        <v>1828</v>
      </c>
      <c r="L31" s="22" t="s">
        <v>1924</v>
      </c>
      <c r="M31" s="9" t="s">
        <v>1838</v>
      </c>
    </row>
    <row r="32" spans="1:13">
      <c r="A32" s="22">
        <v>2022</v>
      </c>
      <c r="B32" s="6" t="s">
        <v>1925</v>
      </c>
      <c r="C32" s="6"/>
      <c r="D32" s="9" t="s">
        <v>1417</v>
      </c>
      <c r="E32" s="9"/>
      <c r="F32" s="113">
        <v>44643</v>
      </c>
      <c r="G32" s="22" t="s">
        <v>1927</v>
      </c>
      <c r="H32" s="6" t="s">
        <v>1928</v>
      </c>
      <c r="I32" s="110"/>
      <c r="J32" s="6"/>
      <c r="K32" s="9"/>
      <c r="L32" s="22" t="s">
        <v>1929</v>
      </c>
      <c r="M32" s="9" t="s">
        <v>1417</v>
      </c>
    </row>
    <row r="33" spans="1:13">
      <c r="A33" s="22">
        <v>2022</v>
      </c>
      <c r="B33" s="6" t="s">
        <v>1930</v>
      </c>
      <c r="C33" s="112" t="s">
        <v>61</v>
      </c>
      <c r="D33" s="115" t="s">
        <v>1383</v>
      </c>
      <c r="E33" s="115" t="s">
        <v>1859</v>
      </c>
      <c r="F33" s="113">
        <v>44650</v>
      </c>
      <c r="G33" s="22" t="s">
        <v>1931</v>
      </c>
      <c r="H33" s="6" t="s">
        <v>575</v>
      </c>
      <c r="I33" s="110">
        <v>749991.24</v>
      </c>
      <c r="J33" s="6" t="s">
        <v>1932</v>
      </c>
      <c r="K33" s="9" t="s">
        <v>1828</v>
      </c>
      <c r="L33" s="22" t="s">
        <v>1933</v>
      </c>
      <c r="M33" s="9" t="s">
        <v>1934</v>
      </c>
    </row>
    <row r="34" spans="1:13">
      <c r="A34" s="22">
        <v>2022</v>
      </c>
      <c r="B34" s="6" t="s">
        <v>1935</v>
      </c>
      <c r="C34" s="112" t="s">
        <v>61</v>
      </c>
      <c r="D34" s="115" t="s">
        <v>1383</v>
      </c>
      <c r="E34" s="115" t="s">
        <v>1859</v>
      </c>
      <c r="F34" s="113">
        <v>44657</v>
      </c>
      <c r="G34" s="22" t="s">
        <v>1936</v>
      </c>
      <c r="H34" s="6" t="s">
        <v>1937</v>
      </c>
      <c r="I34" s="110">
        <v>1302000</v>
      </c>
      <c r="J34" s="6" t="s">
        <v>1938</v>
      </c>
      <c r="K34" s="9" t="s">
        <v>1828</v>
      </c>
      <c r="L34" s="22" t="s">
        <v>1939</v>
      </c>
      <c r="M34" s="9" t="s">
        <v>1940</v>
      </c>
    </row>
    <row r="35" spans="1:13">
      <c r="A35" s="22">
        <v>2022</v>
      </c>
      <c r="B35" s="6" t="s">
        <v>1461</v>
      </c>
      <c r="C35" s="112" t="s">
        <v>61</v>
      </c>
      <c r="D35" s="9" t="s">
        <v>1462</v>
      </c>
      <c r="E35" s="9"/>
      <c r="F35" s="113">
        <v>44664</v>
      </c>
      <c r="G35" s="22" t="s">
        <v>1463</v>
      </c>
      <c r="H35" s="6" t="s">
        <v>1851</v>
      </c>
      <c r="I35" s="110">
        <v>1203000</v>
      </c>
      <c r="J35" s="6" t="s">
        <v>1941</v>
      </c>
      <c r="K35" s="9" t="s">
        <v>1828</v>
      </c>
      <c r="L35" s="22" t="s">
        <v>1942</v>
      </c>
      <c r="M35" s="9" t="s">
        <v>1462</v>
      </c>
    </row>
    <row r="36" spans="1:13">
      <c r="A36" s="22">
        <v>2022</v>
      </c>
      <c r="B36" s="112" t="s">
        <v>606</v>
      </c>
      <c r="C36" s="112" t="s">
        <v>61</v>
      </c>
      <c r="D36" s="115" t="s">
        <v>394</v>
      </c>
      <c r="E36" s="115" t="s">
        <v>1853</v>
      </c>
      <c r="F36" s="117">
        <v>44633</v>
      </c>
      <c r="G36" s="118" t="s">
        <v>1943</v>
      </c>
      <c r="H36" s="112" t="s">
        <v>608</v>
      </c>
      <c r="I36" s="129">
        <v>38400</v>
      </c>
      <c r="J36" s="112" t="s">
        <v>1849</v>
      </c>
      <c r="K36" s="115" t="s">
        <v>1828</v>
      </c>
      <c r="L36" s="22" t="s">
        <v>1944</v>
      </c>
      <c r="M36" s="115" t="s">
        <v>394</v>
      </c>
    </row>
    <row r="37" spans="1:13">
      <c r="A37" s="22">
        <v>2022</v>
      </c>
      <c r="B37" s="6" t="s">
        <v>1945</v>
      </c>
      <c r="C37" s="112" t="s">
        <v>1946</v>
      </c>
      <c r="D37" s="115" t="s">
        <v>1383</v>
      </c>
      <c r="E37" s="9" t="s">
        <v>575</v>
      </c>
      <c r="F37" s="113">
        <v>44671</v>
      </c>
      <c r="G37" s="22" t="s">
        <v>1947</v>
      </c>
      <c r="H37" s="6" t="s">
        <v>575</v>
      </c>
      <c r="I37" s="110">
        <v>2400000</v>
      </c>
      <c r="J37" s="6"/>
      <c r="K37" s="9" t="s">
        <v>1828</v>
      </c>
      <c r="L37" s="118" t="s">
        <v>1948</v>
      </c>
      <c r="M37" s="9" t="s">
        <v>1383</v>
      </c>
    </row>
    <row r="38" spans="1:13">
      <c r="A38" s="22">
        <v>2022</v>
      </c>
      <c r="B38" s="6" t="s">
        <v>1945</v>
      </c>
      <c r="C38" s="112" t="s">
        <v>1946</v>
      </c>
      <c r="D38" s="115" t="s">
        <v>1383</v>
      </c>
      <c r="E38" s="9" t="s">
        <v>575</v>
      </c>
      <c r="F38" s="113">
        <v>44671</v>
      </c>
      <c r="G38" s="22" t="s">
        <v>1949</v>
      </c>
      <c r="H38" s="6" t="s">
        <v>575</v>
      </c>
      <c r="I38" s="110">
        <v>24000</v>
      </c>
      <c r="J38" s="6" t="s">
        <v>1938</v>
      </c>
      <c r="K38" s="9" t="s">
        <v>1828</v>
      </c>
      <c r="L38" s="118" t="s">
        <v>1950</v>
      </c>
      <c r="M38" s="9" t="s">
        <v>1471</v>
      </c>
    </row>
    <row r="39" spans="1:13">
      <c r="A39" s="22">
        <v>2022</v>
      </c>
      <c r="B39" s="6" t="s">
        <v>1951</v>
      </c>
      <c r="C39" s="112" t="s">
        <v>61</v>
      </c>
      <c r="D39" s="9" t="s">
        <v>575</v>
      </c>
      <c r="E39" s="9" t="s">
        <v>575</v>
      </c>
      <c r="F39" s="113">
        <v>44678</v>
      </c>
      <c r="G39" s="22" t="s">
        <v>1952</v>
      </c>
      <c r="H39" s="6" t="s">
        <v>575</v>
      </c>
      <c r="I39" s="110">
        <v>69200</v>
      </c>
      <c r="J39" s="6" t="s">
        <v>1938</v>
      </c>
      <c r="K39" s="9" t="s">
        <v>1828</v>
      </c>
      <c r="L39" s="22" t="s">
        <v>1953</v>
      </c>
      <c r="M39" s="9" t="s">
        <v>575</v>
      </c>
    </row>
    <row r="40" spans="1:13">
      <c r="A40" s="22">
        <v>2022</v>
      </c>
      <c r="B40" s="6" t="s">
        <v>1075</v>
      </c>
      <c r="C40" s="112" t="s">
        <v>61</v>
      </c>
      <c r="D40" s="9" t="s">
        <v>62</v>
      </c>
      <c r="E40" s="6" t="s">
        <v>1904</v>
      </c>
      <c r="F40" s="113">
        <v>44685</v>
      </c>
      <c r="G40" s="22" t="s">
        <v>1076</v>
      </c>
      <c r="H40" s="6" t="s">
        <v>1954</v>
      </c>
      <c r="I40" s="110">
        <v>1000000</v>
      </c>
      <c r="J40" s="6" t="s">
        <v>1955</v>
      </c>
      <c r="K40" s="9" t="s">
        <v>1828</v>
      </c>
      <c r="L40" s="22" t="s">
        <v>1956</v>
      </c>
      <c r="M40" s="9" t="s">
        <v>62</v>
      </c>
    </row>
    <row r="41" spans="1:13">
      <c r="A41" s="22">
        <v>2022</v>
      </c>
      <c r="B41" s="6" t="s">
        <v>1957</v>
      </c>
      <c r="C41" s="6" t="s">
        <v>1823</v>
      </c>
      <c r="D41" s="9" t="s">
        <v>62</v>
      </c>
      <c r="E41" s="9" t="s">
        <v>1150</v>
      </c>
      <c r="F41" s="113">
        <v>44706</v>
      </c>
      <c r="G41" s="22" t="s">
        <v>1958</v>
      </c>
      <c r="H41" s="6" t="s">
        <v>1959</v>
      </c>
      <c r="I41" s="110">
        <v>1504308</v>
      </c>
      <c r="J41" s="6" t="s">
        <v>1960</v>
      </c>
      <c r="K41" s="9"/>
      <c r="L41" s="22" t="s">
        <v>1961</v>
      </c>
      <c r="M41" s="9" t="s">
        <v>1111</v>
      </c>
    </row>
    <row r="42" spans="1:13">
      <c r="A42" s="22">
        <v>2022</v>
      </c>
      <c r="B42" s="6" t="s">
        <v>1962</v>
      </c>
      <c r="C42" s="6"/>
      <c r="D42" s="9" t="s">
        <v>575</v>
      </c>
      <c r="E42" s="9"/>
      <c r="F42" s="113">
        <v>44706</v>
      </c>
      <c r="G42" s="22" t="s">
        <v>1963</v>
      </c>
      <c r="H42" s="6"/>
      <c r="I42" s="110"/>
      <c r="J42" s="6"/>
      <c r="K42" s="9"/>
      <c r="L42" s="22" t="s">
        <v>1964</v>
      </c>
      <c r="M42" s="9" t="s">
        <v>575</v>
      </c>
    </row>
    <row r="43" spans="1:13">
      <c r="A43" s="22">
        <v>2022</v>
      </c>
      <c r="B43" s="6" t="s">
        <v>1965</v>
      </c>
      <c r="C43" s="112" t="s">
        <v>61</v>
      </c>
      <c r="D43" s="9" t="s">
        <v>575</v>
      </c>
      <c r="E43" s="9" t="s">
        <v>1824</v>
      </c>
      <c r="F43" s="113">
        <v>44713</v>
      </c>
      <c r="G43" s="22" t="s">
        <v>1966</v>
      </c>
      <c r="H43" s="6" t="s">
        <v>1967</v>
      </c>
      <c r="I43" s="110">
        <v>53175</v>
      </c>
      <c r="J43" s="6" t="s">
        <v>1968</v>
      </c>
      <c r="K43" s="9" t="s">
        <v>1828</v>
      </c>
      <c r="L43" s="22" t="s">
        <v>1969</v>
      </c>
      <c r="M43" s="9" t="s">
        <v>575</v>
      </c>
    </row>
    <row r="44" spans="1:13">
      <c r="A44" s="22">
        <v>2022</v>
      </c>
      <c r="B44" s="6" t="s">
        <v>1970</v>
      </c>
      <c r="C44" s="112" t="s">
        <v>61</v>
      </c>
      <c r="D44" s="9" t="s">
        <v>575</v>
      </c>
      <c r="E44" s="9" t="s">
        <v>1824</v>
      </c>
      <c r="F44" s="113">
        <v>44713</v>
      </c>
      <c r="G44" s="22" t="s">
        <v>1971</v>
      </c>
      <c r="H44" s="6" t="s">
        <v>1967</v>
      </c>
      <c r="I44" s="110">
        <v>400300</v>
      </c>
      <c r="J44" s="6" t="s">
        <v>1968</v>
      </c>
      <c r="K44" s="9" t="s">
        <v>1828</v>
      </c>
      <c r="L44" s="22" t="s">
        <v>1972</v>
      </c>
      <c r="M44" s="9" t="s">
        <v>575</v>
      </c>
    </row>
    <row r="45" spans="1:13">
      <c r="A45" s="22">
        <v>2022</v>
      </c>
      <c r="B45" s="6" t="s">
        <v>609</v>
      </c>
      <c r="C45" s="112" t="s">
        <v>61</v>
      </c>
      <c r="D45" s="9" t="s">
        <v>394</v>
      </c>
      <c r="E45" s="115" t="s">
        <v>1853</v>
      </c>
      <c r="F45" s="113">
        <v>44713</v>
      </c>
      <c r="G45" s="22" t="s">
        <v>610</v>
      </c>
      <c r="H45" s="6" t="s">
        <v>611</v>
      </c>
      <c r="I45" s="131">
        <v>419537.6</v>
      </c>
      <c r="J45" s="6" t="s">
        <v>1938</v>
      </c>
      <c r="K45" s="9" t="s">
        <v>1828</v>
      </c>
      <c r="L45" s="22" t="s">
        <v>1973</v>
      </c>
      <c r="M45" s="9" t="s">
        <v>394</v>
      </c>
    </row>
    <row r="46" spans="1:13">
      <c r="A46" s="22">
        <v>2022</v>
      </c>
      <c r="B46" s="6" t="s">
        <v>1974</v>
      </c>
      <c r="C46" s="112" t="s">
        <v>1946</v>
      </c>
      <c r="D46" s="132" t="s">
        <v>1453</v>
      </c>
      <c r="E46" s="9"/>
      <c r="F46" s="113">
        <v>44720</v>
      </c>
      <c r="G46" s="22" t="s">
        <v>1975</v>
      </c>
      <c r="H46" s="6" t="s">
        <v>1453</v>
      </c>
      <c r="I46" s="110">
        <v>316600</v>
      </c>
      <c r="J46" s="6"/>
      <c r="K46" s="9"/>
      <c r="L46" s="22" t="s">
        <v>1976</v>
      </c>
      <c r="M46" s="132" t="s">
        <v>1453</v>
      </c>
    </row>
    <row r="47" spans="1:13">
      <c r="A47" s="22">
        <v>2022</v>
      </c>
      <c r="B47" s="6" t="s">
        <v>1977</v>
      </c>
      <c r="C47" s="6" t="s">
        <v>1978</v>
      </c>
      <c r="D47" s="115" t="s">
        <v>1383</v>
      </c>
      <c r="E47" s="9" t="s">
        <v>1824</v>
      </c>
      <c r="F47" s="113">
        <v>44720</v>
      </c>
      <c r="G47" s="22" t="s">
        <v>1979</v>
      </c>
      <c r="H47" s="6" t="s">
        <v>575</v>
      </c>
      <c r="I47" s="110">
        <v>400300</v>
      </c>
      <c r="J47" s="6" t="s">
        <v>1938</v>
      </c>
      <c r="K47" s="9" t="s">
        <v>1828</v>
      </c>
      <c r="L47" s="22"/>
      <c r="M47" s="132" t="s">
        <v>1980</v>
      </c>
    </row>
    <row r="48" spans="1:13">
      <c r="A48" s="22">
        <v>2022</v>
      </c>
      <c r="B48" s="6" t="s">
        <v>1078</v>
      </c>
      <c r="C48" s="112" t="s">
        <v>61</v>
      </c>
      <c r="D48" s="9" t="s">
        <v>62</v>
      </c>
      <c r="E48" s="6" t="s">
        <v>1904</v>
      </c>
      <c r="F48" s="113">
        <v>44720</v>
      </c>
      <c r="G48" s="22" t="s">
        <v>1079</v>
      </c>
      <c r="H48" s="6" t="s">
        <v>1080</v>
      </c>
      <c r="I48" s="110">
        <v>702000</v>
      </c>
      <c r="J48" s="6" t="s">
        <v>1981</v>
      </c>
      <c r="K48" s="9" t="s">
        <v>1828</v>
      </c>
      <c r="L48" s="22" t="s">
        <v>1982</v>
      </c>
      <c r="M48" s="6" t="s">
        <v>62</v>
      </c>
    </row>
    <row r="49" spans="1:13">
      <c r="A49" s="22">
        <v>2022</v>
      </c>
      <c r="B49" s="6" t="s">
        <v>618</v>
      </c>
      <c r="C49" s="112" t="s">
        <v>61</v>
      </c>
      <c r="D49" s="6" t="s">
        <v>197</v>
      </c>
      <c r="E49" s="6" t="s">
        <v>1874</v>
      </c>
      <c r="F49" s="113">
        <v>44727</v>
      </c>
      <c r="G49" s="22" t="s">
        <v>619</v>
      </c>
      <c r="H49" s="6" t="s">
        <v>620</v>
      </c>
      <c r="I49" s="121">
        <v>2001920</v>
      </c>
      <c r="J49" s="133" t="s">
        <v>1983</v>
      </c>
      <c r="K49" s="6" t="s">
        <v>1916</v>
      </c>
      <c r="L49" s="22"/>
      <c r="M49" s="6" t="s">
        <v>197</v>
      </c>
    </row>
    <row r="50" spans="1:13">
      <c r="A50" s="22">
        <v>2022</v>
      </c>
      <c r="B50" s="6" t="s">
        <v>621</v>
      </c>
      <c r="C50" s="112" t="s">
        <v>61</v>
      </c>
      <c r="D50" s="6" t="s">
        <v>197</v>
      </c>
      <c r="E50" s="6" t="s">
        <v>1874</v>
      </c>
      <c r="F50" s="113">
        <v>44734</v>
      </c>
      <c r="G50" s="22" t="s">
        <v>622</v>
      </c>
      <c r="H50" s="6" t="s">
        <v>623</v>
      </c>
      <c r="I50" s="121">
        <v>2435960</v>
      </c>
      <c r="J50" s="6" t="s">
        <v>1984</v>
      </c>
      <c r="K50" s="6" t="s">
        <v>1896</v>
      </c>
      <c r="L50" s="22"/>
      <c r="M50" s="6" t="s">
        <v>197</v>
      </c>
    </row>
    <row r="51" spans="1:13">
      <c r="A51" s="22">
        <v>2022</v>
      </c>
      <c r="B51" s="112" t="s">
        <v>1081</v>
      </c>
      <c r="C51" s="112" t="s">
        <v>61</v>
      </c>
      <c r="D51" s="112" t="s">
        <v>76</v>
      </c>
      <c r="E51" s="6" t="s">
        <v>1904</v>
      </c>
      <c r="F51" s="134">
        <v>44734</v>
      </c>
      <c r="G51" s="118" t="s">
        <v>1082</v>
      </c>
      <c r="H51" s="112" t="s">
        <v>1083</v>
      </c>
      <c r="I51" s="120" t="s">
        <v>22</v>
      </c>
      <c r="J51" s="112" t="s">
        <v>1985</v>
      </c>
      <c r="K51" s="112" t="s">
        <v>1828</v>
      </c>
      <c r="L51" s="118" t="s">
        <v>1986</v>
      </c>
      <c r="M51" s="112" t="s">
        <v>76</v>
      </c>
    </row>
    <row r="52" spans="1:13">
      <c r="A52" s="22">
        <v>2022</v>
      </c>
      <c r="B52" s="6" t="s">
        <v>1465</v>
      </c>
      <c r="C52" s="112" t="s">
        <v>61</v>
      </c>
      <c r="D52" s="6" t="s">
        <v>1420</v>
      </c>
      <c r="E52" s="6" t="s">
        <v>1862</v>
      </c>
      <c r="F52" s="7">
        <v>44734</v>
      </c>
      <c r="G52" s="22" t="s">
        <v>1466</v>
      </c>
      <c r="H52" s="6" t="s">
        <v>575</v>
      </c>
      <c r="I52" s="121">
        <v>75130</v>
      </c>
      <c r="J52" s="6" t="s">
        <v>22</v>
      </c>
      <c r="K52" s="6" t="s">
        <v>1828</v>
      </c>
      <c r="L52" s="22" t="s">
        <v>1987</v>
      </c>
      <c r="M52" s="6" t="s">
        <v>1420</v>
      </c>
    </row>
    <row r="53" spans="1:13">
      <c r="A53" s="22">
        <v>2022</v>
      </c>
      <c r="B53" s="6" t="s">
        <v>1988</v>
      </c>
      <c r="C53" s="112" t="s">
        <v>1883</v>
      </c>
      <c r="D53" s="115" t="s">
        <v>1383</v>
      </c>
      <c r="E53" s="6" t="s">
        <v>1862</v>
      </c>
      <c r="F53" s="7">
        <v>44734</v>
      </c>
      <c r="G53" s="22" t="s">
        <v>1989</v>
      </c>
      <c r="H53" s="6" t="s">
        <v>575</v>
      </c>
      <c r="I53" s="121">
        <v>1186064</v>
      </c>
      <c r="J53" s="6" t="s">
        <v>22</v>
      </c>
      <c r="K53" s="6" t="s">
        <v>1828</v>
      </c>
      <c r="L53" s="22" t="s">
        <v>1990</v>
      </c>
      <c r="M53" s="6" t="s">
        <v>1383</v>
      </c>
    </row>
    <row r="54" spans="1:13">
      <c r="A54" s="22">
        <v>2022</v>
      </c>
      <c r="B54" s="6" t="s">
        <v>1991</v>
      </c>
      <c r="C54" s="6" t="s">
        <v>1992</v>
      </c>
      <c r="D54" s="6" t="s">
        <v>1099</v>
      </c>
      <c r="E54" s="6" t="s">
        <v>1862</v>
      </c>
      <c r="F54" s="7">
        <v>44734</v>
      </c>
      <c r="G54" s="22" t="s">
        <v>1993</v>
      </c>
      <c r="H54" s="6" t="s">
        <v>575</v>
      </c>
      <c r="I54" s="121"/>
      <c r="J54" s="6" t="s">
        <v>22</v>
      </c>
      <c r="K54" s="6" t="s">
        <v>1828</v>
      </c>
      <c r="L54" s="22" t="s">
        <v>1994</v>
      </c>
      <c r="M54" s="6" t="s">
        <v>1099</v>
      </c>
    </row>
    <row r="55" spans="1:13">
      <c r="A55" s="22">
        <v>2022</v>
      </c>
      <c r="B55" s="6" t="s">
        <v>1995</v>
      </c>
      <c r="C55" s="6" t="s">
        <v>1996</v>
      </c>
      <c r="D55" s="9" t="s">
        <v>62</v>
      </c>
      <c r="E55" s="6" t="s">
        <v>1862</v>
      </c>
      <c r="F55" s="7">
        <v>44734</v>
      </c>
      <c r="G55" s="22" t="s">
        <v>1997</v>
      </c>
      <c r="H55" s="6" t="s">
        <v>575</v>
      </c>
      <c r="I55" s="121"/>
      <c r="J55" s="6" t="s">
        <v>22</v>
      </c>
      <c r="K55" s="6" t="s">
        <v>1828</v>
      </c>
      <c r="L55" s="22" t="s">
        <v>1998</v>
      </c>
      <c r="M55" s="6" t="s">
        <v>62</v>
      </c>
    </row>
    <row r="56" spans="1:13">
      <c r="A56" s="22">
        <v>2022</v>
      </c>
      <c r="B56" s="6" t="s">
        <v>1999</v>
      </c>
      <c r="C56" s="6" t="s">
        <v>1842</v>
      </c>
      <c r="D56" s="6" t="s">
        <v>22</v>
      </c>
      <c r="E56" s="6" t="s">
        <v>1862</v>
      </c>
      <c r="F56" s="7">
        <v>44734</v>
      </c>
      <c r="G56" s="22" t="s">
        <v>2000</v>
      </c>
      <c r="H56" s="6" t="s">
        <v>575</v>
      </c>
      <c r="I56" s="121"/>
      <c r="J56" s="6" t="s">
        <v>22</v>
      </c>
      <c r="K56" s="6" t="s">
        <v>1828</v>
      </c>
      <c r="L56" s="22" t="s">
        <v>2001</v>
      </c>
      <c r="M56" s="6" t="s">
        <v>22</v>
      </c>
    </row>
    <row r="57" spans="1:13">
      <c r="A57" s="22">
        <v>2022</v>
      </c>
      <c r="B57" s="6" t="s">
        <v>2002</v>
      </c>
      <c r="C57" s="6" t="s">
        <v>1883</v>
      </c>
      <c r="D57" s="6" t="s">
        <v>22</v>
      </c>
      <c r="E57" s="6" t="s">
        <v>1862</v>
      </c>
      <c r="F57" s="7">
        <v>44736</v>
      </c>
      <c r="G57" s="22" t="s">
        <v>2003</v>
      </c>
      <c r="H57" s="6" t="s">
        <v>575</v>
      </c>
      <c r="I57" s="121"/>
      <c r="J57" s="6" t="s">
        <v>22</v>
      </c>
      <c r="K57" s="6" t="s">
        <v>1828</v>
      </c>
      <c r="L57" s="22" t="s">
        <v>2004</v>
      </c>
      <c r="M57" s="6" t="s">
        <v>22</v>
      </c>
    </row>
    <row r="58" spans="1:13">
      <c r="A58" s="22">
        <v>2022</v>
      </c>
      <c r="B58" s="6" t="s">
        <v>2005</v>
      </c>
      <c r="C58" s="6" t="s">
        <v>2006</v>
      </c>
      <c r="D58" s="6" t="s">
        <v>22</v>
      </c>
      <c r="E58" s="6" t="s">
        <v>1862</v>
      </c>
      <c r="F58" s="7">
        <v>44736</v>
      </c>
      <c r="G58" s="22" t="s">
        <v>2007</v>
      </c>
      <c r="H58" s="6" t="s">
        <v>575</v>
      </c>
      <c r="I58" s="121"/>
      <c r="J58" s="6" t="s">
        <v>22</v>
      </c>
      <c r="K58" s="6" t="s">
        <v>1828</v>
      </c>
      <c r="L58" s="22" t="s">
        <v>2008</v>
      </c>
      <c r="M58" s="6" t="s">
        <v>22</v>
      </c>
    </row>
    <row r="59" spans="1:13">
      <c r="A59" s="22">
        <v>2022</v>
      </c>
      <c r="B59" s="6" t="s">
        <v>1084</v>
      </c>
      <c r="C59" s="112" t="s">
        <v>61</v>
      </c>
      <c r="D59" s="9" t="s">
        <v>62</v>
      </c>
      <c r="E59" s="6" t="s">
        <v>1904</v>
      </c>
      <c r="F59" s="7">
        <v>44741</v>
      </c>
      <c r="G59" s="22" t="s">
        <v>1085</v>
      </c>
      <c r="H59" s="6" t="s">
        <v>1086</v>
      </c>
      <c r="I59" s="121">
        <v>923252</v>
      </c>
      <c r="J59" s="6" t="s">
        <v>2009</v>
      </c>
      <c r="K59" s="6" t="s">
        <v>1899</v>
      </c>
      <c r="L59" s="22" t="s">
        <v>2010</v>
      </c>
      <c r="M59" s="6" t="s">
        <v>62</v>
      </c>
    </row>
    <row r="60" spans="1:13">
      <c r="A60" s="22">
        <v>2022</v>
      </c>
      <c r="B60" s="6" t="s">
        <v>1087</v>
      </c>
      <c r="C60" s="112" t="s">
        <v>61</v>
      </c>
      <c r="D60" s="9" t="s">
        <v>62</v>
      </c>
      <c r="E60" s="6" t="s">
        <v>1904</v>
      </c>
      <c r="F60" s="7">
        <v>44748</v>
      </c>
      <c r="G60" s="22" t="s">
        <v>1088</v>
      </c>
      <c r="H60" s="6" t="s">
        <v>1089</v>
      </c>
      <c r="I60" s="121">
        <v>494868.75</v>
      </c>
      <c r="J60" s="6" t="s">
        <v>2011</v>
      </c>
      <c r="K60" s="6" t="s">
        <v>1899</v>
      </c>
      <c r="L60" s="22" t="s">
        <v>2012</v>
      </c>
      <c r="M60" s="6" t="s">
        <v>62</v>
      </c>
    </row>
    <row r="61" spans="1:13">
      <c r="A61" s="22">
        <v>2022</v>
      </c>
      <c r="B61" s="6" t="s">
        <v>2013</v>
      </c>
      <c r="C61" s="6" t="s">
        <v>2014</v>
      </c>
      <c r="D61" s="6" t="s">
        <v>1420</v>
      </c>
      <c r="E61" s="6" t="s">
        <v>1862</v>
      </c>
      <c r="F61" s="7">
        <v>44748</v>
      </c>
      <c r="G61" s="22" t="s">
        <v>2015</v>
      </c>
      <c r="H61" s="6" t="s">
        <v>575</v>
      </c>
      <c r="I61" s="121"/>
      <c r="J61" s="6" t="s">
        <v>22</v>
      </c>
      <c r="K61" s="6" t="s">
        <v>1828</v>
      </c>
      <c r="L61" s="22" t="s">
        <v>2016</v>
      </c>
      <c r="M61" s="6" t="s">
        <v>1420</v>
      </c>
    </row>
    <row r="62" spans="1:13">
      <c r="A62" s="22">
        <v>2022</v>
      </c>
      <c r="B62" s="6" t="s">
        <v>2017</v>
      </c>
      <c r="C62" s="6" t="s">
        <v>2014</v>
      </c>
      <c r="D62" s="9" t="s">
        <v>62</v>
      </c>
      <c r="E62" s="6" t="s">
        <v>2018</v>
      </c>
      <c r="F62" s="7">
        <v>44755</v>
      </c>
      <c r="G62" s="22" t="s">
        <v>2019</v>
      </c>
      <c r="H62" s="6" t="s">
        <v>1089</v>
      </c>
      <c r="I62" s="121">
        <v>494868.75</v>
      </c>
      <c r="J62" s="6" t="s">
        <v>2011</v>
      </c>
      <c r="K62" s="6" t="s">
        <v>1899</v>
      </c>
      <c r="L62" s="22" t="s">
        <v>2016</v>
      </c>
      <c r="M62" s="6" t="s">
        <v>62</v>
      </c>
    </row>
    <row r="63" spans="1:13">
      <c r="A63" s="22">
        <v>2022</v>
      </c>
      <c r="B63" s="6" t="s">
        <v>2020</v>
      </c>
      <c r="C63" s="112" t="s">
        <v>61</v>
      </c>
      <c r="D63" s="6"/>
      <c r="E63" s="6" t="s">
        <v>2018</v>
      </c>
      <c r="F63" s="7">
        <v>44776</v>
      </c>
      <c r="G63" s="22" t="s">
        <v>1088</v>
      </c>
      <c r="H63" s="6" t="s">
        <v>1089</v>
      </c>
      <c r="I63" s="121">
        <v>494868.75</v>
      </c>
      <c r="J63" s="6" t="s">
        <v>2011</v>
      </c>
      <c r="K63" s="6" t="s">
        <v>1899</v>
      </c>
      <c r="L63" s="22"/>
      <c r="M63" s="6"/>
    </row>
    <row r="64" spans="1:13">
      <c r="A64" s="22">
        <v>2022</v>
      </c>
      <c r="B64" s="6" t="s">
        <v>2020</v>
      </c>
      <c r="C64" s="6"/>
      <c r="D64" s="9" t="s">
        <v>62</v>
      </c>
      <c r="E64" s="6" t="s">
        <v>2018</v>
      </c>
      <c r="F64" s="7">
        <v>44755</v>
      </c>
      <c r="G64" s="22" t="s">
        <v>2021</v>
      </c>
      <c r="H64" s="6" t="s">
        <v>1089</v>
      </c>
      <c r="I64" s="121">
        <v>494868.75</v>
      </c>
      <c r="J64" s="6" t="s">
        <v>2011</v>
      </c>
      <c r="K64" s="6" t="s">
        <v>1899</v>
      </c>
      <c r="L64" s="22" t="s">
        <v>2016</v>
      </c>
      <c r="M64" s="6" t="s">
        <v>62</v>
      </c>
    </row>
    <row r="65" spans="1:13">
      <c r="A65" s="22">
        <v>2022</v>
      </c>
      <c r="B65" s="112" t="s">
        <v>2022</v>
      </c>
      <c r="C65" s="112" t="s">
        <v>61</v>
      </c>
      <c r="D65" s="112" t="s">
        <v>394</v>
      </c>
      <c r="E65" s="115" t="s">
        <v>1853</v>
      </c>
      <c r="F65" s="134">
        <v>44776</v>
      </c>
      <c r="G65" s="118" t="s">
        <v>610</v>
      </c>
      <c r="H65" s="112" t="s">
        <v>575</v>
      </c>
      <c r="I65" s="116">
        <v>0</v>
      </c>
      <c r="J65" s="112" t="s">
        <v>22</v>
      </c>
      <c r="K65" s="112" t="s">
        <v>1828</v>
      </c>
      <c r="L65" s="118" t="s">
        <v>2023</v>
      </c>
      <c r="M65" s="112" t="s">
        <v>394</v>
      </c>
    </row>
    <row r="66" spans="1:13">
      <c r="A66" s="22">
        <v>2022</v>
      </c>
      <c r="B66" s="6" t="s">
        <v>2024</v>
      </c>
      <c r="C66" s="6" t="s">
        <v>1867</v>
      </c>
      <c r="D66" s="6" t="s">
        <v>1262</v>
      </c>
      <c r="E66" s="6" t="s">
        <v>2018</v>
      </c>
      <c r="F66" s="7">
        <v>44776</v>
      </c>
      <c r="G66" s="135" t="s">
        <v>2025</v>
      </c>
      <c r="H66" s="6" t="s">
        <v>2026</v>
      </c>
      <c r="I66" s="121"/>
      <c r="J66" s="6" t="s">
        <v>2027</v>
      </c>
      <c r="K66" s="6" t="s">
        <v>1828</v>
      </c>
      <c r="L66" s="22" t="s">
        <v>2028</v>
      </c>
      <c r="M66" s="6" t="s">
        <v>2029</v>
      </c>
    </row>
    <row r="67" spans="1:13">
      <c r="A67" s="22">
        <v>2022</v>
      </c>
      <c r="B67" s="6" t="s">
        <v>1467</v>
      </c>
      <c r="C67" s="112" t="s">
        <v>61</v>
      </c>
      <c r="D67" s="115" t="s">
        <v>1383</v>
      </c>
      <c r="E67" s="115" t="s">
        <v>1859</v>
      </c>
      <c r="F67" s="7">
        <v>44776</v>
      </c>
      <c r="G67" s="135" t="s">
        <v>1469</v>
      </c>
      <c r="H67" s="6" t="s">
        <v>1451</v>
      </c>
      <c r="I67" s="121">
        <v>200000</v>
      </c>
      <c r="J67" s="6" t="s">
        <v>2030</v>
      </c>
      <c r="K67" s="6" t="s">
        <v>2031</v>
      </c>
      <c r="L67" s="136" t="s">
        <v>2032</v>
      </c>
      <c r="M67" s="6" t="s">
        <v>1468</v>
      </c>
    </row>
    <row r="68" spans="1:13">
      <c r="A68" s="22">
        <v>2022</v>
      </c>
      <c r="B68" s="6" t="s">
        <v>2033</v>
      </c>
      <c r="C68" s="6" t="s">
        <v>2034</v>
      </c>
      <c r="D68" s="6" t="s">
        <v>22</v>
      </c>
      <c r="E68" s="6" t="s">
        <v>1862</v>
      </c>
      <c r="F68" s="7">
        <v>44776</v>
      </c>
      <c r="G68" s="137" t="s">
        <v>2035</v>
      </c>
      <c r="H68" s="6" t="s">
        <v>575</v>
      </c>
      <c r="I68" s="121"/>
      <c r="J68" s="6" t="s">
        <v>22</v>
      </c>
      <c r="K68" s="6" t="s">
        <v>1828</v>
      </c>
      <c r="L68" s="136" t="s">
        <v>2036</v>
      </c>
      <c r="M68" s="6" t="s">
        <v>22</v>
      </c>
    </row>
    <row r="69" spans="1:13">
      <c r="A69" s="22">
        <v>2022</v>
      </c>
      <c r="B69" s="6" t="s">
        <v>1090</v>
      </c>
      <c r="C69" s="112" t="s">
        <v>61</v>
      </c>
      <c r="D69" s="9" t="s">
        <v>62</v>
      </c>
      <c r="E69" s="6" t="s">
        <v>1904</v>
      </c>
      <c r="F69" s="31">
        <v>44783</v>
      </c>
      <c r="G69" s="135" t="s">
        <v>2037</v>
      </c>
      <c r="H69" s="6" t="s">
        <v>1092</v>
      </c>
      <c r="I69" s="121">
        <v>998550</v>
      </c>
      <c r="J69" s="6" t="s">
        <v>2038</v>
      </c>
      <c r="K69" s="6" t="s">
        <v>1879</v>
      </c>
      <c r="L69" s="22" t="s">
        <v>2039</v>
      </c>
      <c r="M69" s="6" t="s">
        <v>62</v>
      </c>
    </row>
    <row r="70" spans="1:13">
      <c r="A70" s="22">
        <v>2022</v>
      </c>
      <c r="B70" s="112" t="s">
        <v>612</v>
      </c>
      <c r="C70" s="112" t="s">
        <v>61</v>
      </c>
      <c r="D70" s="17" t="s">
        <v>1877</v>
      </c>
      <c r="E70" s="115" t="s">
        <v>1853</v>
      </c>
      <c r="F70" s="134">
        <v>44783</v>
      </c>
      <c r="G70" s="118" t="s">
        <v>613</v>
      </c>
      <c r="H70" s="112" t="s">
        <v>614</v>
      </c>
      <c r="I70" s="120">
        <v>174759.01</v>
      </c>
      <c r="J70" s="112" t="s">
        <v>2040</v>
      </c>
      <c r="K70" s="112" t="s">
        <v>2041</v>
      </c>
      <c r="L70" s="118" t="s">
        <v>2042</v>
      </c>
      <c r="M70" s="112" t="s">
        <v>1877</v>
      </c>
    </row>
    <row r="71" spans="1:13">
      <c r="A71" s="22">
        <v>2022</v>
      </c>
      <c r="B71" s="112" t="s">
        <v>615</v>
      </c>
      <c r="C71" s="112" t="s">
        <v>61</v>
      </c>
      <c r="D71" s="17" t="s">
        <v>1877</v>
      </c>
      <c r="E71" s="115" t="s">
        <v>1853</v>
      </c>
      <c r="F71" s="134">
        <v>44783</v>
      </c>
      <c r="G71" s="135" t="s">
        <v>616</v>
      </c>
      <c r="H71" s="112" t="s">
        <v>617</v>
      </c>
      <c r="I71" s="120">
        <v>60837.599999999999</v>
      </c>
      <c r="J71" s="112" t="s">
        <v>2043</v>
      </c>
      <c r="K71" s="112" t="s">
        <v>1828</v>
      </c>
      <c r="L71" s="118" t="s">
        <v>2044</v>
      </c>
      <c r="M71" s="112" t="s">
        <v>1877</v>
      </c>
    </row>
    <row r="72" spans="1:13">
      <c r="A72" s="22">
        <v>2022</v>
      </c>
      <c r="B72" s="6" t="s">
        <v>1470</v>
      </c>
      <c r="C72" s="112" t="s">
        <v>61</v>
      </c>
      <c r="D72" s="115" t="s">
        <v>1383</v>
      </c>
      <c r="E72" s="115" t="s">
        <v>1859</v>
      </c>
      <c r="F72" s="7">
        <v>44790</v>
      </c>
      <c r="G72" s="22" t="s">
        <v>1472</v>
      </c>
      <c r="H72" s="6" t="s">
        <v>1473</v>
      </c>
      <c r="I72" s="121">
        <v>300000</v>
      </c>
      <c r="J72" s="6"/>
      <c r="K72" s="6" t="s">
        <v>1886</v>
      </c>
      <c r="L72" s="22" t="s">
        <v>2045</v>
      </c>
      <c r="M72" s="6" t="s">
        <v>1471</v>
      </c>
    </row>
    <row r="73" spans="1:13">
      <c r="A73" s="22">
        <v>2022</v>
      </c>
      <c r="B73" s="112" t="s">
        <v>624</v>
      </c>
      <c r="C73" s="112" t="s">
        <v>61</v>
      </c>
      <c r="D73" s="17" t="s">
        <v>1877</v>
      </c>
      <c r="E73" s="115" t="s">
        <v>1853</v>
      </c>
      <c r="F73" s="134">
        <v>44799</v>
      </c>
      <c r="G73" s="118" t="s">
        <v>625</v>
      </c>
      <c r="H73" s="112" t="s">
        <v>626</v>
      </c>
      <c r="I73" s="120">
        <v>31804.6</v>
      </c>
      <c r="J73" s="112" t="s">
        <v>2046</v>
      </c>
      <c r="K73" s="112" t="s">
        <v>2047</v>
      </c>
      <c r="L73" s="118" t="s">
        <v>2048</v>
      </c>
      <c r="M73" s="112" t="s">
        <v>1877</v>
      </c>
    </row>
    <row r="74" spans="1:13">
      <c r="A74" s="22">
        <v>2022</v>
      </c>
      <c r="B74" s="6" t="s">
        <v>1474</v>
      </c>
      <c r="C74" s="112" t="s">
        <v>61</v>
      </c>
      <c r="D74" s="6" t="s">
        <v>1420</v>
      </c>
      <c r="E74" s="6" t="s">
        <v>1862</v>
      </c>
      <c r="F74" s="7">
        <v>44782</v>
      </c>
      <c r="G74" s="22" t="s">
        <v>1475</v>
      </c>
      <c r="H74" s="6" t="s">
        <v>575</v>
      </c>
      <c r="I74" s="121"/>
      <c r="J74" s="6" t="s">
        <v>22</v>
      </c>
      <c r="K74" s="6" t="s">
        <v>1828</v>
      </c>
      <c r="L74" s="22" t="s">
        <v>2049</v>
      </c>
      <c r="M74" s="6" t="s">
        <v>1420</v>
      </c>
    </row>
    <row r="75" spans="1:13">
      <c r="A75" s="22">
        <v>2022</v>
      </c>
      <c r="B75" s="6" t="s">
        <v>1093</v>
      </c>
      <c r="C75" s="112" t="s">
        <v>61</v>
      </c>
      <c r="D75" s="9" t="s">
        <v>62</v>
      </c>
      <c r="E75" s="6" t="s">
        <v>1904</v>
      </c>
      <c r="F75" s="7">
        <v>44811</v>
      </c>
      <c r="G75" s="22" t="s">
        <v>1094</v>
      </c>
      <c r="H75" s="6" t="s">
        <v>1095</v>
      </c>
      <c r="I75" s="121">
        <v>1503212.5</v>
      </c>
      <c r="J75" s="6" t="s">
        <v>2050</v>
      </c>
      <c r="K75" s="6" t="s">
        <v>2051</v>
      </c>
      <c r="L75" s="22" t="s">
        <v>2052</v>
      </c>
      <c r="M75" s="6" t="s">
        <v>62</v>
      </c>
    </row>
    <row r="76" spans="1:13">
      <c r="A76" s="22">
        <v>2022</v>
      </c>
      <c r="B76" s="6" t="s">
        <v>2053</v>
      </c>
      <c r="C76" s="6" t="s">
        <v>1867</v>
      </c>
      <c r="D76" s="9" t="s">
        <v>62</v>
      </c>
      <c r="E76" s="6" t="s">
        <v>2018</v>
      </c>
      <c r="F76" s="7">
        <v>44818</v>
      </c>
      <c r="G76" s="22" t="s">
        <v>2054</v>
      </c>
      <c r="H76" s="6" t="s">
        <v>2055</v>
      </c>
      <c r="I76" s="121"/>
      <c r="J76" s="6" t="s">
        <v>2056</v>
      </c>
      <c r="K76" s="6" t="s">
        <v>1828</v>
      </c>
      <c r="L76" s="22" t="s">
        <v>2028</v>
      </c>
      <c r="M76" s="6" t="s">
        <v>62</v>
      </c>
    </row>
    <row r="77" spans="1:13">
      <c r="A77" s="22">
        <v>2022</v>
      </c>
      <c r="B77" s="6" t="s">
        <v>1476</v>
      </c>
      <c r="C77" s="112" t="s">
        <v>61</v>
      </c>
      <c r="D77" s="115" t="s">
        <v>1383</v>
      </c>
      <c r="E77" s="115" t="s">
        <v>1859</v>
      </c>
      <c r="F77" s="7">
        <v>44818</v>
      </c>
      <c r="G77" s="22" t="s">
        <v>1477</v>
      </c>
      <c r="H77" s="6" t="s">
        <v>1478</v>
      </c>
      <c r="I77" s="121">
        <v>200000</v>
      </c>
      <c r="J77" s="6" t="s">
        <v>2057</v>
      </c>
      <c r="K77" s="6" t="s">
        <v>1879</v>
      </c>
      <c r="L77" s="22" t="s">
        <v>2058</v>
      </c>
      <c r="M77" s="6" t="s">
        <v>1468</v>
      </c>
    </row>
    <row r="78" spans="1:13">
      <c r="A78" s="22">
        <v>2022</v>
      </c>
      <c r="B78" s="6" t="s">
        <v>1479</v>
      </c>
      <c r="C78" s="112" t="s">
        <v>61</v>
      </c>
      <c r="D78" s="115" t="s">
        <v>1383</v>
      </c>
      <c r="E78" s="115" t="s">
        <v>1859</v>
      </c>
      <c r="F78" s="7">
        <v>44818</v>
      </c>
      <c r="G78" s="22" t="s">
        <v>1481</v>
      </c>
      <c r="H78" s="6" t="s">
        <v>2059</v>
      </c>
      <c r="I78" s="121">
        <v>350500</v>
      </c>
      <c r="J78" s="6"/>
      <c r="K78" s="6" t="s">
        <v>1828</v>
      </c>
      <c r="L78" s="22" t="s">
        <v>2060</v>
      </c>
      <c r="M78" s="6" t="s">
        <v>1480</v>
      </c>
    </row>
    <row r="79" spans="1:13">
      <c r="A79" s="22">
        <v>2022</v>
      </c>
      <c r="B79" s="6" t="s">
        <v>1483</v>
      </c>
      <c r="C79" s="112" t="s">
        <v>61</v>
      </c>
      <c r="D79" s="6" t="s">
        <v>1420</v>
      </c>
      <c r="E79" s="6"/>
      <c r="F79" s="7">
        <v>44818</v>
      </c>
      <c r="G79" s="22" t="s">
        <v>1484</v>
      </c>
      <c r="H79" s="6" t="s">
        <v>575</v>
      </c>
      <c r="I79" s="121" t="s">
        <v>22</v>
      </c>
      <c r="J79" s="6" t="s">
        <v>22</v>
      </c>
      <c r="K79" s="6" t="s">
        <v>1828</v>
      </c>
      <c r="L79" s="22" t="s">
        <v>2061</v>
      </c>
      <c r="M79" s="6" t="s">
        <v>1420</v>
      </c>
    </row>
    <row r="80" spans="1:13">
      <c r="A80" s="22">
        <v>2022</v>
      </c>
      <c r="B80" s="6" t="s">
        <v>633</v>
      </c>
      <c r="C80" s="112" t="s">
        <v>61</v>
      </c>
      <c r="D80" s="6" t="s">
        <v>125</v>
      </c>
      <c r="E80" s="6" t="s">
        <v>1874</v>
      </c>
      <c r="F80" s="7">
        <v>44825</v>
      </c>
      <c r="G80" s="22" t="s">
        <v>634</v>
      </c>
      <c r="H80" s="6" t="s">
        <v>635</v>
      </c>
      <c r="I80" s="121">
        <v>2251504</v>
      </c>
      <c r="J80" s="6" t="s">
        <v>2062</v>
      </c>
      <c r="K80" s="6" t="s">
        <v>1919</v>
      </c>
      <c r="L80" s="22" t="s">
        <v>2063</v>
      </c>
      <c r="M80" s="6" t="s">
        <v>125</v>
      </c>
    </row>
    <row r="81" spans="1:13">
      <c r="A81" s="22">
        <v>2022</v>
      </c>
      <c r="B81" s="112" t="s">
        <v>627</v>
      </c>
      <c r="C81" s="112" t="s">
        <v>61</v>
      </c>
      <c r="D81" s="17" t="s">
        <v>1877</v>
      </c>
      <c r="E81" s="115" t="s">
        <v>1853</v>
      </c>
      <c r="F81" s="134">
        <v>44825</v>
      </c>
      <c r="G81" s="118" t="s">
        <v>628</v>
      </c>
      <c r="H81" s="112" t="s">
        <v>629</v>
      </c>
      <c r="I81" s="120">
        <v>10160</v>
      </c>
      <c r="J81" s="112" t="s">
        <v>2064</v>
      </c>
      <c r="K81" s="112" t="s">
        <v>2031</v>
      </c>
      <c r="L81" s="118" t="s">
        <v>2065</v>
      </c>
      <c r="M81" s="112" t="s">
        <v>1877</v>
      </c>
    </row>
    <row r="82" spans="1:13">
      <c r="A82" s="22">
        <v>2022</v>
      </c>
      <c r="B82" s="6" t="s">
        <v>639</v>
      </c>
      <c r="C82" s="112"/>
      <c r="D82" s="6" t="s">
        <v>586</v>
      </c>
      <c r="E82" s="6" t="s">
        <v>1874</v>
      </c>
      <c r="F82" s="7">
        <v>44825</v>
      </c>
      <c r="G82" s="22" t="s">
        <v>640</v>
      </c>
      <c r="H82" s="6" t="s">
        <v>641</v>
      </c>
      <c r="I82" s="121">
        <v>17575</v>
      </c>
      <c r="J82" s="6" t="s">
        <v>2066</v>
      </c>
      <c r="K82" s="6" t="s">
        <v>1886</v>
      </c>
      <c r="L82" s="22" t="s">
        <v>2067</v>
      </c>
      <c r="M82" s="6" t="s">
        <v>586</v>
      </c>
    </row>
    <row r="83" spans="1:13">
      <c r="A83" s="22">
        <v>2022</v>
      </c>
      <c r="B83" s="6" t="s">
        <v>1096</v>
      </c>
      <c r="C83" s="112" t="s">
        <v>61</v>
      </c>
      <c r="D83" s="9" t="s">
        <v>62</v>
      </c>
      <c r="E83" s="6" t="s">
        <v>1904</v>
      </c>
      <c r="F83" s="7">
        <v>44826</v>
      </c>
      <c r="G83" s="22" t="s">
        <v>1097</v>
      </c>
      <c r="H83" s="6" t="s">
        <v>1095</v>
      </c>
      <c r="I83" s="121">
        <v>1000000</v>
      </c>
      <c r="J83" s="6" t="s">
        <v>2068</v>
      </c>
      <c r="K83" s="6" t="s">
        <v>2051</v>
      </c>
      <c r="L83" s="22" t="s">
        <v>2069</v>
      </c>
      <c r="M83" s="6" t="s">
        <v>62</v>
      </c>
    </row>
    <row r="84" spans="1:13">
      <c r="A84" s="22">
        <v>2022</v>
      </c>
      <c r="B84" s="112" t="s">
        <v>630</v>
      </c>
      <c r="C84" s="112" t="s">
        <v>61</v>
      </c>
      <c r="D84" s="17" t="s">
        <v>1877</v>
      </c>
      <c r="E84" s="115" t="s">
        <v>1853</v>
      </c>
      <c r="F84" s="134">
        <v>44832</v>
      </c>
      <c r="G84" s="118" t="s">
        <v>631</v>
      </c>
      <c r="H84" s="112" t="s">
        <v>632</v>
      </c>
      <c r="I84" s="120">
        <v>199727</v>
      </c>
      <c r="J84" s="112" t="s">
        <v>2070</v>
      </c>
      <c r="K84" s="112" t="s">
        <v>1899</v>
      </c>
      <c r="L84" s="118" t="s">
        <v>2071</v>
      </c>
      <c r="M84" s="112" t="s">
        <v>1877</v>
      </c>
    </row>
    <row r="85" spans="1:13">
      <c r="A85" s="22">
        <v>2022</v>
      </c>
      <c r="B85" s="112" t="s">
        <v>636</v>
      </c>
      <c r="C85" s="112" t="s">
        <v>61</v>
      </c>
      <c r="D85" s="17" t="s">
        <v>1877</v>
      </c>
      <c r="E85" s="115" t="s">
        <v>1853</v>
      </c>
      <c r="F85" s="134">
        <v>44832</v>
      </c>
      <c r="G85" s="118" t="s">
        <v>637</v>
      </c>
      <c r="H85" s="112" t="s">
        <v>638</v>
      </c>
      <c r="I85" s="120">
        <v>199950</v>
      </c>
      <c r="J85" s="112" t="s">
        <v>2072</v>
      </c>
      <c r="K85" s="112" t="s">
        <v>1879</v>
      </c>
      <c r="L85" s="118" t="s">
        <v>2073</v>
      </c>
      <c r="M85" s="112" t="s">
        <v>1877</v>
      </c>
    </row>
    <row r="86" spans="1:13">
      <c r="A86" s="22">
        <v>2022</v>
      </c>
      <c r="B86" s="112" t="s">
        <v>642</v>
      </c>
      <c r="C86" s="112" t="s">
        <v>61</v>
      </c>
      <c r="D86" s="17" t="s">
        <v>1877</v>
      </c>
      <c r="E86" s="115" t="s">
        <v>1853</v>
      </c>
      <c r="F86" s="134">
        <v>44832</v>
      </c>
      <c r="G86" s="118" t="s">
        <v>643</v>
      </c>
      <c r="H86" s="112" t="s">
        <v>644</v>
      </c>
      <c r="I86" s="120">
        <v>48250</v>
      </c>
      <c r="J86" s="112" t="s">
        <v>2072</v>
      </c>
      <c r="K86" s="112" t="s">
        <v>1879</v>
      </c>
      <c r="L86" s="118" t="s">
        <v>2074</v>
      </c>
      <c r="M86" s="112" t="s">
        <v>1877</v>
      </c>
    </row>
    <row r="87" spans="1:13">
      <c r="A87" s="22">
        <v>2022</v>
      </c>
      <c r="B87" s="112" t="s">
        <v>645</v>
      </c>
      <c r="C87" s="112" t="s">
        <v>61</v>
      </c>
      <c r="D87" s="17" t="s">
        <v>1877</v>
      </c>
      <c r="E87" s="115" t="s">
        <v>1853</v>
      </c>
      <c r="F87" s="134">
        <v>44832</v>
      </c>
      <c r="G87" s="118" t="s">
        <v>646</v>
      </c>
      <c r="H87" s="112" t="s">
        <v>647</v>
      </c>
      <c r="I87" s="120">
        <v>27532</v>
      </c>
      <c r="J87" s="112" t="s">
        <v>2075</v>
      </c>
      <c r="K87" s="115" t="s">
        <v>1899</v>
      </c>
      <c r="L87" s="118" t="s">
        <v>2076</v>
      </c>
      <c r="M87" s="112" t="s">
        <v>1877</v>
      </c>
    </row>
    <row r="88" spans="1:13">
      <c r="A88" s="22">
        <v>2022</v>
      </c>
      <c r="B88" s="6" t="s">
        <v>2077</v>
      </c>
      <c r="C88" s="112" t="s">
        <v>61</v>
      </c>
      <c r="D88" s="6" t="s">
        <v>2078</v>
      </c>
      <c r="E88" s="6"/>
      <c r="F88" s="138">
        <v>44832</v>
      </c>
      <c r="G88" s="22" t="s">
        <v>2079</v>
      </c>
      <c r="H88" s="6" t="s">
        <v>575</v>
      </c>
      <c r="I88" s="121"/>
      <c r="J88" s="6" t="s">
        <v>22</v>
      </c>
      <c r="K88" s="6" t="s">
        <v>1828</v>
      </c>
      <c r="L88" s="22" t="s">
        <v>2080</v>
      </c>
      <c r="M88" s="6" t="s">
        <v>2078</v>
      </c>
    </row>
    <row r="89" spans="1:13">
      <c r="A89" s="22">
        <v>2022</v>
      </c>
      <c r="B89" s="6" t="s">
        <v>1098</v>
      </c>
      <c r="C89" s="112" t="s">
        <v>61</v>
      </c>
      <c r="D89" s="6" t="s">
        <v>1099</v>
      </c>
      <c r="E89" s="6" t="s">
        <v>1904</v>
      </c>
      <c r="F89" s="7">
        <v>44832</v>
      </c>
      <c r="G89" s="22" t="s">
        <v>1100</v>
      </c>
      <c r="H89" s="6" t="s">
        <v>1101</v>
      </c>
      <c r="I89" s="121">
        <v>225000</v>
      </c>
      <c r="J89" s="6" t="s">
        <v>2081</v>
      </c>
      <c r="K89" s="6" t="s">
        <v>2082</v>
      </c>
      <c r="L89" s="22" t="s">
        <v>2083</v>
      </c>
      <c r="M89" s="6" t="s">
        <v>1099</v>
      </c>
    </row>
    <row r="90" spans="1:13">
      <c r="A90" s="22">
        <v>2022</v>
      </c>
      <c r="B90" s="6" t="s">
        <v>1485</v>
      </c>
      <c r="C90" s="112" t="s">
        <v>61</v>
      </c>
      <c r="D90" s="115" t="s">
        <v>1383</v>
      </c>
      <c r="E90" s="115" t="s">
        <v>1859</v>
      </c>
      <c r="F90" s="7">
        <v>44839</v>
      </c>
      <c r="G90" s="22" t="s">
        <v>1486</v>
      </c>
      <c r="H90" s="6" t="s">
        <v>650</v>
      </c>
      <c r="I90" s="121">
        <v>300000</v>
      </c>
      <c r="J90" s="6" t="s">
        <v>2084</v>
      </c>
      <c r="K90" s="6" t="s">
        <v>2085</v>
      </c>
      <c r="L90" s="22" t="s">
        <v>2086</v>
      </c>
      <c r="M90" s="6" t="s">
        <v>1471</v>
      </c>
    </row>
    <row r="91" spans="1:13">
      <c r="A91" s="22">
        <v>2022</v>
      </c>
      <c r="B91" s="6" t="s">
        <v>1487</v>
      </c>
      <c r="C91" s="112" t="s">
        <v>61</v>
      </c>
      <c r="D91" s="115" t="s">
        <v>1383</v>
      </c>
      <c r="E91" s="115" t="s">
        <v>1859</v>
      </c>
      <c r="F91" s="7">
        <v>44839</v>
      </c>
      <c r="G91" s="22" t="s">
        <v>1488</v>
      </c>
      <c r="H91" s="6" t="s">
        <v>650</v>
      </c>
      <c r="I91" s="121">
        <v>200000</v>
      </c>
      <c r="J91" s="6" t="s">
        <v>2084</v>
      </c>
      <c r="K91" s="6" t="s">
        <v>2085</v>
      </c>
      <c r="L91" s="22" t="s">
        <v>2087</v>
      </c>
      <c r="M91" s="6" t="s">
        <v>1468</v>
      </c>
    </row>
    <row r="92" spans="1:13">
      <c r="A92" s="22">
        <v>2022</v>
      </c>
      <c r="B92" s="112" t="s">
        <v>648</v>
      </c>
      <c r="C92" s="112" t="s">
        <v>61</v>
      </c>
      <c r="D92" s="112" t="s">
        <v>394</v>
      </c>
      <c r="E92" s="115" t="s">
        <v>1853</v>
      </c>
      <c r="F92" s="134">
        <v>44839</v>
      </c>
      <c r="G92" s="118" t="s">
        <v>649</v>
      </c>
      <c r="H92" s="112" t="s">
        <v>650</v>
      </c>
      <c r="I92" s="116">
        <v>37075</v>
      </c>
      <c r="J92" s="112" t="s">
        <v>2084</v>
      </c>
      <c r="K92" s="112" t="s">
        <v>2085</v>
      </c>
      <c r="L92" s="118" t="s">
        <v>2088</v>
      </c>
      <c r="M92" s="112" t="s">
        <v>394</v>
      </c>
    </row>
    <row r="93" spans="1:13">
      <c r="A93" s="22">
        <v>2022</v>
      </c>
      <c r="B93" s="112" t="s">
        <v>2089</v>
      </c>
      <c r="C93" s="112" t="s">
        <v>61</v>
      </c>
      <c r="D93" s="115" t="s">
        <v>1383</v>
      </c>
      <c r="E93" s="115" t="s">
        <v>1859</v>
      </c>
      <c r="F93" s="7">
        <v>44844</v>
      </c>
      <c r="G93" s="22" t="s">
        <v>2090</v>
      </c>
      <c r="H93" s="6" t="s">
        <v>1502</v>
      </c>
      <c r="I93" s="121">
        <v>200000</v>
      </c>
      <c r="J93" s="6" t="s">
        <v>2091</v>
      </c>
      <c r="K93" s="139" t="s">
        <v>2051</v>
      </c>
      <c r="L93" s="22" t="s">
        <v>2092</v>
      </c>
      <c r="M93" s="6" t="s">
        <v>2093</v>
      </c>
    </row>
    <row r="94" spans="1:13">
      <c r="A94" s="22">
        <v>2022</v>
      </c>
      <c r="B94" s="6" t="s">
        <v>1102</v>
      </c>
      <c r="C94" s="112" t="s">
        <v>61</v>
      </c>
      <c r="D94" s="140" t="s">
        <v>1099</v>
      </c>
      <c r="E94" s="6" t="s">
        <v>1904</v>
      </c>
      <c r="F94" s="111">
        <v>44846</v>
      </c>
      <c r="G94" s="22" t="s">
        <v>1103</v>
      </c>
      <c r="H94" s="6" t="s">
        <v>1104</v>
      </c>
      <c r="I94" s="110">
        <v>186356</v>
      </c>
      <c r="J94" s="9" t="s">
        <v>2094</v>
      </c>
      <c r="K94" s="9" t="s">
        <v>2041</v>
      </c>
      <c r="L94" s="140"/>
      <c r="M94" s="9" t="s">
        <v>1099</v>
      </c>
    </row>
    <row r="95" spans="1:13">
      <c r="A95" s="22">
        <v>2022</v>
      </c>
      <c r="B95" s="112" t="s">
        <v>651</v>
      </c>
      <c r="C95" s="112" t="s">
        <v>61</v>
      </c>
      <c r="D95" s="6" t="s">
        <v>652</v>
      </c>
      <c r="E95" s="6" t="s">
        <v>1874</v>
      </c>
      <c r="F95" s="134">
        <v>44846</v>
      </c>
      <c r="G95" s="118" t="s">
        <v>653</v>
      </c>
      <c r="H95" s="112" t="s">
        <v>654</v>
      </c>
      <c r="I95" s="141">
        <v>14793</v>
      </c>
      <c r="J95" s="112" t="s">
        <v>2095</v>
      </c>
      <c r="K95" s="6" t="s">
        <v>1886</v>
      </c>
      <c r="L95" s="118"/>
      <c r="M95" s="112" t="s">
        <v>652</v>
      </c>
    </row>
    <row r="96" spans="1:13">
      <c r="A96" s="22">
        <v>2022</v>
      </c>
      <c r="B96" s="112" t="s">
        <v>655</v>
      </c>
      <c r="C96" s="112" t="s">
        <v>61</v>
      </c>
      <c r="D96" s="17" t="s">
        <v>1877</v>
      </c>
      <c r="E96" s="115" t="s">
        <v>1853</v>
      </c>
      <c r="F96" s="134">
        <v>44846</v>
      </c>
      <c r="G96" s="118" t="s">
        <v>656</v>
      </c>
      <c r="H96" s="112" t="s">
        <v>657</v>
      </c>
      <c r="I96" s="120">
        <v>19555</v>
      </c>
      <c r="J96" s="112" t="s">
        <v>2096</v>
      </c>
      <c r="K96" s="112" t="s">
        <v>2047</v>
      </c>
      <c r="L96" s="118" t="s">
        <v>2097</v>
      </c>
      <c r="M96" s="112" t="s">
        <v>1877</v>
      </c>
    </row>
    <row r="97" spans="1:13">
      <c r="A97" s="22">
        <v>2022</v>
      </c>
      <c r="B97" s="112" t="s">
        <v>658</v>
      </c>
      <c r="C97" s="112" t="s">
        <v>61</v>
      </c>
      <c r="D97" s="17" t="s">
        <v>1877</v>
      </c>
      <c r="E97" s="115" t="s">
        <v>1853</v>
      </c>
      <c r="F97" s="134">
        <v>44846</v>
      </c>
      <c r="G97" s="118" t="s">
        <v>659</v>
      </c>
      <c r="H97" s="112" t="s">
        <v>660</v>
      </c>
      <c r="I97" s="120">
        <v>194052.75</v>
      </c>
      <c r="J97" s="112" t="s">
        <v>2098</v>
      </c>
      <c r="K97" s="6" t="s">
        <v>1886</v>
      </c>
      <c r="L97" s="118" t="s">
        <v>2099</v>
      </c>
      <c r="M97" s="112" t="s">
        <v>1877</v>
      </c>
    </row>
    <row r="98" spans="1:13">
      <c r="A98" s="22">
        <v>2022</v>
      </c>
      <c r="B98" s="6" t="s">
        <v>667</v>
      </c>
      <c r="C98" s="112" t="s">
        <v>61</v>
      </c>
      <c r="D98" s="6" t="s">
        <v>125</v>
      </c>
      <c r="E98" s="6" t="s">
        <v>1874</v>
      </c>
      <c r="F98" s="7">
        <v>44847</v>
      </c>
      <c r="G98" s="22" t="s">
        <v>668</v>
      </c>
      <c r="H98" s="6" t="s">
        <v>669</v>
      </c>
      <c r="I98" s="121">
        <v>2501824</v>
      </c>
      <c r="J98" s="6" t="s">
        <v>2100</v>
      </c>
      <c r="K98" s="6" t="s">
        <v>2031</v>
      </c>
      <c r="L98" s="22" t="s">
        <v>2101</v>
      </c>
      <c r="M98" s="6" t="s">
        <v>125</v>
      </c>
    </row>
    <row r="99" spans="1:13">
      <c r="A99" s="22">
        <v>2022</v>
      </c>
      <c r="B99" s="6" t="s">
        <v>2102</v>
      </c>
      <c r="C99" s="6"/>
      <c r="D99" s="6"/>
      <c r="E99" s="6"/>
      <c r="F99" s="7"/>
      <c r="G99" s="22"/>
      <c r="H99" s="6"/>
      <c r="I99" s="121"/>
      <c r="J99" s="6"/>
      <c r="K99" s="6"/>
      <c r="L99" s="22"/>
      <c r="M99" s="6"/>
    </row>
    <row r="100" spans="1:13">
      <c r="A100" s="22">
        <v>2022</v>
      </c>
      <c r="B100" s="6" t="s">
        <v>1489</v>
      </c>
      <c r="C100" s="112" t="s">
        <v>61</v>
      </c>
      <c r="D100" s="115" t="s">
        <v>1383</v>
      </c>
      <c r="E100" s="115" t="s">
        <v>1859</v>
      </c>
      <c r="F100" s="7">
        <v>44853</v>
      </c>
      <c r="G100" s="22" t="s">
        <v>1490</v>
      </c>
      <c r="H100" s="6" t="s">
        <v>1491</v>
      </c>
      <c r="I100" s="121">
        <v>200000</v>
      </c>
      <c r="J100" s="6"/>
      <c r="K100" s="6" t="s">
        <v>2041</v>
      </c>
      <c r="L100" s="22" t="s">
        <v>2103</v>
      </c>
      <c r="M100" s="6" t="s">
        <v>1468</v>
      </c>
    </row>
    <row r="101" spans="1:13">
      <c r="A101" s="22">
        <v>2022</v>
      </c>
      <c r="B101" s="6" t="s">
        <v>1492</v>
      </c>
      <c r="C101" s="112" t="s">
        <v>61</v>
      </c>
      <c r="D101" s="115" t="s">
        <v>1383</v>
      </c>
      <c r="E101" s="115" t="s">
        <v>1859</v>
      </c>
      <c r="F101" s="7">
        <v>44853</v>
      </c>
      <c r="G101" s="22" t="s">
        <v>1493</v>
      </c>
      <c r="H101" s="6" t="s">
        <v>2104</v>
      </c>
      <c r="I101" s="121">
        <v>1720880</v>
      </c>
      <c r="J101" s="6"/>
      <c r="K101" s="6" t="s">
        <v>1828</v>
      </c>
      <c r="L101" s="22" t="s">
        <v>2105</v>
      </c>
      <c r="M101" s="6" t="s">
        <v>1480</v>
      </c>
    </row>
    <row r="102" spans="1:13">
      <c r="A102" s="22">
        <v>2022</v>
      </c>
      <c r="B102" s="112" t="s">
        <v>661</v>
      </c>
      <c r="C102" s="112" t="s">
        <v>61</v>
      </c>
      <c r="D102" s="17" t="s">
        <v>1877</v>
      </c>
      <c r="E102" s="115" t="s">
        <v>1853</v>
      </c>
      <c r="F102" s="134">
        <v>44853</v>
      </c>
      <c r="G102" s="118" t="s">
        <v>662</v>
      </c>
      <c r="H102" s="112" t="s">
        <v>663</v>
      </c>
      <c r="I102" s="120">
        <v>24430</v>
      </c>
      <c r="J102" s="112" t="s">
        <v>2106</v>
      </c>
      <c r="K102" s="112" t="s">
        <v>1879</v>
      </c>
      <c r="L102" s="118" t="s">
        <v>2107</v>
      </c>
      <c r="M102" s="112" t="s">
        <v>1877</v>
      </c>
    </row>
    <row r="103" spans="1:13">
      <c r="A103" s="22">
        <v>2022</v>
      </c>
      <c r="B103" s="112" t="s">
        <v>664</v>
      </c>
      <c r="C103" s="112" t="s">
        <v>61</v>
      </c>
      <c r="D103" s="17" t="s">
        <v>1877</v>
      </c>
      <c r="E103" s="115" t="s">
        <v>1853</v>
      </c>
      <c r="F103" s="134">
        <v>44853</v>
      </c>
      <c r="G103" s="118" t="s">
        <v>665</v>
      </c>
      <c r="H103" s="112" t="s">
        <v>666</v>
      </c>
      <c r="I103" s="120">
        <v>8500</v>
      </c>
      <c r="J103" s="112" t="s">
        <v>2108</v>
      </c>
      <c r="K103" s="112" t="s">
        <v>1855</v>
      </c>
      <c r="L103" s="118" t="s">
        <v>2109</v>
      </c>
      <c r="M103" s="112" t="s">
        <v>1877</v>
      </c>
    </row>
    <row r="104" spans="1:13">
      <c r="A104" s="22">
        <v>2022</v>
      </c>
      <c r="B104" s="112" t="s">
        <v>670</v>
      </c>
      <c r="C104" s="112" t="s">
        <v>61</v>
      </c>
      <c r="D104" s="17" t="s">
        <v>1877</v>
      </c>
      <c r="E104" s="115" t="s">
        <v>1853</v>
      </c>
      <c r="F104" s="134">
        <v>44853</v>
      </c>
      <c r="G104" s="118" t="s">
        <v>671</v>
      </c>
      <c r="H104" s="112" t="s">
        <v>672</v>
      </c>
      <c r="I104" s="120">
        <v>151700</v>
      </c>
      <c r="J104" s="112" t="s">
        <v>135</v>
      </c>
      <c r="K104" s="112" t="s">
        <v>1828</v>
      </c>
      <c r="L104" s="118" t="s">
        <v>2110</v>
      </c>
      <c r="M104" s="112" t="s">
        <v>1877</v>
      </c>
    </row>
    <row r="105" spans="1:13">
      <c r="A105" s="22">
        <v>2022</v>
      </c>
      <c r="B105" s="6" t="s">
        <v>2111</v>
      </c>
      <c r="C105" s="112" t="s">
        <v>1883</v>
      </c>
      <c r="D105" s="6" t="s">
        <v>586</v>
      </c>
      <c r="E105" s="6" t="s">
        <v>1874</v>
      </c>
      <c r="F105" s="7">
        <v>44860</v>
      </c>
      <c r="G105" s="22" t="s">
        <v>587</v>
      </c>
      <c r="H105" s="6" t="s">
        <v>641</v>
      </c>
      <c r="I105" s="121">
        <v>5000</v>
      </c>
      <c r="J105" s="6" t="s">
        <v>2112</v>
      </c>
      <c r="K105" s="6" t="s">
        <v>1828</v>
      </c>
      <c r="L105" s="22"/>
      <c r="M105" s="6" t="s">
        <v>586</v>
      </c>
    </row>
    <row r="106" spans="1:13">
      <c r="A106" s="22">
        <v>2022</v>
      </c>
      <c r="B106" s="112" t="s">
        <v>2111</v>
      </c>
      <c r="C106" s="112" t="s">
        <v>2113</v>
      </c>
      <c r="D106" s="6" t="s">
        <v>586</v>
      </c>
      <c r="E106" s="6" t="s">
        <v>1874</v>
      </c>
      <c r="F106" s="7">
        <v>44860</v>
      </c>
      <c r="G106" s="22" t="s">
        <v>2114</v>
      </c>
      <c r="H106" s="6" t="s">
        <v>588</v>
      </c>
      <c r="I106" s="121">
        <v>5000</v>
      </c>
      <c r="J106" s="6" t="s">
        <v>2112</v>
      </c>
      <c r="K106" s="6" t="s">
        <v>1886</v>
      </c>
      <c r="L106" s="22" t="s">
        <v>2115</v>
      </c>
      <c r="M106" s="6" t="s">
        <v>586</v>
      </c>
    </row>
    <row r="107" spans="1:13">
      <c r="A107" s="22">
        <v>2022</v>
      </c>
      <c r="B107" s="112" t="s">
        <v>673</v>
      </c>
      <c r="C107" s="112" t="s">
        <v>61</v>
      </c>
      <c r="D107" s="17" t="s">
        <v>1877</v>
      </c>
      <c r="E107" s="115" t="s">
        <v>1853</v>
      </c>
      <c r="F107" s="134">
        <v>44860</v>
      </c>
      <c r="G107" s="118" t="s">
        <v>674</v>
      </c>
      <c r="H107" s="112" t="s">
        <v>675</v>
      </c>
      <c r="I107" s="120">
        <v>39600</v>
      </c>
      <c r="J107" s="112" t="s">
        <v>2116</v>
      </c>
      <c r="K107" s="112" t="s">
        <v>1879</v>
      </c>
      <c r="L107" s="118" t="s">
        <v>2117</v>
      </c>
      <c r="M107" s="112" t="s">
        <v>1877</v>
      </c>
    </row>
    <row r="108" spans="1:13">
      <c r="A108" s="22">
        <v>2022</v>
      </c>
      <c r="B108" s="112" t="s">
        <v>676</v>
      </c>
      <c r="C108" s="112" t="s">
        <v>61</v>
      </c>
      <c r="D108" s="17" t="s">
        <v>1877</v>
      </c>
      <c r="E108" s="115" t="s">
        <v>1853</v>
      </c>
      <c r="F108" s="134">
        <v>44860</v>
      </c>
      <c r="G108" s="118" t="s">
        <v>677</v>
      </c>
      <c r="H108" s="112" t="s">
        <v>678</v>
      </c>
      <c r="I108" s="120">
        <v>94130</v>
      </c>
      <c r="J108" s="112" t="s">
        <v>2118</v>
      </c>
      <c r="K108" s="6" t="s">
        <v>1886</v>
      </c>
      <c r="L108" s="118" t="s">
        <v>2119</v>
      </c>
      <c r="M108" s="112" t="s">
        <v>1877</v>
      </c>
    </row>
    <row r="109" spans="1:13">
      <c r="A109" s="22">
        <v>2022</v>
      </c>
      <c r="B109" s="112" t="s">
        <v>679</v>
      </c>
      <c r="C109" s="112" t="s">
        <v>61</v>
      </c>
      <c r="D109" s="17" t="s">
        <v>1877</v>
      </c>
      <c r="E109" s="115" t="s">
        <v>1853</v>
      </c>
      <c r="F109" s="134">
        <v>44860</v>
      </c>
      <c r="G109" s="118" t="s">
        <v>680</v>
      </c>
      <c r="H109" s="112" t="s">
        <v>681</v>
      </c>
      <c r="I109" s="120">
        <v>151870</v>
      </c>
      <c r="J109" s="112" t="s">
        <v>2120</v>
      </c>
      <c r="K109" s="6" t="s">
        <v>1886</v>
      </c>
      <c r="L109" s="118" t="s">
        <v>2121</v>
      </c>
      <c r="M109" s="112" t="s">
        <v>1877</v>
      </c>
    </row>
    <row r="110" spans="1:13">
      <c r="A110" s="22">
        <v>2022</v>
      </c>
      <c r="B110" s="6" t="s">
        <v>1105</v>
      </c>
      <c r="C110" s="112" t="s">
        <v>61</v>
      </c>
      <c r="D110" s="6" t="s">
        <v>1099</v>
      </c>
      <c r="E110" s="6" t="s">
        <v>1904</v>
      </c>
      <c r="F110" s="7">
        <v>44875</v>
      </c>
      <c r="G110" s="22" t="s">
        <v>1106</v>
      </c>
      <c r="H110" s="6" t="s">
        <v>1107</v>
      </c>
      <c r="I110" s="121">
        <v>50876.800000000003</v>
      </c>
      <c r="J110" s="6" t="s">
        <v>2122</v>
      </c>
      <c r="K110" s="6" t="s">
        <v>2082</v>
      </c>
      <c r="L110" s="22"/>
      <c r="M110" s="6" t="s">
        <v>1099</v>
      </c>
    </row>
    <row r="111" spans="1:13">
      <c r="A111" s="22">
        <v>2022</v>
      </c>
      <c r="B111" s="6" t="s">
        <v>2123</v>
      </c>
      <c r="C111" s="6" t="s">
        <v>1883</v>
      </c>
      <c r="D111" s="17" t="s">
        <v>1877</v>
      </c>
      <c r="E111" s="115" t="s">
        <v>1853</v>
      </c>
      <c r="F111" s="7">
        <v>44875</v>
      </c>
      <c r="G111" s="22" t="s">
        <v>2124</v>
      </c>
      <c r="H111" s="6" t="s">
        <v>2125</v>
      </c>
      <c r="I111" s="121"/>
      <c r="J111" s="6"/>
      <c r="K111" s="6" t="s">
        <v>2041</v>
      </c>
      <c r="L111" s="22"/>
      <c r="M111" s="6" t="s">
        <v>1877</v>
      </c>
    </row>
    <row r="112" spans="1:13">
      <c r="A112" s="22">
        <v>2022</v>
      </c>
      <c r="B112" s="112" t="s">
        <v>682</v>
      </c>
      <c r="C112" s="112" t="s">
        <v>61</v>
      </c>
      <c r="D112" s="112" t="s">
        <v>68</v>
      </c>
      <c r="E112" s="6" t="s">
        <v>1874</v>
      </c>
      <c r="F112" s="134">
        <v>44875</v>
      </c>
      <c r="G112" s="118" t="s">
        <v>683</v>
      </c>
      <c r="H112" s="112" t="s">
        <v>684</v>
      </c>
      <c r="I112" s="120">
        <v>73200</v>
      </c>
      <c r="J112" s="112" t="s">
        <v>2126</v>
      </c>
      <c r="K112" s="112" t="s">
        <v>2031</v>
      </c>
      <c r="L112" s="118" t="s">
        <v>2127</v>
      </c>
      <c r="M112" s="112" t="s">
        <v>68</v>
      </c>
    </row>
    <row r="113" spans="1:13">
      <c r="A113" s="22">
        <v>2022</v>
      </c>
      <c r="B113" s="112"/>
      <c r="C113" s="112"/>
      <c r="D113" s="112"/>
      <c r="E113" s="112"/>
      <c r="F113" s="134"/>
      <c r="G113" s="118"/>
      <c r="H113" s="112"/>
      <c r="I113" s="120">
        <f>SUM(I112,I109,I108,I107,I104,I103,I102,I97,I96,I95,I87,I86)</f>
        <v>847612.75</v>
      </c>
      <c r="J113" s="112"/>
      <c r="K113" s="112"/>
      <c r="L113" s="118"/>
      <c r="M113" s="112"/>
    </row>
    <row r="114" spans="1:13">
      <c r="A114" s="22">
        <v>2022</v>
      </c>
      <c r="B114" s="6" t="s">
        <v>1108</v>
      </c>
      <c r="C114" s="112" t="s">
        <v>61</v>
      </c>
      <c r="D114" s="140" t="s">
        <v>62</v>
      </c>
      <c r="E114" s="6" t="s">
        <v>1904</v>
      </c>
      <c r="F114" s="7">
        <v>44881</v>
      </c>
      <c r="G114" s="22" t="s">
        <v>1109</v>
      </c>
      <c r="H114" s="6" t="s">
        <v>1110</v>
      </c>
      <c r="I114" s="121">
        <v>1534670</v>
      </c>
      <c r="J114" s="6" t="s">
        <v>2128</v>
      </c>
      <c r="K114" s="6" t="s">
        <v>1855</v>
      </c>
      <c r="L114" s="22"/>
      <c r="M114" s="6" t="s">
        <v>62</v>
      </c>
    </row>
    <row r="115" spans="1:13">
      <c r="A115" s="22">
        <v>2022</v>
      </c>
      <c r="B115" s="6"/>
      <c r="C115" s="112"/>
      <c r="D115" s="6"/>
      <c r="E115" s="6"/>
      <c r="F115" s="7"/>
      <c r="G115" s="22"/>
      <c r="H115" s="6"/>
      <c r="I115" s="121">
        <f>I114+I83+I75+I69</f>
        <v>5036432.5</v>
      </c>
      <c r="J115" s="6"/>
      <c r="K115" s="6"/>
      <c r="L115" s="22"/>
      <c r="M115" s="6"/>
    </row>
    <row r="116" spans="1:13">
      <c r="A116" s="22">
        <v>2022</v>
      </c>
      <c r="B116" s="6" t="s">
        <v>1494</v>
      </c>
      <c r="C116" s="112" t="s">
        <v>61</v>
      </c>
      <c r="D116" s="115" t="s">
        <v>1383</v>
      </c>
      <c r="E116" s="115" t="s">
        <v>1859</v>
      </c>
      <c r="F116" s="7">
        <v>44881</v>
      </c>
      <c r="G116" s="22" t="s">
        <v>1495</v>
      </c>
      <c r="H116" s="6" t="s">
        <v>1496</v>
      </c>
      <c r="I116" s="121">
        <v>300000</v>
      </c>
      <c r="J116" s="6" t="s">
        <v>2129</v>
      </c>
      <c r="K116" s="6" t="s">
        <v>2130</v>
      </c>
      <c r="L116" s="22" t="s">
        <v>2131</v>
      </c>
      <c r="M116" s="6" t="s">
        <v>1468</v>
      </c>
    </row>
    <row r="117" spans="1:13">
      <c r="A117" s="22">
        <v>2022</v>
      </c>
      <c r="B117" s="6" t="s">
        <v>2132</v>
      </c>
      <c r="C117" s="6" t="s">
        <v>1883</v>
      </c>
      <c r="D117" s="115" t="s">
        <v>1383</v>
      </c>
      <c r="E117" s="6" t="s">
        <v>2018</v>
      </c>
      <c r="F117" s="7">
        <v>44881</v>
      </c>
      <c r="G117" s="22" t="s">
        <v>2133</v>
      </c>
      <c r="H117" s="6" t="s">
        <v>2104</v>
      </c>
      <c r="I117" s="121"/>
      <c r="J117" s="6"/>
      <c r="K117" s="6" t="s">
        <v>1828</v>
      </c>
      <c r="L117" s="22"/>
      <c r="M117" s="6" t="s">
        <v>1383</v>
      </c>
    </row>
    <row r="118" spans="1:13">
      <c r="A118" s="22">
        <v>2022</v>
      </c>
      <c r="B118" s="6" t="s">
        <v>2134</v>
      </c>
      <c r="C118" s="6" t="s">
        <v>1883</v>
      </c>
      <c r="D118" s="115" t="s">
        <v>1383</v>
      </c>
      <c r="E118" s="6" t="s">
        <v>2018</v>
      </c>
      <c r="F118" s="7">
        <v>44886</v>
      </c>
      <c r="G118" s="22" t="s">
        <v>2135</v>
      </c>
      <c r="H118" s="6" t="s">
        <v>2104</v>
      </c>
      <c r="I118" s="121"/>
      <c r="J118" s="6"/>
      <c r="K118" s="6" t="s">
        <v>1828</v>
      </c>
      <c r="L118" s="22"/>
      <c r="M118" s="6" t="s">
        <v>1383</v>
      </c>
    </row>
    <row r="119" spans="1:13">
      <c r="A119" s="22">
        <v>2022</v>
      </c>
      <c r="B119" s="42" t="s">
        <v>690</v>
      </c>
      <c r="C119" s="112" t="s">
        <v>61</v>
      </c>
      <c r="D119" s="6" t="s">
        <v>125</v>
      </c>
      <c r="E119" s="6" t="s">
        <v>1874</v>
      </c>
      <c r="F119" s="7">
        <v>44733</v>
      </c>
      <c r="G119" s="136" t="s">
        <v>691</v>
      </c>
      <c r="H119" s="42" t="s">
        <v>692</v>
      </c>
      <c r="I119" s="121">
        <v>7155412</v>
      </c>
      <c r="J119" s="6" t="s">
        <v>2136</v>
      </c>
      <c r="K119" s="6" t="s">
        <v>1919</v>
      </c>
      <c r="L119" s="136"/>
      <c r="M119" s="6" t="s">
        <v>125</v>
      </c>
    </row>
    <row r="120" spans="1:13">
      <c r="A120" s="22">
        <v>2022</v>
      </c>
      <c r="B120" s="42"/>
      <c r="C120" s="112"/>
      <c r="D120" s="6"/>
      <c r="E120" s="6"/>
      <c r="F120" s="7"/>
      <c r="G120" s="136"/>
      <c r="H120" s="42"/>
      <c r="I120" s="121">
        <f>I119+I50+I49</f>
        <v>11593292</v>
      </c>
      <c r="J120" s="6"/>
      <c r="K120" s="6"/>
      <c r="L120" s="136"/>
      <c r="M120" s="6"/>
    </row>
    <row r="121" spans="1:13">
      <c r="A121" s="22">
        <v>2022</v>
      </c>
      <c r="B121" s="42" t="s">
        <v>690</v>
      </c>
      <c r="C121" s="112" t="s">
        <v>61</v>
      </c>
      <c r="D121" s="6" t="s">
        <v>125</v>
      </c>
      <c r="E121" s="6" t="s">
        <v>1874</v>
      </c>
      <c r="F121" s="7">
        <v>44873</v>
      </c>
      <c r="G121" s="136" t="s">
        <v>693</v>
      </c>
      <c r="H121" s="42" t="s">
        <v>694</v>
      </c>
      <c r="I121" s="142">
        <v>3897512</v>
      </c>
      <c r="J121" s="6" t="s">
        <v>2137</v>
      </c>
      <c r="K121" s="6" t="s">
        <v>1896</v>
      </c>
      <c r="L121" s="136"/>
      <c r="M121" s="6" t="s">
        <v>125</v>
      </c>
    </row>
    <row r="122" spans="1:13">
      <c r="A122" s="22">
        <v>2022</v>
      </c>
      <c r="B122" s="42" t="s">
        <v>690</v>
      </c>
      <c r="C122" s="112" t="s">
        <v>61</v>
      </c>
      <c r="D122" s="6" t="s">
        <v>125</v>
      </c>
      <c r="E122" s="6" t="s">
        <v>1874</v>
      </c>
      <c r="F122" s="7">
        <v>44873</v>
      </c>
      <c r="G122" s="136" t="s">
        <v>695</v>
      </c>
      <c r="H122" s="42" t="s">
        <v>696</v>
      </c>
      <c r="I122" s="142">
        <v>4161535.59</v>
      </c>
      <c r="J122" s="6" t="s">
        <v>2138</v>
      </c>
      <c r="K122" s="6" t="s">
        <v>1828</v>
      </c>
      <c r="L122" s="136"/>
      <c r="M122" s="6" t="s">
        <v>125</v>
      </c>
    </row>
    <row r="123" spans="1:13">
      <c r="A123" s="143">
        <v>2021</v>
      </c>
      <c r="B123" s="144">
        <v>44197</v>
      </c>
      <c r="C123" s="9" t="s">
        <v>61</v>
      </c>
      <c r="D123" s="9" t="s">
        <v>697</v>
      </c>
      <c r="E123" s="9" t="s">
        <v>1824</v>
      </c>
      <c r="F123" s="6"/>
      <c r="G123" s="22" t="s">
        <v>698</v>
      </c>
      <c r="H123" s="6" t="s">
        <v>699</v>
      </c>
      <c r="I123" s="121">
        <v>414900</v>
      </c>
      <c r="J123" s="6" t="s">
        <v>2139</v>
      </c>
      <c r="K123" s="9" t="s">
        <v>1828</v>
      </c>
      <c r="L123" s="6"/>
      <c r="M123" s="9" t="s">
        <v>697</v>
      </c>
    </row>
    <row r="124" spans="1:13">
      <c r="A124" s="143">
        <v>2021</v>
      </c>
      <c r="B124" s="144">
        <v>44228</v>
      </c>
      <c r="C124" s="9" t="s">
        <v>1867</v>
      </c>
      <c r="D124" s="9"/>
      <c r="E124" s="9"/>
      <c r="F124" s="6"/>
      <c r="G124" s="22" t="s">
        <v>2140</v>
      </c>
      <c r="H124" s="6" t="s">
        <v>2141</v>
      </c>
      <c r="I124" s="121"/>
      <c r="J124" s="6" t="s">
        <v>2142</v>
      </c>
      <c r="K124" s="9" t="s">
        <v>1899</v>
      </c>
      <c r="L124" s="6" t="s">
        <v>2143</v>
      </c>
      <c r="M124" s="9"/>
    </row>
    <row r="125" spans="1:13">
      <c r="A125" s="143">
        <v>2021</v>
      </c>
      <c r="B125" s="144">
        <v>44348</v>
      </c>
      <c r="C125" s="9" t="s">
        <v>1867</v>
      </c>
      <c r="D125" s="9"/>
      <c r="E125" s="9" t="s">
        <v>2144</v>
      </c>
      <c r="F125" s="6"/>
      <c r="G125" s="22" t="s">
        <v>2145</v>
      </c>
      <c r="H125" s="6" t="s">
        <v>2146</v>
      </c>
      <c r="I125" s="121"/>
      <c r="J125" s="6" t="s">
        <v>2147</v>
      </c>
      <c r="K125" s="9" t="s">
        <v>2051</v>
      </c>
      <c r="L125" s="6" t="s">
        <v>2143</v>
      </c>
      <c r="M125" s="9"/>
    </row>
    <row r="126" spans="1:13">
      <c r="A126" s="140">
        <v>2021</v>
      </c>
      <c r="B126" s="144">
        <v>44378</v>
      </c>
      <c r="C126" s="9" t="s">
        <v>61</v>
      </c>
      <c r="D126" s="9" t="s">
        <v>62</v>
      </c>
      <c r="E126" s="6" t="s">
        <v>1904</v>
      </c>
      <c r="F126" s="6"/>
      <c r="G126" s="22" t="s">
        <v>1112</v>
      </c>
      <c r="H126" s="6" t="s">
        <v>1113</v>
      </c>
      <c r="I126" s="121">
        <v>1578099.2</v>
      </c>
      <c r="J126" s="6" t="s">
        <v>2148</v>
      </c>
      <c r="K126" s="9" t="s">
        <v>1899</v>
      </c>
      <c r="L126" s="6" t="s">
        <v>2149</v>
      </c>
      <c r="M126" s="9" t="s">
        <v>1111</v>
      </c>
    </row>
    <row r="127" spans="1:13">
      <c r="A127" s="143">
        <v>2021</v>
      </c>
      <c r="B127" s="144">
        <v>44409</v>
      </c>
      <c r="C127" s="9" t="s">
        <v>1867</v>
      </c>
      <c r="D127" s="9" t="s">
        <v>62</v>
      </c>
      <c r="E127" s="9"/>
      <c r="F127" s="6"/>
      <c r="G127" s="22" t="s">
        <v>2150</v>
      </c>
      <c r="H127" s="6" t="s">
        <v>2151</v>
      </c>
      <c r="I127" s="121"/>
      <c r="J127" s="6" t="s">
        <v>2152</v>
      </c>
      <c r="K127" s="9" t="s">
        <v>1899</v>
      </c>
      <c r="L127" s="139" t="s">
        <v>2016</v>
      </c>
      <c r="M127" s="9" t="s">
        <v>1111</v>
      </c>
    </row>
    <row r="128" spans="1:13">
      <c r="A128" s="143">
        <v>2021</v>
      </c>
      <c r="B128" s="144">
        <v>44440</v>
      </c>
      <c r="C128" s="9" t="s">
        <v>1867</v>
      </c>
      <c r="D128" s="9"/>
      <c r="E128" s="9"/>
      <c r="F128" s="6"/>
      <c r="G128" s="22" t="s">
        <v>2153</v>
      </c>
      <c r="H128" s="6" t="s">
        <v>2154</v>
      </c>
      <c r="I128" s="121"/>
      <c r="J128" s="6" t="s">
        <v>2155</v>
      </c>
      <c r="K128" s="6" t="s">
        <v>1886</v>
      </c>
      <c r="L128" s="139" t="s">
        <v>2016</v>
      </c>
      <c r="M128" s="9"/>
    </row>
    <row r="129" spans="1:13">
      <c r="A129" s="143">
        <v>2021</v>
      </c>
      <c r="B129" s="145">
        <v>44531</v>
      </c>
      <c r="C129" s="9" t="s">
        <v>61</v>
      </c>
      <c r="D129" s="17" t="s">
        <v>1877</v>
      </c>
      <c r="E129" s="115" t="s">
        <v>1853</v>
      </c>
      <c r="F129" s="6"/>
      <c r="G129" s="22" t="s">
        <v>700</v>
      </c>
      <c r="H129" s="6" t="s">
        <v>2156</v>
      </c>
      <c r="I129" s="121">
        <v>50735</v>
      </c>
      <c r="J129" s="6" t="s">
        <v>2157</v>
      </c>
      <c r="K129" s="6" t="s">
        <v>1886</v>
      </c>
      <c r="L129" s="6" t="s">
        <v>2158</v>
      </c>
      <c r="M129" s="9" t="s">
        <v>456</v>
      </c>
    </row>
    <row r="130" spans="1:13">
      <c r="A130" s="143">
        <v>2021</v>
      </c>
      <c r="B130" s="9" t="s">
        <v>2159</v>
      </c>
      <c r="C130" s="9"/>
      <c r="D130" s="17" t="s">
        <v>1877</v>
      </c>
      <c r="E130" s="115" t="s">
        <v>1853</v>
      </c>
      <c r="F130" s="6"/>
      <c r="G130" s="147" t="s">
        <v>700</v>
      </c>
      <c r="H130" s="132" t="s">
        <v>2160</v>
      </c>
      <c r="I130" s="146">
        <v>50735</v>
      </c>
      <c r="J130" s="6" t="s">
        <v>2157</v>
      </c>
      <c r="K130" s="6" t="s">
        <v>1886</v>
      </c>
      <c r="L130" s="6" t="s">
        <v>2158</v>
      </c>
      <c r="M130" s="9" t="s">
        <v>456</v>
      </c>
    </row>
    <row r="131" spans="1:13">
      <c r="A131" s="140">
        <v>2021</v>
      </c>
      <c r="B131" s="9" t="s">
        <v>1114</v>
      </c>
      <c r="C131" s="9" t="s">
        <v>61</v>
      </c>
      <c r="D131" s="9" t="s">
        <v>62</v>
      </c>
      <c r="E131" s="6" t="s">
        <v>1904</v>
      </c>
      <c r="F131" s="148"/>
      <c r="G131" s="22" t="s">
        <v>1115</v>
      </c>
      <c r="H131" s="6" t="s">
        <v>1116</v>
      </c>
      <c r="I131" s="121">
        <v>1527776</v>
      </c>
      <c r="J131" s="148" t="s">
        <v>2161</v>
      </c>
      <c r="K131" s="9" t="s">
        <v>1828</v>
      </c>
      <c r="L131" s="6" t="s">
        <v>2162</v>
      </c>
      <c r="M131" s="9" t="s">
        <v>1111</v>
      </c>
    </row>
    <row r="132" spans="1:13">
      <c r="A132" s="143">
        <v>2021</v>
      </c>
      <c r="B132" s="9" t="s">
        <v>1497</v>
      </c>
      <c r="C132" s="9" t="s">
        <v>61</v>
      </c>
      <c r="D132" s="9" t="s">
        <v>1417</v>
      </c>
      <c r="E132" s="9" t="s">
        <v>2163</v>
      </c>
      <c r="F132" s="6"/>
      <c r="G132" s="22" t="s">
        <v>1498</v>
      </c>
      <c r="H132" s="6" t="s">
        <v>808</v>
      </c>
      <c r="I132" s="121">
        <v>1232386.08</v>
      </c>
      <c r="J132" s="6" t="s">
        <v>2139</v>
      </c>
      <c r="K132" s="9" t="s">
        <v>1828</v>
      </c>
      <c r="L132" s="6" t="s">
        <v>2164</v>
      </c>
      <c r="M132" s="9" t="s">
        <v>1417</v>
      </c>
    </row>
    <row r="133" spans="1:13">
      <c r="A133" s="143">
        <v>2021</v>
      </c>
      <c r="B133" s="9" t="s">
        <v>2165</v>
      </c>
      <c r="C133" s="9" t="s">
        <v>1867</v>
      </c>
      <c r="D133" s="9"/>
      <c r="E133" s="9"/>
      <c r="F133" s="6"/>
      <c r="G133" s="22" t="s">
        <v>2166</v>
      </c>
      <c r="H133" s="6" t="s">
        <v>2167</v>
      </c>
      <c r="I133" s="121"/>
      <c r="J133" s="6" t="s">
        <v>2168</v>
      </c>
      <c r="K133" s="6" t="s">
        <v>1886</v>
      </c>
      <c r="L133" s="139" t="s">
        <v>2016</v>
      </c>
      <c r="M133" s="9"/>
    </row>
    <row r="134" spans="1:13">
      <c r="A134" s="143">
        <v>2021</v>
      </c>
      <c r="B134" s="9" t="s">
        <v>2169</v>
      </c>
      <c r="C134" s="9" t="s">
        <v>61</v>
      </c>
      <c r="D134" s="115" t="s">
        <v>1383</v>
      </c>
      <c r="E134" s="115" t="s">
        <v>1859</v>
      </c>
      <c r="F134" s="6"/>
      <c r="G134" s="22" t="s">
        <v>2170</v>
      </c>
      <c r="H134" s="6" t="s">
        <v>2171</v>
      </c>
      <c r="I134" s="121">
        <v>200000</v>
      </c>
      <c r="J134" s="6" t="s">
        <v>2139</v>
      </c>
      <c r="K134" s="9" t="s">
        <v>1828</v>
      </c>
      <c r="L134" s="6"/>
      <c r="M134" s="9" t="s">
        <v>2172</v>
      </c>
    </row>
    <row r="135" spans="1:13">
      <c r="A135" s="143">
        <v>2021</v>
      </c>
      <c r="B135" s="9" t="s">
        <v>2173</v>
      </c>
      <c r="C135" s="9"/>
      <c r="D135" s="115" t="s">
        <v>1383</v>
      </c>
      <c r="E135" s="9" t="s">
        <v>1824</v>
      </c>
      <c r="F135" s="6"/>
      <c r="G135" s="22" t="s">
        <v>2174</v>
      </c>
      <c r="H135" s="132" t="s">
        <v>808</v>
      </c>
      <c r="I135" s="121">
        <v>5600000</v>
      </c>
      <c r="J135" s="6" t="s">
        <v>2139</v>
      </c>
      <c r="K135" s="9" t="s">
        <v>1828</v>
      </c>
      <c r="L135" s="132" t="s">
        <v>2175</v>
      </c>
      <c r="M135" s="9" t="s">
        <v>2172</v>
      </c>
    </row>
    <row r="136" spans="1:13">
      <c r="A136" s="143">
        <v>2021</v>
      </c>
      <c r="B136" s="9" t="s">
        <v>702</v>
      </c>
      <c r="C136" s="9" t="s">
        <v>61</v>
      </c>
      <c r="D136" s="9" t="s">
        <v>394</v>
      </c>
      <c r="E136" s="115" t="s">
        <v>1853</v>
      </c>
      <c r="F136" s="6"/>
      <c r="G136" s="22" t="s">
        <v>703</v>
      </c>
      <c r="H136" s="6" t="s">
        <v>704</v>
      </c>
      <c r="I136" s="64">
        <v>9000</v>
      </c>
      <c r="J136" s="6"/>
      <c r="K136" s="9" t="s">
        <v>1879</v>
      </c>
      <c r="L136" s="6" t="s">
        <v>2176</v>
      </c>
      <c r="M136" s="9" t="s">
        <v>394</v>
      </c>
    </row>
    <row r="137" spans="1:13">
      <c r="A137" s="143">
        <v>2021</v>
      </c>
      <c r="B137" s="9" t="s">
        <v>705</v>
      </c>
      <c r="C137" s="9" t="s">
        <v>61</v>
      </c>
      <c r="D137" s="9" t="s">
        <v>394</v>
      </c>
      <c r="E137" s="115" t="s">
        <v>1853</v>
      </c>
      <c r="F137" s="6"/>
      <c r="G137" s="147" t="s">
        <v>706</v>
      </c>
      <c r="H137" s="6" t="s">
        <v>707</v>
      </c>
      <c r="I137" s="64">
        <v>20000</v>
      </c>
      <c r="J137" s="6"/>
      <c r="K137" s="9" t="s">
        <v>1919</v>
      </c>
      <c r="L137" s="6" t="s">
        <v>2177</v>
      </c>
      <c r="M137" s="9" t="s">
        <v>394</v>
      </c>
    </row>
    <row r="138" spans="1:13">
      <c r="A138" s="143">
        <v>2021</v>
      </c>
      <c r="B138" s="9" t="s">
        <v>2178</v>
      </c>
      <c r="C138" s="9" t="s">
        <v>61</v>
      </c>
      <c r="D138" s="115" t="s">
        <v>1383</v>
      </c>
      <c r="E138" s="115" t="s">
        <v>1859</v>
      </c>
      <c r="F138" s="6"/>
      <c r="G138" s="22" t="s">
        <v>2180</v>
      </c>
      <c r="H138" s="6" t="s">
        <v>575</v>
      </c>
      <c r="I138" s="121" t="s">
        <v>2179</v>
      </c>
      <c r="J138" s="6" t="s">
        <v>2181</v>
      </c>
      <c r="K138" s="9" t="s">
        <v>1828</v>
      </c>
      <c r="L138" s="6" t="s">
        <v>2182</v>
      </c>
      <c r="M138" s="9" t="s">
        <v>2172</v>
      </c>
    </row>
    <row r="139" spans="1:13">
      <c r="A139" s="143">
        <v>2021</v>
      </c>
      <c r="B139" s="9" t="s">
        <v>1499</v>
      </c>
      <c r="C139" s="9" t="s">
        <v>61</v>
      </c>
      <c r="D139" s="115" t="s">
        <v>1383</v>
      </c>
      <c r="E139" s="115" t="s">
        <v>1859</v>
      </c>
      <c r="F139" s="6"/>
      <c r="G139" s="22" t="s">
        <v>1501</v>
      </c>
      <c r="H139" s="6" t="s">
        <v>1502</v>
      </c>
      <c r="I139" s="121">
        <v>200000</v>
      </c>
      <c r="J139" s="6"/>
      <c r="K139" s="9" t="s">
        <v>2051</v>
      </c>
      <c r="L139" s="6" t="s">
        <v>2183</v>
      </c>
      <c r="M139" s="9" t="s">
        <v>1500</v>
      </c>
    </row>
    <row r="140" spans="1:13">
      <c r="A140" s="143">
        <v>2021</v>
      </c>
      <c r="B140" s="9" t="s">
        <v>708</v>
      </c>
      <c r="C140" s="9" t="s">
        <v>61</v>
      </c>
      <c r="D140" s="6" t="s">
        <v>586</v>
      </c>
      <c r="E140" s="6" t="s">
        <v>1874</v>
      </c>
      <c r="F140" s="148"/>
      <c r="G140" s="22" t="s">
        <v>709</v>
      </c>
      <c r="H140" s="6" t="s">
        <v>2184</v>
      </c>
      <c r="I140" s="121">
        <v>28450</v>
      </c>
      <c r="J140" s="148" t="s">
        <v>2185</v>
      </c>
      <c r="K140" s="6" t="s">
        <v>1886</v>
      </c>
      <c r="L140" s="6" t="s">
        <v>2186</v>
      </c>
      <c r="M140" s="6" t="s">
        <v>586</v>
      </c>
    </row>
    <row r="141" spans="1:13">
      <c r="A141" s="143">
        <v>2021</v>
      </c>
      <c r="B141" s="9" t="s">
        <v>711</v>
      </c>
      <c r="C141" s="9" t="s">
        <v>61</v>
      </c>
      <c r="D141" s="112" t="s">
        <v>68</v>
      </c>
      <c r="E141" s="6" t="s">
        <v>1874</v>
      </c>
      <c r="F141" s="148"/>
      <c r="G141" s="22" t="s">
        <v>713</v>
      </c>
      <c r="H141" s="6" t="s">
        <v>2187</v>
      </c>
      <c r="I141" s="121">
        <v>222750</v>
      </c>
      <c r="J141" s="148" t="s">
        <v>2188</v>
      </c>
      <c r="K141" s="9" t="s">
        <v>1828</v>
      </c>
      <c r="L141" s="6" t="s">
        <v>2189</v>
      </c>
      <c r="M141" s="9" t="s">
        <v>712</v>
      </c>
    </row>
    <row r="142" spans="1:13">
      <c r="A142" s="143">
        <v>2021</v>
      </c>
      <c r="B142" s="9" t="s">
        <v>1503</v>
      </c>
      <c r="C142" s="9" t="s">
        <v>61</v>
      </c>
      <c r="D142" s="115" t="s">
        <v>1383</v>
      </c>
      <c r="E142" s="115" t="s">
        <v>1859</v>
      </c>
      <c r="F142" s="6"/>
      <c r="G142" s="22" t="s">
        <v>1504</v>
      </c>
      <c r="H142" s="6" t="s">
        <v>1505</v>
      </c>
      <c r="I142" s="121">
        <v>394700</v>
      </c>
      <c r="J142" s="6" t="s">
        <v>2190</v>
      </c>
      <c r="K142" s="9" t="s">
        <v>1828</v>
      </c>
      <c r="L142" s="6" t="s">
        <v>2191</v>
      </c>
      <c r="M142" s="9" t="s">
        <v>1383</v>
      </c>
    </row>
    <row r="143" spans="1:13">
      <c r="A143" s="143">
        <v>2021</v>
      </c>
      <c r="B143" s="9" t="s">
        <v>2192</v>
      </c>
      <c r="C143" s="9" t="s">
        <v>61</v>
      </c>
      <c r="D143" s="115" t="s">
        <v>1383</v>
      </c>
      <c r="E143" s="115" t="s">
        <v>1859</v>
      </c>
      <c r="F143" s="6"/>
      <c r="G143" s="22" t="s">
        <v>2193</v>
      </c>
      <c r="H143" s="6" t="s">
        <v>575</v>
      </c>
      <c r="I143" s="121">
        <v>76800</v>
      </c>
      <c r="J143" s="6" t="s">
        <v>2190</v>
      </c>
      <c r="K143" s="9" t="s">
        <v>1828</v>
      </c>
      <c r="L143" s="6" t="s">
        <v>2194</v>
      </c>
      <c r="M143" s="9" t="s">
        <v>2172</v>
      </c>
    </row>
    <row r="144" spans="1:13">
      <c r="A144" s="143">
        <v>2021</v>
      </c>
      <c r="B144" s="9" t="s">
        <v>1506</v>
      </c>
      <c r="C144" s="9" t="s">
        <v>61</v>
      </c>
      <c r="D144" s="115" t="s">
        <v>1383</v>
      </c>
      <c r="E144" s="115" t="s">
        <v>1859</v>
      </c>
      <c r="F144" s="6"/>
      <c r="G144" s="22" t="s">
        <v>2195</v>
      </c>
      <c r="H144" s="6" t="s">
        <v>1508</v>
      </c>
      <c r="I144" s="121">
        <v>200000</v>
      </c>
      <c r="J144" s="6"/>
      <c r="K144" s="9" t="s">
        <v>2085</v>
      </c>
      <c r="L144" s="6" t="s">
        <v>2196</v>
      </c>
      <c r="M144" s="9" t="s">
        <v>1383</v>
      </c>
    </row>
    <row r="145" spans="1:13">
      <c r="A145" s="143">
        <v>2021</v>
      </c>
      <c r="B145" s="9" t="s">
        <v>715</v>
      </c>
      <c r="C145" s="9" t="s">
        <v>61</v>
      </c>
      <c r="D145" s="9" t="s">
        <v>394</v>
      </c>
      <c r="E145" s="115" t="s">
        <v>1853</v>
      </c>
      <c r="F145" s="6"/>
      <c r="G145" s="22" t="s">
        <v>716</v>
      </c>
      <c r="H145" s="6" t="s">
        <v>572</v>
      </c>
      <c r="I145" s="64">
        <v>8000</v>
      </c>
      <c r="J145" s="6"/>
      <c r="K145" s="9" t="s">
        <v>1855</v>
      </c>
      <c r="L145" s="6" t="s">
        <v>2197</v>
      </c>
      <c r="M145" s="9" t="s">
        <v>394</v>
      </c>
    </row>
    <row r="146" spans="1:13">
      <c r="A146" s="143">
        <v>2021</v>
      </c>
      <c r="B146" s="9" t="s">
        <v>717</v>
      </c>
      <c r="C146" s="9" t="s">
        <v>61</v>
      </c>
      <c r="D146" s="6" t="s">
        <v>586</v>
      </c>
      <c r="E146" s="6" t="s">
        <v>1874</v>
      </c>
      <c r="F146" s="148"/>
      <c r="G146" s="135" t="s">
        <v>718</v>
      </c>
      <c r="H146" s="6" t="s">
        <v>2198</v>
      </c>
      <c r="I146" s="121">
        <v>8500</v>
      </c>
      <c r="J146" s="148" t="s">
        <v>2199</v>
      </c>
      <c r="K146" s="9" t="s">
        <v>1828</v>
      </c>
      <c r="L146" s="6" t="s">
        <v>2200</v>
      </c>
      <c r="M146" s="6" t="s">
        <v>586</v>
      </c>
    </row>
    <row r="147" spans="1:13">
      <c r="A147" s="143">
        <v>2021</v>
      </c>
      <c r="B147" s="9" t="s">
        <v>1509</v>
      </c>
      <c r="C147" s="9" t="s">
        <v>61</v>
      </c>
      <c r="D147" s="9" t="s">
        <v>1417</v>
      </c>
      <c r="E147" s="9" t="s">
        <v>1824</v>
      </c>
      <c r="F147" s="6"/>
      <c r="G147" s="22" t="s">
        <v>1510</v>
      </c>
      <c r="H147" s="6" t="s">
        <v>1511</v>
      </c>
      <c r="I147" s="121">
        <v>314417.48</v>
      </c>
      <c r="J147" s="6" t="s">
        <v>2190</v>
      </c>
      <c r="K147" s="9" t="s">
        <v>1828</v>
      </c>
      <c r="L147" s="6" t="s">
        <v>2201</v>
      </c>
      <c r="M147" s="9" t="s">
        <v>1417</v>
      </c>
    </row>
    <row r="148" spans="1:13">
      <c r="A148" s="143">
        <v>2021</v>
      </c>
      <c r="B148" s="9" t="s">
        <v>1512</v>
      </c>
      <c r="C148" s="9" t="s">
        <v>61</v>
      </c>
      <c r="D148" s="9" t="s">
        <v>1417</v>
      </c>
      <c r="E148" s="9" t="s">
        <v>1824</v>
      </c>
      <c r="F148" s="6"/>
      <c r="G148" s="22" t="s">
        <v>2202</v>
      </c>
      <c r="H148" s="6" t="s">
        <v>1511</v>
      </c>
      <c r="I148" s="121">
        <v>509255</v>
      </c>
      <c r="J148" s="6" t="s">
        <v>2190</v>
      </c>
      <c r="K148" s="9" t="s">
        <v>1828</v>
      </c>
      <c r="L148" s="6" t="s">
        <v>2203</v>
      </c>
      <c r="M148" s="9" t="s">
        <v>1417</v>
      </c>
    </row>
    <row r="149" spans="1:13">
      <c r="A149" s="140">
        <v>2021</v>
      </c>
      <c r="B149" s="9" t="s">
        <v>1117</v>
      </c>
      <c r="C149" s="9" t="s">
        <v>61</v>
      </c>
      <c r="D149" s="9" t="s">
        <v>62</v>
      </c>
      <c r="E149" s="6" t="s">
        <v>1904</v>
      </c>
      <c r="F149" s="6"/>
      <c r="G149" s="22" t="s">
        <v>1119</v>
      </c>
      <c r="H149" s="6" t="s">
        <v>1120</v>
      </c>
      <c r="I149" s="121">
        <v>2880000</v>
      </c>
      <c r="J149" s="6" t="s">
        <v>2204</v>
      </c>
      <c r="K149" s="9" t="s">
        <v>2051</v>
      </c>
      <c r="L149" s="6" t="s">
        <v>2205</v>
      </c>
      <c r="M149" s="9" t="s">
        <v>1118</v>
      </c>
    </row>
    <row r="150" spans="1:13">
      <c r="A150" s="143">
        <v>2021</v>
      </c>
      <c r="B150" s="9" t="s">
        <v>1514</v>
      </c>
      <c r="C150" s="9" t="s">
        <v>61</v>
      </c>
      <c r="D150" s="115" t="s">
        <v>1383</v>
      </c>
      <c r="E150" s="115" t="s">
        <v>1859</v>
      </c>
      <c r="F150" s="6"/>
      <c r="G150" s="22" t="s">
        <v>1515</v>
      </c>
      <c r="H150" s="6" t="s">
        <v>707</v>
      </c>
      <c r="I150" s="121">
        <v>200000</v>
      </c>
      <c r="J150" s="6"/>
      <c r="K150" s="9" t="s">
        <v>1896</v>
      </c>
      <c r="L150" s="6" t="s">
        <v>2206</v>
      </c>
      <c r="M150" s="9" t="s">
        <v>1383</v>
      </c>
    </row>
    <row r="151" spans="1:13">
      <c r="A151" s="143">
        <v>2021</v>
      </c>
      <c r="B151" s="9" t="s">
        <v>720</v>
      </c>
      <c r="C151" s="9" t="s">
        <v>61</v>
      </c>
      <c r="D151" s="9" t="s">
        <v>394</v>
      </c>
      <c r="E151" s="115" t="s">
        <v>1853</v>
      </c>
      <c r="F151" s="6"/>
      <c r="G151" s="22" t="s">
        <v>721</v>
      </c>
      <c r="H151" s="6" t="s">
        <v>722</v>
      </c>
      <c r="I151" s="64">
        <v>10000</v>
      </c>
      <c r="J151" s="6"/>
      <c r="K151" s="9" t="s">
        <v>1899</v>
      </c>
      <c r="L151" s="6" t="s">
        <v>2207</v>
      </c>
      <c r="M151" s="9" t="s">
        <v>394</v>
      </c>
    </row>
    <row r="152" spans="1:13">
      <c r="A152" s="143">
        <v>2021</v>
      </c>
      <c r="B152" s="9" t="s">
        <v>2208</v>
      </c>
      <c r="C152" s="9"/>
      <c r="D152" s="9" t="s">
        <v>1420</v>
      </c>
      <c r="E152" s="9" t="s">
        <v>1824</v>
      </c>
      <c r="F152" s="6"/>
      <c r="G152" s="22" t="s">
        <v>2209</v>
      </c>
      <c r="H152" s="6" t="s">
        <v>2210</v>
      </c>
      <c r="I152" s="121">
        <v>250000</v>
      </c>
      <c r="J152" s="6" t="s">
        <v>2190</v>
      </c>
      <c r="K152" s="9" t="s">
        <v>1828</v>
      </c>
      <c r="L152" s="6" t="s">
        <v>2211</v>
      </c>
      <c r="M152" s="9" t="s">
        <v>1420</v>
      </c>
    </row>
    <row r="153" spans="1:13">
      <c r="A153" s="143">
        <v>2021</v>
      </c>
      <c r="B153" s="9" t="s">
        <v>2212</v>
      </c>
      <c r="C153" s="9" t="s">
        <v>61</v>
      </c>
      <c r="D153" s="115" t="s">
        <v>1383</v>
      </c>
      <c r="E153" s="115" t="s">
        <v>1859</v>
      </c>
      <c r="F153" s="6"/>
      <c r="G153" s="22" t="s">
        <v>2213</v>
      </c>
      <c r="H153" s="6" t="s">
        <v>2214</v>
      </c>
      <c r="I153" s="121">
        <v>200000</v>
      </c>
      <c r="J153" s="6"/>
      <c r="K153" s="9" t="s">
        <v>2085</v>
      </c>
      <c r="L153" s="6" t="s">
        <v>2215</v>
      </c>
      <c r="M153" s="9" t="s">
        <v>2172</v>
      </c>
    </row>
    <row r="154" spans="1:13">
      <c r="A154" s="143">
        <v>2021</v>
      </c>
      <c r="B154" s="9" t="s">
        <v>1516</v>
      </c>
      <c r="C154" s="9" t="s">
        <v>61</v>
      </c>
      <c r="D154" s="115" t="s">
        <v>1383</v>
      </c>
      <c r="E154" s="115" t="s">
        <v>1859</v>
      </c>
      <c r="F154" s="6"/>
      <c r="G154" s="22" t="s">
        <v>1517</v>
      </c>
      <c r="H154" s="6" t="s">
        <v>2216</v>
      </c>
      <c r="I154" s="121">
        <v>2325008</v>
      </c>
      <c r="J154" s="6" t="s">
        <v>2190</v>
      </c>
      <c r="K154" s="9" t="s">
        <v>1828</v>
      </c>
      <c r="L154" s="6" t="s">
        <v>2217</v>
      </c>
      <c r="M154" s="9" t="s">
        <v>1500</v>
      </c>
    </row>
    <row r="155" spans="1:13">
      <c r="A155" s="143">
        <v>2021</v>
      </c>
      <c r="B155" s="9" t="s">
        <v>1519</v>
      </c>
      <c r="C155" s="9" t="s">
        <v>61</v>
      </c>
      <c r="D155" s="115" t="s">
        <v>1383</v>
      </c>
      <c r="E155" s="115" t="s">
        <v>1859</v>
      </c>
      <c r="F155" s="6"/>
      <c r="G155" s="22" t="s">
        <v>2218</v>
      </c>
      <c r="H155" s="6" t="s">
        <v>1389</v>
      </c>
      <c r="I155" s="121">
        <v>200000</v>
      </c>
      <c r="J155" s="6"/>
      <c r="K155" s="9" t="s">
        <v>2031</v>
      </c>
      <c r="L155" s="149" t="s">
        <v>2219</v>
      </c>
      <c r="M155" s="9" t="s">
        <v>1520</v>
      </c>
    </row>
    <row r="156" spans="1:13">
      <c r="A156" s="143">
        <v>2021</v>
      </c>
      <c r="B156" s="9" t="s">
        <v>1522</v>
      </c>
      <c r="C156" s="9" t="s">
        <v>61</v>
      </c>
      <c r="D156" s="115" t="s">
        <v>1383</v>
      </c>
      <c r="E156" s="115" t="s">
        <v>1859</v>
      </c>
      <c r="F156" s="6"/>
      <c r="G156" s="22" t="s">
        <v>1523</v>
      </c>
      <c r="H156" s="6" t="s">
        <v>1491</v>
      </c>
      <c r="I156" s="121">
        <v>170750</v>
      </c>
      <c r="J156" s="6"/>
      <c r="K156" s="9" t="s">
        <v>2041</v>
      </c>
      <c r="L156" s="149" t="s">
        <v>2220</v>
      </c>
      <c r="M156" s="9" t="s">
        <v>1520</v>
      </c>
    </row>
    <row r="157" spans="1:13">
      <c r="A157" s="143">
        <v>2021</v>
      </c>
      <c r="B157" s="9" t="s">
        <v>1524</v>
      </c>
      <c r="C157" s="9" t="s">
        <v>61</v>
      </c>
      <c r="D157" s="115" t="s">
        <v>1383</v>
      </c>
      <c r="E157" s="115" t="s">
        <v>1859</v>
      </c>
      <c r="F157" s="6"/>
      <c r="G157" s="22" t="s">
        <v>1525</v>
      </c>
      <c r="H157" s="6" t="s">
        <v>575</v>
      </c>
      <c r="I157" s="121">
        <v>38350</v>
      </c>
      <c r="J157" s="6" t="s">
        <v>2190</v>
      </c>
      <c r="K157" s="9" t="s">
        <v>1828</v>
      </c>
      <c r="L157" s="149" t="s">
        <v>2221</v>
      </c>
      <c r="M157" s="9" t="s">
        <v>1520</v>
      </c>
    </row>
    <row r="158" spans="1:13">
      <c r="A158" s="143">
        <v>2021</v>
      </c>
      <c r="B158" s="9" t="s">
        <v>1526</v>
      </c>
      <c r="C158" s="9" t="s">
        <v>61</v>
      </c>
      <c r="D158" s="115" t="s">
        <v>1383</v>
      </c>
      <c r="E158" s="115" t="s">
        <v>1859</v>
      </c>
      <c r="F158" s="6"/>
      <c r="G158" s="22" t="s">
        <v>1527</v>
      </c>
      <c r="H158" s="6" t="s">
        <v>1528</v>
      </c>
      <c r="I158" s="121">
        <v>32350</v>
      </c>
      <c r="J158" s="6" t="s">
        <v>2190</v>
      </c>
      <c r="K158" s="9" t="s">
        <v>1828</v>
      </c>
      <c r="L158" s="149" t="s">
        <v>2222</v>
      </c>
      <c r="M158" s="9" t="s">
        <v>1520</v>
      </c>
    </row>
    <row r="159" spans="1:13">
      <c r="A159" s="143">
        <v>2021</v>
      </c>
      <c r="B159" s="9" t="s">
        <v>2223</v>
      </c>
      <c r="C159" s="9" t="s">
        <v>61</v>
      </c>
      <c r="D159" s="9" t="s">
        <v>1838</v>
      </c>
      <c r="E159" s="9" t="s">
        <v>1824</v>
      </c>
      <c r="F159" s="6"/>
      <c r="G159" s="22" t="s">
        <v>2224</v>
      </c>
      <c r="H159" s="6" t="s">
        <v>2225</v>
      </c>
      <c r="I159" s="121">
        <v>110000</v>
      </c>
      <c r="J159" s="6" t="s">
        <v>2190</v>
      </c>
      <c r="K159" s="9" t="s">
        <v>1828</v>
      </c>
      <c r="L159" s="6" t="s">
        <v>2226</v>
      </c>
      <c r="M159" s="9" t="s">
        <v>1838</v>
      </c>
    </row>
    <row r="160" spans="1:13">
      <c r="A160" s="143">
        <v>2021</v>
      </c>
      <c r="B160" s="9" t="s">
        <v>72</v>
      </c>
      <c r="C160" s="9" t="s">
        <v>61</v>
      </c>
      <c r="D160" s="112" t="s">
        <v>68</v>
      </c>
      <c r="E160" s="6" t="s">
        <v>1874</v>
      </c>
      <c r="F160" s="148"/>
      <c r="G160" s="22" t="s">
        <v>73</v>
      </c>
      <c r="H160" s="6" t="s">
        <v>2227</v>
      </c>
      <c r="I160" s="121">
        <v>349800</v>
      </c>
      <c r="J160" s="148" t="s">
        <v>2228</v>
      </c>
      <c r="K160" s="6" t="s">
        <v>1886</v>
      </c>
      <c r="L160" s="6" t="s">
        <v>2229</v>
      </c>
      <c r="M160" s="9" t="s">
        <v>2230</v>
      </c>
    </row>
    <row r="161" spans="1:13">
      <c r="A161" s="143">
        <v>2021</v>
      </c>
      <c r="B161" s="9" t="s">
        <v>724</v>
      </c>
      <c r="C161" s="9" t="s">
        <v>61</v>
      </c>
      <c r="D161" s="9" t="s">
        <v>394</v>
      </c>
      <c r="E161" s="115" t="s">
        <v>1853</v>
      </c>
      <c r="F161" s="6"/>
      <c r="G161" s="22" t="s">
        <v>725</v>
      </c>
      <c r="H161" s="6" t="s">
        <v>572</v>
      </c>
      <c r="I161" s="64">
        <v>8000</v>
      </c>
      <c r="J161" s="6"/>
      <c r="K161" s="9" t="s">
        <v>1855</v>
      </c>
      <c r="L161" s="6" t="s">
        <v>2231</v>
      </c>
      <c r="M161" s="9" t="s">
        <v>2232</v>
      </c>
    </row>
    <row r="162" spans="1:13">
      <c r="A162" s="140">
        <v>2021</v>
      </c>
      <c r="B162" s="9" t="s">
        <v>1121</v>
      </c>
      <c r="C162" s="9" t="s">
        <v>61</v>
      </c>
      <c r="D162" s="9" t="s">
        <v>62</v>
      </c>
      <c r="E162" s="6" t="s">
        <v>1904</v>
      </c>
      <c r="F162" s="6"/>
      <c r="G162" s="135" t="s">
        <v>1122</v>
      </c>
      <c r="H162" s="6" t="s">
        <v>1123</v>
      </c>
      <c r="I162" s="121">
        <v>2928900.41</v>
      </c>
      <c r="J162" s="6" t="s">
        <v>2233</v>
      </c>
      <c r="K162" s="9" t="s">
        <v>1828</v>
      </c>
      <c r="L162" s="6" t="s">
        <v>2234</v>
      </c>
      <c r="M162" s="9" t="s">
        <v>1111</v>
      </c>
    </row>
    <row r="163" spans="1:13">
      <c r="A163" s="143">
        <v>2021</v>
      </c>
      <c r="B163" s="9" t="s">
        <v>1529</v>
      </c>
      <c r="C163" s="9" t="s">
        <v>61</v>
      </c>
      <c r="D163" s="115" t="s">
        <v>1383</v>
      </c>
      <c r="E163" s="115" t="s">
        <v>1859</v>
      </c>
      <c r="F163" s="6"/>
      <c r="G163" s="22" t="s">
        <v>1530</v>
      </c>
      <c r="H163" s="6" t="s">
        <v>1531</v>
      </c>
      <c r="I163" s="121">
        <v>90500</v>
      </c>
      <c r="J163" s="6" t="s">
        <v>2190</v>
      </c>
      <c r="K163" s="9" t="s">
        <v>1828</v>
      </c>
      <c r="L163" s="6" t="s">
        <v>2235</v>
      </c>
      <c r="M163" s="9" t="s">
        <v>1520</v>
      </c>
    </row>
    <row r="164" spans="1:13">
      <c r="A164" s="140">
        <v>2021</v>
      </c>
      <c r="B164" s="9" t="s">
        <v>1124</v>
      </c>
      <c r="C164" s="9" t="s">
        <v>61</v>
      </c>
      <c r="D164" s="9" t="s">
        <v>62</v>
      </c>
      <c r="E164" s="6" t="s">
        <v>1904</v>
      </c>
      <c r="F164" s="6"/>
      <c r="G164" s="22" t="s">
        <v>1125</v>
      </c>
      <c r="H164" s="6" t="s">
        <v>1113</v>
      </c>
      <c r="I164" s="121">
        <v>4512920</v>
      </c>
      <c r="J164" s="6" t="s">
        <v>2236</v>
      </c>
      <c r="K164" s="9" t="s">
        <v>1899</v>
      </c>
      <c r="L164" s="6" t="s">
        <v>2237</v>
      </c>
      <c r="M164" s="9" t="s">
        <v>1111</v>
      </c>
    </row>
    <row r="165" spans="1:13">
      <c r="A165" s="143">
        <v>2021</v>
      </c>
      <c r="B165" s="9" t="s">
        <v>726</v>
      </c>
      <c r="C165" s="9" t="s">
        <v>61</v>
      </c>
      <c r="D165" s="112" t="s">
        <v>68</v>
      </c>
      <c r="E165" s="6" t="s">
        <v>1874</v>
      </c>
      <c r="F165" s="148"/>
      <c r="G165" s="22" t="s">
        <v>727</v>
      </c>
      <c r="H165" s="6" t="s">
        <v>2238</v>
      </c>
      <c r="I165" s="121">
        <v>108540</v>
      </c>
      <c r="J165" s="148" t="s">
        <v>2239</v>
      </c>
      <c r="K165" s="6" t="s">
        <v>1886</v>
      </c>
      <c r="L165" s="6" t="s">
        <v>2240</v>
      </c>
      <c r="M165" s="9" t="s">
        <v>2230</v>
      </c>
    </row>
    <row r="166" spans="1:13">
      <c r="A166" s="143">
        <v>2021</v>
      </c>
      <c r="B166" s="9" t="s">
        <v>729</v>
      </c>
      <c r="C166" s="9" t="s">
        <v>61</v>
      </c>
      <c r="D166" s="112" t="s">
        <v>68</v>
      </c>
      <c r="E166" s="6" t="s">
        <v>1874</v>
      </c>
      <c r="F166" s="148"/>
      <c r="G166" s="22" t="s">
        <v>730</v>
      </c>
      <c r="H166" s="6" t="s">
        <v>2241</v>
      </c>
      <c r="I166" s="121">
        <v>108500</v>
      </c>
      <c r="J166" s="148" t="s">
        <v>2242</v>
      </c>
      <c r="K166" s="9" t="s">
        <v>1919</v>
      </c>
      <c r="L166" s="6" t="s">
        <v>2243</v>
      </c>
      <c r="M166" s="9" t="s">
        <v>2230</v>
      </c>
    </row>
    <row r="167" spans="1:13">
      <c r="A167" s="140">
        <v>2021</v>
      </c>
      <c r="B167" s="9" t="s">
        <v>1126</v>
      </c>
      <c r="C167" s="9" t="s">
        <v>61</v>
      </c>
      <c r="D167" s="140" t="s">
        <v>62</v>
      </c>
      <c r="E167" s="6" t="s">
        <v>1904</v>
      </c>
      <c r="F167" s="6"/>
      <c r="G167" s="22" t="s">
        <v>1128</v>
      </c>
      <c r="H167" s="6" t="s">
        <v>1129</v>
      </c>
      <c r="I167" s="121">
        <v>3300440</v>
      </c>
      <c r="J167" s="6" t="s">
        <v>2244</v>
      </c>
      <c r="K167" s="9" t="s">
        <v>1855</v>
      </c>
      <c r="L167" s="6" t="s">
        <v>2245</v>
      </c>
      <c r="M167" s="9" t="s">
        <v>1127</v>
      </c>
    </row>
    <row r="168" spans="1:13">
      <c r="A168" s="143">
        <v>2021</v>
      </c>
      <c r="B168" s="9" t="s">
        <v>1532</v>
      </c>
      <c r="C168" s="9" t="s">
        <v>61</v>
      </c>
      <c r="D168" s="115" t="s">
        <v>1383</v>
      </c>
      <c r="E168" s="115" t="s">
        <v>1859</v>
      </c>
      <c r="F168" s="6"/>
      <c r="G168" s="22" t="s">
        <v>1533</v>
      </c>
      <c r="H168" s="6" t="s">
        <v>1410</v>
      </c>
      <c r="I168" s="121">
        <v>200000</v>
      </c>
      <c r="J168" s="6" t="s">
        <v>2190</v>
      </c>
      <c r="K168" s="9" t="s">
        <v>1828</v>
      </c>
      <c r="L168" s="6" t="s">
        <v>2246</v>
      </c>
      <c r="M168" s="9" t="s">
        <v>1500</v>
      </c>
    </row>
    <row r="169" spans="1:13">
      <c r="A169" s="143">
        <v>2021</v>
      </c>
      <c r="B169" s="9" t="s">
        <v>1534</v>
      </c>
      <c r="C169" s="9" t="s">
        <v>61</v>
      </c>
      <c r="D169" s="115" t="s">
        <v>1383</v>
      </c>
      <c r="E169" s="115" t="s">
        <v>1859</v>
      </c>
      <c r="F169" s="6"/>
      <c r="G169" s="22" t="s">
        <v>1535</v>
      </c>
      <c r="H169" s="6" t="s">
        <v>704</v>
      </c>
      <c r="I169" s="121">
        <v>155400</v>
      </c>
      <c r="J169" s="6"/>
      <c r="K169" s="9" t="s">
        <v>1879</v>
      </c>
      <c r="L169" s="6" t="s">
        <v>2247</v>
      </c>
      <c r="M169" s="9" t="s">
        <v>1520</v>
      </c>
    </row>
    <row r="170" spans="1:13">
      <c r="A170" s="143">
        <v>2021</v>
      </c>
      <c r="B170" s="9" t="s">
        <v>1536</v>
      </c>
      <c r="C170" s="9" t="s">
        <v>61</v>
      </c>
      <c r="D170" s="115" t="s">
        <v>1383</v>
      </c>
      <c r="E170" s="115" t="s">
        <v>1859</v>
      </c>
      <c r="F170" s="6"/>
      <c r="G170" s="22" t="s">
        <v>1537</v>
      </c>
      <c r="H170" s="6" t="s">
        <v>575</v>
      </c>
      <c r="I170" s="150">
        <v>196050</v>
      </c>
      <c r="J170" s="6" t="s">
        <v>2190</v>
      </c>
      <c r="K170" s="9" t="s">
        <v>1828</v>
      </c>
      <c r="L170" s="6" t="s">
        <v>2248</v>
      </c>
      <c r="M170" s="9" t="s">
        <v>1520</v>
      </c>
    </row>
    <row r="171" spans="1:13">
      <c r="A171" s="143">
        <v>2021</v>
      </c>
      <c r="B171" s="9" t="s">
        <v>1538</v>
      </c>
      <c r="C171" s="9" t="s">
        <v>61</v>
      </c>
      <c r="D171" s="115" t="s">
        <v>1383</v>
      </c>
      <c r="E171" s="115" t="s">
        <v>1859</v>
      </c>
      <c r="F171" s="148"/>
      <c r="G171" s="22" t="s">
        <v>1539</v>
      </c>
      <c r="H171" s="6" t="s">
        <v>2249</v>
      </c>
      <c r="I171" s="121">
        <v>105600</v>
      </c>
      <c r="J171" s="148" t="s">
        <v>2250</v>
      </c>
      <c r="K171" s="9" t="s">
        <v>1916</v>
      </c>
      <c r="L171" s="6" t="s">
        <v>2251</v>
      </c>
      <c r="M171" s="9" t="s">
        <v>1500</v>
      </c>
    </row>
    <row r="172" spans="1:13">
      <c r="A172" s="143">
        <v>2021</v>
      </c>
      <c r="B172" s="9" t="s">
        <v>732</v>
      </c>
      <c r="C172" s="9" t="s">
        <v>61</v>
      </c>
      <c r="D172" s="9" t="s">
        <v>394</v>
      </c>
      <c r="E172" s="115" t="s">
        <v>1853</v>
      </c>
      <c r="F172" s="6"/>
      <c r="G172" s="22" t="s">
        <v>733</v>
      </c>
      <c r="H172" s="6" t="s">
        <v>734</v>
      </c>
      <c r="I172" s="64">
        <v>8000</v>
      </c>
      <c r="J172" s="6"/>
      <c r="K172" s="9" t="s">
        <v>1896</v>
      </c>
      <c r="L172" s="6" t="s">
        <v>2252</v>
      </c>
      <c r="M172" s="9" t="s">
        <v>394</v>
      </c>
    </row>
    <row r="173" spans="1:13">
      <c r="A173" s="140">
        <v>2021</v>
      </c>
      <c r="B173" s="9" t="s">
        <v>1130</v>
      </c>
      <c r="C173" s="9" t="s">
        <v>61</v>
      </c>
      <c r="D173" s="9" t="s">
        <v>62</v>
      </c>
      <c r="E173" s="6" t="s">
        <v>1904</v>
      </c>
      <c r="F173" s="6"/>
      <c r="G173" s="22" t="s">
        <v>1132</v>
      </c>
      <c r="H173" s="6" t="s">
        <v>1133</v>
      </c>
      <c r="I173" s="121">
        <v>1000000</v>
      </c>
      <c r="J173" s="6"/>
      <c r="K173" s="9" t="s">
        <v>2051</v>
      </c>
      <c r="L173" s="6" t="s">
        <v>2253</v>
      </c>
      <c r="M173" s="6" t="s">
        <v>1131</v>
      </c>
    </row>
    <row r="174" spans="1:13">
      <c r="A174" s="143">
        <v>2021</v>
      </c>
      <c r="B174" s="9" t="s">
        <v>735</v>
      </c>
      <c r="C174" s="9" t="s">
        <v>61</v>
      </c>
      <c r="D174" s="9" t="s">
        <v>394</v>
      </c>
      <c r="E174" s="115" t="s">
        <v>1853</v>
      </c>
      <c r="F174" s="148"/>
      <c r="G174" s="22" t="s">
        <v>736</v>
      </c>
      <c r="H174" s="6" t="s">
        <v>737</v>
      </c>
      <c r="I174" s="64">
        <v>10000</v>
      </c>
      <c r="J174" s="148" t="s">
        <v>2254</v>
      </c>
      <c r="K174" s="9" t="s">
        <v>1855</v>
      </c>
      <c r="L174" s="6" t="s">
        <v>2255</v>
      </c>
      <c r="M174" s="9" t="s">
        <v>394</v>
      </c>
    </row>
    <row r="175" spans="1:13">
      <c r="A175" s="143">
        <v>2021</v>
      </c>
      <c r="B175" s="9" t="s">
        <v>738</v>
      </c>
      <c r="C175" s="9" t="s">
        <v>61</v>
      </c>
      <c r="D175" s="9" t="s">
        <v>652</v>
      </c>
      <c r="E175" s="6" t="s">
        <v>1874</v>
      </c>
      <c r="F175" s="148"/>
      <c r="G175" s="22" t="s">
        <v>739</v>
      </c>
      <c r="H175" s="6" t="s">
        <v>2256</v>
      </c>
      <c r="I175" s="64">
        <v>157139</v>
      </c>
      <c r="J175" s="148" t="s">
        <v>2257</v>
      </c>
      <c r="K175" s="9" t="s">
        <v>1879</v>
      </c>
      <c r="L175" s="6" t="s">
        <v>2258</v>
      </c>
      <c r="M175" s="9" t="s">
        <v>652</v>
      </c>
    </row>
    <row r="176" spans="1:13">
      <c r="A176" s="143">
        <v>2021</v>
      </c>
      <c r="B176" s="9" t="s">
        <v>741</v>
      </c>
      <c r="C176" s="9" t="s">
        <v>61</v>
      </c>
      <c r="D176" s="9" t="s">
        <v>652</v>
      </c>
      <c r="E176" s="6" t="s">
        <v>1874</v>
      </c>
      <c r="F176" s="6"/>
      <c r="G176" s="22" t="s">
        <v>742</v>
      </c>
      <c r="H176" s="6" t="s">
        <v>2259</v>
      </c>
      <c r="I176" s="64">
        <v>28150</v>
      </c>
      <c r="J176" s="6" t="s">
        <v>2260</v>
      </c>
      <c r="K176" s="9" t="s">
        <v>1879</v>
      </c>
      <c r="L176" s="6" t="s">
        <v>2261</v>
      </c>
      <c r="M176" s="9" t="s">
        <v>652</v>
      </c>
    </row>
    <row r="177" spans="1:13">
      <c r="A177" s="143">
        <v>2021</v>
      </c>
      <c r="B177" s="9" t="s">
        <v>744</v>
      </c>
      <c r="C177" s="9" t="s">
        <v>61</v>
      </c>
      <c r="D177" s="9" t="s">
        <v>652</v>
      </c>
      <c r="E177" s="6" t="s">
        <v>1874</v>
      </c>
      <c r="F177" s="148"/>
      <c r="G177" s="22" t="s">
        <v>745</v>
      </c>
      <c r="H177" s="6" t="s">
        <v>2262</v>
      </c>
      <c r="I177" s="64">
        <v>179435</v>
      </c>
      <c r="J177" s="148" t="s">
        <v>2263</v>
      </c>
      <c r="K177" s="9" t="s">
        <v>1879</v>
      </c>
      <c r="L177" s="6" t="s">
        <v>2264</v>
      </c>
      <c r="M177" s="9" t="s">
        <v>652</v>
      </c>
    </row>
    <row r="178" spans="1:13">
      <c r="A178" s="140">
        <v>2021</v>
      </c>
      <c r="B178" s="9" t="s">
        <v>1134</v>
      </c>
      <c r="C178" s="9" t="s">
        <v>61</v>
      </c>
      <c r="D178" s="9" t="s">
        <v>62</v>
      </c>
      <c r="E178" s="6" t="s">
        <v>1904</v>
      </c>
      <c r="F178" s="6"/>
      <c r="G178" s="22" t="s">
        <v>1135</v>
      </c>
      <c r="H178" s="6" t="s">
        <v>1136</v>
      </c>
      <c r="I178" s="121">
        <v>916956.36</v>
      </c>
      <c r="J178" s="6"/>
      <c r="K178" s="9" t="s">
        <v>1919</v>
      </c>
      <c r="L178" s="6" t="s">
        <v>2265</v>
      </c>
      <c r="M178" s="9" t="s">
        <v>62</v>
      </c>
    </row>
    <row r="179" spans="1:13">
      <c r="A179" s="143">
        <v>2021</v>
      </c>
      <c r="B179" s="9" t="s">
        <v>747</v>
      </c>
      <c r="C179" s="9" t="s">
        <v>61</v>
      </c>
      <c r="D179" s="9" t="s">
        <v>652</v>
      </c>
      <c r="E179" s="6" t="s">
        <v>1874</v>
      </c>
      <c r="F179" s="148"/>
      <c r="G179" s="22" t="s">
        <v>748</v>
      </c>
      <c r="H179" s="6" t="s">
        <v>2266</v>
      </c>
      <c r="I179" s="64">
        <v>30842</v>
      </c>
      <c r="J179" s="148" t="s">
        <v>2267</v>
      </c>
      <c r="K179" s="6" t="s">
        <v>1886</v>
      </c>
      <c r="L179" s="6" t="s">
        <v>2268</v>
      </c>
      <c r="M179" s="9" t="s">
        <v>652</v>
      </c>
    </row>
    <row r="180" spans="1:13">
      <c r="A180" s="143">
        <v>2021</v>
      </c>
      <c r="B180" s="9" t="s">
        <v>750</v>
      </c>
      <c r="C180" s="9" t="s">
        <v>61</v>
      </c>
      <c r="D180" s="9" t="s">
        <v>652</v>
      </c>
      <c r="E180" s="6" t="s">
        <v>1874</v>
      </c>
      <c r="F180" s="148"/>
      <c r="G180" s="22" t="s">
        <v>751</v>
      </c>
      <c r="H180" s="6" t="s">
        <v>2269</v>
      </c>
      <c r="I180" s="151">
        <v>378009.46</v>
      </c>
      <c r="J180" s="148" t="s">
        <v>2270</v>
      </c>
      <c r="K180" s="9" t="s">
        <v>1879</v>
      </c>
      <c r="L180" s="6" t="s">
        <v>2271</v>
      </c>
      <c r="M180" s="9" t="s">
        <v>652</v>
      </c>
    </row>
    <row r="181" spans="1:13">
      <c r="A181" s="143">
        <v>2021</v>
      </c>
      <c r="B181" s="9" t="s">
        <v>2272</v>
      </c>
      <c r="C181" s="9" t="s">
        <v>61</v>
      </c>
      <c r="D181" s="115" t="s">
        <v>1383</v>
      </c>
      <c r="E181" s="115" t="s">
        <v>1859</v>
      </c>
      <c r="F181" s="6"/>
      <c r="G181" s="22" t="s">
        <v>2273</v>
      </c>
      <c r="H181" s="6" t="s">
        <v>1547</v>
      </c>
      <c r="I181" s="121">
        <v>169850</v>
      </c>
      <c r="J181" s="6" t="s">
        <v>2190</v>
      </c>
      <c r="K181" s="9" t="s">
        <v>1828</v>
      </c>
      <c r="L181" s="6"/>
      <c r="M181" s="9" t="s">
        <v>1934</v>
      </c>
    </row>
    <row r="182" spans="1:13">
      <c r="A182" s="143">
        <v>2021</v>
      </c>
      <c r="B182" s="9" t="s">
        <v>2274</v>
      </c>
      <c r="C182" s="9" t="s">
        <v>61</v>
      </c>
      <c r="D182" s="9" t="s">
        <v>1838</v>
      </c>
      <c r="E182" s="9" t="s">
        <v>2275</v>
      </c>
      <c r="F182" s="6"/>
      <c r="G182" s="22" t="s">
        <v>2276</v>
      </c>
      <c r="H182" s="6" t="s">
        <v>2277</v>
      </c>
      <c r="I182" s="121">
        <v>55000</v>
      </c>
      <c r="J182" s="6" t="s">
        <v>2190</v>
      </c>
      <c r="K182" s="9" t="s">
        <v>1828</v>
      </c>
      <c r="L182" s="6"/>
      <c r="M182" s="9" t="s">
        <v>1838</v>
      </c>
    </row>
    <row r="183" spans="1:13">
      <c r="A183" s="143">
        <v>2021</v>
      </c>
      <c r="B183" s="9" t="s">
        <v>1541</v>
      </c>
      <c r="C183" s="9" t="s">
        <v>61</v>
      </c>
      <c r="D183" s="115" t="s">
        <v>1383</v>
      </c>
      <c r="E183" s="115" t="s">
        <v>1859</v>
      </c>
      <c r="F183" s="6"/>
      <c r="G183" s="22" t="s">
        <v>1542</v>
      </c>
      <c r="H183" s="6" t="s">
        <v>1543</v>
      </c>
      <c r="I183" s="121">
        <v>46400</v>
      </c>
      <c r="J183" s="6" t="s">
        <v>2190</v>
      </c>
      <c r="K183" s="9" t="s">
        <v>1828</v>
      </c>
      <c r="L183" s="6" t="s">
        <v>2278</v>
      </c>
      <c r="M183" s="9" t="s">
        <v>1520</v>
      </c>
    </row>
    <row r="184" spans="1:13">
      <c r="A184" s="143">
        <v>2021</v>
      </c>
      <c r="B184" s="9" t="s">
        <v>1137</v>
      </c>
      <c r="C184" s="9" t="s">
        <v>61</v>
      </c>
      <c r="D184" s="9" t="s">
        <v>1099</v>
      </c>
      <c r="E184" s="6" t="s">
        <v>1904</v>
      </c>
      <c r="F184" s="152"/>
      <c r="G184" s="22" t="s">
        <v>1138</v>
      </c>
      <c r="H184" s="6" t="s">
        <v>2279</v>
      </c>
      <c r="I184" s="150">
        <v>246099.46</v>
      </c>
      <c r="J184" s="152" t="s">
        <v>2280</v>
      </c>
      <c r="K184" s="9" t="s">
        <v>1916</v>
      </c>
      <c r="L184" s="6" t="s">
        <v>2281</v>
      </c>
      <c r="M184" s="9" t="s">
        <v>1099</v>
      </c>
    </row>
    <row r="185" spans="1:13">
      <c r="A185" s="143">
        <v>2021</v>
      </c>
      <c r="B185" s="9" t="s">
        <v>753</v>
      </c>
      <c r="C185" s="9" t="s">
        <v>61</v>
      </c>
      <c r="D185" s="9" t="s">
        <v>652</v>
      </c>
      <c r="E185" s="6" t="s">
        <v>1874</v>
      </c>
      <c r="F185" s="6"/>
      <c r="G185" s="22" t="s">
        <v>754</v>
      </c>
      <c r="H185" s="6" t="s">
        <v>755</v>
      </c>
      <c r="I185" s="151">
        <v>29572.21</v>
      </c>
      <c r="J185" s="6" t="s">
        <v>2190</v>
      </c>
      <c r="K185" s="9" t="s">
        <v>1828</v>
      </c>
      <c r="L185" s="6"/>
      <c r="M185" s="9" t="s">
        <v>652</v>
      </c>
    </row>
    <row r="186" spans="1:13">
      <c r="A186" s="143">
        <v>2021</v>
      </c>
      <c r="B186" s="9" t="s">
        <v>1544</v>
      </c>
      <c r="C186" s="9" t="s">
        <v>61</v>
      </c>
      <c r="D186" s="115" t="s">
        <v>1383</v>
      </c>
      <c r="E186" s="115" t="s">
        <v>1859</v>
      </c>
      <c r="F186" s="6"/>
      <c r="G186" s="22" t="s">
        <v>1546</v>
      </c>
      <c r="H186" s="6" t="s">
        <v>2282</v>
      </c>
      <c r="I186" s="121">
        <v>110000</v>
      </c>
      <c r="J186" s="6" t="s">
        <v>2190</v>
      </c>
      <c r="K186" s="9" t="s">
        <v>1828</v>
      </c>
      <c r="L186" s="6" t="s">
        <v>2283</v>
      </c>
      <c r="M186" s="9" t="s">
        <v>1545</v>
      </c>
    </row>
    <row r="187" spans="1:13">
      <c r="A187" s="143">
        <v>2021</v>
      </c>
      <c r="B187" s="9" t="s">
        <v>1548</v>
      </c>
      <c r="C187" s="9" t="s">
        <v>61</v>
      </c>
      <c r="D187" s="9" t="s">
        <v>1549</v>
      </c>
      <c r="E187" s="9" t="s">
        <v>1824</v>
      </c>
      <c r="F187" s="6"/>
      <c r="G187" s="22" t="s">
        <v>1550</v>
      </c>
      <c r="H187" s="6" t="s">
        <v>808</v>
      </c>
      <c r="I187" s="121">
        <v>803882</v>
      </c>
      <c r="J187" s="6" t="s">
        <v>2190</v>
      </c>
      <c r="K187" s="9" t="s">
        <v>1828</v>
      </c>
      <c r="L187" s="6"/>
      <c r="M187" s="9" t="s">
        <v>1549</v>
      </c>
    </row>
    <row r="188" spans="1:13">
      <c r="A188" s="143">
        <v>2021</v>
      </c>
      <c r="B188" s="9" t="s">
        <v>1551</v>
      </c>
      <c r="C188" s="9" t="s">
        <v>61</v>
      </c>
      <c r="D188" s="9" t="s">
        <v>1549</v>
      </c>
      <c r="E188" s="9" t="s">
        <v>1824</v>
      </c>
      <c r="F188" s="6"/>
      <c r="G188" s="22" t="s">
        <v>1552</v>
      </c>
      <c r="H188" s="6" t="s">
        <v>1511</v>
      </c>
      <c r="I188" s="121">
        <v>2789448.89</v>
      </c>
      <c r="J188" s="6" t="s">
        <v>2190</v>
      </c>
      <c r="K188" s="9" t="s">
        <v>1828</v>
      </c>
      <c r="L188" s="6" t="s">
        <v>2284</v>
      </c>
      <c r="M188" s="9" t="s">
        <v>1549</v>
      </c>
    </row>
    <row r="189" spans="1:13">
      <c r="A189" s="143">
        <v>2021</v>
      </c>
      <c r="B189" s="9" t="s">
        <v>756</v>
      </c>
      <c r="C189" s="9" t="s">
        <v>61</v>
      </c>
      <c r="D189" s="6" t="s">
        <v>586</v>
      </c>
      <c r="E189" s="6" t="s">
        <v>1874</v>
      </c>
      <c r="F189" s="148"/>
      <c r="G189" s="22" t="s">
        <v>757</v>
      </c>
      <c r="H189" s="6" t="s">
        <v>2227</v>
      </c>
      <c r="I189" s="121">
        <v>20000</v>
      </c>
      <c r="J189" s="148" t="s">
        <v>2285</v>
      </c>
      <c r="K189" s="6" t="s">
        <v>1886</v>
      </c>
      <c r="L189" s="6" t="s">
        <v>2286</v>
      </c>
      <c r="M189" s="6" t="s">
        <v>586</v>
      </c>
    </row>
    <row r="190" spans="1:13">
      <c r="A190" s="143">
        <v>2021</v>
      </c>
      <c r="B190" s="9" t="s">
        <v>758</v>
      </c>
      <c r="C190" s="9" t="s">
        <v>61</v>
      </c>
      <c r="D190" s="17" t="s">
        <v>1877</v>
      </c>
      <c r="E190" s="115" t="s">
        <v>1853</v>
      </c>
      <c r="F190" s="148"/>
      <c r="G190" s="22" t="s">
        <v>759</v>
      </c>
      <c r="H190" s="6" t="s">
        <v>2287</v>
      </c>
      <c r="I190" s="121">
        <v>46650</v>
      </c>
      <c r="J190" s="148" t="s">
        <v>2288</v>
      </c>
      <c r="K190" s="6" t="s">
        <v>1886</v>
      </c>
      <c r="L190" s="6" t="s">
        <v>2289</v>
      </c>
      <c r="M190" s="9" t="s">
        <v>456</v>
      </c>
    </row>
    <row r="191" spans="1:13">
      <c r="A191" s="143">
        <v>2021</v>
      </c>
      <c r="B191" s="9" t="s">
        <v>2290</v>
      </c>
      <c r="C191" s="9" t="s">
        <v>1867</v>
      </c>
      <c r="D191" s="9"/>
      <c r="E191" s="9"/>
      <c r="F191" s="148"/>
      <c r="G191" s="22" t="s">
        <v>2291</v>
      </c>
      <c r="H191" s="6" t="s">
        <v>2292</v>
      </c>
      <c r="I191" s="121"/>
      <c r="J191" s="148" t="s">
        <v>2293</v>
      </c>
      <c r="K191" s="6" t="s">
        <v>1886</v>
      </c>
      <c r="L191" s="139" t="s">
        <v>2016</v>
      </c>
      <c r="M191" s="9"/>
    </row>
    <row r="192" spans="1:13">
      <c r="A192" s="143">
        <v>2021</v>
      </c>
      <c r="B192" s="9" t="s">
        <v>2294</v>
      </c>
      <c r="C192" s="9" t="s">
        <v>1867</v>
      </c>
      <c r="D192" s="9"/>
      <c r="E192" s="9"/>
      <c r="F192" s="6"/>
      <c r="G192" s="22" t="s">
        <v>2295</v>
      </c>
      <c r="H192" s="6" t="s">
        <v>2296</v>
      </c>
      <c r="I192" s="121"/>
      <c r="J192" s="6" t="s">
        <v>2297</v>
      </c>
      <c r="K192" s="6" t="s">
        <v>1886</v>
      </c>
      <c r="L192" s="139" t="s">
        <v>2016</v>
      </c>
      <c r="M192" s="9"/>
    </row>
    <row r="193" spans="1:13">
      <c r="A193" s="143">
        <v>2021</v>
      </c>
      <c r="B193" s="9" t="s">
        <v>1553</v>
      </c>
      <c r="C193" s="9" t="s">
        <v>61</v>
      </c>
      <c r="D193" s="9" t="s">
        <v>1549</v>
      </c>
      <c r="E193" s="9" t="s">
        <v>1824</v>
      </c>
      <c r="F193" s="6"/>
      <c r="G193" s="22" t="s">
        <v>1554</v>
      </c>
      <c r="H193" s="6" t="s">
        <v>575</v>
      </c>
      <c r="I193" s="110"/>
      <c r="J193" s="6" t="s">
        <v>2298</v>
      </c>
      <c r="K193" s="9" t="s">
        <v>1828</v>
      </c>
      <c r="L193" s="6" t="s">
        <v>2299</v>
      </c>
      <c r="M193" s="9" t="s">
        <v>1549</v>
      </c>
    </row>
    <row r="194" spans="1:13">
      <c r="A194" s="143">
        <v>2021</v>
      </c>
      <c r="B194" s="9" t="s">
        <v>761</v>
      </c>
      <c r="C194" s="9" t="s">
        <v>61</v>
      </c>
      <c r="D194" s="112" t="s">
        <v>68</v>
      </c>
      <c r="E194" s="6" t="s">
        <v>1874</v>
      </c>
      <c r="F194" s="6"/>
      <c r="G194" s="22" t="s">
        <v>762</v>
      </c>
      <c r="H194" s="6" t="s">
        <v>763</v>
      </c>
      <c r="I194" s="110">
        <v>350000</v>
      </c>
      <c r="J194" s="6" t="s">
        <v>2300</v>
      </c>
      <c r="K194" s="9" t="s">
        <v>1828</v>
      </c>
      <c r="L194" s="6" t="s">
        <v>2301</v>
      </c>
      <c r="M194" s="9" t="s">
        <v>68</v>
      </c>
    </row>
    <row r="195" spans="1:13">
      <c r="A195" s="143">
        <v>2021</v>
      </c>
      <c r="B195" s="9" t="s">
        <v>2302</v>
      </c>
      <c r="C195" s="9" t="s">
        <v>61</v>
      </c>
      <c r="D195" s="115" t="s">
        <v>1383</v>
      </c>
      <c r="E195" s="115" t="s">
        <v>1859</v>
      </c>
      <c r="F195" s="153"/>
      <c r="G195" s="22" t="s">
        <v>2303</v>
      </c>
      <c r="H195" s="6" t="s">
        <v>2304</v>
      </c>
      <c r="I195" s="110">
        <v>200000</v>
      </c>
      <c r="J195" s="153" t="s">
        <v>2305</v>
      </c>
      <c r="K195" s="6" t="s">
        <v>2082</v>
      </c>
      <c r="L195" s="6" t="s">
        <v>2306</v>
      </c>
      <c r="M195" s="9" t="s">
        <v>2172</v>
      </c>
    </row>
    <row r="196" spans="1:13">
      <c r="A196" s="143">
        <v>2021</v>
      </c>
      <c r="B196" s="9" t="s">
        <v>2307</v>
      </c>
      <c r="C196" s="9" t="s">
        <v>61</v>
      </c>
      <c r="D196" s="115" t="s">
        <v>1383</v>
      </c>
      <c r="E196" s="115" t="s">
        <v>1859</v>
      </c>
      <c r="F196" s="6"/>
      <c r="G196" s="22" t="s">
        <v>2308</v>
      </c>
      <c r="H196" s="6" t="s">
        <v>2309</v>
      </c>
      <c r="I196" s="110">
        <v>190000</v>
      </c>
      <c r="J196" s="6" t="s">
        <v>2310</v>
      </c>
      <c r="K196" s="9" t="s">
        <v>1896</v>
      </c>
      <c r="L196" s="6" t="s">
        <v>2311</v>
      </c>
      <c r="M196" s="9" t="s">
        <v>2172</v>
      </c>
    </row>
    <row r="197" spans="1:13">
      <c r="A197" s="143">
        <v>2021</v>
      </c>
      <c r="B197" s="9" t="s">
        <v>1140</v>
      </c>
      <c r="C197" s="9" t="s">
        <v>61</v>
      </c>
      <c r="D197" s="9" t="s">
        <v>1141</v>
      </c>
      <c r="E197" s="6" t="s">
        <v>1904</v>
      </c>
      <c r="F197" s="6"/>
      <c r="G197" s="22" t="s">
        <v>1142</v>
      </c>
      <c r="H197" s="6" t="s">
        <v>1143</v>
      </c>
      <c r="I197" s="110">
        <v>114237.84</v>
      </c>
      <c r="J197" s="6"/>
      <c r="K197" s="9" t="s">
        <v>1916</v>
      </c>
      <c r="L197" s="6" t="s">
        <v>2312</v>
      </c>
      <c r="M197" s="9" t="s">
        <v>1141</v>
      </c>
    </row>
    <row r="198" spans="1:13">
      <c r="A198" s="143">
        <v>2021</v>
      </c>
      <c r="B198" s="9" t="s">
        <v>1144</v>
      </c>
      <c r="C198" s="9" t="s">
        <v>61</v>
      </c>
      <c r="D198" s="9" t="s">
        <v>1141</v>
      </c>
      <c r="E198" s="6" t="s">
        <v>1904</v>
      </c>
      <c r="F198" s="6"/>
      <c r="G198" s="22" t="s">
        <v>1145</v>
      </c>
      <c r="H198" s="6" t="s">
        <v>2313</v>
      </c>
      <c r="I198" s="110">
        <v>246150</v>
      </c>
      <c r="J198" s="6" t="s">
        <v>2314</v>
      </c>
      <c r="K198" s="9" t="s">
        <v>1896</v>
      </c>
      <c r="L198" s="6" t="s">
        <v>2315</v>
      </c>
      <c r="M198" s="9" t="s">
        <v>1141</v>
      </c>
    </row>
    <row r="199" spans="1:13">
      <c r="A199" s="143">
        <v>2021</v>
      </c>
      <c r="B199" s="9" t="s">
        <v>764</v>
      </c>
      <c r="C199" s="9" t="s">
        <v>61</v>
      </c>
      <c r="D199" s="9" t="s">
        <v>652</v>
      </c>
      <c r="E199" s="6" t="s">
        <v>1874</v>
      </c>
      <c r="F199" s="6"/>
      <c r="G199" s="22" t="s">
        <v>765</v>
      </c>
      <c r="H199" s="6" t="s">
        <v>766</v>
      </c>
      <c r="I199" s="154">
        <v>201000</v>
      </c>
      <c r="J199" s="6" t="s">
        <v>2316</v>
      </c>
      <c r="K199" s="9" t="s">
        <v>1828</v>
      </c>
      <c r="L199" s="6" t="s">
        <v>2317</v>
      </c>
      <c r="M199" s="9" t="s">
        <v>652</v>
      </c>
    </row>
    <row r="200" spans="1:13">
      <c r="A200" s="143">
        <v>2020</v>
      </c>
      <c r="B200" s="155">
        <v>43831</v>
      </c>
      <c r="C200" s="156" t="s">
        <v>61</v>
      </c>
      <c r="D200" s="115" t="s">
        <v>1383</v>
      </c>
      <c r="E200" s="115" t="s">
        <v>1859</v>
      </c>
      <c r="F200" s="158"/>
      <c r="G200" s="156" t="s">
        <v>2318</v>
      </c>
      <c r="H200" s="156" t="s">
        <v>2319</v>
      </c>
      <c r="I200" s="157">
        <v>5969000</v>
      </c>
      <c r="J200" s="156" t="s">
        <v>2320</v>
      </c>
      <c r="K200" s="156" t="s">
        <v>1828</v>
      </c>
      <c r="L200" s="159" t="s">
        <v>2321</v>
      </c>
      <c r="M200" s="156" t="s">
        <v>1940</v>
      </c>
    </row>
    <row r="201" spans="1:13">
      <c r="A201" s="140">
        <v>2020</v>
      </c>
      <c r="B201" s="61">
        <v>43862</v>
      </c>
      <c r="C201" s="6" t="s">
        <v>61</v>
      </c>
      <c r="D201" s="9" t="s">
        <v>62</v>
      </c>
      <c r="E201" s="6" t="s">
        <v>1904</v>
      </c>
      <c r="F201" s="158"/>
      <c r="G201" s="6" t="s">
        <v>1148</v>
      </c>
      <c r="H201" s="6" t="s">
        <v>2322</v>
      </c>
      <c r="I201" s="121">
        <v>2957181.66</v>
      </c>
      <c r="J201" s="160" t="s">
        <v>2323</v>
      </c>
      <c r="K201" s="6" t="s">
        <v>2085</v>
      </c>
      <c r="L201" s="22" t="s">
        <v>2324</v>
      </c>
      <c r="M201" s="6" t="s">
        <v>62</v>
      </c>
    </row>
    <row r="202" spans="1:13">
      <c r="A202" s="143">
        <v>2020</v>
      </c>
      <c r="B202" s="61">
        <v>43922</v>
      </c>
      <c r="C202" s="6"/>
      <c r="D202" s="161" t="s">
        <v>697</v>
      </c>
      <c r="E202" s="6" t="s">
        <v>1824</v>
      </c>
      <c r="F202" s="158"/>
      <c r="G202" s="6" t="s">
        <v>2325</v>
      </c>
      <c r="H202" s="6" t="s">
        <v>699</v>
      </c>
      <c r="I202" s="162">
        <v>546900</v>
      </c>
      <c r="J202" s="6" t="s">
        <v>2326</v>
      </c>
      <c r="K202" s="6" t="s">
        <v>1828</v>
      </c>
      <c r="L202" s="22" t="s">
        <v>2327</v>
      </c>
      <c r="M202" s="161" t="s">
        <v>697</v>
      </c>
    </row>
    <row r="203" spans="1:13">
      <c r="A203" s="143">
        <v>2020</v>
      </c>
      <c r="B203" s="61">
        <v>43952</v>
      </c>
      <c r="C203" s="6" t="s">
        <v>2328</v>
      </c>
      <c r="D203" s="6"/>
      <c r="E203" s="6"/>
      <c r="F203" s="6"/>
      <c r="G203" s="6" t="s">
        <v>2329</v>
      </c>
      <c r="H203" s="6" t="s">
        <v>2330</v>
      </c>
      <c r="I203" s="121"/>
      <c r="J203" s="6" t="s">
        <v>2326</v>
      </c>
      <c r="K203" s="6" t="s">
        <v>1828</v>
      </c>
      <c r="L203" s="22" t="s">
        <v>2028</v>
      </c>
      <c r="M203" s="6"/>
    </row>
    <row r="204" spans="1:13">
      <c r="A204" s="143">
        <v>2020</v>
      </c>
      <c r="B204" s="61">
        <v>43983</v>
      </c>
      <c r="C204" s="6" t="s">
        <v>61</v>
      </c>
      <c r="D204" s="115" t="s">
        <v>1383</v>
      </c>
      <c r="E204" s="115" t="s">
        <v>1859</v>
      </c>
      <c r="F204" s="158"/>
      <c r="G204" s="6" t="s">
        <v>1555</v>
      </c>
      <c r="H204" s="6" t="s">
        <v>2331</v>
      </c>
      <c r="I204" s="121">
        <v>1000000</v>
      </c>
      <c r="J204" s="6" t="s">
        <v>2326</v>
      </c>
      <c r="K204" s="6" t="s">
        <v>1828</v>
      </c>
      <c r="L204" s="22" t="s">
        <v>2332</v>
      </c>
      <c r="M204" s="6" t="s">
        <v>1383</v>
      </c>
    </row>
    <row r="205" spans="1:13">
      <c r="A205" s="143">
        <v>2020</v>
      </c>
      <c r="B205" s="61">
        <v>44013</v>
      </c>
      <c r="C205" s="6" t="s">
        <v>61</v>
      </c>
      <c r="D205" s="115" t="s">
        <v>1383</v>
      </c>
      <c r="E205" s="115" t="s">
        <v>1859</v>
      </c>
      <c r="F205" s="158"/>
      <c r="G205" s="6" t="s">
        <v>1557</v>
      </c>
      <c r="H205" s="6" t="s">
        <v>1556</v>
      </c>
      <c r="I205" s="121">
        <v>2590000</v>
      </c>
      <c r="J205" s="6" t="s">
        <v>2326</v>
      </c>
      <c r="K205" s="6" t="s">
        <v>1828</v>
      </c>
      <c r="L205" s="22" t="s">
        <v>2333</v>
      </c>
      <c r="M205" s="6" t="s">
        <v>1383</v>
      </c>
    </row>
    <row r="206" spans="1:13">
      <c r="A206" s="140">
        <v>2020</v>
      </c>
      <c r="B206" s="62">
        <v>44075</v>
      </c>
      <c r="C206" s="6" t="s">
        <v>61</v>
      </c>
      <c r="D206" s="9" t="s">
        <v>62</v>
      </c>
      <c r="E206" s="6" t="s">
        <v>1904</v>
      </c>
      <c r="F206" s="158"/>
      <c r="G206" s="6" t="s">
        <v>1152</v>
      </c>
      <c r="H206" s="6" t="s">
        <v>2334</v>
      </c>
      <c r="I206" s="121">
        <v>1000000</v>
      </c>
      <c r="J206" s="6" t="s">
        <v>2326</v>
      </c>
      <c r="K206" s="6" t="s">
        <v>1828</v>
      </c>
      <c r="L206" s="22" t="s">
        <v>2335</v>
      </c>
      <c r="M206" s="6" t="s">
        <v>1151</v>
      </c>
    </row>
    <row r="207" spans="1:13">
      <c r="A207" s="140">
        <v>2020</v>
      </c>
      <c r="B207" s="61">
        <v>44136</v>
      </c>
      <c r="C207" s="6" t="s">
        <v>61</v>
      </c>
      <c r="D207" s="140" t="s">
        <v>62</v>
      </c>
      <c r="E207" s="6" t="s">
        <v>1904</v>
      </c>
      <c r="F207" s="158"/>
      <c r="G207" s="158" t="s">
        <v>1154</v>
      </c>
      <c r="H207" s="158" t="s">
        <v>2336</v>
      </c>
      <c r="I207" s="163">
        <v>1000000</v>
      </c>
      <c r="J207" s="158" t="s">
        <v>2337</v>
      </c>
      <c r="K207" s="6" t="s">
        <v>1855</v>
      </c>
      <c r="L207" s="164" t="s">
        <v>2338</v>
      </c>
      <c r="M207" s="6" t="s">
        <v>1151</v>
      </c>
    </row>
    <row r="208" spans="1:13">
      <c r="A208" s="140">
        <v>2020</v>
      </c>
      <c r="B208" s="6" t="s">
        <v>1156</v>
      </c>
      <c r="C208" s="6" t="s">
        <v>61</v>
      </c>
      <c r="D208" s="9" t="s">
        <v>62</v>
      </c>
      <c r="E208" s="6" t="s">
        <v>1904</v>
      </c>
      <c r="F208" s="158"/>
      <c r="G208" s="6" t="s">
        <v>1157</v>
      </c>
      <c r="H208" s="6" t="s">
        <v>2339</v>
      </c>
      <c r="I208" s="121">
        <v>1000000</v>
      </c>
      <c r="J208" s="160" t="s">
        <v>2340</v>
      </c>
      <c r="K208" s="6" t="s">
        <v>1828</v>
      </c>
      <c r="L208" s="22" t="s">
        <v>2341</v>
      </c>
      <c r="M208" s="6" t="s">
        <v>1151</v>
      </c>
    </row>
    <row r="209" spans="1:13">
      <c r="A209" s="140">
        <v>2020</v>
      </c>
      <c r="B209" s="6" t="s">
        <v>1159</v>
      </c>
      <c r="C209" s="6" t="s">
        <v>61</v>
      </c>
      <c r="D209" s="9" t="s">
        <v>62</v>
      </c>
      <c r="E209" s="6" t="s">
        <v>1904</v>
      </c>
      <c r="F209" s="158"/>
      <c r="G209" s="6" t="s">
        <v>1160</v>
      </c>
      <c r="H209" s="6" t="s">
        <v>2342</v>
      </c>
      <c r="I209" s="121">
        <v>2284150</v>
      </c>
      <c r="J209" s="160" t="s">
        <v>2343</v>
      </c>
      <c r="K209" s="6" t="s">
        <v>1828</v>
      </c>
      <c r="L209" s="22" t="s">
        <v>2344</v>
      </c>
      <c r="M209" s="6" t="s">
        <v>62</v>
      </c>
    </row>
    <row r="210" spans="1:13">
      <c r="A210" s="140">
        <v>2020</v>
      </c>
      <c r="B210" s="6" t="s">
        <v>1162</v>
      </c>
      <c r="C210" s="6" t="s">
        <v>61</v>
      </c>
      <c r="D210" s="9" t="s">
        <v>62</v>
      </c>
      <c r="E210" s="6" t="s">
        <v>1904</v>
      </c>
      <c r="F210" s="158"/>
      <c r="G210" s="6" t="s">
        <v>1163</v>
      </c>
      <c r="H210" s="6" t="s">
        <v>12147</v>
      </c>
      <c r="I210" s="121">
        <v>1621819.5</v>
      </c>
      <c r="J210" s="160" t="s">
        <v>2346</v>
      </c>
      <c r="K210" s="6" t="s">
        <v>1828</v>
      </c>
      <c r="L210" s="22" t="s">
        <v>2347</v>
      </c>
      <c r="M210" s="6" t="s">
        <v>62</v>
      </c>
    </row>
    <row r="211" spans="1:13">
      <c r="A211" s="140">
        <v>2020</v>
      </c>
      <c r="B211" s="6" t="s">
        <v>1165</v>
      </c>
      <c r="C211" s="6" t="s">
        <v>61</v>
      </c>
      <c r="D211" s="9" t="s">
        <v>62</v>
      </c>
      <c r="E211" s="6" t="s">
        <v>1904</v>
      </c>
      <c r="F211" s="158"/>
      <c r="G211" s="6" t="s">
        <v>1166</v>
      </c>
      <c r="H211" s="6" t="s">
        <v>2348</v>
      </c>
      <c r="I211" s="121">
        <v>2382264</v>
      </c>
      <c r="J211" s="160" t="s">
        <v>2349</v>
      </c>
      <c r="K211" s="6" t="s">
        <v>1899</v>
      </c>
      <c r="L211" s="22" t="s">
        <v>2350</v>
      </c>
      <c r="M211" s="6" t="s">
        <v>62</v>
      </c>
    </row>
    <row r="212" spans="1:13">
      <c r="A212" s="143">
        <v>2020</v>
      </c>
      <c r="B212" s="6" t="s">
        <v>1558</v>
      </c>
      <c r="C212" s="6" t="s">
        <v>61</v>
      </c>
      <c r="D212" s="6" t="s">
        <v>1549</v>
      </c>
      <c r="E212" s="6" t="s">
        <v>1824</v>
      </c>
      <c r="F212" s="158"/>
      <c r="G212" s="6" t="s">
        <v>1559</v>
      </c>
      <c r="H212" s="158" t="s">
        <v>1560</v>
      </c>
      <c r="I212" s="162">
        <v>1000000</v>
      </c>
      <c r="J212" s="6" t="s">
        <v>2326</v>
      </c>
      <c r="K212" s="6" t="s">
        <v>1828</v>
      </c>
      <c r="L212" s="147" t="s">
        <v>2352</v>
      </c>
      <c r="M212" s="6" t="s">
        <v>1549</v>
      </c>
    </row>
    <row r="213" spans="1:13">
      <c r="A213" s="143">
        <v>2020</v>
      </c>
      <c r="B213" s="6" t="s">
        <v>2353</v>
      </c>
      <c r="C213" s="6" t="s">
        <v>2328</v>
      </c>
      <c r="D213" s="6" t="s">
        <v>1141</v>
      </c>
      <c r="E213" s="6" t="s">
        <v>2144</v>
      </c>
      <c r="F213" s="158"/>
      <c r="G213" s="6" t="s">
        <v>2354</v>
      </c>
      <c r="H213" s="6" t="s">
        <v>2355</v>
      </c>
      <c r="I213" s="121"/>
      <c r="J213" s="6" t="s">
        <v>2326</v>
      </c>
      <c r="K213" s="6" t="s">
        <v>1828</v>
      </c>
      <c r="L213" s="22" t="s">
        <v>2028</v>
      </c>
      <c r="M213" s="6" t="s">
        <v>1141</v>
      </c>
    </row>
    <row r="214" spans="1:13">
      <c r="A214" s="143">
        <v>2020</v>
      </c>
      <c r="B214" s="6" t="s">
        <v>767</v>
      </c>
      <c r="C214" s="6" t="s">
        <v>61</v>
      </c>
      <c r="D214" s="112" t="s">
        <v>68</v>
      </c>
      <c r="E214" s="6" t="s">
        <v>1874</v>
      </c>
      <c r="F214" s="158"/>
      <c r="G214" s="158" t="s">
        <v>768</v>
      </c>
      <c r="H214" s="6" t="s">
        <v>769</v>
      </c>
      <c r="I214" s="121">
        <v>169000</v>
      </c>
      <c r="J214" s="6" t="s">
        <v>2356</v>
      </c>
      <c r="K214" s="6" t="s">
        <v>2031</v>
      </c>
      <c r="L214" s="22" t="s">
        <v>2357</v>
      </c>
      <c r="M214" s="6" t="s">
        <v>68</v>
      </c>
    </row>
    <row r="215" spans="1:13">
      <c r="A215" s="143">
        <v>2020</v>
      </c>
      <c r="B215" s="6" t="s">
        <v>2358</v>
      </c>
      <c r="C215" s="6" t="s">
        <v>61</v>
      </c>
      <c r="D215" s="6" t="s">
        <v>1838</v>
      </c>
      <c r="E215" s="6" t="s">
        <v>1824</v>
      </c>
      <c r="F215" s="158"/>
      <c r="G215" s="6" t="s">
        <v>2359</v>
      </c>
      <c r="H215" s="6" t="s">
        <v>575</v>
      </c>
      <c r="I215" s="121">
        <v>102405</v>
      </c>
      <c r="J215" s="6" t="s">
        <v>2298</v>
      </c>
      <c r="K215" s="6" t="s">
        <v>1828</v>
      </c>
      <c r="L215" s="22" t="s">
        <v>2360</v>
      </c>
      <c r="M215" s="6" t="s">
        <v>1838</v>
      </c>
    </row>
    <row r="216" spans="1:13">
      <c r="A216" s="143">
        <v>2020</v>
      </c>
      <c r="B216" s="6" t="s">
        <v>770</v>
      </c>
      <c r="C216" s="6" t="s">
        <v>61</v>
      </c>
      <c r="D216" s="6" t="s">
        <v>652</v>
      </c>
      <c r="E216" s="6" t="s">
        <v>1874</v>
      </c>
      <c r="F216" s="158"/>
      <c r="G216" s="6" t="s">
        <v>771</v>
      </c>
      <c r="H216" s="6" t="s">
        <v>772</v>
      </c>
      <c r="I216" s="121">
        <v>29878</v>
      </c>
      <c r="J216" s="6" t="s">
        <v>1828</v>
      </c>
      <c r="K216" s="6" t="s">
        <v>1828</v>
      </c>
      <c r="L216" s="22" t="s">
        <v>2361</v>
      </c>
      <c r="M216" s="6" t="s">
        <v>652</v>
      </c>
    </row>
    <row r="217" spans="1:13">
      <c r="A217" s="143">
        <v>2020</v>
      </c>
      <c r="B217" s="6" t="s">
        <v>773</v>
      </c>
      <c r="C217" s="6" t="s">
        <v>61</v>
      </c>
      <c r="D217" s="6" t="s">
        <v>652</v>
      </c>
      <c r="E217" s="6" t="s">
        <v>1874</v>
      </c>
      <c r="F217" s="158"/>
      <c r="G217" s="6" t="s">
        <v>774</v>
      </c>
      <c r="H217" s="6" t="s">
        <v>775</v>
      </c>
      <c r="I217" s="121" t="s">
        <v>2362</v>
      </c>
      <c r="J217" s="6" t="s">
        <v>2363</v>
      </c>
      <c r="K217" s="6" t="s">
        <v>1828</v>
      </c>
      <c r="L217" s="22" t="s">
        <v>2364</v>
      </c>
      <c r="M217" s="6" t="s">
        <v>652</v>
      </c>
    </row>
    <row r="218" spans="1:13">
      <c r="A218" s="143">
        <v>2020</v>
      </c>
      <c r="B218" s="6" t="s">
        <v>1561</v>
      </c>
      <c r="C218" s="6" t="s">
        <v>61</v>
      </c>
      <c r="D218" s="6" t="s">
        <v>1462</v>
      </c>
      <c r="E218" s="6" t="s">
        <v>1824</v>
      </c>
      <c r="F218" s="158"/>
      <c r="G218" s="6" t="s">
        <v>1562</v>
      </c>
      <c r="H218" s="6" t="s">
        <v>2365</v>
      </c>
      <c r="I218" s="162">
        <v>200000</v>
      </c>
      <c r="J218" s="6" t="s">
        <v>575</v>
      </c>
      <c r="K218" s="6" t="s">
        <v>1828</v>
      </c>
      <c r="L218" s="22" t="s">
        <v>2366</v>
      </c>
      <c r="M218" s="6" t="s">
        <v>1462</v>
      </c>
    </row>
    <row r="219" spans="1:13">
      <c r="A219" s="143">
        <v>2020</v>
      </c>
      <c r="B219" s="6" t="s">
        <v>776</v>
      </c>
      <c r="C219" s="6" t="s">
        <v>61</v>
      </c>
      <c r="D219" s="6" t="s">
        <v>652</v>
      </c>
      <c r="E219" s="6" t="s">
        <v>1874</v>
      </c>
      <c r="F219" s="158"/>
      <c r="G219" s="6" t="s">
        <v>2367</v>
      </c>
      <c r="H219" s="6" t="s">
        <v>778</v>
      </c>
      <c r="I219" s="121">
        <v>350000</v>
      </c>
      <c r="J219" s="6" t="s">
        <v>2368</v>
      </c>
      <c r="K219" s="6" t="s">
        <v>1855</v>
      </c>
      <c r="L219" s="22" t="s">
        <v>2369</v>
      </c>
      <c r="M219" s="6" t="s">
        <v>652</v>
      </c>
    </row>
    <row r="220" spans="1:13">
      <c r="A220" s="143">
        <v>2020</v>
      </c>
      <c r="B220" s="6" t="s">
        <v>67</v>
      </c>
      <c r="C220" s="6" t="s">
        <v>61</v>
      </c>
      <c r="D220" s="112" t="s">
        <v>68</v>
      </c>
      <c r="E220" s="6" t="s">
        <v>1874</v>
      </c>
      <c r="F220" s="158"/>
      <c r="G220" s="6" t="s">
        <v>69</v>
      </c>
      <c r="H220" s="6" t="s">
        <v>70</v>
      </c>
      <c r="I220" s="121">
        <v>409314</v>
      </c>
      <c r="J220" s="6" t="s">
        <v>2370</v>
      </c>
      <c r="K220" s="6" t="s">
        <v>1855</v>
      </c>
      <c r="L220" s="22" t="s">
        <v>2371</v>
      </c>
      <c r="M220" s="6" t="s">
        <v>68</v>
      </c>
    </row>
    <row r="221" spans="1:13">
      <c r="A221" s="143">
        <v>2020</v>
      </c>
      <c r="B221" s="6" t="s">
        <v>779</v>
      </c>
      <c r="C221" s="6" t="s">
        <v>61</v>
      </c>
      <c r="D221" s="112" t="s">
        <v>68</v>
      </c>
      <c r="E221" s="6" t="s">
        <v>1874</v>
      </c>
      <c r="F221" s="158"/>
      <c r="G221" s="6" t="s">
        <v>780</v>
      </c>
      <c r="H221" s="6" t="s">
        <v>781</v>
      </c>
      <c r="I221" s="121">
        <v>156902.65</v>
      </c>
      <c r="J221" s="6" t="s">
        <v>2372</v>
      </c>
      <c r="K221" s="6" t="s">
        <v>1886</v>
      </c>
      <c r="L221" s="22" t="s">
        <v>2373</v>
      </c>
      <c r="M221" s="6" t="s">
        <v>68</v>
      </c>
    </row>
    <row r="222" spans="1:13">
      <c r="A222" s="140">
        <v>2020</v>
      </c>
      <c r="B222" s="6" t="s">
        <v>1168</v>
      </c>
      <c r="C222" s="6" t="s">
        <v>61</v>
      </c>
      <c r="D222" s="9" t="s">
        <v>62</v>
      </c>
      <c r="E222" s="6" t="s">
        <v>1904</v>
      </c>
      <c r="F222" s="158"/>
      <c r="G222" s="6" t="s">
        <v>2374</v>
      </c>
      <c r="H222" s="6" t="s">
        <v>1170</v>
      </c>
      <c r="I222" s="121">
        <v>140032</v>
      </c>
      <c r="J222" s="6" t="s">
        <v>2375</v>
      </c>
      <c r="K222" s="6" t="s">
        <v>1828</v>
      </c>
      <c r="L222" s="22" t="s">
        <v>2376</v>
      </c>
      <c r="M222" s="6" t="s">
        <v>62</v>
      </c>
    </row>
    <row r="223" spans="1:13">
      <c r="A223" s="143">
        <v>2020</v>
      </c>
      <c r="B223" s="6" t="s">
        <v>782</v>
      </c>
      <c r="C223" s="6" t="s">
        <v>61</v>
      </c>
      <c r="D223" s="112" t="s">
        <v>68</v>
      </c>
      <c r="E223" s="6" t="s">
        <v>1874</v>
      </c>
      <c r="F223" s="158"/>
      <c r="G223" s="6" t="s">
        <v>2377</v>
      </c>
      <c r="H223" s="6" t="s">
        <v>784</v>
      </c>
      <c r="I223" s="121">
        <v>308708.2</v>
      </c>
      <c r="J223" s="6" t="s">
        <v>2378</v>
      </c>
      <c r="K223" s="6" t="s">
        <v>1828</v>
      </c>
      <c r="L223" s="22" t="s">
        <v>2379</v>
      </c>
      <c r="M223" s="6" t="s">
        <v>68</v>
      </c>
    </row>
    <row r="224" spans="1:13">
      <c r="A224" s="143">
        <v>2020</v>
      </c>
      <c r="B224" s="6" t="s">
        <v>785</v>
      </c>
      <c r="C224" s="6" t="s">
        <v>61</v>
      </c>
      <c r="D224" s="6" t="s">
        <v>125</v>
      </c>
      <c r="E224" s="6" t="s">
        <v>1874</v>
      </c>
      <c r="F224" s="158"/>
      <c r="G224" s="158" t="s">
        <v>786</v>
      </c>
      <c r="H224" s="6" t="s">
        <v>787</v>
      </c>
      <c r="I224" s="121">
        <v>500000</v>
      </c>
      <c r="J224" s="6" t="s">
        <v>2298</v>
      </c>
      <c r="K224" s="6" t="s">
        <v>1828</v>
      </c>
      <c r="L224" s="22" t="s">
        <v>2380</v>
      </c>
      <c r="M224" s="6" t="s">
        <v>125</v>
      </c>
    </row>
    <row r="225" spans="1:13">
      <c r="A225" s="140">
        <v>2020</v>
      </c>
      <c r="B225" s="6" t="s">
        <v>1171</v>
      </c>
      <c r="C225" s="6" t="s">
        <v>61</v>
      </c>
      <c r="D225" s="9" t="s">
        <v>62</v>
      </c>
      <c r="E225" s="6" t="s">
        <v>1904</v>
      </c>
      <c r="F225" s="158"/>
      <c r="G225" s="6" t="s">
        <v>2382</v>
      </c>
      <c r="H225" s="6" t="s">
        <v>1173</v>
      </c>
      <c r="I225" s="121">
        <v>453820</v>
      </c>
      <c r="J225" s="6" t="s">
        <v>2383</v>
      </c>
      <c r="K225" s="6" t="s">
        <v>1899</v>
      </c>
      <c r="L225" s="22" t="s">
        <v>2384</v>
      </c>
      <c r="M225" s="6" t="s">
        <v>62</v>
      </c>
    </row>
    <row r="226" spans="1:13">
      <c r="A226" s="143">
        <v>2020</v>
      </c>
      <c r="B226" s="6" t="s">
        <v>1564</v>
      </c>
      <c r="C226" s="6" t="s">
        <v>61</v>
      </c>
      <c r="D226" s="6" t="s">
        <v>1549</v>
      </c>
      <c r="E226" s="6" t="s">
        <v>1824</v>
      </c>
      <c r="F226" s="158"/>
      <c r="G226" s="6" t="s">
        <v>1565</v>
      </c>
      <c r="H226" s="6" t="s">
        <v>1566</v>
      </c>
      <c r="I226" s="162">
        <v>1000000</v>
      </c>
      <c r="J226" s="6" t="s">
        <v>2298</v>
      </c>
      <c r="K226" s="6" t="s">
        <v>1828</v>
      </c>
      <c r="L226" s="22" t="s">
        <v>2385</v>
      </c>
      <c r="M226" s="6" t="s">
        <v>1549</v>
      </c>
    </row>
    <row r="227" spans="1:13">
      <c r="A227" s="140">
        <v>2020</v>
      </c>
      <c r="B227" s="6" t="s">
        <v>2386</v>
      </c>
      <c r="C227" s="6" t="s">
        <v>61</v>
      </c>
      <c r="D227" s="9" t="s">
        <v>62</v>
      </c>
      <c r="E227" s="6" t="s">
        <v>1904</v>
      </c>
      <c r="F227" s="158"/>
      <c r="G227" s="6" t="s">
        <v>2387</v>
      </c>
      <c r="H227" s="6" t="s">
        <v>2388</v>
      </c>
      <c r="I227" s="121">
        <v>500000</v>
      </c>
      <c r="J227" s="6" t="s">
        <v>2389</v>
      </c>
      <c r="K227" s="6" t="s">
        <v>1886</v>
      </c>
      <c r="L227" s="165" t="s">
        <v>2390</v>
      </c>
      <c r="M227" s="6" t="s">
        <v>2391</v>
      </c>
    </row>
    <row r="228" spans="1:13">
      <c r="A228" s="143">
        <v>2020</v>
      </c>
      <c r="B228" s="6" t="s">
        <v>788</v>
      </c>
      <c r="C228" s="6" t="s">
        <v>61</v>
      </c>
      <c r="D228" s="6" t="s">
        <v>68</v>
      </c>
      <c r="E228" s="6" t="s">
        <v>1874</v>
      </c>
      <c r="F228" s="158"/>
      <c r="G228" s="6" t="s">
        <v>790</v>
      </c>
      <c r="H228" s="6" t="s">
        <v>791</v>
      </c>
      <c r="I228" s="162">
        <v>324750</v>
      </c>
      <c r="J228" s="6" t="s">
        <v>2392</v>
      </c>
      <c r="K228" s="6" t="s">
        <v>1828</v>
      </c>
      <c r="L228" s="22" t="s">
        <v>2393</v>
      </c>
      <c r="M228" s="6" t="s">
        <v>789</v>
      </c>
    </row>
    <row r="229" spans="1:13">
      <c r="A229" s="143">
        <v>2020</v>
      </c>
      <c r="B229" s="6" t="s">
        <v>792</v>
      </c>
      <c r="C229" s="6" t="s">
        <v>61</v>
      </c>
      <c r="D229" s="6" t="s">
        <v>652</v>
      </c>
      <c r="E229" s="6" t="s">
        <v>1874</v>
      </c>
      <c r="F229" s="158"/>
      <c r="G229" s="6" t="s">
        <v>793</v>
      </c>
      <c r="H229" s="6" t="s">
        <v>794</v>
      </c>
      <c r="I229" s="121">
        <v>284446.84000000003</v>
      </c>
      <c r="J229" s="6" t="s">
        <v>2394</v>
      </c>
      <c r="K229" s="6" t="s">
        <v>1828</v>
      </c>
      <c r="L229" s="22" t="s">
        <v>2395</v>
      </c>
      <c r="M229" s="6" t="s">
        <v>652</v>
      </c>
    </row>
    <row r="230" spans="1:13">
      <c r="A230" s="140">
        <v>2020</v>
      </c>
      <c r="B230" s="6" t="s">
        <v>1174</v>
      </c>
      <c r="C230" s="6" t="s">
        <v>61</v>
      </c>
      <c r="D230" s="9" t="s">
        <v>62</v>
      </c>
      <c r="E230" s="6" t="s">
        <v>1904</v>
      </c>
      <c r="F230" s="158"/>
      <c r="G230" s="6" t="s">
        <v>1175</v>
      </c>
      <c r="H230" s="6" t="s">
        <v>1176</v>
      </c>
      <c r="I230" s="121">
        <v>418714.15</v>
      </c>
      <c r="J230" s="6" t="s">
        <v>2396</v>
      </c>
      <c r="K230" s="6" t="s">
        <v>1828</v>
      </c>
      <c r="L230" s="22" t="s">
        <v>2397</v>
      </c>
      <c r="M230" s="6" t="s">
        <v>62</v>
      </c>
    </row>
    <row r="231" spans="1:13">
      <c r="A231" s="143">
        <v>2020</v>
      </c>
      <c r="B231" s="6" t="s">
        <v>2398</v>
      </c>
      <c r="C231" s="6" t="s">
        <v>1823</v>
      </c>
      <c r="D231" s="6" t="s">
        <v>113</v>
      </c>
      <c r="E231" s="6"/>
      <c r="F231" s="158"/>
      <c r="G231" s="6" t="s">
        <v>2400</v>
      </c>
      <c r="H231" s="6" t="s">
        <v>611</v>
      </c>
      <c r="I231" s="121" t="s">
        <v>2399</v>
      </c>
      <c r="J231" s="6" t="s">
        <v>575</v>
      </c>
      <c r="K231" s="6"/>
      <c r="L231" s="22" t="s">
        <v>2401</v>
      </c>
      <c r="M231" s="6" t="s">
        <v>113</v>
      </c>
    </row>
    <row r="232" spans="1:13">
      <c r="A232" s="143">
        <v>2020</v>
      </c>
      <c r="B232" s="6" t="s">
        <v>2402</v>
      </c>
      <c r="C232" s="6" t="s">
        <v>1823</v>
      </c>
      <c r="D232" s="6" t="s">
        <v>611</v>
      </c>
      <c r="E232" s="6"/>
      <c r="F232" s="158"/>
      <c r="G232" s="6" t="s">
        <v>2404</v>
      </c>
      <c r="H232" s="6" t="s">
        <v>611</v>
      </c>
      <c r="I232" s="121" t="s">
        <v>2403</v>
      </c>
      <c r="J232" s="6" t="s">
        <v>575</v>
      </c>
      <c r="K232" s="6"/>
      <c r="L232" s="22" t="s">
        <v>2405</v>
      </c>
      <c r="M232" s="6" t="s">
        <v>611</v>
      </c>
    </row>
    <row r="233" spans="1:13">
      <c r="A233" s="140">
        <v>2020</v>
      </c>
      <c r="B233" s="6" t="s">
        <v>1177</v>
      </c>
      <c r="C233" s="6" t="s">
        <v>61</v>
      </c>
      <c r="D233" s="9" t="s">
        <v>62</v>
      </c>
      <c r="E233" s="6" t="s">
        <v>1904</v>
      </c>
      <c r="F233" s="158"/>
      <c r="G233" s="6" t="s">
        <v>2407</v>
      </c>
      <c r="H233" s="6" t="s">
        <v>1179</v>
      </c>
      <c r="I233" s="121">
        <v>1240490</v>
      </c>
      <c r="J233" s="6" t="s">
        <v>2408</v>
      </c>
      <c r="K233" s="6" t="s">
        <v>1828</v>
      </c>
      <c r="L233" s="22" t="s">
        <v>2409</v>
      </c>
      <c r="M233" s="6" t="s">
        <v>62</v>
      </c>
    </row>
    <row r="234" spans="1:13">
      <c r="A234" s="143">
        <v>2020</v>
      </c>
      <c r="B234" s="6" t="s">
        <v>2410</v>
      </c>
      <c r="C234" s="6" t="s">
        <v>1823</v>
      </c>
      <c r="D234" s="115" t="s">
        <v>1383</v>
      </c>
      <c r="E234" s="6"/>
      <c r="F234" s="158"/>
      <c r="G234" s="6" t="s">
        <v>2411</v>
      </c>
      <c r="H234" s="6" t="s">
        <v>2412</v>
      </c>
      <c r="I234" s="121"/>
      <c r="J234" s="6" t="s">
        <v>575</v>
      </c>
      <c r="K234" s="6"/>
      <c r="L234" s="22" t="s">
        <v>2413</v>
      </c>
      <c r="M234" s="6" t="s">
        <v>1383</v>
      </c>
    </row>
    <row r="235" spans="1:13">
      <c r="A235" s="140">
        <v>2020</v>
      </c>
      <c r="B235" s="6" t="s">
        <v>1180</v>
      </c>
      <c r="C235" s="6" t="s">
        <v>61</v>
      </c>
      <c r="D235" s="9" t="s">
        <v>62</v>
      </c>
      <c r="E235" s="6" t="s">
        <v>1904</v>
      </c>
      <c r="F235" s="158"/>
      <c r="G235" s="6" t="s">
        <v>1181</v>
      </c>
      <c r="H235" s="6" t="s">
        <v>1182</v>
      </c>
      <c r="I235" s="121">
        <v>495000</v>
      </c>
      <c r="J235" s="6" t="s">
        <v>2414</v>
      </c>
      <c r="K235" s="6" t="s">
        <v>1886</v>
      </c>
      <c r="L235" s="136" t="s">
        <v>2415</v>
      </c>
      <c r="M235" s="6" t="s">
        <v>62</v>
      </c>
    </row>
    <row r="236" spans="1:13">
      <c r="A236" s="143">
        <v>2020</v>
      </c>
      <c r="B236" s="6" t="s">
        <v>2416</v>
      </c>
      <c r="C236" s="6" t="s">
        <v>1823</v>
      </c>
      <c r="D236" s="9" t="s">
        <v>62</v>
      </c>
      <c r="E236" s="6"/>
      <c r="F236" s="158"/>
      <c r="G236" s="6" t="s">
        <v>2417</v>
      </c>
      <c r="H236" s="6" t="s">
        <v>1231</v>
      </c>
      <c r="I236" s="121"/>
      <c r="J236" s="6" t="s">
        <v>2418</v>
      </c>
      <c r="K236" s="6"/>
      <c r="L236" s="22" t="s">
        <v>2419</v>
      </c>
      <c r="M236" s="6" t="s">
        <v>62</v>
      </c>
    </row>
    <row r="237" spans="1:13">
      <c r="A237" s="140">
        <v>2020</v>
      </c>
      <c r="B237" s="6" t="s">
        <v>1183</v>
      </c>
      <c r="C237" s="6" t="s">
        <v>61</v>
      </c>
      <c r="D237" s="9" t="s">
        <v>62</v>
      </c>
      <c r="E237" s="6" t="s">
        <v>1904</v>
      </c>
      <c r="F237" s="158"/>
      <c r="G237" s="6" t="s">
        <v>1184</v>
      </c>
      <c r="H237" s="6" t="s">
        <v>1185</v>
      </c>
      <c r="I237" s="121">
        <v>819000</v>
      </c>
      <c r="J237" s="6" t="s">
        <v>2420</v>
      </c>
      <c r="K237" s="6" t="s">
        <v>1828</v>
      </c>
      <c r="L237" s="22" t="s">
        <v>2421</v>
      </c>
      <c r="M237" s="6" t="s">
        <v>62</v>
      </c>
    </row>
    <row r="238" spans="1:13">
      <c r="A238" s="143">
        <v>2020</v>
      </c>
      <c r="B238" s="6" t="s">
        <v>2422</v>
      </c>
      <c r="C238" s="6" t="s">
        <v>1823</v>
      </c>
      <c r="D238" s="6" t="s">
        <v>611</v>
      </c>
      <c r="E238" s="6"/>
      <c r="F238" s="158"/>
      <c r="G238" s="6" t="s">
        <v>2423</v>
      </c>
      <c r="H238" s="6" t="s">
        <v>611</v>
      </c>
      <c r="I238" s="121"/>
      <c r="J238" s="6" t="s">
        <v>2326</v>
      </c>
      <c r="K238" s="6"/>
      <c r="L238" s="22" t="s">
        <v>2424</v>
      </c>
      <c r="M238" s="6" t="s">
        <v>611</v>
      </c>
    </row>
    <row r="239" spans="1:13">
      <c r="A239" s="143">
        <v>2020</v>
      </c>
      <c r="B239" s="6" t="s">
        <v>2425</v>
      </c>
      <c r="C239" s="6" t="s">
        <v>1823</v>
      </c>
      <c r="D239" s="6" t="s">
        <v>2412</v>
      </c>
      <c r="E239" s="6"/>
      <c r="F239" s="158"/>
      <c r="G239" s="6" t="s">
        <v>2426</v>
      </c>
      <c r="H239" s="6" t="s">
        <v>2412</v>
      </c>
      <c r="I239" s="121"/>
      <c r="J239" s="6" t="s">
        <v>2326</v>
      </c>
      <c r="K239" s="6"/>
      <c r="L239" s="22" t="s">
        <v>2427</v>
      </c>
      <c r="M239" s="6" t="s">
        <v>2412</v>
      </c>
    </row>
    <row r="240" spans="1:13">
      <c r="A240" s="140">
        <v>2020</v>
      </c>
      <c r="B240" s="6" t="s">
        <v>1186</v>
      </c>
      <c r="C240" s="6" t="s">
        <v>61</v>
      </c>
      <c r="D240" s="9" t="s">
        <v>62</v>
      </c>
      <c r="E240" s="6" t="s">
        <v>1904</v>
      </c>
      <c r="F240" s="158"/>
      <c r="G240" s="6" t="s">
        <v>1187</v>
      </c>
      <c r="H240" s="6" t="s">
        <v>1188</v>
      </c>
      <c r="I240" s="121">
        <v>453346.5</v>
      </c>
      <c r="J240" s="6" t="s">
        <v>2428</v>
      </c>
      <c r="K240" s="6" t="s">
        <v>1886</v>
      </c>
      <c r="L240" s="22" t="s">
        <v>2429</v>
      </c>
      <c r="M240" s="6" t="s">
        <v>62</v>
      </c>
    </row>
    <row r="241" spans="1:13">
      <c r="A241" s="143">
        <v>2020</v>
      </c>
      <c r="B241" s="6" t="s">
        <v>795</v>
      </c>
      <c r="C241" s="6" t="s">
        <v>61</v>
      </c>
      <c r="D241" s="6" t="s">
        <v>652</v>
      </c>
      <c r="E241" s="6" t="s">
        <v>1874</v>
      </c>
      <c r="F241" s="158"/>
      <c r="G241" s="6" t="s">
        <v>796</v>
      </c>
      <c r="H241" s="6" t="s">
        <v>520</v>
      </c>
      <c r="I241" s="121">
        <v>349930</v>
      </c>
      <c r="J241" s="6" t="s">
        <v>2430</v>
      </c>
      <c r="K241" s="6" t="s">
        <v>1879</v>
      </c>
      <c r="L241" s="22" t="s">
        <v>2431</v>
      </c>
      <c r="M241" s="6" t="s">
        <v>652</v>
      </c>
    </row>
    <row r="242" spans="1:13">
      <c r="A242" s="143">
        <v>2020</v>
      </c>
      <c r="B242" s="6" t="s">
        <v>797</v>
      </c>
      <c r="C242" s="6" t="s">
        <v>61</v>
      </c>
      <c r="D242" s="6" t="s">
        <v>652</v>
      </c>
      <c r="E242" s="6" t="s">
        <v>1874</v>
      </c>
      <c r="F242" s="158"/>
      <c r="G242" s="6" t="s">
        <v>798</v>
      </c>
      <c r="H242" s="6" t="s">
        <v>799</v>
      </c>
      <c r="I242" s="121">
        <v>350000</v>
      </c>
      <c r="J242" s="6" t="s">
        <v>2432</v>
      </c>
      <c r="K242" s="6" t="s">
        <v>2082</v>
      </c>
      <c r="L242" s="22" t="s">
        <v>2433</v>
      </c>
      <c r="M242" s="6" t="s">
        <v>652</v>
      </c>
    </row>
    <row r="243" spans="1:13">
      <c r="A243" s="140">
        <v>2020</v>
      </c>
      <c r="B243" s="6" t="s">
        <v>1189</v>
      </c>
      <c r="C243" s="9" t="s">
        <v>61</v>
      </c>
      <c r="D243" s="6" t="s">
        <v>1141</v>
      </c>
      <c r="E243" s="6" t="s">
        <v>1904</v>
      </c>
      <c r="F243" s="158"/>
      <c r="G243" s="6" t="s">
        <v>1190</v>
      </c>
      <c r="H243" s="6" t="s">
        <v>1139</v>
      </c>
      <c r="I243" s="121">
        <v>87475</v>
      </c>
      <c r="J243" s="6" t="s">
        <v>2434</v>
      </c>
      <c r="K243" s="6" t="s">
        <v>1916</v>
      </c>
      <c r="L243" s="22" t="s">
        <v>2435</v>
      </c>
      <c r="M243" s="6" t="s">
        <v>1141</v>
      </c>
    </row>
    <row r="244" spans="1:13">
      <c r="A244" s="140">
        <v>2020</v>
      </c>
      <c r="B244" s="6" t="s">
        <v>1191</v>
      </c>
      <c r="C244" s="9" t="s">
        <v>61</v>
      </c>
      <c r="D244" s="6" t="s">
        <v>1141</v>
      </c>
      <c r="E244" s="6" t="s">
        <v>1904</v>
      </c>
      <c r="F244" s="158"/>
      <c r="G244" s="6" t="s">
        <v>1192</v>
      </c>
      <c r="H244" s="6" t="s">
        <v>1139</v>
      </c>
      <c r="I244" s="121">
        <v>122475</v>
      </c>
      <c r="J244" s="6" t="s">
        <v>2434</v>
      </c>
      <c r="K244" s="6" t="s">
        <v>1916</v>
      </c>
      <c r="L244" s="22"/>
      <c r="M244" s="6" t="s">
        <v>1141</v>
      </c>
    </row>
    <row r="245" spans="1:13">
      <c r="A245" s="140">
        <v>2020</v>
      </c>
      <c r="B245" s="6" t="s">
        <v>1193</v>
      </c>
      <c r="C245" s="9" t="s">
        <v>61</v>
      </c>
      <c r="D245" s="6" t="s">
        <v>1141</v>
      </c>
      <c r="E245" s="6" t="s">
        <v>1904</v>
      </c>
      <c r="F245" s="158"/>
      <c r="G245" s="6" t="s">
        <v>1194</v>
      </c>
      <c r="H245" s="6" t="s">
        <v>1139</v>
      </c>
      <c r="I245" s="121">
        <v>156860</v>
      </c>
      <c r="J245" s="6" t="s">
        <v>2434</v>
      </c>
      <c r="K245" s="6" t="s">
        <v>1916</v>
      </c>
      <c r="L245" s="22" t="s">
        <v>2436</v>
      </c>
      <c r="M245" s="6" t="s">
        <v>1141</v>
      </c>
    </row>
    <row r="246" spans="1:13">
      <c r="A246" s="140">
        <v>2020</v>
      </c>
      <c r="B246" s="6" t="s">
        <v>1195</v>
      </c>
      <c r="C246" s="9" t="s">
        <v>61</v>
      </c>
      <c r="D246" s="6" t="s">
        <v>1141</v>
      </c>
      <c r="E246" s="6" t="s">
        <v>1904</v>
      </c>
      <c r="F246" s="158"/>
      <c r="G246" s="6" t="s">
        <v>1196</v>
      </c>
      <c r="H246" s="6" t="s">
        <v>1139</v>
      </c>
      <c r="I246" s="121">
        <v>119440</v>
      </c>
      <c r="J246" s="6" t="s">
        <v>2434</v>
      </c>
      <c r="K246" s="6" t="s">
        <v>1916</v>
      </c>
      <c r="L246" s="22" t="s">
        <v>2437</v>
      </c>
      <c r="M246" s="6" t="s">
        <v>1141</v>
      </c>
    </row>
    <row r="247" spans="1:13">
      <c r="A247" s="140">
        <v>2020</v>
      </c>
      <c r="B247" s="6" t="s">
        <v>1197</v>
      </c>
      <c r="C247" s="9" t="s">
        <v>61</v>
      </c>
      <c r="D247" s="6" t="s">
        <v>1141</v>
      </c>
      <c r="E247" s="6" t="s">
        <v>1904</v>
      </c>
      <c r="F247" s="158"/>
      <c r="G247" s="6" t="s">
        <v>1198</v>
      </c>
      <c r="H247" s="6" t="s">
        <v>1139</v>
      </c>
      <c r="I247" s="121">
        <v>153850</v>
      </c>
      <c r="J247" s="6" t="s">
        <v>2434</v>
      </c>
      <c r="K247" s="6" t="s">
        <v>1916</v>
      </c>
      <c r="L247" s="22" t="s">
        <v>2438</v>
      </c>
      <c r="M247" s="6" t="s">
        <v>1141</v>
      </c>
    </row>
    <row r="248" spans="1:13">
      <c r="A248" s="143">
        <v>2019</v>
      </c>
      <c r="B248" s="61">
        <v>43525</v>
      </c>
      <c r="C248" s="9" t="s">
        <v>2439</v>
      </c>
      <c r="D248" s="115" t="s">
        <v>1383</v>
      </c>
      <c r="E248" s="9" t="s">
        <v>1824</v>
      </c>
      <c r="F248" s="6"/>
      <c r="G248" s="6" t="s">
        <v>2440</v>
      </c>
      <c r="H248" s="6" t="s">
        <v>2441</v>
      </c>
      <c r="I248" s="121">
        <v>9000000</v>
      </c>
      <c r="J248" s="6" t="s">
        <v>1938</v>
      </c>
      <c r="K248" s="9" t="s">
        <v>1828</v>
      </c>
      <c r="L248" s="6"/>
      <c r="M248" s="6" t="s">
        <v>2172</v>
      </c>
    </row>
    <row r="249" spans="1:13">
      <c r="A249" s="143">
        <v>2019</v>
      </c>
      <c r="B249" s="61">
        <v>43556</v>
      </c>
      <c r="C249" s="9" t="s">
        <v>61</v>
      </c>
      <c r="D249" s="6" t="s">
        <v>652</v>
      </c>
      <c r="E249" s="6" t="s">
        <v>1874</v>
      </c>
      <c r="F249" s="6"/>
      <c r="G249" s="6" t="s">
        <v>800</v>
      </c>
      <c r="H249" s="6" t="s">
        <v>2442</v>
      </c>
      <c r="I249" s="121">
        <v>99860</v>
      </c>
      <c r="J249" s="160" t="s">
        <v>2443</v>
      </c>
      <c r="K249" s="9" t="s">
        <v>1828</v>
      </c>
      <c r="L249" s="6"/>
      <c r="M249" s="6" t="s">
        <v>652</v>
      </c>
    </row>
    <row r="250" spans="1:13">
      <c r="A250" s="143">
        <v>2019</v>
      </c>
      <c r="B250" s="61">
        <v>43586</v>
      </c>
      <c r="C250" s="9" t="s">
        <v>61</v>
      </c>
      <c r="D250" s="6" t="s">
        <v>652</v>
      </c>
      <c r="E250" s="6" t="s">
        <v>1874</v>
      </c>
      <c r="F250" s="6"/>
      <c r="G250" s="6" t="s">
        <v>802</v>
      </c>
      <c r="H250" s="6" t="s">
        <v>2444</v>
      </c>
      <c r="I250" s="121">
        <v>149860</v>
      </c>
      <c r="J250" s="160" t="s">
        <v>2445</v>
      </c>
      <c r="K250" s="6" t="s">
        <v>1886</v>
      </c>
      <c r="L250" s="6"/>
      <c r="M250" s="6" t="s">
        <v>652</v>
      </c>
    </row>
    <row r="251" spans="1:13">
      <c r="A251" s="143">
        <v>2019</v>
      </c>
      <c r="B251" s="61">
        <v>43617</v>
      </c>
      <c r="C251" s="9" t="s">
        <v>61</v>
      </c>
      <c r="D251" s="6" t="s">
        <v>1838</v>
      </c>
      <c r="E251" s="9" t="s">
        <v>1824</v>
      </c>
      <c r="F251" s="6"/>
      <c r="G251" s="6" t="s">
        <v>2446</v>
      </c>
      <c r="H251" s="6" t="s">
        <v>811</v>
      </c>
      <c r="I251" s="121">
        <v>119500</v>
      </c>
      <c r="J251" s="6" t="s">
        <v>1938</v>
      </c>
      <c r="K251" s="9" t="s">
        <v>1828</v>
      </c>
      <c r="L251" s="6"/>
      <c r="M251" s="6" t="s">
        <v>1838</v>
      </c>
    </row>
    <row r="252" spans="1:13">
      <c r="A252" s="143">
        <v>2019</v>
      </c>
      <c r="B252" s="61">
        <v>43647</v>
      </c>
      <c r="C252" s="9" t="s">
        <v>61</v>
      </c>
      <c r="D252" s="115" t="s">
        <v>1383</v>
      </c>
      <c r="E252" s="115" t="s">
        <v>1859</v>
      </c>
      <c r="F252" s="6"/>
      <c r="G252" s="6" t="s">
        <v>1567</v>
      </c>
      <c r="H252" s="6" t="s">
        <v>2447</v>
      </c>
      <c r="I252" s="121">
        <v>200000</v>
      </c>
      <c r="J252" s="6" t="s">
        <v>2448</v>
      </c>
      <c r="K252" s="9" t="s">
        <v>1855</v>
      </c>
      <c r="L252" s="6"/>
      <c r="M252" s="6" t="s">
        <v>1383</v>
      </c>
    </row>
    <row r="253" spans="1:13">
      <c r="A253" s="143">
        <v>2019</v>
      </c>
      <c r="B253" s="61">
        <v>43678</v>
      </c>
      <c r="C253" s="9" t="s">
        <v>61</v>
      </c>
      <c r="D253" s="115" t="s">
        <v>1383</v>
      </c>
      <c r="E253" s="115" t="s">
        <v>1859</v>
      </c>
      <c r="F253" s="6"/>
      <c r="G253" s="6" t="s">
        <v>1568</v>
      </c>
      <c r="H253" s="6" t="s">
        <v>1569</v>
      </c>
      <c r="I253" s="121">
        <v>200000</v>
      </c>
      <c r="J253" s="160" t="s">
        <v>1569</v>
      </c>
      <c r="K253" s="9" t="s">
        <v>1828</v>
      </c>
      <c r="L253" s="6"/>
      <c r="M253" s="6" t="s">
        <v>1383</v>
      </c>
    </row>
    <row r="254" spans="1:13">
      <c r="A254" s="143">
        <v>2019</v>
      </c>
      <c r="B254" s="62">
        <v>43709</v>
      </c>
      <c r="C254" s="9" t="s">
        <v>61</v>
      </c>
      <c r="D254" s="115" t="s">
        <v>1383</v>
      </c>
      <c r="E254" s="115" t="s">
        <v>1859</v>
      </c>
      <c r="F254" s="6"/>
      <c r="G254" s="6" t="s">
        <v>1570</v>
      </c>
      <c r="H254" s="6" t="s">
        <v>1502</v>
      </c>
      <c r="I254" s="121">
        <v>200000</v>
      </c>
      <c r="J254" s="6" t="s">
        <v>2449</v>
      </c>
      <c r="K254" s="9" t="s">
        <v>2051</v>
      </c>
      <c r="L254" s="6"/>
      <c r="M254" s="6" t="s">
        <v>1383</v>
      </c>
    </row>
    <row r="255" spans="1:13">
      <c r="A255" s="143">
        <v>2019</v>
      </c>
      <c r="B255" s="61">
        <v>43739</v>
      </c>
      <c r="C255" s="9" t="s">
        <v>61</v>
      </c>
      <c r="D255" s="115" t="s">
        <v>1383</v>
      </c>
      <c r="E255" s="115" t="s">
        <v>1859</v>
      </c>
      <c r="F255" s="158"/>
      <c r="G255" s="158" t="s">
        <v>2450</v>
      </c>
      <c r="H255" s="158" t="s">
        <v>1572</v>
      </c>
      <c r="I255" s="163">
        <v>200000</v>
      </c>
      <c r="J255" s="6" t="s">
        <v>2451</v>
      </c>
      <c r="K255" s="6" t="s">
        <v>1886</v>
      </c>
      <c r="L255" s="158"/>
      <c r="M255" s="6" t="s">
        <v>1383</v>
      </c>
    </row>
    <row r="256" spans="1:13">
      <c r="A256" s="143">
        <v>2019</v>
      </c>
      <c r="B256" s="62">
        <v>43770</v>
      </c>
      <c r="C256" s="9" t="s">
        <v>61</v>
      </c>
      <c r="D256" s="115" t="s">
        <v>1383</v>
      </c>
      <c r="E256" s="115" t="s">
        <v>1859</v>
      </c>
      <c r="F256" s="6"/>
      <c r="G256" s="6" t="s">
        <v>1573</v>
      </c>
      <c r="H256" s="6" t="s">
        <v>1574</v>
      </c>
      <c r="I256" s="121">
        <v>200000</v>
      </c>
      <c r="J256" s="6" t="s">
        <v>1879</v>
      </c>
      <c r="K256" s="9" t="s">
        <v>1879</v>
      </c>
      <c r="L256" s="6"/>
      <c r="M256" s="6" t="s">
        <v>1383</v>
      </c>
    </row>
    <row r="257" spans="1:13">
      <c r="A257" s="143">
        <v>2019</v>
      </c>
      <c r="B257" s="62">
        <v>43800</v>
      </c>
      <c r="C257" s="9" t="s">
        <v>61</v>
      </c>
      <c r="D257" s="115" t="s">
        <v>1383</v>
      </c>
      <c r="E257" s="115" t="s">
        <v>1859</v>
      </c>
      <c r="F257" s="6"/>
      <c r="G257" s="6" t="s">
        <v>1575</v>
      </c>
      <c r="H257" s="6" t="s">
        <v>1576</v>
      </c>
      <c r="I257" s="121">
        <v>500000</v>
      </c>
      <c r="J257" s="6" t="s">
        <v>2451</v>
      </c>
      <c r="K257" s="6" t="s">
        <v>1886</v>
      </c>
      <c r="L257" s="6"/>
      <c r="M257" s="6" t="s">
        <v>1383</v>
      </c>
    </row>
    <row r="258" spans="1:13">
      <c r="A258" s="143">
        <v>2019</v>
      </c>
      <c r="B258" s="6" t="s">
        <v>804</v>
      </c>
      <c r="C258" s="9" t="s">
        <v>61</v>
      </c>
      <c r="D258" s="6" t="s">
        <v>113</v>
      </c>
      <c r="E258" s="9" t="s">
        <v>1824</v>
      </c>
      <c r="F258" s="6"/>
      <c r="G258" s="6" t="s">
        <v>805</v>
      </c>
      <c r="H258" s="6" t="s">
        <v>699</v>
      </c>
      <c r="I258" s="121">
        <v>711200</v>
      </c>
      <c r="J258" s="6" t="s">
        <v>1846</v>
      </c>
      <c r="K258" s="9" t="s">
        <v>1828</v>
      </c>
      <c r="L258" s="6"/>
      <c r="M258" s="6" t="s">
        <v>113</v>
      </c>
    </row>
    <row r="259" spans="1:13">
      <c r="A259" s="143">
        <v>2019</v>
      </c>
      <c r="B259" s="6" t="s">
        <v>2452</v>
      </c>
      <c r="C259" s="9" t="s">
        <v>2328</v>
      </c>
      <c r="D259" s="112" t="s">
        <v>68</v>
      </c>
      <c r="E259" s="6" t="s">
        <v>1874</v>
      </c>
      <c r="F259" s="6"/>
      <c r="G259" s="6" t="s">
        <v>2454</v>
      </c>
      <c r="H259" s="6" t="s">
        <v>2455</v>
      </c>
      <c r="I259" s="121" t="s">
        <v>2453</v>
      </c>
      <c r="J259" s="6" t="s">
        <v>1846</v>
      </c>
      <c r="K259" s="9" t="s">
        <v>1828</v>
      </c>
      <c r="L259" s="6"/>
      <c r="M259" s="6" t="s">
        <v>68</v>
      </c>
    </row>
    <row r="260" spans="1:13">
      <c r="A260" s="143">
        <v>2019</v>
      </c>
      <c r="B260" s="6" t="s">
        <v>2456</v>
      </c>
      <c r="C260" s="9" t="s">
        <v>61</v>
      </c>
      <c r="D260" s="6" t="s">
        <v>2457</v>
      </c>
      <c r="E260" s="9" t="s">
        <v>1824</v>
      </c>
      <c r="F260" s="6"/>
      <c r="G260" s="6" t="s">
        <v>2458</v>
      </c>
      <c r="H260" s="158" t="s">
        <v>2459</v>
      </c>
      <c r="I260" s="121">
        <v>200000</v>
      </c>
      <c r="J260" s="6" t="s">
        <v>2460</v>
      </c>
      <c r="K260" s="9" t="s">
        <v>1855</v>
      </c>
      <c r="L260" s="6"/>
      <c r="M260" s="6" t="s">
        <v>2457</v>
      </c>
    </row>
    <row r="261" spans="1:13">
      <c r="A261" s="143">
        <v>2019</v>
      </c>
      <c r="B261" s="6" t="s">
        <v>1577</v>
      </c>
      <c r="C261" s="9" t="s">
        <v>61</v>
      </c>
      <c r="D261" s="115" t="s">
        <v>1383</v>
      </c>
      <c r="E261" s="115" t="s">
        <v>1859</v>
      </c>
      <c r="F261" s="6"/>
      <c r="G261" s="6" t="s">
        <v>1578</v>
      </c>
      <c r="H261" s="6" t="s">
        <v>575</v>
      </c>
      <c r="I261" s="121">
        <v>130600</v>
      </c>
      <c r="J261" s="6" t="s">
        <v>1938</v>
      </c>
      <c r="K261" s="9" t="s">
        <v>1828</v>
      </c>
      <c r="L261" s="6"/>
      <c r="M261" s="6" t="s">
        <v>1383</v>
      </c>
    </row>
    <row r="262" spans="1:13">
      <c r="A262" s="143">
        <v>2019</v>
      </c>
      <c r="B262" s="6" t="s">
        <v>2461</v>
      </c>
      <c r="C262" s="9" t="s">
        <v>61</v>
      </c>
      <c r="D262" s="6" t="s">
        <v>1838</v>
      </c>
      <c r="E262" s="9" t="s">
        <v>1824</v>
      </c>
      <c r="F262" s="158"/>
      <c r="G262" s="158" t="s">
        <v>2462</v>
      </c>
      <c r="H262" s="6" t="s">
        <v>811</v>
      </c>
      <c r="I262" s="121">
        <v>792000</v>
      </c>
      <c r="J262" s="6" t="s">
        <v>1938</v>
      </c>
      <c r="K262" s="9" t="s">
        <v>1828</v>
      </c>
      <c r="L262" s="158"/>
      <c r="M262" s="6" t="s">
        <v>1838</v>
      </c>
    </row>
    <row r="263" spans="1:13">
      <c r="A263" s="143">
        <v>2019</v>
      </c>
      <c r="B263" s="6" t="s">
        <v>806</v>
      </c>
      <c r="C263" s="9" t="s">
        <v>61</v>
      </c>
      <c r="D263" s="6" t="s">
        <v>125</v>
      </c>
      <c r="E263" s="6" t="s">
        <v>1874</v>
      </c>
      <c r="F263" s="6"/>
      <c r="G263" s="6" t="s">
        <v>807</v>
      </c>
      <c r="H263" s="6" t="s">
        <v>808</v>
      </c>
      <c r="I263" s="121">
        <v>500000</v>
      </c>
      <c r="J263" s="6" t="s">
        <v>1938</v>
      </c>
      <c r="K263" s="9" t="s">
        <v>1828</v>
      </c>
      <c r="L263" s="6"/>
      <c r="M263" s="6" t="s">
        <v>125</v>
      </c>
    </row>
    <row r="264" spans="1:13">
      <c r="A264" s="140">
        <v>2019</v>
      </c>
      <c r="B264" s="6" t="s">
        <v>1199</v>
      </c>
      <c r="C264" s="9" t="s">
        <v>61</v>
      </c>
      <c r="D264" s="9" t="s">
        <v>62</v>
      </c>
      <c r="E264" s="6" t="s">
        <v>1904</v>
      </c>
      <c r="F264" s="6"/>
      <c r="G264" s="6" t="s">
        <v>1200</v>
      </c>
      <c r="H264" s="6" t="s">
        <v>2463</v>
      </c>
      <c r="I264" s="121">
        <v>1434349.2</v>
      </c>
      <c r="J264" s="160" t="s">
        <v>2464</v>
      </c>
      <c r="K264" s="6" t="s">
        <v>1886</v>
      </c>
      <c r="L264" s="6"/>
      <c r="M264" s="6" t="s">
        <v>62</v>
      </c>
    </row>
    <row r="265" spans="1:13">
      <c r="A265" s="143">
        <v>2019</v>
      </c>
      <c r="B265" s="6" t="s">
        <v>2465</v>
      </c>
      <c r="C265" s="9" t="s">
        <v>61</v>
      </c>
      <c r="D265" s="115" t="s">
        <v>1383</v>
      </c>
      <c r="E265" s="115" t="s">
        <v>1859</v>
      </c>
      <c r="F265" s="6"/>
      <c r="G265" s="6" t="s">
        <v>2466</v>
      </c>
      <c r="H265" s="6" t="s">
        <v>722</v>
      </c>
      <c r="I265" s="121">
        <v>172000</v>
      </c>
      <c r="J265" s="6" t="s">
        <v>2467</v>
      </c>
      <c r="K265" s="9" t="s">
        <v>1899</v>
      </c>
      <c r="L265" s="6"/>
      <c r="M265" s="6" t="s">
        <v>2172</v>
      </c>
    </row>
    <row r="266" spans="1:13">
      <c r="A266" s="143">
        <v>2019</v>
      </c>
      <c r="B266" s="6" t="s">
        <v>2468</v>
      </c>
      <c r="C266" s="9" t="s">
        <v>61</v>
      </c>
      <c r="D266" s="115" t="s">
        <v>1383</v>
      </c>
      <c r="E266" s="115" t="s">
        <v>1859</v>
      </c>
      <c r="F266" s="6"/>
      <c r="G266" s="6" t="s">
        <v>2469</v>
      </c>
      <c r="H266" s="6" t="s">
        <v>1478</v>
      </c>
      <c r="I266" s="121">
        <v>172000</v>
      </c>
      <c r="J266" s="6" t="s">
        <v>1879</v>
      </c>
      <c r="K266" s="9" t="s">
        <v>1879</v>
      </c>
      <c r="L266" s="6"/>
      <c r="M266" s="6" t="s">
        <v>2172</v>
      </c>
    </row>
    <row r="267" spans="1:13">
      <c r="A267" s="143">
        <v>2019</v>
      </c>
      <c r="B267" s="6" t="s">
        <v>1618</v>
      </c>
      <c r="C267" s="9" t="s">
        <v>61</v>
      </c>
      <c r="D267" s="115" t="s">
        <v>1383</v>
      </c>
      <c r="E267" s="115" t="s">
        <v>1859</v>
      </c>
      <c r="F267" s="6"/>
      <c r="G267" s="6" t="s">
        <v>2470</v>
      </c>
      <c r="H267" s="6" t="s">
        <v>2471</v>
      </c>
      <c r="I267" s="121">
        <v>172000</v>
      </c>
      <c r="J267" s="6" t="s">
        <v>2472</v>
      </c>
      <c r="K267" s="6" t="s">
        <v>1886</v>
      </c>
      <c r="L267" s="6"/>
      <c r="M267" s="6" t="s">
        <v>2172</v>
      </c>
    </row>
    <row r="268" spans="1:13">
      <c r="A268" s="143">
        <v>2019</v>
      </c>
      <c r="B268" s="6" t="s">
        <v>1620</v>
      </c>
      <c r="C268" s="9" t="s">
        <v>61</v>
      </c>
      <c r="D268" s="115" t="s">
        <v>1383</v>
      </c>
      <c r="E268" s="115" t="s">
        <v>1859</v>
      </c>
      <c r="F268" s="6"/>
      <c r="G268" s="6" t="s">
        <v>2473</v>
      </c>
      <c r="H268" s="6" t="s">
        <v>581</v>
      </c>
      <c r="I268" s="121">
        <v>172000</v>
      </c>
      <c r="J268" s="6" t="s">
        <v>2474</v>
      </c>
      <c r="K268" s="9" t="s">
        <v>1916</v>
      </c>
      <c r="L268" s="6"/>
      <c r="M268" s="6" t="s">
        <v>2172</v>
      </c>
    </row>
    <row r="269" spans="1:13">
      <c r="A269" s="143">
        <v>2019</v>
      </c>
      <c r="B269" s="6" t="s">
        <v>823</v>
      </c>
      <c r="C269" s="9" t="s">
        <v>61</v>
      </c>
      <c r="D269" s="115" t="s">
        <v>1383</v>
      </c>
      <c r="E269" s="115" t="s">
        <v>1859</v>
      </c>
      <c r="F269" s="6"/>
      <c r="G269" s="6" t="s">
        <v>2475</v>
      </c>
      <c r="H269" s="6" t="s">
        <v>956</v>
      </c>
      <c r="I269" s="121">
        <v>172000</v>
      </c>
      <c r="J269" s="6" t="s">
        <v>2476</v>
      </c>
      <c r="K269" s="9" t="s">
        <v>2047</v>
      </c>
      <c r="L269" s="6"/>
      <c r="M269" s="6" t="s">
        <v>2172</v>
      </c>
    </row>
    <row r="270" spans="1:13">
      <c r="A270" s="140">
        <v>2019</v>
      </c>
      <c r="B270" s="6" t="s">
        <v>827</v>
      </c>
      <c r="C270" s="9" t="s">
        <v>61</v>
      </c>
      <c r="D270" s="9" t="s">
        <v>62</v>
      </c>
      <c r="E270" s="6" t="s">
        <v>1904</v>
      </c>
      <c r="F270" s="6"/>
      <c r="G270" s="6" t="s">
        <v>2477</v>
      </c>
      <c r="H270" s="6" t="s">
        <v>2478</v>
      </c>
      <c r="I270" s="121">
        <v>1319221.3999999999</v>
      </c>
      <c r="J270" s="160" t="s">
        <v>2479</v>
      </c>
      <c r="K270" s="9" t="s">
        <v>1899</v>
      </c>
      <c r="L270" s="6"/>
      <c r="M270" s="6" t="s">
        <v>62</v>
      </c>
    </row>
    <row r="271" spans="1:13">
      <c r="A271" s="143">
        <v>2019</v>
      </c>
      <c r="B271" s="6" t="s">
        <v>1626</v>
      </c>
      <c r="C271" s="9" t="s">
        <v>2328</v>
      </c>
      <c r="D271" s="9" t="s">
        <v>62</v>
      </c>
      <c r="E271" s="9" t="s">
        <v>1824</v>
      </c>
      <c r="F271" s="6"/>
      <c r="G271" s="6" t="s">
        <v>2480</v>
      </c>
      <c r="H271" s="6" t="s">
        <v>2481</v>
      </c>
      <c r="I271" s="121"/>
      <c r="J271" s="6" t="s">
        <v>1827</v>
      </c>
      <c r="K271" s="9" t="s">
        <v>1828</v>
      </c>
      <c r="L271" s="6"/>
      <c r="M271" s="6" t="s">
        <v>62</v>
      </c>
    </row>
    <row r="272" spans="1:13">
      <c r="A272" s="143">
        <v>2019</v>
      </c>
      <c r="B272" s="6" t="s">
        <v>1628</v>
      </c>
      <c r="C272" s="9" t="s">
        <v>2328</v>
      </c>
      <c r="D272" s="6"/>
      <c r="E272" s="9" t="s">
        <v>1824</v>
      </c>
      <c r="F272" s="6"/>
      <c r="G272" s="6" t="s">
        <v>2482</v>
      </c>
      <c r="H272" s="6" t="s">
        <v>2483</v>
      </c>
      <c r="I272" s="121"/>
      <c r="J272" s="6" t="s">
        <v>1827</v>
      </c>
      <c r="K272" s="9" t="s">
        <v>1828</v>
      </c>
      <c r="L272" s="6"/>
      <c r="M272" s="6"/>
    </row>
    <row r="273" spans="1:13">
      <c r="A273" s="143">
        <v>2019</v>
      </c>
      <c r="B273" s="6" t="s">
        <v>1630</v>
      </c>
      <c r="C273" s="9" t="s">
        <v>2328</v>
      </c>
      <c r="D273" s="9" t="s">
        <v>62</v>
      </c>
      <c r="E273" s="9" t="s">
        <v>1824</v>
      </c>
      <c r="F273" s="6"/>
      <c r="G273" s="6" t="s">
        <v>2484</v>
      </c>
      <c r="H273" s="6" t="s">
        <v>2483</v>
      </c>
      <c r="I273" s="121"/>
      <c r="J273" s="6" t="s">
        <v>1827</v>
      </c>
      <c r="K273" s="9" t="s">
        <v>1828</v>
      </c>
      <c r="L273" s="6"/>
      <c r="M273" s="6" t="s">
        <v>62</v>
      </c>
    </row>
    <row r="274" spans="1:13">
      <c r="A274" s="143">
        <v>2019</v>
      </c>
      <c r="B274" s="6" t="s">
        <v>1633</v>
      </c>
      <c r="C274" s="9" t="s">
        <v>2328</v>
      </c>
      <c r="D274" s="6"/>
      <c r="E274" s="9" t="s">
        <v>1824</v>
      </c>
      <c r="F274" s="6"/>
      <c r="G274" s="6" t="s">
        <v>2485</v>
      </c>
      <c r="H274" s="6" t="s">
        <v>2486</v>
      </c>
      <c r="I274" s="121"/>
      <c r="J274" s="6" t="s">
        <v>1827</v>
      </c>
      <c r="K274" s="9" t="s">
        <v>1828</v>
      </c>
      <c r="L274" s="6"/>
      <c r="M274" s="6"/>
    </row>
    <row r="275" spans="1:13">
      <c r="A275" s="143">
        <v>2019</v>
      </c>
      <c r="B275" s="6" t="s">
        <v>830</v>
      </c>
      <c r="C275" s="9" t="s">
        <v>2328</v>
      </c>
      <c r="D275" s="9" t="s">
        <v>62</v>
      </c>
      <c r="E275" s="9" t="s">
        <v>1824</v>
      </c>
      <c r="F275" s="6"/>
      <c r="G275" s="6" t="s">
        <v>2487</v>
      </c>
      <c r="H275" s="6" t="s">
        <v>2488</v>
      </c>
      <c r="I275" s="121"/>
      <c r="J275" s="6" t="s">
        <v>1827</v>
      </c>
      <c r="K275" s="9" t="s">
        <v>1828</v>
      </c>
      <c r="L275" s="6"/>
      <c r="M275" s="6" t="s">
        <v>62</v>
      </c>
    </row>
    <row r="276" spans="1:13">
      <c r="A276" s="143">
        <v>2019</v>
      </c>
      <c r="B276" s="6" t="s">
        <v>1635</v>
      </c>
      <c r="C276" s="9" t="s">
        <v>2328</v>
      </c>
      <c r="D276" s="6"/>
      <c r="E276" s="9" t="s">
        <v>1824</v>
      </c>
      <c r="F276" s="6"/>
      <c r="G276" s="6" t="s">
        <v>2489</v>
      </c>
      <c r="H276" s="6" t="s">
        <v>2490</v>
      </c>
      <c r="I276" s="121"/>
      <c r="J276" s="6" t="s">
        <v>1827</v>
      </c>
      <c r="K276" s="9" t="s">
        <v>1828</v>
      </c>
      <c r="L276" s="6"/>
      <c r="M276" s="6"/>
    </row>
    <row r="277" spans="1:13">
      <c r="A277" s="143">
        <v>2019</v>
      </c>
      <c r="B277" s="6" t="s">
        <v>1637</v>
      </c>
      <c r="C277" s="9" t="s">
        <v>2328</v>
      </c>
      <c r="D277" s="6"/>
      <c r="E277" s="9" t="s">
        <v>1824</v>
      </c>
      <c r="F277" s="6"/>
      <c r="G277" s="6" t="s">
        <v>2491</v>
      </c>
      <c r="H277" s="6" t="s">
        <v>2492</v>
      </c>
      <c r="I277" s="121"/>
      <c r="J277" s="6" t="s">
        <v>1827</v>
      </c>
      <c r="K277" s="9" t="s">
        <v>1828</v>
      </c>
      <c r="L277" s="6"/>
      <c r="M277" s="6"/>
    </row>
    <row r="278" spans="1:13">
      <c r="A278" s="143">
        <v>2019</v>
      </c>
      <c r="B278" s="6" t="s">
        <v>1639</v>
      </c>
      <c r="C278" s="9" t="s">
        <v>2328</v>
      </c>
      <c r="D278" s="6"/>
      <c r="E278" s="9" t="s">
        <v>1824</v>
      </c>
      <c r="F278" s="6"/>
      <c r="G278" s="6" t="s">
        <v>2493</v>
      </c>
      <c r="H278" s="6" t="s">
        <v>2494</v>
      </c>
      <c r="I278" s="121"/>
      <c r="J278" s="6" t="s">
        <v>1827</v>
      </c>
      <c r="K278" s="9" t="s">
        <v>1828</v>
      </c>
      <c r="L278" s="6"/>
      <c r="M278" s="6"/>
    </row>
    <row r="279" spans="1:13">
      <c r="A279" s="143">
        <v>2019</v>
      </c>
      <c r="B279" s="6" t="s">
        <v>1642</v>
      </c>
      <c r="C279" s="9" t="s">
        <v>2328</v>
      </c>
      <c r="D279" s="6" t="s">
        <v>652</v>
      </c>
      <c r="E279" s="6" t="s">
        <v>1874</v>
      </c>
      <c r="F279" s="6"/>
      <c r="G279" s="6" t="s">
        <v>2495</v>
      </c>
      <c r="H279" s="6" t="s">
        <v>2496</v>
      </c>
      <c r="I279" s="121"/>
      <c r="J279" s="6" t="s">
        <v>1827</v>
      </c>
      <c r="K279" s="9" t="s">
        <v>1828</v>
      </c>
      <c r="L279" s="6"/>
      <c r="M279" s="6" t="s">
        <v>652</v>
      </c>
    </row>
    <row r="280" spans="1:13">
      <c r="A280" s="143">
        <v>2019</v>
      </c>
      <c r="B280" s="6" t="s">
        <v>1643</v>
      </c>
      <c r="C280" s="9" t="s">
        <v>2328</v>
      </c>
      <c r="D280" s="6"/>
      <c r="E280" s="9" t="s">
        <v>1824</v>
      </c>
      <c r="F280" s="6"/>
      <c r="G280" s="6" t="s">
        <v>2497</v>
      </c>
      <c r="H280" s="6" t="s">
        <v>2498</v>
      </c>
      <c r="I280" s="121"/>
      <c r="J280" s="6" t="s">
        <v>1827</v>
      </c>
      <c r="K280" s="9" t="s">
        <v>1828</v>
      </c>
      <c r="L280" s="6"/>
      <c r="M280" s="6"/>
    </row>
    <row r="281" spans="1:13">
      <c r="A281" s="143">
        <v>2019</v>
      </c>
      <c r="B281" s="6" t="s">
        <v>809</v>
      </c>
      <c r="C281" s="9" t="s">
        <v>61</v>
      </c>
      <c r="D281" s="6" t="s">
        <v>113</v>
      </c>
      <c r="E281" s="9" t="s">
        <v>1824</v>
      </c>
      <c r="F281" s="6"/>
      <c r="G281" s="6" t="s">
        <v>2499</v>
      </c>
      <c r="H281" s="6" t="s">
        <v>811</v>
      </c>
      <c r="I281" s="121">
        <v>182200</v>
      </c>
      <c r="J281" s="6" t="s">
        <v>1938</v>
      </c>
      <c r="K281" s="9" t="s">
        <v>1828</v>
      </c>
      <c r="L281" s="6"/>
      <c r="M281" s="6" t="s">
        <v>113</v>
      </c>
    </row>
    <row r="282" spans="1:13">
      <c r="A282" s="140">
        <v>2019</v>
      </c>
      <c r="B282" s="6" t="s">
        <v>1204</v>
      </c>
      <c r="C282" s="9" t="s">
        <v>61</v>
      </c>
      <c r="D282" s="6" t="s">
        <v>1141</v>
      </c>
      <c r="E282" s="6" t="s">
        <v>1904</v>
      </c>
      <c r="F282" s="6"/>
      <c r="G282" s="6" t="s">
        <v>1205</v>
      </c>
      <c r="H282" s="6" t="s">
        <v>1206</v>
      </c>
      <c r="I282" s="150">
        <v>126407.57</v>
      </c>
      <c r="J282" s="6" t="s">
        <v>2500</v>
      </c>
      <c r="K282" s="9" t="s">
        <v>1916</v>
      </c>
      <c r="L282" s="6"/>
      <c r="M282" s="6" t="s">
        <v>1141</v>
      </c>
    </row>
    <row r="283" spans="1:13">
      <c r="A283" s="143">
        <v>2019</v>
      </c>
      <c r="B283" s="6" t="s">
        <v>812</v>
      </c>
      <c r="C283" s="9" t="s">
        <v>61</v>
      </c>
      <c r="D283" s="112" t="s">
        <v>68</v>
      </c>
      <c r="E283" s="6" t="s">
        <v>1874</v>
      </c>
      <c r="F283" s="6"/>
      <c r="G283" s="6" t="s">
        <v>813</v>
      </c>
      <c r="H283" s="6" t="s">
        <v>2501</v>
      </c>
      <c r="I283" s="121">
        <v>199388</v>
      </c>
      <c r="J283" s="160" t="s">
        <v>2502</v>
      </c>
      <c r="K283" s="9" t="s">
        <v>2051</v>
      </c>
      <c r="L283" s="6"/>
      <c r="M283" s="6" t="s">
        <v>68</v>
      </c>
    </row>
    <row r="284" spans="1:13">
      <c r="A284" s="143">
        <v>2019</v>
      </c>
      <c r="B284" s="6" t="s">
        <v>815</v>
      </c>
      <c r="C284" s="9" t="s">
        <v>61</v>
      </c>
      <c r="D284" s="6" t="s">
        <v>652</v>
      </c>
      <c r="E284" s="6" t="s">
        <v>1874</v>
      </c>
      <c r="F284" s="6"/>
      <c r="G284" s="6" t="s">
        <v>816</v>
      </c>
      <c r="H284" s="6" t="s">
        <v>2503</v>
      </c>
      <c r="I284" s="121">
        <v>146362</v>
      </c>
      <c r="J284" s="160" t="s">
        <v>2504</v>
      </c>
      <c r="K284" s="9" t="s">
        <v>1828</v>
      </c>
      <c r="L284" s="6"/>
      <c r="M284" s="6" t="s">
        <v>652</v>
      </c>
    </row>
    <row r="285" spans="1:13">
      <c r="A285" s="143">
        <v>2019</v>
      </c>
      <c r="B285" s="6" t="s">
        <v>847</v>
      </c>
      <c r="C285" s="9" t="s">
        <v>2328</v>
      </c>
      <c r="D285" s="6"/>
      <c r="E285" s="9"/>
      <c r="F285" s="6"/>
      <c r="G285" s="6" t="s">
        <v>2505</v>
      </c>
      <c r="H285" s="6" t="s">
        <v>2506</v>
      </c>
      <c r="I285" s="121"/>
      <c r="J285" s="6" t="s">
        <v>2507</v>
      </c>
      <c r="K285" s="9" t="s">
        <v>1828</v>
      </c>
      <c r="L285" s="6"/>
      <c r="M285" s="6"/>
    </row>
    <row r="286" spans="1:13">
      <c r="A286" s="143">
        <v>2019</v>
      </c>
      <c r="B286" s="6" t="s">
        <v>850</v>
      </c>
      <c r="C286" s="9" t="s">
        <v>61</v>
      </c>
      <c r="D286" s="115" t="s">
        <v>1383</v>
      </c>
      <c r="E286" s="115" t="s">
        <v>1859</v>
      </c>
      <c r="F286" s="6"/>
      <c r="G286" s="6" t="s">
        <v>1579</v>
      </c>
      <c r="H286" s="6" t="s">
        <v>1580</v>
      </c>
      <c r="I286" s="121">
        <v>500000</v>
      </c>
      <c r="J286" s="6" t="s">
        <v>722</v>
      </c>
      <c r="K286" s="9" t="s">
        <v>1899</v>
      </c>
      <c r="L286" s="6"/>
      <c r="M286" s="6" t="s">
        <v>1383</v>
      </c>
    </row>
    <row r="287" spans="1:13">
      <c r="A287" s="143">
        <v>2019</v>
      </c>
      <c r="B287" s="6" t="s">
        <v>1581</v>
      </c>
      <c r="C287" s="9" t="s">
        <v>61</v>
      </c>
      <c r="D287" s="115" t="s">
        <v>1383</v>
      </c>
      <c r="E287" s="115" t="s">
        <v>1859</v>
      </c>
      <c r="F287" s="6"/>
      <c r="G287" s="6" t="s">
        <v>1582</v>
      </c>
      <c r="H287" s="6" t="s">
        <v>1505</v>
      </c>
      <c r="I287" s="121">
        <v>500000</v>
      </c>
      <c r="J287" s="6" t="s">
        <v>2508</v>
      </c>
      <c r="K287" s="9" t="s">
        <v>1828</v>
      </c>
      <c r="L287" s="6"/>
      <c r="M287" s="6" t="s">
        <v>1383</v>
      </c>
    </row>
    <row r="288" spans="1:13">
      <c r="A288" s="143">
        <v>2019</v>
      </c>
      <c r="B288" s="6" t="s">
        <v>1648</v>
      </c>
      <c r="C288" s="9" t="s">
        <v>2328</v>
      </c>
      <c r="D288" s="6"/>
      <c r="E288" s="9" t="s">
        <v>1824</v>
      </c>
      <c r="F288" s="6"/>
      <c r="G288" s="6" t="s">
        <v>2509</v>
      </c>
      <c r="H288" s="6" t="s">
        <v>2510</v>
      </c>
      <c r="I288" s="121"/>
      <c r="J288" s="6" t="s">
        <v>2508</v>
      </c>
      <c r="K288" s="9" t="s">
        <v>1828</v>
      </c>
      <c r="L288" s="6"/>
      <c r="M288" s="6"/>
    </row>
    <row r="289" spans="1:13">
      <c r="A289" s="140">
        <v>2019</v>
      </c>
      <c r="B289" s="6" t="s">
        <v>60</v>
      </c>
      <c r="C289" s="9" t="s">
        <v>61</v>
      </c>
      <c r="D289" s="9" t="s">
        <v>62</v>
      </c>
      <c r="E289" s="6" t="s">
        <v>1904</v>
      </c>
      <c r="F289" s="6"/>
      <c r="G289" s="6" t="s">
        <v>63</v>
      </c>
      <c r="H289" s="6" t="s">
        <v>2511</v>
      </c>
      <c r="I289" s="121">
        <v>3792164.92</v>
      </c>
      <c r="J289" s="160" t="s">
        <v>2512</v>
      </c>
      <c r="K289" s="9" t="s">
        <v>1828</v>
      </c>
      <c r="L289" s="6"/>
      <c r="M289" s="6" t="s">
        <v>62</v>
      </c>
    </row>
    <row r="290" spans="1:13">
      <c r="A290" s="140">
        <v>2019</v>
      </c>
      <c r="B290" s="6" t="s">
        <v>1207</v>
      </c>
      <c r="C290" s="9" t="s">
        <v>61</v>
      </c>
      <c r="D290" s="9" t="s">
        <v>62</v>
      </c>
      <c r="E290" s="6" t="s">
        <v>1904</v>
      </c>
      <c r="F290" s="6"/>
      <c r="G290" s="6" t="s">
        <v>2513</v>
      </c>
      <c r="H290" s="6" t="s">
        <v>2514</v>
      </c>
      <c r="I290" s="121">
        <v>819000</v>
      </c>
      <c r="J290" s="160" t="s">
        <v>2515</v>
      </c>
      <c r="K290" s="9" t="s">
        <v>1828</v>
      </c>
      <c r="L290" s="6"/>
      <c r="M290" s="6" t="s">
        <v>62</v>
      </c>
    </row>
    <row r="291" spans="1:13">
      <c r="A291" s="140">
        <v>2019</v>
      </c>
      <c r="B291" s="6" t="s">
        <v>1210</v>
      </c>
      <c r="C291" s="9" t="s">
        <v>61</v>
      </c>
      <c r="D291" s="9" t="s">
        <v>62</v>
      </c>
      <c r="E291" s="6" t="s">
        <v>1904</v>
      </c>
      <c r="F291" s="6"/>
      <c r="G291" s="6" t="s">
        <v>1211</v>
      </c>
      <c r="H291" s="6" t="s">
        <v>2516</v>
      </c>
      <c r="I291" s="121">
        <v>950981.8</v>
      </c>
      <c r="J291" s="160" t="s">
        <v>2517</v>
      </c>
      <c r="K291" s="9" t="s">
        <v>1828</v>
      </c>
      <c r="L291" s="6"/>
      <c r="M291" s="6" t="s">
        <v>62</v>
      </c>
    </row>
    <row r="292" spans="1:13">
      <c r="A292" s="143">
        <v>2019</v>
      </c>
      <c r="B292" s="6" t="s">
        <v>818</v>
      </c>
      <c r="C292" s="9" t="s">
        <v>61</v>
      </c>
      <c r="D292" s="6" t="s">
        <v>394</v>
      </c>
      <c r="E292" s="115" t="s">
        <v>1853</v>
      </c>
      <c r="F292" s="6"/>
      <c r="G292" s="6" t="s">
        <v>819</v>
      </c>
      <c r="H292" s="6" t="s">
        <v>820</v>
      </c>
      <c r="I292" s="64">
        <v>37500</v>
      </c>
      <c r="J292" s="166" t="s">
        <v>2518</v>
      </c>
      <c r="K292" s="6" t="s">
        <v>1886</v>
      </c>
      <c r="L292" s="6"/>
      <c r="M292" s="6" t="s">
        <v>394</v>
      </c>
    </row>
    <row r="293" spans="1:13">
      <c r="A293" s="143">
        <v>2019</v>
      </c>
      <c r="B293" s="167" t="s">
        <v>2519</v>
      </c>
      <c r="C293" s="9" t="s">
        <v>1823</v>
      </c>
      <c r="D293" s="6" t="s">
        <v>2520</v>
      </c>
      <c r="E293" s="6" t="s">
        <v>1874</v>
      </c>
      <c r="F293" s="6"/>
      <c r="G293" s="6" t="s">
        <v>2521</v>
      </c>
      <c r="H293" s="6" t="s">
        <v>2412</v>
      </c>
      <c r="I293" s="121"/>
      <c r="J293" s="6" t="s">
        <v>575</v>
      </c>
      <c r="K293" s="9" t="s">
        <v>1828</v>
      </c>
      <c r="L293" s="6" t="s">
        <v>2522</v>
      </c>
      <c r="M293" s="6" t="s">
        <v>2520</v>
      </c>
    </row>
    <row r="294" spans="1:13">
      <c r="A294" s="143">
        <v>2019</v>
      </c>
      <c r="B294" s="6" t="s">
        <v>2523</v>
      </c>
      <c r="C294" s="9" t="s">
        <v>1823</v>
      </c>
      <c r="D294" s="6" t="s">
        <v>2524</v>
      </c>
      <c r="E294" s="9"/>
      <c r="F294" s="6"/>
      <c r="G294" s="6" t="s">
        <v>2525</v>
      </c>
      <c r="H294" s="6" t="s">
        <v>1231</v>
      </c>
      <c r="I294" s="121"/>
      <c r="J294" s="6" t="s">
        <v>575</v>
      </c>
      <c r="K294" s="9" t="s">
        <v>1828</v>
      </c>
      <c r="L294" s="6" t="s">
        <v>2526</v>
      </c>
      <c r="M294" s="6" t="s">
        <v>2524</v>
      </c>
    </row>
    <row r="295" spans="1:13">
      <c r="A295" s="143">
        <v>2019</v>
      </c>
      <c r="B295" s="6" t="s">
        <v>2527</v>
      </c>
      <c r="C295" s="9" t="s">
        <v>1823</v>
      </c>
      <c r="D295" s="6" t="s">
        <v>2524</v>
      </c>
      <c r="E295" s="9"/>
      <c r="F295" s="6"/>
      <c r="G295" s="6" t="s">
        <v>2528</v>
      </c>
      <c r="H295" s="6" t="s">
        <v>2412</v>
      </c>
      <c r="I295" s="121"/>
      <c r="J295" s="6" t="s">
        <v>575</v>
      </c>
      <c r="K295" s="9" t="s">
        <v>1828</v>
      </c>
      <c r="L295" s="6" t="s">
        <v>2529</v>
      </c>
      <c r="M295" s="6" t="s">
        <v>2524</v>
      </c>
    </row>
    <row r="296" spans="1:13">
      <c r="A296" s="143">
        <v>2019</v>
      </c>
      <c r="B296" s="6" t="s">
        <v>2530</v>
      </c>
      <c r="C296" s="9" t="s">
        <v>1823</v>
      </c>
      <c r="D296" s="6" t="s">
        <v>2524</v>
      </c>
      <c r="E296" s="9"/>
      <c r="F296" s="6"/>
      <c r="G296" s="6" t="s">
        <v>2531</v>
      </c>
      <c r="H296" s="6" t="s">
        <v>2412</v>
      </c>
      <c r="I296" s="121"/>
      <c r="J296" s="6" t="s">
        <v>575</v>
      </c>
      <c r="K296" s="9" t="s">
        <v>1828</v>
      </c>
      <c r="L296" s="6" t="s">
        <v>2532</v>
      </c>
      <c r="M296" s="6" t="s">
        <v>2524</v>
      </c>
    </row>
    <row r="297" spans="1:13">
      <c r="A297" s="143">
        <v>2019</v>
      </c>
      <c r="B297" s="6" t="s">
        <v>2533</v>
      </c>
      <c r="C297" s="9" t="s">
        <v>1823</v>
      </c>
      <c r="D297" s="6" t="s">
        <v>2524</v>
      </c>
      <c r="E297" s="9"/>
      <c r="F297" s="6"/>
      <c r="G297" s="6" t="s">
        <v>2534</v>
      </c>
      <c r="H297" s="6" t="s">
        <v>1231</v>
      </c>
      <c r="I297" s="121"/>
      <c r="J297" s="6" t="s">
        <v>575</v>
      </c>
      <c r="K297" s="9" t="s">
        <v>1828</v>
      </c>
      <c r="L297" s="6" t="s">
        <v>2535</v>
      </c>
      <c r="M297" s="6" t="s">
        <v>2524</v>
      </c>
    </row>
    <row r="298" spans="1:13">
      <c r="A298" s="143">
        <v>2019</v>
      </c>
      <c r="B298" s="6" t="s">
        <v>2536</v>
      </c>
      <c r="C298" s="9" t="s">
        <v>1823</v>
      </c>
      <c r="D298" s="6" t="s">
        <v>2524</v>
      </c>
      <c r="E298" s="9"/>
      <c r="F298" s="6"/>
      <c r="G298" s="6" t="s">
        <v>2537</v>
      </c>
      <c r="H298" s="6" t="s">
        <v>611</v>
      </c>
      <c r="I298" s="121"/>
      <c r="J298" s="6" t="s">
        <v>575</v>
      </c>
      <c r="K298" s="9" t="s">
        <v>1828</v>
      </c>
      <c r="L298" s="6" t="s">
        <v>2538</v>
      </c>
      <c r="M298" s="6" t="s">
        <v>2524</v>
      </c>
    </row>
    <row r="299" spans="1:13">
      <c r="A299" s="143">
        <v>2019</v>
      </c>
      <c r="B299" s="6" t="s">
        <v>2539</v>
      </c>
      <c r="C299" s="9" t="s">
        <v>1823</v>
      </c>
      <c r="D299" s="6" t="s">
        <v>2524</v>
      </c>
      <c r="E299" s="9"/>
      <c r="F299" s="6"/>
      <c r="G299" s="6" t="s">
        <v>2540</v>
      </c>
      <c r="H299" s="6" t="s">
        <v>611</v>
      </c>
      <c r="I299" s="121"/>
      <c r="J299" s="6" t="s">
        <v>575</v>
      </c>
      <c r="K299" s="9" t="s">
        <v>1828</v>
      </c>
      <c r="L299" s="6" t="s">
        <v>2541</v>
      </c>
      <c r="M299" s="6" t="s">
        <v>2524</v>
      </c>
    </row>
    <row r="300" spans="1:13">
      <c r="A300" s="143">
        <v>2019</v>
      </c>
      <c r="B300" s="6" t="s">
        <v>1583</v>
      </c>
      <c r="C300" s="9" t="s">
        <v>61</v>
      </c>
      <c r="D300" s="115" t="s">
        <v>1383</v>
      </c>
      <c r="E300" s="115" t="s">
        <v>1859</v>
      </c>
      <c r="F300" s="6"/>
      <c r="G300" s="6" t="s">
        <v>1584</v>
      </c>
      <c r="H300" s="6" t="s">
        <v>1585</v>
      </c>
      <c r="I300" s="121">
        <v>100000</v>
      </c>
      <c r="J300" s="6" t="s">
        <v>1585</v>
      </c>
      <c r="K300" s="9" t="s">
        <v>1828</v>
      </c>
      <c r="L300" s="6" t="s">
        <v>2542</v>
      </c>
      <c r="M300" s="6" t="s">
        <v>1383</v>
      </c>
    </row>
    <row r="301" spans="1:13">
      <c r="A301" s="140">
        <v>2019</v>
      </c>
      <c r="B301" s="6" t="s">
        <v>1213</v>
      </c>
      <c r="C301" s="9" t="s">
        <v>61</v>
      </c>
      <c r="D301" s="6" t="s">
        <v>1141</v>
      </c>
      <c r="E301" s="6" t="s">
        <v>1904</v>
      </c>
      <c r="F301" s="6"/>
      <c r="G301" s="6" t="s">
        <v>1214</v>
      </c>
      <c r="H301" s="6" t="s">
        <v>1215</v>
      </c>
      <c r="I301" s="121">
        <v>96071.35</v>
      </c>
      <c r="J301" s="6" t="s">
        <v>2543</v>
      </c>
      <c r="K301" s="9" t="s">
        <v>1916</v>
      </c>
      <c r="L301" s="6" t="s">
        <v>2544</v>
      </c>
      <c r="M301" s="6" t="s">
        <v>1141</v>
      </c>
    </row>
    <row r="302" spans="1:13">
      <c r="A302" s="143">
        <v>2019</v>
      </c>
      <c r="B302" s="6" t="s">
        <v>1586</v>
      </c>
      <c r="C302" s="9" t="s">
        <v>61</v>
      </c>
      <c r="D302" s="115" t="s">
        <v>1383</v>
      </c>
      <c r="E302" s="115" t="s">
        <v>1859</v>
      </c>
      <c r="F302" s="6"/>
      <c r="G302" s="6" t="s">
        <v>1587</v>
      </c>
      <c r="H302" s="6" t="s">
        <v>1588</v>
      </c>
      <c r="I302" s="121">
        <v>58000</v>
      </c>
      <c r="J302" s="6"/>
      <c r="K302" s="9" t="s">
        <v>1828</v>
      </c>
      <c r="L302" s="6" t="s">
        <v>2545</v>
      </c>
      <c r="M302" s="6" t="s">
        <v>1383</v>
      </c>
    </row>
    <row r="303" spans="1:13">
      <c r="A303" s="143">
        <v>2019</v>
      </c>
      <c r="B303" s="6" t="s">
        <v>1589</v>
      </c>
      <c r="C303" s="9" t="s">
        <v>61</v>
      </c>
      <c r="D303" s="115" t="s">
        <v>1383</v>
      </c>
      <c r="E303" s="115" t="s">
        <v>1859</v>
      </c>
      <c r="F303" s="6"/>
      <c r="G303" s="6" t="s">
        <v>1590</v>
      </c>
      <c r="H303" s="6" t="s">
        <v>849</v>
      </c>
      <c r="I303" s="121">
        <v>200000</v>
      </c>
      <c r="J303" s="6" t="s">
        <v>2546</v>
      </c>
      <c r="K303" s="9" t="s">
        <v>2085</v>
      </c>
      <c r="L303" s="6" t="s">
        <v>2547</v>
      </c>
      <c r="M303" s="6" t="s">
        <v>1383</v>
      </c>
    </row>
    <row r="304" spans="1:13">
      <c r="A304" s="143">
        <v>2019</v>
      </c>
      <c r="B304" s="6" t="s">
        <v>1591</v>
      </c>
      <c r="C304" s="9" t="s">
        <v>61</v>
      </c>
      <c r="D304" s="115" t="s">
        <v>1383</v>
      </c>
      <c r="E304" s="115" t="s">
        <v>1859</v>
      </c>
      <c r="F304" s="6"/>
      <c r="G304" s="6" t="s">
        <v>1592</v>
      </c>
      <c r="H304" s="6" t="s">
        <v>1593</v>
      </c>
      <c r="I304" s="121">
        <v>200000</v>
      </c>
      <c r="J304" s="6" t="s">
        <v>2548</v>
      </c>
      <c r="K304" s="9" t="s">
        <v>1899</v>
      </c>
      <c r="L304" s="6" t="s">
        <v>12148</v>
      </c>
      <c r="M304" s="6" t="s">
        <v>1383</v>
      </c>
    </row>
    <row r="305" spans="1:13">
      <c r="A305" s="143">
        <v>2019</v>
      </c>
      <c r="B305" s="6" t="s">
        <v>1594</v>
      </c>
      <c r="C305" s="9" t="s">
        <v>61</v>
      </c>
      <c r="D305" s="115" t="s">
        <v>1383</v>
      </c>
      <c r="E305" s="115" t="s">
        <v>1859</v>
      </c>
      <c r="F305" s="6"/>
      <c r="G305" s="6" t="s">
        <v>1595</v>
      </c>
      <c r="H305" s="6" t="s">
        <v>844</v>
      </c>
      <c r="I305" s="121">
        <v>200000</v>
      </c>
      <c r="J305" s="6" t="s">
        <v>2550</v>
      </c>
      <c r="K305" s="9" t="s">
        <v>2051</v>
      </c>
      <c r="L305" s="6" t="s">
        <v>12149</v>
      </c>
      <c r="M305" s="6" t="s">
        <v>1383</v>
      </c>
    </row>
    <row r="306" spans="1:13">
      <c r="A306" s="143">
        <v>2019</v>
      </c>
      <c r="B306" s="6" t="s">
        <v>1596</v>
      </c>
      <c r="C306" s="9" t="s">
        <v>61</v>
      </c>
      <c r="D306" s="115" t="s">
        <v>1383</v>
      </c>
      <c r="E306" s="115" t="s">
        <v>1859</v>
      </c>
      <c r="F306" s="6"/>
      <c r="G306" s="6" t="s">
        <v>1597</v>
      </c>
      <c r="H306" s="6" t="s">
        <v>1598</v>
      </c>
      <c r="I306" s="121">
        <v>200000</v>
      </c>
      <c r="J306" s="6" t="s">
        <v>2030</v>
      </c>
      <c r="K306" s="9" t="s">
        <v>2031</v>
      </c>
      <c r="L306" s="6" t="s">
        <v>12150</v>
      </c>
      <c r="M306" s="6" t="s">
        <v>1383</v>
      </c>
    </row>
    <row r="307" spans="1:13">
      <c r="A307" s="143">
        <v>2019</v>
      </c>
      <c r="B307" s="6" t="s">
        <v>1599</v>
      </c>
      <c r="C307" s="9" t="s">
        <v>61</v>
      </c>
      <c r="D307" s="115" t="s">
        <v>1383</v>
      </c>
      <c r="E307" s="115" t="s">
        <v>1859</v>
      </c>
      <c r="F307" s="6"/>
      <c r="G307" s="6" t="s">
        <v>1600</v>
      </c>
      <c r="H307" s="6" t="s">
        <v>854</v>
      </c>
      <c r="I307" s="121">
        <v>200000</v>
      </c>
      <c r="J307" s="167" t="s">
        <v>2553</v>
      </c>
      <c r="K307" s="9" t="s">
        <v>1916</v>
      </c>
      <c r="L307" s="6" t="s">
        <v>12151</v>
      </c>
      <c r="M307" s="6" t="s">
        <v>1383</v>
      </c>
    </row>
    <row r="308" spans="1:13">
      <c r="A308" s="143">
        <v>2019</v>
      </c>
      <c r="B308" s="6" t="s">
        <v>1601</v>
      </c>
      <c r="C308" s="9" t="s">
        <v>61</v>
      </c>
      <c r="D308" s="115" t="s">
        <v>1383</v>
      </c>
      <c r="E308" s="115" t="s">
        <v>1859</v>
      </c>
      <c r="F308" s="6"/>
      <c r="G308" s="6" t="s">
        <v>1602</v>
      </c>
      <c r="H308" s="6" t="s">
        <v>1346</v>
      </c>
      <c r="I308" s="121">
        <v>200000</v>
      </c>
      <c r="J308" s="6" t="s">
        <v>2555</v>
      </c>
      <c r="K308" s="6" t="s">
        <v>2082</v>
      </c>
      <c r="L308" s="6" t="s">
        <v>12152</v>
      </c>
      <c r="M308" s="6" t="s">
        <v>1383</v>
      </c>
    </row>
    <row r="309" spans="1:13">
      <c r="A309" s="143">
        <v>2019</v>
      </c>
      <c r="B309" s="6" t="s">
        <v>1603</v>
      </c>
      <c r="C309" s="9" t="s">
        <v>61</v>
      </c>
      <c r="D309" s="115" t="s">
        <v>1383</v>
      </c>
      <c r="E309" s="115" t="s">
        <v>1859</v>
      </c>
      <c r="F309" s="6"/>
      <c r="G309" s="6" t="s">
        <v>1604</v>
      </c>
      <c r="H309" s="6" t="s">
        <v>1605</v>
      </c>
      <c r="I309" s="121">
        <v>200000</v>
      </c>
      <c r="J309" s="6" t="s">
        <v>2557</v>
      </c>
      <c r="K309" s="9" t="s">
        <v>1919</v>
      </c>
      <c r="L309" s="6" t="s">
        <v>12153</v>
      </c>
      <c r="M309" s="6" t="s">
        <v>1383</v>
      </c>
    </row>
    <row r="310" spans="1:13">
      <c r="A310" s="143">
        <v>2019</v>
      </c>
      <c r="B310" s="6" t="s">
        <v>1606</v>
      </c>
      <c r="C310" s="9" t="s">
        <v>61</v>
      </c>
      <c r="D310" s="115" t="s">
        <v>1383</v>
      </c>
      <c r="E310" s="115" t="s">
        <v>1859</v>
      </c>
      <c r="F310" s="6"/>
      <c r="G310" s="6" t="s">
        <v>2559</v>
      </c>
      <c r="H310" s="6" t="s">
        <v>1608</v>
      </c>
      <c r="I310" s="121">
        <v>200000</v>
      </c>
      <c r="J310" s="6" t="s">
        <v>2560</v>
      </c>
      <c r="K310" s="9" t="s">
        <v>2041</v>
      </c>
      <c r="L310" s="6" t="s">
        <v>12154</v>
      </c>
      <c r="M310" s="6" t="s">
        <v>1383</v>
      </c>
    </row>
    <row r="311" spans="1:13">
      <c r="A311" s="143">
        <v>2019</v>
      </c>
      <c r="B311" s="6" t="s">
        <v>1609</v>
      </c>
      <c r="C311" s="9" t="s">
        <v>61</v>
      </c>
      <c r="D311" s="115" t="s">
        <v>1383</v>
      </c>
      <c r="E311" s="115" t="s">
        <v>1859</v>
      </c>
      <c r="F311" s="6"/>
      <c r="G311" s="6" t="s">
        <v>1610</v>
      </c>
      <c r="H311" s="6" t="s">
        <v>1611</v>
      </c>
      <c r="I311" s="121">
        <v>500000</v>
      </c>
      <c r="J311" s="6" t="s">
        <v>2562</v>
      </c>
      <c r="K311" s="9" t="s">
        <v>1828</v>
      </c>
      <c r="L311" s="6" t="s">
        <v>2563</v>
      </c>
      <c r="M311" s="6" t="s">
        <v>1383</v>
      </c>
    </row>
    <row r="312" spans="1:13">
      <c r="A312" s="143">
        <v>2019</v>
      </c>
      <c r="B312" s="6" t="s">
        <v>821</v>
      </c>
      <c r="C312" s="9" t="s">
        <v>61</v>
      </c>
      <c r="D312" s="6" t="s">
        <v>394</v>
      </c>
      <c r="E312" s="115" t="s">
        <v>1853</v>
      </c>
      <c r="F312" s="6"/>
      <c r="G312" s="6" t="s">
        <v>822</v>
      </c>
      <c r="H312" s="6" t="s">
        <v>704</v>
      </c>
      <c r="I312" s="64">
        <v>60000</v>
      </c>
      <c r="J312" s="6" t="s">
        <v>2564</v>
      </c>
      <c r="K312" s="9" t="s">
        <v>1879</v>
      </c>
      <c r="L312" s="6" t="s">
        <v>2565</v>
      </c>
      <c r="M312" s="6" t="s">
        <v>394</v>
      </c>
    </row>
    <row r="313" spans="1:13">
      <c r="A313" s="143">
        <v>2019</v>
      </c>
      <c r="B313" s="6" t="s">
        <v>1612</v>
      </c>
      <c r="C313" s="9" t="s">
        <v>61</v>
      </c>
      <c r="D313" s="115" t="s">
        <v>1383</v>
      </c>
      <c r="E313" s="115" t="s">
        <v>1859</v>
      </c>
      <c r="F313" s="6"/>
      <c r="G313" s="6" t="s">
        <v>1613</v>
      </c>
      <c r="H313" s="9" t="s">
        <v>1614</v>
      </c>
      <c r="I313" s="121">
        <v>500000</v>
      </c>
      <c r="J313" s="6" t="s">
        <v>2566</v>
      </c>
      <c r="K313" s="9" t="s">
        <v>1828</v>
      </c>
      <c r="L313" s="6" t="s">
        <v>2567</v>
      </c>
      <c r="M313" s="6" t="s">
        <v>1383</v>
      </c>
    </row>
    <row r="314" spans="1:13">
      <c r="A314" s="143">
        <v>2019</v>
      </c>
      <c r="B314" s="6" t="s">
        <v>1615</v>
      </c>
      <c r="C314" s="9" t="s">
        <v>61</v>
      </c>
      <c r="D314" s="115" t="s">
        <v>1383</v>
      </c>
      <c r="E314" s="115" t="s">
        <v>1859</v>
      </c>
      <c r="F314" s="6"/>
      <c r="G314" s="6" t="s">
        <v>1616</v>
      </c>
      <c r="H314" s="6" t="s">
        <v>1617</v>
      </c>
      <c r="I314" s="121">
        <v>500000</v>
      </c>
      <c r="J314" s="6" t="s">
        <v>2562</v>
      </c>
      <c r="K314" s="9" t="s">
        <v>1828</v>
      </c>
      <c r="L314" s="6" t="s">
        <v>2568</v>
      </c>
      <c r="M314" s="6" t="s">
        <v>1383</v>
      </c>
    </row>
    <row r="315" spans="1:13">
      <c r="A315" s="143">
        <v>2019</v>
      </c>
      <c r="B315" s="6" t="s">
        <v>1618</v>
      </c>
      <c r="C315" s="9" t="s">
        <v>61</v>
      </c>
      <c r="D315" s="115" t="s">
        <v>1383</v>
      </c>
      <c r="E315" s="115" t="s">
        <v>1859</v>
      </c>
      <c r="F315" s="6"/>
      <c r="G315" s="6" t="s">
        <v>1619</v>
      </c>
      <c r="H315" s="6" t="s">
        <v>840</v>
      </c>
      <c r="I315" s="121">
        <v>500000</v>
      </c>
      <c r="J315" s="6" t="s">
        <v>2562</v>
      </c>
      <c r="K315" s="9" t="s">
        <v>1828</v>
      </c>
      <c r="L315" s="6" t="s">
        <v>2569</v>
      </c>
      <c r="M315" s="6" t="s">
        <v>1383</v>
      </c>
    </row>
    <row r="316" spans="1:13">
      <c r="A316" s="143">
        <v>2019</v>
      </c>
      <c r="B316" s="6" t="s">
        <v>1620</v>
      </c>
      <c r="C316" s="9" t="s">
        <v>61</v>
      </c>
      <c r="D316" s="115" t="s">
        <v>1383</v>
      </c>
      <c r="E316" s="115" t="s">
        <v>1859</v>
      </c>
      <c r="F316" s="6"/>
      <c r="G316" s="6" t="s">
        <v>1621</v>
      </c>
      <c r="H316" s="6" t="s">
        <v>1622</v>
      </c>
      <c r="I316" s="121">
        <v>500000</v>
      </c>
      <c r="J316" s="6" t="s">
        <v>2570</v>
      </c>
      <c r="K316" s="9" t="s">
        <v>2571</v>
      </c>
      <c r="L316" s="6" t="s">
        <v>2572</v>
      </c>
      <c r="M316" s="6" t="s">
        <v>1383</v>
      </c>
    </row>
    <row r="317" spans="1:13">
      <c r="A317" s="143">
        <v>2019</v>
      </c>
      <c r="B317" s="6" t="s">
        <v>823</v>
      </c>
      <c r="C317" s="9" t="s">
        <v>61</v>
      </c>
      <c r="D317" s="6" t="s">
        <v>586</v>
      </c>
      <c r="E317" s="6" t="s">
        <v>1874</v>
      </c>
      <c r="F317" s="6"/>
      <c r="G317" s="6" t="s">
        <v>825</v>
      </c>
      <c r="H317" s="6" t="s">
        <v>826</v>
      </c>
      <c r="I317" s="121">
        <v>28800</v>
      </c>
      <c r="J317" s="6" t="s">
        <v>2573</v>
      </c>
      <c r="K317" s="9" t="s">
        <v>1828</v>
      </c>
      <c r="L317" s="6" t="s">
        <v>2574</v>
      </c>
      <c r="M317" s="6" t="s">
        <v>2520</v>
      </c>
    </row>
    <row r="318" spans="1:13">
      <c r="A318" s="143">
        <v>2019</v>
      </c>
      <c r="B318" s="6" t="s">
        <v>827</v>
      </c>
      <c r="C318" s="9" t="s">
        <v>61</v>
      </c>
      <c r="D318" s="6" t="s">
        <v>586</v>
      </c>
      <c r="E318" s="6" t="s">
        <v>1874</v>
      </c>
      <c r="F318" s="6"/>
      <c r="G318" s="6" t="s">
        <v>828</v>
      </c>
      <c r="H318" s="6" t="s">
        <v>829</v>
      </c>
      <c r="I318" s="121">
        <v>16346.44</v>
      </c>
      <c r="J318" s="6" t="s">
        <v>2575</v>
      </c>
      <c r="K318" s="9" t="s">
        <v>2047</v>
      </c>
      <c r="L318" s="6" t="s">
        <v>2576</v>
      </c>
      <c r="M318" s="6" t="s">
        <v>2520</v>
      </c>
    </row>
    <row r="319" spans="1:13">
      <c r="A319" s="143">
        <v>2019</v>
      </c>
      <c r="B319" s="6" t="s">
        <v>1623</v>
      </c>
      <c r="C319" s="9" t="s">
        <v>61</v>
      </c>
      <c r="D319" s="115" t="s">
        <v>1383</v>
      </c>
      <c r="E319" s="115" t="s">
        <v>1859</v>
      </c>
      <c r="F319" s="6"/>
      <c r="G319" s="6" t="s">
        <v>1624</v>
      </c>
      <c r="H319" s="6" t="s">
        <v>1625</v>
      </c>
      <c r="I319" s="121">
        <v>500000</v>
      </c>
      <c r="J319" s="6" t="s">
        <v>2562</v>
      </c>
      <c r="K319" s="9" t="s">
        <v>1828</v>
      </c>
      <c r="L319" s="6" t="s">
        <v>2577</v>
      </c>
      <c r="M319" s="6" t="s">
        <v>1383</v>
      </c>
    </row>
    <row r="320" spans="1:13">
      <c r="A320" s="143">
        <v>2019</v>
      </c>
      <c r="B320" s="6" t="s">
        <v>1626</v>
      </c>
      <c r="C320" s="9" t="s">
        <v>61</v>
      </c>
      <c r="D320" s="115" t="s">
        <v>1383</v>
      </c>
      <c r="E320" s="115" t="s">
        <v>1859</v>
      </c>
      <c r="F320" s="6"/>
      <c r="G320" s="6" t="s">
        <v>1627</v>
      </c>
      <c r="H320" s="6" t="s">
        <v>842</v>
      </c>
      <c r="I320" s="121">
        <v>200000</v>
      </c>
      <c r="J320" s="6" t="s">
        <v>2578</v>
      </c>
      <c r="K320" s="9" t="s">
        <v>2047</v>
      </c>
      <c r="L320" s="6" t="s">
        <v>2579</v>
      </c>
      <c r="M320" s="6" t="s">
        <v>1383</v>
      </c>
    </row>
    <row r="321" spans="1:13">
      <c r="A321" s="143">
        <v>2019</v>
      </c>
      <c r="B321" s="6" t="s">
        <v>1628</v>
      </c>
      <c r="C321" s="9" t="s">
        <v>61</v>
      </c>
      <c r="D321" s="115" t="s">
        <v>1383</v>
      </c>
      <c r="E321" s="115" t="s">
        <v>1859</v>
      </c>
      <c r="F321" s="6"/>
      <c r="G321" s="6" t="s">
        <v>1629</v>
      </c>
      <c r="H321" s="6" t="s">
        <v>826</v>
      </c>
      <c r="I321" s="121">
        <v>4750</v>
      </c>
      <c r="J321" s="6" t="s">
        <v>2573</v>
      </c>
      <c r="K321" s="9" t="s">
        <v>1828</v>
      </c>
      <c r="L321" s="6" t="s">
        <v>2580</v>
      </c>
      <c r="M321" s="6" t="s">
        <v>1383</v>
      </c>
    </row>
    <row r="322" spans="1:13">
      <c r="A322" s="143">
        <v>2019</v>
      </c>
      <c r="B322" s="6" t="s">
        <v>1630</v>
      </c>
      <c r="C322" s="9" t="s">
        <v>61</v>
      </c>
      <c r="D322" s="115" t="s">
        <v>1383</v>
      </c>
      <c r="E322" s="115" t="s">
        <v>1859</v>
      </c>
      <c r="F322" s="6"/>
      <c r="G322" s="6" t="s">
        <v>1631</v>
      </c>
      <c r="H322" s="6" t="s">
        <v>1632</v>
      </c>
      <c r="I322" s="121">
        <v>500000</v>
      </c>
      <c r="J322" s="6" t="s">
        <v>2562</v>
      </c>
      <c r="K322" s="9" t="s">
        <v>1828</v>
      </c>
      <c r="L322" s="6" t="s">
        <v>2581</v>
      </c>
      <c r="M322" s="6" t="s">
        <v>1383</v>
      </c>
    </row>
    <row r="323" spans="1:13">
      <c r="A323" s="143">
        <v>2019</v>
      </c>
      <c r="B323" s="6" t="s">
        <v>1633</v>
      </c>
      <c r="C323" s="9" t="s">
        <v>61</v>
      </c>
      <c r="D323" s="115" t="s">
        <v>1383</v>
      </c>
      <c r="E323" s="115" t="s">
        <v>1859</v>
      </c>
      <c r="F323" s="6"/>
      <c r="G323" s="6" t="s">
        <v>1634</v>
      </c>
      <c r="H323" s="6" t="s">
        <v>832</v>
      </c>
      <c r="I323" s="121">
        <v>200000</v>
      </c>
      <c r="J323" s="6" t="s">
        <v>2582</v>
      </c>
      <c r="K323" s="9" t="s">
        <v>2047</v>
      </c>
      <c r="L323" s="6" t="s">
        <v>2583</v>
      </c>
      <c r="M323" s="6" t="s">
        <v>1383</v>
      </c>
    </row>
    <row r="324" spans="1:13">
      <c r="A324" s="143">
        <v>2019</v>
      </c>
      <c r="B324" s="6" t="s">
        <v>830</v>
      </c>
      <c r="C324" s="9" t="s">
        <v>61</v>
      </c>
      <c r="D324" s="6" t="s">
        <v>394</v>
      </c>
      <c r="E324" s="115" t="s">
        <v>1853</v>
      </c>
      <c r="F324" s="6"/>
      <c r="G324" s="6" t="s">
        <v>831</v>
      </c>
      <c r="H324" s="6" t="s">
        <v>832</v>
      </c>
      <c r="I324" s="64">
        <v>39700</v>
      </c>
      <c r="J324" s="6" t="s">
        <v>2584</v>
      </c>
      <c r="K324" s="9" t="s">
        <v>2041</v>
      </c>
      <c r="L324" s="6" t="s">
        <v>2585</v>
      </c>
      <c r="M324" s="6" t="s">
        <v>394</v>
      </c>
    </row>
    <row r="325" spans="1:13">
      <c r="A325" s="143">
        <v>2019</v>
      </c>
      <c r="B325" s="6" t="s">
        <v>1635</v>
      </c>
      <c r="C325" s="9" t="s">
        <v>61</v>
      </c>
      <c r="D325" s="115" t="s">
        <v>1383</v>
      </c>
      <c r="E325" s="115" t="s">
        <v>1859</v>
      </c>
      <c r="F325" s="6"/>
      <c r="G325" s="6" t="s">
        <v>1636</v>
      </c>
      <c r="H325" s="6" t="s">
        <v>1585</v>
      </c>
      <c r="I325" s="121">
        <v>500000</v>
      </c>
      <c r="J325" s="6" t="s">
        <v>2562</v>
      </c>
      <c r="K325" s="9" t="s">
        <v>1828</v>
      </c>
      <c r="L325" s="6" t="s">
        <v>2586</v>
      </c>
      <c r="M325" s="6" t="s">
        <v>1383</v>
      </c>
    </row>
    <row r="326" spans="1:13">
      <c r="A326" s="143">
        <v>2019</v>
      </c>
      <c r="B326" s="6" t="s">
        <v>1637</v>
      </c>
      <c r="C326" s="9" t="s">
        <v>61</v>
      </c>
      <c r="D326" s="115" t="s">
        <v>1383</v>
      </c>
      <c r="E326" s="115" t="s">
        <v>1859</v>
      </c>
      <c r="F326" s="6"/>
      <c r="G326" s="6" t="s">
        <v>1638</v>
      </c>
      <c r="H326" s="6" t="s">
        <v>840</v>
      </c>
      <c r="I326" s="121">
        <v>172000</v>
      </c>
      <c r="J326" s="6" t="s">
        <v>2562</v>
      </c>
      <c r="K326" s="9" t="s">
        <v>1828</v>
      </c>
      <c r="L326" s="6" t="s">
        <v>2587</v>
      </c>
      <c r="M326" s="6" t="s">
        <v>1383</v>
      </c>
    </row>
    <row r="327" spans="1:13">
      <c r="A327" s="143">
        <v>2019</v>
      </c>
      <c r="B327" s="6" t="s">
        <v>1639</v>
      </c>
      <c r="C327" s="9" t="s">
        <v>61</v>
      </c>
      <c r="D327" s="115" t="s">
        <v>1383</v>
      </c>
      <c r="E327" s="115" t="s">
        <v>1859</v>
      </c>
      <c r="F327" s="6"/>
      <c r="G327" s="6" t="s">
        <v>1640</v>
      </c>
      <c r="H327" s="6" t="s">
        <v>1641</v>
      </c>
      <c r="I327" s="121">
        <v>172000</v>
      </c>
      <c r="J327" s="6" t="s">
        <v>2588</v>
      </c>
      <c r="K327" s="9" t="s">
        <v>2051</v>
      </c>
      <c r="L327" s="6" t="s">
        <v>2589</v>
      </c>
      <c r="M327" s="6" t="s">
        <v>1383</v>
      </c>
    </row>
    <row r="328" spans="1:13">
      <c r="A328" s="143">
        <v>2019</v>
      </c>
      <c r="B328" s="6" t="s">
        <v>833</v>
      </c>
      <c r="C328" s="9" t="s">
        <v>61</v>
      </c>
      <c r="D328" s="6" t="s">
        <v>394</v>
      </c>
      <c r="E328" s="115" t="s">
        <v>1853</v>
      </c>
      <c r="F328" s="6"/>
      <c r="G328" s="6" t="s">
        <v>834</v>
      </c>
      <c r="H328" s="6" t="s">
        <v>835</v>
      </c>
      <c r="I328" s="64">
        <v>82500</v>
      </c>
      <c r="J328" s="6" t="s">
        <v>2590</v>
      </c>
      <c r="K328" s="9" t="s">
        <v>2051</v>
      </c>
      <c r="L328" s="6" t="s">
        <v>2591</v>
      </c>
      <c r="M328" s="6" t="s">
        <v>394</v>
      </c>
    </row>
    <row r="329" spans="1:13">
      <c r="A329" s="143">
        <v>2019</v>
      </c>
      <c r="B329" s="6" t="s">
        <v>836</v>
      </c>
      <c r="C329" s="9" t="s">
        <v>61</v>
      </c>
      <c r="D329" s="6" t="s">
        <v>394</v>
      </c>
      <c r="E329" s="115" t="s">
        <v>1853</v>
      </c>
      <c r="F329" s="6"/>
      <c r="G329" s="6" t="s">
        <v>837</v>
      </c>
      <c r="H329" s="6" t="s">
        <v>838</v>
      </c>
      <c r="I329" s="64">
        <v>88500</v>
      </c>
      <c r="J329" s="6" t="s">
        <v>2592</v>
      </c>
      <c r="K329" s="9" t="s">
        <v>2047</v>
      </c>
      <c r="L329" s="6" t="s">
        <v>2593</v>
      </c>
      <c r="M329" s="6" t="s">
        <v>394</v>
      </c>
    </row>
    <row r="330" spans="1:13">
      <c r="A330" s="143">
        <v>2019</v>
      </c>
      <c r="B330" s="6" t="s">
        <v>1642</v>
      </c>
      <c r="C330" s="9" t="s">
        <v>61</v>
      </c>
      <c r="D330" s="115" t="s">
        <v>1383</v>
      </c>
      <c r="E330" s="115" t="s">
        <v>1859</v>
      </c>
      <c r="F330" s="6"/>
      <c r="G330" s="6" t="s">
        <v>1627</v>
      </c>
      <c r="H330" s="6" t="s">
        <v>842</v>
      </c>
      <c r="I330" s="121">
        <v>172000</v>
      </c>
      <c r="J330" s="6" t="s">
        <v>2578</v>
      </c>
      <c r="K330" s="9" t="s">
        <v>2130</v>
      </c>
      <c r="L330" s="6" t="s">
        <v>2594</v>
      </c>
      <c r="M330" s="6" t="s">
        <v>1383</v>
      </c>
    </row>
    <row r="331" spans="1:13">
      <c r="A331" s="143">
        <v>2019</v>
      </c>
      <c r="B331" s="6" t="s">
        <v>1643</v>
      </c>
      <c r="C331" s="9" t="s">
        <v>61</v>
      </c>
      <c r="D331" s="115" t="s">
        <v>1383</v>
      </c>
      <c r="E331" s="115" t="s">
        <v>1859</v>
      </c>
      <c r="F331" s="6"/>
      <c r="G331" s="6" t="s">
        <v>1644</v>
      </c>
      <c r="H331" s="6" t="s">
        <v>1346</v>
      </c>
      <c r="I331" s="121">
        <v>172000</v>
      </c>
      <c r="J331" s="6" t="s">
        <v>2595</v>
      </c>
      <c r="K331" s="6" t="s">
        <v>2082</v>
      </c>
      <c r="L331" s="6" t="s">
        <v>2596</v>
      </c>
      <c r="M331" s="6" t="s">
        <v>1383</v>
      </c>
    </row>
    <row r="332" spans="1:13">
      <c r="A332" s="143">
        <v>2019</v>
      </c>
      <c r="B332" s="6" t="s">
        <v>809</v>
      </c>
      <c r="C332" s="9" t="s">
        <v>61</v>
      </c>
      <c r="D332" s="6" t="s">
        <v>394</v>
      </c>
      <c r="E332" s="115" t="s">
        <v>1853</v>
      </c>
      <c r="F332" s="6"/>
      <c r="G332" s="6" t="s">
        <v>839</v>
      </c>
      <c r="H332" s="6" t="s">
        <v>840</v>
      </c>
      <c r="I332" s="64">
        <v>87000</v>
      </c>
      <c r="J332" s="6" t="s">
        <v>2562</v>
      </c>
      <c r="K332" s="9" t="s">
        <v>1828</v>
      </c>
      <c r="L332" s="6" t="s">
        <v>2597</v>
      </c>
      <c r="M332" s="6" t="s">
        <v>394</v>
      </c>
    </row>
    <row r="333" spans="1:13">
      <c r="A333" s="143">
        <v>2019</v>
      </c>
      <c r="B333" s="6" t="s">
        <v>1645</v>
      </c>
      <c r="C333" s="9" t="s">
        <v>61</v>
      </c>
      <c r="D333" s="115" t="s">
        <v>1383</v>
      </c>
      <c r="E333" s="115" t="s">
        <v>1859</v>
      </c>
      <c r="F333" s="6"/>
      <c r="G333" s="6" t="s">
        <v>1646</v>
      </c>
      <c r="H333" s="6" t="s">
        <v>849</v>
      </c>
      <c r="I333" s="121">
        <v>172000</v>
      </c>
      <c r="J333" s="6" t="s">
        <v>2546</v>
      </c>
      <c r="K333" s="9" t="s">
        <v>2085</v>
      </c>
      <c r="L333" s="6" t="s">
        <v>2598</v>
      </c>
      <c r="M333" s="6" t="s">
        <v>1383</v>
      </c>
    </row>
    <row r="334" spans="1:13">
      <c r="A334" s="143">
        <v>2019</v>
      </c>
      <c r="B334" s="6" t="s">
        <v>812</v>
      </c>
      <c r="C334" s="9" t="s">
        <v>61</v>
      </c>
      <c r="D334" s="6" t="s">
        <v>394</v>
      </c>
      <c r="E334" s="115" t="s">
        <v>1853</v>
      </c>
      <c r="F334" s="6"/>
      <c r="G334" s="6" t="s">
        <v>841</v>
      </c>
      <c r="H334" s="6" t="s">
        <v>842</v>
      </c>
      <c r="I334" s="64">
        <v>91000</v>
      </c>
      <c r="J334" s="6" t="s">
        <v>2599</v>
      </c>
      <c r="K334" s="9" t="s">
        <v>2130</v>
      </c>
      <c r="L334" s="6" t="s">
        <v>2600</v>
      </c>
      <c r="M334" s="6" t="s">
        <v>394</v>
      </c>
    </row>
    <row r="335" spans="1:13">
      <c r="A335" s="143">
        <v>2019</v>
      </c>
      <c r="B335" s="6" t="s">
        <v>815</v>
      </c>
      <c r="C335" s="9" t="s">
        <v>61</v>
      </c>
      <c r="D335" s="6" t="s">
        <v>394</v>
      </c>
      <c r="E335" s="115" t="s">
        <v>1853</v>
      </c>
      <c r="F335" s="6"/>
      <c r="G335" s="6" t="s">
        <v>843</v>
      </c>
      <c r="H335" s="6" t="s">
        <v>844</v>
      </c>
      <c r="I335" s="64">
        <v>37000</v>
      </c>
      <c r="J335" s="6" t="s">
        <v>2601</v>
      </c>
      <c r="K335" s="9" t="s">
        <v>1896</v>
      </c>
      <c r="L335" s="6" t="s">
        <v>2602</v>
      </c>
      <c r="M335" s="6" t="s">
        <v>394</v>
      </c>
    </row>
    <row r="336" spans="1:13">
      <c r="A336" s="143">
        <v>2019</v>
      </c>
      <c r="B336" s="6" t="s">
        <v>845</v>
      </c>
      <c r="C336" s="9" t="s">
        <v>61</v>
      </c>
      <c r="D336" s="6" t="s">
        <v>394</v>
      </c>
      <c r="E336" s="115" t="s">
        <v>1853</v>
      </c>
      <c r="F336" s="6"/>
      <c r="G336" s="6" t="s">
        <v>846</v>
      </c>
      <c r="H336" s="6" t="s">
        <v>844</v>
      </c>
      <c r="I336" s="64">
        <v>79000</v>
      </c>
      <c r="J336" s="6" t="s">
        <v>2601</v>
      </c>
      <c r="K336" s="9" t="s">
        <v>1896</v>
      </c>
      <c r="L336" s="6" t="s">
        <v>2603</v>
      </c>
      <c r="M336" s="6" t="s">
        <v>394</v>
      </c>
    </row>
    <row r="337" spans="1:13">
      <c r="A337" s="143">
        <v>2019</v>
      </c>
      <c r="B337" s="6" t="s">
        <v>847</v>
      </c>
      <c r="C337" s="9" t="s">
        <v>61</v>
      </c>
      <c r="D337" s="6" t="s">
        <v>394</v>
      </c>
      <c r="E337" s="115" t="s">
        <v>1853</v>
      </c>
      <c r="F337" s="6"/>
      <c r="G337" s="6" t="s">
        <v>848</v>
      </c>
      <c r="H337" s="6" t="s">
        <v>849</v>
      </c>
      <c r="I337" s="64">
        <v>38250</v>
      </c>
      <c r="J337" s="6" t="s">
        <v>2604</v>
      </c>
      <c r="K337" s="9" t="s">
        <v>2085</v>
      </c>
      <c r="L337" s="6" t="s">
        <v>2605</v>
      </c>
      <c r="M337" s="6" t="s">
        <v>394</v>
      </c>
    </row>
    <row r="338" spans="1:13">
      <c r="A338" s="143">
        <v>2019</v>
      </c>
      <c r="B338" s="6" t="s">
        <v>850</v>
      </c>
      <c r="C338" s="9" t="s">
        <v>61</v>
      </c>
      <c r="D338" s="6" t="s">
        <v>586</v>
      </c>
      <c r="E338" s="6" t="s">
        <v>1874</v>
      </c>
      <c r="F338" s="6"/>
      <c r="G338" s="6" t="s">
        <v>851</v>
      </c>
      <c r="H338" s="6" t="s">
        <v>852</v>
      </c>
      <c r="I338" s="121">
        <v>7560</v>
      </c>
      <c r="J338" s="6" t="s">
        <v>2606</v>
      </c>
      <c r="K338" s="9" t="s">
        <v>1828</v>
      </c>
      <c r="L338" s="6" t="s">
        <v>2607</v>
      </c>
      <c r="M338" s="6" t="s">
        <v>2520</v>
      </c>
    </row>
    <row r="339" spans="1:13">
      <c r="A339" s="143">
        <v>2019</v>
      </c>
      <c r="B339" s="6" t="s">
        <v>1581</v>
      </c>
      <c r="C339" s="9" t="s">
        <v>61</v>
      </c>
      <c r="D339" s="115" t="s">
        <v>1383</v>
      </c>
      <c r="E339" s="115" t="s">
        <v>1859</v>
      </c>
      <c r="F339" s="6"/>
      <c r="G339" s="6" t="s">
        <v>1647</v>
      </c>
      <c r="H339" s="6" t="s">
        <v>1641</v>
      </c>
      <c r="I339" s="121">
        <v>172000</v>
      </c>
      <c r="J339" s="6" t="s">
        <v>2449</v>
      </c>
      <c r="K339" s="9" t="s">
        <v>2051</v>
      </c>
      <c r="L339" s="6" t="s">
        <v>2608</v>
      </c>
      <c r="M339" s="6" t="s">
        <v>1383</v>
      </c>
    </row>
    <row r="340" spans="1:13">
      <c r="A340" s="143">
        <v>2019</v>
      </c>
      <c r="B340" s="6" t="s">
        <v>1648</v>
      </c>
      <c r="C340" s="9" t="s">
        <v>61</v>
      </c>
      <c r="D340" s="115" t="s">
        <v>1383</v>
      </c>
      <c r="E340" s="115" t="s">
        <v>1859</v>
      </c>
      <c r="F340" s="6"/>
      <c r="G340" s="6" t="s">
        <v>1649</v>
      </c>
      <c r="H340" s="6" t="s">
        <v>844</v>
      </c>
      <c r="I340" s="121">
        <v>172000</v>
      </c>
      <c r="J340" s="6" t="s">
        <v>2609</v>
      </c>
      <c r="K340" s="9" t="s">
        <v>1896</v>
      </c>
      <c r="L340" s="6" t="s">
        <v>2610</v>
      </c>
      <c r="M340" s="6" t="s">
        <v>1383</v>
      </c>
    </row>
    <row r="341" spans="1:13">
      <c r="A341" s="143">
        <v>2019</v>
      </c>
      <c r="B341" s="6" t="s">
        <v>1650</v>
      </c>
      <c r="C341" s="9" t="s">
        <v>61</v>
      </c>
      <c r="D341" s="115" t="s">
        <v>1383</v>
      </c>
      <c r="E341" s="115" t="s">
        <v>1859</v>
      </c>
      <c r="F341" s="6"/>
      <c r="G341" s="6" t="s">
        <v>1651</v>
      </c>
      <c r="H341" s="6" t="s">
        <v>1598</v>
      </c>
      <c r="I341" s="121">
        <v>172000</v>
      </c>
      <c r="J341" s="6" t="s">
        <v>2611</v>
      </c>
      <c r="K341" s="9" t="s">
        <v>2031</v>
      </c>
      <c r="L341" s="6" t="s">
        <v>2612</v>
      </c>
      <c r="M341" s="6" t="s">
        <v>1383</v>
      </c>
    </row>
    <row r="342" spans="1:13">
      <c r="A342" s="143">
        <v>2019</v>
      </c>
      <c r="B342" s="6" t="s">
        <v>60</v>
      </c>
      <c r="C342" s="9" t="s">
        <v>61</v>
      </c>
      <c r="D342" s="115" t="s">
        <v>1383</v>
      </c>
      <c r="E342" s="115" t="s">
        <v>1859</v>
      </c>
      <c r="F342" s="6"/>
      <c r="G342" s="6" t="s">
        <v>1652</v>
      </c>
      <c r="H342" s="6" t="s">
        <v>1605</v>
      </c>
      <c r="I342" s="121">
        <v>172000</v>
      </c>
      <c r="J342" s="6" t="s">
        <v>2613</v>
      </c>
      <c r="K342" s="9" t="s">
        <v>1919</v>
      </c>
      <c r="L342" s="6" t="s">
        <v>2614</v>
      </c>
      <c r="M342" s="6" t="s">
        <v>1383</v>
      </c>
    </row>
    <row r="343" spans="1:13">
      <c r="A343" s="143">
        <v>2019</v>
      </c>
      <c r="B343" s="6" t="s">
        <v>1207</v>
      </c>
      <c r="C343" s="9" t="s">
        <v>1926</v>
      </c>
      <c r="D343" s="115" t="s">
        <v>1383</v>
      </c>
      <c r="E343" s="9" t="s">
        <v>1824</v>
      </c>
      <c r="F343" s="6"/>
      <c r="G343" s="6" t="s">
        <v>2616</v>
      </c>
      <c r="H343" s="6" t="s">
        <v>2617</v>
      </c>
      <c r="I343" s="168" t="s">
        <v>2615</v>
      </c>
      <c r="J343" s="6" t="s">
        <v>2618</v>
      </c>
      <c r="K343" s="9" t="s">
        <v>1828</v>
      </c>
      <c r="L343" s="6" t="s">
        <v>2619</v>
      </c>
      <c r="M343" s="6" t="s">
        <v>1383</v>
      </c>
    </row>
    <row r="344" spans="1:13">
      <c r="A344" s="143">
        <v>2019</v>
      </c>
      <c r="B344" s="6" t="s">
        <v>1210</v>
      </c>
      <c r="C344" s="9" t="s">
        <v>61</v>
      </c>
      <c r="D344" s="115" t="s">
        <v>1383</v>
      </c>
      <c r="E344" s="115" t="s">
        <v>1859</v>
      </c>
      <c r="F344" s="6"/>
      <c r="G344" s="6" t="s">
        <v>1653</v>
      </c>
      <c r="H344" s="6" t="s">
        <v>842</v>
      </c>
      <c r="I344" s="121">
        <v>91800</v>
      </c>
      <c r="J344" s="6" t="s">
        <v>2620</v>
      </c>
      <c r="K344" s="9" t="s">
        <v>2130</v>
      </c>
      <c r="L344" s="6" t="s">
        <v>2621</v>
      </c>
      <c r="M344" s="6" t="s">
        <v>1383</v>
      </c>
    </row>
    <row r="345" spans="1:13">
      <c r="A345" s="143">
        <v>2019</v>
      </c>
      <c r="B345" s="6" t="s">
        <v>818</v>
      </c>
      <c r="C345" s="9" t="s">
        <v>61</v>
      </c>
      <c r="D345" s="6" t="s">
        <v>394</v>
      </c>
      <c r="E345" s="115" t="s">
        <v>1853</v>
      </c>
      <c r="F345" s="6"/>
      <c r="G345" s="6" t="s">
        <v>853</v>
      </c>
      <c r="H345" s="6" t="s">
        <v>854</v>
      </c>
      <c r="I345" s="64">
        <v>37500</v>
      </c>
      <c r="J345" s="6" t="s">
        <v>581</v>
      </c>
      <c r="K345" s="9" t="s">
        <v>1916</v>
      </c>
      <c r="L345" s="6" t="s">
        <v>2622</v>
      </c>
      <c r="M345" s="6" t="s">
        <v>394</v>
      </c>
    </row>
    <row r="346" spans="1:13">
      <c r="A346" s="143">
        <v>2019</v>
      </c>
      <c r="B346" s="6" t="s">
        <v>855</v>
      </c>
      <c r="C346" s="9" t="s">
        <v>61</v>
      </c>
      <c r="D346" s="6" t="s">
        <v>586</v>
      </c>
      <c r="E346" s="6" t="s">
        <v>1874</v>
      </c>
      <c r="F346" s="9"/>
      <c r="G346" s="9" t="s">
        <v>825</v>
      </c>
      <c r="H346" s="6" t="s">
        <v>826</v>
      </c>
      <c r="I346" s="121">
        <v>4536</v>
      </c>
      <c r="J346" s="6" t="s">
        <v>2623</v>
      </c>
      <c r="K346" s="9" t="s">
        <v>1828</v>
      </c>
      <c r="L346" s="6" t="s">
        <v>2624</v>
      </c>
      <c r="M346" s="6" t="s">
        <v>2520</v>
      </c>
    </row>
    <row r="347" spans="1:13">
      <c r="A347" s="143">
        <v>2019</v>
      </c>
      <c r="B347" s="6" t="s">
        <v>856</v>
      </c>
      <c r="C347" s="9" t="s">
        <v>61</v>
      </c>
      <c r="D347" s="6" t="s">
        <v>586</v>
      </c>
      <c r="E347" s="6" t="s">
        <v>1874</v>
      </c>
      <c r="F347" s="6"/>
      <c r="G347" s="6" t="s">
        <v>857</v>
      </c>
      <c r="H347" s="6" t="s">
        <v>2625</v>
      </c>
      <c r="I347" s="121">
        <v>55000</v>
      </c>
      <c r="J347" s="6" t="s">
        <v>2626</v>
      </c>
      <c r="K347" s="6" t="s">
        <v>1886</v>
      </c>
      <c r="L347" s="6" t="s">
        <v>2627</v>
      </c>
      <c r="M347" s="6" t="s">
        <v>2520</v>
      </c>
    </row>
    <row r="348" spans="1:13">
      <c r="A348" s="143">
        <v>2019</v>
      </c>
      <c r="B348" s="6" t="s">
        <v>859</v>
      </c>
      <c r="C348" s="9" t="s">
        <v>61</v>
      </c>
      <c r="D348" s="6" t="s">
        <v>394</v>
      </c>
      <c r="E348" s="115" t="s">
        <v>1853</v>
      </c>
      <c r="F348" s="6"/>
      <c r="G348" s="6" t="s">
        <v>860</v>
      </c>
      <c r="H348" s="6" t="s">
        <v>854</v>
      </c>
      <c r="I348" s="64">
        <v>79000</v>
      </c>
      <c r="J348" s="6" t="s">
        <v>581</v>
      </c>
      <c r="K348" s="9" t="s">
        <v>1916</v>
      </c>
      <c r="L348" s="6" t="s">
        <v>2628</v>
      </c>
      <c r="M348" s="6" t="s">
        <v>394</v>
      </c>
    </row>
    <row r="349" spans="1:13">
      <c r="A349" s="143">
        <v>2019</v>
      </c>
      <c r="B349" s="6" t="s">
        <v>861</v>
      </c>
      <c r="C349" s="9" t="s">
        <v>61</v>
      </c>
      <c r="D349" s="6" t="s">
        <v>586</v>
      </c>
      <c r="E349" s="6" t="s">
        <v>1874</v>
      </c>
      <c r="F349" s="6"/>
      <c r="G349" s="6" t="s">
        <v>862</v>
      </c>
      <c r="H349" s="6" t="s">
        <v>863</v>
      </c>
      <c r="I349" s="121">
        <v>1400</v>
      </c>
      <c r="J349" s="6" t="s">
        <v>2629</v>
      </c>
      <c r="K349" s="9" t="s">
        <v>1828</v>
      </c>
      <c r="L349" s="6" t="s">
        <v>2630</v>
      </c>
      <c r="M349" s="6" t="s">
        <v>2520</v>
      </c>
    </row>
    <row r="350" spans="1:13">
      <c r="A350" s="143">
        <v>2019</v>
      </c>
      <c r="B350" s="6" t="s">
        <v>864</v>
      </c>
      <c r="C350" s="9" t="s">
        <v>61</v>
      </c>
      <c r="D350" s="6" t="s">
        <v>394</v>
      </c>
      <c r="E350" s="115" t="s">
        <v>1853</v>
      </c>
      <c r="F350" s="6"/>
      <c r="G350" s="6" t="s">
        <v>865</v>
      </c>
      <c r="H350" s="6" t="s">
        <v>866</v>
      </c>
      <c r="I350" s="64">
        <v>82800</v>
      </c>
      <c r="J350" s="6" t="s">
        <v>572</v>
      </c>
      <c r="K350" s="9" t="s">
        <v>1855</v>
      </c>
      <c r="L350" s="6" t="s">
        <v>2631</v>
      </c>
      <c r="M350" s="6" t="s">
        <v>394</v>
      </c>
    </row>
    <row r="351" spans="1:13">
      <c r="A351" s="143">
        <v>2019</v>
      </c>
      <c r="B351" s="6" t="s">
        <v>867</v>
      </c>
      <c r="C351" s="9" t="s">
        <v>61</v>
      </c>
      <c r="D351" s="6" t="s">
        <v>394</v>
      </c>
      <c r="E351" s="115" t="s">
        <v>1853</v>
      </c>
      <c r="F351" s="6"/>
      <c r="G351" s="6" t="s">
        <v>868</v>
      </c>
      <c r="H351" s="6" t="s">
        <v>849</v>
      </c>
      <c r="I351" s="64">
        <v>79000</v>
      </c>
      <c r="J351" s="6" t="s">
        <v>650</v>
      </c>
      <c r="K351" s="9" t="s">
        <v>2085</v>
      </c>
      <c r="L351" s="6" t="s">
        <v>2632</v>
      </c>
      <c r="M351" s="6" t="s">
        <v>394</v>
      </c>
    </row>
    <row r="352" spans="1:13">
      <c r="A352" s="143">
        <v>2019</v>
      </c>
      <c r="B352" s="6" t="s">
        <v>2633</v>
      </c>
      <c r="C352" s="9" t="s">
        <v>61</v>
      </c>
      <c r="D352" s="6" t="s">
        <v>1838</v>
      </c>
      <c r="E352" s="9" t="s">
        <v>1824</v>
      </c>
      <c r="F352" s="6"/>
      <c r="G352" s="6" t="s">
        <v>2634</v>
      </c>
      <c r="H352" s="6" t="s">
        <v>575</v>
      </c>
      <c r="I352" s="121">
        <v>43140</v>
      </c>
      <c r="J352" s="6" t="s">
        <v>575</v>
      </c>
      <c r="K352" s="9" t="s">
        <v>1828</v>
      </c>
      <c r="L352" s="6" t="s">
        <v>2635</v>
      </c>
      <c r="M352" s="6" t="s">
        <v>1838</v>
      </c>
    </row>
    <row r="353" spans="1:13">
      <c r="A353" s="143">
        <v>2019</v>
      </c>
      <c r="B353" s="6" t="s">
        <v>869</v>
      </c>
      <c r="C353" s="9" t="s">
        <v>61</v>
      </c>
      <c r="D353" s="6" t="s">
        <v>394</v>
      </c>
      <c r="E353" s="115" t="s">
        <v>1853</v>
      </c>
      <c r="F353" s="6"/>
      <c r="G353" s="6" t="s">
        <v>870</v>
      </c>
      <c r="H353" s="6" t="s">
        <v>722</v>
      </c>
      <c r="I353" s="64">
        <v>90000</v>
      </c>
      <c r="J353" s="6" t="s">
        <v>722</v>
      </c>
      <c r="K353" s="9" t="s">
        <v>1899</v>
      </c>
      <c r="L353" s="6" t="s">
        <v>2636</v>
      </c>
      <c r="M353" s="6" t="s">
        <v>394</v>
      </c>
    </row>
    <row r="354" spans="1:13">
      <c r="A354" s="140">
        <v>2019</v>
      </c>
      <c r="B354" s="6" t="s">
        <v>1216</v>
      </c>
      <c r="C354" s="9" t="s">
        <v>61</v>
      </c>
      <c r="D354" s="6" t="s">
        <v>1141</v>
      </c>
      <c r="E354" s="6" t="s">
        <v>1904</v>
      </c>
      <c r="F354" s="6"/>
      <c r="G354" s="6" t="s">
        <v>1217</v>
      </c>
      <c r="H354" s="6" t="s">
        <v>1218</v>
      </c>
      <c r="I354" s="121">
        <v>92275.68</v>
      </c>
      <c r="J354" s="6" t="s">
        <v>2474</v>
      </c>
      <c r="K354" s="9" t="s">
        <v>1916</v>
      </c>
      <c r="L354" s="6" t="s">
        <v>2637</v>
      </c>
      <c r="M354" s="6" t="s">
        <v>1141</v>
      </c>
    </row>
    <row r="355" spans="1:13">
      <c r="A355" s="143">
        <v>2019</v>
      </c>
      <c r="B355" s="6" t="s">
        <v>1654</v>
      </c>
      <c r="C355" s="9" t="s">
        <v>61</v>
      </c>
      <c r="D355" s="115" t="s">
        <v>1383</v>
      </c>
      <c r="E355" s="115" t="s">
        <v>1859</v>
      </c>
      <c r="F355" s="6"/>
      <c r="G355" s="6" t="s">
        <v>1655</v>
      </c>
      <c r="H355" s="6" t="s">
        <v>1656</v>
      </c>
      <c r="I355" s="121">
        <v>50000</v>
      </c>
      <c r="J355" s="6" t="s">
        <v>1828</v>
      </c>
      <c r="K355" s="9" t="s">
        <v>1828</v>
      </c>
      <c r="L355" s="6" t="s">
        <v>2638</v>
      </c>
      <c r="M355" s="6" t="s">
        <v>1383</v>
      </c>
    </row>
    <row r="356" spans="1:13">
      <c r="A356" s="143">
        <v>2019</v>
      </c>
      <c r="B356" s="6" t="s">
        <v>1657</v>
      </c>
      <c r="C356" s="9" t="s">
        <v>61</v>
      </c>
      <c r="D356" s="115" t="s">
        <v>1383</v>
      </c>
      <c r="E356" s="115" t="s">
        <v>1859</v>
      </c>
      <c r="F356" s="6"/>
      <c r="G356" s="6" t="s">
        <v>1658</v>
      </c>
      <c r="H356" s="6" t="s">
        <v>572</v>
      </c>
      <c r="I356" s="121">
        <v>172000</v>
      </c>
      <c r="J356" s="6" t="s">
        <v>2639</v>
      </c>
      <c r="K356" s="9" t="s">
        <v>1855</v>
      </c>
      <c r="L356" s="6" t="s">
        <v>2640</v>
      </c>
      <c r="M356" s="6" t="s">
        <v>1383</v>
      </c>
    </row>
    <row r="357" spans="1:13">
      <c r="A357" s="140">
        <v>2019</v>
      </c>
      <c r="B357" s="6" t="s">
        <v>1219</v>
      </c>
      <c r="C357" s="9" t="s">
        <v>61</v>
      </c>
      <c r="D357" s="9" t="s">
        <v>62</v>
      </c>
      <c r="E357" s="6" t="s">
        <v>1904</v>
      </c>
      <c r="F357" s="6"/>
      <c r="G357" s="6" t="s">
        <v>1220</v>
      </c>
      <c r="H357" s="6" t="s">
        <v>1179</v>
      </c>
      <c r="I357" s="121">
        <v>1717600</v>
      </c>
      <c r="J357" s="6" t="s">
        <v>2641</v>
      </c>
      <c r="K357" s="6" t="s">
        <v>1886</v>
      </c>
      <c r="L357" s="6" t="s">
        <v>2642</v>
      </c>
      <c r="M357" s="6" t="s">
        <v>62</v>
      </c>
    </row>
    <row r="358" spans="1:13">
      <c r="A358" s="143">
        <v>2019</v>
      </c>
      <c r="B358" s="6" t="s">
        <v>2643</v>
      </c>
      <c r="C358" s="9" t="s">
        <v>1823</v>
      </c>
      <c r="D358" s="9" t="s">
        <v>62</v>
      </c>
      <c r="E358" s="9"/>
      <c r="F358" s="6"/>
      <c r="G358" s="6" t="s">
        <v>2644</v>
      </c>
      <c r="H358" s="6" t="s">
        <v>1231</v>
      </c>
      <c r="I358" s="121"/>
      <c r="J358" s="6" t="s">
        <v>575</v>
      </c>
      <c r="K358" s="9"/>
      <c r="L358" s="6" t="s">
        <v>12155</v>
      </c>
      <c r="M358" s="6" t="s">
        <v>62</v>
      </c>
    </row>
    <row r="359" spans="1:13">
      <c r="A359" s="143">
        <v>2019</v>
      </c>
      <c r="B359" s="6" t="s">
        <v>1659</v>
      </c>
      <c r="C359" s="9" t="s">
        <v>61</v>
      </c>
      <c r="D359" s="115" t="s">
        <v>1383</v>
      </c>
      <c r="E359" s="115" t="s">
        <v>1859</v>
      </c>
      <c r="F359" s="6"/>
      <c r="G359" s="6" t="s">
        <v>1660</v>
      </c>
      <c r="H359" s="6" t="s">
        <v>1482</v>
      </c>
      <c r="I359" s="121">
        <v>287052</v>
      </c>
      <c r="J359" s="6" t="s">
        <v>2646</v>
      </c>
      <c r="K359" s="6" t="s">
        <v>1886</v>
      </c>
      <c r="L359" s="6" t="s">
        <v>2647</v>
      </c>
      <c r="M359" s="6" t="s">
        <v>1383</v>
      </c>
    </row>
    <row r="360" spans="1:13">
      <c r="A360" s="140">
        <v>2019</v>
      </c>
      <c r="B360" s="6" t="s">
        <v>1221</v>
      </c>
      <c r="C360" s="9" t="s">
        <v>61</v>
      </c>
      <c r="D360" s="9" t="s">
        <v>62</v>
      </c>
      <c r="E360" s="6" t="s">
        <v>1904</v>
      </c>
      <c r="F360" s="6"/>
      <c r="G360" s="6" t="s">
        <v>1222</v>
      </c>
      <c r="H360" s="6" t="s">
        <v>1223</v>
      </c>
      <c r="I360" s="121">
        <v>468445.54</v>
      </c>
      <c r="J360" s="6" t="s">
        <v>2648</v>
      </c>
      <c r="K360" s="6" t="s">
        <v>1886</v>
      </c>
      <c r="L360" s="6" t="s">
        <v>2649</v>
      </c>
      <c r="M360" s="6" t="s">
        <v>1111</v>
      </c>
    </row>
    <row r="361" spans="1:13">
      <c r="A361" s="140">
        <v>2019</v>
      </c>
      <c r="B361" s="6" t="s">
        <v>1224</v>
      </c>
      <c r="C361" s="9" t="s">
        <v>61</v>
      </c>
      <c r="D361" s="9" t="s">
        <v>62</v>
      </c>
      <c r="E361" s="6" t="s">
        <v>1904</v>
      </c>
      <c r="F361" s="6"/>
      <c r="G361" s="6" t="s">
        <v>1225</v>
      </c>
      <c r="H361" s="6" t="s">
        <v>1226</v>
      </c>
      <c r="I361" s="121">
        <v>495000</v>
      </c>
      <c r="J361" s="6" t="s">
        <v>2650</v>
      </c>
      <c r="K361" s="6" t="s">
        <v>1886</v>
      </c>
      <c r="L361" s="6" t="s">
        <v>2651</v>
      </c>
      <c r="M361" s="6" t="s">
        <v>1111</v>
      </c>
    </row>
    <row r="362" spans="1:13">
      <c r="A362" s="140">
        <v>2019</v>
      </c>
      <c r="B362" s="6" t="s">
        <v>1227</v>
      </c>
      <c r="C362" s="9" t="s">
        <v>61</v>
      </c>
      <c r="D362" s="9" t="s">
        <v>62</v>
      </c>
      <c r="E362" s="6" t="s">
        <v>1904</v>
      </c>
      <c r="F362" s="6"/>
      <c r="G362" s="6" t="s">
        <v>2652</v>
      </c>
      <c r="H362" s="6" t="s">
        <v>1229</v>
      </c>
      <c r="I362" s="121">
        <v>500000</v>
      </c>
      <c r="J362" s="6" t="s">
        <v>2653</v>
      </c>
      <c r="K362" s="6" t="s">
        <v>1886</v>
      </c>
      <c r="L362" s="6" t="s">
        <v>2654</v>
      </c>
      <c r="M362" s="6" t="s">
        <v>1111</v>
      </c>
    </row>
    <row r="363" spans="1:13">
      <c r="A363" s="143">
        <v>2019</v>
      </c>
      <c r="B363" s="6" t="s">
        <v>871</v>
      </c>
      <c r="C363" s="9" t="s">
        <v>61</v>
      </c>
      <c r="D363" s="6" t="s">
        <v>394</v>
      </c>
      <c r="E363" s="115" t="s">
        <v>1853</v>
      </c>
      <c r="F363" s="6"/>
      <c r="G363" s="6" t="s">
        <v>872</v>
      </c>
      <c r="H363" s="6" t="s">
        <v>820</v>
      </c>
      <c r="I363" s="64">
        <v>79000</v>
      </c>
      <c r="J363" s="166" t="s">
        <v>2655</v>
      </c>
      <c r="K363" s="6" t="s">
        <v>1886</v>
      </c>
      <c r="L363" s="6"/>
      <c r="M363" s="6" t="s">
        <v>394</v>
      </c>
    </row>
    <row r="364" spans="1:13">
      <c r="A364" s="143">
        <v>2019</v>
      </c>
      <c r="B364" s="6" t="s">
        <v>873</v>
      </c>
      <c r="C364" s="9" t="s">
        <v>61</v>
      </c>
      <c r="D364" s="6" t="s">
        <v>394</v>
      </c>
      <c r="E364" s="115" t="s">
        <v>1853</v>
      </c>
      <c r="F364" s="6"/>
      <c r="G364" s="6" t="s">
        <v>874</v>
      </c>
      <c r="H364" s="6" t="s">
        <v>820</v>
      </c>
      <c r="I364" s="64">
        <v>34500</v>
      </c>
      <c r="J364" s="169" t="s">
        <v>2656</v>
      </c>
      <c r="K364" s="6" t="s">
        <v>1886</v>
      </c>
      <c r="L364" s="6"/>
      <c r="M364" s="6" t="s">
        <v>2232</v>
      </c>
    </row>
    <row r="365" spans="1:13">
      <c r="A365" s="143">
        <v>2019</v>
      </c>
      <c r="B365" s="6" t="s">
        <v>2657</v>
      </c>
      <c r="C365" s="9" t="s">
        <v>61</v>
      </c>
      <c r="D365" s="115" t="s">
        <v>1383</v>
      </c>
      <c r="E365" s="115" t="s">
        <v>1859</v>
      </c>
      <c r="F365" s="6"/>
      <c r="G365" s="6" t="s">
        <v>2658</v>
      </c>
      <c r="H365" s="6" t="s">
        <v>1622</v>
      </c>
      <c r="I365" s="121">
        <v>172000</v>
      </c>
      <c r="J365" s="6" t="s">
        <v>2659</v>
      </c>
      <c r="K365" s="9" t="s">
        <v>2571</v>
      </c>
      <c r="L365" s="6"/>
      <c r="M365" s="6" t="s">
        <v>2172</v>
      </c>
    </row>
    <row r="366" spans="1:13">
      <c r="A366" s="143">
        <v>2019</v>
      </c>
      <c r="B366" s="6" t="s">
        <v>875</v>
      </c>
      <c r="C366" s="9" t="s">
        <v>61</v>
      </c>
      <c r="D366" s="6" t="s">
        <v>113</v>
      </c>
      <c r="E366" s="9" t="s">
        <v>1824</v>
      </c>
      <c r="F366" s="6"/>
      <c r="G366" s="6" t="s">
        <v>876</v>
      </c>
      <c r="H366" s="6" t="s">
        <v>575</v>
      </c>
      <c r="I366" s="121"/>
      <c r="J366" s="6" t="s">
        <v>2298</v>
      </c>
      <c r="K366" s="9" t="s">
        <v>1828</v>
      </c>
      <c r="L366" s="6"/>
      <c r="M366" s="6" t="s">
        <v>113</v>
      </c>
    </row>
    <row r="367" spans="1:13">
      <c r="A367" s="143">
        <v>2019</v>
      </c>
      <c r="B367" s="6" t="s">
        <v>877</v>
      </c>
      <c r="C367" s="9" t="s">
        <v>61</v>
      </c>
      <c r="D367" s="112" t="s">
        <v>68</v>
      </c>
      <c r="E367" s="6" t="s">
        <v>1874</v>
      </c>
      <c r="F367" s="9"/>
      <c r="G367" s="9" t="s">
        <v>878</v>
      </c>
      <c r="H367" s="6" t="s">
        <v>879</v>
      </c>
      <c r="I367" s="121">
        <v>186604.41</v>
      </c>
      <c r="J367" s="6" t="s">
        <v>2660</v>
      </c>
      <c r="K367" s="9" t="s">
        <v>1828</v>
      </c>
      <c r="L367" s="9"/>
      <c r="M367" s="6" t="s">
        <v>68</v>
      </c>
    </row>
    <row r="368" spans="1:13">
      <c r="A368" s="143">
        <v>2019</v>
      </c>
      <c r="B368" s="6" t="s">
        <v>1230</v>
      </c>
      <c r="C368" s="9" t="s">
        <v>61</v>
      </c>
      <c r="D368" s="6" t="s">
        <v>1231</v>
      </c>
      <c r="E368" s="9" t="s">
        <v>1824</v>
      </c>
      <c r="F368" s="6"/>
      <c r="G368" s="6" t="s">
        <v>1232</v>
      </c>
      <c r="H368" s="6" t="s">
        <v>575</v>
      </c>
      <c r="I368" s="121"/>
      <c r="J368" s="6" t="s">
        <v>575</v>
      </c>
      <c r="K368" s="9" t="s">
        <v>1828</v>
      </c>
      <c r="L368" s="6"/>
      <c r="M368" s="6" t="s">
        <v>1231</v>
      </c>
    </row>
    <row r="369" spans="1:13">
      <c r="A369" s="143">
        <v>2019</v>
      </c>
      <c r="B369" s="6" t="s">
        <v>2661</v>
      </c>
      <c r="C369" s="9" t="s">
        <v>61</v>
      </c>
      <c r="D369" s="6" t="s">
        <v>1838</v>
      </c>
      <c r="E369" s="9" t="s">
        <v>1824</v>
      </c>
      <c r="F369" s="6"/>
      <c r="G369" s="6" t="s">
        <v>2662</v>
      </c>
      <c r="H369" s="6" t="s">
        <v>575</v>
      </c>
      <c r="I369" s="121">
        <v>50000</v>
      </c>
      <c r="J369" s="6" t="s">
        <v>2298</v>
      </c>
      <c r="K369" s="9" t="s">
        <v>1828</v>
      </c>
      <c r="L369" s="6"/>
      <c r="M369" s="6" t="s">
        <v>1838</v>
      </c>
    </row>
    <row r="370" spans="1:13">
      <c r="A370" s="143">
        <v>2019</v>
      </c>
      <c r="B370" s="6" t="s">
        <v>880</v>
      </c>
      <c r="C370" s="9" t="s">
        <v>61</v>
      </c>
      <c r="D370" s="6" t="s">
        <v>394</v>
      </c>
      <c r="E370" s="115" t="s">
        <v>1853</v>
      </c>
      <c r="F370" s="6"/>
      <c r="G370" s="6" t="s">
        <v>881</v>
      </c>
      <c r="H370" s="6" t="s">
        <v>882</v>
      </c>
      <c r="I370" s="64">
        <v>74000</v>
      </c>
      <c r="J370" s="6" t="s">
        <v>882</v>
      </c>
      <c r="K370" s="9" t="s">
        <v>1828</v>
      </c>
      <c r="L370" s="6"/>
      <c r="M370" s="6" t="s">
        <v>394</v>
      </c>
    </row>
    <row r="371" spans="1:13">
      <c r="A371" s="143">
        <v>2019</v>
      </c>
      <c r="B371" s="6" t="s">
        <v>2663</v>
      </c>
      <c r="C371" s="9" t="s">
        <v>61</v>
      </c>
      <c r="D371" s="6" t="s">
        <v>1838</v>
      </c>
      <c r="E371" s="9" t="s">
        <v>1824</v>
      </c>
      <c r="F371" s="6"/>
      <c r="G371" s="6" t="s">
        <v>2664</v>
      </c>
      <c r="H371" s="6"/>
      <c r="I371" s="121">
        <v>65300</v>
      </c>
      <c r="J371" s="6" t="s">
        <v>1862</v>
      </c>
      <c r="K371" s="9" t="s">
        <v>1828</v>
      </c>
      <c r="L371" s="6"/>
      <c r="M371" s="6" t="s">
        <v>1838</v>
      </c>
    </row>
    <row r="372" spans="1:13">
      <c r="A372" s="143">
        <v>2019</v>
      </c>
      <c r="B372" s="6" t="s">
        <v>883</v>
      </c>
      <c r="C372" s="9" t="s">
        <v>61</v>
      </c>
      <c r="D372" s="112" t="s">
        <v>68</v>
      </c>
      <c r="E372" s="6" t="s">
        <v>1874</v>
      </c>
      <c r="F372" s="6"/>
      <c r="G372" s="6" t="s">
        <v>884</v>
      </c>
      <c r="H372" s="6" t="s">
        <v>885</v>
      </c>
      <c r="I372" s="121">
        <v>199300</v>
      </c>
      <c r="J372" s="6" t="s">
        <v>2665</v>
      </c>
      <c r="K372" s="9" t="s">
        <v>1828</v>
      </c>
      <c r="L372" s="6"/>
      <c r="M372" s="6" t="s">
        <v>68</v>
      </c>
    </row>
    <row r="373" spans="1:13">
      <c r="A373" s="143">
        <v>2019</v>
      </c>
      <c r="B373" s="6" t="s">
        <v>886</v>
      </c>
      <c r="C373" s="9" t="s">
        <v>61</v>
      </c>
      <c r="D373" s="6" t="s">
        <v>652</v>
      </c>
      <c r="E373" s="6" t="s">
        <v>1874</v>
      </c>
      <c r="F373" s="9"/>
      <c r="G373" s="9" t="s">
        <v>2666</v>
      </c>
      <c r="H373" s="6" t="s">
        <v>888</v>
      </c>
      <c r="I373" s="121">
        <v>182454</v>
      </c>
      <c r="J373" s="6" t="s">
        <v>2667</v>
      </c>
      <c r="K373" s="9" t="s">
        <v>2041</v>
      </c>
      <c r="L373" s="9"/>
      <c r="M373" s="6" t="s">
        <v>652</v>
      </c>
    </row>
    <row r="374" spans="1:13">
      <c r="A374" s="143">
        <v>2019</v>
      </c>
      <c r="B374" s="6" t="s">
        <v>889</v>
      </c>
      <c r="C374" s="9" t="s">
        <v>61</v>
      </c>
      <c r="D374" s="6" t="s">
        <v>586</v>
      </c>
      <c r="E374" s="6" t="s">
        <v>1874</v>
      </c>
      <c r="F374" s="6"/>
      <c r="G374" s="6" t="s">
        <v>2668</v>
      </c>
      <c r="H374" s="6" t="s">
        <v>2669</v>
      </c>
      <c r="I374" s="121">
        <v>2350</v>
      </c>
      <c r="J374" s="6" t="s">
        <v>2670</v>
      </c>
      <c r="K374" s="9" t="s">
        <v>1828</v>
      </c>
      <c r="L374" s="6"/>
      <c r="M374" s="6" t="s">
        <v>2520</v>
      </c>
    </row>
    <row r="375" spans="1:13">
      <c r="A375" s="143">
        <v>2019</v>
      </c>
      <c r="B375" s="6" t="s">
        <v>2671</v>
      </c>
      <c r="C375" s="9" t="s">
        <v>61</v>
      </c>
      <c r="D375" s="6" t="s">
        <v>1838</v>
      </c>
      <c r="E375" s="9" t="s">
        <v>1824</v>
      </c>
      <c r="F375" s="6"/>
      <c r="G375" s="6" t="s">
        <v>2672</v>
      </c>
      <c r="H375" s="6" t="s">
        <v>575</v>
      </c>
      <c r="I375" s="121">
        <v>200000</v>
      </c>
      <c r="J375" s="6" t="s">
        <v>2298</v>
      </c>
      <c r="K375" s="9" t="s">
        <v>1828</v>
      </c>
      <c r="L375" s="6"/>
      <c r="M375" s="6" t="s">
        <v>1838</v>
      </c>
    </row>
    <row r="376" spans="1:13">
      <c r="A376" s="140">
        <v>2019</v>
      </c>
      <c r="B376" s="6" t="s">
        <v>1233</v>
      </c>
      <c r="C376" s="9" t="s">
        <v>61</v>
      </c>
      <c r="D376" s="6" t="s">
        <v>1141</v>
      </c>
      <c r="E376" s="6" t="s">
        <v>1904</v>
      </c>
      <c r="F376" s="6"/>
      <c r="G376" s="6" t="s">
        <v>1234</v>
      </c>
      <c r="H376" s="64" t="s">
        <v>1215</v>
      </c>
      <c r="I376" s="121">
        <v>16685</v>
      </c>
      <c r="J376" s="6" t="s">
        <v>2673</v>
      </c>
      <c r="K376" s="9" t="s">
        <v>1916</v>
      </c>
      <c r="L376" s="6"/>
      <c r="M376" s="6" t="s">
        <v>1141</v>
      </c>
    </row>
    <row r="377" spans="1:13">
      <c r="A377" s="140">
        <v>2019</v>
      </c>
      <c r="B377" s="6" t="s">
        <v>1235</v>
      </c>
      <c r="C377" s="9" t="s">
        <v>61</v>
      </c>
      <c r="D377" s="6" t="s">
        <v>1141</v>
      </c>
      <c r="E377" s="6" t="s">
        <v>1904</v>
      </c>
      <c r="F377" s="6"/>
      <c r="G377" s="6" t="s">
        <v>1236</v>
      </c>
      <c r="H377" s="64" t="s">
        <v>1215</v>
      </c>
      <c r="I377" s="121">
        <v>77500</v>
      </c>
      <c r="J377" s="6" t="s">
        <v>2673</v>
      </c>
      <c r="K377" s="9" t="s">
        <v>1916</v>
      </c>
      <c r="L377" s="6"/>
      <c r="M377" s="6" t="s">
        <v>1141</v>
      </c>
    </row>
    <row r="378" spans="1:13">
      <c r="A378" s="140">
        <v>2019</v>
      </c>
      <c r="B378" s="6" t="s">
        <v>1237</v>
      </c>
      <c r="C378" s="9" t="s">
        <v>61</v>
      </c>
      <c r="D378" s="6" t="s">
        <v>1141</v>
      </c>
      <c r="E378" s="6" t="s">
        <v>1904</v>
      </c>
      <c r="F378" s="6"/>
      <c r="G378" s="6" t="s">
        <v>1238</v>
      </c>
      <c r="H378" s="64" t="s">
        <v>1215</v>
      </c>
      <c r="I378" s="121">
        <v>110050</v>
      </c>
      <c r="J378" s="6" t="s">
        <v>2673</v>
      </c>
      <c r="K378" s="9" t="s">
        <v>1916</v>
      </c>
      <c r="L378" s="6"/>
      <c r="M378" s="6" t="s">
        <v>1141</v>
      </c>
    </row>
    <row r="379" spans="1:13">
      <c r="A379" s="143">
        <v>2019</v>
      </c>
      <c r="B379" s="6" t="s">
        <v>892</v>
      </c>
      <c r="C379" s="9" t="s">
        <v>61</v>
      </c>
      <c r="D379" s="6" t="s">
        <v>586</v>
      </c>
      <c r="E379" s="6" t="s">
        <v>1874</v>
      </c>
      <c r="F379" s="6"/>
      <c r="G379" s="6" t="s">
        <v>893</v>
      </c>
      <c r="H379" s="6" t="s">
        <v>894</v>
      </c>
      <c r="I379" s="121">
        <v>18800</v>
      </c>
      <c r="J379" s="6" t="s">
        <v>2674</v>
      </c>
      <c r="K379" s="9" t="s">
        <v>1828</v>
      </c>
      <c r="L379" s="6"/>
      <c r="M379" s="6" t="s">
        <v>2520</v>
      </c>
    </row>
    <row r="380" spans="1:13">
      <c r="A380" s="143">
        <v>2019</v>
      </c>
      <c r="B380" s="6" t="s">
        <v>895</v>
      </c>
      <c r="C380" s="9" t="s">
        <v>61</v>
      </c>
      <c r="D380" s="6" t="s">
        <v>394</v>
      </c>
      <c r="E380" s="115" t="s">
        <v>1853</v>
      </c>
      <c r="F380" s="6"/>
      <c r="G380" s="6" t="s">
        <v>896</v>
      </c>
      <c r="H380" s="6" t="s">
        <v>897</v>
      </c>
      <c r="I380" s="64">
        <v>120000</v>
      </c>
      <c r="J380" s="6" t="s">
        <v>2675</v>
      </c>
      <c r="K380" s="9" t="s">
        <v>2676</v>
      </c>
      <c r="L380" s="6"/>
      <c r="M380" s="6" t="s">
        <v>394</v>
      </c>
    </row>
    <row r="381" spans="1:13">
      <c r="A381" s="143">
        <v>2019</v>
      </c>
      <c r="B381" s="6" t="s">
        <v>898</v>
      </c>
      <c r="C381" s="9" t="s">
        <v>61</v>
      </c>
      <c r="D381" s="6" t="s">
        <v>586</v>
      </c>
      <c r="E381" s="6" t="s">
        <v>1874</v>
      </c>
      <c r="F381" s="9"/>
      <c r="G381" s="9" t="s">
        <v>899</v>
      </c>
      <c r="H381" s="6" t="s">
        <v>900</v>
      </c>
      <c r="I381" s="121">
        <v>8440</v>
      </c>
      <c r="J381" s="6" t="s">
        <v>2677</v>
      </c>
      <c r="K381" s="9" t="s">
        <v>1828</v>
      </c>
      <c r="L381" s="9"/>
      <c r="M381" s="6" t="s">
        <v>2520</v>
      </c>
    </row>
    <row r="382" spans="1:13">
      <c r="A382" s="143">
        <v>2019</v>
      </c>
      <c r="B382" s="6" t="s">
        <v>901</v>
      </c>
      <c r="C382" s="9" t="s">
        <v>61</v>
      </c>
      <c r="D382" s="6" t="s">
        <v>586</v>
      </c>
      <c r="E382" s="6" t="s">
        <v>1874</v>
      </c>
      <c r="F382" s="6"/>
      <c r="G382" s="6" t="s">
        <v>902</v>
      </c>
      <c r="H382" s="6" t="s">
        <v>903</v>
      </c>
      <c r="I382" s="121">
        <v>14400</v>
      </c>
      <c r="J382" s="6" t="s">
        <v>2575</v>
      </c>
      <c r="K382" s="9" t="s">
        <v>2047</v>
      </c>
      <c r="L382" s="6"/>
      <c r="M382" s="6" t="s">
        <v>2520</v>
      </c>
    </row>
    <row r="383" spans="1:13">
      <c r="A383" s="143">
        <v>2019</v>
      </c>
      <c r="B383" s="6" t="s">
        <v>904</v>
      </c>
      <c r="C383" s="9" t="s">
        <v>61</v>
      </c>
      <c r="D383" s="6" t="s">
        <v>586</v>
      </c>
      <c r="E383" s="6" t="s">
        <v>1874</v>
      </c>
      <c r="F383" s="6"/>
      <c r="G383" s="6" t="s">
        <v>905</v>
      </c>
      <c r="H383" s="6" t="s">
        <v>906</v>
      </c>
      <c r="I383" s="121">
        <v>10360</v>
      </c>
      <c r="J383" s="6" t="s">
        <v>2678</v>
      </c>
      <c r="K383" s="9" t="s">
        <v>1828</v>
      </c>
      <c r="L383" s="6"/>
      <c r="M383" s="6" t="s">
        <v>2520</v>
      </c>
    </row>
    <row r="384" spans="1:13">
      <c r="A384" s="143">
        <v>2019</v>
      </c>
      <c r="B384" s="6" t="s">
        <v>907</v>
      </c>
      <c r="C384" s="9" t="s">
        <v>61</v>
      </c>
      <c r="D384" s="112" t="s">
        <v>68</v>
      </c>
      <c r="E384" s="6" t="s">
        <v>1874</v>
      </c>
      <c r="F384" s="6"/>
      <c r="G384" s="6" t="s">
        <v>2679</v>
      </c>
      <c r="H384" s="6" t="s">
        <v>909</v>
      </c>
      <c r="I384" s="121">
        <v>200000</v>
      </c>
      <c r="J384" s="6" t="s">
        <v>2680</v>
      </c>
      <c r="K384" s="9" t="s">
        <v>2051</v>
      </c>
      <c r="L384" s="6"/>
      <c r="M384" s="6" t="s">
        <v>68</v>
      </c>
    </row>
    <row r="385" spans="1:13">
      <c r="A385" s="143">
        <v>2019</v>
      </c>
      <c r="B385" s="6" t="s">
        <v>910</v>
      </c>
      <c r="C385" s="9" t="s">
        <v>61</v>
      </c>
      <c r="D385" s="112" t="s">
        <v>68</v>
      </c>
      <c r="E385" s="6" t="s">
        <v>1874</v>
      </c>
      <c r="F385" s="6"/>
      <c r="G385" s="6" t="s">
        <v>911</v>
      </c>
      <c r="H385" s="6" t="s">
        <v>912</v>
      </c>
      <c r="I385" s="121">
        <v>200018.5</v>
      </c>
      <c r="J385" s="6" t="s">
        <v>2681</v>
      </c>
      <c r="K385" s="9" t="s">
        <v>1828</v>
      </c>
      <c r="L385" s="6"/>
      <c r="M385" s="6" t="s">
        <v>68</v>
      </c>
    </row>
    <row r="386" spans="1:13">
      <c r="A386" s="143">
        <v>2019</v>
      </c>
      <c r="B386" s="6" t="s">
        <v>913</v>
      </c>
      <c r="C386" s="9" t="s">
        <v>61</v>
      </c>
      <c r="D386" s="6" t="s">
        <v>652</v>
      </c>
      <c r="E386" s="6" t="s">
        <v>1874</v>
      </c>
      <c r="F386" s="6"/>
      <c r="G386" s="6" t="s">
        <v>914</v>
      </c>
      <c r="H386" s="6" t="s">
        <v>915</v>
      </c>
      <c r="I386" s="121">
        <v>73365</v>
      </c>
      <c r="J386" s="6" t="s">
        <v>2682</v>
      </c>
      <c r="K386" s="9" t="s">
        <v>1899</v>
      </c>
      <c r="L386" s="6"/>
      <c r="M386" s="6" t="s">
        <v>652</v>
      </c>
    </row>
    <row r="387" spans="1:13">
      <c r="A387" s="143">
        <v>2019</v>
      </c>
      <c r="B387" s="6" t="s">
        <v>916</v>
      </c>
      <c r="C387" s="9" t="s">
        <v>61</v>
      </c>
      <c r="D387" s="112" t="s">
        <v>68</v>
      </c>
      <c r="E387" s="6" t="s">
        <v>1874</v>
      </c>
      <c r="F387" s="6"/>
      <c r="G387" s="6" t="s">
        <v>917</v>
      </c>
      <c r="H387" s="6" t="s">
        <v>918</v>
      </c>
      <c r="I387" s="121">
        <v>199926</v>
      </c>
      <c r="J387" s="6" t="s">
        <v>2683</v>
      </c>
      <c r="K387" s="9" t="s">
        <v>2047</v>
      </c>
      <c r="L387" s="6"/>
      <c r="M387" s="6" t="s">
        <v>68</v>
      </c>
    </row>
    <row r="388" spans="1:13">
      <c r="A388" s="143">
        <v>2019</v>
      </c>
      <c r="B388" s="6" t="s">
        <v>919</v>
      </c>
      <c r="C388" s="9" t="s">
        <v>61</v>
      </c>
      <c r="D388" s="112" t="s">
        <v>68</v>
      </c>
      <c r="E388" s="6" t="s">
        <v>1874</v>
      </c>
      <c r="F388" s="6"/>
      <c r="G388" s="6" t="s">
        <v>920</v>
      </c>
      <c r="H388" s="6" t="s">
        <v>921</v>
      </c>
      <c r="I388" s="121">
        <v>167255.802</v>
      </c>
      <c r="J388" s="6" t="s">
        <v>2684</v>
      </c>
      <c r="K388" s="9" t="s">
        <v>2031</v>
      </c>
      <c r="L388" s="6"/>
      <c r="M388" s="6" t="s">
        <v>68</v>
      </c>
    </row>
    <row r="389" spans="1:13">
      <c r="A389" s="140">
        <v>2019</v>
      </c>
      <c r="B389" s="6" t="s">
        <v>1239</v>
      </c>
      <c r="C389" s="9" t="s">
        <v>61</v>
      </c>
      <c r="D389" s="22" t="s">
        <v>1141</v>
      </c>
      <c r="E389" s="6" t="s">
        <v>1904</v>
      </c>
      <c r="F389" s="6"/>
      <c r="G389" s="6" t="s">
        <v>1240</v>
      </c>
      <c r="H389" s="6" t="s">
        <v>1241</v>
      </c>
      <c r="I389" s="121">
        <v>57545.95</v>
      </c>
      <c r="J389" s="6" t="s">
        <v>2685</v>
      </c>
      <c r="K389" s="9" t="s">
        <v>2047</v>
      </c>
      <c r="L389" s="6"/>
      <c r="M389" s="6" t="s">
        <v>1141</v>
      </c>
    </row>
    <row r="390" spans="1:13">
      <c r="A390" s="143">
        <v>2019</v>
      </c>
      <c r="B390" s="6" t="s">
        <v>922</v>
      </c>
      <c r="C390" s="9" t="s">
        <v>61</v>
      </c>
      <c r="D390" s="17" t="s">
        <v>1877</v>
      </c>
      <c r="E390" s="115" t="s">
        <v>1853</v>
      </c>
      <c r="F390" s="6"/>
      <c r="G390" s="6" t="s">
        <v>923</v>
      </c>
      <c r="H390" s="6" t="s">
        <v>924</v>
      </c>
      <c r="I390" s="121">
        <v>48100</v>
      </c>
      <c r="J390" s="6" t="s">
        <v>2686</v>
      </c>
      <c r="K390" s="6" t="s">
        <v>1886</v>
      </c>
      <c r="L390" s="6"/>
      <c r="M390" s="6" t="s">
        <v>2687</v>
      </c>
    </row>
    <row r="391" spans="1:13">
      <c r="A391" s="143">
        <v>2018</v>
      </c>
      <c r="B391" s="61">
        <v>43101</v>
      </c>
      <c r="C391" s="6" t="s">
        <v>61</v>
      </c>
      <c r="D391" s="115" t="s">
        <v>1383</v>
      </c>
      <c r="E391" s="115" t="s">
        <v>1859</v>
      </c>
      <c r="F391" s="6"/>
      <c r="G391" s="6" t="s">
        <v>1661</v>
      </c>
      <c r="H391" s="6" t="s">
        <v>2319</v>
      </c>
      <c r="I391" s="170">
        <v>2747800</v>
      </c>
      <c r="J391" s="6" t="s">
        <v>1938</v>
      </c>
      <c r="K391" s="6" t="s">
        <v>1828</v>
      </c>
      <c r="L391" s="6"/>
      <c r="M391" s="6" t="s">
        <v>1383</v>
      </c>
    </row>
    <row r="392" spans="1:13">
      <c r="A392" s="140">
        <v>2018</v>
      </c>
      <c r="B392" s="61">
        <v>43132</v>
      </c>
      <c r="C392" s="6" t="s">
        <v>925</v>
      </c>
      <c r="D392" s="9" t="s">
        <v>62</v>
      </c>
      <c r="E392" s="6" t="s">
        <v>1904</v>
      </c>
      <c r="F392" s="6"/>
      <c r="G392" s="6" t="s">
        <v>1242</v>
      </c>
      <c r="H392" s="6" t="s">
        <v>2688</v>
      </c>
      <c r="I392" s="121">
        <v>710458.07</v>
      </c>
      <c r="J392" s="160" t="s">
        <v>2689</v>
      </c>
      <c r="K392" s="6" t="s">
        <v>2085</v>
      </c>
      <c r="L392" s="6"/>
      <c r="M392" s="6" t="s">
        <v>62</v>
      </c>
    </row>
    <row r="393" spans="1:13">
      <c r="A393" s="140">
        <v>2018</v>
      </c>
      <c r="B393" s="61">
        <v>43160</v>
      </c>
      <c r="C393" s="6" t="s">
        <v>925</v>
      </c>
      <c r="D393" s="9" t="s">
        <v>62</v>
      </c>
      <c r="E393" s="6" t="s">
        <v>1904</v>
      </c>
      <c r="F393" s="6"/>
      <c r="G393" s="6" t="s">
        <v>1244</v>
      </c>
      <c r="H393" s="6" t="s">
        <v>2690</v>
      </c>
      <c r="I393" s="121">
        <v>2839000</v>
      </c>
      <c r="J393" s="160" t="s">
        <v>2691</v>
      </c>
      <c r="K393" s="6" t="s">
        <v>1886</v>
      </c>
      <c r="L393" s="6"/>
      <c r="M393" s="6" t="s">
        <v>62</v>
      </c>
    </row>
    <row r="394" spans="1:13">
      <c r="A394" s="143">
        <v>2018</v>
      </c>
      <c r="B394" s="61">
        <v>43191</v>
      </c>
      <c r="C394" s="6" t="s">
        <v>61</v>
      </c>
      <c r="D394" s="112" t="s">
        <v>68</v>
      </c>
      <c r="E394" s="6" t="s">
        <v>1874</v>
      </c>
      <c r="F394" s="6"/>
      <c r="G394" s="6" t="s">
        <v>926</v>
      </c>
      <c r="H394" s="6" t="s">
        <v>2692</v>
      </c>
      <c r="I394" s="121">
        <v>900000</v>
      </c>
      <c r="J394" s="160" t="s">
        <v>2693</v>
      </c>
      <c r="K394" s="6" t="s">
        <v>1828</v>
      </c>
      <c r="L394" s="6"/>
      <c r="M394" s="6" t="s">
        <v>68</v>
      </c>
    </row>
    <row r="395" spans="1:13">
      <c r="A395" s="143">
        <v>2018</v>
      </c>
      <c r="B395" s="61">
        <v>43282</v>
      </c>
      <c r="C395" s="6" t="s">
        <v>2328</v>
      </c>
      <c r="D395" s="6"/>
      <c r="E395" s="6"/>
      <c r="F395" s="6"/>
      <c r="G395" s="6" t="s">
        <v>2694</v>
      </c>
      <c r="H395" s="6" t="s">
        <v>2695</v>
      </c>
      <c r="I395" s="121">
        <v>221630</v>
      </c>
      <c r="J395" s="160" t="s">
        <v>2696</v>
      </c>
      <c r="K395" s="6" t="s">
        <v>1828</v>
      </c>
      <c r="L395" s="6"/>
      <c r="M395" s="6"/>
    </row>
    <row r="396" spans="1:13">
      <c r="A396" s="143">
        <v>2018</v>
      </c>
      <c r="B396" s="61">
        <v>43313</v>
      </c>
      <c r="C396" s="6" t="s">
        <v>2328</v>
      </c>
      <c r="D396" s="6"/>
      <c r="E396" s="6"/>
      <c r="F396" s="6"/>
      <c r="G396" s="6" t="s">
        <v>2697</v>
      </c>
      <c r="H396" s="6" t="s">
        <v>2698</v>
      </c>
      <c r="I396" s="121">
        <v>196749</v>
      </c>
      <c r="J396" s="160" t="s">
        <v>2699</v>
      </c>
      <c r="K396" s="6" t="s">
        <v>1828</v>
      </c>
      <c r="L396" s="6"/>
      <c r="M396" s="6"/>
    </row>
    <row r="397" spans="1:13">
      <c r="A397" s="143">
        <v>2018</v>
      </c>
      <c r="B397" s="62">
        <v>43344</v>
      </c>
      <c r="C397" s="6" t="s">
        <v>2328</v>
      </c>
      <c r="D397" s="6"/>
      <c r="E397" s="6"/>
      <c r="F397" s="6"/>
      <c r="G397" s="6" t="s">
        <v>2700</v>
      </c>
      <c r="H397" s="6" t="s">
        <v>2701</v>
      </c>
      <c r="I397" s="121">
        <v>100600</v>
      </c>
      <c r="J397" s="160" t="s">
        <v>2702</v>
      </c>
      <c r="K397" s="6" t="s">
        <v>1828</v>
      </c>
      <c r="L397" s="6"/>
      <c r="M397" s="6"/>
    </row>
    <row r="398" spans="1:13">
      <c r="A398" s="143">
        <v>2018</v>
      </c>
      <c r="B398" s="61">
        <v>43374</v>
      </c>
      <c r="C398" s="6" t="s">
        <v>925</v>
      </c>
      <c r="D398" s="6" t="s">
        <v>928</v>
      </c>
      <c r="E398" s="6" t="s">
        <v>1824</v>
      </c>
      <c r="F398" s="171">
        <v>43145</v>
      </c>
      <c r="G398" s="158" t="s">
        <v>929</v>
      </c>
      <c r="H398" s="158" t="s">
        <v>699</v>
      </c>
      <c r="I398" s="163">
        <v>709420</v>
      </c>
      <c r="J398" s="6" t="s">
        <v>1938</v>
      </c>
      <c r="K398" s="6" t="s">
        <v>1828</v>
      </c>
      <c r="L398" s="158"/>
      <c r="M398" s="6" t="s">
        <v>928</v>
      </c>
    </row>
    <row r="399" spans="1:13">
      <c r="A399" s="143">
        <v>2018</v>
      </c>
      <c r="B399" s="62">
        <v>43405</v>
      </c>
      <c r="C399" s="6" t="s">
        <v>61</v>
      </c>
      <c r="D399" s="115" t="s">
        <v>1383</v>
      </c>
      <c r="E399" s="115" t="s">
        <v>1859</v>
      </c>
      <c r="F399" s="7">
        <v>43179</v>
      </c>
      <c r="G399" s="6" t="s">
        <v>1662</v>
      </c>
      <c r="H399" s="6" t="s">
        <v>1663</v>
      </c>
      <c r="I399" s="121">
        <v>200000</v>
      </c>
      <c r="J399" s="6" t="s">
        <v>1938</v>
      </c>
      <c r="K399" s="6" t="s">
        <v>1828</v>
      </c>
      <c r="L399" s="6"/>
      <c r="M399" s="6" t="s">
        <v>1383</v>
      </c>
    </row>
    <row r="400" spans="1:13">
      <c r="A400" s="143">
        <v>2018</v>
      </c>
      <c r="B400" s="62">
        <v>43435</v>
      </c>
      <c r="C400" s="6" t="s">
        <v>61</v>
      </c>
      <c r="D400" s="115" t="s">
        <v>1383</v>
      </c>
      <c r="E400" s="115" t="s">
        <v>1859</v>
      </c>
      <c r="F400" s="6"/>
      <c r="G400" s="6" t="s">
        <v>1664</v>
      </c>
      <c r="H400" s="6" t="s">
        <v>650</v>
      </c>
      <c r="I400" s="121">
        <v>200000</v>
      </c>
      <c r="J400" s="6"/>
      <c r="K400" s="6" t="s">
        <v>2085</v>
      </c>
      <c r="L400" s="6"/>
      <c r="M400" s="6" t="s">
        <v>1383</v>
      </c>
    </row>
    <row r="401" spans="1:13">
      <c r="A401" s="143">
        <v>2018</v>
      </c>
      <c r="B401" s="6" t="s">
        <v>1665</v>
      </c>
      <c r="C401" s="6" t="s">
        <v>61</v>
      </c>
      <c r="D401" s="115" t="s">
        <v>1383</v>
      </c>
      <c r="E401" s="115" t="s">
        <v>1859</v>
      </c>
      <c r="F401" s="6"/>
      <c r="G401" s="6" t="s">
        <v>1666</v>
      </c>
      <c r="H401" s="6" t="s">
        <v>581</v>
      </c>
      <c r="I401" s="121">
        <v>200000</v>
      </c>
      <c r="J401" s="6"/>
      <c r="K401" s="6" t="s">
        <v>1916</v>
      </c>
      <c r="L401" s="6"/>
      <c r="M401" s="6" t="s">
        <v>1383</v>
      </c>
    </row>
    <row r="402" spans="1:13">
      <c r="A402" s="143">
        <v>2018</v>
      </c>
      <c r="B402" s="6" t="s">
        <v>1667</v>
      </c>
      <c r="C402" s="6" t="s">
        <v>61</v>
      </c>
      <c r="D402" s="115" t="s">
        <v>1383</v>
      </c>
      <c r="E402" s="115" t="s">
        <v>1859</v>
      </c>
      <c r="F402" s="6"/>
      <c r="G402" s="6" t="s">
        <v>1666</v>
      </c>
      <c r="H402" s="6" t="s">
        <v>722</v>
      </c>
      <c r="I402" s="121">
        <v>200000</v>
      </c>
      <c r="J402" s="6"/>
      <c r="K402" s="6" t="s">
        <v>1899</v>
      </c>
      <c r="L402" s="6"/>
      <c r="M402" s="6" t="s">
        <v>1383</v>
      </c>
    </row>
    <row r="403" spans="1:13">
      <c r="A403" s="143">
        <v>2018</v>
      </c>
      <c r="B403" s="6" t="s">
        <v>1668</v>
      </c>
      <c r="C403" s="6" t="s">
        <v>61</v>
      </c>
      <c r="D403" s="115" t="s">
        <v>1383</v>
      </c>
      <c r="E403" s="115" t="s">
        <v>1859</v>
      </c>
      <c r="F403" s="6"/>
      <c r="G403" s="6" t="s">
        <v>1666</v>
      </c>
      <c r="H403" s="158" t="s">
        <v>1669</v>
      </c>
      <c r="I403" s="121">
        <v>200000</v>
      </c>
      <c r="J403" s="6"/>
      <c r="K403" s="6" t="s">
        <v>1886</v>
      </c>
      <c r="L403" s="158"/>
      <c r="M403" s="6" t="s">
        <v>1383</v>
      </c>
    </row>
    <row r="404" spans="1:13">
      <c r="A404" s="143">
        <v>2018</v>
      </c>
      <c r="B404" s="6" t="s">
        <v>1670</v>
      </c>
      <c r="C404" s="6" t="s">
        <v>61</v>
      </c>
      <c r="D404" s="115" t="s">
        <v>1383</v>
      </c>
      <c r="E404" s="115" t="s">
        <v>1859</v>
      </c>
      <c r="F404" s="6"/>
      <c r="G404" s="6" t="s">
        <v>1666</v>
      </c>
      <c r="H404" s="6" t="s">
        <v>1671</v>
      </c>
      <c r="I404" s="121">
        <v>200000</v>
      </c>
      <c r="J404" s="6"/>
      <c r="K404" s="6" t="s">
        <v>1886</v>
      </c>
      <c r="L404" s="6"/>
      <c r="M404" s="6" t="s">
        <v>1383</v>
      </c>
    </row>
    <row r="405" spans="1:13">
      <c r="A405" s="143">
        <v>2018</v>
      </c>
      <c r="B405" s="6" t="s">
        <v>1672</v>
      </c>
      <c r="C405" s="6" t="s">
        <v>61</v>
      </c>
      <c r="D405" s="115" t="s">
        <v>1383</v>
      </c>
      <c r="E405" s="115" t="s">
        <v>1859</v>
      </c>
      <c r="F405" s="158"/>
      <c r="G405" s="158" t="s">
        <v>1673</v>
      </c>
      <c r="H405" s="6" t="s">
        <v>707</v>
      </c>
      <c r="I405" s="121">
        <v>200000</v>
      </c>
      <c r="J405" s="6"/>
      <c r="K405" s="6" t="s">
        <v>1896</v>
      </c>
      <c r="L405" s="6"/>
      <c r="M405" s="6" t="s">
        <v>1383</v>
      </c>
    </row>
    <row r="406" spans="1:13">
      <c r="A406" s="143">
        <v>2018</v>
      </c>
      <c r="B406" s="6" t="s">
        <v>1674</v>
      </c>
      <c r="C406" s="6" t="s">
        <v>61</v>
      </c>
      <c r="D406" s="115" t="s">
        <v>1383</v>
      </c>
      <c r="E406" s="115" t="s">
        <v>1859</v>
      </c>
      <c r="F406" s="6"/>
      <c r="G406" s="6" t="s">
        <v>1675</v>
      </c>
      <c r="H406" s="6" t="s">
        <v>1502</v>
      </c>
      <c r="I406" s="121">
        <v>200000</v>
      </c>
      <c r="J406" s="6"/>
      <c r="K406" s="6" t="s">
        <v>2051</v>
      </c>
      <c r="L406" s="6"/>
      <c r="M406" s="6" t="s">
        <v>1383</v>
      </c>
    </row>
    <row r="407" spans="1:13">
      <c r="A407" s="143">
        <v>2018</v>
      </c>
      <c r="B407" s="6" t="s">
        <v>1676</v>
      </c>
      <c r="C407" s="6" t="s">
        <v>61</v>
      </c>
      <c r="D407" s="115" t="s">
        <v>1383</v>
      </c>
      <c r="E407" s="115" t="s">
        <v>1859</v>
      </c>
      <c r="F407" s="6"/>
      <c r="G407" s="6" t="s">
        <v>1677</v>
      </c>
      <c r="H407" s="6" t="s">
        <v>1389</v>
      </c>
      <c r="I407" s="121">
        <v>200000</v>
      </c>
      <c r="J407" s="6"/>
      <c r="K407" s="6" t="s">
        <v>2031</v>
      </c>
      <c r="L407" s="6"/>
      <c r="M407" s="6" t="s">
        <v>1383</v>
      </c>
    </row>
    <row r="408" spans="1:13">
      <c r="A408" s="143">
        <v>2018</v>
      </c>
      <c r="B408" s="6" t="s">
        <v>1678</v>
      </c>
      <c r="C408" s="6" t="s">
        <v>61</v>
      </c>
      <c r="D408" s="115" t="s">
        <v>1383</v>
      </c>
      <c r="E408" s="115" t="s">
        <v>1859</v>
      </c>
      <c r="F408" s="6"/>
      <c r="G408" s="6" t="s">
        <v>1679</v>
      </c>
      <c r="H408" s="6" t="s">
        <v>1680</v>
      </c>
      <c r="I408" s="121">
        <v>200000</v>
      </c>
      <c r="J408" s="6"/>
      <c r="K408" s="9" t="s">
        <v>2571</v>
      </c>
      <c r="L408" s="6"/>
      <c r="M408" s="6" t="s">
        <v>1383</v>
      </c>
    </row>
    <row r="409" spans="1:13">
      <c r="A409" s="140">
        <v>2018</v>
      </c>
      <c r="B409" s="6" t="s">
        <v>1246</v>
      </c>
      <c r="C409" s="6" t="s">
        <v>925</v>
      </c>
      <c r="D409" s="9" t="s">
        <v>62</v>
      </c>
      <c r="E409" s="6" t="s">
        <v>1904</v>
      </c>
      <c r="F409" s="6"/>
      <c r="G409" s="6" t="s">
        <v>1247</v>
      </c>
      <c r="H409" s="6" t="s">
        <v>2703</v>
      </c>
      <c r="I409" s="121">
        <v>1170000</v>
      </c>
      <c r="J409" s="160" t="s">
        <v>2704</v>
      </c>
      <c r="K409" s="6" t="s">
        <v>2051</v>
      </c>
      <c r="L409" s="6"/>
      <c r="M409" s="6" t="s">
        <v>62</v>
      </c>
    </row>
    <row r="410" spans="1:13">
      <c r="A410" s="140">
        <v>2018</v>
      </c>
      <c r="B410" s="6" t="s">
        <v>1249</v>
      </c>
      <c r="C410" s="6" t="s">
        <v>925</v>
      </c>
      <c r="D410" s="9" t="s">
        <v>62</v>
      </c>
      <c r="E410" s="6" t="s">
        <v>1904</v>
      </c>
      <c r="F410" s="6"/>
      <c r="G410" s="6" t="s">
        <v>1250</v>
      </c>
      <c r="H410" s="6" t="s">
        <v>2705</v>
      </c>
      <c r="I410" s="121">
        <v>869853.5</v>
      </c>
      <c r="J410" s="6" t="s">
        <v>2706</v>
      </c>
      <c r="K410" s="6" t="s">
        <v>2051</v>
      </c>
      <c r="L410" s="6"/>
      <c r="M410" s="6" t="s">
        <v>62</v>
      </c>
    </row>
    <row r="411" spans="1:13">
      <c r="A411" s="143">
        <v>2018</v>
      </c>
      <c r="B411" s="6" t="s">
        <v>1681</v>
      </c>
      <c r="C411" s="6" t="s">
        <v>61</v>
      </c>
      <c r="D411" s="115" t="s">
        <v>1383</v>
      </c>
      <c r="E411" s="115" t="s">
        <v>1859</v>
      </c>
      <c r="F411" s="6"/>
      <c r="G411" s="6" t="s">
        <v>1682</v>
      </c>
      <c r="H411" s="6" t="s">
        <v>1683</v>
      </c>
      <c r="I411" s="121">
        <v>200000</v>
      </c>
      <c r="J411" s="6" t="s">
        <v>2508</v>
      </c>
      <c r="K411" s="6" t="s">
        <v>1828</v>
      </c>
      <c r="L411" s="6"/>
      <c r="M411" s="6" t="s">
        <v>1383</v>
      </c>
    </row>
    <row r="412" spans="1:13">
      <c r="A412" s="143">
        <v>2018</v>
      </c>
      <c r="B412" s="6" t="s">
        <v>1684</v>
      </c>
      <c r="C412" s="6" t="s">
        <v>61</v>
      </c>
      <c r="D412" s="115" t="s">
        <v>1383</v>
      </c>
      <c r="E412" s="115" t="s">
        <v>1859</v>
      </c>
      <c r="F412" s="6"/>
      <c r="G412" s="6" t="s">
        <v>1685</v>
      </c>
      <c r="H412" s="6" t="s">
        <v>2707</v>
      </c>
      <c r="I412" s="121">
        <v>200000</v>
      </c>
      <c r="J412" s="160" t="s">
        <v>2708</v>
      </c>
      <c r="K412" s="6" t="s">
        <v>1886</v>
      </c>
      <c r="L412" s="6"/>
      <c r="M412" s="6" t="s">
        <v>1383</v>
      </c>
    </row>
    <row r="413" spans="1:13">
      <c r="A413" s="143">
        <v>2018</v>
      </c>
      <c r="B413" s="6" t="s">
        <v>1687</v>
      </c>
      <c r="C413" s="6" t="s">
        <v>61</v>
      </c>
      <c r="D413" s="115" t="s">
        <v>1383</v>
      </c>
      <c r="E413" s="115" t="s">
        <v>1859</v>
      </c>
      <c r="F413" s="6"/>
      <c r="G413" s="6" t="s">
        <v>1688</v>
      </c>
      <c r="H413" s="6" t="s">
        <v>1689</v>
      </c>
      <c r="I413" s="121">
        <v>200000</v>
      </c>
      <c r="J413" s="6" t="s">
        <v>1938</v>
      </c>
      <c r="K413" s="6" t="s">
        <v>1828</v>
      </c>
      <c r="L413" s="6"/>
      <c r="M413" s="6" t="s">
        <v>1383</v>
      </c>
    </row>
    <row r="414" spans="1:13">
      <c r="A414" s="143">
        <v>2018</v>
      </c>
      <c r="B414" s="6" t="s">
        <v>1690</v>
      </c>
      <c r="C414" s="6" t="s">
        <v>61</v>
      </c>
      <c r="D414" s="115" t="s">
        <v>1383</v>
      </c>
      <c r="E414" s="115" t="s">
        <v>1859</v>
      </c>
      <c r="F414" s="6"/>
      <c r="G414" s="6" t="s">
        <v>1691</v>
      </c>
      <c r="H414" s="6" t="s">
        <v>1692</v>
      </c>
      <c r="I414" s="121">
        <v>200000</v>
      </c>
      <c r="J414" s="6" t="s">
        <v>2508</v>
      </c>
      <c r="K414" s="6" t="s">
        <v>1828</v>
      </c>
      <c r="L414" s="6"/>
      <c r="M414" s="6" t="s">
        <v>1383</v>
      </c>
    </row>
    <row r="415" spans="1:13">
      <c r="A415" s="143">
        <v>2018</v>
      </c>
      <c r="B415" s="6" t="s">
        <v>1693</v>
      </c>
      <c r="C415" s="6" t="s">
        <v>61</v>
      </c>
      <c r="D415" s="115" t="s">
        <v>1383</v>
      </c>
      <c r="E415" s="115" t="s">
        <v>1859</v>
      </c>
      <c r="F415" s="6"/>
      <c r="G415" s="6" t="s">
        <v>1694</v>
      </c>
      <c r="H415" s="6" t="s">
        <v>2709</v>
      </c>
      <c r="I415" s="121">
        <v>200000</v>
      </c>
      <c r="J415" s="6" t="s">
        <v>2508</v>
      </c>
      <c r="K415" s="6" t="s">
        <v>1828</v>
      </c>
      <c r="L415" s="6"/>
      <c r="M415" s="6" t="s">
        <v>1383</v>
      </c>
    </row>
    <row r="416" spans="1:13">
      <c r="A416" s="143">
        <v>2018</v>
      </c>
      <c r="B416" s="6" t="s">
        <v>1696</v>
      </c>
      <c r="C416" s="6" t="s">
        <v>61</v>
      </c>
      <c r="D416" s="115" t="s">
        <v>1383</v>
      </c>
      <c r="E416" s="115" t="s">
        <v>1859</v>
      </c>
      <c r="F416" s="6"/>
      <c r="G416" s="6" t="s">
        <v>1697</v>
      </c>
      <c r="H416" s="6" t="s">
        <v>1698</v>
      </c>
      <c r="I416" s="121">
        <v>200000</v>
      </c>
      <c r="J416" s="6" t="s">
        <v>2508</v>
      </c>
      <c r="K416" s="6" t="s">
        <v>1828</v>
      </c>
      <c r="L416" s="6"/>
      <c r="M416" s="6" t="s">
        <v>1383</v>
      </c>
    </row>
    <row r="417" spans="1:13">
      <c r="A417" s="143">
        <v>2018</v>
      </c>
      <c r="B417" s="6" t="s">
        <v>1699</v>
      </c>
      <c r="C417" s="6" t="s">
        <v>61</v>
      </c>
      <c r="D417" s="115" t="s">
        <v>1383</v>
      </c>
      <c r="E417" s="115" t="s">
        <v>1859</v>
      </c>
      <c r="F417" s="6"/>
      <c r="G417" s="6" t="s">
        <v>1700</v>
      </c>
      <c r="H417" s="6" t="s">
        <v>1701</v>
      </c>
      <c r="I417" s="121">
        <v>200000</v>
      </c>
      <c r="J417" s="6"/>
      <c r="K417" s="6" t="s">
        <v>1828</v>
      </c>
      <c r="L417" s="6"/>
      <c r="M417" s="6" t="s">
        <v>1383</v>
      </c>
    </row>
    <row r="418" spans="1:13">
      <c r="A418" s="143">
        <v>2018</v>
      </c>
      <c r="B418" s="6" t="s">
        <v>1702</v>
      </c>
      <c r="C418" s="6" t="s">
        <v>61</v>
      </c>
      <c r="D418" s="115" t="s">
        <v>1383</v>
      </c>
      <c r="E418" s="115" t="s">
        <v>1859</v>
      </c>
      <c r="F418" s="6"/>
      <c r="G418" s="6" t="s">
        <v>1703</v>
      </c>
      <c r="H418" s="6" t="s">
        <v>1611</v>
      </c>
      <c r="I418" s="121">
        <v>750000</v>
      </c>
      <c r="J418" s="6" t="s">
        <v>2508</v>
      </c>
      <c r="K418" s="6" t="s">
        <v>1828</v>
      </c>
      <c r="L418" s="6"/>
      <c r="M418" s="6" t="s">
        <v>1383</v>
      </c>
    </row>
    <row r="419" spans="1:13">
      <c r="A419" s="143">
        <v>2018</v>
      </c>
      <c r="B419" s="6" t="s">
        <v>960</v>
      </c>
      <c r="C419" s="6" t="s">
        <v>61</v>
      </c>
      <c r="D419" s="115" t="s">
        <v>1383</v>
      </c>
      <c r="E419" s="115" t="s">
        <v>1859</v>
      </c>
      <c r="F419" s="6"/>
      <c r="G419" s="6" t="s">
        <v>1704</v>
      </c>
      <c r="H419" s="6" t="s">
        <v>1705</v>
      </c>
      <c r="I419" s="121">
        <v>750000</v>
      </c>
      <c r="J419" s="6" t="s">
        <v>2508</v>
      </c>
      <c r="K419" s="6" t="s">
        <v>1828</v>
      </c>
      <c r="L419" s="6"/>
      <c r="M419" s="6" t="s">
        <v>1383</v>
      </c>
    </row>
    <row r="420" spans="1:13">
      <c r="A420" s="143">
        <v>2018</v>
      </c>
      <c r="B420" s="6" t="s">
        <v>1706</v>
      </c>
      <c r="C420" s="6" t="s">
        <v>61</v>
      </c>
      <c r="D420" s="115" t="s">
        <v>1383</v>
      </c>
      <c r="E420" s="115" t="s">
        <v>1859</v>
      </c>
      <c r="F420" s="6"/>
      <c r="G420" s="6" t="s">
        <v>2710</v>
      </c>
      <c r="H420" s="6" t="s">
        <v>1708</v>
      </c>
      <c r="I420" s="121">
        <v>1500000</v>
      </c>
      <c r="J420" s="6" t="s">
        <v>2508</v>
      </c>
      <c r="K420" s="6" t="s">
        <v>1828</v>
      </c>
      <c r="L420" s="6"/>
      <c r="M420" s="6" t="s">
        <v>1383</v>
      </c>
    </row>
    <row r="421" spans="1:13">
      <c r="A421" s="143">
        <v>2018</v>
      </c>
      <c r="B421" s="6" t="s">
        <v>1709</v>
      </c>
      <c r="C421" s="6" t="s">
        <v>61</v>
      </c>
      <c r="D421" s="115" t="s">
        <v>1383</v>
      </c>
      <c r="E421" s="115" t="s">
        <v>1859</v>
      </c>
      <c r="F421" s="6"/>
      <c r="G421" s="6" t="s">
        <v>1710</v>
      </c>
      <c r="H421" s="6" t="s">
        <v>1711</v>
      </c>
      <c r="I421" s="121">
        <v>200000</v>
      </c>
      <c r="J421" s="6" t="s">
        <v>1938</v>
      </c>
      <c r="K421" s="6" t="s">
        <v>1828</v>
      </c>
      <c r="L421" s="6"/>
      <c r="M421" s="6" t="s">
        <v>1383</v>
      </c>
    </row>
    <row r="422" spans="1:13">
      <c r="A422" s="143">
        <v>2018</v>
      </c>
      <c r="B422" s="6" t="s">
        <v>1712</v>
      </c>
      <c r="C422" s="6" t="s">
        <v>61</v>
      </c>
      <c r="D422" s="115" t="s">
        <v>1383</v>
      </c>
      <c r="E422" s="115" t="s">
        <v>1859</v>
      </c>
      <c r="F422" s="6"/>
      <c r="G422" s="6" t="s">
        <v>1713</v>
      </c>
      <c r="H422" s="6" t="s">
        <v>2711</v>
      </c>
      <c r="I422" s="121">
        <v>200000</v>
      </c>
      <c r="J422" s="160" t="s">
        <v>2712</v>
      </c>
      <c r="K422" s="6" t="s">
        <v>1855</v>
      </c>
      <c r="L422" s="6"/>
      <c r="M422" s="6" t="s">
        <v>1383</v>
      </c>
    </row>
    <row r="423" spans="1:13">
      <c r="A423" s="143">
        <v>2018</v>
      </c>
      <c r="B423" s="6" t="s">
        <v>1714</v>
      </c>
      <c r="C423" s="6" t="s">
        <v>61</v>
      </c>
      <c r="D423" s="115" t="s">
        <v>1383</v>
      </c>
      <c r="E423" s="115" t="s">
        <v>1859</v>
      </c>
      <c r="F423" s="6"/>
      <c r="G423" s="6" t="s">
        <v>1715</v>
      </c>
      <c r="H423" s="6" t="s">
        <v>2713</v>
      </c>
      <c r="I423" s="121">
        <v>200000</v>
      </c>
      <c r="J423" s="160" t="s">
        <v>2714</v>
      </c>
      <c r="K423" s="6" t="s">
        <v>1879</v>
      </c>
      <c r="L423" s="6"/>
      <c r="M423" s="6" t="s">
        <v>1383</v>
      </c>
    </row>
    <row r="424" spans="1:13">
      <c r="A424" s="143">
        <v>2018</v>
      </c>
      <c r="B424" s="6" t="s">
        <v>1716</v>
      </c>
      <c r="C424" s="6" t="s">
        <v>61</v>
      </c>
      <c r="D424" s="115" t="s">
        <v>1383</v>
      </c>
      <c r="E424" s="115" t="s">
        <v>1859</v>
      </c>
      <c r="F424" s="6"/>
      <c r="G424" s="6" t="s">
        <v>1717</v>
      </c>
      <c r="H424" s="6" t="s">
        <v>2715</v>
      </c>
      <c r="I424" s="121">
        <v>200000</v>
      </c>
      <c r="J424" s="160" t="s">
        <v>2716</v>
      </c>
      <c r="K424" s="6" t="s">
        <v>2041</v>
      </c>
      <c r="L424" s="6"/>
      <c r="M424" s="6" t="s">
        <v>1383</v>
      </c>
    </row>
    <row r="425" spans="1:13">
      <c r="A425" s="143">
        <v>2018</v>
      </c>
      <c r="B425" s="6" t="s">
        <v>1718</v>
      </c>
      <c r="C425" s="6" t="s">
        <v>61</v>
      </c>
      <c r="D425" s="115" t="s">
        <v>1383</v>
      </c>
      <c r="E425" s="115" t="s">
        <v>1859</v>
      </c>
      <c r="F425" s="6"/>
      <c r="G425" s="6" t="s">
        <v>1719</v>
      </c>
      <c r="H425" s="6" t="s">
        <v>2717</v>
      </c>
      <c r="I425" s="121">
        <v>200000</v>
      </c>
      <c r="J425" s="160" t="s">
        <v>2718</v>
      </c>
      <c r="K425" s="6" t="s">
        <v>2047</v>
      </c>
      <c r="L425" s="6"/>
      <c r="M425" s="6" t="s">
        <v>1383</v>
      </c>
    </row>
    <row r="426" spans="1:13">
      <c r="A426" s="143">
        <v>2018</v>
      </c>
      <c r="B426" s="6" t="s">
        <v>1720</v>
      </c>
      <c r="C426" s="6" t="s">
        <v>61</v>
      </c>
      <c r="D426" s="115" t="s">
        <v>1383</v>
      </c>
      <c r="E426" s="115" t="s">
        <v>1859</v>
      </c>
      <c r="F426" s="6"/>
      <c r="G426" s="6" t="s">
        <v>1721</v>
      </c>
      <c r="H426" s="6" t="s">
        <v>2719</v>
      </c>
      <c r="I426" s="121">
        <v>200000</v>
      </c>
      <c r="J426" s="160" t="s">
        <v>2720</v>
      </c>
      <c r="K426" s="160" t="s">
        <v>1919</v>
      </c>
      <c r="L426" s="6"/>
      <c r="M426" s="6" t="s">
        <v>1383</v>
      </c>
    </row>
    <row r="427" spans="1:13">
      <c r="A427" s="143">
        <v>2018</v>
      </c>
      <c r="B427" s="6" t="s">
        <v>1723</v>
      </c>
      <c r="C427" s="6" t="s">
        <v>61</v>
      </c>
      <c r="D427" s="115" t="s">
        <v>1383</v>
      </c>
      <c r="E427" s="115" t="s">
        <v>1859</v>
      </c>
      <c r="F427" s="6"/>
      <c r="G427" s="6" t="s">
        <v>1724</v>
      </c>
      <c r="H427" s="6" t="s">
        <v>2721</v>
      </c>
      <c r="I427" s="121">
        <v>220000</v>
      </c>
      <c r="J427" s="160" t="s">
        <v>2722</v>
      </c>
      <c r="K427" s="6" t="s">
        <v>1896</v>
      </c>
      <c r="L427" s="6"/>
      <c r="M427" s="6" t="s">
        <v>1383</v>
      </c>
    </row>
    <row r="428" spans="1:13">
      <c r="A428" s="143">
        <v>2018</v>
      </c>
      <c r="B428" s="6" t="s">
        <v>2723</v>
      </c>
      <c r="C428" s="6" t="s">
        <v>2328</v>
      </c>
      <c r="D428" s="6" t="s">
        <v>2724</v>
      </c>
      <c r="E428" s="6" t="s">
        <v>1874</v>
      </c>
      <c r="F428" s="6"/>
      <c r="G428" s="6" t="s">
        <v>2725</v>
      </c>
      <c r="H428" s="6" t="s">
        <v>2726</v>
      </c>
      <c r="I428" s="121">
        <v>235483</v>
      </c>
      <c r="J428" s="160" t="s">
        <v>2727</v>
      </c>
      <c r="K428" s="6" t="s">
        <v>1828</v>
      </c>
      <c r="L428" s="6"/>
      <c r="M428" s="6" t="s">
        <v>2728</v>
      </c>
    </row>
    <row r="429" spans="1:13">
      <c r="A429" s="143">
        <v>2018</v>
      </c>
      <c r="B429" s="6" t="s">
        <v>2729</v>
      </c>
      <c r="C429" s="6" t="s">
        <v>2328</v>
      </c>
      <c r="D429" s="6" t="s">
        <v>2724</v>
      </c>
      <c r="E429" s="6" t="s">
        <v>1874</v>
      </c>
      <c r="F429" s="6"/>
      <c r="G429" s="6" t="s">
        <v>2730</v>
      </c>
      <c r="H429" s="6" t="s">
        <v>2731</v>
      </c>
      <c r="I429" s="121"/>
      <c r="J429" s="160" t="s">
        <v>2732</v>
      </c>
      <c r="K429" s="6" t="s">
        <v>2031</v>
      </c>
      <c r="L429" s="6"/>
      <c r="M429" s="6" t="s">
        <v>2728</v>
      </c>
    </row>
    <row r="430" spans="1:13">
      <c r="A430" s="143">
        <v>2018</v>
      </c>
      <c r="B430" s="6" t="s">
        <v>2733</v>
      </c>
      <c r="C430" s="6" t="s">
        <v>2328</v>
      </c>
      <c r="D430" s="6"/>
      <c r="E430" s="6"/>
      <c r="F430" s="6"/>
      <c r="G430" s="6" t="s">
        <v>2734</v>
      </c>
      <c r="H430" s="6" t="s">
        <v>2735</v>
      </c>
      <c r="I430" s="121">
        <v>625786.34</v>
      </c>
      <c r="J430" s="160" t="s">
        <v>2736</v>
      </c>
      <c r="K430" s="6" t="s">
        <v>1855</v>
      </c>
      <c r="L430" s="6"/>
      <c r="M430" s="6"/>
    </row>
    <row r="431" spans="1:13">
      <c r="A431" s="143">
        <v>2018</v>
      </c>
      <c r="B431" s="6" t="s">
        <v>2737</v>
      </c>
      <c r="C431" s="6" t="s">
        <v>2328</v>
      </c>
      <c r="D431" s="6"/>
      <c r="E431" s="6"/>
      <c r="F431" s="6"/>
      <c r="G431" s="6" t="s">
        <v>2738</v>
      </c>
      <c r="H431" s="6" t="s">
        <v>2739</v>
      </c>
      <c r="I431" s="121">
        <v>442823</v>
      </c>
      <c r="J431" s="160" t="s">
        <v>2740</v>
      </c>
      <c r="K431" s="6" t="s">
        <v>1828</v>
      </c>
      <c r="L431" s="6"/>
      <c r="M431" s="6"/>
    </row>
    <row r="432" spans="1:13">
      <c r="A432" s="143">
        <v>2018</v>
      </c>
      <c r="B432" s="6" t="s">
        <v>2741</v>
      </c>
      <c r="C432" s="6" t="s">
        <v>2328</v>
      </c>
      <c r="D432" s="6"/>
      <c r="E432" s="6"/>
      <c r="F432" s="6"/>
      <c r="G432" s="6" t="s">
        <v>2742</v>
      </c>
      <c r="H432" s="6" t="s">
        <v>2743</v>
      </c>
      <c r="I432" s="121">
        <v>726800</v>
      </c>
      <c r="J432" s="160" t="s">
        <v>2744</v>
      </c>
      <c r="K432" s="6" t="s">
        <v>1886</v>
      </c>
      <c r="L432" s="6"/>
      <c r="M432" s="6"/>
    </row>
    <row r="433" spans="1:13">
      <c r="A433" s="143">
        <v>2018</v>
      </c>
      <c r="B433" s="6" t="s">
        <v>930</v>
      </c>
      <c r="C433" s="6" t="s">
        <v>61</v>
      </c>
      <c r="D433" s="112" t="s">
        <v>68</v>
      </c>
      <c r="E433" s="6" t="s">
        <v>1874</v>
      </c>
      <c r="F433" s="6"/>
      <c r="G433" s="6" t="s">
        <v>2745</v>
      </c>
      <c r="H433" s="6" t="s">
        <v>2746</v>
      </c>
      <c r="I433" s="121">
        <v>988050</v>
      </c>
      <c r="J433" s="160" t="s">
        <v>2747</v>
      </c>
      <c r="K433" s="6" t="s">
        <v>1855</v>
      </c>
      <c r="L433" s="6"/>
      <c r="M433" s="6" t="s">
        <v>68</v>
      </c>
    </row>
    <row r="434" spans="1:13">
      <c r="A434" s="140">
        <v>2018</v>
      </c>
      <c r="B434" s="6" t="s">
        <v>1252</v>
      </c>
      <c r="C434" s="6" t="s">
        <v>925</v>
      </c>
      <c r="D434" s="9" t="s">
        <v>62</v>
      </c>
      <c r="E434" s="6" t="s">
        <v>1904</v>
      </c>
      <c r="F434" s="6"/>
      <c r="G434" s="6" t="s">
        <v>1253</v>
      </c>
      <c r="H434" s="6" t="s">
        <v>2748</v>
      </c>
      <c r="I434" s="121">
        <v>1405331.54</v>
      </c>
      <c r="J434" s="160" t="s">
        <v>2749</v>
      </c>
      <c r="K434" s="6" t="s">
        <v>1886</v>
      </c>
      <c r="L434" s="6"/>
      <c r="M434" s="6" t="s">
        <v>62</v>
      </c>
    </row>
    <row r="435" spans="1:13">
      <c r="A435" s="143">
        <v>2018</v>
      </c>
      <c r="B435" s="6" t="s">
        <v>1726</v>
      </c>
      <c r="C435" s="6" t="s">
        <v>61</v>
      </c>
      <c r="D435" s="115" t="s">
        <v>1383</v>
      </c>
      <c r="E435" s="115" t="s">
        <v>1859</v>
      </c>
      <c r="F435" s="6"/>
      <c r="G435" s="6" t="s">
        <v>1727</v>
      </c>
      <c r="H435" s="6" t="s">
        <v>1728</v>
      </c>
      <c r="I435" s="121">
        <v>200000</v>
      </c>
      <c r="J435" s="6" t="s">
        <v>2508</v>
      </c>
      <c r="K435" s="6" t="s">
        <v>1828</v>
      </c>
      <c r="L435" s="6"/>
      <c r="M435" s="6" t="s">
        <v>1383</v>
      </c>
    </row>
    <row r="436" spans="1:13">
      <c r="A436" s="140">
        <v>2018</v>
      </c>
      <c r="B436" s="6" t="s">
        <v>1255</v>
      </c>
      <c r="C436" s="6" t="s">
        <v>925</v>
      </c>
      <c r="D436" s="9" t="s">
        <v>62</v>
      </c>
      <c r="E436" s="6" t="s">
        <v>1904</v>
      </c>
      <c r="F436" s="6"/>
      <c r="G436" s="6" t="s">
        <v>1256</v>
      </c>
      <c r="H436" s="6" t="s">
        <v>2750</v>
      </c>
      <c r="I436" s="121">
        <v>493709</v>
      </c>
      <c r="J436" s="160" t="s">
        <v>2751</v>
      </c>
      <c r="K436" s="6" t="s">
        <v>1886</v>
      </c>
      <c r="L436" s="6"/>
      <c r="M436" s="6" t="s">
        <v>62</v>
      </c>
    </row>
    <row r="437" spans="1:13">
      <c r="A437" s="143">
        <v>2018</v>
      </c>
      <c r="B437" s="6" t="s">
        <v>2752</v>
      </c>
      <c r="C437" s="6" t="s">
        <v>61</v>
      </c>
      <c r="D437" s="115" t="s">
        <v>1383</v>
      </c>
      <c r="E437" s="115" t="s">
        <v>1859</v>
      </c>
      <c r="F437" s="6"/>
      <c r="G437" s="6" t="s">
        <v>2753</v>
      </c>
      <c r="H437" s="6" t="s">
        <v>2319</v>
      </c>
      <c r="I437" s="121">
        <v>3621100</v>
      </c>
      <c r="J437" s="6" t="s">
        <v>1938</v>
      </c>
      <c r="K437" s="6" t="s">
        <v>1828</v>
      </c>
      <c r="L437" s="6"/>
      <c r="M437" s="6" t="s">
        <v>1940</v>
      </c>
    </row>
    <row r="438" spans="1:13">
      <c r="A438" s="140">
        <v>2018</v>
      </c>
      <c r="B438" s="6" t="s">
        <v>1258</v>
      </c>
      <c r="C438" s="6" t="s">
        <v>925</v>
      </c>
      <c r="D438" s="9" t="s">
        <v>62</v>
      </c>
      <c r="E438" s="6" t="s">
        <v>1904</v>
      </c>
      <c r="F438" s="6"/>
      <c r="G438" s="6" t="s">
        <v>1259</v>
      </c>
      <c r="H438" s="6" t="s">
        <v>2754</v>
      </c>
      <c r="I438" s="121">
        <v>594944</v>
      </c>
      <c r="J438" s="160" t="s">
        <v>2755</v>
      </c>
      <c r="K438" s="6" t="s">
        <v>1899</v>
      </c>
      <c r="L438" s="6"/>
      <c r="M438" s="6" t="s">
        <v>62</v>
      </c>
    </row>
    <row r="439" spans="1:13">
      <c r="A439" s="143">
        <v>2018</v>
      </c>
      <c r="B439" s="6" t="s">
        <v>2756</v>
      </c>
      <c r="C439" s="6" t="s">
        <v>2328</v>
      </c>
      <c r="D439" s="9" t="s">
        <v>62</v>
      </c>
      <c r="E439" s="6"/>
      <c r="F439" s="6"/>
      <c r="G439" s="6" t="s">
        <v>2757</v>
      </c>
      <c r="H439" s="6" t="s">
        <v>2758</v>
      </c>
      <c r="I439" s="150">
        <v>63937.5</v>
      </c>
      <c r="J439" s="160" t="s">
        <v>2759</v>
      </c>
      <c r="K439" s="6" t="s">
        <v>1879</v>
      </c>
      <c r="L439" s="6"/>
      <c r="M439" s="6" t="s">
        <v>62</v>
      </c>
    </row>
    <row r="440" spans="1:13">
      <c r="A440" s="143">
        <v>2018</v>
      </c>
      <c r="B440" s="6" t="s">
        <v>2760</v>
      </c>
      <c r="C440" s="6" t="s">
        <v>2328</v>
      </c>
      <c r="D440" s="9" t="s">
        <v>62</v>
      </c>
      <c r="E440" s="6"/>
      <c r="F440" s="6"/>
      <c r="G440" s="6" t="s">
        <v>2761</v>
      </c>
      <c r="H440" s="6" t="s">
        <v>2762</v>
      </c>
      <c r="I440" s="121">
        <v>69178</v>
      </c>
      <c r="J440" s="160" t="s">
        <v>2763</v>
      </c>
      <c r="K440" s="6" t="s">
        <v>1896</v>
      </c>
      <c r="L440" s="6"/>
      <c r="M440" s="6" t="s">
        <v>62</v>
      </c>
    </row>
    <row r="441" spans="1:13">
      <c r="A441" s="143">
        <v>2018</v>
      </c>
      <c r="B441" s="6" t="s">
        <v>2764</v>
      </c>
      <c r="C441" s="6" t="s">
        <v>2328</v>
      </c>
      <c r="D441" s="9" t="s">
        <v>62</v>
      </c>
      <c r="E441" s="6"/>
      <c r="F441" s="6"/>
      <c r="G441" s="6" t="s">
        <v>2765</v>
      </c>
      <c r="H441" s="6" t="s">
        <v>2766</v>
      </c>
      <c r="I441" s="121">
        <v>71729.22</v>
      </c>
      <c r="J441" s="160" t="s">
        <v>2767</v>
      </c>
      <c r="K441" s="6" t="s">
        <v>1899</v>
      </c>
      <c r="L441" s="6"/>
      <c r="M441" s="6" t="s">
        <v>62</v>
      </c>
    </row>
    <row r="442" spans="1:13">
      <c r="A442" s="143">
        <v>2018</v>
      </c>
      <c r="B442" s="6" t="s">
        <v>2768</v>
      </c>
      <c r="C442" s="6" t="s">
        <v>2328</v>
      </c>
      <c r="D442" s="9" t="s">
        <v>62</v>
      </c>
      <c r="E442" s="6"/>
      <c r="F442" s="6"/>
      <c r="G442" s="6" t="s">
        <v>2769</v>
      </c>
      <c r="H442" s="6" t="s">
        <v>2770</v>
      </c>
      <c r="I442" s="121">
        <v>609984</v>
      </c>
      <c r="J442" s="160" t="s">
        <v>2771</v>
      </c>
      <c r="K442" s="6" t="s">
        <v>1828</v>
      </c>
      <c r="L442" s="6"/>
      <c r="M442" s="6" t="s">
        <v>62</v>
      </c>
    </row>
    <row r="443" spans="1:13">
      <c r="A443" s="143">
        <v>2018</v>
      </c>
      <c r="B443" s="6" t="s">
        <v>2772</v>
      </c>
      <c r="C443" s="6" t="s">
        <v>2328</v>
      </c>
      <c r="D443" s="6" t="s">
        <v>652</v>
      </c>
      <c r="E443" s="6" t="s">
        <v>1874</v>
      </c>
      <c r="F443" s="6"/>
      <c r="G443" s="6" t="s">
        <v>2773</v>
      </c>
      <c r="H443" s="6" t="s">
        <v>2774</v>
      </c>
      <c r="I443" s="121">
        <v>99860</v>
      </c>
      <c r="J443" s="160" t="s">
        <v>2775</v>
      </c>
      <c r="K443" s="6" t="s">
        <v>1828</v>
      </c>
      <c r="L443" s="6"/>
      <c r="M443" s="6" t="s">
        <v>652</v>
      </c>
    </row>
    <row r="444" spans="1:13">
      <c r="A444" s="143">
        <v>2018</v>
      </c>
      <c r="B444" s="6" t="s">
        <v>2776</v>
      </c>
      <c r="C444" s="6" t="s">
        <v>2328</v>
      </c>
      <c r="D444" s="6"/>
      <c r="E444" s="6"/>
      <c r="F444" s="6"/>
      <c r="G444" s="6" t="s">
        <v>2777</v>
      </c>
      <c r="H444" s="6" t="s">
        <v>2778</v>
      </c>
      <c r="I444" s="121">
        <v>40520</v>
      </c>
      <c r="J444" s="160" t="s">
        <v>2779</v>
      </c>
      <c r="K444" s="6" t="s">
        <v>1828</v>
      </c>
      <c r="L444" s="6"/>
      <c r="M444" s="6"/>
    </row>
    <row r="445" spans="1:13">
      <c r="A445" s="143">
        <v>2018</v>
      </c>
      <c r="B445" s="6" t="s">
        <v>1261</v>
      </c>
      <c r="C445" s="6" t="s">
        <v>61</v>
      </c>
      <c r="D445" s="6" t="s">
        <v>1262</v>
      </c>
      <c r="E445" s="6" t="s">
        <v>1904</v>
      </c>
      <c r="F445" s="6"/>
      <c r="G445" s="6" t="s">
        <v>1263</v>
      </c>
      <c r="H445" s="6" t="s">
        <v>2780</v>
      </c>
      <c r="I445" s="121">
        <v>1094960</v>
      </c>
      <c r="J445" s="160" t="s">
        <v>2781</v>
      </c>
      <c r="K445" s="6" t="s">
        <v>1828</v>
      </c>
      <c r="L445" s="6"/>
      <c r="M445" s="6" t="s">
        <v>1262</v>
      </c>
    </row>
    <row r="446" spans="1:13">
      <c r="A446" s="143">
        <v>2018</v>
      </c>
      <c r="B446" s="6" t="s">
        <v>1265</v>
      </c>
      <c r="C446" s="6" t="s">
        <v>61</v>
      </c>
      <c r="D446" s="6" t="s">
        <v>1262</v>
      </c>
      <c r="E446" s="6" t="s">
        <v>1904</v>
      </c>
      <c r="F446" s="6"/>
      <c r="G446" s="6" t="s">
        <v>1266</v>
      </c>
      <c r="H446" s="6" t="s">
        <v>2782</v>
      </c>
      <c r="I446" s="121">
        <v>672600</v>
      </c>
      <c r="J446" s="160" t="s">
        <v>2783</v>
      </c>
      <c r="K446" s="6" t="s">
        <v>1828</v>
      </c>
      <c r="L446" s="6"/>
      <c r="M446" s="6" t="s">
        <v>1262</v>
      </c>
    </row>
    <row r="447" spans="1:13">
      <c r="A447" s="143">
        <v>2018</v>
      </c>
      <c r="B447" s="6" t="s">
        <v>1268</v>
      </c>
      <c r="C447" s="6" t="s">
        <v>61</v>
      </c>
      <c r="D447" s="6" t="s">
        <v>1262</v>
      </c>
      <c r="E447" s="6" t="s">
        <v>1904</v>
      </c>
      <c r="F447" s="6"/>
      <c r="G447" s="6" t="s">
        <v>1269</v>
      </c>
      <c r="H447" s="6" t="s">
        <v>2784</v>
      </c>
      <c r="I447" s="121">
        <v>831690</v>
      </c>
      <c r="J447" s="160" t="s">
        <v>2785</v>
      </c>
      <c r="K447" s="6" t="s">
        <v>1828</v>
      </c>
      <c r="L447" s="6"/>
      <c r="M447" s="6" t="s">
        <v>1262</v>
      </c>
    </row>
    <row r="448" spans="1:13">
      <c r="A448" s="143">
        <v>2018</v>
      </c>
      <c r="B448" s="6" t="s">
        <v>1271</v>
      </c>
      <c r="C448" s="6" t="s">
        <v>61</v>
      </c>
      <c r="D448" s="6" t="s">
        <v>1262</v>
      </c>
      <c r="E448" s="6" t="s">
        <v>1904</v>
      </c>
      <c r="F448" s="6"/>
      <c r="G448" s="6" t="s">
        <v>1272</v>
      </c>
      <c r="H448" s="6" t="s">
        <v>2786</v>
      </c>
      <c r="I448" s="121">
        <v>967500</v>
      </c>
      <c r="J448" s="160" t="s">
        <v>2787</v>
      </c>
      <c r="K448" s="6" t="s">
        <v>1899</v>
      </c>
      <c r="L448" s="6"/>
      <c r="M448" s="6" t="s">
        <v>1262</v>
      </c>
    </row>
    <row r="449" spans="1:13">
      <c r="A449" s="140">
        <v>2018</v>
      </c>
      <c r="B449" s="6" t="s">
        <v>1274</v>
      </c>
      <c r="C449" s="6" t="s">
        <v>925</v>
      </c>
      <c r="D449" s="9" t="s">
        <v>62</v>
      </c>
      <c r="E449" s="6" t="s">
        <v>1904</v>
      </c>
      <c r="F449" s="6"/>
      <c r="G449" s="6" t="s">
        <v>1275</v>
      </c>
      <c r="H449" s="6" t="s">
        <v>2788</v>
      </c>
      <c r="I449" s="121">
        <v>1717600</v>
      </c>
      <c r="J449" s="160" t="s">
        <v>2789</v>
      </c>
      <c r="K449" s="6" t="s">
        <v>1886</v>
      </c>
      <c r="L449" s="6"/>
      <c r="M449" s="6" t="s">
        <v>62</v>
      </c>
    </row>
    <row r="450" spans="1:13">
      <c r="A450" s="143">
        <v>2018</v>
      </c>
      <c r="B450" s="6" t="s">
        <v>2790</v>
      </c>
      <c r="C450" s="6" t="s">
        <v>925</v>
      </c>
      <c r="D450" s="6" t="s">
        <v>1383</v>
      </c>
      <c r="E450" s="115" t="s">
        <v>1859</v>
      </c>
      <c r="F450" s="6"/>
      <c r="G450" s="6" t="s">
        <v>2791</v>
      </c>
      <c r="H450" s="6" t="s">
        <v>2792</v>
      </c>
      <c r="I450" s="121">
        <v>200000</v>
      </c>
      <c r="J450" s="160" t="s">
        <v>2793</v>
      </c>
      <c r="K450" s="6" t="s">
        <v>2130</v>
      </c>
      <c r="L450" s="6"/>
      <c r="M450" s="6" t="s">
        <v>2794</v>
      </c>
    </row>
    <row r="451" spans="1:13">
      <c r="A451" s="143">
        <v>2018</v>
      </c>
      <c r="B451" s="6" t="s">
        <v>2795</v>
      </c>
      <c r="C451" s="6" t="s">
        <v>61</v>
      </c>
      <c r="D451" s="115" t="s">
        <v>1383</v>
      </c>
      <c r="E451" s="115" t="s">
        <v>1859</v>
      </c>
      <c r="F451" s="6"/>
      <c r="G451" s="6" t="s">
        <v>2796</v>
      </c>
      <c r="H451" s="6" t="s">
        <v>2797</v>
      </c>
      <c r="I451" s="121">
        <v>350000</v>
      </c>
      <c r="J451" s="6"/>
      <c r="K451" s="6" t="s">
        <v>2130</v>
      </c>
      <c r="L451" s="6"/>
      <c r="M451" s="6"/>
    </row>
    <row r="452" spans="1:13">
      <c r="A452" s="143">
        <v>2018</v>
      </c>
      <c r="B452" s="6" t="s">
        <v>2798</v>
      </c>
      <c r="C452" s="6" t="s">
        <v>2328</v>
      </c>
      <c r="D452" s="9" t="s">
        <v>62</v>
      </c>
      <c r="E452" s="6"/>
      <c r="F452" s="6"/>
      <c r="G452" s="6" t="s">
        <v>2799</v>
      </c>
      <c r="H452" s="6" t="s">
        <v>2800</v>
      </c>
      <c r="I452" s="121">
        <v>570315.19999999995</v>
      </c>
      <c r="J452" s="160" t="s">
        <v>2801</v>
      </c>
      <c r="K452" s="6" t="s">
        <v>2130</v>
      </c>
      <c r="L452" s="6"/>
      <c r="M452" s="6" t="s">
        <v>62</v>
      </c>
    </row>
    <row r="453" spans="1:13">
      <c r="A453" s="140">
        <v>2018</v>
      </c>
      <c r="B453" s="6" t="s">
        <v>1277</v>
      </c>
      <c r="C453" s="6" t="s">
        <v>925</v>
      </c>
      <c r="D453" s="9" t="s">
        <v>62</v>
      </c>
      <c r="E453" s="6" t="s">
        <v>1904</v>
      </c>
      <c r="F453" s="6"/>
      <c r="G453" s="6" t="s">
        <v>1278</v>
      </c>
      <c r="H453" s="6" t="s">
        <v>2802</v>
      </c>
      <c r="I453" s="121">
        <v>366000</v>
      </c>
      <c r="J453" s="160" t="s">
        <v>2803</v>
      </c>
      <c r="K453" s="6" t="s">
        <v>1916</v>
      </c>
      <c r="L453" s="6"/>
      <c r="M453" s="6" t="s">
        <v>62</v>
      </c>
    </row>
    <row r="454" spans="1:13">
      <c r="A454" s="140">
        <v>2018</v>
      </c>
      <c r="B454" s="6" t="s">
        <v>1280</v>
      </c>
      <c r="C454" s="6" t="s">
        <v>925</v>
      </c>
      <c r="D454" s="9" t="s">
        <v>62</v>
      </c>
      <c r="E454" s="6" t="s">
        <v>1904</v>
      </c>
      <c r="F454" s="6"/>
      <c r="G454" s="6" t="s">
        <v>1281</v>
      </c>
      <c r="H454" s="6" t="s">
        <v>2804</v>
      </c>
      <c r="I454" s="121">
        <v>655630</v>
      </c>
      <c r="J454" s="160" t="s">
        <v>2805</v>
      </c>
      <c r="K454" s="6" t="s">
        <v>1828</v>
      </c>
      <c r="L454" s="6"/>
      <c r="M454" s="6" t="s">
        <v>62</v>
      </c>
    </row>
    <row r="455" spans="1:13">
      <c r="A455" s="140">
        <v>2018</v>
      </c>
      <c r="B455" s="6" t="s">
        <v>1283</v>
      </c>
      <c r="C455" s="6" t="s">
        <v>925</v>
      </c>
      <c r="D455" s="9" t="s">
        <v>62</v>
      </c>
      <c r="E455" s="6" t="s">
        <v>1904</v>
      </c>
      <c r="F455" s="6"/>
      <c r="G455" s="6" t="s">
        <v>1284</v>
      </c>
      <c r="H455" s="6" t="s">
        <v>2806</v>
      </c>
      <c r="I455" s="121">
        <v>1431166.67</v>
      </c>
      <c r="J455" s="160" t="s">
        <v>2807</v>
      </c>
      <c r="K455" s="6" t="s">
        <v>1828</v>
      </c>
      <c r="L455" s="6"/>
      <c r="M455" s="6" t="s">
        <v>62</v>
      </c>
    </row>
    <row r="456" spans="1:13">
      <c r="A456" s="143">
        <v>2018</v>
      </c>
      <c r="B456" s="6" t="s">
        <v>2808</v>
      </c>
      <c r="C456" s="6" t="s">
        <v>2328</v>
      </c>
      <c r="D456" s="6"/>
      <c r="E456" s="6"/>
      <c r="F456" s="6"/>
      <c r="G456" s="6" t="s">
        <v>2809</v>
      </c>
      <c r="H456" s="6" t="s">
        <v>2810</v>
      </c>
      <c r="I456" s="121">
        <v>223751</v>
      </c>
      <c r="J456" s="160" t="s">
        <v>2811</v>
      </c>
      <c r="K456" s="6" t="s">
        <v>1828</v>
      </c>
      <c r="L456" s="6"/>
      <c r="M456" s="6"/>
    </row>
    <row r="457" spans="1:13">
      <c r="A457" s="143">
        <v>2018</v>
      </c>
      <c r="B457" s="6" t="s">
        <v>2812</v>
      </c>
      <c r="C457" s="6" t="s">
        <v>2328</v>
      </c>
      <c r="D457" s="9" t="s">
        <v>62</v>
      </c>
      <c r="E457" s="6"/>
      <c r="F457" s="6"/>
      <c r="G457" s="6" t="s">
        <v>2813</v>
      </c>
      <c r="H457" s="6" t="s">
        <v>2814</v>
      </c>
      <c r="I457" s="150">
        <v>3387663.22</v>
      </c>
      <c r="J457" s="160" t="s">
        <v>2815</v>
      </c>
      <c r="K457" s="6" t="s">
        <v>2041</v>
      </c>
      <c r="L457" s="6"/>
      <c r="M457" s="6" t="s">
        <v>62</v>
      </c>
    </row>
    <row r="458" spans="1:13">
      <c r="A458" s="143">
        <v>2018</v>
      </c>
      <c r="B458" s="6" t="s">
        <v>2816</v>
      </c>
      <c r="C458" s="6" t="s">
        <v>2328</v>
      </c>
      <c r="D458" s="9" t="s">
        <v>62</v>
      </c>
      <c r="E458" s="6"/>
      <c r="F458" s="6"/>
      <c r="G458" s="6" t="s">
        <v>2817</v>
      </c>
      <c r="H458" s="6" t="s">
        <v>2818</v>
      </c>
      <c r="I458" s="150">
        <v>1061270.19</v>
      </c>
      <c r="J458" s="160" t="s">
        <v>2819</v>
      </c>
      <c r="K458" s="6" t="s">
        <v>1919</v>
      </c>
      <c r="L458" s="6"/>
      <c r="M458" s="6" t="s">
        <v>62</v>
      </c>
    </row>
    <row r="459" spans="1:13">
      <c r="A459" s="140">
        <v>2018</v>
      </c>
      <c r="B459" s="6" t="s">
        <v>1286</v>
      </c>
      <c r="C459" s="6" t="s">
        <v>925</v>
      </c>
      <c r="D459" s="9" t="s">
        <v>62</v>
      </c>
      <c r="E459" s="6" t="s">
        <v>1904</v>
      </c>
      <c r="F459" s="6"/>
      <c r="G459" s="6" t="s">
        <v>1287</v>
      </c>
      <c r="H459" s="6" t="s">
        <v>2820</v>
      </c>
      <c r="I459" s="121">
        <v>3765994.41</v>
      </c>
      <c r="J459" s="160" t="s">
        <v>2821</v>
      </c>
      <c r="K459" s="6" t="s">
        <v>1919</v>
      </c>
      <c r="L459" s="6"/>
      <c r="M459" s="6" t="s">
        <v>62</v>
      </c>
    </row>
    <row r="460" spans="1:13">
      <c r="A460" s="143">
        <v>2018</v>
      </c>
      <c r="B460" s="6" t="s">
        <v>2822</v>
      </c>
      <c r="C460" s="6" t="s">
        <v>2328</v>
      </c>
      <c r="D460" s="9" t="s">
        <v>62</v>
      </c>
      <c r="E460" s="6"/>
      <c r="F460" s="6"/>
      <c r="G460" s="6" t="s">
        <v>2823</v>
      </c>
      <c r="H460" s="6" t="s">
        <v>2824</v>
      </c>
      <c r="I460" s="150">
        <v>560000</v>
      </c>
      <c r="J460" s="160" t="s">
        <v>2825</v>
      </c>
      <c r="K460" s="6" t="s">
        <v>1886</v>
      </c>
      <c r="L460" s="6"/>
      <c r="M460" s="6" t="s">
        <v>62</v>
      </c>
    </row>
    <row r="461" spans="1:13">
      <c r="A461" s="140">
        <v>2018</v>
      </c>
      <c r="B461" s="6" t="s">
        <v>1289</v>
      </c>
      <c r="C461" s="6" t="s">
        <v>925</v>
      </c>
      <c r="D461" s="9" t="s">
        <v>62</v>
      </c>
      <c r="E461" s="6" t="s">
        <v>1904</v>
      </c>
      <c r="F461" s="6"/>
      <c r="G461" s="6" t="s">
        <v>1242</v>
      </c>
      <c r="H461" s="6" t="s">
        <v>2826</v>
      </c>
      <c r="I461" s="121">
        <v>710458.07</v>
      </c>
      <c r="J461" s="160" t="s">
        <v>2827</v>
      </c>
      <c r="K461" s="6" t="s">
        <v>2085</v>
      </c>
      <c r="L461" s="6"/>
      <c r="M461" s="6" t="s">
        <v>62</v>
      </c>
    </row>
    <row r="462" spans="1:13">
      <c r="A462" s="143">
        <v>2018</v>
      </c>
      <c r="B462" s="6" t="s">
        <v>2828</v>
      </c>
      <c r="C462" s="6" t="s">
        <v>61</v>
      </c>
      <c r="D462" s="6" t="s">
        <v>394</v>
      </c>
      <c r="E462" s="115" t="s">
        <v>1853</v>
      </c>
      <c r="F462" s="6"/>
      <c r="G462" s="6" t="s">
        <v>2829</v>
      </c>
      <c r="H462" s="6" t="s">
        <v>2830</v>
      </c>
      <c r="I462" s="64">
        <v>76000</v>
      </c>
      <c r="J462" s="169" t="s">
        <v>2831</v>
      </c>
      <c r="K462" s="6" t="s">
        <v>2082</v>
      </c>
      <c r="L462" s="6" t="s">
        <v>2832</v>
      </c>
      <c r="M462" s="6"/>
    </row>
    <row r="463" spans="1:13">
      <c r="A463" s="143">
        <v>2018</v>
      </c>
      <c r="B463" s="6" t="s">
        <v>2833</v>
      </c>
      <c r="C463" s="6" t="s">
        <v>61</v>
      </c>
      <c r="D463" s="6" t="s">
        <v>2834</v>
      </c>
      <c r="E463" s="6" t="s">
        <v>1874</v>
      </c>
      <c r="F463" s="6"/>
      <c r="G463" s="6" t="s">
        <v>2835</v>
      </c>
      <c r="H463" s="6" t="s">
        <v>2836</v>
      </c>
      <c r="I463" s="121">
        <v>99990</v>
      </c>
      <c r="J463" s="6" t="s">
        <v>2837</v>
      </c>
      <c r="K463" s="6" t="s">
        <v>1886</v>
      </c>
      <c r="L463" s="6" t="s">
        <v>2838</v>
      </c>
      <c r="M463" s="6"/>
    </row>
    <row r="464" spans="1:13">
      <c r="A464" s="143">
        <v>2018</v>
      </c>
      <c r="B464" s="6" t="s">
        <v>1729</v>
      </c>
      <c r="C464" s="6" t="s">
        <v>61</v>
      </c>
      <c r="D464" s="6" t="s">
        <v>2834</v>
      </c>
      <c r="E464" s="6" t="s">
        <v>1874</v>
      </c>
      <c r="F464" s="6"/>
      <c r="G464" s="6" t="s">
        <v>1731</v>
      </c>
      <c r="H464" s="6" t="s">
        <v>1732</v>
      </c>
      <c r="I464" s="121" t="s">
        <v>2839</v>
      </c>
      <c r="J464" s="6" t="s">
        <v>2837</v>
      </c>
      <c r="K464" s="6" t="s">
        <v>1886</v>
      </c>
      <c r="L464" s="6" t="s">
        <v>2840</v>
      </c>
      <c r="M464" s="6" t="s">
        <v>1730</v>
      </c>
    </row>
    <row r="465" spans="1:13">
      <c r="A465" s="143">
        <v>2018</v>
      </c>
      <c r="B465" s="6" t="s">
        <v>1733</v>
      </c>
      <c r="C465" s="6" t="s">
        <v>61</v>
      </c>
      <c r="D465" s="6" t="s">
        <v>2834</v>
      </c>
      <c r="E465" s="6" t="s">
        <v>1874</v>
      </c>
      <c r="F465" s="6"/>
      <c r="G465" s="6" t="s">
        <v>1734</v>
      </c>
      <c r="H465" s="6" t="s">
        <v>494</v>
      </c>
      <c r="I465" s="121">
        <v>99436</v>
      </c>
      <c r="J465" s="6" t="s">
        <v>2841</v>
      </c>
      <c r="K465" s="6" t="s">
        <v>1828</v>
      </c>
      <c r="L465" s="6" t="s">
        <v>2842</v>
      </c>
      <c r="M465" s="6" t="s">
        <v>1730</v>
      </c>
    </row>
    <row r="466" spans="1:13">
      <c r="A466" s="143">
        <v>2018</v>
      </c>
      <c r="B466" s="6" t="s">
        <v>2843</v>
      </c>
      <c r="C466" s="6" t="s">
        <v>61</v>
      </c>
      <c r="D466" s="6" t="s">
        <v>394</v>
      </c>
      <c r="E466" s="115" t="s">
        <v>1853</v>
      </c>
      <c r="F466" s="6"/>
      <c r="G466" s="6" t="s">
        <v>2844</v>
      </c>
      <c r="H466" s="6" t="s">
        <v>2845</v>
      </c>
      <c r="I466" s="64">
        <v>78000</v>
      </c>
      <c r="J466" s="6"/>
      <c r="K466" s="6" t="s">
        <v>1896</v>
      </c>
      <c r="L466" s="6" t="s">
        <v>2846</v>
      </c>
      <c r="M466" s="6"/>
    </row>
    <row r="467" spans="1:13">
      <c r="A467" s="143">
        <v>2018</v>
      </c>
      <c r="B467" s="6" t="s">
        <v>933</v>
      </c>
      <c r="C467" s="6" t="s">
        <v>61</v>
      </c>
      <c r="D467" s="6" t="s">
        <v>394</v>
      </c>
      <c r="E467" s="115" t="s">
        <v>1853</v>
      </c>
      <c r="F467" s="6"/>
      <c r="G467" s="6" t="s">
        <v>934</v>
      </c>
      <c r="H467" s="6" t="s">
        <v>935</v>
      </c>
      <c r="I467" s="64">
        <v>96186.96</v>
      </c>
      <c r="J467" s="169" t="s">
        <v>2847</v>
      </c>
      <c r="K467" s="9" t="s">
        <v>2571</v>
      </c>
      <c r="L467" s="6" t="s">
        <v>2848</v>
      </c>
      <c r="M467" s="6" t="s">
        <v>394</v>
      </c>
    </row>
    <row r="468" spans="1:13">
      <c r="A468" s="143">
        <v>2018</v>
      </c>
      <c r="B468" s="6" t="s">
        <v>2849</v>
      </c>
      <c r="C468" s="6" t="s">
        <v>61</v>
      </c>
      <c r="D468" s="115" t="s">
        <v>1383</v>
      </c>
      <c r="E468" s="115" t="s">
        <v>1859</v>
      </c>
      <c r="F468" s="6"/>
      <c r="G468" s="6" t="s">
        <v>2850</v>
      </c>
      <c r="H468" s="6" t="s">
        <v>2851</v>
      </c>
      <c r="I468" s="121">
        <v>40000</v>
      </c>
      <c r="J468" s="6" t="s">
        <v>2852</v>
      </c>
      <c r="K468" s="6" t="s">
        <v>1828</v>
      </c>
      <c r="L468" s="6" t="s">
        <v>2853</v>
      </c>
      <c r="M468" s="6"/>
    </row>
    <row r="469" spans="1:13">
      <c r="A469" s="143">
        <v>2018</v>
      </c>
      <c r="B469" s="6" t="s">
        <v>936</v>
      </c>
      <c r="C469" s="6" t="s">
        <v>61</v>
      </c>
      <c r="D469" s="6" t="s">
        <v>394</v>
      </c>
      <c r="E469" s="115" t="s">
        <v>1853</v>
      </c>
      <c r="F469" s="6"/>
      <c r="G469" s="6" t="s">
        <v>937</v>
      </c>
      <c r="H469" s="6" t="s">
        <v>2854</v>
      </c>
      <c r="I469" s="64">
        <v>80000</v>
      </c>
      <c r="J469" s="6" t="s">
        <v>2855</v>
      </c>
      <c r="K469" s="6" t="s">
        <v>1899</v>
      </c>
      <c r="L469" s="6" t="s">
        <v>2856</v>
      </c>
      <c r="M469" s="6" t="s">
        <v>394</v>
      </c>
    </row>
    <row r="470" spans="1:13">
      <c r="A470" s="143">
        <v>2018</v>
      </c>
      <c r="B470" s="6" t="s">
        <v>2857</v>
      </c>
      <c r="C470" s="6" t="s">
        <v>925</v>
      </c>
      <c r="D470" s="6"/>
      <c r="E470" s="6"/>
      <c r="F470" s="6"/>
      <c r="G470" s="6" t="s">
        <v>2858</v>
      </c>
      <c r="H470" s="6" t="s">
        <v>2319</v>
      </c>
      <c r="I470" s="121">
        <v>10000</v>
      </c>
      <c r="J470" s="6" t="s">
        <v>2190</v>
      </c>
      <c r="K470" s="6" t="s">
        <v>1828</v>
      </c>
      <c r="L470" s="6" t="s">
        <v>2859</v>
      </c>
      <c r="M470" s="6"/>
    </row>
    <row r="471" spans="1:13">
      <c r="A471" s="143">
        <v>2018</v>
      </c>
      <c r="B471" s="6" t="s">
        <v>2860</v>
      </c>
      <c r="C471" s="6" t="s">
        <v>61</v>
      </c>
      <c r="D471" s="6" t="s">
        <v>652</v>
      </c>
      <c r="E471" s="6" t="s">
        <v>1874</v>
      </c>
      <c r="F471" s="6"/>
      <c r="G471" s="6" t="s">
        <v>2861</v>
      </c>
      <c r="H471" s="6" t="s">
        <v>617</v>
      </c>
      <c r="I471" s="121">
        <v>52980</v>
      </c>
      <c r="J471" s="6" t="s">
        <v>2862</v>
      </c>
      <c r="K471" s="6" t="s">
        <v>1828</v>
      </c>
      <c r="L471" s="6" t="s">
        <v>2863</v>
      </c>
      <c r="M471" s="6"/>
    </row>
    <row r="472" spans="1:13">
      <c r="A472" s="143">
        <v>2018</v>
      </c>
      <c r="B472" s="6" t="s">
        <v>939</v>
      </c>
      <c r="C472" s="6" t="s">
        <v>61</v>
      </c>
      <c r="D472" s="6" t="s">
        <v>394</v>
      </c>
      <c r="E472" s="115" t="s">
        <v>1853</v>
      </c>
      <c r="F472" s="6"/>
      <c r="G472" s="6" t="s">
        <v>940</v>
      </c>
      <c r="H472" s="6" t="s">
        <v>941</v>
      </c>
      <c r="I472" s="64">
        <v>99000</v>
      </c>
      <c r="J472" s="6"/>
      <c r="K472" s="9" t="s">
        <v>2676</v>
      </c>
      <c r="L472" s="6" t="s">
        <v>2864</v>
      </c>
      <c r="M472" s="6" t="s">
        <v>394</v>
      </c>
    </row>
    <row r="473" spans="1:13">
      <c r="A473" s="143">
        <v>2018</v>
      </c>
      <c r="B473" s="6" t="s">
        <v>942</v>
      </c>
      <c r="C473" s="6" t="s">
        <v>61</v>
      </c>
      <c r="D473" s="6" t="s">
        <v>394</v>
      </c>
      <c r="E473" s="115" t="s">
        <v>1853</v>
      </c>
      <c r="F473" s="6"/>
      <c r="G473" s="6" t="s">
        <v>937</v>
      </c>
      <c r="H473" s="6" t="s">
        <v>943</v>
      </c>
      <c r="I473" s="64">
        <v>80000</v>
      </c>
      <c r="J473" s="6" t="s">
        <v>2865</v>
      </c>
      <c r="K473" s="6" t="s">
        <v>2031</v>
      </c>
      <c r="L473" s="6" t="s">
        <v>2866</v>
      </c>
      <c r="M473" s="6" t="s">
        <v>394</v>
      </c>
    </row>
    <row r="474" spans="1:13">
      <c r="A474" s="143">
        <v>2018</v>
      </c>
      <c r="B474" s="6" t="s">
        <v>2867</v>
      </c>
      <c r="C474" s="6" t="s">
        <v>61</v>
      </c>
      <c r="D474" s="115" t="s">
        <v>1383</v>
      </c>
      <c r="E474" s="115" t="s">
        <v>1859</v>
      </c>
      <c r="F474" s="6"/>
      <c r="G474" s="6" t="s">
        <v>2868</v>
      </c>
      <c r="H474" s="6" t="s">
        <v>2869</v>
      </c>
      <c r="I474" s="121">
        <v>46000</v>
      </c>
      <c r="J474" s="6" t="s">
        <v>2870</v>
      </c>
      <c r="K474" s="6" t="s">
        <v>1828</v>
      </c>
      <c r="L474" s="6" t="s">
        <v>2871</v>
      </c>
      <c r="M474" s="6"/>
    </row>
    <row r="475" spans="1:13">
      <c r="A475" s="143">
        <v>2018</v>
      </c>
      <c r="B475" s="6" t="s">
        <v>2872</v>
      </c>
      <c r="C475" s="6" t="s">
        <v>61</v>
      </c>
      <c r="D475" s="115" t="s">
        <v>1383</v>
      </c>
      <c r="E475" s="115" t="s">
        <v>1859</v>
      </c>
      <c r="F475" s="6"/>
      <c r="G475" s="6" t="s">
        <v>2873</v>
      </c>
      <c r="H475" s="6" t="s">
        <v>2874</v>
      </c>
      <c r="I475" s="121">
        <v>50000</v>
      </c>
      <c r="J475" s="6"/>
      <c r="K475" s="6" t="s">
        <v>1828</v>
      </c>
      <c r="L475" s="6" t="s">
        <v>2875</v>
      </c>
      <c r="M475" s="6"/>
    </row>
    <row r="476" spans="1:13">
      <c r="A476" s="143">
        <v>2018</v>
      </c>
      <c r="B476" s="6" t="s">
        <v>944</v>
      </c>
      <c r="C476" s="6" t="s">
        <v>61</v>
      </c>
      <c r="D476" s="6" t="s">
        <v>394</v>
      </c>
      <c r="E476" s="115" t="s">
        <v>1853</v>
      </c>
      <c r="F476" s="6"/>
      <c r="G476" s="6" t="s">
        <v>945</v>
      </c>
      <c r="H476" s="6" t="s">
        <v>946</v>
      </c>
      <c r="I476" s="64">
        <v>63500</v>
      </c>
      <c r="J476" s="6"/>
      <c r="K476" s="6" t="s">
        <v>1886</v>
      </c>
      <c r="L476" s="6" t="s">
        <v>2876</v>
      </c>
      <c r="M476" s="6" t="s">
        <v>394</v>
      </c>
    </row>
    <row r="477" spans="1:13">
      <c r="A477" s="143">
        <v>2018</v>
      </c>
      <c r="B477" s="6" t="s">
        <v>2877</v>
      </c>
      <c r="C477" s="6" t="s">
        <v>2034</v>
      </c>
      <c r="D477" s="6" t="s">
        <v>2878</v>
      </c>
      <c r="E477" s="6"/>
      <c r="F477" s="6"/>
      <c r="G477" s="6" t="s">
        <v>2879</v>
      </c>
      <c r="H477" s="6" t="s">
        <v>2880</v>
      </c>
      <c r="I477" s="121"/>
      <c r="J477" s="6" t="s">
        <v>2881</v>
      </c>
      <c r="K477" s="6" t="s">
        <v>1828</v>
      </c>
      <c r="L477" s="6" t="s">
        <v>2882</v>
      </c>
      <c r="M477" s="6" t="s">
        <v>2878</v>
      </c>
    </row>
    <row r="478" spans="1:13">
      <c r="A478" s="143">
        <v>2018</v>
      </c>
      <c r="B478" s="6" t="s">
        <v>2883</v>
      </c>
      <c r="C478" s="6" t="s">
        <v>925</v>
      </c>
      <c r="D478" s="6"/>
      <c r="E478" s="6"/>
      <c r="F478" s="6"/>
      <c r="G478" s="6" t="s">
        <v>2884</v>
      </c>
      <c r="H478" s="6" t="s">
        <v>2880</v>
      </c>
      <c r="I478" s="121"/>
      <c r="J478" s="6" t="s">
        <v>2881</v>
      </c>
      <c r="K478" s="6" t="s">
        <v>1828</v>
      </c>
      <c r="L478" s="6" t="s">
        <v>2885</v>
      </c>
      <c r="M478" s="6"/>
    </row>
    <row r="479" spans="1:13">
      <c r="A479" s="143">
        <v>2018</v>
      </c>
      <c r="B479" s="6" t="s">
        <v>1735</v>
      </c>
      <c r="C479" s="6" t="s">
        <v>61</v>
      </c>
      <c r="D479" s="115" t="s">
        <v>1383</v>
      </c>
      <c r="E479" s="115" t="s">
        <v>1859</v>
      </c>
      <c r="F479" s="6"/>
      <c r="G479" s="6" t="s">
        <v>1736</v>
      </c>
      <c r="H479" s="6" t="s">
        <v>2319</v>
      </c>
      <c r="I479" s="121">
        <v>100000</v>
      </c>
      <c r="J479" s="6" t="s">
        <v>2881</v>
      </c>
      <c r="K479" s="6" t="s">
        <v>1828</v>
      </c>
      <c r="L479" s="6" t="s">
        <v>2886</v>
      </c>
      <c r="M479" s="6" t="s">
        <v>1383</v>
      </c>
    </row>
    <row r="480" spans="1:13">
      <c r="A480" s="143">
        <v>2018</v>
      </c>
      <c r="B480" s="6" t="s">
        <v>2887</v>
      </c>
      <c r="C480" s="6" t="s">
        <v>61</v>
      </c>
      <c r="D480" s="6" t="s">
        <v>652</v>
      </c>
      <c r="E480" s="6" t="s">
        <v>1874</v>
      </c>
      <c r="F480" s="6"/>
      <c r="G480" s="6" t="s">
        <v>2888</v>
      </c>
      <c r="H480" s="6" t="s">
        <v>2889</v>
      </c>
      <c r="I480" s="121">
        <v>99926</v>
      </c>
      <c r="J480" s="6" t="s">
        <v>2890</v>
      </c>
      <c r="K480" s="6" t="s">
        <v>1899</v>
      </c>
      <c r="L480" s="6" t="s">
        <v>2891</v>
      </c>
      <c r="M480" s="6"/>
    </row>
    <row r="481" spans="1:13">
      <c r="A481" s="143">
        <v>2018</v>
      </c>
      <c r="B481" s="6" t="s">
        <v>947</v>
      </c>
      <c r="C481" s="6" t="s">
        <v>925</v>
      </c>
      <c r="D481" s="6" t="s">
        <v>113</v>
      </c>
      <c r="E481" s="6"/>
      <c r="F481" s="6"/>
      <c r="G481" s="6" t="s">
        <v>949</v>
      </c>
      <c r="H481" s="6" t="s">
        <v>950</v>
      </c>
      <c r="I481" s="121">
        <v>42500</v>
      </c>
      <c r="J481" s="6" t="s">
        <v>2892</v>
      </c>
      <c r="K481" s="6" t="s">
        <v>1828</v>
      </c>
      <c r="L481" s="6" t="s">
        <v>2893</v>
      </c>
      <c r="M481" s="6" t="s">
        <v>948</v>
      </c>
    </row>
    <row r="482" spans="1:13">
      <c r="A482" s="143">
        <v>2018</v>
      </c>
      <c r="B482" s="6" t="s">
        <v>951</v>
      </c>
      <c r="C482" s="6" t="s">
        <v>61</v>
      </c>
      <c r="D482" s="6" t="s">
        <v>394</v>
      </c>
      <c r="E482" s="115" t="s">
        <v>1853</v>
      </c>
      <c r="F482" s="6"/>
      <c r="G482" s="6" t="s">
        <v>952</v>
      </c>
      <c r="H482" s="6" t="s">
        <v>953</v>
      </c>
      <c r="I482" s="64">
        <v>74000</v>
      </c>
      <c r="J482" s="6" t="s">
        <v>2894</v>
      </c>
      <c r="K482" s="6" t="s">
        <v>1919</v>
      </c>
      <c r="L482" s="6" t="s">
        <v>2895</v>
      </c>
      <c r="M482" s="6" t="s">
        <v>394</v>
      </c>
    </row>
    <row r="483" spans="1:13">
      <c r="A483" s="143">
        <v>2018</v>
      </c>
      <c r="B483" s="6" t="s">
        <v>2896</v>
      </c>
      <c r="C483" s="6" t="s">
        <v>61</v>
      </c>
      <c r="D483" s="115" t="s">
        <v>1383</v>
      </c>
      <c r="E483" s="115" t="s">
        <v>1859</v>
      </c>
      <c r="F483" s="6"/>
      <c r="G483" s="6" t="s">
        <v>2897</v>
      </c>
      <c r="H483" s="6" t="s">
        <v>2898</v>
      </c>
      <c r="I483" s="121">
        <v>20000</v>
      </c>
      <c r="J483" s="6" t="s">
        <v>2899</v>
      </c>
      <c r="K483" s="6" t="s">
        <v>1828</v>
      </c>
      <c r="L483" s="6" t="s">
        <v>2900</v>
      </c>
      <c r="M483" s="6"/>
    </row>
    <row r="484" spans="1:13">
      <c r="A484" s="143">
        <v>2018</v>
      </c>
      <c r="B484" s="6" t="s">
        <v>954</v>
      </c>
      <c r="C484" s="6" t="s">
        <v>61</v>
      </c>
      <c r="D484" s="6" t="s">
        <v>394</v>
      </c>
      <c r="E484" s="115" t="s">
        <v>1853</v>
      </c>
      <c r="F484" s="6"/>
      <c r="G484" s="6" t="s">
        <v>955</v>
      </c>
      <c r="H484" s="6" t="s">
        <v>2717</v>
      </c>
      <c r="I484" s="64">
        <v>139500</v>
      </c>
      <c r="J484" s="6" t="s">
        <v>2901</v>
      </c>
      <c r="K484" s="6" t="s">
        <v>2047</v>
      </c>
      <c r="L484" s="6" t="s">
        <v>2902</v>
      </c>
      <c r="M484" s="6" t="s">
        <v>394</v>
      </c>
    </row>
    <row r="485" spans="1:13">
      <c r="A485" s="143">
        <v>2018</v>
      </c>
      <c r="B485" s="6" t="s">
        <v>2903</v>
      </c>
      <c r="C485" s="6" t="s">
        <v>61</v>
      </c>
      <c r="D485" s="6" t="s">
        <v>394</v>
      </c>
      <c r="E485" s="115" t="s">
        <v>1853</v>
      </c>
      <c r="F485" s="6"/>
      <c r="G485" s="6" t="s">
        <v>958</v>
      </c>
      <c r="H485" s="6" t="s">
        <v>959</v>
      </c>
      <c r="I485" s="64">
        <v>63500</v>
      </c>
      <c r="J485" s="6" t="s">
        <v>2904</v>
      </c>
      <c r="K485" s="6" t="s">
        <v>1919</v>
      </c>
      <c r="L485" s="6" t="s">
        <v>2905</v>
      </c>
      <c r="M485" s="6" t="s">
        <v>394</v>
      </c>
    </row>
    <row r="486" spans="1:13">
      <c r="A486" s="143">
        <v>2018</v>
      </c>
      <c r="B486" s="6" t="s">
        <v>1696</v>
      </c>
      <c r="C486" s="6" t="s">
        <v>61</v>
      </c>
      <c r="D486" s="6" t="s">
        <v>1763</v>
      </c>
      <c r="E486" s="115" t="s">
        <v>1859</v>
      </c>
      <c r="F486" s="6"/>
      <c r="G486" s="6" t="s">
        <v>2906</v>
      </c>
      <c r="H486" s="6" t="s">
        <v>1765</v>
      </c>
      <c r="I486" s="121">
        <v>14432</v>
      </c>
      <c r="J486" s="6" t="s">
        <v>2907</v>
      </c>
      <c r="K486" s="6" t="s">
        <v>1828</v>
      </c>
      <c r="L486" s="6" t="s">
        <v>2908</v>
      </c>
      <c r="M486" s="6" t="s">
        <v>1763</v>
      </c>
    </row>
    <row r="487" spans="1:13">
      <c r="A487" s="143">
        <v>2018</v>
      </c>
      <c r="B487" s="6" t="s">
        <v>1699</v>
      </c>
      <c r="C487" s="6" t="s">
        <v>61</v>
      </c>
      <c r="D487" s="6" t="s">
        <v>1763</v>
      </c>
      <c r="E487" s="115" t="s">
        <v>1859</v>
      </c>
      <c r="F487" s="6"/>
      <c r="G487" s="6" t="s">
        <v>1766</v>
      </c>
      <c r="H487" s="6" t="s">
        <v>2909</v>
      </c>
      <c r="I487" s="121">
        <v>33000</v>
      </c>
      <c r="J487" s="6" t="s">
        <v>2910</v>
      </c>
      <c r="K487" s="6" t="s">
        <v>1886</v>
      </c>
      <c r="L487" s="6" t="s">
        <v>2911</v>
      </c>
      <c r="M487" s="6" t="s">
        <v>1763</v>
      </c>
    </row>
    <row r="488" spans="1:13">
      <c r="A488" s="143">
        <v>2018</v>
      </c>
      <c r="B488" s="6" t="s">
        <v>1291</v>
      </c>
      <c r="C488" s="9" t="s">
        <v>61</v>
      </c>
      <c r="D488" s="6" t="s">
        <v>1141</v>
      </c>
      <c r="E488" s="6" t="s">
        <v>1904</v>
      </c>
      <c r="F488" s="6"/>
      <c r="G488" s="6" t="s">
        <v>1292</v>
      </c>
      <c r="H488" s="6" t="s">
        <v>1293</v>
      </c>
      <c r="I488" s="64">
        <v>68649.5</v>
      </c>
      <c r="J488" s="6" t="s">
        <v>2912</v>
      </c>
      <c r="K488" s="6" t="s">
        <v>1896</v>
      </c>
      <c r="L488" s="6" t="s">
        <v>2913</v>
      </c>
      <c r="M488" s="6" t="s">
        <v>1141</v>
      </c>
    </row>
    <row r="489" spans="1:13">
      <c r="A489" s="143">
        <v>2018</v>
      </c>
      <c r="B489" s="6" t="s">
        <v>960</v>
      </c>
      <c r="C489" s="6" t="s">
        <v>61</v>
      </c>
      <c r="D489" s="6" t="s">
        <v>586</v>
      </c>
      <c r="E489" s="6" t="s">
        <v>1874</v>
      </c>
      <c r="F489" s="6"/>
      <c r="G489" s="6" t="s">
        <v>961</v>
      </c>
      <c r="H489" s="6" t="s">
        <v>962</v>
      </c>
      <c r="I489" s="121">
        <v>8500</v>
      </c>
      <c r="J489" s="6" t="s">
        <v>2914</v>
      </c>
      <c r="K489" s="6" t="s">
        <v>1886</v>
      </c>
      <c r="L489" s="6" t="s">
        <v>2915</v>
      </c>
      <c r="M489" s="6" t="s">
        <v>586</v>
      </c>
    </row>
    <row r="490" spans="1:13">
      <c r="A490" s="143">
        <v>2018</v>
      </c>
      <c r="B490" s="6" t="s">
        <v>1706</v>
      </c>
      <c r="C490" s="6" t="s">
        <v>61</v>
      </c>
      <c r="D490" s="115" t="s">
        <v>1383</v>
      </c>
      <c r="E490" s="115" t="s">
        <v>1859</v>
      </c>
      <c r="F490" s="6"/>
      <c r="G490" s="6" t="s">
        <v>2916</v>
      </c>
      <c r="H490" s="6" t="s">
        <v>2917</v>
      </c>
      <c r="I490" s="121">
        <v>100000</v>
      </c>
      <c r="J490" s="6" t="s">
        <v>2881</v>
      </c>
      <c r="K490" s="6" t="s">
        <v>1828</v>
      </c>
      <c r="L490" s="6" t="s">
        <v>2918</v>
      </c>
      <c r="M490" s="6"/>
    </row>
    <row r="491" spans="1:13">
      <c r="A491" s="143">
        <v>2018</v>
      </c>
      <c r="B491" s="6" t="s">
        <v>963</v>
      </c>
      <c r="C491" s="6" t="s">
        <v>61</v>
      </c>
      <c r="D491" s="6" t="s">
        <v>652</v>
      </c>
      <c r="E491" s="6" t="s">
        <v>1874</v>
      </c>
      <c r="F491" s="6"/>
      <c r="G491" s="6" t="s">
        <v>964</v>
      </c>
      <c r="H491" s="6" t="s">
        <v>511</v>
      </c>
      <c r="I491" s="121">
        <v>100000</v>
      </c>
      <c r="J491" s="6" t="s">
        <v>2919</v>
      </c>
      <c r="K491" s="6" t="s">
        <v>1886</v>
      </c>
      <c r="L491" s="6" t="s">
        <v>2920</v>
      </c>
      <c r="M491" s="6" t="s">
        <v>652</v>
      </c>
    </row>
    <row r="492" spans="1:13">
      <c r="A492" s="143">
        <v>2018</v>
      </c>
      <c r="B492" s="6" t="s">
        <v>1737</v>
      </c>
      <c r="C492" s="6" t="s">
        <v>61</v>
      </c>
      <c r="D492" s="115" t="s">
        <v>1383</v>
      </c>
      <c r="E492" s="115" t="s">
        <v>1859</v>
      </c>
      <c r="F492" s="6"/>
      <c r="G492" s="6" t="s">
        <v>1738</v>
      </c>
      <c r="H492" s="6" t="s">
        <v>2921</v>
      </c>
      <c r="I492" s="121">
        <v>12509</v>
      </c>
      <c r="J492" s="6" t="s">
        <v>2922</v>
      </c>
      <c r="K492" s="6" t="s">
        <v>1899</v>
      </c>
      <c r="L492" s="6" t="s">
        <v>2923</v>
      </c>
      <c r="M492" s="6" t="s">
        <v>1383</v>
      </c>
    </row>
    <row r="493" spans="1:13">
      <c r="A493" s="143">
        <v>2018</v>
      </c>
      <c r="B493" s="6" t="s">
        <v>1740</v>
      </c>
      <c r="C493" s="6" t="s">
        <v>61</v>
      </c>
      <c r="D493" s="115" t="s">
        <v>1383</v>
      </c>
      <c r="E493" s="115" t="s">
        <v>1859</v>
      </c>
      <c r="F493" s="6"/>
      <c r="G493" s="6" t="s">
        <v>1741</v>
      </c>
      <c r="H493" s="6" t="s">
        <v>1742</v>
      </c>
      <c r="I493" s="121">
        <v>100000</v>
      </c>
      <c r="J493" s="161" t="s">
        <v>2924</v>
      </c>
      <c r="K493" s="6" t="s">
        <v>1828</v>
      </c>
      <c r="L493" s="6" t="s">
        <v>2925</v>
      </c>
      <c r="M493" s="6" t="s">
        <v>1383</v>
      </c>
    </row>
    <row r="494" spans="1:13">
      <c r="A494" s="143">
        <v>2018</v>
      </c>
      <c r="B494" s="6" t="s">
        <v>1743</v>
      </c>
      <c r="C494" s="6" t="s">
        <v>61</v>
      </c>
      <c r="D494" s="6" t="s">
        <v>2834</v>
      </c>
      <c r="E494" s="6" t="s">
        <v>1874</v>
      </c>
      <c r="F494" s="6"/>
      <c r="G494" s="6" t="s">
        <v>1745</v>
      </c>
      <c r="H494" s="6" t="s">
        <v>572</v>
      </c>
      <c r="I494" s="121">
        <v>99586</v>
      </c>
      <c r="J494" s="6" t="s">
        <v>2926</v>
      </c>
      <c r="K494" s="6" t="s">
        <v>1855</v>
      </c>
      <c r="L494" s="6" t="s">
        <v>2927</v>
      </c>
      <c r="M494" s="6" t="s">
        <v>1744</v>
      </c>
    </row>
    <row r="495" spans="1:13">
      <c r="A495" s="143">
        <v>2018</v>
      </c>
      <c r="B495" s="6" t="s">
        <v>1746</v>
      </c>
      <c r="C495" s="6" t="s">
        <v>61</v>
      </c>
      <c r="D495" s="115" t="s">
        <v>1383</v>
      </c>
      <c r="E495" s="115" t="s">
        <v>1859</v>
      </c>
      <c r="F495" s="6"/>
      <c r="G495" s="6" t="s">
        <v>1747</v>
      </c>
      <c r="H495" s="6" t="s">
        <v>1748</v>
      </c>
      <c r="I495" s="121">
        <v>100000</v>
      </c>
      <c r="J495" s="6" t="s">
        <v>2928</v>
      </c>
      <c r="K495" s="9" t="s">
        <v>2676</v>
      </c>
      <c r="L495" s="6" t="s">
        <v>2929</v>
      </c>
      <c r="M495" s="6" t="s">
        <v>1383</v>
      </c>
    </row>
    <row r="496" spans="1:13">
      <c r="A496" s="143">
        <v>2018</v>
      </c>
      <c r="B496" s="6" t="s">
        <v>2930</v>
      </c>
      <c r="C496" s="6" t="s">
        <v>2931</v>
      </c>
      <c r="D496" s="6" t="s">
        <v>2412</v>
      </c>
      <c r="E496" s="6"/>
      <c r="F496" s="6"/>
      <c r="G496" s="6" t="s">
        <v>2932</v>
      </c>
      <c r="H496" s="6" t="s">
        <v>1753</v>
      </c>
      <c r="I496" s="121"/>
      <c r="J496" s="6" t="s">
        <v>2298</v>
      </c>
      <c r="K496" s="6"/>
      <c r="L496" s="6" t="s">
        <v>2933</v>
      </c>
      <c r="M496" s="6" t="s">
        <v>2412</v>
      </c>
    </row>
    <row r="497" spans="1:13">
      <c r="A497" s="143">
        <v>2018</v>
      </c>
      <c r="B497" s="6" t="s">
        <v>1294</v>
      </c>
      <c r="C497" s="6" t="s">
        <v>925</v>
      </c>
      <c r="D497" s="6" t="s">
        <v>76</v>
      </c>
      <c r="E497" s="6" t="s">
        <v>1904</v>
      </c>
      <c r="F497" s="6"/>
      <c r="G497" s="6" t="s">
        <v>2934</v>
      </c>
      <c r="H497" s="6" t="s">
        <v>1296</v>
      </c>
      <c r="I497" s="121"/>
      <c r="J497" s="6" t="s">
        <v>2935</v>
      </c>
      <c r="K497" s="6" t="s">
        <v>1828</v>
      </c>
      <c r="L497" s="6" t="s">
        <v>2936</v>
      </c>
      <c r="M497" s="6" t="s">
        <v>2937</v>
      </c>
    </row>
    <row r="498" spans="1:13">
      <c r="A498" s="143">
        <v>2018</v>
      </c>
      <c r="B498" s="6" t="s">
        <v>1749</v>
      </c>
      <c r="C498" s="6" t="s">
        <v>61</v>
      </c>
      <c r="D498" s="6" t="s">
        <v>2834</v>
      </c>
      <c r="E498" s="6" t="s">
        <v>1874</v>
      </c>
      <c r="F498" s="6"/>
      <c r="G498" s="6" t="s">
        <v>1750</v>
      </c>
      <c r="H498" s="6" t="s">
        <v>1451</v>
      </c>
      <c r="I498" s="121">
        <v>100000</v>
      </c>
      <c r="J498" s="6" t="s">
        <v>2938</v>
      </c>
      <c r="K498" s="6" t="s">
        <v>2031</v>
      </c>
      <c r="L498" s="6" t="s">
        <v>2939</v>
      </c>
      <c r="M498" s="6" t="s">
        <v>1744</v>
      </c>
    </row>
    <row r="499" spans="1:13">
      <c r="A499" s="143">
        <v>2018</v>
      </c>
      <c r="B499" s="6" t="s">
        <v>1768</v>
      </c>
      <c r="C499" s="6" t="s">
        <v>61</v>
      </c>
      <c r="D499" s="6" t="s">
        <v>1763</v>
      </c>
      <c r="E499" s="115" t="s">
        <v>1859</v>
      </c>
      <c r="F499" s="6"/>
      <c r="G499" s="6" t="s">
        <v>1769</v>
      </c>
      <c r="H499" s="6" t="s">
        <v>1770</v>
      </c>
      <c r="I499" s="121">
        <v>49000</v>
      </c>
      <c r="J499" s="6" t="s">
        <v>2940</v>
      </c>
      <c r="K499" s="6" t="s">
        <v>1828</v>
      </c>
      <c r="L499" s="6" t="s">
        <v>2941</v>
      </c>
      <c r="M499" s="6" t="s">
        <v>1763</v>
      </c>
    </row>
    <row r="500" spans="1:13">
      <c r="A500" s="143">
        <v>2018</v>
      </c>
      <c r="B500" s="6" t="s">
        <v>1771</v>
      </c>
      <c r="C500" s="6" t="s">
        <v>61</v>
      </c>
      <c r="D500" s="6" t="s">
        <v>1763</v>
      </c>
      <c r="E500" s="115" t="s">
        <v>1859</v>
      </c>
      <c r="F500" s="6"/>
      <c r="G500" s="6" t="s">
        <v>1772</v>
      </c>
      <c r="H500" s="6" t="s">
        <v>1728</v>
      </c>
      <c r="I500" s="121">
        <v>27700</v>
      </c>
      <c r="J500" s="6" t="s">
        <v>2942</v>
      </c>
      <c r="K500" s="6" t="s">
        <v>1828</v>
      </c>
      <c r="L500" s="6" t="s">
        <v>2943</v>
      </c>
      <c r="M500" s="6" t="s">
        <v>1763</v>
      </c>
    </row>
    <row r="501" spans="1:13">
      <c r="A501" s="143">
        <v>2018</v>
      </c>
      <c r="B501" s="6" t="s">
        <v>1773</v>
      </c>
      <c r="C501" s="6" t="s">
        <v>61</v>
      </c>
      <c r="D501" s="6" t="s">
        <v>1763</v>
      </c>
      <c r="E501" s="115" t="s">
        <v>1859</v>
      </c>
      <c r="F501" s="6"/>
      <c r="G501" s="6" t="s">
        <v>1774</v>
      </c>
      <c r="H501" s="6" t="s">
        <v>1775</v>
      </c>
      <c r="I501" s="121">
        <v>40000</v>
      </c>
      <c r="J501" s="6" t="s">
        <v>2944</v>
      </c>
      <c r="K501" s="6" t="s">
        <v>1886</v>
      </c>
      <c r="L501" s="6" t="s">
        <v>2945</v>
      </c>
      <c r="M501" s="6" t="s">
        <v>1763</v>
      </c>
    </row>
    <row r="502" spans="1:13">
      <c r="A502" s="143">
        <v>2018</v>
      </c>
      <c r="B502" s="6" t="s">
        <v>965</v>
      </c>
      <c r="C502" s="6" t="s">
        <v>61</v>
      </c>
      <c r="D502" s="6" t="s">
        <v>652</v>
      </c>
      <c r="E502" s="6" t="s">
        <v>1874</v>
      </c>
      <c r="F502" s="6"/>
      <c r="G502" s="6" t="s">
        <v>966</v>
      </c>
      <c r="H502" s="6" t="s">
        <v>967</v>
      </c>
      <c r="I502" s="121">
        <v>18268</v>
      </c>
      <c r="J502" s="6" t="s">
        <v>2946</v>
      </c>
      <c r="K502" s="6" t="s">
        <v>2047</v>
      </c>
      <c r="L502" s="6" t="s">
        <v>2947</v>
      </c>
      <c r="M502" s="6" t="s">
        <v>652</v>
      </c>
    </row>
    <row r="503" spans="1:13">
      <c r="A503" s="143">
        <v>2018</v>
      </c>
      <c r="B503" s="6" t="s">
        <v>1776</v>
      </c>
      <c r="C503" s="6" t="s">
        <v>61</v>
      </c>
      <c r="D503" s="6" t="s">
        <v>1763</v>
      </c>
      <c r="E503" s="115" t="s">
        <v>1859</v>
      </c>
      <c r="F503" s="6"/>
      <c r="G503" s="6" t="s">
        <v>1777</v>
      </c>
      <c r="H503" s="6" t="s">
        <v>1778</v>
      </c>
      <c r="I503" s="121">
        <v>4500</v>
      </c>
      <c r="J503" s="6" t="s">
        <v>2948</v>
      </c>
      <c r="K503" s="6" t="s">
        <v>1886</v>
      </c>
      <c r="L503" s="6" t="s">
        <v>2949</v>
      </c>
      <c r="M503" s="6" t="s">
        <v>1763</v>
      </c>
    </row>
    <row r="504" spans="1:13">
      <c r="A504" s="143">
        <v>2018</v>
      </c>
      <c r="B504" s="6" t="s">
        <v>1751</v>
      </c>
      <c r="C504" s="6" t="s">
        <v>61</v>
      </c>
      <c r="D504" s="115" t="s">
        <v>1383</v>
      </c>
      <c r="E504" s="115" t="s">
        <v>1859</v>
      </c>
      <c r="F504" s="6"/>
      <c r="G504" s="6" t="s">
        <v>1752</v>
      </c>
      <c r="H504" s="6" t="s">
        <v>1753</v>
      </c>
      <c r="I504" s="121">
        <v>100000</v>
      </c>
      <c r="J504" s="6" t="s">
        <v>2298</v>
      </c>
      <c r="K504" s="6" t="s">
        <v>1828</v>
      </c>
      <c r="L504" s="6" t="s">
        <v>2950</v>
      </c>
      <c r="M504" s="6" t="s">
        <v>1383</v>
      </c>
    </row>
    <row r="505" spans="1:13">
      <c r="A505" s="143">
        <v>2018</v>
      </c>
      <c r="B505" s="6" t="s">
        <v>1297</v>
      </c>
      <c r="C505" s="9" t="s">
        <v>61</v>
      </c>
      <c r="D505" s="6" t="s">
        <v>1141</v>
      </c>
      <c r="E505" s="6" t="s">
        <v>1904</v>
      </c>
      <c r="F505" s="6"/>
      <c r="G505" s="6" t="s">
        <v>1298</v>
      </c>
      <c r="H505" s="6" t="s">
        <v>1299</v>
      </c>
      <c r="I505" s="64">
        <v>71755.679999999993</v>
      </c>
      <c r="J505" s="6" t="s">
        <v>2912</v>
      </c>
      <c r="K505" s="6" t="s">
        <v>2031</v>
      </c>
      <c r="L505" s="6" t="s">
        <v>2951</v>
      </c>
      <c r="M505" s="6" t="s">
        <v>1141</v>
      </c>
    </row>
    <row r="506" spans="1:13">
      <c r="A506" s="143">
        <v>2018</v>
      </c>
      <c r="B506" s="6" t="s">
        <v>968</v>
      </c>
      <c r="C506" s="6" t="s">
        <v>61</v>
      </c>
      <c r="D506" s="6" t="s">
        <v>652</v>
      </c>
      <c r="E506" s="6" t="s">
        <v>1874</v>
      </c>
      <c r="F506" s="6"/>
      <c r="G506" s="6" t="s">
        <v>2952</v>
      </c>
      <c r="H506" s="6" t="s">
        <v>970</v>
      </c>
      <c r="I506" s="121">
        <v>99200</v>
      </c>
      <c r="J506" s="6" t="s">
        <v>2953</v>
      </c>
      <c r="K506" s="6" t="s">
        <v>1886</v>
      </c>
      <c r="L506" s="6" t="s">
        <v>2954</v>
      </c>
      <c r="M506" s="6" t="s">
        <v>652</v>
      </c>
    </row>
    <row r="507" spans="1:13">
      <c r="A507" s="143">
        <v>2018</v>
      </c>
      <c r="B507" s="6" t="s">
        <v>971</v>
      </c>
      <c r="C507" s="6" t="s">
        <v>61</v>
      </c>
      <c r="D507" s="6" t="s">
        <v>652</v>
      </c>
      <c r="E507" s="6" t="s">
        <v>1874</v>
      </c>
      <c r="F507" s="6"/>
      <c r="G507" s="6" t="s">
        <v>2955</v>
      </c>
      <c r="H507" s="6" t="s">
        <v>973</v>
      </c>
      <c r="I507" s="121">
        <v>87009</v>
      </c>
      <c r="J507" s="6" t="s">
        <v>2956</v>
      </c>
      <c r="K507" s="6" t="s">
        <v>1828</v>
      </c>
      <c r="L507" s="6" t="s">
        <v>2957</v>
      </c>
      <c r="M507" s="6" t="s">
        <v>652</v>
      </c>
    </row>
    <row r="508" spans="1:13">
      <c r="A508" s="143">
        <v>2018</v>
      </c>
      <c r="B508" s="6" t="s">
        <v>1300</v>
      </c>
      <c r="C508" s="9" t="s">
        <v>61</v>
      </c>
      <c r="D508" s="6" t="s">
        <v>1141</v>
      </c>
      <c r="E508" s="6" t="s">
        <v>1904</v>
      </c>
      <c r="F508" s="6"/>
      <c r="G508" s="6" t="s">
        <v>1301</v>
      </c>
      <c r="H508" s="6" t="s">
        <v>1302</v>
      </c>
      <c r="I508" s="64">
        <v>77357.03</v>
      </c>
      <c r="J508" s="6" t="s">
        <v>2958</v>
      </c>
      <c r="K508" s="6" t="s">
        <v>2031</v>
      </c>
      <c r="L508" s="6" t="s">
        <v>2959</v>
      </c>
      <c r="M508" s="6" t="s">
        <v>1141</v>
      </c>
    </row>
    <row r="509" spans="1:13">
      <c r="A509" s="143">
        <v>2018</v>
      </c>
      <c r="B509" s="6" t="s">
        <v>1303</v>
      </c>
      <c r="C509" s="9" t="s">
        <v>61</v>
      </c>
      <c r="D509" s="6" t="s">
        <v>1141</v>
      </c>
      <c r="E509" s="6" t="s">
        <v>1904</v>
      </c>
      <c r="F509" s="6"/>
      <c r="G509" s="6" t="s">
        <v>1304</v>
      </c>
      <c r="H509" s="6" t="s">
        <v>1305</v>
      </c>
      <c r="I509" s="64">
        <v>56005.41</v>
      </c>
      <c r="J509" s="6" t="s">
        <v>2960</v>
      </c>
      <c r="K509" s="6" t="s">
        <v>2031</v>
      </c>
      <c r="L509" s="6" t="s">
        <v>2961</v>
      </c>
      <c r="M509" s="6" t="s">
        <v>1141</v>
      </c>
    </row>
    <row r="510" spans="1:13">
      <c r="A510" s="143">
        <v>2018</v>
      </c>
      <c r="B510" s="6" t="s">
        <v>974</v>
      </c>
      <c r="C510" s="6" t="s">
        <v>61</v>
      </c>
      <c r="D510" s="6" t="s">
        <v>652</v>
      </c>
      <c r="E510" s="6" t="s">
        <v>1874</v>
      </c>
      <c r="F510" s="6"/>
      <c r="G510" s="6" t="s">
        <v>2962</v>
      </c>
      <c r="H510" s="6" t="s">
        <v>976</v>
      </c>
      <c r="I510" s="121">
        <v>87880</v>
      </c>
      <c r="J510" s="6" t="s">
        <v>2963</v>
      </c>
      <c r="K510" s="6" t="s">
        <v>1899</v>
      </c>
      <c r="L510" s="6" t="s">
        <v>2964</v>
      </c>
      <c r="M510" s="6" t="s">
        <v>652</v>
      </c>
    </row>
    <row r="511" spans="1:13">
      <c r="A511" s="143">
        <v>2018</v>
      </c>
      <c r="B511" s="6" t="s">
        <v>1754</v>
      </c>
      <c r="C511" s="6" t="s">
        <v>61</v>
      </c>
      <c r="D511" s="115" t="s">
        <v>1383</v>
      </c>
      <c r="E511" s="115" t="s">
        <v>1859</v>
      </c>
      <c r="F511" s="6"/>
      <c r="G511" s="6" t="s">
        <v>1755</v>
      </c>
      <c r="H511" s="6" t="s">
        <v>1756</v>
      </c>
      <c r="I511" s="121">
        <v>50000</v>
      </c>
      <c r="J511" s="6" t="s">
        <v>2965</v>
      </c>
      <c r="K511" s="6" t="s">
        <v>1828</v>
      </c>
      <c r="L511" s="6" t="s">
        <v>2966</v>
      </c>
      <c r="M511" s="6" t="s">
        <v>1383</v>
      </c>
    </row>
    <row r="512" spans="1:13">
      <c r="A512" s="143">
        <v>2018</v>
      </c>
      <c r="B512" s="6" t="s">
        <v>1757</v>
      </c>
      <c r="C512" s="6" t="s">
        <v>61</v>
      </c>
      <c r="D512" s="115" t="s">
        <v>1383</v>
      </c>
      <c r="E512" s="115" t="s">
        <v>1859</v>
      </c>
      <c r="F512" s="6"/>
      <c r="G512" s="6" t="s">
        <v>1758</v>
      </c>
      <c r="H512" s="6" t="s">
        <v>1759</v>
      </c>
      <c r="I512" s="121">
        <v>100000</v>
      </c>
      <c r="J512" s="6" t="s">
        <v>2967</v>
      </c>
      <c r="K512" s="6" t="s">
        <v>1828</v>
      </c>
      <c r="L512" s="6" t="s">
        <v>2968</v>
      </c>
      <c r="M512" s="6" t="s">
        <v>1383</v>
      </c>
    </row>
    <row r="513" spans="1:13">
      <c r="A513" s="143">
        <v>2018</v>
      </c>
      <c r="B513" s="6" t="s">
        <v>977</v>
      </c>
      <c r="C513" s="6" t="s">
        <v>61</v>
      </c>
      <c r="D513" s="6" t="s">
        <v>586</v>
      </c>
      <c r="E513" s="6" t="s">
        <v>1874</v>
      </c>
      <c r="F513" s="6"/>
      <c r="G513" s="6" t="s">
        <v>978</v>
      </c>
      <c r="H513" s="6" t="s">
        <v>906</v>
      </c>
      <c r="I513" s="121">
        <v>20150</v>
      </c>
      <c r="J513" s="6" t="s">
        <v>2969</v>
      </c>
      <c r="K513" s="6" t="s">
        <v>1828</v>
      </c>
      <c r="L513" s="6" t="s">
        <v>2970</v>
      </c>
      <c r="M513" s="6" t="s">
        <v>586</v>
      </c>
    </row>
    <row r="514" spans="1:13">
      <c r="A514" s="143">
        <v>2018</v>
      </c>
      <c r="B514" s="6" t="s">
        <v>1306</v>
      </c>
      <c r="C514" s="9" t="s">
        <v>61</v>
      </c>
      <c r="D514" s="6" t="s">
        <v>1141</v>
      </c>
      <c r="E514" s="6" t="s">
        <v>1904</v>
      </c>
      <c r="F514" s="6"/>
      <c r="G514" s="6" t="s">
        <v>1307</v>
      </c>
      <c r="H514" s="6" t="s">
        <v>1206</v>
      </c>
      <c r="I514" s="64">
        <v>52464.86</v>
      </c>
      <c r="J514" s="6" t="s">
        <v>2971</v>
      </c>
      <c r="K514" s="6" t="s">
        <v>1916</v>
      </c>
      <c r="L514" s="6" t="s">
        <v>2972</v>
      </c>
      <c r="M514" s="6" t="s">
        <v>1141</v>
      </c>
    </row>
    <row r="515" spans="1:13">
      <c r="A515" s="143">
        <v>2018</v>
      </c>
      <c r="B515" s="6" t="s">
        <v>1308</v>
      </c>
      <c r="C515" s="6" t="s">
        <v>925</v>
      </c>
      <c r="D515" s="6" t="s">
        <v>1231</v>
      </c>
      <c r="E515" s="6" t="s">
        <v>2163</v>
      </c>
      <c r="F515" s="6"/>
      <c r="G515" s="6" t="s">
        <v>1309</v>
      </c>
      <c r="H515" s="6" t="s">
        <v>1310</v>
      </c>
      <c r="I515" s="121">
        <v>50000</v>
      </c>
      <c r="J515" s="6" t="s">
        <v>2973</v>
      </c>
      <c r="K515" s="6" t="s">
        <v>1828</v>
      </c>
      <c r="L515" s="6" t="s">
        <v>2974</v>
      </c>
      <c r="M515" s="6" t="s">
        <v>1231</v>
      </c>
    </row>
    <row r="516" spans="1:13">
      <c r="A516" s="143">
        <v>2018</v>
      </c>
      <c r="B516" s="6" t="s">
        <v>2975</v>
      </c>
      <c r="C516" s="6"/>
      <c r="D516" s="6"/>
      <c r="E516" s="6"/>
      <c r="F516" s="6"/>
      <c r="G516" s="6" t="s">
        <v>2976</v>
      </c>
      <c r="H516" s="6" t="s">
        <v>1753</v>
      </c>
      <c r="I516" s="121">
        <v>40000</v>
      </c>
      <c r="J516" s="6"/>
      <c r="K516" s="6"/>
      <c r="L516" s="6" t="s">
        <v>2977</v>
      </c>
      <c r="M516" s="6"/>
    </row>
    <row r="517" spans="1:13">
      <c r="A517" s="143">
        <v>2018</v>
      </c>
      <c r="B517" s="6" t="s">
        <v>979</v>
      </c>
      <c r="C517" s="6" t="s">
        <v>61</v>
      </c>
      <c r="D517" s="6" t="s">
        <v>652</v>
      </c>
      <c r="E517" s="6" t="s">
        <v>1874</v>
      </c>
      <c r="F517" s="6"/>
      <c r="G517" s="6" t="s">
        <v>980</v>
      </c>
      <c r="H517" s="6" t="s">
        <v>981</v>
      </c>
      <c r="I517" s="121">
        <v>98750</v>
      </c>
      <c r="J517" s="6" t="s">
        <v>2978</v>
      </c>
      <c r="K517" s="6" t="s">
        <v>1828</v>
      </c>
      <c r="L517" s="6" t="s">
        <v>2979</v>
      </c>
      <c r="M517" s="6" t="s">
        <v>652</v>
      </c>
    </row>
    <row r="518" spans="1:13">
      <c r="A518" s="143">
        <v>2018</v>
      </c>
      <c r="B518" s="6" t="s">
        <v>1311</v>
      </c>
      <c r="C518" s="9" t="s">
        <v>61</v>
      </c>
      <c r="D518" s="6" t="s">
        <v>1141</v>
      </c>
      <c r="E518" s="6" t="s">
        <v>1904</v>
      </c>
      <c r="F518" s="6"/>
      <c r="G518" s="6" t="s">
        <v>1312</v>
      </c>
      <c r="H518" s="6" t="s">
        <v>1206</v>
      </c>
      <c r="I518" s="64">
        <v>93859.46</v>
      </c>
      <c r="J518" s="6" t="s">
        <v>2500</v>
      </c>
      <c r="K518" s="6" t="s">
        <v>1916</v>
      </c>
      <c r="L518" s="6" t="s">
        <v>2980</v>
      </c>
      <c r="M518" s="6" t="s">
        <v>1141</v>
      </c>
    </row>
    <row r="519" spans="1:13">
      <c r="A519" s="143">
        <v>2018</v>
      </c>
      <c r="B519" s="6" t="s">
        <v>982</v>
      </c>
      <c r="C519" s="6" t="s">
        <v>61</v>
      </c>
      <c r="D519" s="6" t="s">
        <v>652</v>
      </c>
      <c r="E519" s="6" t="s">
        <v>1874</v>
      </c>
      <c r="F519" s="6"/>
      <c r="G519" s="6" t="s">
        <v>983</v>
      </c>
      <c r="H519" s="6" t="s">
        <v>984</v>
      </c>
      <c r="I519" s="121">
        <v>100000</v>
      </c>
      <c r="J519" s="6" t="s">
        <v>2981</v>
      </c>
      <c r="K519" s="6" t="s">
        <v>1886</v>
      </c>
      <c r="L519" s="6" t="s">
        <v>2982</v>
      </c>
      <c r="M519" s="6" t="s">
        <v>652</v>
      </c>
    </row>
    <row r="520" spans="1:13">
      <c r="A520" s="143">
        <v>2018</v>
      </c>
      <c r="B520" s="6" t="s">
        <v>1760</v>
      </c>
      <c r="C520" s="6" t="s">
        <v>61</v>
      </c>
      <c r="D520" s="115" t="s">
        <v>1383</v>
      </c>
      <c r="E520" s="115" t="s">
        <v>1859</v>
      </c>
      <c r="F520" s="6"/>
      <c r="G520" s="6" t="s">
        <v>1761</v>
      </c>
      <c r="H520" s="6" t="s">
        <v>1762</v>
      </c>
      <c r="I520" s="121">
        <v>64080</v>
      </c>
      <c r="J520" s="6" t="s">
        <v>1828</v>
      </c>
      <c r="K520" s="6" t="s">
        <v>1828</v>
      </c>
      <c r="L520" s="6" t="s">
        <v>2983</v>
      </c>
      <c r="M520" s="6" t="s">
        <v>1383</v>
      </c>
    </row>
    <row r="521" spans="1:13">
      <c r="A521" s="143">
        <v>2018</v>
      </c>
      <c r="B521" s="6" t="s">
        <v>985</v>
      </c>
      <c r="C521" s="6" t="s">
        <v>61</v>
      </c>
      <c r="D521" s="6" t="s">
        <v>586</v>
      </c>
      <c r="E521" s="6" t="s">
        <v>1874</v>
      </c>
      <c r="F521" s="6"/>
      <c r="G521" s="6" t="s">
        <v>857</v>
      </c>
      <c r="H521" s="6" t="s">
        <v>986</v>
      </c>
      <c r="I521" s="121">
        <v>11620.76</v>
      </c>
      <c r="J521" s="6" t="s">
        <v>2656</v>
      </c>
      <c r="K521" s="6" t="s">
        <v>1886</v>
      </c>
      <c r="L521" s="6" t="s">
        <v>2984</v>
      </c>
      <c r="M521" s="6" t="s">
        <v>586</v>
      </c>
    </row>
    <row r="522" spans="1:13">
      <c r="A522" s="143">
        <v>2018</v>
      </c>
      <c r="B522" s="6" t="s">
        <v>985</v>
      </c>
      <c r="C522" s="6" t="s">
        <v>61</v>
      </c>
      <c r="D522" s="6" t="s">
        <v>1763</v>
      </c>
      <c r="E522" s="115" t="s">
        <v>1859</v>
      </c>
      <c r="F522" s="6"/>
      <c r="G522" s="6" t="s">
        <v>1779</v>
      </c>
      <c r="H522" s="6" t="s">
        <v>2985</v>
      </c>
      <c r="I522" s="121">
        <v>296400</v>
      </c>
      <c r="J522" s="6" t="s">
        <v>2986</v>
      </c>
      <c r="K522" s="6" t="s">
        <v>1886</v>
      </c>
      <c r="L522" s="6" t="s">
        <v>2987</v>
      </c>
      <c r="M522" s="6" t="s">
        <v>1763</v>
      </c>
    </row>
    <row r="523" spans="1:13">
      <c r="A523" s="143">
        <v>2018</v>
      </c>
      <c r="B523" s="6" t="s">
        <v>987</v>
      </c>
      <c r="C523" s="6" t="s">
        <v>61</v>
      </c>
      <c r="D523" s="6" t="s">
        <v>652</v>
      </c>
      <c r="E523" s="6" t="s">
        <v>1874</v>
      </c>
      <c r="F523" s="6"/>
      <c r="G523" s="6" t="s">
        <v>988</v>
      </c>
      <c r="H523" s="6" t="s">
        <v>989</v>
      </c>
      <c r="I523" s="121">
        <v>92152.5</v>
      </c>
      <c r="J523" s="6" t="s">
        <v>2988</v>
      </c>
      <c r="K523" s="6" t="s">
        <v>2051</v>
      </c>
      <c r="L523" s="6" t="s">
        <v>2989</v>
      </c>
      <c r="M523" s="6" t="s">
        <v>652</v>
      </c>
    </row>
    <row r="524" spans="1:13">
      <c r="A524" s="143">
        <v>2018</v>
      </c>
      <c r="B524" s="6" t="s">
        <v>990</v>
      </c>
      <c r="C524" s="6" t="s">
        <v>61</v>
      </c>
      <c r="D524" s="6" t="s">
        <v>652</v>
      </c>
      <c r="E524" s="6" t="s">
        <v>1874</v>
      </c>
      <c r="F524" s="6"/>
      <c r="G524" s="6" t="s">
        <v>991</v>
      </c>
      <c r="H524" s="6" t="s">
        <v>992</v>
      </c>
      <c r="I524" s="121">
        <v>94000</v>
      </c>
      <c r="J524" s="6" t="s">
        <v>2990</v>
      </c>
      <c r="K524" s="6" t="s">
        <v>1828</v>
      </c>
      <c r="L524" s="6" t="s">
        <v>2991</v>
      </c>
      <c r="M524" s="6" t="s">
        <v>652</v>
      </c>
    </row>
    <row r="525" spans="1:13">
      <c r="A525" s="143">
        <v>2017</v>
      </c>
      <c r="B525" s="61">
        <v>42736</v>
      </c>
      <c r="C525" s="6" t="s">
        <v>61</v>
      </c>
      <c r="D525" s="6" t="s">
        <v>125</v>
      </c>
      <c r="E525" s="6" t="s">
        <v>1874</v>
      </c>
      <c r="F525" s="172"/>
      <c r="G525" s="158" t="s">
        <v>807</v>
      </c>
      <c r="H525" s="158" t="s">
        <v>2992</v>
      </c>
      <c r="I525" s="121">
        <v>450000</v>
      </c>
      <c r="J525" s="6" t="s">
        <v>1938</v>
      </c>
      <c r="K525" s="6" t="s">
        <v>1828</v>
      </c>
      <c r="L525" s="172"/>
      <c r="M525" s="6" t="s">
        <v>125</v>
      </c>
    </row>
    <row r="526" spans="1:13">
      <c r="A526" s="143">
        <v>2017</v>
      </c>
      <c r="B526" s="61">
        <v>42767</v>
      </c>
      <c r="C526" s="6" t="s">
        <v>1867</v>
      </c>
      <c r="D526" s="6" t="s">
        <v>2993</v>
      </c>
      <c r="E526" s="6" t="s">
        <v>1824</v>
      </c>
      <c r="F526" s="6"/>
      <c r="G526" s="6" t="s">
        <v>2994</v>
      </c>
      <c r="H526" s="6" t="s">
        <v>2995</v>
      </c>
      <c r="I526" s="121">
        <v>300000</v>
      </c>
      <c r="J526" s="160" t="s">
        <v>2996</v>
      </c>
      <c r="K526" s="6" t="s">
        <v>1896</v>
      </c>
      <c r="L526" s="6"/>
      <c r="M526" s="6" t="s">
        <v>2993</v>
      </c>
    </row>
    <row r="527" spans="1:13">
      <c r="A527" s="143">
        <v>2017</v>
      </c>
      <c r="B527" s="61">
        <v>42795</v>
      </c>
      <c r="C527" s="6" t="s">
        <v>61</v>
      </c>
      <c r="D527" s="115" t="s">
        <v>1383</v>
      </c>
      <c r="E527" s="115" t="s">
        <v>1859</v>
      </c>
      <c r="F527" s="6"/>
      <c r="G527" s="6" t="s">
        <v>2997</v>
      </c>
      <c r="H527" s="6" t="s">
        <v>2998</v>
      </c>
      <c r="I527" s="121">
        <v>188800</v>
      </c>
      <c r="J527" s="6"/>
      <c r="K527" s="6" t="s">
        <v>1919</v>
      </c>
      <c r="L527" s="6"/>
      <c r="M527" s="6" t="s">
        <v>1500</v>
      </c>
    </row>
    <row r="528" spans="1:13">
      <c r="A528" s="143">
        <v>2017</v>
      </c>
      <c r="B528" s="61">
        <v>42826</v>
      </c>
      <c r="C528" s="6" t="s">
        <v>61</v>
      </c>
      <c r="D528" s="115" t="s">
        <v>1383</v>
      </c>
      <c r="E528" s="115" t="s">
        <v>1859</v>
      </c>
      <c r="F528" s="6"/>
      <c r="G528" s="6" t="s">
        <v>2999</v>
      </c>
      <c r="H528" s="6" t="s">
        <v>3000</v>
      </c>
      <c r="I528" s="121">
        <v>200000</v>
      </c>
      <c r="J528" s="6" t="s">
        <v>3001</v>
      </c>
      <c r="K528" s="6" t="s">
        <v>1828</v>
      </c>
      <c r="L528" s="6"/>
      <c r="M528" s="6" t="s">
        <v>1500</v>
      </c>
    </row>
    <row r="529" spans="1:13">
      <c r="A529" s="143">
        <v>2017</v>
      </c>
      <c r="B529" s="61">
        <v>42856</v>
      </c>
      <c r="C529" s="6" t="s">
        <v>61</v>
      </c>
      <c r="D529" s="115" t="s">
        <v>1383</v>
      </c>
      <c r="E529" s="115" t="s">
        <v>1859</v>
      </c>
      <c r="F529" s="6"/>
      <c r="G529" s="6" t="s">
        <v>3002</v>
      </c>
      <c r="H529" s="6" t="s">
        <v>3003</v>
      </c>
      <c r="I529" s="121">
        <v>200000</v>
      </c>
      <c r="J529" s="160" t="s">
        <v>3001</v>
      </c>
      <c r="K529" s="6" t="s">
        <v>1828</v>
      </c>
      <c r="L529" s="6"/>
      <c r="M529" s="6" t="s">
        <v>1500</v>
      </c>
    </row>
    <row r="530" spans="1:13">
      <c r="A530" s="143">
        <v>2017</v>
      </c>
      <c r="B530" s="61">
        <v>42887</v>
      </c>
      <c r="C530" s="6" t="s">
        <v>61</v>
      </c>
      <c r="D530" s="115" t="s">
        <v>1383</v>
      </c>
      <c r="E530" s="115" t="s">
        <v>1859</v>
      </c>
      <c r="F530" s="6"/>
      <c r="G530" s="6" t="s">
        <v>3004</v>
      </c>
      <c r="H530" s="6" t="s">
        <v>3005</v>
      </c>
      <c r="I530" s="121">
        <v>200000</v>
      </c>
      <c r="J530" s="160" t="s">
        <v>3006</v>
      </c>
      <c r="K530" s="6" t="s">
        <v>1886</v>
      </c>
      <c r="L530" s="6"/>
      <c r="M530" s="6" t="s">
        <v>1500</v>
      </c>
    </row>
    <row r="531" spans="1:13">
      <c r="A531" s="143">
        <v>2017</v>
      </c>
      <c r="B531" s="62">
        <v>42917</v>
      </c>
      <c r="C531" s="6" t="s">
        <v>61</v>
      </c>
      <c r="D531" s="115" t="s">
        <v>1383</v>
      </c>
      <c r="E531" s="115" t="s">
        <v>1859</v>
      </c>
      <c r="F531" s="6"/>
      <c r="G531" s="6" t="s">
        <v>3007</v>
      </c>
      <c r="H531" s="6" t="s">
        <v>3008</v>
      </c>
      <c r="I531" s="121">
        <v>200000</v>
      </c>
      <c r="J531" s="160" t="s">
        <v>3001</v>
      </c>
      <c r="K531" s="6" t="s">
        <v>1828</v>
      </c>
      <c r="L531" s="6"/>
      <c r="M531" s="6" t="s">
        <v>1500</v>
      </c>
    </row>
    <row r="532" spans="1:13">
      <c r="A532" s="143">
        <v>2017</v>
      </c>
      <c r="B532" s="61">
        <v>42948</v>
      </c>
      <c r="C532" s="6" t="s">
        <v>61</v>
      </c>
      <c r="D532" s="115" t="s">
        <v>1383</v>
      </c>
      <c r="E532" s="115" t="s">
        <v>1859</v>
      </c>
      <c r="F532" s="158"/>
      <c r="G532" s="158" t="s">
        <v>3009</v>
      </c>
      <c r="H532" s="158" t="s">
        <v>3010</v>
      </c>
      <c r="I532" s="163">
        <v>200000</v>
      </c>
      <c r="J532" s="158" t="s">
        <v>3001</v>
      </c>
      <c r="K532" s="6" t="s">
        <v>1828</v>
      </c>
      <c r="L532" s="158"/>
      <c r="M532" s="6" t="s">
        <v>1500</v>
      </c>
    </row>
    <row r="533" spans="1:13">
      <c r="A533" s="143">
        <v>2017</v>
      </c>
      <c r="B533" s="62">
        <v>42979</v>
      </c>
      <c r="C533" s="6" t="s">
        <v>61</v>
      </c>
      <c r="D533" s="115" t="s">
        <v>1383</v>
      </c>
      <c r="E533" s="115" t="s">
        <v>1859</v>
      </c>
      <c r="F533" s="6"/>
      <c r="G533" s="6" t="s">
        <v>3011</v>
      </c>
      <c r="H533" s="6" t="s">
        <v>3012</v>
      </c>
      <c r="I533" s="121">
        <v>200000</v>
      </c>
      <c r="J533" s="158" t="s">
        <v>3001</v>
      </c>
      <c r="K533" s="6" t="s">
        <v>1828</v>
      </c>
      <c r="L533" s="6"/>
      <c r="M533" s="6" t="s">
        <v>1500</v>
      </c>
    </row>
    <row r="534" spans="1:13">
      <c r="A534" s="143">
        <v>2017</v>
      </c>
      <c r="B534" s="62">
        <v>43009</v>
      </c>
      <c r="C534" s="6" t="s">
        <v>61</v>
      </c>
      <c r="D534" s="115" t="s">
        <v>1383</v>
      </c>
      <c r="E534" s="115" t="s">
        <v>1859</v>
      </c>
      <c r="F534" s="6"/>
      <c r="G534" s="6" t="s">
        <v>3013</v>
      </c>
      <c r="H534" s="6" t="s">
        <v>3014</v>
      </c>
      <c r="I534" s="121">
        <v>200000</v>
      </c>
      <c r="J534" s="160" t="s">
        <v>3015</v>
      </c>
      <c r="K534" s="6" t="s">
        <v>1828</v>
      </c>
      <c r="L534" s="6"/>
      <c r="M534" s="6" t="s">
        <v>1500</v>
      </c>
    </row>
    <row r="535" spans="1:13">
      <c r="A535" s="143">
        <v>2017</v>
      </c>
      <c r="B535" s="62">
        <v>43040</v>
      </c>
      <c r="C535" s="160" t="s">
        <v>61</v>
      </c>
      <c r="D535" s="115" t="s">
        <v>1383</v>
      </c>
      <c r="E535" s="115" t="s">
        <v>1859</v>
      </c>
      <c r="F535" s="6"/>
      <c r="G535" s="6" t="s">
        <v>3016</v>
      </c>
      <c r="H535" s="6" t="s">
        <v>3017</v>
      </c>
      <c r="I535" s="121">
        <v>200000</v>
      </c>
      <c r="J535" s="160" t="s">
        <v>3018</v>
      </c>
      <c r="K535" s="6" t="s">
        <v>1828</v>
      </c>
      <c r="L535" s="6"/>
      <c r="M535" s="6" t="s">
        <v>1500</v>
      </c>
    </row>
    <row r="536" spans="1:13">
      <c r="A536" s="143">
        <v>2017</v>
      </c>
      <c r="B536" s="62">
        <v>43070</v>
      </c>
      <c r="C536" s="6" t="s">
        <v>61</v>
      </c>
      <c r="D536" s="115" t="s">
        <v>1383</v>
      </c>
      <c r="E536" s="115" t="s">
        <v>1859</v>
      </c>
      <c r="F536" s="6"/>
      <c r="G536" s="6" t="s">
        <v>3019</v>
      </c>
      <c r="H536" s="6" t="s">
        <v>3020</v>
      </c>
      <c r="I536" s="121">
        <v>200000</v>
      </c>
      <c r="J536" s="6" t="s">
        <v>1938</v>
      </c>
      <c r="K536" s="6" t="s">
        <v>1828</v>
      </c>
      <c r="L536" s="6"/>
      <c r="M536" s="6" t="s">
        <v>1500</v>
      </c>
    </row>
    <row r="537" spans="1:13">
      <c r="A537" s="143">
        <v>2017</v>
      </c>
      <c r="B537" s="6" t="s">
        <v>3021</v>
      </c>
      <c r="C537" s="6" t="s">
        <v>61</v>
      </c>
      <c r="D537" s="115" t="s">
        <v>1383</v>
      </c>
      <c r="E537" s="115" t="s">
        <v>1859</v>
      </c>
      <c r="F537" s="6"/>
      <c r="G537" s="6" t="s">
        <v>3022</v>
      </c>
      <c r="H537" s="158" t="s">
        <v>1742</v>
      </c>
      <c r="I537" s="121">
        <v>200000</v>
      </c>
      <c r="J537" s="6" t="s">
        <v>1938</v>
      </c>
      <c r="K537" s="6" t="s">
        <v>1828</v>
      </c>
      <c r="L537" s="6"/>
      <c r="M537" s="6" t="s">
        <v>1500</v>
      </c>
    </row>
    <row r="538" spans="1:13">
      <c r="A538" s="143">
        <v>2017</v>
      </c>
      <c r="B538" s="6" t="s">
        <v>3023</v>
      </c>
      <c r="C538" s="6" t="s">
        <v>61</v>
      </c>
      <c r="D538" s="115" t="s">
        <v>1383</v>
      </c>
      <c r="E538" s="115" t="s">
        <v>1859</v>
      </c>
      <c r="F538" s="6"/>
      <c r="G538" s="6" t="s">
        <v>3024</v>
      </c>
      <c r="H538" s="6" t="s">
        <v>3025</v>
      </c>
      <c r="I538" s="121">
        <v>200000</v>
      </c>
      <c r="J538" s="160" t="s">
        <v>3018</v>
      </c>
      <c r="K538" s="6" t="s">
        <v>1828</v>
      </c>
      <c r="L538" s="6"/>
      <c r="M538" s="6" t="s">
        <v>1500</v>
      </c>
    </row>
    <row r="539" spans="1:13">
      <c r="A539" s="143">
        <v>2017</v>
      </c>
      <c r="B539" s="6" t="s">
        <v>3026</v>
      </c>
      <c r="C539" s="6" t="s">
        <v>61</v>
      </c>
      <c r="D539" s="115" t="s">
        <v>1383</v>
      </c>
      <c r="E539" s="115" t="s">
        <v>1859</v>
      </c>
      <c r="F539" s="158"/>
      <c r="G539" s="158" t="s">
        <v>3027</v>
      </c>
      <c r="H539" s="6" t="s">
        <v>3028</v>
      </c>
      <c r="I539" s="121">
        <v>200000</v>
      </c>
      <c r="J539" s="160" t="s">
        <v>3029</v>
      </c>
      <c r="K539" s="6" t="s">
        <v>2085</v>
      </c>
      <c r="L539" s="158"/>
      <c r="M539" s="6" t="s">
        <v>1500</v>
      </c>
    </row>
    <row r="540" spans="1:13">
      <c r="A540" s="143">
        <v>2017</v>
      </c>
      <c r="B540" s="6" t="s">
        <v>3030</v>
      </c>
      <c r="C540" s="6" t="s">
        <v>61</v>
      </c>
      <c r="D540" s="115" t="s">
        <v>1383</v>
      </c>
      <c r="E540" s="115" t="s">
        <v>1859</v>
      </c>
      <c r="F540" s="6"/>
      <c r="G540" s="6" t="s">
        <v>3031</v>
      </c>
      <c r="H540" s="6" t="s">
        <v>3032</v>
      </c>
      <c r="I540" s="121">
        <v>200000</v>
      </c>
      <c r="J540" s="160" t="s">
        <v>3033</v>
      </c>
      <c r="K540" s="6" t="s">
        <v>1916</v>
      </c>
      <c r="L540" s="6"/>
      <c r="M540" s="6" t="s">
        <v>1500</v>
      </c>
    </row>
    <row r="541" spans="1:13">
      <c r="A541" s="143">
        <v>2017</v>
      </c>
      <c r="B541" s="6" t="s">
        <v>3034</v>
      </c>
      <c r="C541" s="6" t="s">
        <v>61</v>
      </c>
      <c r="D541" s="115" t="s">
        <v>1383</v>
      </c>
      <c r="E541" s="115" t="s">
        <v>1859</v>
      </c>
      <c r="F541" s="6"/>
      <c r="G541" s="6" t="s">
        <v>3035</v>
      </c>
      <c r="H541" s="6" t="s">
        <v>3036</v>
      </c>
      <c r="I541" s="121">
        <v>200000</v>
      </c>
      <c r="J541" s="160" t="s">
        <v>3037</v>
      </c>
      <c r="K541" s="6" t="s">
        <v>1879</v>
      </c>
      <c r="L541" s="6"/>
      <c r="M541" s="6" t="s">
        <v>1500</v>
      </c>
    </row>
    <row r="542" spans="1:13">
      <c r="A542" s="143">
        <v>2017</v>
      </c>
      <c r="B542" s="6" t="s">
        <v>3038</v>
      </c>
      <c r="C542" s="6" t="s">
        <v>61</v>
      </c>
      <c r="D542" s="115" t="s">
        <v>1383</v>
      </c>
      <c r="E542" s="115" t="s">
        <v>1859</v>
      </c>
      <c r="F542" s="6"/>
      <c r="G542" s="6" t="s">
        <v>3039</v>
      </c>
      <c r="H542" s="6" t="s">
        <v>3040</v>
      </c>
      <c r="I542" s="121">
        <v>200000</v>
      </c>
      <c r="J542" s="160" t="s">
        <v>3041</v>
      </c>
      <c r="K542" s="6" t="s">
        <v>1899</v>
      </c>
      <c r="L542" s="6"/>
      <c r="M542" s="6" t="s">
        <v>1500</v>
      </c>
    </row>
    <row r="543" spans="1:13">
      <c r="A543" s="143">
        <v>2017</v>
      </c>
      <c r="B543" s="6" t="s">
        <v>3042</v>
      </c>
      <c r="C543" s="6" t="s">
        <v>61</v>
      </c>
      <c r="D543" s="115" t="s">
        <v>1383</v>
      </c>
      <c r="E543" s="115" t="s">
        <v>1859</v>
      </c>
      <c r="F543" s="6"/>
      <c r="G543" s="6" t="s">
        <v>3043</v>
      </c>
      <c r="H543" s="6" t="s">
        <v>3044</v>
      </c>
      <c r="I543" s="121">
        <v>200000</v>
      </c>
      <c r="J543" s="160" t="s">
        <v>3045</v>
      </c>
      <c r="K543" s="6" t="s">
        <v>1886</v>
      </c>
      <c r="L543" s="6"/>
      <c r="M543" s="6" t="s">
        <v>1500</v>
      </c>
    </row>
    <row r="544" spans="1:13">
      <c r="A544" s="143">
        <v>2017</v>
      </c>
      <c r="B544" s="6" t="s">
        <v>3046</v>
      </c>
      <c r="C544" s="6" t="s">
        <v>61</v>
      </c>
      <c r="D544" s="115" t="s">
        <v>1383</v>
      </c>
      <c r="E544" s="115" t="s">
        <v>1859</v>
      </c>
      <c r="F544" s="6"/>
      <c r="G544" s="6" t="s">
        <v>3047</v>
      </c>
      <c r="H544" s="6" t="s">
        <v>3048</v>
      </c>
      <c r="I544" s="121">
        <v>200000</v>
      </c>
      <c r="J544" s="160" t="s">
        <v>3049</v>
      </c>
      <c r="K544" s="6" t="s">
        <v>2082</v>
      </c>
      <c r="L544" s="6"/>
      <c r="M544" s="6" t="s">
        <v>1500</v>
      </c>
    </row>
    <row r="545" spans="1:13">
      <c r="A545" s="143">
        <v>2017</v>
      </c>
      <c r="B545" s="6" t="s">
        <v>3050</v>
      </c>
      <c r="C545" s="6" t="s">
        <v>61</v>
      </c>
      <c r="D545" s="115" t="s">
        <v>1383</v>
      </c>
      <c r="E545" s="115" t="s">
        <v>1859</v>
      </c>
      <c r="F545" s="6"/>
      <c r="G545" s="6" t="s">
        <v>3051</v>
      </c>
      <c r="H545" s="6" t="s">
        <v>3052</v>
      </c>
      <c r="I545" s="121">
        <v>200000</v>
      </c>
      <c r="J545" s="160" t="s">
        <v>3053</v>
      </c>
      <c r="K545" s="6" t="s">
        <v>1896</v>
      </c>
      <c r="L545" s="6"/>
      <c r="M545" s="6" t="s">
        <v>1500</v>
      </c>
    </row>
    <row r="546" spans="1:13">
      <c r="A546" s="143">
        <v>2017</v>
      </c>
      <c r="B546" s="6" t="s">
        <v>3054</v>
      </c>
      <c r="C546" s="6" t="s">
        <v>61</v>
      </c>
      <c r="D546" s="115" t="s">
        <v>1383</v>
      </c>
      <c r="E546" s="115" t="s">
        <v>1859</v>
      </c>
      <c r="F546" s="6"/>
      <c r="G546" s="6" t="s">
        <v>3055</v>
      </c>
      <c r="H546" s="6" t="s">
        <v>3056</v>
      </c>
      <c r="I546" s="121">
        <v>200000</v>
      </c>
      <c r="J546" s="160" t="s">
        <v>3057</v>
      </c>
      <c r="K546" s="6" t="s">
        <v>1919</v>
      </c>
      <c r="L546" s="6"/>
      <c r="M546" s="6" t="s">
        <v>1500</v>
      </c>
    </row>
    <row r="547" spans="1:13">
      <c r="A547" s="143">
        <v>2017</v>
      </c>
      <c r="B547" s="6" t="s">
        <v>3058</v>
      </c>
      <c r="C547" s="160" t="s">
        <v>61</v>
      </c>
      <c r="D547" s="115" t="s">
        <v>1383</v>
      </c>
      <c r="E547" s="115" t="s">
        <v>1859</v>
      </c>
      <c r="F547" s="6"/>
      <c r="G547" s="6" t="s">
        <v>3059</v>
      </c>
      <c r="H547" s="6" t="s">
        <v>3060</v>
      </c>
      <c r="I547" s="121">
        <v>200000</v>
      </c>
      <c r="J547" s="160" t="s">
        <v>3061</v>
      </c>
      <c r="K547" s="6" t="s">
        <v>2051</v>
      </c>
      <c r="L547" s="6"/>
      <c r="M547" s="6" t="s">
        <v>1500</v>
      </c>
    </row>
    <row r="548" spans="1:13">
      <c r="A548" s="143">
        <v>2017</v>
      </c>
      <c r="B548" s="6" t="s">
        <v>3062</v>
      </c>
      <c r="C548" s="6" t="s">
        <v>61</v>
      </c>
      <c r="D548" s="115" t="s">
        <v>1383</v>
      </c>
      <c r="E548" s="115" t="s">
        <v>1859</v>
      </c>
      <c r="F548" s="6"/>
      <c r="G548" s="6" t="s">
        <v>3063</v>
      </c>
      <c r="H548" s="6" t="s">
        <v>3064</v>
      </c>
      <c r="I548" s="121">
        <v>200000</v>
      </c>
      <c r="J548" s="160" t="s">
        <v>3065</v>
      </c>
      <c r="K548" s="6" t="s">
        <v>2031</v>
      </c>
      <c r="L548" s="6"/>
      <c r="M548" s="6" t="s">
        <v>1500</v>
      </c>
    </row>
    <row r="549" spans="1:13">
      <c r="A549" s="143">
        <v>2017</v>
      </c>
      <c r="B549" s="6" t="s">
        <v>3066</v>
      </c>
      <c r="C549" s="6" t="s">
        <v>61</v>
      </c>
      <c r="D549" s="115" t="s">
        <v>1383</v>
      </c>
      <c r="E549" s="115" t="s">
        <v>1859</v>
      </c>
      <c r="F549" s="6"/>
      <c r="G549" s="6" t="s">
        <v>3067</v>
      </c>
      <c r="H549" s="6" t="s">
        <v>3068</v>
      </c>
      <c r="I549" s="121">
        <v>200000</v>
      </c>
      <c r="J549" s="160" t="s">
        <v>3069</v>
      </c>
      <c r="K549" s="6" t="s">
        <v>1855</v>
      </c>
      <c r="L549" s="6"/>
      <c r="M549" s="6" t="s">
        <v>1500</v>
      </c>
    </row>
    <row r="550" spans="1:13">
      <c r="A550" s="143">
        <v>2017</v>
      </c>
      <c r="B550" s="6" t="s">
        <v>3070</v>
      </c>
      <c r="C550" s="6" t="s">
        <v>61</v>
      </c>
      <c r="D550" s="115" t="s">
        <v>1383</v>
      </c>
      <c r="E550" s="115" t="s">
        <v>1859</v>
      </c>
      <c r="F550" s="6"/>
      <c r="G550" s="6" t="s">
        <v>3071</v>
      </c>
      <c r="H550" s="6" t="s">
        <v>3072</v>
      </c>
      <c r="I550" s="121">
        <v>200000</v>
      </c>
      <c r="J550" s="160" t="s">
        <v>3073</v>
      </c>
      <c r="K550" s="9" t="s">
        <v>2571</v>
      </c>
      <c r="L550" s="6"/>
      <c r="M550" s="6" t="s">
        <v>1500</v>
      </c>
    </row>
    <row r="551" spans="1:13">
      <c r="A551" s="143">
        <v>2017</v>
      </c>
      <c r="B551" s="6" t="s">
        <v>3074</v>
      </c>
      <c r="C551" s="6" t="s">
        <v>61</v>
      </c>
      <c r="D551" s="6" t="s">
        <v>3075</v>
      </c>
      <c r="E551" s="6" t="s">
        <v>1824</v>
      </c>
      <c r="F551" s="6"/>
      <c r="G551" s="6" t="s">
        <v>929</v>
      </c>
      <c r="H551" s="6" t="s">
        <v>3076</v>
      </c>
      <c r="I551" s="121">
        <v>257160</v>
      </c>
      <c r="J551" s="6" t="s">
        <v>1938</v>
      </c>
      <c r="K551" s="6" t="s">
        <v>1828</v>
      </c>
      <c r="L551" s="6"/>
      <c r="M551" s="6" t="s">
        <v>3075</v>
      </c>
    </row>
    <row r="552" spans="1:13">
      <c r="A552" s="143">
        <v>2017</v>
      </c>
      <c r="B552" s="6" t="s">
        <v>3077</v>
      </c>
      <c r="C552" s="6"/>
      <c r="D552" s="115" t="s">
        <v>1383</v>
      </c>
      <c r="E552" s="6" t="s">
        <v>1824</v>
      </c>
      <c r="F552" s="6"/>
      <c r="G552" s="6" t="s">
        <v>3078</v>
      </c>
      <c r="H552" s="6" t="s">
        <v>3079</v>
      </c>
      <c r="I552" s="121">
        <v>8975000</v>
      </c>
      <c r="J552" s="6" t="s">
        <v>3080</v>
      </c>
      <c r="K552" s="6" t="s">
        <v>1828</v>
      </c>
      <c r="L552" s="6"/>
      <c r="M552" s="6" t="s">
        <v>2172</v>
      </c>
    </row>
    <row r="553" spans="1:13">
      <c r="A553" s="143">
        <v>2017</v>
      </c>
      <c r="B553" s="6" t="s">
        <v>3081</v>
      </c>
      <c r="C553" s="6" t="s">
        <v>61</v>
      </c>
      <c r="D553" s="115" t="s">
        <v>1383</v>
      </c>
      <c r="E553" s="115" t="s">
        <v>1859</v>
      </c>
      <c r="F553" s="6"/>
      <c r="G553" s="6" t="s">
        <v>3082</v>
      </c>
      <c r="H553" s="6" t="s">
        <v>3083</v>
      </c>
      <c r="I553" s="121">
        <v>200000</v>
      </c>
      <c r="J553" s="160" t="s">
        <v>3084</v>
      </c>
      <c r="K553" s="6" t="s">
        <v>1828</v>
      </c>
      <c r="L553" s="6"/>
      <c r="M553" s="6" t="s">
        <v>1500</v>
      </c>
    </row>
    <row r="554" spans="1:13">
      <c r="A554" s="143">
        <v>2017</v>
      </c>
      <c r="B554" s="6" t="s">
        <v>3085</v>
      </c>
      <c r="C554" s="6" t="s">
        <v>61</v>
      </c>
      <c r="D554" s="115" t="s">
        <v>1383</v>
      </c>
      <c r="E554" s="115" t="s">
        <v>1859</v>
      </c>
      <c r="F554" s="6"/>
      <c r="G554" s="6" t="s">
        <v>3086</v>
      </c>
      <c r="H554" s="6" t="s">
        <v>3087</v>
      </c>
      <c r="I554" s="121">
        <v>200000</v>
      </c>
      <c r="J554" s="6" t="s">
        <v>3001</v>
      </c>
      <c r="K554" s="6" t="s">
        <v>1828</v>
      </c>
      <c r="L554" s="6"/>
      <c r="M554" s="6" t="s">
        <v>1500</v>
      </c>
    </row>
    <row r="555" spans="1:13">
      <c r="A555" s="143">
        <v>2017</v>
      </c>
      <c r="B555" s="6" t="s">
        <v>3088</v>
      </c>
      <c r="C555" s="6" t="s">
        <v>61</v>
      </c>
      <c r="D555" s="115" t="s">
        <v>1383</v>
      </c>
      <c r="E555" s="115" t="s">
        <v>1859</v>
      </c>
      <c r="F555" s="6"/>
      <c r="G555" s="6" t="s">
        <v>3089</v>
      </c>
      <c r="H555" s="6" t="s">
        <v>3090</v>
      </c>
      <c r="I555" s="121">
        <v>200000</v>
      </c>
      <c r="J555" s="160" t="s">
        <v>2901</v>
      </c>
      <c r="K555" s="6" t="s">
        <v>2047</v>
      </c>
      <c r="L555" s="6"/>
      <c r="M555" s="6" t="s">
        <v>1500</v>
      </c>
    </row>
    <row r="556" spans="1:13">
      <c r="A556" s="143">
        <v>2017</v>
      </c>
      <c r="B556" s="6" t="s">
        <v>3091</v>
      </c>
      <c r="C556" s="6" t="s">
        <v>61</v>
      </c>
      <c r="D556" s="6" t="s">
        <v>3092</v>
      </c>
      <c r="E556" s="6" t="s">
        <v>1904</v>
      </c>
      <c r="F556" s="6"/>
      <c r="G556" s="6" t="s">
        <v>3093</v>
      </c>
      <c r="H556" s="6" t="s">
        <v>3094</v>
      </c>
      <c r="I556" s="121">
        <v>316050</v>
      </c>
      <c r="J556" s="6"/>
      <c r="K556" s="6" t="s">
        <v>1886</v>
      </c>
      <c r="L556" s="6"/>
      <c r="M556" s="6" t="s">
        <v>3092</v>
      </c>
    </row>
    <row r="557" spans="1:13">
      <c r="A557" s="143">
        <v>2017</v>
      </c>
      <c r="B557" s="6" t="s">
        <v>3095</v>
      </c>
      <c r="C557" s="6" t="s">
        <v>3096</v>
      </c>
      <c r="D557" s="6" t="s">
        <v>3097</v>
      </c>
      <c r="E557" s="6" t="s">
        <v>1824</v>
      </c>
      <c r="F557" s="6"/>
      <c r="G557" s="6" t="s">
        <v>3098</v>
      </c>
      <c r="H557" s="6" t="s">
        <v>811</v>
      </c>
      <c r="I557" s="121">
        <v>308000</v>
      </c>
      <c r="J557" s="6" t="s">
        <v>1938</v>
      </c>
      <c r="K557" s="6" t="s">
        <v>1828</v>
      </c>
      <c r="L557" s="6"/>
      <c r="M557" s="6" t="s">
        <v>3097</v>
      </c>
    </row>
    <row r="558" spans="1:13">
      <c r="A558" s="143">
        <v>2017</v>
      </c>
      <c r="B558" s="6" t="s">
        <v>3099</v>
      </c>
      <c r="C558" s="6" t="s">
        <v>61</v>
      </c>
      <c r="D558" s="6" t="s">
        <v>1262</v>
      </c>
      <c r="E558" s="6" t="s">
        <v>1904</v>
      </c>
      <c r="F558" s="6"/>
      <c r="G558" s="6" t="s">
        <v>3100</v>
      </c>
      <c r="H558" s="6" t="s">
        <v>3101</v>
      </c>
      <c r="I558" s="121">
        <v>604800</v>
      </c>
      <c r="J558" s="160" t="s">
        <v>3102</v>
      </c>
      <c r="K558" s="6" t="s">
        <v>1828</v>
      </c>
      <c r="L558" s="6"/>
      <c r="M558" s="6" t="s">
        <v>1262</v>
      </c>
    </row>
    <row r="559" spans="1:13">
      <c r="A559" s="143">
        <v>2017</v>
      </c>
      <c r="B559" s="6" t="s">
        <v>3103</v>
      </c>
      <c r="C559" s="6" t="s">
        <v>2328</v>
      </c>
      <c r="D559" s="6"/>
      <c r="E559" s="6"/>
      <c r="F559" s="6"/>
      <c r="G559" s="6" t="s">
        <v>3104</v>
      </c>
      <c r="H559" s="6" t="s">
        <v>3105</v>
      </c>
      <c r="I559" s="121">
        <v>72000</v>
      </c>
      <c r="J559" s="160" t="s">
        <v>3106</v>
      </c>
      <c r="K559" s="6" t="s">
        <v>1919</v>
      </c>
      <c r="L559" s="6"/>
      <c r="M559" s="6"/>
    </row>
    <row r="560" spans="1:13">
      <c r="A560" s="143">
        <v>2017</v>
      </c>
      <c r="B560" s="6" t="s">
        <v>3107</v>
      </c>
      <c r="C560" s="6" t="s">
        <v>3108</v>
      </c>
      <c r="D560" s="6" t="s">
        <v>3109</v>
      </c>
      <c r="E560" s="6" t="s">
        <v>1874</v>
      </c>
      <c r="F560" s="6"/>
      <c r="G560" s="6" t="s">
        <v>3110</v>
      </c>
      <c r="H560" s="6" t="s">
        <v>3111</v>
      </c>
      <c r="I560" s="121">
        <v>167500</v>
      </c>
      <c r="J560" s="160" t="s">
        <v>3112</v>
      </c>
      <c r="K560" s="6" t="s">
        <v>1828</v>
      </c>
      <c r="L560" s="6"/>
      <c r="M560" s="6" t="s">
        <v>3109</v>
      </c>
    </row>
    <row r="561" spans="1:13">
      <c r="A561" s="143">
        <v>2017</v>
      </c>
      <c r="B561" s="6" t="s">
        <v>3113</v>
      </c>
      <c r="C561" s="6" t="s">
        <v>61</v>
      </c>
      <c r="D561" s="112" t="s">
        <v>68</v>
      </c>
      <c r="E561" s="6" t="s">
        <v>1874</v>
      </c>
      <c r="F561" s="6"/>
      <c r="G561" s="6" t="s">
        <v>3114</v>
      </c>
      <c r="H561" s="6" t="s">
        <v>3115</v>
      </c>
      <c r="I561" s="121">
        <v>996971</v>
      </c>
      <c r="J561" s="160" t="s">
        <v>2740</v>
      </c>
      <c r="K561" s="6" t="s">
        <v>1828</v>
      </c>
      <c r="L561" s="6"/>
      <c r="M561" s="6" t="s">
        <v>68</v>
      </c>
    </row>
    <row r="562" spans="1:13">
      <c r="A562" s="143">
        <v>2017</v>
      </c>
      <c r="B562" s="6" t="s">
        <v>3116</v>
      </c>
      <c r="C562" s="6" t="s">
        <v>61</v>
      </c>
      <c r="D562" s="6" t="s">
        <v>3117</v>
      </c>
      <c r="E562" s="6" t="s">
        <v>1874</v>
      </c>
      <c r="F562" s="6"/>
      <c r="G562" s="6" t="s">
        <v>3118</v>
      </c>
      <c r="H562" s="6" t="s">
        <v>3076</v>
      </c>
      <c r="I562" s="121">
        <v>150000</v>
      </c>
      <c r="J562" s="6" t="s">
        <v>1938</v>
      </c>
      <c r="K562" s="6" t="s">
        <v>1828</v>
      </c>
      <c r="L562" s="6"/>
      <c r="M562" s="6" t="s">
        <v>3117</v>
      </c>
    </row>
    <row r="563" spans="1:13">
      <c r="A563" s="143">
        <v>2017</v>
      </c>
      <c r="B563" s="6" t="s">
        <v>3119</v>
      </c>
      <c r="C563" s="6" t="s">
        <v>61</v>
      </c>
      <c r="D563" s="115" t="s">
        <v>1383</v>
      </c>
      <c r="E563" s="115" t="s">
        <v>1859</v>
      </c>
      <c r="F563" s="6"/>
      <c r="G563" s="6" t="s">
        <v>3120</v>
      </c>
      <c r="H563" s="6" t="s">
        <v>3121</v>
      </c>
      <c r="I563" s="121">
        <v>200000</v>
      </c>
      <c r="J563" s="6" t="s">
        <v>1938</v>
      </c>
      <c r="K563" s="6" t="s">
        <v>1828</v>
      </c>
      <c r="L563" s="6"/>
      <c r="M563" s="6" t="s">
        <v>1500</v>
      </c>
    </row>
    <row r="564" spans="1:13">
      <c r="A564" s="143">
        <v>2017</v>
      </c>
      <c r="B564" s="6" t="s">
        <v>3122</v>
      </c>
      <c r="C564" s="6" t="s">
        <v>61</v>
      </c>
      <c r="D564" s="115" t="s">
        <v>1383</v>
      </c>
      <c r="E564" s="115" t="s">
        <v>1859</v>
      </c>
      <c r="F564" s="6"/>
      <c r="G564" s="6" t="s">
        <v>3123</v>
      </c>
      <c r="H564" s="6" t="s">
        <v>3124</v>
      </c>
      <c r="I564" s="121">
        <v>200000</v>
      </c>
      <c r="J564" s="160" t="s">
        <v>3001</v>
      </c>
      <c r="K564" s="6" t="s">
        <v>1828</v>
      </c>
      <c r="L564" s="6"/>
      <c r="M564" s="6" t="s">
        <v>1500</v>
      </c>
    </row>
    <row r="565" spans="1:13">
      <c r="A565" s="143">
        <v>2017</v>
      </c>
      <c r="B565" s="6" t="s">
        <v>3125</v>
      </c>
      <c r="C565" s="6" t="s">
        <v>61</v>
      </c>
      <c r="D565" s="115" t="s">
        <v>1383</v>
      </c>
      <c r="E565" s="115" t="s">
        <v>1859</v>
      </c>
      <c r="F565" s="6"/>
      <c r="G565" s="6" t="s">
        <v>3126</v>
      </c>
      <c r="H565" s="6" t="s">
        <v>3127</v>
      </c>
      <c r="I565" s="121">
        <v>200000</v>
      </c>
      <c r="J565" s="160" t="s">
        <v>3128</v>
      </c>
      <c r="K565" s="6" t="s">
        <v>1828</v>
      </c>
      <c r="L565" s="6"/>
      <c r="M565" s="6" t="s">
        <v>1500</v>
      </c>
    </row>
    <row r="566" spans="1:13">
      <c r="A566" s="143">
        <v>2017</v>
      </c>
      <c r="B566" s="6" t="s">
        <v>3129</v>
      </c>
      <c r="C566" s="6" t="s">
        <v>61</v>
      </c>
      <c r="D566" s="115" t="s">
        <v>1383</v>
      </c>
      <c r="E566" s="115" t="s">
        <v>1859</v>
      </c>
      <c r="F566" s="6"/>
      <c r="G566" s="6" t="s">
        <v>3130</v>
      </c>
      <c r="H566" s="6" t="s">
        <v>3131</v>
      </c>
      <c r="I566" s="121">
        <v>791970</v>
      </c>
      <c r="J566" s="6"/>
      <c r="K566" s="6" t="s">
        <v>1828</v>
      </c>
      <c r="L566" s="6"/>
      <c r="M566" s="6" t="s">
        <v>1500</v>
      </c>
    </row>
    <row r="567" spans="1:13">
      <c r="A567" s="143">
        <v>2017</v>
      </c>
      <c r="B567" s="6" t="s">
        <v>3132</v>
      </c>
      <c r="C567" s="6" t="s">
        <v>61</v>
      </c>
      <c r="D567" s="115" t="s">
        <v>1383</v>
      </c>
      <c r="E567" s="115" t="s">
        <v>1859</v>
      </c>
      <c r="F567" s="6"/>
      <c r="G567" s="6" t="s">
        <v>3133</v>
      </c>
      <c r="H567" s="6" t="s">
        <v>3134</v>
      </c>
      <c r="I567" s="121">
        <v>200000</v>
      </c>
      <c r="J567" s="160" t="s">
        <v>3135</v>
      </c>
      <c r="K567" s="6" t="s">
        <v>2041</v>
      </c>
      <c r="L567" s="6"/>
      <c r="M567" s="6" t="s">
        <v>1500</v>
      </c>
    </row>
    <row r="568" spans="1:13">
      <c r="A568" s="143">
        <v>2017</v>
      </c>
      <c r="B568" s="6" t="s">
        <v>3136</v>
      </c>
      <c r="C568" s="6" t="s">
        <v>61</v>
      </c>
      <c r="D568" s="115" t="s">
        <v>1383</v>
      </c>
      <c r="E568" s="115" t="s">
        <v>1859</v>
      </c>
      <c r="F568" s="6"/>
      <c r="G568" s="6" t="s">
        <v>3137</v>
      </c>
      <c r="H568" s="6" t="s">
        <v>3138</v>
      </c>
      <c r="I568" s="121">
        <v>200000</v>
      </c>
      <c r="J568" s="160" t="s">
        <v>2578</v>
      </c>
      <c r="K568" s="6" t="s">
        <v>2130</v>
      </c>
      <c r="L568" s="6"/>
      <c r="M568" s="6" t="s">
        <v>1500</v>
      </c>
    </row>
    <row r="569" spans="1:13">
      <c r="A569" s="143">
        <v>2017</v>
      </c>
      <c r="B569" s="6" t="s">
        <v>3139</v>
      </c>
      <c r="C569" s="6" t="s">
        <v>61</v>
      </c>
      <c r="D569" s="6" t="s">
        <v>2834</v>
      </c>
      <c r="E569" s="6" t="s">
        <v>1874</v>
      </c>
      <c r="F569" s="6"/>
      <c r="G569" s="6" t="s">
        <v>3140</v>
      </c>
      <c r="H569" s="6" t="s">
        <v>3141</v>
      </c>
      <c r="I569" s="121">
        <v>200000</v>
      </c>
      <c r="J569" s="160" t="s">
        <v>3001</v>
      </c>
      <c r="K569" s="6" t="s">
        <v>1828</v>
      </c>
      <c r="L569" s="6"/>
      <c r="M569" s="6" t="s">
        <v>3142</v>
      </c>
    </row>
    <row r="570" spans="1:13">
      <c r="A570" s="143">
        <v>2017</v>
      </c>
      <c r="B570" s="6" t="s">
        <v>3143</v>
      </c>
      <c r="C570" s="6" t="s">
        <v>61</v>
      </c>
      <c r="D570" s="6" t="s">
        <v>1262</v>
      </c>
      <c r="E570" s="6" t="s">
        <v>1904</v>
      </c>
      <c r="F570" s="158"/>
      <c r="G570" s="158" t="s">
        <v>3144</v>
      </c>
      <c r="H570" s="6" t="s">
        <v>3145</v>
      </c>
      <c r="I570" s="121">
        <v>999407</v>
      </c>
      <c r="J570" s="160" t="s">
        <v>3146</v>
      </c>
      <c r="K570" s="6" t="s">
        <v>1886</v>
      </c>
      <c r="L570" s="158"/>
      <c r="M570" s="6" t="s">
        <v>1262</v>
      </c>
    </row>
    <row r="571" spans="1:13">
      <c r="A571" s="143">
        <v>2017</v>
      </c>
      <c r="B571" s="6" t="s">
        <v>3147</v>
      </c>
      <c r="C571" s="6" t="s">
        <v>61</v>
      </c>
      <c r="D571" s="6" t="s">
        <v>394</v>
      </c>
      <c r="E571" s="115" t="s">
        <v>1853</v>
      </c>
      <c r="F571" s="6"/>
      <c r="G571" s="6" t="s">
        <v>3148</v>
      </c>
      <c r="H571" s="6" t="s">
        <v>3149</v>
      </c>
      <c r="I571" s="121">
        <v>520000</v>
      </c>
      <c r="J571" s="160" t="s">
        <v>3001</v>
      </c>
      <c r="K571" s="6" t="s">
        <v>1828</v>
      </c>
      <c r="L571" s="6"/>
      <c r="M571" s="6" t="s">
        <v>394</v>
      </c>
    </row>
    <row r="572" spans="1:13">
      <c r="A572" s="143">
        <v>2017</v>
      </c>
      <c r="B572" s="6" t="s">
        <v>3150</v>
      </c>
      <c r="C572" s="6" t="s">
        <v>61</v>
      </c>
      <c r="D572" s="9" t="s">
        <v>62</v>
      </c>
      <c r="E572" s="6" t="s">
        <v>1904</v>
      </c>
      <c r="F572" s="6"/>
      <c r="G572" s="6" t="s">
        <v>3151</v>
      </c>
      <c r="H572" s="6" t="s">
        <v>3152</v>
      </c>
      <c r="I572" s="121">
        <v>712468.76</v>
      </c>
      <c r="J572" s="160" t="s">
        <v>3153</v>
      </c>
      <c r="K572" s="6" t="s">
        <v>2051</v>
      </c>
      <c r="L572" s="6"/>
      <c r="M572" s="6" t="s">
        <v>62</v>
      </c>
    </row>
    <row r="573" spans="1:13">
      <c r="A573" s="143">
        <v>2017</v>
      </c>
      <c r="B573" s="6" t="s">
        <v>3154</v>
      </c>
      <c r="C573" s="6" t="s">
        <v>61</v>
      </c>
      <c r="D573" s="6" t="s">
        <v>3155</v>
      </c>
      <c r="E573" s="6" t="s">
        <v>1824</v>
      </c>
      <c r="F573" s="6"/>
      <c r="G573" s="6" t="s">
        <v>3156</v>
      </c>
      <c r="H573" s="6" t="s">
        <v>3157</v>
      </c>
      <c r="I573" s="121">
        <v>5708000</v>
      </c>
      <c r="J573" s="6" t="s">
        <v>2508</v>
      </c>
      <c r="K573" s="6" t="s">
        <v>1828</v>
      </c>
      <c r="L573" s="6"/>
      <c r="M573" s="6" t="s">
        <v>3155</v>
      </c>
    </row>
    <row r="574" spans="1:13">
      <c r="A574" s="143">
        <v>2017</v>
      </c>
      <c r="B574" s="6" t="s">
        <v>3158</v>
      </c>
      <c r="C574" s="6" t="s">
        <v>2328</v>
      </c>
      <c r="D574" s="6" t="s">
        <v>3075</v>
      </c>
      <c r="E574" s="6" t="s">
        <v>1824</v>
      </c>
      <c r="F574" s="6"/>
      <c r="G574" s="6" t="s">
        <v>3159</v>
      </c>
      <c r="H574" s="6" t="s">
        <v>3160</v>
      </c>
      <c r="I574" s="121">
        <v>10415256</v>
      </c>
      <c r="J574" s="6" t="s">
        <v>2508</v>
      </c>
      <c r="K574" s="6" t="s">
        <v>1828</v>
      </c>
      <c r="L574" s="6"/>
      <c r="M574" s="6" t="s">
        <v>3075</v>
      </c>
    </row>
    <row r="575" spans="1:13">
      <c r="A575" s="143">
        <v>2017</v>
      </c>
      <c r="B575" s="6" t="s">
        <v>3161</v>
      </c>
      <c r="C575" s="6" t="s">
        <v>2328</v>
      </c>
      <c r="D575" s="6"/>
      <c r="E575" s="6"/>
      <c r="F575" s="6"/>
      <c r="G575" s="6" t="s">
        <v>2994</v>
      </c>
      <c r="H575" s="6" t="s">
        <v>3162</v>
      </c>
      <c r="I575" s="121">
        <v>300000</v>
      </c>
      <c r="J575" s="160" t="s">
        <v>2996</v>
      </c>
      <c r="K575" s="6" t="s">
        <v>2082</v>
      </c>
      <c r="L575" s="6"/>
      <c r="M575" s="6"/>
    </row>
    <row r="576" spans="1:13">
      <c r="A576" s="143">
        <v>2017</v>
      </c>
      <c r="B576" s="6" t="s">
        <v>3163</v>
      </c>
      <c r="C576" s="6" t="s">
        <v>2328</v>
      </c>
      <c r="D576" s="6"/>
      <c r="E576" s="6"/>
      <c r="F576" s="6"/>
      <c r="G576" s="6" t="s">
        <v>3164</v>
      </c>
      <c r="H576" s="6" t="s">
        <v>3165</v>
      </c>
      <c r="I576" s="121"/>
      <c r="J576" s="160" t="s">
        <v>3166</v>
      </c>
      <c r="K576" s="6" t="s">
        <v>2085</v>
      </c>
      <c r="L576" s="6"/>
      <c r="M576" s="6"/>
    </row>
    <row r="577" spans="1:13">
      <c r="A577" s="143">
        <v>2017</v>
      </c>
      <c r="B577" s="6" t="s">
        <v>3167</v>
      </c>
      <c r="C577" s="6" t="s">
        <v>61</v>
      </c>
      <c r="D577" s="6" t="s">
        <v>3168</v>
      </c>
      <c r="E577" s="115" t="s">
        <v>1859</v>
      </c>
      <c r="F577" s="6"/>
      <c r="G577" s="6" t="s">
        <v>3169</v>
      </c>
      <c r="H577" s="6" t="s">
        <v>3170</v>
      </c>
      <c r="I577" s="121">
        <v>480000</v>
      </c>
      <c r="J577" s="6"/>
      <c r="K577" s="6" t="s">
        <v>1919</v>
      </c>
      <c r="L577" s="6"/>
      <c r="M577" s="6" t="s">
        <v>3168</v>
      </c>
    </row>
    <row r="578" spans="1:13">
      <c r="A578" s="143">
        <v>2017</v>
      </c>
      <c r="B578" s="6" t="s">
        <v>3171</v>
      </c>
      <c r="C578" s="6"/>
      <c r="D578" s="6" t="s">
        <v>3155</v>
      </c>
      <c r="E578" s="6" t="s">
        <v>1824</v>
      </c>
      <c r="F578" s="6"/>
      <c r="G578" s="6" t="s">
        <v>3172</v>
      </c>
      <c r="H578" s="6" t="s">
        <v>3173</v>
      </c>
      <c r="I578" s="121">
        <v>900320</v>
      </c>
      <c r="J578" s="160" t="s">
        <v>3174</v>
      </c>
      <c r="K578" s="6" t="s">
        <v>2051</v>
      </c>
      <c r="L578" s="6"/>
      <c r="M578" s="6" t="s">
        <v>3155</v>
      </c>
    </row>
    <row r="579" spans="1:13">
      <c r="A579" s="143">
        <v>2017</v>
      </c>
      <c r="B579" s="6" t="s">
        <v>3175</v>
      </c>
      <c r="C579" s="6" t="s">
        <v>61</v>
      </c>
      <c r="D579" s="9" t="s">
        <v>62</v>
      </c>
      <c r="E579" s="6" t="s">
        <v>1904</v>
      </c>
      <c r="F579" s="6"/>
      <c r="G579" s="6" t="s">
        <v>3176</v>
      </c>
      <c r="H579" s="6" t="s">
        <v>3177</v>
      </c>
      <c r="I579" s="121">
        <v>777970</v>
      </c>
      <c r="J579" s="160" t="s">
        <v>3178</v>
      </c>
      <c r="K579" s="6" t="s">
        <v>1899</v>
      </c>
      <c r="L579" s="6"/>
      <c r="M579" s="6" t="s">
        <v>62</v>
      </c>
    </row>
    <row r="580" spans="1:13">
      <c r="A580" s="143">
        <v>2017</v>
      </c>
      <c r="B580" s="6" t="s">
        <v>3179</v>
      </c>
      <c r="C580" s="6" t="s">
        <v>61</v>
      </c>
      <c r="D580" s="9" t="s">
        <v>62</v>
      </c>
      <c r="E580" s="6" t="s">
        <v>1904</v>
      </c>
      <c r="F580" s="6"/>
      <c r="G580" s="6" t="s">
        <v>3180</v>
      </c>
      <c r="H580" s="6" t="s">
        <v>3181</v>
      </c>
      <c r="I580" s="121">
        <v>2987995</v>
      </c>
      <c r="J580" s="160" t="s">
        <v>3182</v>
      </c>
      <c r="K580" s="6" t="s">
        <v>1899</v>
      </c>
      <c r="L580" s="6"/>
      <c r="M580" s="6" t="s">
        <v>1118</v>
      </c>
    </row>
    <row r="581" spans="1:13">
      <c r="A581" s="143">
        <v>2017</v>
      </c>
      <c r="B581" s="6" t="s">
        <v>3183</v>
      </c>
      <c r="C581" s="6" t="s">
        <v>61</v>
      </c>
      <c r="D581" s="6" t="s">
        <v>3092</v>
      </c>
      <c r="E581" s="6" t="s">
        <v>1904</v>
      </c>
      <c r="F581" s="6"/>
      <c r="G581" s="6" t="s">
        <v>3184</v>
      </c>
      <c r="H581" s="6" t="s">
        <v>3185</v>
      </c>
      <c r="I581" s="121">
        <v>421622</v>
      </c>
      <c r="J581" s="160" t="s">
        <v>3186</v>
      </c>
      <c r="K581" s="6" t="s">
        <v>1916</v>
      </c>
      <c r="L581" s="6"/>
      <c r="M581" s="6" t="s">
        <v>3092</v>
      </c>
    </row>
    <row r="582" spans="1:13">
      <c r="A582" s="143">
        <v>2017</v>
      </c>
      <c r="B582" s="6" t="s">
        <v>3187</v>
      </c>
      <c r="C582" s="6" t="s">
        <v>61</v>
      </c>
      <c r="D582" s="6" t="s">
        <v>1141</v>
      </c>
      <c r="E582" s="6" t="s">
        <v>1904</v>
      </c>
      <c r="F582" s="6"/>
      <c r="G582" s="6" t="s">
        <v>3188</v>
      </c>
      <c r="H582" s="6" t="s">
        <v>3189</v>
      </c>
      <c r="I582" s="121">
        <v>23860.21</v>
      </c>
      <c r="J582" s="160" t="s">
        <v>3190</v>
      </c>
      <c r="K582" s="6" t="s">
        <v>2085</v>
      </c>
      <c r="L582" s="6"/>
      <c r="M582" s="6" t="s">
        <v>1141</v>
      </c>
    </row>
    <row r="583" spans="1:13">
      <c r="A583" s="143">
        <v>2017</v>
      </c>
      <c r="B583" s="6" t="s">
        <v>3191</v>
      </c>
      <c r="C583" s="6" t="s">
        <v>2328</v>
      </c>
      <c r="D583" s="6"/>
      <c r="E583" s="6"/>
      <c r="F583" s="6"/>
      <c r="G583" s="6" t="s">
        <v>3192</v>
      </c>
      <c r="H583" s="6" t="s">
        <v>3193</v>
      </c>
      <c r="I583" s="121">
        <v>316600</v>
      </c>
      <c r="J583" s="160" t="s">
        <v>3194</v>
      </c>
      <c r="K583" s="6" t="s">
        <v>1828</v>
      </c>
      <c r="L583" s="6"/>
      <c r="M583" s="6"/>
    </row>
    <row r="584" spans="1:13">
      <c r="A584" s="143">
        <v>2017</v>
      </c>
      <c r="B584" s="6" t="s">
        <v>3195</v>
      </c>
      <c r="C584" s="6" t="s">
        <v>61</v>
      </c>
      <c r="D584" s="6" t="s">
        <v>2834</v>
      </c>
      <c r="E584" s="6" t="s">
        <v>1874</v>
      </c>
      <c r="F584" s="6"/>
      <c r="G584" s="6" t="s">
        <v>3196</v>
      </c>
      <c r="H584" s="6" t="s">
        <v>3197</v>
      </c>
      <c r="I584" s="121">
        <v>249990</v>
      </c>
      <c r="J584" s="160" t="s">
        <v>3198</v>
      </c>
      <c r="K584" s="6" t="s">
        <v>2130</v>
      </c>
      <c r="L584" s="6"/>
      <c r="M584" s="6" t="s">
        <v>2834</v>
      </c>
    </row>
    <row r="585" spans="1:13">
      <c r="A585" s="143">
        <v>2017</v>
      </c>
      <c r="B585" s="6" t="s">
        <v>3199</v>
      </c>
      <c r="C585" s="6" t="s">
        <v>61</v>
      </c>
      <c r="D585" s="9" t="s">
        <v>62</v>
      </c>
      <c r="E585" s="6" t="s">
        <v>1904</v>
      </c>
      <c r="F585" s="6"/>
      <c r="G585" s="6" t="s">
        <v>3200</v>
      </c>
      <c r="H585" s="6" t="s">
        <v>3201</v>
      </c>
      <c r="I585" s="121">
        <v>1428000</v>
      </c>
      <c r="J585" s="160" t="s">
        <v>3202</v>
      </c>
      <c r="K585" s="6" t="s">
        <v>1886</v>
      </c>
      <c r="L585" s="6"/>
      <c r="M585" s="6" t="s">
        <v>62</v>
      </c>
    </row>
    <row r="586" spans="1:13">
      <c r="A586" s="143">
        <v>2017</v>
      </c>
      <c r="B586" s="6" t="s">
        <v>3203</v>
      </c>
      <c r="C586" s="6" t="s">
        <v>3204</v>
      </c>
      <c r="D586" s="6" t="s">
        <v>3155</v>
      </c>
      <c r="E586" s="6" t="s">
        <v>1824</v>
      </c>
      <c r="F586" s="6"/>
      <c r="G586" s="6" t="s">
        <v>3205</v>
      </c>
      <c r="H586" s="6" t="s">
        <v>581</v>
      </c>
      <c r="I586" s="121">
        <v>1015000</v>
      </c>
      <c r="J586" s="6"/>
      <c r="K586" s="6" t="s">
        <v>1916</v>
      </c>
      <c r="L586" s="6"/>
      <c r="M586" s="6" t="s">
        <v>3155</v>
      </c>
    </row>
    <row r="587" spans="1:13">
      <c r="A587" s="143">
        <v>2017</v>
      </c>
      <c r="B587" s="6" t="s">
        <v>3206</v>
      </c>
      <c r="C587" s="6" t="s">
        <v>3204</v>
      </c>
      <c r="D587" s="6" t="s">
        <v>3155</v>
      </c>
      <c r="E587" s="6" t="s">
        <v>1824</v>
      </c>
      <c r="F587" s="6"/>
      <c r="G587" s="6" t="s">
        <v>3207</v>
      </c>
      <c r="H587" s="6" t="s">
        <v>3208</v>
      </c>
      <c r="I587" s="121">
        <v>1316250</v>
      </c>
      <c r="J587" s="160" t="s">
        <v>3209</v>
      </c>
      <c r="K587" s="6" t="s">
        <v>2041</v>
      </c>
      <c r="L587" s="6"/>
      <c r="M587" s="6" t="s">
        <v>3155</v>
      </c>
    </row>
    <row r="588" spans="1:13">
      <c r="A588" s="143">
        <v>2017</v>
      </c>
      <c r="B588" s="6" t="s">
        <v>3210</v>
      </c>
      <c r="C588" s="6" t="s">
        <v>61</v>
      </c>
      <c r="D588" s="6" t="s">
        <v>394</v>
      </c>
      <c r="E588" s="115" t="s">
        <v>1853</v>
      </c>
      <c r="F588" s="6"/>
      <c r="G588" s="6" t="s">
        <v>3211</v>
      </c>
      <c r="H588" s="6" t="s">
        <v>3212</v>
      </c>
      <c r="I588" s="121">
        <v>169240</v>
      </c>
      <c r="J588" s="160" t="s">
        <v>2901</v>
      </c>
      <c r="K588" s="6" t="s">
        <v>2047</v>
      </c>
      <c r="L588" s="6"/>
      <c r="M588" s="6" t="s">
        <v>394</v>
      </c>
    </row>
    <row r="589" spans="1:13">
      <c r="A589" s="143">
        <v>2017</v>
      </c>
      <c r="B589" s="6" t="s">
        <v>3213</v>
      </c>
      <c r="C589" s="6" t="s">
        <v>61</v>
      </c>
      <c r="D589" s="6" t="s">
        <v>3168</v>
      </c>
      <c r="E589" s="115" t="s">
        <v>1859</v>
      </c>
      <c r="F589" s="6"/>
      <c r="G589" s="6" t="s">
        <v>3214</v>
      </c>
      <c r="H589" s="6" t="s">
        <v>3215</v>
      </c>
      <c r="I589" s="121">
        <v>500000</v>
      </c>
      <c r="J589" s="6" t="s">
        <v>2508</v>
      </c>
      <c r="K589" s="6" t="s">
        <v>1828</v>
      </c>
      <c r="L589" s="6"/>
      <c r="M589" s="6" t="s">
        <v>3168</v>
      </c>
    </row>
    <row r="590" spans="1:13">
      <c r="A590" s="143">
        <v>2017</v>
      </c>
      <c r="B590" s="6" t="s">
        <v>3216</v>
      </c>
      <c r="C590" s="6" t="s">
        <v>61</v>
      </c>
      <c r="D590" s="115" t="s">
        <v>1383</v>
      </c>
      <c r="E590" s="115" t="s">
        <v>1859</v>
      </c>
      <c r="F590" s="6"/>
      <c r="G590" s="6" t="s">
        <v>3217</v>
      </c>
      <c r="H590" s="6" t="s">
        <v>1556</v>
      </c>
      <c r="I590" s="121">
        <v>354000</v>
      </c>
      <c r="J590" s="6" t="s">
        <v>1938</v>
      </c>
      <c r="K590" s="6" t="s">
        <v>1828</v>
      </c>
      <c r="L590" s="6"/>
      <c r="M590" s="6" t="s">
        <v>1383</v>
      </c>
    </row>
    <row r="591" spans="1:13">
      <c r="A591" s="143">
        <v>2017</v>
      </c>
      <c r="B591" s="6" t="s">
        <v>3218</v>
      </c>
      <c r="C591" s="6" t="s">
        <v>3204</v>
      </c>
      <c r="D591" s="6" t="s">
        <v>3155</v>
      </c>
      <c r="E591" s="6" t="s">
        <v>1824</v>
      </c>
      <c r="F591" s="6"/>
      <c r="G591" s="6" t="s">
        <v>3219</v>
      </c>
      <c r="H591" s="6" t="s">
        <v>3220</v>
      </c>
      <c r="I591" s="121">
        <v>1337500</v>
      </c>
      <c r="J591" s="6" t="s">
        <v>3221</v>
      </c>
      <c r="K591" s="6" t="s">
        <v>1919</v>
      </c>
      <c r="L591" s="6"/>
      <c r="M591" s="6" t="s">
        <v>3155</v>
      </c>
    </row>
    <row r="592" spans="1:13">
      <c r="A592" s="143">
        <v>2017</v>
      </c>
      <c r="B592" s="6" t="s">
        <v>3222</v>
      </c>
      <c r="C592" s="6" t="s">
        <v>61</v>
      </c>
      <c r="D592" s="22" t="s">
        <v>3092</v>
      </c>
      <c r="E592" s="6" t="s">
        <v>1904</v>
      </c>
      <c r="F592" s="6"/>
      <c r="G592" s="6" t="s">
        <v>3223</v>
      </c>
      <c r="H592" s="6" t="s">
        <v>3224</v>
      </c>
      <c r="I592" s="121">
        <v>743784</v>
      </c>
      <c r="J592" s="160" t="s">
        <v>3225</v>
      </c>
      <c r="K592" s="6" t="s">
        <v>2041</v>
      </c>
      <c r="L592" s="6"/>
      <c r="M592" s="6" t="s">
        <v>3092</v>
      </c>
    </row>
    <row r="593" spans="1:13">
      <c r="A593" s="143">
        <v>2017</v>
      </c>
      <c r="B593" s="6" t="s">
        <v>3226</v>
      </c>
      <c r="C593" s="6" t="s">
        <v>61</v>
      </c>
      <c r="D593" s="115" t="s">
        <v>1383</v>
      </c>
      <c r="E593" s="115" t="s">
        <v>1859</v>
      </c>
      <c r="F593" s="6"/>
      <c r="G593" s="6" t="s">
        <v>3227</v>
      </c>
      <c r="H593" s="6" t="s">
        <v>3228</v>
      </c>
      <c r="I593" s="121">
        <v>1248000</v>
      </c>
      <c r="J593" s="160" t="s">
        <v>3229</v>
      </c>
      <c r="K593" s="6" t="s">
        <v>1916</v>
      </c>
      <c r="L593" s="6"/>
      <c r="M593" s="6" t="s">
        <v>1383</v>
      </c>
    </row>
    <row r="594" spans="1:13">
      <c r="A594" s="143">
        <v>2017</v>
      </c>
      <c r="B594" s="6" t="s">
        <v>3230</v>
      </c>
      <c r="C594" s="6" t="s">
        <v>61</v>
      </c>
      <c r="D594" s="6" t="s">
        <v>125</v>
      </c>
      <c r="E594" s="6" t="s">
        <v>1874</v>
      </c>
      <c r="F594" s="6"/>
      <c r="G594" s="6" t="s">
        <v>807</v>
      </c>
      <c r="H594" s="6" t="s">
        <v>811</v>
      </c>
      <c r="I594" s="121">
        <v>500000</v>
      </c>
      <c r="J594" s="6" t="s">
        <v>1938</v>
      </c>
      <c r="K594" s="6" t="s">
        <v>1828</v>
      </c>
      <c r="L594" s="6"/>
      <c r="M594" s="6" t="s">
        <v>125</v>
      </c>
    </row>
    <row r="595" spans="1:13">
      <c r="A595" s="143">
        <v>2017</v>
      </c>
      <c r="B595" s="6" t="s">
        <v>3231</v>
      </c>
      <c r="C595" s="6" t="s">
        <v>61</v>
      </c>
      <c r="D595" s="6" t="s">
        <v>394</v>
      </c>
      <c r="E595" s="115" t="s">
        <v>1853</v>
      </c>
      <c r="F595" s="6"/>
      <c r="G595" s="6" t="s">
        <v>3232</v>
      </c>
      <c r="H595" s="6" t="s">
        <v>3233</v>
      </c>
      <c r="I595" s="121">
        <v>241450</v>
      </c>
      <c r="J595" s="160" t="s">
        <v>3234</v>
      </c>
      <c r="K595" s="6" t="s">
        <v>1899</v>
      </c>
      <c r="L595" s="6"/>
      <c r="M595" s="6" t="s">
        <v>394</v>
      </c>
    </row>
    <row r="596" spans="1:13">
      <c r="A596" s="143">
        <v>2017</v>
      </c>
      <c r="B596" s="6" t="s">
        <v>3235</v>
      </c>
      <c r="C596" s="6" t="s">
        <v>2328</v>
      </c>
      <c r="D596" s="6"/>
      <c r="E596" s="6"/>
      <c r="F596" s="6"/>
      <c r="G596" s="6" t="s">
        <v>3236</v>
      </c>
      <c r="H596" s="6" t="s">
        <v>3237</v>
      </c>
      <c r="I596" s="121">
        <v>1326052.5</v>
      </c>
      <c r="J596" s="160" t="s">
        <v>3238</v>
      </c>
      <c r="K596" s="6" t="s">
        <v>1916</v>
      </c>
      <c r="L596" s="6"/>
      <c r="M596" s="6"/>
    </row>
    <row r="597" spans="1:13">
      <c r="A597" s="143">
        <v>2017</v>
      </c>
      <c r="B597" s="6" t="s">
        <v>3239</v>
      </c>
      <c r="C597" s="6" t="s">
        <v>2328</v>
      </c>
      <c r="D597" s="6"/>
      <c r="E597" s="6" t="s">
        <v>1824</v>
      </c>
      <c r="F597" s="6"/>
      <c r="G597" s="6" t="s">
        <v>3240</v>
      </c>
      <c r="H597" s="6" t="s">
        <v>3241</v>
      </c>
      <c r="I597" s="121">
        <v>5030944</v>
      </c>
      <c r="J597" s="160" t="s">
        <v>3242</v>
      </c>
      <c r="K597" s="6" t="s">
        <v>2051</v>
      </c>
      <c r="L597" s="6"/>
      <c r="M597" s="6"/>
    </row>
    <row r="598" spans="1:13">
      <c r="A598" s="143">
        <v>2017</v>
      </c>
      <c r="B598" s="6" t="s">
        <v>3243</v>
      </c>
      <c r="C598" s="6" t="s">
        <v>2328</v>
      </c>
      <c r="D598" s="6"/>
      <c r="E598" s="6" t="s">
        <v>1824</v>
      </c>
      <c r="F598" s="6"/>
      <c r="G598" s="6" t="s">
        <v>3244</v>
      </c>
      <c r="H598" s="6" t="s">
        <v>3241</v>
      </c>
      <c r="I598" s="121">
        <v>3500000</v>
      </c>
      <c r="J598" s="160" t="s">
        <v>3242</v>
      </c>
      <c r="K598" s="6" t="s">
        <v>2051</v>
      </c>
      <c r="L598" s="6"/>
      <c r="M598" s="6"/>
    </row>
    <row r="599" spans="1:13">
      <c r="A599" s="143">
        <v>2017</v>
      </c>
      <c r="B599" s="6" t="s">
        <v>3245</v>
      </c>
      <c r="C599" s="6" t="s">
        <v>2328</v>
      </c>
      <c r="D599" s="6"/>
      <c r="E599" s="6" t="s">
        <v>1824</v>
      </c>
      <c r="F599" s="6"/>
      <c r="G599" s="6" t="s">
        <v>3246</v>
      </c>
      <c r="H599" s="6" t="s">
        <v>3247</v>
      </c>
      <c r="I599" s="121">
        <v>552000</v>
      </c>
      <c r="J599" s="160" t="s">
        <v>3242</v>
      </c>
      <c r="K599" s="6" t="s">
        <v>2051</v>
      </c>
      <c r="L599" s="6"/>
      <c r="M599" s="6"/>
    </row>
    <row r="600" spans="1:13">
      <c r="A600" s="143">
        <v>2017</v>
      </c>
      <c r="B600" s="6" t="s">
        <v>3248</v>
      </c>
      <c r="C600" s="6" t="s">
        <v>2328</v>
      </c>
      <c r="D600" s="6"/>
      <c r="E600" s="6"/>
      <c r="F600" s="6"/>
      <c r="G600" s="6" t="s">
        <v>3249</v>
      </c>
      <c r="H600" s="6" t="s">
        <v>3250</v>
      </c>
      <c r="I600" s="121">
        <v>605937</v>
      </c>
      <c r="J600" s="160" t="s">
        <v>3251</v>
      </c>
      <c r="K600" s="6" t="s">
        <v>1899</v>
      </c>
      <c r="L600" s="6"/>
      <c r="M600" s="6"/>
    </row>
    <row r="601" spans="1:13">
      <c r="A601" s="143">
        <v>2017</v>
      </c>
      <c r="B601" s="6" t="s">
        <v>3252</v>
      </c>
      <c r="C601" s="6" t="s">
        <v>61</v>
      </c>
      <c r="D601" s="9" t="s">
        <v>62</v>
      </c>
      <c r="E601" s="6" t="s">
        <v>1904</v>
      </c>
      <c r="F601" s="6"/>
      <c r="G601" s="6" t="s">
        <v>3253</v>
      </c>
      <c r="H601" s="6" t="s">
        <v>3254</v>
      </c>
      <c r="I601" s="121">
        <v>1328975.1200000001</v>
      </c>
      <c r="J601" s="160" t="s">
        <v>3255</v>
      </c>
      <c r="K601" s="6" t="s">
        <v>2082</v>
      </c>
      <c r="L601" s="6"/>
      <c r="M601" s="6" t="s">
        <v>1111</v>
      </c>
    </row>
    <row r="602" spans="1:13">
      <c r="A602" s="143">
        <v>2017</v>
      </c>
      <c r="B602" s="6" t="s">
        <v>3256</v>
      </c>
      <c r="C602" s="6" t="s">
        <v>61</v>
      </c>
      <c r="D602" s="115" t="s">
        <v>1383</v>
      </c>
      <c r="E602" s="115" t="s">
        <v>1859</v>
      </c>
      <c r="F602" s="6"/>
      <c r="G602" s="6" t="s">
        <v>3257</v>
      </c>
      <c r="H602" s="6" t="s">
        <v>3258</v>
      </c>
      <c r="I602" s="121">
        <v>200000</v>
      </c>
      <c r="J602" s="160" t="s">
        <v>3229</v>
      </c>
      <c r="K602" s="6" t="s">
        <v>1916</v>
      </c>
      <c r="L602" s="6"/>
      <c r="M602" s="6" t="s">
        <v>1545</v>
      </c>
    </row>
    <row r="603" spans="1:13">
      <c r="A603" s="143">
        <v>2017</v>
      </c>
      <c r="B603" s="6" t="s">
        <v>3259</v>
      </c>
      <c r="C603" s="6" t="s">
        <v>3204</v>
      </c>
      <c r="D603" s="6" t="s">
        <v>3155</v>
      </c>
      <c r="E603" s="6" t="s">
        <v>1824</v>
      </c>
      <c r="F603" s="6"/>
      <c r="G603" s="6" t="s">
        <v>3260</v>
      </c>
      <c r="H603" s="6" t="s">
        <v>3261</v>
      </c>
      <c r="I603" s="150">
        <v>956511.2</v>
      </c>
      <c r="J603" s="6" t="s">
        <v>1938</v>
      </c>
      <c r="K603" s="6" t="s">
        <v>1828</v>
      </c>
      <c r="L603" s="6"/>
      <c r="M603" s="6" t="s">
        <v>3155</v>
      </c>
    </row>
    <row r="604" spans="1:13">
      <c r="A604" s="143">
        <v>2017</v>
      </c>
      <c r="B604" s="6" t="s">
        <v>3262</v>
      </c>
      <c r="C604" s="6" t="s">
        <v>61</v>
      </c>
      <c r="D604" s="6" t="s">
        <v>652</v>
      </c>
      <c r="E604" s="6" t="s">
        <v>1874</v>
      </c>
      <c r="F604" s="6"/>
      <c r="G604" s="6" t="s">
        <v>3263</v>
      </c>
      <c r="H604" s="6" t="s">
        <v>3264</v>
      </c>
      <c r="I604" s="173">
        <v>63840</v>
      </c>
      <c r="J604" s="160" t="s">
        <v>1938</v>
      </c>
      <c r="K604" s="6" t="s">
        <v>1828</v>
      </c>
      <c r="L604" s="6"/>
      <c r="M604" s="6" t="s">
        <v>652</v>
      </c>
    </row>
    <row r="605" spans="1:13">
      <c r="A605" s="143">
        <v>2017</v>
      </c>
      <c r="B605" s="6" t="s">
        <v>3265</v>
      </c>
      <c r="C605" s="6"/>
      <c r="D605" s="6"/>
      <c r="E605" s="6"/>
      <c r="F605" s="6"/>
      <c r="G605" s="6"/>
      <c r="H605" s="6"/>
      <c r="I605" s="174"/>
      <c r="J605" s="6"/>
      <c r="K605" s="6"/>
      <c r="L605" s="6"/>
      <c r="M605" s="6"/>
    </row>
    <row r="606" spans="1:13">
      <c r="A606" s="143">
        <v>2017</v>
      </c>
      <c r="B606" s="6" t="s">
        <v>3266</v>
      </c>
      <c r="C606" s="6" t="s">
        <v>61</v>
      </c>
      <c r="D606" s="6" t="s">
        <v>586</v>
      </c>
      <c r="E606" s="6" t="s">
        <v>1874</v>
      </c>
      <c r="F606" s="6"/>
      <c r="G606" s="6" t="s">
        <v>3267</v>
      </c>
      <c r="H606" s="6" t="s">
        <v>3268</v>
      </c>
      <c r="I606" s="121">
        <v>8500</v>
      </c>
      <c r="J606" s="6" t="s">
        <v>3269</v>
      </c>
      <c r="K606" s="6" t="s">
        <v>1855</v>
      </c>
      <c r="L606" s="6"/>
      <c r="M606" s="6" t="s">
        <v>586</v>
      </c>
    </row>
    <row r="607" spans="1:13">
      <c r="A607" s="143">
        <v>2017</v>
      </c>
      <c r="B607" s="6" t="s">
        <v>3270</v>
      </c>
      <c r="C607" s="6" t="s">
        <v>61</v>
      </c>
      <c r="D607" s="6" t="s">
        <v>394</v>
      </c>
      <c r="E607" s="115" t="s">
        <v>1853</v>
      </c>
      <c r="F607" s="6"/>
      <c r="G607" s="6" t="s">
        <v>3271</v>
      </c>
      <c r="H607" s="6" t="s">
        <v>3272</v>
      </c>
      <c r="I607" s="121">
        <v>62000</v>
      </c>
      <c r="J607" s="6" t="s">
        <v>3273</v>
      </c>
      <c r="K607" s="6" t="s">
        <v>1896</v>
      </c>
      <c r="L607" s="6"/>
      <c r="M607" s="6" t="s">
        <v>394</v>
      </c>
    </row>
    <row r="608" spans="1:13">
      <c r="A608" s="143">
        <v>2017</v>
      </c>
      <c r="B608" s="160" t="s">
        <v>3274</v>
      </c>
      <c r="C608" s="6" t="s">
        <v>61</v>
      </c>
      <c r="D608" s="6" t="s">
        <v>394</v>
      </c>
      <c r="E608" s="115" t="s">
        <v>1853</v>
      </c>
      <c r="F608" s="6"/>
      <c r="G608" s="6" t="s">
        <v>3275</v>
      </c>
      <c r="H608" s="160" t="s">
        <v>3272</v>
      </c>
      <c r="I608" s="121">
        <v>32000</v>
      </c>
      <c r="J608" s="6" t="s">
        <v>3273</v>
      </c>
      <c r="K608" s="6" t="s">
        <v>1896</v>
      </c>
      <c r="L608" s="6"/>
      <c r="M608" s="6" t="s">
        <v>394</v>
      </c>
    </row>
    <row r="609" spans="1:13">
      <c r="A609" s="143">
        <v>2017</v>
      </c>
      <c r="B609" s="160" t="s">
        <v>3276</v>
      </c>
      <c r="C609" s="6" t="s">
        <v>61</v>
      </c>
      <c r="D609" s="115" t="s">
        <v>1383</v>
      </c>
      <c r="E609" s="115" t="s">
        <v>1859</v>
      </c>
      <c r="F609" s="6"/>
      <c r="G609" s="6" t="s">
        <v>3277</v>
      </c>
      <c r="H609" s="6" t="s">
        <v>3278</v>
      </c>
      <c r="I609" s="170">
        <v>40000</v>
      </c>
      <c r="J609" s="6" t="s">
        <v>3279</v>
      </c>
      <c r="K609" s="6" t="s">
        <v>1828</v>
      </c>
      <c r="L609" s="6"/>
      <c r="M609" s="6" t="s">
        <v>1383</v>
      </c>
    </row>
    <row r="610" spans="1:13">
      <c r="A610" s="143">
        <v>2017</v>
      </c>
      <c r="B610" s="160" t="s">
        <v>3280</v>
      </c>
      <c r="C610" s="6" t="s">
        <v>61</v>
      </c>
      <c r="D610" s="6" t="s">
        <v>394</v>
      </c>
      <c r="E610" s="115" t="s">
        <v>1853</v>
      </c>
      <c r="F610" s="6"/>
      <c r="G610" s="6" t="s">
        <v>3281</v>
      </c>
      <c r="H610" s="6" t="s">
        <v>3282</v>
      </c>
      <c r="I610" s="121">
        <v>31000</v>
      </c>
      <c r="J610" s="6" t="s">
        <v>3283</v>
      </c>
      <c r="K610" s="6" t="s">
        <v>1828</v>
      </c>
      <c r="L610" s="6"/>
      <c r="M610" s="6" t="s">
        <v>394</v>
      </c>
    </row>
    <row r="611" spans="1:13">
      <c r="A611" s="143">
        <v>2017</v>
      </c>
      <c r="B611" s="160" t="s">
        <v>3284</v>
      </c>
      <c r="C611" s="6" t="s">
        <v>61</v>
      </c>
      <c r="D611" s="6" t="s">
        <v>394</v>
      </c>
      <c r="E611" s="115" t="s">
        <v>1853</v>
      </c>
      <c r="F611" s="160"/>
      <c r="G611" s="160" t="s">
        <v>3285</v>
      </c>
      <c r="H611" s="6" t="s">
        <v>3286</v>
      </c>
      <c r="I611" s="170">
        <v>48900</v>
      </c>
      <c r="J611" s="6" t="s">
        <v>3287</v>
      </c>
      <c r="K611" s="6" t="s">
        <v>1899</v>
      </c>
      <c r="L611" s="160"/>
      <c r="M611" s="6" t="s">
        <v>394</v>
      </c>
    </row>
    <row r="612" spans="1:13">
      <c r="A612" s="143">
        <v>2017</v>
      </c>
      <c r="B612" s="160" t="s">
        <v>3288</v>
      </c>
      <c r="C612" s="6"/>
      <c r="D612" s="6"/>
      <c r="E612" s="6"/>
      <c r="F612" s="6"/>
      <c r="G612" s="6"/>
      <c r="H612" s="6"/>
      <c r="I612" s="121"/>
      <c r="J612" s="6"/>
      <c r="K612" s="6"/>
      <c r="L612" s="6"/>
      <c r="M612" s="6"/>
    </row>
    <row r="613" spans="1:13">
      <c r="A613" s="143">
        <v>2017</v>
      </c>
      <c r="B613" s="160" t="s">
        <v>3289</v>
      </c>
      <c r="C613" s="6" t="s">
        <v>61</v>
      </c>
      <c r="D613" s="115" t="s">
        <v>1383</v>
      </c>
      <c r="E613" s="115" t="s">
        <v>1859</v>
      </c>
      <c r="F613" s="6"/>
      <c r="G613" s="6" t="s">
        <v>3290</v>
      </c>
      <c r="H613" s="6" t="s">
        <v>3291</v>
      </c>
      <c r="I613" s="121">
        <v>15000</v>
      </c>
      <c r="J613" s="6" t="s">
        <v>3292</v>
      </c>
      <c r="K613" s="6" t="s">
        <v>1828</v>
      </c>
      <c r="L613" s="6"/>
      <c r="M613" s="6" t="s">
        <v>1383</v>
      </c>
    </row>
    <row r="614" spans="1:13">
      <c r="A614" s="143">
        <v>2017</v>
      </c>
      <c r="B614" s="160" t="s">
        <v>3293</v>
      </c>
      <c r="C614" s="6" t="s">
        <v>61</v>
      </c>
      <c r="D614" s="6" t="s">
        <v>1763</v>
      </c>
      <c r="E614" s="115" t="s">
        <v>1859</v>
      </c>
      <c r="F614" s="6"/>
      <c r="G614" s="6" t="s">
        <v>3294</v>
      </c>
      <c r="H614" s="6" t="s">
        <v>3295</v>
      </c>
      <c r="I614" s="121">
        <v>34200</v>
      </c>
      <c r="J614" s="6" t="s">
        <v>3296</v>
      </c>
      <c r="K614" s="6" t="s">
        <v>1828</v>
      </c>
      <c r="L614" s="6"/>
      <c r="M614" s="6" t="s">
        <v>1763</v>
      </c>
    </row>
    <row r="615" spans="1:13">
      <c r="A615" s="143">
        <v>2017</v>
      </c>
      <c r="B615" s="160" t="s">
        <v>3297</v>
      </c>
      <c r="C615" s="6" t="s">
        <v>61</v>
      </c>
      <c r="D615" s="112" t="s">
        <v>68</v>
      </c>
      <c r="E615" s="6" t="s">
        <v>1874</v>
      </c>
      <c r="F615" s="6"/>
      <c r="G615" s="6" t="s">
        <v>3298</v>
      </c>
      <c r="H615" s="6" t="s">
        <v>3299</v>
      </c>
      <c r="I615" s="121">
        <v>20000</v>
      </c>
      <c r="J615" s="6" t="s">
        <v>3300</v>
      </c>
      <c r="K615" s="6" t="s">
        <v>1828</v>
      </c>
      <c r="L615" s="6"/>
      <c r="M615" s="6" t="s">
        <v>68</v>
      </c>
    </row>
    <row r="616" spans="1:13">
      <c r="A616" s="143">
        <v>2017</v>
      </c>
      <c r="B616" s="160" t="s">
        <v>3301</v>
      </c>
      <c r="C616" s="6" t="s">
        <v>61</v>
      </c>
      <c r="D616" s="6" t="s">
        <v>586</v>
      </c>
      <c r="E616" s="6" t="s">
        <v>1874</v>
      </c>
      <c r="F616" s="6"/>
      <c r="G616" s="6" t="s">
        <v>3302</v>
      </c>
      <c r="H616" s="6" t="s">
        <v>3303</v>
      </c>
      <c r="I616" s="121">
        <v>13876.49</v>
      </c>
      <c r="J616" s="6" t="s">
        <v>3304</v>
      </c>
      <c r="K616" s="6" t="s">
        <v>1828</v>
      </c>
      <c r="L616" s="6"/>
      <c r="M616" s="6" t="s">
        <v>586</v>
      </c>
    </row>
    <row r="617" spans="1:13">
      <c r="A617" s="143">
        <v>2017</v>
      </c>
      <c r="B617" s="160" t="s">
        <v>3305</v>
      </c>
      <c r="C617" s="6" t="s">
        <v>61</v>
      </c>
      <c r="D617" s="6" t="s">
        <v>1763</v>
      </c>
      <c r="E617" s="115" t="s">
        <v>1859</v>
      </c>
      <c r="F617" s="6"/>
      <c r="G617" s="6" t="s">
        <v>3306</v>
      </c>
      <c r="H617" s="6" t="s">
        <v>3295</v>
      </c>
      <c r="I617" s="175">
        <v>42700</v>
      </c>
      <c r="J617" s="6" t="s">
        <v>3307</v>
      </c>
      <c r="K617" s="6" t="s">
        <v>1828</v>
      </c>
      <c r="L617" s="6"/>
      <c r="M617" s="6" t="s">
        <v>1763</v>
      </c>
    </row>
    <row r="618" spans="1:13">
      <c r="A618" s="143">
        <v>2017</v>
      </c>
      <c r="B618" s="160" t="s">
        <v>3308</v>
      </c>
      <c r="C618" s="6" t="s">
        <v>61</v>
      </c>
      <c r="D618" s="6" t="s">
        <v>1141</v>
      </c>
      <c r="E618" s="6" t="s">
        <v>1904</v>
      </c>
      <c r="F618" s="6"/>
      <c r="G618" s="6" t="s">
        <v>3309</v>
      </c>
      <c r="H618" s="6" t="s">
        <v>3310</v>
      </c>
      <c r="I618" s="121">
        <v>80702.94</v>
      </c>
      <c r="J618" s="6" t="s">
        <v>3311</v>
      </c>
      <c r="K618" s="6" t="s">
        <v>1899</v>
      </c>
      <c r="L618" s="6"/>
      <c r="M618" s="6" t="s">
        <v>1141</v>
      </c>
    </row>
    <row r="619" spans="1:13">
      <c r="A619" s="143">
        <v>2017</v>
      </c>
      <c r="B619" s="160" t="s">
        <v>3312</v>
      </c>
      <c r="C619" s="6" t="s">
        <v>61</v>
      </c>
      <c r="D619" s="115" t="s">
        <v>1383</v>
      </c>
      <c r="E619" s="115" t="s">
        <v>1859</v>
      </c>
      <c r="F619" s="6"/>
      <c r="G619" s="6" t="s">
        <v>3313</v>
      </c>
      <c r="H619" s="6" t="s">
        <v>2319</v>
      </c>
      <c r="I619" s="175">
        <v>15000</v>
      </c>
      <c r="J619" s="6" t="s">
        <v>3314</v>
      </c>
      <c r="K619" s="6" t="s">
        <v>1828</v>
      </c>
      <c r="L619" s="6"/>
      <c r="M619" s="6" t="s">
        <v>1383</v>
      </c>
    </row>
    <row r="620" spans="1:13">
      <c r="A620" s="143">
        <v>2017</v>
      </c>
      <c r="B620" s="160" t="s">
        <v>3315</v>
      </c>
      <c r="C620" s="6" t="s">
        <v>61</v>
      </c>
      <c r="D620" s="6" t="s">
        <v>394</v>
      </c>
      <c r="E620" s="115" t="s">
        <v>1853</v>
      </c>
      <c r="F620" s="6"/>
      <c r="G620" s="6" t="s">
        <v>3316</v>
      </c>
      <c r="H620" s="6" t="s">
        <v>3317</v>
      </c>
      <c r="I620" s="121">
        <v>63500</v>
      </c>
      <c r="J620" s="6" t="s">
        <v>3318</v>
      </c>
      <c r="K620" s="6" t="s">
        <v>1828</v>
      </c>
      <c r="L620" s="6"/>
      <c r="M620" s="6" t="s">
        <v>394</v>
      </c>
    </row>
    <row r="621" spans="1:13">
      <c r="A621" s="143">
        <v>2017</v>
      </c>
      <c r="B621" s="160" t="s">
        <v>3319</v>
      </c>
      <c r="C621" s="6" t="s">
        <v>61</v>
      </c>
      <c r="D621" s="6" t="s">
        <v>3168</v>
      </c>
      <c r="E621" s="115" t="s">
        <v>1859</v>
      </c>
      <c r="F621" s="6"/>
      <c r="G621" s="6" t="s">
        <v>3320</v>
      </c>
      <c r="H621" s="6" t="s">
        <v>3321</v>
      </c>
      <c r="I621" s="121">
        <v>20000</v>
      </c>
      <c r="J621" s="6" t="s">
        <v>3322</v>
      </c>
      <c r="K621" s="6" t="s">
        <v>1828</v>
      </c>
      <c r="L621" s="6"/>
      <c r="M621" s="6" t="s">
        <v>3168</v>
      </c>
    </row>
    <row r="622" spans="1:13">
      <c r="A622" s="143">
        <v>2017</v>
      </c>
      <c r="B622" s="160" t="s">
        <v>3323</v>
      </c>
      <c r="C622" s="6" t="s">
        <v>61</v>
      </c>
      <c r="D622" s="115" t="s">
        <v>1383</v>
      </c>
      <c r="E622" s="115" t="s">
        <v>1859</v>
      </c>
      <c r="F622" s="6"/>
      <c r="G622" s="6" t="s">
        <v>3324</v>
      </c>
      <c r="H622" s="6" t="s">
        <v>2620</v>
      </c>
      <c r="I622" s="121">
        <v>50000</v>
      </c>
      <c r="J622" s="6" t="s">
        <v>2793</v>
      </c>
      <c r="K622" s="6" t="s">
        <v>2130</v>
      </c>
      <c r="L622" s="6"/>
      <c r="M622" s="6" t="s">
        <v>1383</v>
      </c>
    </row>
    <row r="623" spans="1:13">
      <c r="A623" s="143">
        <v>2017</v>
      </c>
      <c r="B623" s="160" t="s">
        <v>3325</v>
      </c>
      <c r="C623" s="6" t="s">
        <v>61</v>
      </c>
      <c r="D623" s="6" t="s">
        <v>394</v>
      </c>
      <c r="E623" s="115" t="s">
        <v>1853</v>
      </c>
      <c r="F623" s="6"/>
      <c r="G623" s="6" t="s">
        <v>3326</v>
      </c>
      <c r="H623" s="6" t="s">
        <v>3327</v>
      </c>
      <c r="I623" s="121">
        <v>63500</v>
      </c>
      <c r="J623" s="6" t="s">
        <v>3328</v>
      </c>
      <c r="K623" s="6" t="s">
        <v>2085</v>
      </c>
      <c r="L623" s="6"/>
      <c r="M623" s="6" t="s">
        <v>394</v>
      </c>
    </row>
    <row r="624" spans="1:13">
      <c r="A624" s="143">
        <v>2017</v>
      </c>
      <c r="B624" s="160" t="s">
        <v>3329</v>
      </c>
      <c r="C624" s="6" t="s">
        <v>61</v>
      </c>
      <c r="D624" s="6" t="s">
        <v>394</v>
      </c>
      <c r="E624" s="115" t="s">
        <v>1853</v>
      </c>
      <c r="F624" s="6"/>
      <c r="G624" s="6" t="s">
        <v>3326</v>
      </c>
      <c r="H624" s="6" t="s">
        <v>572</v>
      </c>
      <c r="I624" s="121">
        <v>63500</v>
      </c>
      <c r="J624" s="6" t="s">
        <v>3330</v>
      </c>
      <c r="K624" s="6" t="s">
        <v>1855</v>
      </c>
      <c r="L624" s="6"/>
      <c r="M624" s="6" t="s">
        <v>394</v>
      </c>
    </row>
    <row r="625" spans="1:13">
      <c r="A625" s="143">
        <v>2017</v>
      </c>
      <c r="B625" s="160" t="s">
        <v>3331</v>
      </c>
      <c r="C625" s="6" t="s">
        <v>61</v>
      </c>
      <c r="D625" s="115" t="s">
        <v>1383</v>
      </c>
      <c r="E625" s="115" t="s">
        <v>1859</v>
      </c>
      <c r="F625" s="6"/>
      <c r="G625" s="6" t="s">
        <v>3332</v>
      </c>
      <c r="H625" s="6" t="s">
        <v>3333</v>
      </c>
      <c r="I625" s="121">
        <v>50000</v>
      </c>
      <c r="J625" s="6" t="s">
        <v>3334</v>
      </c>
      <c r="K625" s="6" t="s">
        <v>1828</v>
      </c>
      <c r="L625" s="6"/>
      <c r="M625" s="6" t="s">
        <v>3335</v>
      </c>
    </row>
    <row r="626" spans="1:13">
      <c r="A626" s="143">
        <v>2017</v>
      </c>
      <c r="B626" s="160" t="s">
        <v>3336</v>
      </c>
      <c r="C626" s="6" t="s">
        <v>61</v>
      </c>
      <c r="D626" s="115" t="s">
        <v>1383</v>
      </c>
      <c r="E626" s="115" t="s">
        <v>1859</v>
      </c>
      <c r="F626" s="6"/>
      <c r="G626" s="6" t="s">
        <v>3337</v>
      </c>
      <c r="H626" s="6" t="s">
        <v>811</v>
      </c>
      <c r="I626" s="121">
        <v>63000</v>
      </c>
      <c r="J626" s="6" t="s">
        <v>2924</v>
      </c>
      <c r="K626" s="6" t="s">
        <v>1828</v>
      </c>
      <c r="L626" s="6"/>
      <c r="M626" s="6" t="s">
        <v>1383</v>
      </c>
    </row>
    <row r="627" spans="1:13">
      <c r="A627" s="143">
        <v>2017</v>
      </c>
      <c r="B627" s="160" t="s">
        <v>3338</v>
      </c>
      <c r="C627" s="6" t="s">
        <v>61</v>
      </c>
      <c r="D627" s="115" t="s">
        <v>1383</v>
      </c>
      <c r="E627" s="115" t="s">
        <v>1859</v>
      </c>
      <c r="F627" s="6"/>
      <c r="G627" s="6" t="s">
        <v>3339</v>
      </c>
      <c r="H627" s="6" t="s">
        <v>3340</v>
      </c>
      <c r="I627" s="121">
        <v>47000</v>
      </c>
      <c r="J627" s="6" t="s">
        <v>3341</v>
      </c>
      <c r="K627" s="6" t="s">
        <v>1828</v>
      </c>
      <c r="L627" s="6"/>
      <c r="M627" s="6" t="s">
        <v>1383</v>
      </c>
    </row>
    <row r="628" spans="1:13">
      <c r="A628" s="143">
        <v>2017</v>
      </c>
      <c r="B628" s="160" t="s">
        <v>3342</v>
      </c>
      <c r="C628" s="6" t="s">
        <v>61</v>
      </c>
      <c r="D628" s="112" t="s">
        <v>68</v>
      </c>
      <c r="E628" s="6" t="s">
        <v>1874</v>
      </c>
      <c r="F628" s="6"/>
      <c r="G628" s="6" t="s">
        <v>3343</v>
      </c>
      <c r="H628" s="6" t="s">
        <v>3344</v>
      </c>
      <c r="I628" s="121">
        <v>98500</v>
      </c>
      <c r="J628" s="6" t="s">
        <v>3345</v>
      </c>
      <c r="K628" s="6" t="s">
        <v>1828</v>
      </c>
      <c r="L628" s="6"/>
      <c r="M628" s="6" t="s">
        <v>68</v>
      </c>
    </row>
    <row r="629" spans="1:13">
      <c r="A629" s="143">
        <v>2017</v>
      </c>
      <c r="B629" s="160" t="s">
        <v>3346</v>
      </c>
      <c r="C629" s="6" t="s">
        <v>61</v>
      </c>
      <c r="D629" s="6" t="s">
        <v>2834</v>
      </c>
      <c r="E629" s="6" t="s">
        <v>1874</v>
      </c>
      <c r="F629" s="6"/>
      <c r="G629" s="6" t="s">
        <v>3347</v>
      </c>
      <c r="H629" s="6" t="s">
        <v>3348</v>
      </c>
      <c r="I629" s="121">
        <v>68045.67</v>
      </c>
      <c r="J629" s="6" t="s">
        <v>3349</v>
      </c>
      <c r="K629" s="6" t="s">
        <v>1855</v>
      </c>
      <c r="L629" s="6"/>
      <c r="M629" s="6" t="s">
        <v>2834</v>
      </c>
    </row>
    <row r="630" spans="1:13">
      <c r="A630" s="143">
        <v>2017</v>
      </c>
      <c r="B630" s="160" t="s">
        <v>3350</v>
      </c>
      <c r="C630" s="6"/>
      <c r="D630" s="6"/>
      <c r="E630" s="6"/>
      <c r="F630" s="6"/>
      <c r="G630" s="6"/>
      <c r="H630" s="6"/>
      <c r="I630" s="121"/>
      <c r="J630" s="6"/>
      <c r="K630" s="6"/>
      <c r="L630" s="6"/>
      <c r="M630" s="6"/>
    </row>
    <row r="631" spans="1:13">
      <c r="A631" s="143">
        <v>2017</v>
      </c>
      <c r="B631" s="160" t="s">
        <v>3351</v>
      </c>
      <c r="C631" s="6" t="s">
        <v>61</v>
      </c>
      <c r="D631" s="112" t="s">
        <v>68</v>
      </c>
      <c r="E631" s="6" t="s">
        <v>1874</v>
      </c>
      <c r="F631" s="6"/>
      <c r="G631" s="6" t="s">
        <v>3352</v>
      </c>
      <c r="H631" s="6" t="s">
        <v>3353</v>
      </c>
      <c r="I631" s="121">
        <v>82960</v>
      </c>
      <c r="J631" s="6" t="s">
        <v>3354</v>
      </c>
      <c r="K631" s="6" t="s">
        <v>1828</v>
      </c>
      <c r="L631" s="6"/>
      <c r="M631" s="6" t="s">
        <v>68</v>
      </c>
    </row>
    <row r="632" spans="1:13">
      <c r="A632" s="143">
        <v>2017</v>
      </c>
      <c r="B632" s="160" t="s">
        <v>3355</v>
      </c>
      <c r="C632" s="6" t="s">
        <v>61</v>
      </c>
      <c r="D632" s="6" t="s">
        <v>2834</v>
      </c>
      <c r="E632" s="6" t="s">
        <v>1874</v>
      </c>
      <c r="F632" s="6"/>
      <c r="G632" s="6" t="s">
        <v>3356</v>
      </c>
      <c r="H632" s="6" t="s">
        <v>3357</v>
      </c>
      <c r="I632" s="121">
        <v>99872</v>
      </c>
      <c r="J632" s="6" t="s">
        <v>3358</v>
      </c>
      <c r="K632" s="6" t="s">
        <v>2082</v>
      </c>
      <c r="L632" s="6"/>
      <c r="M632" s="6" t="s">
        <v>2834</v>
      </c>
    </row>
    <row r="633" spans="1:13">
      <c r="A633" s="143">
        <v>2017</v>
      </c>
      <c r="B633" s="160" t="s">
        <v>3359</v>
      </c>
      <c r="C633" s="6" t="s">
        <v>61</v>
      </c>
      <c r="D633" s="6" t="s">
        <v>652</v>
      </c>
      <c r="E633" s="6" t="s">
        <v>1874</v>
      </c>
      <c r="F633" s="6"/>
      <c r="G633" s="6" t="s">
        <v>3360</v>
      </c>
      <c r="H633" s="6" t="s">
        <v>811</v>
      </c>
      <c r="I633" s="121">
        <v>45940</v>
      </c>
      <c r="J633" s="6" t="s">
        <v>3001</v>
      </c>
      <c r="K633" s="6" t="s">
        <v>1828</v>
      </c>
      <c r="L633" s="6"/>
      <c r="M633" s="6" t="s">
        <v>652</v>
      </c>
    </row>
    <row r="634" spans="1:13">
      <c r="A634" s="143">
        <v>2017</v>
      </c>
      <c r="B634" s="160" t="s">
        <v>3361</v>
      </c>
      <c r="C634" s="6" t="s">
        <v>61</v>
      </c>
      <c r="D634" s="6" t="s">
        <v>652</v>
      </c>
      <c r="E634" s="6" t="s">
        <v>1874</v>
      </c>
      <c r="F634" s="6"/>
      <c r="G634" s="6" t="s">
        <v>3362</v>
      </c>
      <c r="H634" s="6" t="s">
        <v>3363</v>
      </c>
      <c r="I634" s="121">
        <v>87443.73</v>
      </c>
      <c r="J634" s="6" t="s">
        <v>3364</v>
      </c>
      <c r="K634" s="6" t="s">
        <v>1919</v>
      </c>
      <c r="L634" s="6"/>
      <c r="M634" s="6" t="s">
        <v>652</v>
      </c>
    </row>
    <row r="635" spans="1:13">
      <c r="A635" s="143">
        <v>2017</v>
      </c>
      <c r="B635" s="160" t="s">
        <v>3365</v>
      </c>
      <c r="C635" s="6" t="s">
        <v>61</v>
      </c>
      <c r="D635" s="6" t="s">
        <v>394</v>
      </c>
      <c r="E635" s="115" t="s">
        <v>1853</v>
      </c>
      <c r="F635" s="6"/>
      <c r="G635" s="6" t="s">
        <v>3366</v>
      </c>
      <c r="H635" s="6" t="s">
        <v>3367</v>
      </c>
      <c r="I635" s="121">
        <v>98800</v>
      </c>
      <c r="J635" s="6" t="s">
        <v>3368</v>
      </c>
      <c r="K635" s="6" t="s">
        <v>1828</v>
      </c>
      <c r="L635" s="6"/>
      <c r="M635" s="6" t="s">
        <v>394</v>
      </c>
    </row>
    <row r="636" spans="1:13">
      <c r="A636" s="143">
        <v>2017</v>
      </c>
      <c r="B636" s="160" t="s">
        <v>3369</v>
      </c>
      <c r="C636" s="6" t="s">
        <v>3370</v>
      </c>
      <c r="D636" s="6" t="s">
        <v>3371</v>
      </c>
      <c r="E636" s="6"/>
      <c r="F636" s="6"/>
      <c r="G636" s="6" t="s">
        <v>3372</v>
      </c>
      <c r="H636" s="6" t="s">
        <v>3373</v>
      </c>
      <c r="I636" s="121">
        <v>29000</v>
      </c>
      <c r="J636" s="6" t="s">
        <v>3368</v>
      </c>
      <c r="K636" s="6" t="s">
        <v>1828</v>
      </c>
      <c r="L636" s="6"/>
      <c r="M636" s="6" t="s">
        <v>3371</v>
      </c>
    </row>
    <row r="637" spans="1:13">
      <c r="A637" s="143">
        <v>2017</v>
      </c>
      <c r="B637" s="160" t="s">
        <v>3374</v>
      </c>
      <c r="C637" s="6" t="s">
        <v>61</v>
      </c>
      <c r="D637" s="6" t="s">
        <v>1763</v>
      </c>
      <c r="E637" s="115" t="s">
        <v>1859</v>
      </c>
      <c r="F637" s="6"/>
      <c r="G637" s="6" t="s">
        <v>3375</v>
      </c>
      <c r="H637" s="6" t="s">
        <v>1728</v>
      </c>
      <c r="I637" s="121">
        <v>41000</v>
      </c>
      <c r="J637" s="6" t="s">
        <v>3376</v>
      </c>
      <c r="K637" s="6" t="s">
        <v>1828</v>
      </c>
      <c r="L637" s="6"/>
      <c r="M637" s="6" t="s">
        <v>1763</v>
      </c>
    </row>
    <row r="638" spans="1:13">
      <c r="A638" s="143">
        <v>2017</v>
      </c>
      <c r="B638" s="160" t="s">
        <v>3377</v>
      </c>
      <c r="C638" s="6" t="s">
        <v>61</v>
      </c>
      <c r="D638" s="6" t="s">
        <v>652</v>
      </c>
      <c r="E638" s="6" t="s">
        <v>1874</v>
      </c>
      <c r="F638" s="6"/>
      <c r="G638" s="6" t="s">
        <v>3378</v>
      </c>
      <c r="H638" s="6" t="s">
        <v>3379</v>
      </c>
      <c r="I638" s="121">
        <v>99926</v>
      </c>
      <c r="J638" s="6" t="s">
        <v>3380</v>
      </c>
      <c r="K638" s="6" t="s">
        <v>1899</v>
      </c>
      <c r="L638" s="6"/>
      <c r="M638" s="6" t="s">
        <v>652</v>
      </c>
    </row>
    <row r="639" spans="1:13">
      <c r="A639" s="143">
        <v>2017</v>
      </c>
      <c r="B639" s="160" t="s">
        <v>3381</v>
      </c>
      <c r="C639" s="6" t="s">
        <v>61</v>
      </c>
      <c r="D639" s="6" t="s">
        <v>394</v>
      </c>
      <c r="E639" s="115" t="s">
        <v>1853</v>
      </c>
      <c r="F639" s="6"/>
      <c r="G639" s="6" t="s">
        <v>3382</v>
      </c>
      <c r="H639" s="6" t="s">
        <v>3383</v>
      </c>
      <c r="I639" s="121">
        <v>100000</v>
      </c>
      <c r="J639" s="6" t="s">
        <v>3384</v>
      </c>
      <c r="K639" s="6" t="s">
        <v>1916</v>
      </c>
      <c r="L639" s="6"/>
      <c r="M639" s="6" t="s">
        <v>394</v>
      </c>
    </row>
    <row r="640" spans="1:13">
      <c r="A640" s="143">
        <v>2017</v>
      </c>
      <c r="B640" s="160" t="s">
        <v>3385</v>
      </c>
      <c r="C640" s="6" t="s">
        <v>61</v>
      </c>
      <c r="D640" s="6" t="s">
        <v>394</v>
      </c>
      <c r="E640" s="115" t="s">
        <v>1853</v>
      </c>
      <c r="F640" s="6"/>
      <c r="G640" s="6" t="s">
        <v>3382</v>
      </c>
      <c r="H640" s="6" t="s">
        <v>3383</v>
      </c>
      <c r="I640" s="121">
        <v>100000</v>
      </c>
      <c r="J640" s="6" t="s">
        <v>3384</v>
      </c>
      <c r="K640" s="6" t="s">
        <v>1916</v>
      </c>
      <c r="L640" s="6"/>
      <c r="M640" s="6" t="s">
        <v>394</v>
      </c>
    </row>
    <row r="641" spans="1:13">
      <c r="A641" s="143">
        <v>2017</v>
      </c>
      <c r="B641" s="160" t="s">
        <v>3386</v>
      </c>
      <c r="C641" s="6" t="s">
        <v>61</v>
      </c>
      <c r="D641" s="6" t="s">
        <v>586</v>
      </c>
      <c r="E641" s="6" t="s">
        <v>1874</v>
      </c>
      <c r="F641" s="6"/>
      <c r="G641" s="6" t="s">
        <v>3387</v>
      </c>
      <c r="H641" s="6" t="s">
        <v>3388</v>
      </c>
      <c r="I641" s="121">
        <v>28250</v>
      </c>
      <c r="J641" s="6" t="s">
        <v>3389</v>
      </c>
      <c r="K641" s="6" t="s">
        <v>1828</v>
      </c>
      <c r="L641" s="6"/>
      <c r="M641" s="6" t="s">
        <v>586</v>
      </c>
    </row>
    <row r="642" spans="1:13">
      <c r="A642" s="143">
        <v>2017</v>
      </c>
      <c r="B642" s="160" t="s">
        <v>3390</v>
      </c>
      <c r="C642" s="6" t="s">
        <v>61</v>
      </c>
      <c r="D642" s="6" t="s">
        <v>394</v>
      </c>
      <c r="E642" s="115" t="s">
        <v>1853</v>
      </c>
      <c r="F642" s="6"/>
      <c r="G642" s="6" t="s">
        <v>3391</v>
      </c>
      <c r="H642" s="6" t="s">
        <v>3392</v>
      </c>
      <c r="I642" s="121">
        <v>63500</v>
      </c>
      <c r="J642" s="6" t="s">
        <v>3311</v>
      </c>
      <c r="K642" s="6" t="s">
        <v>1899</v>
      </c>
      <c r="L642" s="6"/>
      <c r="M642" s="6" t="s">
        <v>394</v>
      </c>
    </row>
    <row r="643" spans="1:13">
      <c r="A643" s="143">
        <v>2017</v>
      </c>
      <c r="B643" s="160" t="s">
        <v>3393</v>
      </c>
      <c r="C643" s="6"/>
      <c r="D643" s="6"/>
      <c r="E643" s="6"/>
      <c r="F643" s="6"/>
      <c r="G643" s="6"/>
      <c r="H643" s="6"/>
      <c r="I643" s="121"/>
      <c r="J643" s="6"/>
      <c r="K643" s="6"/>
      <c r="L643" s="6"/>
      <c r="M643" s="6"/>
    </row>
    <row r="644" spans="1:13">
      <c r="A644" s="143">
        <v>2017</v>
      </c>
      <c r="B644" s="160" t="s">
        <v>3394</v>
      </c>
      <c r="C644" s="6" t="s">
        <v>61</v>
      </c>
      <c r="D644" s="6" t="s">
        <v>1763</v>
      </c>
      <c r="E644" s="115" t="s">
        <v>1859</v>
      </c>
      <c r="F644" s="6"/>
      <c r="G644" s="6" t="s">
        <v>3395</v>
      </c>
      <c r="H644" s="6" t="s">
        <v>3396</v>
      </c>
      <c r="I644" s="121">
        <v>90000</v>
      </c>
      <c r="J644" s="6" t="s">
        <v>3397</v>
      </c>
      <c r="K644" s="6" t="s">
        <v>1886</v>
      </c>
      <c r="L644" s="6"/>
      <c r="M644" s="6" t="s">
        <v>1763</v>
      </c>
    </row>
    <row r="645" spans="1:13">
      <c r="A645" s="143">
        <v>2017</v>
      </c>
      <c r="B645" s="160" t="s">
        <v>3398</v>
      </c>
      <c r="C645" s="6" t="s">
        <v>61</v>
      </c>
      <c r="D645" s="6" t="s">
        <v>1763</v>
      </c>
      <c r="E645" s="115" t="s">
        <v>1859</v>
      </c>
      <c r="F645" s="6"/>
      <c r="G645" s="6" t="s">
        <v>3399</v>
      </c>
      <c r="H645" s="6" t="s">
        <v>3400</v>
      </c>
      <c r="I645" s="121">
        <v>40000</v>
      </c>
      <c r="J645" s="6" t="s">
        <v>3401</v>
      </c>
      <c r="K645" s="6" t="s">
        <v>1828</v>
      </c>
      <c r="L645" s="6"/>
      <c r="M645" s="6" t="s">
        <v>1763</v>
      </c>
    </row>
    <row r="646" spans="1:13">
      <c r="A646" s="143">
        <v>2017</v>
      </c>
      <c r="B646" s="160" t="s">
        <v>3402</v>
      </c>
      <c r="C646" s="6" t="s">
        <v>61</v>
      </c>
      <c r="D646" s="6" t="s">
        <v>394</v>
      </c>
      <c r="E646" s="115" t="s">
        <v>1853</v>
      </c>
      <c r="F646" s="6"/>
      <c r="G646" s="6" t="s">
        <v>3403</v>
      </c>
      <c r="H646" s="6" t="s">
        <v>3404</v>
      </c>
      <c r="I646" s="121">
        <v>63500</v>
      </c>
      <c r="J646" s="6" t="s">
        <v>3405</v>
      </c>
      <c r="K646" s="6" t="s">
        <v>2130</v>
      </c>
      <c r="L646" s="6"/>
      <c r="M646" s="6" t="s">
        <v>394</v>
      </c>
    </row>
    <row r="647" spans="1:13">
      <c r="A647" s="143">
        <v>2017</v>
      </c>
      <c r="B647" s="160" t="s">
        <v>3406</v>
      </c>
      <c r="C647" s="6" t="s">
        <v>61</v>
      </c>
      <c r="D647" s="115" t="s">
        <v>1383</v>
      </c>
      <c r="E647" s="115" t="s">
        <v>1859</v>
      </c>
      <c r="F647" s="6"/>
      <c r="G647" s="6" t="s">
        <v>3407</v>
      </c>
      <c r="H647" s="6" t="s">
        <v>3408</v>
      </c>
      <c r="I647" s="121">
        <v>50000</v>
      </c>
      <c r="J647" s="6" t="s">
        <v>3409</v>
      </c>
      <c r="K647" s="6" t="s">
        <v>1828</v>
      </c>
      <c r="L647" s="6"/>
      <c r="M647" s="6" t="s">
        <v>1383</v>
      </c>
    </row>
    <row r="648" spans="1:13">
      <c r="A648" s="143">
        <v>2017</v>
      </c>
      <c r="B648" s="160" t="s">
        <v>3410</v>
      </c>
      <c r="C648" s="6" t="s">
        <v>61</v>
      </c>
      <c r="D648" s="6" t="s">
        <v>586</v>
      </c>
      <c r="E648" s="6" t="s">
        <v>1874</v>
      </c>
      <c r="F648" s="6"/>
      <c r="G648" s="6" t="s">
        <v>3411</v>
      </c>
      <c r="H648" s="6" t="s">
        <v>3412</v>
      </c>
      <c r="I648" s="121">
        <v>8500</v>
      </c>
      <c r="J648" s="6" t="s">
        <v>3413</v>
      </c>
      <c r="K648" s="6" t="s">
        <v>1828</v>
      </c>
      <c r="L648" s="6"/>
      <c r="M648" s="6" t="s">
        <v>586</v>
      </c>
    </row>
    <row r="649" spans="1:13">
      <c r="A649" s="143">
        <v>2017</v>
      </c>
      <c r="B649" s="160" t="s">
        <v>3414</v>
      </c>
      <c r="C649" s="6" t="s">
        <v>61</v>
      </c>
      <c r="D649" s="6" t="s">
        <v>394</v>
      </c>
      <c r="E649" s="115" t="s">
        <v>1853</v>
      </c>
      <c r="F649" s="6"/>
      <c r="G649" s="6" t="s">
        <v>3415</v>
      </c>
      <c r="H649" s="6" t="s">
        <v>3416</v>
      </c>
      <c r="I649" s="121">
        <v>30000</v>
      </c>
      <c r="J649" s="6" t="s">
        <v>3417</v>
      </c>
      <c r="K649" s="6" t="s">
        <v>1828</v>
      </c>
      <c r="L649" s="6"/>
      <c r="M649" s="6" t="s">
        <v>394</v>
      </c>
    </row>
    <row r="650" spans="1:13">
      <c r="A650" s="143">
        <v>2017</v>
      </c>
      <c r="B650" s="160" t="s">
        <v>3418</v>
      </c>
      <c r="C650" s="6" t="s">
        <v>61</v>
      </c>
      <c r="D650" s="6" t="s">
        <v>394</v>
      </c>
      <c r="E650" s="115" t="s">
        <v>1853</v>
      </c>
      <c r="F650" s="6"/>
      <c r="G650" s="6" t="s">
        <v>3419</v>
      </c>
      <c r="H650" s="6" t="s">
        <v>3420</v>
      </c>
      <c r="I650" s="121">
        <v>30000</v>
      </c>
      <c r="J650" s="6" t="s">
        <v>3421</v>
      </c>
      <c r="K650" s="6" t="s">
        <v>2085</v>
      </c>
      <c r="L650" s="6"/>
      <c r="M650" s="6" t="s">
        <v>394</v>
      </c>
    </row>
    <row r="651" spans="1:13">
      <c r="A651" s="143">
        <v>2017</v>
      </c>
      <c r="B651" s="160" t="s">
        <v>3422</v>
      </c>
      <c r="C651" s="6" t="s">
        <v>61</v>
      </c>
      <c r="D651" s="6" t="s">
        <v>394</v>
      </c>
      <c r="E651" s="115" t="s">
        <v>1853</v>
      </c>
      <c r="F651" s="6"/>
      <c r="G651" s="6" t="s">
        <v>3403</v>
      </c>
      <c r="H651" s="6" t="s">
        <v>3423</v>
      </c>
      <c r="I651" s="121">
        <v>12000</v>
      </c>
      <c r="J651" s="6" t="s">
        <v>3405</v>
      </c>
      <c r="K651" s="6" t="s">
        <v>2130</v>
      </c>
      <c r="L651" s="6"/>
      <c r="M651" s="6" t="s">
        <v>394</v>
      </c>
    </row>
    <row r="652" spans="1:13">
      <c r="A652" s="143">
        <v>2017</v>
      </c>
      <c r="B652" s="160" t="s">
        <v>3424</v>
      </c>
      <c r="C652" s="6" t="s">
        <v>61</v>
      </c>
      <c r="D652" s="6" t="s">
        <v>394</v>
      </c>
      <c r="E652" s="115" t="s">
        <v>1853</v>
      </c>
      <c r="F652" s="6"/>
      <c r="G652" s="6" t="s">
        <v>3425</v>
      </c>
      <c r="H652" s="6" t="s">
        <v>3426</v>
      </c>
      <c r="I652" s="121">
        <v>64000</v>
      </c>
      <c r="J652" s="6" t="s">
        <v>3427</v>
      </c>
      <c r="K652" s="6" t="s">
        <v>1855</v>
      </c>
      <c r="L652" s="6"/>
      <c r="M652" s="6" t="s">
        <v>394</v>
      </c>
    </row>
    <row r="653" spans="1:13">
      <c r="A653" s="143">
        <v>2017</v>
      </c>
      <c r="B653" s="160" t="s">
        <v>3428</v>
      </c>
      <c r="C653" s="6" t="s">
        <v>61</v>
      </c>
      <c r="D653" s="115" t="s">
        <v>1383</v>
      </c>
      <c r="E653" s="115" t="s">
        <v>1859</v>
      </c>
      <c r="F653" s="6"/>
      <c r="G653" s="6" t="s">
        <v>3429</v>
      </c>
      <c r="H653" s="6" t="s">
        <v>3430</v>
      </c>
      <c r="I653" s="121">
        <v>100000</v>
      </c>
      <c r="J653" s="6" t="s">
        <v>3431</v>
      </c>
      <c r="K653" s="6" t="s">
        <v>2047</v>
      </c>
      <c r="L653" s="6"/>
      <c r="M653" s="6" t="s">
        <v>1383</v>
      </c>
    </row>
    <row r="654" spans="1:13">
      <c r="A654" s="143">
        <v>2017</v>
      </c>
      <c r="B654" s="160" t="s">
        <v>3432</v>
      </c>
      <c r="C654" s="6" t="s">
        <v>61</v>
      </c>
      <c r="D654" s="9" t="s">
        <v>62</v>
      </c>
      <c r="E654" s="6" t="s">
        <v>1904</v>
      </c>
      <c r="F654" s="6"/>
      <c r="G654" s="6" t="s">
        <v>3433</v>
      </c>
      <c r="H654" s="6" t="s">
        <v>3434</v>
      </c>
      <c r="I654" s="121">
        <v>793460</v>
      </c>
      <c r="J654" s="6" t="s">
        <v>3435</v>
      </c>
      <c r="K654" s="6" t="s">
        <v>1828</v>
      </c>
      <c r="L654" s="6"/>
      <c r="M654" s="6" t="s">
        <v>62</v>
      </c>
    </row>
    <row r="655" spans="1:13">
      <c r="A655" s="143">
        <v>2017</v>
      </c>
      <c r="B655" s="160" t="s">
        <v>3436</v>
      </c>
      <c r="C655" s="6" t="s">
        <v>61</v>
      </c>
      <c r="D655" s="6" t="s">
        <v>586</v>
      </c>
      <c r="E655" s="6" t="s">
        <v>1874</v>
      </c>
      <c r="F655" s="6"/>
      <c r="G655" s="6" t="s">
        <v>3437</v>
      </c>
      <c r="H655" s="6" t="s">
        <v>3438</v>
      </c>
      <c r="I655" s="121">
        <v>8500</v>
      </c>
      <c r="J655" s="6" t="s">
        <v>3439</v>
      </c>
      <c r="K655" s="6" t="s">
        <v>1828</v>
      </c>
      <c r="L655" s="6"/>
      <c r="M655" s="6" t="s">
        <v>586</v>
      </c>
    </row>
    <row r="656" spans="1:13">
      <c r="A656" s="143">
        <v>2017</v>
      </c>
      <c r="B656" s="160" t="s">
        <v>3440</v>
      </c>
      <c r="C656" s="6" t="s">
        <v>61</v>
      </c>
      <c r="D656" s="6" t="s">
        <v>1141</v>
      </c>
      <c r="E656" s="6" t="s">
        <v>1904</v>
      </c>
      <c r="F656" s="6"/>
      <c r="G656" s="6" t="s">
        <v>3441</v>
      </c>
      <c r="H656" s="6" t="s">
        <v>3442</v>
      </c>
      <c r="I656" s="121">
        <v>94008.75</v>
      </c>
      <c r="J656" s="6" t="s">
        <v>3443</v>
      </c>
      <c r="K656" s="6" t="s">
        <v>1899</v>
      </c>
      <c r="L656" s="6"/>
      <c r="M656" s="6" t="s">
        <v>1141</v>
      </c>
    </row>
    <row r="657" spans="1:13">
      <c r="A657" s="143">
        <v>2017</v>
      </c>
      <c r="B657" s="160" t="s">
        <v>3444</v>
      </c>
      <c r="C657" s="6" t="s">
        <v>61</v>
      </c>
      <c r="D657" s="6" t="s">
        <v>586</v>
      </c>
      <c r="E657" s="6" t="s">
        <v>1874</v>
      </c>
      <c r="F657" s="6"/>
      <c r="G657" s="6" t="s">
        <v>3445</v>
      </c>
      <c r="H657" s="6" t="s">
        <v>2625</v>
      </c>
      <c r="I657" s="121">
        <v>8500</v>
      </c>
      <c r="J657" s="6" t="s">
        <v>3446</v>
      </c>
      <c r="K657" s="6" t="s">
        <v>1886</v>
      </c>
      <c r="L657" s="6"/>
      <c r="M657" s="6" t="s">
        <v>586</v>
      </c>
    </row>
    <row r="658" spans="1:13">
      <c r="A658" s="143">
        <v>2017</v>
      </c>
      <c r="B658" s="160" t="s">
        <v>3447</v>
      </c>
      <c r="C658" s="6" t="s">
        <v>61</v>
      </c>
      <c r="D658" s="115" t="s">
        <v>1383</v>
      </c>
      <c r="E658" s="115" t="s">
        <v>1859</v>
      </c>
      <c r="F658" s="6"/>
      <c r="G658" s="6" t="s">
        <v>3448</v>
      </c>
      <c r="H658" s="6" t="s">
        <v>3449</v>
      </c>
      <c r="I658" s="121">
        <v>50000</v>
      </c>
      <c r="J658" s="6" t="s">
        <v>3450</v>
      </c>
      <c r="K658" s="6" t="s">
        <v>1828</v>
      </c>
      <c r="L658" s="6"/>
      <c r="M658" s="6" t="s">
        <v>1383</v>
      </c>
    </row>
    <row r="659" spans="1:13">
      <c r="A659" s="143">
        <v>2017</v>
      </c>
      <c r="B659" s="160" t="s">
        <v>3451</v>
      </c>
      <c r="C659" s="6" t="s">
        <v>61</v>
      </c>
      <c r="D659" s="6" t="s">
        <v>1262</v>
      </c>
      <c r="E659" s="6" t="s">
        <v>1904</v>
      </c>
      <c r="F659" s="6"/>
      <c r="G659" s="6" t="s">
        <v>3452</v>
      </c>
      <c r="H659" s="6" t="s">
        <v>3453</v>
      </c>
      <c r="I659" s="121">
        <v>1135672</v>
      </c>
      <c r="J659" s="6" t="s">
        <v>3454</v>
      </c>
      <c r="K659" s="6" t="s">
        <v>1828</v>
      </c>
      <c r="L659" s="6"/>
      <c r="M659" s="6" t="s">
        <v>1262</v>
      </c>
    </row>
    <row r="660" spans="1:13">
      <c r="A660" s="143">
        <v>2017</v>
      </c>
      <c r="B660" s="160" t="s">
        <v>3455</v>
      </c>
      <c r="C660" s="6" t="s">
        <v>61</v>
      </c>
      <c r="D660" s="6" t="s">
        <v>394</v>
      </c>
      <c r="E660" s="115" t="s">
        <v>1853</v>
      </c>
      <c r="F660" s="6"/>
      <c r="G660" s="6" t="s">
        <v>3456</v>
      </c>
      <c r="H660" s="6" t="s">
        <v>811</v>
      </c>
      <c r="I660" s="121">
        <v>96000</v>
      </c>
      <c r="J660" s="6" t="s">
        <v>3368</v>
      </c>
      <c r="K660" s="6" t="s">
        <v>1828</v>
      </c>
      <c r="L660" s="6"/>
      <c r="M660" s="6" t="s">
        <v>394</v>
      </c>
    </row>
    <row r="661" spans="1:13">
      <c r="A661" s="143">
        <v>2017</v>
      </c>
      <c r="B661" s="160" t="s">
        <v>3457</v>
      </c>
      <c r="C661" s="6" t="s">
        <v>61</v>
      </c>
      <c r="D661" s="6" t="s">
        <v>394</v>
      </c>
      <c r="E661" s="115" t="s">
        <v>1853</v>
      </c>
      <c r="F661" s="6"/>
      <c r="G661" s="6" t="s">
        <v>3458</v>
      </c>
      <c r="H661" s="6" t="s">
        <v>3459</v>
      </c>
      <c r="I661" s="121">
        <v>86000</v>
      </c>
      <c r="J661" s="6" t="s">
        <v>2924</v>
      </c>
      <c r="K661" s="6" t="s">
        <v>1828</v>
      </c>
      <c r="L661" s="6"/>
      <c r="M661" s="6" t="s">
        <v>394</v>
      </c>
    </row>
    <row r="662" spans="1:13">
      <c r="A662" s="143">
        <v>2017</v>
      </c>
      <c r="B662" s="160" t="s">
        <v>3460</v>
      </c>
      <c r="C662" s="6" t="s">
        <v>61</v>
      </c>
      <c r="D662" s="6" t="s">
        <v>394</v>
      </c>
      <c r="E662" s="115" t="s">
        <v>1853</v>
      </c>
      <c r="F662" s="6"/>
      <c r="G662" s="6" t="s">
        <v>3461</v>
      </c>
      <c r="H662" s="6" t="s">
        <v>3459</v>
      </c>
      <c r="I662" s="121">
        <v>33000</v>
      </c>
      <c r="J662" s="6" t="s">
        <v>2924</v>
      </c>
      <c r="K662" s="6" t="s">
        <v>1828</v>
      </c>
      <c r="L662" s="6"/>
      <c r="M662" s="6" t="s">
        <v>394</v>
      </c>
    </row>
    <row r="663" spans="1:13">
      <c r="A663" s="143">
        <v>2017</v>
      </c>
      <c r="B663" s="160" t="s">
        <v>3462</v>
      </c>
      <c r="C663" s="6" t="s">
        <v>61</v>
      </c>
      <c r="D663" s="6" t="s">
        <v>394</v>
      </c>
      <c r="E663" s="115" t="s">
        <v>1853</v>
      </c>
      <c r="F663" s="6"/>
      <c r="G663" s="6" t="s">
        <v>3463</v>
      </c>
      <c r="H663" s="6" t="s">
        <v>3464</v>
      </c>
      <c r="I663" s="121">
        <v>42000</v>
      </c>
      <c r="J663" s="6"/>
      <c r="K663" s="6" t="s">
        <v>1919</v>
      </c>
      <c r="L663" s="6"/>
      <c r="M663" s="6" t="s">
        <v>394</v>
      </c>
    </row>
    <row r="664" spans="1:13">
      <c r="A664" s="143">
        <v>2017</v>
      </c>
      <c r="B664" s="160" t="s">
        <v>3465</v>
      </c>
      <c r="C664" s="6"/>
      <c r="D664" s="6"/>
      <c r="E664" s="6"/>
      <c r="F664" s="6"/>
      <c r="G664" s="6"/>
      <c r="H664" s="6"/>
      <c r="I664" s="121"/>
      <c r="J664" s="6"/>
      <c r="K664" s="6"/>
      <c r="L664" s="6"/>
      <c r="M664" s="6"/>
    </row>
    <row r="665" spans="1:13">
      <c r="A665" s="143">
        <v>2017</v>
      </c>
      <c r="B665" s="160" t="s">
        <v>3466</v>
      </c>
      <c r="C665" s="6" t="s">
        <v>61</v>
      </c>
      <c r="D665" s="115" t="s">
        <v>1383</v>
      </c>
      <c r="E665" s="115" t="s">
        <v>1859</v>
      </c>
      <c r="F665" s="6"/>
      <c r="G665" s="6" t="s">
        <v>3467</v>
      </c>
      <c r="H665" s="6" t="s">
        <v>811</v>
      </c>
      <c r="I665" s="121">
        <v>76500</v>
      </c>
      <c r="J665" s="6" t="s">
        <v>2924</v>
      </c>
      <c r="K665" s="6" t="s">
        <v>1828</v>
      </c>
      <c r="L665" s="6"/>
      <c r="M665" s="6" t="s">
        <v>1383</v>
      </c>
    </row>
    <row r="666" spans="1:13">
      <c r="A666" s="143">
        <v>2017</v>
      </c>
      <c r="B666" s="160" t="s">
        <v>3468</v>
      </c>
      <c r="C666" s="6" t="s">
        <v>61</v>
      </c>
      <c r="D666" s="6" t="s">
        <v>3168</v>
      </c>
      <c r="E666" s="115" t="s">
        <v>1859</v>
      </c>
      <c r="F666" s="6"/>
      <c r="G666" s="6" t="s">
        <v>3469</v>
      </c>
      <c r="H666" s="6" t="s">
        <v>3470</v>
      </c>
      <c r="I666" s="121">
        <v>100000</v>
      </c>
      <c r="J666" s="6" t="s">
        <v>3471</v>
      </c>
      <c r="K666" s="6" t="s">
        <v>1828</v>
      </c>
      <c r="L666" s="6"/>
      <c r="M666" s="6" t="s">
        <v>3168</v>
      </c>
    </row>
    <row r="667" spans="1:13">
      <c r="A667" s="143">
        <v>2017</v>
      </c>
      <c r="B667" s="160" t="s">
        <v>3472</v>
      </c>
      <c r="C667" s="6" t="s">
        <v>61</v>
      </c>
      <c r="D667" s="6" t="s">
        <v>652</v>
      </c>
      <c r="E667" s="6" t="s">
        <v>1874</v>
      </c>
      <c r="F667" s="6"/>
      <c r="G667" s="6" t="s">
        <v>3473</v>
      </c>
      <c r="H667" s="6" t="s">
        <v>3474</v>
      </c>
      <c r="I667" s="121">
        <v>36726</v>
      </c>
      <c r="J667" s="6" t="s">
        <v>3475</v>
      </c>
      <c r="K667" s="6" t="s">
        <v>1828</v>
      </c>
      <c r="L667" s="6"/>
      <c r="M667" s="6" t="s">
        <v>652</v>
      </c>
    </row>
    <row r="668" spans="1:13">
      <c r="A668" s="143">
        <v>2017</v>
      </c>
      <c r="B668" s="160" t="s">
        <v>3476</v>
      </c>
      <c r="C668" s="6" t="s">
        <v>61</v>
      </c>
      <c r="D668" s="6" t="s">
        <v>652</v>
      </c>
      <c r="E668" s="6" t="s">
        <v>1874</v>
      </c>
      <c r="F668" s="6"/>
      <c r="G668" s="6" t="s">
        <v>3477</v>
      </c>
      <c r="H668" s="6" t="s">
        <v>3478</v>
      </c>
      <c r="I668" s="121">
        <v>83796.25</v>
      </c>
      <c r="J668" s="6" t="s">
        <v>3479</v>
      </c>
      <c r="K668" s="6" t="s">
        <v>1886</v>
      </c>
      <c r="L668" s="6"/>
      <c r="M668" s="6" t="s">
        <v>652</v>
      </c>
    </row>
    <row r="669" spans="1:13">
      <c r="A669" s="143">
        <v>2017</v>
      </c>
      <c r="B669" s="160" t="s">
        <v>3480</v>
      </c>
      <c r="C669" s="6" t="s">
        <v>61</v>
      </c>
      <c r="D669" s="6" t="s">
        <v>2834</v>
      </c>
      <c r="E669" s="6" t="s">
        <v>1874</v>
      </c>
      <c r="F669" s="6"/>
      <c r="G669" s="6" t="s">
        <v>3482</v>
      </c>
      <c r="H669" s="6" t="s">
        <v>3483</v>
      </c>
      <c r="I669" s="175" t="s">
        <v>3481</v>
      </c>
      <c r="J669" s="6" t="s">
        <v>3368</v>
      </c>
      <c r="K669" s="6" t="s">
        <v>1828</v>
      </c>
      <c r="L669" s="6"/>
      <c r="M669" s="6" t="s">
        <v>2834</v>
      </c>
    </row>
    <row r="670" spans="1:13">
      <c r="A670" s="143">
        <v>2017</v>
      </c>
      <c r="B670" s="160" t="s">
        <v>3484</v>
      </c>
      <c r="C670" s="6" t="s">
        <v>61</v>
      </c>
      <c r="D670" s="6" t="s">
        <v>2834</v>
      </c>
      <c r="E670" s="6" t="s">
        <v>1874</v>
      </c>
      <c r="F670" s="6"/>
      <c r="G670" s="6" t="s">
        <v>3485</v>
      </c>
      <c r="H670" s="6" t="s">
        <v>581</v>
      </c>
      <c r="I670" s="121">
        <v>100000</v>
      </c>
      <c r="J670" s="6" t="s">
        <v>3486</v>
      </c>
      <c r="K670" s="6" t="s">
        <v>1916</v>
      </c>
      <c r="L670" s="6"/>
      <c r="M670" s="6" t="s">
        <v>2834</v>
      </c>
    </row>
    <row r="671" spans="1:13">
      <c r="A671" s="143">
        <v>2017</v>
      </c>
      <c r="B671" s="160"/>
      <c r="C671" s="6"/>
      <c r="D671" s="6"/>
      <c r="E671" s="6"/>
      <c r="F671" s="6"/>
      <c r="G671" s="6"/>
      <c r="H671" s="6"/>
      <c r="I671" s="121"/>
      <c r="J671" s="6"/>
      <c r="K671" s="6"/>
      <c r="L671" s="6"/>
      <c r="M671" s="6"/>
    </row>
    <row r="672" spans="1:13">
      <c r="A672" s="143">
        <v>2017</v>
      </c>
      <c r="B672" s="160" t="s">
        <v>3487</v>
      </c>
      <c r="C672" s="6" t="s">
        <v>61</v>
      </c>
      <c r="D672" s="6" t="s">
        <v>586</v>
      </c>
      <c r="E672" s="6" t="s">
        <v>1874</v>
      </c>
      <c r="F672" s="6"/>
      <c r="G672" s="6" t="s">
        <v>3488</v>
      </c>
      <c r="H672" s="6" t="s">
        <v>3489</v>
      </c>
      <c r="I672" s="121">
        <v>29330</v>
      </c>
      <c r="J672" s="6" t="s">
        <v>3490</v>
      </c>
      <c r="K672" s="6" t="s">
        <v>1828</v>
      </c>
      <c r="L672" s="6"/>
      <c r="M672" s="6" t="s">
        <v>586</v>
      </c>
    </row>
    <row r="673" spans="1:13">
      <c r="A673" s="143">
        <v>2017</v>
      </c>
      <c r="B673" s="160" t="s">
        <v>3491</v>
      </c>
      <c r="C673" s="6" t="s">
        <v>61</v>
      </c>
      <c r="D673" s="6" t="s">
        <v>1763</v>
      </c>
      <c r="E673" s="115" t="s">
        <v>1859</v>
      </c>
      <c r="F673" s="6"/>
      <c r="G673" s="6" t="s">
        <v>3492</v>
      </c>
      <c r="H673" s="6" t="s">
        <v>3493</v>
      </c>
      <c r="I673" s="121">
        <v>13945</v>
      </c>
      <c r="J673" s="6"/>
      <c r="K673" s="6" t="s">
        <v>1828</v>
      </c>
      <c r="L673" s="6"/>
      <c r="M673" s="6" t="s">
        <v>1763</v>
      </c>
    </row>
    <row r="674" spans="1:13">
      <c r="A674" s="143">
        <v>2017</v>
      </c>
      <c r="B674" s="160" t="s">
        <v>3494</v>
      </c>
      <c r="C674" s="6" t="s">
        <v>61</v>
      </c>
      <c r="D674" s="6" t="s">
        <v>3092</v>
      </c>
      <c r="E674" s="6" t="s">
        <v>1904</v>
      </c>
      <c r="F674" s="6"/>
      <c r="G674" s="6" t="s">
        <v>3495</v>
      </c>
      <c r="H674" s="6" t="s">
        <v>997</v>
      </c>
      <c r="I674" s="121">
        <v>98162</v>
      </c>
      <c r="J674" s="6" t="s">
        <v>3496</v>
      </c>
      <c r="K674" s="6" t="s">
        <v>1899</v>
      </c>
      <c r="L674" s="6"/>
      <c r="M674" s="6" t="s">
        <v>3092</v>
      </c>
    </row>
    <row r="675" spans="1:13">
      <c r="A675" s="143">
        <v>2017</v>
      </c>
      <c r="B675" s="160" t="s">
        <v>3497</v>
      </c>
      <c r="C675" s="6" t="s">
        <v>61</v>
      </c>
      <c r="D675" s="6" t="s">
        <v>3168</v>
      </c>
      <c r="E675" s="115" t="s">
        <v>1859</v>
      </c>
      <c r="F675" s="6"/>
      <c r="G675" s="6" t="s">
        <v>3498</v>
      </c>
      <c r="H675" s="6" t="s">
        <v>3499</v>
      </c>
      <c r="I675" s="121">
        <v>500000</v>
      </c>
      <c r="J675" s="6" t="s">
        <v>3500</v>
      </c>
      <c r="K675" s="6" t="s">
        <v>1828</v>
      </c>
      <c r="L675" s="6"/>
      <c r="M675" s="6" t="s">
        <v>3168</v>
      </c>
    </row>
    <row r="676" spans="1:13">
      <c r="A676" s="143">
        <v>2017</v>
      </c>
      <c r="B676" s="160" t="s">
        <v>3501</v>
      </c>
      <c r="C676" s="6" t="s">
        <v>61</v>
      </c>
      <c r="D676" s="6" t="s">
        <v>1763</v>
      </c>
      <c r="E676" s="115" t="s">
        <v>1859</v>
      </c>
      <c r="F676" s="6"/>
      <c r="G676" s="6" t="s">
        <v>3502</v>
      </c>
      <c r="H676" s="6" t="s">
        <v>3503</v>
      </c>
      <c r="I676" s="121">
        <v>37500</v>
      </c>
      <c r="J676" s="6" t="s">
        <v>3504</v>
      </c>
      <c r="K676" s="6" t="s">
        <v>1828</v>
      </c>
      <c r="L676" s="6"/>
      <c r="M676" s="6" t="s">
        <v>1763</v>
      </c>
    </row>
    <row r="677" spans="1:13">
      <c r="A677" s="143">
        <v>2017</v>
      </c>
      <c r="B677" s="50" t="s">
        <v>3187</v>
      </c>
      <c r="C677" s="6" t="s">
        <v>61</v>
      </c>
      <c r="D677" s="6" t="s">
        <v>1141</v>
      </c>
      <c r="E677" s="6" t="s">
        <v>1904</v>
      </c>
      <c r="F677" s="6"/>
      <c r="G677" s="50" t="s">
        <v>3188</v>
      </c>
      <c r="H677" s="50" t="s">
        <v>3189</v>
      </c>
      <c r="I677" s="176">
        <v>23860.21</v>
      </c>
      <c r="J677" s="177" t="s">
        <v>3190</v>
      </c>
      <c r="K677" s="6" t="s">
        <v>2085</v>
      </c>
      <c r="L677" s="6"/>
      <c r="M677" s="6" t="s">
        <v>1141</v>
      </c>
    </row>
    <row r="678" spans="1:13">
      <c r="A678" s="143">
        <v>2017</v>
      </c>
      <c r="B678" s="177" t="s">
        <v>3440</v>
      </c>
      <c r="C678" s="6" t="s">
        <v>61</v>
      </c>
      <c r="D678" s="6" t="s">
        <v>1141</v>
      </c>
      <c r="E678" s="6" t="s">
        <v>1904</v>
      </c>
      <c r="F678" s="6"/>
      <c r="G678" s="50" t="s">
        <v>3441</v>
      </c>
      <c r="H678" s="50" t="s">
        <v>3442</v>
      </c>
      <c r="I678" s="176">
        <v>94008.75</v>
      </c>
      <c r="J678" s="50" t="s">
        <v>3443</v>
      </c>
      <c r="K678" s="6" t="s">
        <v>1899</v>
      </c>
      <c r="L678" s="6"/>
      <c r="M678" s="6" t="s">
        <v>1141</v>
      </c>
    </row>
    <row r="679" spans="1:13">
      <c r="A679" s="143">
        <v>2016</v>
      </c>
      <c r="B679" s="61">
        <v>42370</v>
      </c>
      <c r="C679" s="6" t="s">
        <v>61</v>
      </c>
      <c r="D679" s="6" t="s">
        <v>3505</v>
      </c>
      <c r="E679" s="6" t="s">
        <v>1824</v>
      </c>
      <c r="F679" s="178"/>
      <c r="G679" s="158" t="s">
        <v>3506</v>
      </c>
      <c r="H679" s="158" t="s">
        <v>1556</v>
      </c>
      <c r="I679" s="121">
        <v>560000</v>
      </c>
      <c r="J679" s="6" t="s">
        <v>1938</v>
      </c>
      <c r="K679" s="6" t="s">
        <v>1828</v>
      </c>
      <c r="L679" s="178"/>
      <c r="M679" s="22" t="s">
        <v>3505</v>
      </c>
    </row>
    <row r="680" spans="1:13">
      <c r="A680" s="140">
        <v>2016</v>
      </c>
      <c r="B680" s="61">
        <v>42401</v>
      </c>
      <c r="C680" s="6" t="s">
        <v>61</v>
      </c>
      <c r="D680" s="9" t="s">
        <v>62</v>
      </c>
      <c r="E680" s="6" t="s">
        <v>1904</v>
      </c>
      <c r="F680" s="179"/>
      <c r="G680" s="6" t="s">
        <v>3507</v>
      </c>
      <c r="H680" s="6" t="s">
        <v>3508</v>
      </c>
      <c r="I680" s="121">
        <v>2000000</v>
      </c>
      <c r="J680" s="160" t="s">
        <v>3509</v>
      </c>
      <c r="K680" s="6" t="s">
        <v>1828</v>
      </c>
      <c r="L680" s="179"/>
      <c r="M680" s="22" t="s">
        <v>62</v>
      </c>
    </row>
    <row r="681" spans="1:13">
      <c r="A681" s="143">
        <v>2016</v>
      </c>
      <c r="B681" s="61">
        <v>42430</v>
      </c>
      <c r="C681" s="6" t="s">
        <v>61</v>
      </c>
      <c r="D681" s="6" t="s">
        <v>3075</v>
      </c>
      <c r="E681" s="6" t="s">
        <v>1824</v>
      </c>
      <c r="F681" s="179"/>
      <c r="G681" s="6" t="s">
        <v>3510</v>
      </c>
      <c r="H681" s="6" t="s">
        <v>3076</v>
      </c>
      <c r="I681" s="121">
        <v>437790</v>
      </c>
      <c r="J681" s="6" t="s">
        <v>1938</v>
      </c>
      <c r="K681" s="6" t="s">
        <v>1828</v>
      </c>
      <c r="L681" s="179"/>
      <c r="M681" s="22" t="s">
        <v>3075</v>
      </c>
    </row>
    <row r="682" spans="1:13">
      <c r="A682" s="143">
        <v>2016</v>
      </c>
      <c r="B682" s="61">
        <v>42461</v>
      </c>
      <c r="C682" s="6" t="s">
        <v>2328</v>
      </c>
      <c r="D682" s="6" t="s">
        <v>2724</v>
      </c>
      <c r="E682" s="6" t="s">
        <v>1874</v>
      </c>
      <c r="F682" s="179"/>
      <c r="G682" s="6" t="s">
        <v>3511</v>
      </c>
      <c r="H682" s="6" t="s">
        <v>3512</v>
      </c>
      <c r="I682" s="121"/>
      <c r="J682" s="160" t="s">
        <v>3513</v>
      </c>
      <c r="K682" s="6" t="s">
        <v>1828</v>
      </c>
      <c r="L682" s="179"/>
      <c r="M682" s="22" t="s">
        <v>3514</v>
      </c>
    </row>
    <row r="683" spans="1:13">
      <c r="A683" s="143">
        <v>2016</v>
      </c>
      <c r="B683" s="61">
        <v>42491</v>
      </c>
      <c r="C683" s="6" t="s">
        <v>2328</v>
      </c>
      <c r="D683" s="6" t="s">
        <v>2724</v>
      </c>
      <c r="E683" s="6" t="s">
        <v>1874</v>
      </c>
      <c r="F683" s="179"/>
      <c r="G683" s="6" t="s">
        <v>3515</v>
      </c>
      <c r="H683" s="6" t="s">
        <v>3516</v>
      </c>
      <c r="I683" s="121">
        <v>586479</v>
      </c>
      <c r="J683" s="160" t="s">
        <v>3517</v>
      </c>
      <c r="K683" s="6" t="s">
        <v>2085</v>
      </c>
      <c r="L683" s="179"/>
      <c r="M683" s="22" t="s">
        <v>3514</v>
      </c>
    </row>
    <row r="684" spans="1:13">
      <c r="A684" s="143">
        <v>2016</v>
      </c>
      <c r="B684" s="61">
        <v>42522</v>
      </c>
      <c r="C684" s="6" t="s">
        <v>2328</v>
      </c>
      <c r="D684" s="6" t="s">
        <v>3109</v>
      </c>
      <c r="E684" s="6" t="s">
        <v>1874</v>
      </c>
      <c r="F684" s="179"/>
      <c r="G684" s="6" t="s">
        <v>3518</v>
      </c>
      <c r="H684" s="6" t="s">
        <v>3519</v>
      </c>
      <c r="I684" s="121">
        <v>10700</v>
      </c>
      <c r="J684" s="160" t="s">
        <v>3520</v>
      </c>
      <c r="K684" s="6" t="s">
        <v>1828</v>
      </c>
      <c r="L684" s="179"/>
      <c r="M684" s="22" t="s">
        <v>3521</v>
      </c>
    </row>
    <row r="685" spans="1:13">
      <c r="A685" s="143">
        <v>2016</v>
      </c>
      <c r="B685" s="62">
        <v>42552</v>
      </c>
      <c r="C685" s="6" t="s">
        <v>2328</v>
      </c>
      <c r="D685" s="6" t="s">
        <v>3109</v>
      </c>
      <c r="E685" s="6" t="s">
        <v>1874</v>
      </c>
      <c r="F685" s="179"/>
      <c r="G685" s="6" t="s">
        <v>3522</v>
      </c>
      <c r="H685" s="6" t="s">
        <v>3523</v>
      </c>
      <c r="I685" s="121">
        <v>55000</v>
      </c>
      <c r="J685" s="160" t="s">
        <v>3524</v>
      </c>
      <c r="K685" s="6" t="s">
        <v>1828</v>
      </c>
      <c r="L685" s="179"/>
      <c r="M685" s="22" t="s">
        <v>3521</v>
      </c>
    </row>
    <row r="686" spans="1:13">
      <c r="A686" s="143">
        <v>2016</v>
      </c>
      <c r="B686" s="61">
        <v>42583</v>
      </c>
      <c r="C686" s="6" t="s">
        <v>2328</v>
      </c>
      <c r="D686" s="6" t="s">
        <v>2724</v>
      </c>
      <c r="E686" s="6" t="s">
        <v>1874</v>
      </c>
      <c r="F686" s="178"/>
      <c r="G686" s="158" t="s">
        <v>3525</v>
      </c>
      <c r="H686" s="158" t="s">
        <v>3526</v>
      </c>
      <c r="I686" s="163">
        <v>71966</v>
      </c>
      <c r="J686" s="158" t="s">
        <v>3527</v>
      </c>
      <c r="K686" s="6" t="s">
        <v>1828</v>
      </c>
      <c r="L686" s="178"/>
      <c r="M686" s="22" t="s">
        <v>3514</v>
      </c>
    </row>
    <row r="687" spans="1:13">
      <c r="A687" s="143">
        <v>2016</v>
      </c>
      <c r="B687" s="62">
        <v>42614</v>
      </c>
      <c r="C687" s="6" t="s">
        <v>61</v>
      </c>
      <c r="D687" s="6" t="s">
        <v>394</v>
      </c>
      <c r="E687" s="115" t="s">
        <v>1853</v>
      </c>
      <c r="F687" s="179"/>
      <c r="G687" s="6" t="s">
        <v>3528</v>
      </c>
      <c r="H687" s="6" t="s">
        <v>3529</v>
      </c>
      <c r="I687" s="121">
        <v>60800</v>
      </c>
      <c r="J687" s="6" t="s">
        <v>1938</v>
      </c>
      <c r="K687" s="6" t="s">
        <v>1828</v>
      </c>
      <c r="L687" s="179"/>
      <c r="M687" s="22" t="s">
        <v>394</v>
      </c>
    </row>
    <row r="688" spans="1:13">
      <c r="A688" s="143">
        <v>2016</v>
      </c>
      <c r="B688" s="62">
        <v>42644</v>
      </c>
      <c r="C688" s="6" t="s">
        <v>61</v>
      </c>
      <c r="D688" s="6" t="s">
        <v>1782</v>
      </c>
      <c r="E688" s="6" t="s">
        <v>1824</v>
      </c>
      <c r="F688" s="179"/>
      <c r="G688" s="6" t="s">
        <v>3530</v>
      </c>
      <c r="H688" s="6" t="s">
        <v>1556</v>
      </c>
      <c r="I688" s="121">
        <v>318000</v>
      </c>
      <c r="J688" s="6" t="s">
        <v>1938</v>
      </c>
      <c r="K688" s="6" t="s">
        <v>1828</v>
      </c>
      <c r="L688" s="179"/>
      <c r="M688" s="22" t="s">
        <v>1830</v>
      </c>
    </row>
    <row r="689" spans="1:13">
      <c r="A689" s="143">
        <v>2017</v>
      </c>
      <c r="B689" s="62">
        <v>42675</v>
      </c>
      <c r="C689" s="6" t="s">
        <v>61</v>
      </c>
      <c r="D689" s="6" t="s">
        <v>1262</v>
      </c>
      <c r="E689" s="6" t="s">
        <v>1904</v>
      </c>
      <c r="F689" s="179"/>
      <c r="G689" s="6" t="s">
        <v>3531</v>
      </c>
      <c r="H689" s="6" t="s">
        <v>3532</v>
      </c>
      <c r="I689" s="121">
        <v>863105.4</v>
      </c>
      <c r="J689" s="6" t="s">
        <v>2508</v>
      </c>
      <c r="K689" s="6" t="s">
        <v>1828</v>
      </c>
      <c r="L689" s="179"/>
      <c r="M689" s="22" t="s">
        <v>1262</v>
      </c>
    </row>
    <row r="690" spans="1:13">
      <c r="A690" s="143">
        <v>2016</v>
      </c>
      <c r="B690" s="62">
        <v>42705</v>
      </c>
      <c r="C690" s="6" t="s">
        <v>61</v>
      </c>
      <c r="D690" s="115" t="s">
        <v>1383</v>
      </c>
      <c r="E690" s="115" t="s">
        <v>1859</v>
      </c>
      <c r="F690" s="179"/>
      <c r="G690" s="6" t="s">
        <v>3533</v>
      </c>
      <c r="H690" s="6" t="s">
        <v>1556</v>
      </c>
      <c r="I690" s="121">
        <v>2000000</v>
      </c>
      <c r="J690" s="6" t="s">
        <v>1938</v>
      </c>
      <c r="K690" s="6" t="s">
        <v>1828</v>
      </c>
      <c r="L690" s="179"/>
      <c r="M690" s="22" t="s">
        <v>1940</v>
      </c>
    </row>
    <row r="691" spans="1:13">
      <c r="A691" s="143">
        <v>2016</v>
      </c>
      <c r="B691" s="6" t="s">
        <v>3534</v>
      </c>
      <c r="C691" s="6" t="s">
        <v>2328</v>
      </c>
      <c r="D691" s="6" t="s">
        <v>2724</v>
      </c>
      <c r="E691" s="6" t="s">
        <v>1874</v>
      </c>
      <c r="F691" s="179"/>
      <c r="G691" s="6" t="s">
        <v>3535</v>
      </c>
      <c r="H691" s="158" t="s">
        <v>3536</v>
      </c>
      <c r="I691" s="121">
        <v>197515.03</v>
      </c>
      <c r="J691" s="158" t="s">
        <v>3537</v>
      </c>
      <c r="K691" s="6" t="s">
        <v>2085</v>
      </c>
      <c r="L691" s="179"/>
      <c r="M691" s="22" t="s">
        <v>3538</v>
      </c>
    </row>
    <row r="692" spans="1:13">
      <c r="A692" s="143">
        <v>2016</v>
      </c>
      <c r="B692" s="6" t="s">
        <v>3539</v>
      </c>
      <c r="C692" s="6" t="s">
        <v>61</v>
      </c>
      <c r="D692" s="6" t="s">
        <v>3155</v>
      </c>
      <c r="E692" s="6" t="s">
        <v>1824</v>
      </c>
      <c r="F692" s="179"/>
      <c r="G692" s="6" t="s">
        <v>3540</v>
      </c>
      <c r="H692" s="6" t="s">
        <v>1556</v>
      </c>
      <c r="I692" s="121">
        <v>1638300</v>
      </c>
      <c r="J692" s="6" t="s">
        <v>1938</v>
      </c>
      <c r="K692" s="6" t="s">
        <v>1828</v>
      </c>
      <c r="L692" s="179"/>
      <c r="M692" s="22" t="s">
        <v>573</v>
      </c>
    </row>
    <row r="693" spans="1:13">
      <c r="A693" s="143">
        <v>2016</v>
      </c>
      <c r="B693" s="6" t="s">
        <v>3541</v>
      </c>
      <c r="C693" s="6" t="s">
        <v>61</v>
      </c>
      <c r="D693" s="6" t="s">
        <v>1859</v>
      </c>
      <c r="E693" s="115" t="s">
        <v>1859</v>
      </c>
      <c r="F693" s="178"/>
      <c r="G693" s="158" t="s">
        <v>3542</v>
      </c>
      <c r="H693" s="6" t="s">
        <v>1556</v>
      </c>
      <c r="I693" s="121">
        <v>400000</v>
      </c>
      <c r="J693" s="6" t="s">
        <v>1938</v>
      </c>
      <c r="K693" s="6" t="s">
        <v>1828</v>
      </c>
      <c r="L693" s="178"/>
      <c r="M693" s="22" t="s">
        <v>1859</v>
      </c>
    </row>
    <row r="694" spans="1:13">
      <c r="A694" s="143">
        <v>2016</v>
      </c>
      <c r="B694" s="6" t="s">
        <v>3543</v>
      </c>
      <c r="C694" s="6" t="s">
        <v>61</v>
      </c>
      <c r="D694" s="6" t="s">
        <v>1859</v>
      </c>
      <c r="E694" s="115" t="s">
        <v>1859</v>
      </c>
      <c r="F694" s="179"/>
      <c r="G694" s="6" t="s">
        <v>3544</v>
      </c>
      <c r="H694" s="6" t="s">
        <v>1556</v>
      </c>
      <c r="I694" s="121">
        <v>200000</v>
      </c>
      <c r="J694" s="6" t="s">
        <v>1938</v>
      </c>
      <c r="K694" s="6" t="s">
        <v>1828</v>
      </c>
      <c r="L694" s="179"/>
      <c r="M694" s="22" t="s">
        <v>1859</v>
      </c>
    </row>
    <row r="695" spans="1:13">
      <c r="A695" s="140">
        <v>2016</v>
      </c>
      <c r="B695" s="6" t="s">
        <v>3545</v>
      </c>
      <c r="C695" s="6" t="s">
        <v>61</v>
      </c>
      <c r="D695" s="9" t="s">
        <v>62</v>
      </c>
      <c r="E695" s="6" t="s">
        <v>1904</v>
      </c>
      <c r="F695" s="179"/>
      <c r="G695" s="6" t="s">
        <v>3546</v>
      </c>
      <c r="H695" s="6" t="s">
        <v>3547</v>
      </c>
      <c r="I695" s="121">
        <v>715000</v>
      </c>
      <c r="J695" s="160" t="s">
        <v>3548</v>
      </c>
      <c r="K695" s="6" t="s">
        <v>1828</v>
      </c>
      <c r="L695" s="179"/>
      <c r="M695" s="22" t="s">
        <v>62</v>
      </c>
    </row>
    <row r="696" spans="1:13">
      <c r="A696" s="143">
        <v>2016</v>
      </c>
      <c r="B696" s="6" t="s">
        <v>3549</v>
      </c>
      <c r="C696" s="6" t="s">
        <v>61</v>
      </c>
      <c r="D696" s="6" t="s">
        <v>3155</v>
      </c>
      <c r="E696" s="6" t="s">
        <v>1824</v>
      </c>
      <c r="F696" s="179"/>
      <c r="G696" s="6" t="s">
        <v>3540</v>
      </c>
      <c r="H696" s="6" t="s">
        <v>1556</v>
      </c>
      <c r="I696" s="121">
        <v>800000</v>
      </c>
      <c r="J696" s="6" t="s">
        <v>1938</v>
      </c>
      <c r="K696" s="6" t="s">
        <v>1828</v>
      </c>
      <c r="L696" s="179"/>
      <c r="M696" s="22" t="s">
        <v>3155</v>
      </c>
    </row>
    <row r="697" spans="1:13">
      <c r="A697" s="143">
        <v>2016</v>
      </c>
      <c r="B697" s="6" t="s">
        <v>3550</v>
      </c>
      <c r="C697" s="6" t="s">
        <v>61</v>
      </c>
      <c r="D697" s="115" t="s">
        <v>1383</v>
      </c>
      <c r="E697" s="115" t="s">
        <v>1859</v>
      </c>
      <c r="F697" s="179"/>
      <c r="G697" s="6" t="s">
        <v>3551</v>
      </c>
      <c r="H697" s="6" t="s">
        <v>3552</v>
      </c>
      <c r="I697" s="121">
        <v>200000</v>
      </c>
      <c r="J697" s="6" t="s">
        <v>2508</v>
      </c>
      <c r="K697" s="6" t="s">
        <v>1828</v>
      </c>
      <c r="L697" s="179"/>
      <c r="M697" s="22" t="s">
        <v>2093</v>
      </c>
    </row>
    <row r="698" spans="1:13">
      <c r="A698" s="143">
        <v>2016</v>
      </c>
      <c r="B698" s="6" t="s">
        <v>3553</v>
      </c>
      <c r="C698" s="6" t="s">
        <v>61</v>
      </c>
      <c r="D698" s="115" t="s">
        <v>1383</v>
      </c>
      <c r="E698" s="115" t="s">
        <v>1859</v>
      </c>
      <c r="F698" s="179"/>
      <c r="G698" s="6" t="s">
        <v>3554</v>
      </c>
      <c r="H698" s="6" t="s">
        <v>3555</v>
      </c>
      <c r="I698" s="121">
        <v>200000</v>
      </c>
      <c r="J698" s="6" t="s">
        <v>2508</v>
      </c>
      <c r="K698" s="6" t="s">
        <v>1828</v>
      </c>
      <c r="L698" s="179"/>
      <c r="M698" s="22" t="s">
        <v>2093</v>
      </c>
    </row>
    <row r="699" spans="1:13">
      <c r="A699" s="143">
        <v>2016</v>
      </c>
      <c r="B699" s="6" t="s">
        <v>3556</v>
      </c>
      <c r="C699" s="6" t="s">
        <v>61</v>
      </c>
      <c r="D699" s="115" t="s">
        <v>1383</v>
      </c>
      <c r="E699" s="115" t="s">
        <v>1859</v>
      </c>
      <c r="F699" s="179"/>
      <c r="G699" s="6" t="s">
        <v>3557</v>
      </c>
      <c r="H699" s="6" t="s">
        <v>1686</v>
      </c>
      <c r="I699" s="121">
        <v>200000</v>
      </c>
      <c r="J699" s="6" t="s">
        <v>2508</v>
      </c>
      <c r="K699" s="6" t="s">
        <v>1828</v>
      </c>
      <c r="L699" s="179"/>
      <c r="M699" s="22" t="s">
        <v>2093</v>
      </c>
    </row>
    <row r="700" spans="1:13">
      <c r="A700" s="143">
        <v>2016</v>
      </c>
      <c r="B700" s="6" t="s">
        <v>3558</v>
      </c>
      <c r="C700" s="6" t="s">
        <v>61</v>
      </c>
      <c r="D700" s="115" t="s">
        <v>1383</v>
      </c>
      <c r="E700" s="115" t="s">
        <v>1859</v>
      </c>
      <c r="F700" s="179"/>
      <c r="G700" s="6" t="s">
        <v>3559</v>
      </c>
      <c r="H700" s="6" t="s">
        <v>3560</v>
      </c>
      <c r="I700" s="121">
        <v>200000</v>
      </c>
      <c r="J700" s="6" t="s">
        <v>1938</v>
      </c>
      <c r="K700" s="6" t="s">
        <v>1828</v>
      </c>
      <c r="L700" s="179"/>
      <c r="M700" s="22" t="s">
        <v>2093</v>
      </c>
    </row>
    <row r="701" spans="1:13">
      <c r="A701" s="143">
        <v>2016</v>
      </c>
      <c r="B701" s="6" t="s">
        <v>3561</v>
      </c>
      <c r="C701" s="6" t="s">
        <v>61</v>
      </c>
      <c r="D701" s="115" t="s">
        <v>1383</v>
      </c>
      <c r="E701" s="115" t="s">
        <v>1859</v>
      </c>
      <c r="F701" s="179"/>
      <c r="G701" s="6" t="s">
        <v>3562</v>
      </c>
      <c r="H701" s="6" t="s">
        <v>3563</v>
      </c>
      <c r="I701" s="121">
        <v>200000</v>
      </c>
      <c r="J701" s="6" t="s">
        <v>1938</v>
      </c>
      <c r="K701" s="6" t="s">
        <v>1828</v>
      </c>
      <c r="L701" s="179"/>
      <c r="M701" s="22" t="s">
        <v>2093</v>
      </c>
    </row>
    <row r="702" spans="1:13">
      <c r="A702" s="143">
        <v>2016</v>
      </c>
      <c r="B702" s="6" t="s">
        <v>3564</v>
      </c>
      <c r="C702" s="6" t="s">
        <v>61</v>
      </c>
      <c r="D702" s="115" t="s">
        <v>1383</v>
      </c>
      <c r="E702" s="115" t="s">
        <v>1859</v>
      </c>
      <c r="F702" s="179"/>
      <c r="G702" s="6" t="s">
        <v>3565</v>
      </c>
      <c r="H702" s="6" t="s">
        <v>3566</v>
      </c>
      <c r="I702" s="121">
        <v>200000</v>
      </c>
      <c r="J702" s="6" t="s">
        <v>2508</v>
      </c>
      <c r="K702" s="6" t="s">
        <v>1828</v>
      </c>
      <c r="L702" s="179"/>
      <c r="M702" s="22" t="s">
        <v>2093</v>
      </c>
    </row>
    <row r="703" spans="1:13">
      <c r="A703" s="143">
        <v>2016</v>
      </c>
      <c r="B703" s="6" t="s">
        <v>3567</v>
      </c>
      <c r="C703" s="6" t="s">
        <v>61</v>
      </c>
      <c r="D703" s="115" t="s">
        <v>1383</v>
      </c>
      <c r="E703" s="115" t="s">
        <v>1859</v>
      </c>
      <c r="F703" s="179"/>
      <c r="G703" s="6" t="s">
        <v>3568</v>
      </c>
      <c r="H703" s="6" t="s">
        <v>1611</v>
      </c>
      <c r="I703" s="121">
        <v>200000</v>
      </c>
      <c r="J703" s="6" t="s">
        <v>2508</v>
      </c>
      <c r="K703" s="6" t="s">
        <v>1828</v>
      </c>
      <c r="L703" s="179"/>
      <c r="M703" s="22" t="s">
        <v>2093</v>
      </c>
    </row>
    <row r="704" spans="1:13">
      <c r="A704" s="143">
        <v>2016</v>
      </c>
      <c r="B704" s="6" t="s">
        <v>3569</v>
      </c>
      <c r="C704" s="6" t="s">
        <v>61</v>
      </c>
      <c r="D704" s="115" t="s">
        <v>1383</v>
      </c>
      <c r="E704" s="115" t="s">
        <v>1859</v>
      </c>
      <c r="F704" s="179"/>
      <c r="G704" s="6" t="s">
        <v>3570</v>
      </c>
      <c r="H704" s="6" t="s">
        <v>3571</v>
      </c>
      <c r="I704" s="121">
        <v>200000</v>
      </c>
      <c r="J704" s="6" t="s">
        <v>2508</v>
      </c>
      <c r="K704" s="6" t="s">
        <v>1828</v>
      </c>
      <c r="L704" s="179"/>
      <c r="M704" s="22" t="s">
        <v>2093</v>
      </c>
    </row>
    <row r="705" spans="1:13">
      <c r="A705" s="143">
        <v>2016</v>
      </c>
      <c r="B705" s="6" t="s">
        <v>3572</v>
      </c>
      <c r="C705" s="6" t="s">
        <v>61</v>
      </c>
      <c r="D705" s="115" t="s">
        <v>1383</v>
      </c>
      <c r="E705" s="115" t="s">
        <v>1859</v>
      </c>
      <c r="F705" s="179"/>
      <c r="G705" s="6" t="s">
        <v>3573</v>
      </c>
      <c r="H705" s="6" t="s">
        <v>1742</v>
      </c>
      <c r="I705" s="121">
        <v>200000</v>
      </c>
      <c r="J705" s="6" t="s">
        <v>2508</v>
      </c>
      <c r="K705" s="6" t="s">
        <v>1828</v>
      </c>
      <c r="L705" s="179"/>
      <c r="M705" s="22" t="s">
        <v>2093</v>
      </c>
    </row>
    <row r="706" spans="1:13">
      <c r="A706" s="143">
        <v>2016</v>
      </c>
      <c r="B706" s="6" t="s">
        <v>3574</v>
      </c>
      <c r="C706" s="6" t="s">
        <v>61</v>
      </c>
      <c r="D706" s="115" t="s">
        <v>1383</v>
      </c>
      <c r="E706" s="115" t="s">
        <v>1859</v>
      </c>
      <c r="F706" s="179"/>
      <c r="G706" s="6" t="s">
        <v>3575</v>
      </c>
      <c r="H706" s="6" t="s">
        <v>3576</v>
      </c>
      <c r="I706" s="121">
        <v>200000</v>
      </c>
      <c r="J706" s="6" t="s">
        <v>2508</v>
      </c>
      <c r="K706" s="6" t="s">
        <v>1828</v>
      </c>
      <c r="L706" s="179"/>
      <c r="M706" s="22" t="s">
        <v>2093</v>
      </c>
    </row>
    <row r="707" spans="1:13">
      <c r="A707" s="143">
        <v>2016</v>
      </c>
      <c r="B707" s="6" t="s">
        <v>3577</v>
      </c>
      <c r="C707" s="6" t="s">
        <v>61</v>
      </c>
      <c r="D707" s="115" t="s">
        <v>1383</v>
      </c>
      <c r="E707" s="115" t="s">
        <v>1859</v>
      </c>
      <c r="F707" s="179"/>
      <c r="G707" s="6" t="s">
        <v>3578</v>
      </c>
      <c r="H707" s="6" t="s">
        <v>650</v>
      </c>
      <c r="I707" s="121">
        <v>200000</v>
      </c>
      <c r="J707" s="6"/>
      <c r="K707" s="6" t="s">
        <v>2085</v>
      </c>
      <c r="L707" s="179"/>
      <c r="M707" s="22" t="s">
        <v>2093</v>
      </c>
    </row>
    <row r="708" spans="1:13">
      <c r="A708" s="143">
        <v>2016</v>
      </c>
      <c r="B708" s="6" t="s">
        <v>3579</v>
      </c>
      <c r="C708" s="6" t="s">
        <v>61</v>
      </c>
      <c r="D708" s="115" t="s">
        <v>1383</v>
      </c>
      <c r="E708" s="115" t="s">
        <v>1859</v>
      </c>
      <c r="F708" s="179"/>
      <c r="G708" s="6" t="s">
        <v>3580</v>
      </c>
      <c r="H708" s="6" t="s">
        <v>581</v>
      </c>
      <c r="I708" s="121">
        <v>200000</v>
      </c>
      <c r="J708" s="6"/>
      <c r="K708" s="6" t="s">
        <v>1916</v>
      </c>
      <c r="L708" s="179"/>
      <c r="M708" s="22" t="s">
        <v>2093</v>
      </c>
    </row>
    <row r="709" spans="1:13">
      <c r="A709" s="143">
        <v>2016</v>
      </c>
      <c r="B709" s="6" t="s">
        <v>3581</v>
      </c>
      <c r="C709" s="6" t="s">
        <v>61</v>
      </c>
      <c r="D709" s="115" t="s">
        <v>1383</v>
      </c>
      <c r="E709" s="115" t="s">
        <v>1859</v>
      </c>
      <c r="F709" s="179"/>
      <c r="G709" s="6" t="s">
        <v>3582</v>
      </c>
      <c r="H709" s="6" t="s">
        <v>1722</v>
      </c>
      <c r="I709" s="121">
        <v>200000</v>
      </c>
      <c r="J709" s="6"/>
      <c r="K709" s="6" t="s">
        <v>1919</v>
      </c>
      <c r="L709" s="179"/>
      <c r="M709" s="22" t="s">
        <v>2093</v>
      </c>
    </row>
    <row r="710" spans="1:13">
      <c r="A710" s="143">
        <v>2016</v>
      </c>
      <c r="B710" s="6" t="s">
        <v>3583</v>
      </c>
      <c r="C710" s="6" t="s">
        <v>61</v>
      </c>
      <c r="D710" s="115" t="s">
        <v>1383</v>
      </c>
      <c r="E710" s="115" t="s">
        <v>1859</v>
      </c>
      <c r="F710" s="179"/>
      <c r="G710" s="6" t="s">
        <v>3584</v>
      </c>
      <c r="H710" s="6" t="s">
        <v>1502</v>
      </c>
      <c r="I710" s="121">
        <v>200000</v>
      </c>
      <c r="J710" s="6"/>
      <c r="K710" s="6" t="s">
        <v>2051</v>
      </c>
      <c r="L710" s="179"/>
      <c r="M710" s="22" t="s">
        <v>2093</v>
      </c>
    </row>
    <row r="711" spans="1:13">
      <c r="A711" s="143">
        <v>2016</v>
      </c>
      <c r="B711" s="6" t="s">
        <v>3585</v>
      </c>
      <c r="C711" s="6" t="s">
        <v>61</v>
      </c>
      <c r="D711" s="115" t="s">
        <v>1383</v>
      </c>
      <c r="E711" s="115" t="s">
        <v>1859</v>
      </c>
      <c r="F711" s="179"/>
      <c r="G711" s="6" t="s">
        <v>3586</v>
      </c>
      <c r="H711" s="6" t="s">
        <v>3587</v>
      </c>
      <c r="I711" s="121">
        <v>200000</v>
      </c>
      <c r="J711" s="6"/>
      <c r="K711" s="6" t="s">
        <v>1828</v>
      </c>
      <c r="L711" s="179"/>
      <c r="M711" s="22" t="s">
        <v>2093</v>
      </c>
    </row>
    <row r="712" spans="1:13">
      <c r="A712" s="143">
        <v>2016</v>
      </c>
      <c r="B712" s="6" t="s">
        <v>3588</v>
      </c>
      <c r="C712" s="6" t="s">
        <v>61</v>
      </c>
      <c r="D712" s="115" t="s">
        <v>1383</v>
      </c>
      <c r="E712" s="115" t="s">
        <v>1859</v>
      </c>
      <c r="F712" s="179"/>
      <c r="G712" s="6" t="s">
        <v>3589</v>
      </c>
      <c r="H712" s="6" t="s">
        <v>1491</v>
      </c>
      <c r="I712" s="121">
        <v>200000</v>
      </c>
      <c r="J712" s="6"/>
      <c r="K712" s="6" t="s">
        <v>2041</v>
      </c>
      <c r="L712" s="179"/>
      <c r="M712" s="22" t="s">
        <v>2093</v>
      </c>
    </row>
    <row r="713" spans="1:13">
      <c r="A713" s="143">
        <v>2016</v>
      </c>
      <c r="B713" s="6" t="s">
        <v>3590</v>
      </c>
      <c r="C713" s="6" t="s">
        <v>61</v>
      </c>
      <c r="D713" s="115" t="s">
        <v>1383</v>
      </c>
      <c r="E713" s="115" t="s">
        <v>1859</v>
      </c>
      <c r="F713" s="179"/>
      <c r="G713" s="6" t="s">
        <v>3591</v>
      </c>
      <c r="H713" s="6" t="s">
        <v>3592</v>
      </c>
      <c r="I713" s="121">
        <v>200000</v>
      </c>
      <c r="J713" s="6" t="s">
        <v>2508</v>
      </c>
      <c r="K713" s="6" t="s">
        <v>1828</v>
      </c>
      <c r="L713" s="179"/>
      <c r="M713" s="22" t="s">
        <v>2093</v>
      </c>
    </row>
    <row r="714" spans="1:13">
      <c r="A714" s="143">
        <v>2016</v>
      </c>
      <c r="B714" s="6" t="s">
        <v>3593</v>
      </c>
      <c r="C714" s="6" t="s">
        <v>2328</v>
      </c>
      <c r="D714" s="6"/>
      <c r="E714" s="6"/>
      <c r="F714" s="179"/>
      <c r="G714" s="6" t="s">
        <v>3594</v>
      </c>
      <c r="H714" s="6" t="s">
        <v>3595</v>
      </c>
      <c r="I714" s="121"/>
      <c r="J714" s="160" t="s">
        <v>3596</v>
      </c>
      <c r="K714" s="6" t="s">
        <v>1828</v>
      </c>
      <c r="L714" s="179"/>
      <c r="M714" s="22"/>
    </row>
    <row r="715" spans="1:13">
      <c r="A715" s="143">
        <v>2016</v>
      </c>
      <c r="B715" s="6" t="s">
        <v>3597</v>
      </c>
      <c r="C715" s="6" t="s">
        <v>2328</v>
      </c>
      <c r="D715" s="6" t="s">
        <v>2724</v>
      </c>
      <c r="E715" s="6" t="s">
        <v>1874</v>
      </c>
      <c r="F715" s="179"/>
      <c r="G715" s="6" t="s">
        <v>3598</v>
      </c>
      <c r="H715" s="6" t="s">
        <v>3599</v>
      </c>
      <c r="I715" s="121"/>
      <c r="J715" s="160" t="s">
        <v>3600</v>
      </c>
      <c r="K715" s="6" t="s">
        <v>1828</v>
      </c>
      <c r="L715" s="179"/>
      <c r="M715" s="22" t="s">
        <v>3538</v>
      </c>
    </row>
    <row r="716" spans="1:13">
      <c r="A716" s="143">
        <v>2016</v>
      </c>
      <c r="B716" s="6" t="s">
        <v>3601</v>
      </c>
      <c r="C716" s="6" t="s">
        <v>2328</v>
      </c>
      <c r="D716" s="6" t="s">
        <v>2724</v>
      </c>
      <c r="E716" s="6" t="s">
        <v>1874</v>
      </c>
      <c r="F716" s="179"/>
      <c r="G716" s="6" t="s">
        <v>3602</v>
      </c>
      <c r="H716" s="6" t="s">
        <v>3603</v>
      </c>
      <c r="I716" s="121">
        <v>81900</v>
      </c>
      <c r="J716" s="158" t="s">
        <v>3604</v>
      </c>
      <c r="K716" s="6" t="s">
        <v>1828</v>
      </c>
      <c r="L716" s="179"/>
      <c r="M716" s="22" t="s">
        <v>3538</v>
      </c>
    </row>
    <row r="717" spans="1:13">
      <c r="A717" s="143">
        <v>2016</v>
      </c>
      <c r="B717" s="6" t="s">
        <v>3605</v>
      </c>
      <c r="C717" s="6" t="s">
        <v>2328</v>
      </c>
      <c r="D717" s="6" t="s">
        <v>2724</v>
      </c>
      <c r="E717" s="6" t="s">
        <v>1874</v>
      </c>
      <c r="F717" s="179"/>
      <c r="G717" s="6" t="s">
        <v>3606</v>
      </c>
      <c r="H717" s="6" t="s">
        <v>3607</v>
      </c>
      <c r="I717" s="121">
        <v>25000</v>
      </c>
      <c r="J717" s="160" t="s">
        <v>3608</v>
      </c>
      <c r="K717" s="6" t="s">
        <v>1828</v>
      </c>
      <c r="L717" s="179"/>
      <c r="M717" s="22" t="s">
        <v>3538</v>
      </c>
    </row>
    <row r="718" spans="1:13">
      <c r="A718" s="143">
        <v>2016</v>
      </c>
      <c r="B718" s="6" t="s">
        <v>3609</v>
      </c>
      <c r="C718" s="160" t="s">
        <v>2328</v>
      </c>
      <c r="D718" s="6" t="s">
        <v>3109</v>
      </c>
      <c r="E718" s="6" t="s">
        <v>1874</v>
      </c>
      <c r="F718" s="179"/>
      <c r="G718" s="6" t="s">
        <v>3610</v>
      </c>
      <c r="H718" s="6" t="s">
        <v>3611</v>
      </c>
      <c r="I718" s="121">
        <v>78591</v>
      </c>
      <c r="J718" s="160" t="s">
        <v>3612</v>
      </c>
      <c r="K718" s="6" t="s">
        <v>1828</v>
      </c>
      <c r="L718" s="179"/>
      <c r="M718" s="22" t="s">
        <v>3109</v>
      </c>
    </row>
    <row r="719" spans="1:13">
      <c r="A719" s="143">
        <v>2016</v>
      </c>
      <c r="B719" s="6" t="s">
        <v>3613</v>
      </c>
      <c r="C719" s="6" t="s">
        <v>2328</v>
      </c>
      <c r="D719" s="6"/>
      <c r="E719" s="6"/>
      <c r="F719" s="179"/>
      <c r="G719" s="6" t="s">
        <v>3614</v>
      </c>
      <c r="H719" s="6" t="s">
        <v>3615</v>
      </c>
      <c r="I719" s="121">
        <v>82650</v>
      </c>
      <c r="J719" s="160" t="s">
        <v>3616</v>
      </c>
      <c r="K719" s="6" t="s">
        <v>1919</v>
      </c>
      <c r="L719" s="179"/>
      <c r="M719" s="22"/>
    </row>
    <row r="720" spans="1:13">
      <c r="A720" s="143">
        <v>2016</v>
      </c>
      <c r="B720" s="6" t="s">
        <v>3617</v>
      </c>
      <c r="C720" s="6" t="s">
        <v>2328</v>
      </c>
      <c r="D720" s="6" t="s">
        <v>3109</v>
      </c>
      <c r="E720" s="6" t="s">
        <v>1874</v>
      </c>
      <c r="F720" s="179"/>
      <c r="G720" s="6" t="s">
        <v>3618</v>
      </c>
      <c r="H720" s="6" t="s">
        <v>3619</v>
      </c>
      <c r="I720" s="121">
        <v>394193.22</v>
      </c>
      <c r="J720" s="160" t="s">
        <v>3620</v>
      </c>
      <c r="K720" s="6" t="s">
        <v>1828</v>
      </c>
      <c r="L720" s="179"/>
      <c r="M720" s="22" t="s">
        <v>3109</v>
      </c>
    </row>
    <row r="721" spans="1:13">
      <c r="A721" s="143">
        <v>2016</v>
      </c>
      <c r="B721" s="6" t="s">
        <v>3621</v>
      </c>
      <c r="C721" s="6" t="s">
        <v>2328</v>
      </c>
      <c r="D721" s="6" t="s">
        <v>3109</v>
      </c>
      <c r="E721" s="6" t="s">
        <v>1874</v>
      </c>
      <c r="F721" s="179"/>
      <c r="G721" s="6" t="s">
        <v>3622</v>
      </c>
      <c r="H721" s="6" t="s">
        <v>3623</v>
      </c>
      <c r="I721" s="121">
        <v>28457.05</v>
      </c>
      <c r="J721" s="160" t="s">
        <v>3624</v>
      </c>
      <c r="K721" s="6" t="s">
        <v>1828</v>
      </c>
      <c r="L721" s="179"/>
      <c r="M721" s="22" t="s">
        <v>3109</v>
      </c>
    </row>
    <row r="722" spans="1:13">
      <c r="A722" s="143">
        <v>2016</v>
      </c>
      <c r="B722" s="6" t="s">
        <v>3625</v>
      </c>
      <c r="C722" s="6" t="s">
        <v>3626</v>
      </c>
      <c r="D722" s="6"/>
      <c r="E722" s="6"/>
      <c r="F722" s="179"/>
      <c r="G722" s="6" t="s">
        <v>3627</v>
      </c>
      <c r="H722" s="6" t="s">
        <v>3628</v>
      </c>
      <c r="I722" s="121">
        <v>311000</v>
      </c>
      <c r="J722" s="6"/>
      <c r="K722" s="6"/>
      <c r="L722" s="179"/>
      <c r="M722" s="22"/>
    </row>
    <row r="723" spans="1:13">
      <c r="A723" s="143">
        <v>2016</v>
      </c>
      <c r="B723" s="6" t="s">
        <v>3629</v>
      </c>
      <c r="C723" s="6" t="s">
        <v>61</v>
      </c>
      <c r="D723" s="115" t="s">
        <v>1383</v>
      </c>
      <c r="E723" s="115" t="s">
        <v>1859</v>
      </c>
      <c r="F723" s="179"/>
      <c r="G723" s="6" t="s">
        <v>3630</v>
      </c>
      <c r="H723" s="6" t="s">
        <v>3631</v>
      </c>
      <c r="I723" s="121">
        <v>200000</v>
      </c>
      <c r="J723" s="6" t="s">
        <v>2508</v>
      </c>
      <c r="K723" s="6" t="s">
        <v>1828</v>
      </c>
      <c r="L723" s="179"/>
      <c r="M723" s="22" t="s">
        <v>2093</v>
      </c>
    </row>
    <row r="724" spans="1:13">
      <c r="A724" s="143">
        <v>2016</v>
      </c>
      <c r="B724" s="6" t="s">
        <v>3632</v>
      </c>
      <c r="C724" s="6" t="s">
        <v>61</v>
      </c>
      <c r="D724" s="115" t="s">
        <v>1383</v>
      </c>
      <c r="E724" s="115" t="s">
        <v>1859</v>
      </c>
      <c r="F724" s="178"/>
      <c r="G724" s="158" t="s">
        <v>3633</v>
      </c>
      <c r="H724" s="6" t="s">
        <v>3634</v>
      </c>
      <c r="I724" s="121">
        <v>200000</v>
      </c>
      <c r="J724" s="6" t="s">
        <v>1938</v>
      </c>
      <c r="K724" s="6" t="s">
        <v>1828</v>
      </c>
      <c r="L724" s="178"/>
      <c r="M724" s="22" t="s">
        <v>2093</v>
      </c>
    </row>
    <row r="725" spans="1:13">
      <c r="A725" s="143">
        <v>2016</v>
      </c>
      <c r="B725" s="6" t="s">
        <v>3635</v>
      </c>
      <c r="C725" s="6" t="s">
        <v>61</v>
      </c>
      <c r="D725" s="115" t="s">
        <v>1383</v>
      </c>
      <c r="E725" s="115" t="s">
        <v>1859</v>
      </c>
      <c r="F725" s="179"/>
      <c r="G725" s="6" t="s">
        <v>3636</v>
      </c>
      <c r="H725" s="6" t="s">
        <v>3637</v>
      </c>
      <c r="I725" s="121">
        <v>200000</v>
      </c>
      <c r="J725" s="6"/>
      <c r="K725" s="6" t="s">
        <v>1886</v>
      </c>
      <c r="L725" s="179"/>
      <c r="M725" s="22" t="s">
        <v>2093</v>
      </c>
    </row>
    <row r="726" spans="1:13">
      <c r="A726" s="143">
        <v>2016</v>
      </c>
      <c r="B726" s="6" t="s">
        <v>3638</v>
      </c>
      <c r="C726" s="6" t="s">
        <v>61</v>
      </c>
      <c r="D726" s="115" t="s">
        <v>1383</v>
      </c>
      <c r="E726" s="115" t="s">
        <v>1859</v>
      </c>
      <c r="F726" s="179"/>
      <c r="G726" s="6" t="s">
        <v>3639</v>
      </c>
      <c r="H726" s="6" t="s">
        <v>3640</v>
      </c>
      <c r="I726" s="121">
        <v>200000</v>
      </c>
      <c r="J726" s="6"/>
      <c r="K726" s="6" t="s">
        <v>2082</v>
      </c>
      <c r="L726" s="179"/>
      <c r="M726" s="22" t="s">
        <v>2093</v>
      </c>
    </row>
    <row r="727" spans="1:13">
      <c r="A727" s="143">
        <v>2016</v>
      </c>
      <c r="B727" s="6" t="s">
        <v>3641</v>
      </c>
      <c r="C727" s="160" t="s">
        <v>61</v>
      </c>
      <c r="D727" s="115" t="s">
        <v>1383</v>
      </c>
      <c r="E727" s="115" t="s">
        <v>1859</v>
      </c>
      <c r="F727" s="179"/>
      <c r="G727" s="6" t="s">
        <v>3582</v>
      </c>
      <c r="H727" s="6" t="s">
        <v>707</v>
      </c>
      <c r="I727" s="121">
        <v>200000</v>
      </c>
      <c r="J727" s="6"/>
      <c r="K727" s="6" t="s">
        <v>1896</v>
      </c>
      <c r="L727" s="179"/>
      <c r="M727" s="22" t="s">
        <v>2093</v>
      </c>
    </row>
    <row r="728" spans="1:13">
      <c r="A728" s="143">
        <v>2016</v>
      </c>
      <c r="B728" s="6" t="s">
        <v>3642</v>
      </c>
      <c r="C728" s="6" t="s">
        <v>61</v>
      </c>
      <c r="D728" s="115" t="s">
        <v>1383</v>
      </c>
      <c r="E728" s="115" t="s">
        <v>1859</v>
      </c>
      <c r="F728" s="179"/>
      <c r="G728" s="6" t="s">
        <v>3643</v>
      </c>
      <c r="H728" s="6" t="s">
        <v>1451</v>
      </c>
      <c r="I728" s="121">
        <v>200000</v>
      </c>
      <c r="J728" s="6"/>
      <c r="K728" s="6" t="s">
        <v>2051</v>
      </c>
      <c r="L728" s="179"/>
      <c r="M728" s="22" t="s">
        <v>2093</v>
      </c>
    </row>
    <row r="729" spans="1:13">
      <c r="A729" s="143">
        <v>2016</v>
      </c>
      <c r="B729" s="6" t="s">
        <v>3644</v>
      </c>
      <c r="C729" s="6" t="s">
        <v>61</v>
      </c>
      <c r="D729" s="115" t="s">
        <v>1383</v>
      </c>
      <c r="E729" s="115" t="s">
        <v>1859</v>
      </c>
      <c r="F729" s="179"/>
      <c r="G729" s="6" t="s">
        <v>3645</v>
      </c>
      <c r="H729" s="6" t="s">
        <v>3646</v>
      </c>
      <c r="I729" s="121">
        <v>200000</v>
      </c>
      <c r="J729" s="6"/>
      <c r="K729" s="6" t="s">
        <v>1855</v>
      </c>
      <c r="L729" s="179"/>
      <c r="M729" s="22" t="s">
        <v>2093</v>
      </c>
    </row>
    <row r="730" spans="1:13">
      <c r="A730" s="143">
        <v>2016</v>
      </c>
      <c r="B730" s="6" t="s">
        <v>3647</v>
      </c>
      <c r="C730" s="6" t="s">
        <v>61</v>
      </c>
      <c r="D730" s="115" t="s">
        <v>1383</v>
      </c>
      <c r="E730" s="115" t="s">
        <v>1859</v>
      </c>
      <c r="F730" s="179"/>
      <c r="G730" s="6" t="s">
        <v>3648</v>
      </c>
      <c r="H730" s="6" t="s">
        <v>3649</v>
      </c>
      <c r="I730" s="121">
        <v>200000</v>
      </c>
      <c r="J730" s="6"/>
      <c r="K730" s="6" t="s">
        <v>2047</v>
      </c>
      <c r="L730" s="179"/>
      <c r="M730" s="22" t="s">
        <v>2093</v>
      </c>
    </row>
    <row r="731" spans="1:13">
      <c r="A731" s="143">
        <v>2016</v>
      </c>
      <c r="B731" s="6" t="s">
        <v>3650</v>
      </c>
      <c r="C731" s="6" t="s">
        <v>61</v>
      </c>
      <c r="D731" s="115" t="s">
        <v>1383</v>
      </c>
      <c r="E731" s="115" t="s">
        <v>1859</v>
      </c>
      <c r="F731" s="179"/>
      <c r="G731" s="6" t="s">
        <v>3651</v>
      </c>
      <c r="H731" s="6" t="s">
        <v>1556</v>
      </c>
      <c r="I731" s="121">
        <v>1655000</v>
      </c>
      <c r="J731" s="6" t="s">
        <v>1938</v>
      </c>
      <c r="K731" s="6" t="s">
        <v>1828</v>
      </c>
      <c r="L731" s="179"/>
      <c r="M731" s="22" t="s">
        <v>2093</v>
      </c>
    </row>
    <row r="732" spans="1:13">
      <c r="A732" s="143">
        <v>2016</v>
      </c>
      <c r="B732" s="6" t="s">
        <v>3652</v>
      </c>
      <c r="C732" s="6" t="s">
        <v>61</v>
      </c>
      <c r="D732" s="115" t="s">
        <v>1383</v>
      </c>
      <c r="E732" s="115" t="s">
        <v>1859</v>
      </c>
      <c r="F732" s="179"/>
      <c r="G732" s="6" t="s">
        <v>3653</v>
      </c>
      <c r="H732" s="6" t="s">
        <v>3654</v>
      </c>
      <c r="I732" s="121">
        <v>200000</v>
      </c>
      <c r="J732" s="160" t="s">
        <v>3655</v>
      </c>
      <c r="K732" s="6" t="s">
        <v>1828</v>
      </c>
      <c r="L732" s="179"/>
      <c r="M732" s="22" t="s">
        <v>2093</v>
      </c>
    </row>
    <row r="733" spans="1:13">
      <c r="A733" s="143">
        <v>2016</v>
      </c>
      <c r="B733" s="6" t="s">
        <v>3656</v>
      </c>
      <c r="C733" s="6" t="s">
        <v>61</v>
      </c>
      <c r="D733" s="115" t="s">
        <v>1383</v>
      </c>
      <c r="E733" s="115" t="s">
        <v>1859</v>
      </c>
      <c r="F733" s="179"/>
      <c r="G733" s="6" t="s">
        <v>3657</v>
      </c>
      <c r="H733" s="6" t="s">
        <v>3658</v>
      </c>
      <c r="I733" s="121">
        <v>200000</v>
      </c>
      <c r="J733" s="160" t="s">
        <v>3659</v>
      </c>
      <c r="K733" s="6" t="s">
        <v>1828</v>
      </c>
      <c r="L733" s="179"/>
      <c r="M733" s="22" t="s">
        <v>2093</v>
      </c>
    </row>
    <row r="734" spans="1:13">
      <c r="A734" s="143">
        <v>2016</v>
      </c>
      <c r="B734" s="6" t="s">
        <v>3660</v>
      </c>
      <c r="C734" s="6" t="s">
        <v>61</v>
      </c>
      <c r="D734" s="115" t="s">
        <v>1383</v>
      </c>
      <c r="E734" s="115" t="s">
        <v>1859</v>
      </c>
      <c r="F734" s="179"/>
      <c r="G734" s="6" t="s">
        <v>3661</v>
      </c>
      <c r="H734" s="6" t="s">
        <v>3662</v>
      </c>
      <c r="I734" s="121">
        <v>200000</v>
      </c>
      <c r="J734" s="160" t="s">
        <v>3663</v>
      </c>
      <c r="K734" s="6" t="s">
        <v>1879</v>
      </c>
      <c r="L734" s="179"/>
      <c r="M734" s="22" t="s">
        <v>2093</v>
      </c>
    </row>
    <row r="735" spans="1:13">
      <c r="A735" s="143">
        <v>2016</v>
      </c>
      <c r="B735" s="6" t="s">
        <v>3664</v>
      </c>
      <c r="C735" s="6" t="s">
        <v>61</v>
      </c>
      <c r="D735" s="115" t="s">
        <v>1383</v>
      </c>
      <c r="E735" s="115" t="s">
        <v>1859</v>
      </c>
      <c r="F735" s="179"/>
      <c r="G735" s="6" t="s">
        <v>3665</v>
      </c>
      <c r="H735" s="6" t="s">
        <v>3666</v>
      </c>
      <c r="I735" s="121">
        <v>200000</v>
      </c>
      <c r="J735" s="160" t="s">
        <v>3667</v>
      </c>
      <c r="K735" s="6" t="s">
        <v>1899</v>
      </c>
      <c r="L735" s="179"/>
      <c r="M735" s="22" t="s">
        <v>2093</v>
      </c>
    </row>
    <row r="736" spans="1:13">
      <c r="A736" s="143">
        <v>2016</v>
      </c>
      <c r="B736" s="6" t="s">
        <v>3668</v>
      </c>
      <c r="C736" s="6" t="s">
        <v>61</v>
      </c>
      <c r="D736" s="115" t="s">
        <v>1383</v>
      </c>
      <c r="E736" s="115" t="s">
        <v>1859</v>
      </c>
      <c r="F736" s="179"/>
      <c r="G736" s="6" t="s">
        <v>3669</v>
      </c>
      <c r="H736" s="6" t="s">
        <v>3670</v>
      </c>
      <c r="I736" s="121">
        <v>200000</v>
      </c>
      <c r="J736" s="160" t="s">
        <v>3671</v>
      </c>
      <c r="K736" s="9" t="s">
        <v>2571</v>
      </c>
      <c r="L736" s="179"/>
      <c r="M736" s="22" t="s">
        <v>2093</v>
      </c>
    </row>
    <row r="737" spans="1:13">
      <c r="A737" s="143">
        <v>2016</v>
      </c>
      <c r="B737" s="6" t="s">
        <v>3672</v>
      </c>
      <c r="C737" s="6" t="s">
        <v>61</v>
      </c>
      <c r="D737" s="115" t="s">
        <v>1383</v>
      </c>
      <c r="E737" s="115" t="s">
        <v>1859</v>
      </c>
      <c r="F737" s="179"/>
      <c r="G737" s="6" t="s">
        <v>3673</v>
      </c>
      <c r="H737" s="6" t="s">
        <v>3674</v>
      </c>
      <c r="I737" s="121">
        <v>200000</v>
      </c>
      <c r="J737" s="160" t="s">
        <v>2793</v>
      </c>
      <c r="K737" s="6" t="s">
        <v>1899</v>
      </c>
      <c r="L737" s="179"/>
      <c r="M737" s="22" t="s">
        <v>2093</v>
      </c>
    </row>
    <row r="738" spans="1:13">
      <c r="A738" s="143">
        <v>2016</v>
      </c>
      <c r="B738" s="6" t="s">
        <v>3675</v>
      </c>
      <c r="C738" s="6" t="s">
        <v>61</v>
      </c>
      <c r="D738" s="115" t="s">
        <v>1383</v>
      </c>
      <c r="E738" s="115" t="s">
        <v>1859</v>
      </c>
      <c r="F738" s="179"/>
      <c r="G738" s="6" t="s">
        <v>3676</v>
      </c>
      <c r="H738" s="6" t="s">
        <v>3677</v>
      </c>
      <c r="I738" s="121">
        <v>200000</v>
      </c>
      <c r="J738" s="160" t="s">
        <v>3678</v>
      </c>
      <c r="K738" s="6" t="s">
        <v>1828</v>
      </c>
      <c r="L738" s="179"/>
      <c r="M738" s="22" t="s">
        <v>2093</v>
      </c>
    </row>
    <row r="739" spans="1:13">
      <c r="A739" s="143">
        <v>2016</v>
      </c>
      <c r="B739" s="6" t="s">
        <v>3679</v>
      </c>
      <c r="C739" s="6" t="s">
        <v>61</v>
      </c>
      <c r="D739" s="115" t="s">
        <v>1383</v>
      </c>
      <c r="E739" s="115" t="s">
        <v>1859</v>
      </c>
      <c r="F739" s="179"/>
      <c r="G739" s="6" t="s">
        <v>3680</v>
      </c>
      <c r="H739" s="6" t="s">
        <v>3681</v>
      </c>
      <c r="I739" s="121">
        <v>200000</v>
      </c>
      <c r="J739" s="160" t="s">
        <v>3682</v>
      </c>
      <c r="K739" s="6" t="s">
        <v>1828</v>
      </c>
      <c r="L739" s="179"/>
      <c r="M739" s="22" t="s">
        <v>2093</v>
      </c>
    </row>
    <row r="740" spans="1:13">
      <c r="A740" s="143">
        <v>2016</v>
      </c>
      <c r="B740" s="6" t="s">
        <v>3683</v>
      </c>
      <c r="C740" s="6" t="s">
        <v>61</v>
      </c>
      <c r="D740" s="115" t="s">
        <v>1383</v>
      </c>
      <c r="E740" s="115" t="s">
        <v>1859</v>
      </c>
      <c r="F740" s="179"/>
      <c r="G740" s="6" t="s">
        <v>3684</v>
      </c>
      <c r="H740" s="6" t="s">
        <v>3685</v>
      </c>
      <c r="I740" s="121">
        <v>200000</v>
      </c>
      <c r="J740" s="160" t="s">
        <v>3686</v>
      </c>
      <c r="K740" s="6" t="s">
        <v>2082</v>
      </c>
      <c r="L740" s="179"/>
      <c r="M740" s="22" t="s">
        <v>2093</v>
      </c>
    </row>
    <row r="741" spans="1:13">
      <c r="A741" s="143">
        <v>2016</v>
      </c>
      <c r="B741" s="6" t="s">
        <v>3687</v>
      </c>
      <c r="C741" s="6" t="s">
        <v>61</v>
      </c>
      <c r="D741" s="6" t="s">
        <v>3092</v>
      </c>
      <c r="E741" s="6" t="s">
        <v>1904</v>
      </c>
      <c r="F741" s="179"/>
      <c r="G741" s="6" t="s">
        <v>3688</v>
      </c>
      <c r="H741" s="6" t="s">
        <v>3689</v>
      </c>
      <c r="I741" s="121">
        <v>432150</v>
      </c>
      <c r="J741" s="6"/>
      <c r="K741" s="6" t="s">
        <v>3690</v>
      </c>
      <c r="L741" s="179"/>
      <c r="M741" s="22" t="s">
        <v>3092</v>
      </c>
    </row>
    <row r="742" spans="1:13">
      <c r="A742" s="143">
        <v>2016</v>
      </c>
      <c r="B742" s="6" t="s">
        <v>3691</v>
      </c>
      <c r="C742" s="6" t="s">
        <v>61</v>
      </c>
      <c r="D742" s="22" t="s">
        <v>3092</v>
      </c>
      <c r="E742" s="6" t="s">
        <v>1904</v>
      </c>
      <c r="F742" s="179"/>
      <c r="G742" s="6" t="s">
        <v>3692</v>
      </c>
      <c r="H742" s="6" t="s">
        <v>3693</v>
      </c>
      <c r="I742" s="121">
        <v>282080</v>
      </c>
      <c r="J742" s="160" t="s">
        <v>3694</v>
      </c>
      <c r="K742" s="6" t="s">
        <v>1855</v>
      </c>
      <c r="L742" s="179"/>
      <c r="M742" s="22" t="s">
        <v>3092</v>
      </c>
    </row>
    <row r="743" spans="1:13">
      <c r="A743" s="143">
        <v>2016</v>
      </c>
      <c r="B743" s="6" t="s">
        <v>3695</v>
      </c>
      <c r="C743" s="6" t="s">
        <v>61</v>
      </c>
      <c r="D743" s="6" t="s">
        <v>3092</v>
      </c>
      <c r="E743" s="6" t="s">
        <v>1904</v>
      </c>
      <c r="F743" s="179"/>
      <c r="G743" s="6" t="s">
        <v>3696</v>
      </c>
      <c r="H743" s="6" t="s">
        <v>581</v>
      </c>
      <c r="I743" s="121">
        <v>339700</v>
      </c>
      <c r="J743" s="6"/>
      <c r="K743" s="6" t="s">
        <v>1916</v>
      </c>
      <c r="L743" s="179"/>
      <c r="M743" s="22" t="s">
        <v>3092</v>
      </c>
    </row>
    <row r="744" spans="1:13">
      <c r="A744" s="140">
        <v>2016</v>
      </c>
      <c r="B744" s="6" t="s">
        <v>3697</v>
      </c>
      <c r="C744" s="6" t="s">
        <v>61</v>
      </c>
      <c r="D744" s="9" t="s">
        <v>62</v>
      </c>
      <c r="E744" s="6" t="s">
        <v>1904</v>
      </c>
      <c r="F744" s="179"/>
      <c r="G744" s="6" t="s">
        <v>3698</v>
      </c>
      <c r="H744" s="6" t="s">
        <v>3699</v>
      </c>
      <c r="I744" s="121">
        <v>1065240</v>
      </c>
      <c r="J744" s="160" t="s">
        <v>3700</v>
      </c>
      <c r="K744" s="6" t="s">
        <v>1886</v>
      </c>
      <c r="L744" s="179"/>
      <c r="M744" s="22" t="s">
        <v>62</v>
      </c>
    </row>
    <row r="745" spans="1:13">
      <c r="A745" s="143">
        <v>2016</v>
      </c>
      <c r="B745" s="6" t="s">
        <v>3701</v>
      </c>
      <c r="C745" s="6" t="s">
        <v>61</v>
      </c>
      <c r="D745" s="6" t="s">
        <v>586</v>
      </c>
      <c r="E745" s="6" t="s">
        <v>1874</v>
      </c>
      <c r="F745" s="179"/>
      <c r="G745" s="6" t="s">
        <v>3702</v>
      </c>
      <c r="H745" s="6" t="s">
        <v>3703</v>
      </c>
      <c r="I745" s="121">
        <v>96000</v>
      </c>
      <c r="J745" s="160" t="s">
        <v>3704</v>
      </c>
      <c r="K745" s="6" t="s">
        <v>1828</v>
      </c>
      <c r="L745" s="179"/>
      <c r="M745" s="22" t="s">
        <v>3705</v>
      </c>
    </row>
    <row r="746" spans="1:13">
      <c r="A746" s="143">
        <v>2016</v>
      </c>
      <c r="B746" s="6" t="s">
        <v>3706</v>
      </c>
      <c r="C746" s="6" t="s">
        <v>61</v>
      </c>
      <c r="D746" s="6" t="s">
        <v>652</v>
      </c>
      <c r="E746" s="6" t="s">
        <v>1874</v>
      </c>
      <c r="F746" s="179"/>
      <c r="G746" s="6" t="s">
        <v>3707</v>
      </c>
      <c r="H746" s="6" t="s">
        <v>3708</v>
      </c>
      <c r="I746" s="121">
        <v>62473.45</v>
      </c>
      <c r="J746" s="160" t="s">
        <v>3709</v>
      </c>
      <c r="K746" s="6" t="s">
        <v>1886</v>
      </c>
      <c r="L746" s="179"/>
      <c r="M746" s="22" t="s">
        <v>652</v>
      </c>
    </row>
    <row r="747" spans="1:13">
      <c r="A747" s="143">
        <v>2016</v>
      </c>
      <c r="B747" s="6" t="s">
        <v>3710</v>
      </c>
      <c r="C747" s="6" t="s">
        <v>61</v>
      </c>
      <c r="D747" s="6" t="s">
        <v>652</v>
      </c>
      <c r="E747" s="6" t="s">
        <v>1874</v>
      </c>
      <c r="F747" s="179"/>
      <c r="G747" s="6" t="s">
        <v>3711</v>
      </c>
      <c r="H747" s="6" t="s">
        <v>3712</v>
      </c>
      <c r="I747" s="121">
        <v>100000</v>
      </c>
      <c r="J747" s="160" t="s">
        <v>3713</v>
      </c>
      <c r="K747" s="6" t="s">
        <v>1828</v>
      </c>
      <c r="L747" s="179"/>
      <c r="M747" s="22" t="s">
        <v>652</v>
      </c>
    </row>
    <row r="748" spans="1:13">
      <c r="A748" s="143">
        <v>2016</v>
      </c>
      <c r="B748" s="6" t="s">
        <v>3714</v>
      </c>
      <c r="C748" s="6" t="s">
        <v>61</v>
      </c>
      <c r="D748" s="112" t="s">
        <v>68</v>
      </c>
      <c r="E748" s="6" t="s">
        <v>1874</v>
      </c>
      <c r="F748" s="179"/>
      <c r="G748" s="6" t="s">
        <v>3715</v>
      </c>
      <c r="H748" s="6" t="s">
        <v>3716</v>
      </c>
      <c r="I748" s="121">
        <v>99600</v>
      </c>
      <c r="J748" s="160" t="s">
        <v>3717</v>
      </c>
      <c r="K748" s="6" t="s">
        <v>2031</v>
      </c>
      <c r="L748" s="179"/>
      <c r="M748" s="22" t="s">
        <v>68</v>
      </c>
    </row>
    <row r="749" spans="1:13">
      <c r="A749" s="143">
        <v>2016</v>
      </c>
      <c r="B749" s="6" t="s">
        <v>3718</v>
      </c>
      <c r="C749" s="6" t="s">
        <v>61</v>
      </c>
      <c r="D749" s="6" t="s">
        <v>3719</v>
      </c>
      <c r="E749" s="6" t="s">
        <v>1824</v>
      </c>
      <c r="F749" s="179"/>
      <c r="G749" s="6" t="s">
        <v>3720</v>
      </c>
      <c r="H749" s="6" t="s">
        <v>1556</v>
      </c>
      <c r="I749" s="121">
        <v>300000</v>
      </c>
      <c r="J749" s="160" t="s">
        <v>3682</v>
      </c>
      <c r="K749" s="6" t="s">
        <v>1828</v>
      </c>
      <c r="L749" s="179"/>
      <c r="M749" s="22" t="s">
        <v>3719</v>
      </c>
    </row>
    <row r="750" spans="1:13">
      <c r="A750" s="143">
        <v>2016</v>
      </c>
      <c r="B750" s="6" t="s">
        <v>3721</v>
      </c>
      <c r="C750" s="6" t="s">
        <v>2328</v>
      </c>
      <c r="D750" s="6" t="s">
        <v>3109</v>
      </c>
      <c r="E750" s="6" t="s">
        <v>1874</v>
      </c>
      <c r="F750" s="179"/>
      <c r="G750" s="6" t="s">
        <v>3722</v>
      </c>
      <c r="H750" s="6" t="s">
        <v>3723</v>
      </c>
      <c r="I750" s="121">
        <v>30000</v>
      </c>
      <c r="J750" s="160" t="s">
        <v>3724</v>
      </c>
      <c r="K750" s="6" t="s">
        <v>1828</v>
      </c>
      <c r="L750" s="179"/>
      <c r="M750" s="22" t="s">
        <v>3109</v>
      </c>
    </row>
    <row r="751" spans="1:13">
      <c r="A751" s="143">
        <v>2016</v>
      </c>
      <c r="B751" s="6" t="s">
        <v>3725</v>
      </c>
      <c r="C751" s="6" t="s">
        <v>2328</v>
      </c>
      <c r="D751" s="6" t="s">
        <v>3109</v>
      </c>
      <c r="E751" s="6" t="s">
        <v>1874</v>
      </c>
      <c r="F751" s="179"/>
      <c r="G751" s="6" t="s">
        <v>3726</v>
      </c>
      <c r="H751" s="6" t="s">
        <v>3727</v>
      </c>
      <c r="I751" s="121">
        <v>100000</v>
      </c>
      <c r="J751" s="160" t="s">
        <v>3728</v>
      </c>
      <c r="K751" s="6" t="s">
        <v>2031</v>
      </c>
      <c r="L751" s="179"/>
      <c r="M751" s="22" t="s">
        <v>3109</v>
      </c>
    </row>
    <row r="752" spans="1:13">
      <c r="A752" s="143">
        <v>2016</v>
      </c>
      <c r="B752" s="6" t="s">
        <v>3729</v>
      </c>
      <c r="C752" s="6"/>
      <c r="D752" s="115" t="s">
        <v>1383</v>
      </c>
      <c r="E752" s="6" t="s">
        <v>1824</v>
      </c>
      <c r="F752" s="179"/>
      <c r="G752" s="6" t="s">
        <v>3730</v>
      </c>
      <c r="H752" s="6" t="s">
        <v>1556</v>
      </c>
      <c r="I752" s="121">
        <v>1412800</v>
      </c>
      <c r="J752" s="160" t="s">
        <v>3682</v>
      </c>
      <c r="K752" s="6" t="s">
        <v>1828</v>
      </c>
      <c r="L752" s="179"/>
      <c r="M752" s="22" t="s">
        <v>1940</v>
      </c>
    </row>
    <row r="753" spans="1:13">
      <c r="A753" s="143">
        <v>2016</v>
      </c>
      <c r="B753" s="6" t="s">
        <v>3731</v>
      </c>
      <c r="C753" s="6" t="s">
        <v>61</v>
      </c>
      <c r="D753" s="115" t="s">
        <v>1383</v>
      </c>
      <c r="E753" s="115" t="s">
        <v>1859</v>
      </c>
      <c r="F753" s="179"/>
      <c r="G753" s="6" t="s">
        <v>3732</v>
      </c>
      <c r="H753" s="6" t="s">
        <v>3733</v>
      </c>
      <c r="I753" s="121">
        <v>200000</v>
      </c>
      <c r="J753" s="6"/>
      <c r="K753" s="9" t="s">
        <v>2676</v>
      </c>
      <c r="L753" s="179"/>
      <c r="M753" s="22" t="s">
        <v>2093</v>
      </c>
    </row>
    <row r="754" spans="1:13">
      <c r="A754" s="143">
        <v>2016</v>
      </c>
      <c r="B754" s="6" t="s">
        <v>3734</v>
      </c>
      <c r="C754" s="6" t="s">
        <v>61</v>
      </c>
      <c r="D754" s="6" t="s">
        <v>3092</v>
      </c>
      <c r="E754" s="6" t="s">
        <v>1904</v>
      </c>
      <c r="F754" s="179"/>
      <c r="G754" s="6" t="s">
        <v>3735</v>
      </c>
      <c r="H754" s="6" t="s">
        <v>3333</v>
      </c>
      <c r="I754" s="121">
        <v>432150</v>
      </c>
      <c r="J754" s="6"/>
      <c r="K754" s="6" t="s">
        <v>1828</v>
      </c>
      <c r="L754" s="179"/>
      <c r="M754" s="22" t="s">
        <v>3092</v>
      </c>
    </row>
    <row r="755" spans="1:13">
      <c r="A755" s="143">
        <v>2016</v>
      </c>
      <c r="B755" s="6" t="s">
        <v>3736</v>
      </c>
      <c r="C755" s="6" t="s">
        <v>61</v>
      </c>
      <c r="D755" s="6" t="s">
        <v>1262</v>
      </c>
      <c r="E755" s="6" t="s">
        <v>1904</v>
      </c>
      <c r="F755" s="179"/>
      <c r="G755" s="6" t="s">
        <v>3737</v>
      </c>
      <c r="H755" s="6" t="s">
        <v>3738</v>
      </c>
      <c r="I755" s="121">
        <v>726800</v>
      </c>
      <c r="J755" s="160" t="s">
        <v>3739</v>
      </c>
      <c r="K755" s="6" t="s">
        <v>1886</v>
      </c>
      <c r="L755" s="179"/>
      <c r="M755" s="22" t="s">
        <v>1262</v>
      </c>
    </row>
    <row r="756" spans="1:13">
      <c r="A756" s="143">
        <v>2016</v>
      </c>
      <c r="B756" s="6" t="s">
        <v>3740</v>
      </c>
      <c r="C756" s="6" t="s">
        <v>61</v>
      </c>
      <c r="D756" s="6" t="s">
        <v>3168</v>
      </c>
      <c r="E756" s="115" t="s">
        <v>1859</v>
      </c>
      <c r="F756" s="179"/>
      <c r="G756" s="6" t="s">
        <v>3741</v>
      </c>
      <c r="H756" s="6" t="s">
        <v>1556</v>
      </c>
      <c r="I756" s="121">
        <v>394000</v>
      </c>
      <c r="J756" s="160" t="s">
        <v>3682</v>
      </c>
      <c r="K756" s="6" t="s">
        <v>1828</v>
      </c>
      <c r="L756" s="179"/>
      <c r="M756" s="22" t="s">
        <v>3168</v>
      </c>
    </row>
    <row r="757" spans="1:13">
      <c r="A757" s="143">
        <v>2016</v>
      </c>
      <c r="B757" s="6" t="s">
        <v>3742</v>
      </c>
      <c r="C757" s="6" t="s">
        <v>3743</v>
      </c>
      <c r="D757" s="9" t="s">
        <v>62</v>
      </c>
      <c r="E757" s="6"/>
      <c r="F757" s="179"/>
      <c r="G757" s="6" t="s">
        <v>3744</v>
      </c>
      <c r="H757" s="6" t="s">
        <v>3745</v>
      </c>
      <c r="I757" s="121"/>
      <c r="J757" s="160" t="s">
        <v>3746</v>
      </c>
      <c r="K757" s="6" t="s">
        <v>1886</v>
      </c>
      <c r="L757" s="179"/>
      <c r="M757" s="22" t="s">
        <v>62</v>
      </c>
    </row>
    <row r="758" spans="1:13">
      <c r="A758" s="143">
        <v>2016</v>
      </c>
      <c r="B758" s="6" t="s">
        <v>3747</v>
      </c>
      <c r="C758" s="6"/>
      <c r="D758" s="6" t="s">
        <v>3155</v>
      </c>
      <c r="E758" s="6" t="s">
        <v>1824</v>
      </c>
      <c r="F758" s="179"/>
      <c r="G758" s="6" t="s">
        <v>3748</v>
      </c>
      <c r="H758" s="6" t="s">
        <v>1556</v>
      </c>
      <c r="I758" s="121">
        <v>1200000</v>
      </c>
      <c r="J758" s="160" t="s">
        <v>3682</v>
      </c>
      <c r="K758" s="6" t="s">
        <v>1828</v>
      </c>
      <c r="L758" s="179"/>
      <c r="M758" s="22" t="s">
        <v>3155</v>
      </c>
    </row>
    <row r="759" spans="1:13">
      <c r="A759" s="140">
        <v>2016</v>
      </c>
      <c r="B759" s="6" t="s">
        <v>3749</v>
      </c>
      <c r="C759" s="6" t="s">
        <v>61</v>
      </c>
      <c r="D759" s="9" t="s">
        <v>62</v>
      </c>
      <c r="E759" s="6" t="s">
        <v>1904</v>
      </c>
      <c r="F759" s="179"/>
      <c r="G759" s="6" t="s">
        <v>3750</v>
      </c>
      <c r="H759" s="6" t="s">
        <v>3751</v>
      </c>
      <c r="I759" s="121">
        <v>1986200</v>
      </c>
      <c r="J759" s="160" t="s">
        <v>3752</v>
      </c>
      <c r="K759" s="6" t="s">
        <v>1828</v>
      </c>
      <c r="L759" s="179"/>
      <c r="M759" s="22" t="s">
        <v>62</v>
      </c>
    </row>
    <row r="760" spans="1:13">
      <c r="A760" s="140">
        <v>2016</v>
      </c>
      <c r="B760" s="6" t="s">
        <v>3753</v>
      </c>
      <c r="C760" s="6" t="s">
        <v>61</v>
      </c>
      <c r="D760" s="9" t="s">
        <v>62</v>
      </c>
      <c r="E760" s="6" t="s">
        <v>1904</v>
      </c>
      <c r="F760" s="179"/>
      <c r="G760" s="6" t="s">
        <v>3754</v>
      </c>
      <c r="H760" s="6" t="s">
        <v>12156</v>
      </c>
      <c r="I760" s="121">
        <v>1923000</v>
      </c>
      <c r="J760" s="148" t="s">
        <v>3756</v>
      </c>
      <c r="K760" s="6" t="s">
        <v>1828</v>
      </c>
      <c r="L760" s="179"/>
      <c r="M760" s="22" t="s">
        <v>62</v>
      </c>
    </row>
    <row r="761" spans="1:13">
      <c r="A761" s="143">
        <v>2016</v>
      </c>
      <c r="B761" s="6" t="s">
        <v>3757</v>
      </c>
      <c r="C761" s="6" t="s">
        <v>61</v>
      </c>
      <c r="D761" s="115" t="s">
        <v>1383</v>
      </c>
      <c r="E761" s="115" t="s">
        <v>1859</v>
      </c>
      <c r="F761" s="179"/>
      <c r="G761" s="6" t="s">
        <v>3758</v>
      </c>
      <c r="H761" s="6" t="s">
        <v>3449</v>
      </c>
      <c r="I761" s="121">
        <v>121500</v>
      </c>
      <c r="J761" s="160"/>
      <c r="K761" s="6" t="s">
        <v>1828</v>
      </c>
      <c r="L761" s="179"/>
      <c r="M761" s="22" t="s">
        <v>1383</v>
      </c>
    </row>
    <row r="762" spans="1:13">
      <c r="A762" s="143">
        <v>2016</v>
      </c>
      <c r="B762" s="6" t="s">
        <v>3759</v>
      </c>
      <c r="C762" s="6" t="s">
        <v>61</v>
      </c>
      <c r="D762" s="6" t="s">
        <v>3155</v>
      </c>
      <c r="E762" s="6" t="s">
        <v>1824</v>
      </c>
      <c r="F762" s="179"/>
      <c r="G762" s="6" t="s">
        <v>3760</v>
      </c>
      <c r="H762" s="6" t="s">
        <v>1556</v>
      </c>
      <c r="I762" s="121">
        <v>3000000</v>
      </c>
      <c r="J762" s="160" t="s">
        <v>3682</v>
      </c>
      <c r="K762" s="6" t="s">
        <v>1828</v>
      </c>
      <c r="L762" s="179"/>
      <c r="M762" s="22" t="s">
        <v>3155</v>
      </c>
    </row>
    <row r="763" spans="1:13">
      <c r="A763" s="140">
        <v>2016</v>
      </c>
      <c r="B763" s="6" t="s">
        <v>3761</v>
      </c>
      <c r="C763" s="6" t="s">
        <v>61</v>
      </c>
      <c r="D763" s="9" t="s">
        <v>62</v>
      </c>
      <c r="E763" s="6" t="s">
        <v>1904</v>
      </c>
      <c r="F763" s="179"/>
      <c r="G763" s="6" t="s">
        <v>3433</v>
      </c>
      <c r="H763" s="6" t="s">
        <v>3762</v>
      </c>
      <c r="I763" s="121">
        <v>793460</v>
      </c>
      <c r="J763" s="6" t="s">
        <v>3763</v>
      </c>
      <c r="K763" s="6" t="s">
        <v>1899</v>
      </c>
      <c r="L763" s="179"/>
      <c r="M763" s="22" t="s">
        <v>62</v>
      </c>
    </row>
    <row r="764" spans="1:13">
      <c r="A764" s="143">
        <v>2016</v>
      </c>
      <c r="B764" s="6" t="s">
        <v>3764</v>
      </c>
      <c r="C764" s="6" t="s">
        <v>61</v>
      </c>
      <c r="D764" s="6" t="s">
        <v>2834</v>
      </c>
      <c r="E764" s="6" t="s">
        <v>1874</v>
      </c>
      <c r="F764" s="179"/>
      <c r="G764" s="6" t="s">
        <v>3765</v>
      </c>
      <c r="H764" s="6" t="s">
        <v>3631</v>
      </c>
      <c r="I764" s="121">
        <v>165000</v>
      </c>
      <c r="J764" s="6" t="s">
        <v>2508</v>
      </c>
      <c r="K764" s="6" t="s">
        <v>1828</v>
      </c>
      <c r="L764" s="179"/>
      <c r="M764" s="22" t="s">
        <v>1730</v>
      </c>
    </row>
    <row r="765" spans="1:13">
      <c r="A765" s="143">
        <v>2016</v>
      </c>
      <c r="B765" s="6" t="s">
        <v>3766</v>
      </c>
      <c r="C765" s="6" t="s">
        <v>61</v>
      </c>
      <c r="D765" s="6" t="s">
        <v>3168</v>
      </c>
      <c r="E765" s="115" t="s">
        <v>1859</v>
      </c>
      <c r="F765" s="179"/>
      <c r="G765" s="6" t="s">
        <v>3767</v>
      </c>
      <c r="H765" s="6" t="s">
        <v>3064</v>
      </c>
      <c r="I765" s="121">
        <v>200000</v>
      </c>
      <c r="J765" s="160" t="s">
        <v>3768</v>
      </c>
      <c r="K765" s="6" t="s">
        <v>2031</v>
      </c>
      <c r="L765" s="179"/>
      <c r="M765" s="22" t="s">
        <v>3168</v>
      </c>
    </row>
    <row r="766" spans="1:13">
      <c r="A766" s="143">
        <v>2016</v>
      </c>
      <c r="B766" s="6" t="s">
        <v>3769</v>
      </c>
      <c r="C766" s="6" t="s">
        <v>2328</v>
      </c>
      <c r="D766" s="6" t="s">
        <v>2724</v>
      </c>
      <c r="E766" s="6" t="s">
        <v>1874</v>
      </c>
      <c r="F766" s="179"/>
      <c r="G766" s="6" t="s">
        <v>3770</v>
      </c>
      <c r="H766" s="6" t="s">
        <v>3771</v>
      </c>
      <c r="I766" s="121">
        <v>78200</v>
      </c>
      <c r="J766" s="160" t="s">
        <v>3772</v>
      </c>
      <c r="K766" s="6" t="s">
        <v>1886</v>
      </c>
      <c r="L766" s="179"/>
      <c r="M766" s="22" t="s">
        <v>2724</v>
      </c>
    </row>
    <row r="767" spans="1:13">
      <c r="A767" s="143">
        <v>2016</v>
      </c>
      <c r="B767" s="6" t="s">
        <v>3773</v>
      </c>
      <c r="C767" s="6" t="s">
        <v>2328</v>
      </c>
      <c r="D767" s="9" t="s">
        <v>62</v>
      </c>
      <c r="E767" s="6"/>
      <c r="F767" s="179"/>
      <c r="G767" s="6" t="s">
        <v>3774</v>
      </c>
      <c r="H767" s="6" t="s">
        <v>3775</v>
      </c>
      <c r="I767" s="121">
        <v>522500</v>
      </c>
      <c r="J767" s="160" t="s">
        <v>3776</v>
      </c>
      <c r="K767" s="6" t="s">
        <v>1916</v>
      </c>
      <c r="L767" s="179"/>
      <c r="M767" s="22" t="s">
        <v>62</v>
      </c>
    </row>
    <row r="768" spans="1:13">
      <c r="A768" s="143">
        <v>2016</v>
      </c>
      <c r="B768" s="6" t="s">
        <v>3777</v>
      </c>
      <c r="C768" s="6" t="s">
        <v>2328</v>
      </c>
      <c r="D768" s="6" t="s">
        <v>3109</v>
      </c>
      <c r="E768" s="6" t="s">
        <v>1874</v>
      </c>
      <c r="F768" s="179"/>
      <c r="G768" s="6" t="s">
        <v>3778</v>
      </c>
      <c r="H768" s="6" t="s">
        <v>3779</v>
      </c>
      <c r="I768" s="121">
        <v>70625</v>
      </c>
      <c r="J768" s="160" t="s">
        <v>3780</v>
      </c>
      <c r="K768" s="6" t="s">
        <v>1828</v>
      </c>
      <c r="L768" s="179"/>
      <c r="M768" s="22" t="s">
        <v>3781</v>
      </c>
    </row>
    <row r="769" spans="1:13">
      <c r="A769" s="143">
        <v>2016</v>
      </c>
      <c r="B769" s="6" t="s">
        <v>3782</v>
      </c>
      <c r="C769" s="6" t="s">
        <v>2328</v>
      </c>
      <c r="D769" s="9" t="s">
        <v>62</v>
      </c>
      <c r="E769" s="6"/>
      <c r="F769" s="179"/>
      <c r="G769" s="6" t="s">
        <v>3784</v>
      </c>
      <c r="H769" s="6" t="s">
        <v>3785</v>
      </c>
      <c r="I769" s="121" t="s">
        <v>3783</v>
      </c>
      <c r="J769" s="160" t="s">
        <v>3786</v>
      </c>
      <c r="K769" s="6" t="s">
        <v>1828</v>
      </c>
      <c r="L769" s="179"/>
      <c r="M769" s="22" t="s">
        <v>62</v>
      </c>
    </row>
    <row r="770" spans="1:13">
      <c r="A770" s="143">
        <v>2016</v>
      </c>
      <c r="B770" s="6" t="s">
        <v>3787</v>
      </c>
      <c r="C770" s="6" t="s">
        <v>2328</v>
      </c>
      <c r="D770" s="9" t="s">
        <v>62</v>
      </c>
      <c r="E770" s="6"/>
      <c r="F770" s="179"/>
      <c r="G770" s="6" t="s">
        <v>3774</v>
      </c>
      <c r="H770" s="6" t="s">
        <v>3788</v>
      </c>
      <c r="I770" s="121">
        <v>650000</v>
      </c>
      <c r="J770" s="160" t="s">
        <v>3789</v>
      </c>
      <c r="K770" s="6" t="s">
        <v>1916</v>
      </c>
      <c r="L770" s="179"/>
      <c r="M770" s="22" t="s">
        <v>62</v>
      </c>
    </row>
    <row r="771" spans="1:13">
      <c r="A771" s="143">
        <v>2016</v>
      </c>
      <c r="B771" s="6" t="s">
        <v>3790</v>
      </c>
      <c r="C771" s="6" t="s">
        <v>2328</v>
      </c>
      <c r="D771" s="6" t="s">
        <v>3791</v>
      </c>
      <c r="E771" s="6" t="s">
        <v>1874</v>
      </c>
      <c r="F771" s="179"/>
      <c r="G771" s="6" t="s">
        <v>3792</v>
      </c>
      <c r="H771" s="6" t="s">
        <v>3793</v>
      </c>
      <c r="I771" s="121">
        <v>143175</v>
      </c>
      <c r="J771" s="160" t="s">
        <v>3794</v>
      </c>
      <c r="K771" s="6" t="s">
        <v>1828</v>
      </c>
      <c r="L771" s="179"/>
      <c r="M771" s="22" t="s">
        <v>3791</v>
      </c>
    </row>
    <row r="772" spans="1:13">
      <c r="A772" s="143">
        <v>2016</v>
      </c>
      <c r="B772" s="6" t="s">
        <v>3795</v>
      </c>
      <c r="C772" s="6" t="s">
        <v>2328</v>
      </c>
      <c r="D772" s="6" t="s">
        <v>2724</v>
      </c>
      <c r="E772" s="6" t="s">
        <v>1874</v>
      </c>
      <c r="F772" s="179"/>
      <c r="G772" s="6" t="s">
        <v>3796</v>
      </c>
      <c r="H772" s="6" t="s">
        <v>3797</v>
      </c>
      <c r="I772" s="121">
        <v>515560</v>
      </c>
      <c r="J772" s="160" t="s">
        <v>3798</v>
      </c>
      <c r="K772" s="6" t="s">
        <v>1828</v>
      </c>
      <c r="L772" s="179"/>
      <c r="M772" s="22" t="s">
        <v>2728</v>
      </c>
    </row>
    <row r="773" spans="1:13">
      <c r="A773" s="143">
        <v>2016</v>
      </c>
      <c r="B773" s="6" t="s">
        <v>3799</v>
      </c>
      <c r="C773" s="6" t="s">
        <v>3096</v>
      </c>
      <c r="D773" s="6" t="s">
        <v>2724</v>
      </c>
      <c r="E773" s="6" t="s">
        <v>1874</v>
      </c>
      <c r="F773" s="179"/>
      <c r="G773" s="6" t="s">
        <v>3800</v>
      </c>
      <c r="H773" s="6" t="s">
        <v>3801</v>
      </c>
      <c r="I773" s="121">
        <v>2000000</v>
      </c>
      <c r="J773" s="160" t="s">
        <v>3682</v>
      </c>
      <c r="K773" s="6" t="s">
        <v>1828</v>
      </c>
      <c r="L773" s="179"/>
      <c r="M773" s="22" t="s">
        <v>2724</v>
      </c>
    </row>
    <row r="774" spans="1:13">
      <c r="A774" s="140">
        <v>2016</v>
      </c>
      <c r="B774" s="6" t="s">
        <v>3802</v>
      </c>
      <c r="C774" s="6" t="s">
        <v>61</v>
      </c>
      <c r="D774" s="9" t="s">
        <v>62</v>
      </c>
      <c r="E774" s="6" t="s">
        <v>1904</v>
      </c>
      <c r="F774" s="179"/>
      <c r="G774" s="6" t="s">
        <v>3803</v>
      </c>
      <c r="H774" s="6" t="s">
        <v>3804</v>
      </c>
      <c r="I774" s="121">
        <v>6232775</v>
      </c>
      <c r="J774" s="160" t="s">
        <v>3805</v>
      </c>
      <c r="K774" s="6" t="s">
        <v>1828</v>
      </c>
      <c r="L774" s="179"/>
      <c r="M774" s="22" t="s">
        <v>62</v>
      </c>
    </row>
    <row r="775" spans="1:13">
      <c r="A775" s="140">
        <v>2016</v>
      </c>
      <c r="B775" s="6" t="s">
        <v>3806</v>
      </c>
      <c r="C775" s="6" t="s">
        <v>61</v>
      </c>
      <c r="D775" s="9" t="s">
        <v>62</v>
      </c>
      <c r="E775" s="6" t="s">
        <v>1904</v>
      </c>
      <c r="F775" s="179"/>
      <c r="G775" s="6" t="s">
        <v>3807</v>
      </c>
      <c r="H775" s="6" t="s">
        <v>3808</v>
      </c>
      <c r="I775" s="121">
        <v>1297977.67</v>
      </c>
      <c r="J775" s="6"/>
      <c r="K775" s="6" t="s">
        <v>2051</v>
      </c>
      <c r="L775" s="179"/>
      <c r="M775" s="22" t="s">
        <v>62</v>
      </c>
    </row>
    <row r="776" spans="1:13">
      <c r="A776" s="140">
        <v>2016</v>
      </c>
      <c r="B776" s="6" t="s">
        <v>3809</v>
      </c>
      <c r="C776" s="6" t="s">
        <v>61</v>
      </c>
      <c r="D776" s="9" t="s">
        <v>62</v>
      </c>
      <c r="E776" s="6" t="s">
        <v>1904</v>
      </c>
      <c r="F776" s="179"/>
      <c r="G776" s="6" t="s">
        <v>3810</v>
      </c>
      <c r="H776" s="6" t="s">
        <v>3811</v>
      </c>
      <c r="I776" s="121">
        <v>1036115.4</v>
      </c>
      <c r="J776" s="6"/>
      <c r="K776" s="6" t="s">
        <v>2051</v>
      </c>
      <c r="L776" s="179"/>
      <c r="M776" s="22" t="s">
        <v>62</v>
      </c>
    </row>
    <row r="777" spans="1:13">
      <c r="A777" s="143">
        <v>2016</v>
      </c>
      <c r="B777" s="6" t="s">
        <v>3812</v>
      </c>
      <c r="C777" s="6" t="s">
        <v>61</v>
      </c>
      <c r="D777" s="115" t="s">
        <v>1383</v>
      </c>
      <c r="E777" s="115" t="s">
        <v>1859</v>
      </c>
      <c r="F777" s="179"/>
      <c r="G777" s="6" t="s">
        <v>3813</v>
      </c>
      <c r="H777" s="6" t="s">
        <v>3814</v>
      </c>
      <c r="I777" s="121">
        <v>60100</v>
      </c>
      <c r="J777" s="6" t="s">
        <v>3815</v>
      </c>
      <c r="K777" s="6" t="s">
        <v>1828</v>
      </c>
      <c r="L777" s="180" t="s">
        <v>3816</v>
      </c>
      <c r="M777" s="22" t="s">
        <v>1383</v>
      </c>
    </row>
    <row r="778" spans="1:13">
      <c r="A778" s="143">
        <v>2016</v>
      </c>
      <c r="B778" s="6" t="s">
        <v>3817</v>
      </c>
      <c r="C778" s="6" t="s">
        <v>61</v>
      </c>
      <c r="D778" s="6" t="s">
        <v>3168</v>
      </c>
      <c r="E778" s="115" t="s">
        <v>1859</v>
      </c>
      <c r="F778" s="179"/>
      <c r="G778" s="6" t="s">
        <v>3818</v>
      </c>
      <c r="H778" s="6" t="s">
        <v>3819</v>
      </c>
      <c r="I778" s="121">
        <v>50000</v>
      </c>
      <c r="J778" s="6"/>
      <c r="K778" s="6" t="s">
        <v>1828</v>
      </c>
      <c r="L778" s="180" t="s">
        <v>3820</v>
      </c>
      <c r="M778" s="22" t="s">
        <v>3168</v>
      </c>
    </row>
    <row r="779" spans="1:13">
      <c r="A779" s="143">
        <v>2016</v>
      </c>
      <c r="B779" s="6" t="s">
        <v>3821</v>
      </c>
      <c r="C779" s="6" t="s">
        <v>61</v>
      </c>
      <c r="D779" s="115" t="s">
        <v>1383</v>
      </c>
      <c r="E779" s="115" t="s">
        <v>1859</v>
      </c>
      <c r="F779" s="179"/>
      <c r="G779" s="6" t="s">
        <v>3822</v>
      </c>
      <c r="H779" s="6" t="s">
        <v>3823</v>
      </c>
      <c r="I779" s="121">
        <v>40000</v>
      </c>
      <c r="J779" s="6" t="s">
        <v>3824</v>
      </c>
      <c r="K779" s="6" t="s">
        <v>1828</v>
      </c>
      <c r="L779" s="180" t="s">
        <v>3825</v>
      </c>
      <c r="M779" s="22" t="s">
        <v>1383</v>
      </c>
    </row>
    <row r="780" spans="1:13">
      <c r="A780" s="143">
        <v>2016</v>
      </c>
      <c r="B780" s="181" t="s">
        <v>3826</v>
      </c>
      <c r="C780" s="181"/>
      <c r="D780" s="181" t="s">
        <v>3827</v>
      </c>
      <c r="E780" s="181"/>
      <c r="F780" s="183"/>
      <c r="G780" s="181" t="s">
        <v>3827</v>
      </c>
      <c r="H780" s="181" t="s">
        <v>3827</v>
      </c>
      <c r="I780" s="182" t="s">
        <v>3827</v>
      </c>
      <c r="J780" s="181" t="s">
        <v>3827</v>
      </c>
      <c r="K780" s="181"/>
      <c r="L780" s="183" t="s">
        <v>3827</v>
      </c>
      <c r="M780" s="184" t="s">
        <v>3827</v>
      </c>
    </row>
    <row r="781" spans="1:13">
      <c r="A781" s="143">
        <v>2016</v>
      </c>
      <c r="B781" s="6" t="s">
        <v>3828</v>
      </c>
      <c r="C781" s="6" t="s">
        <v>61</v>
      </c>
      <c r="D781" s="6" t="s">
        <v>3168</v>
      </c>
      <c r="E781" s="115" t="s">
        <v>1859</v>
      </c>
      <c r="F781" s="179"/>
      <c r="G781" s="6" t="s">
        <v>3829</v>
      </c>
      <c r="H781" s="6" t="s">
        <v>3830</v>
      </c>
      <c r="I781" s="121">
        <v>60000</v>
      </c>
      <c r="J781" s="6" t="s">
        <v>3831</v>
      </c>
      <c r="K781" s="6" t="s">
        <v>1828</v>
      </c>
      <c r="L781" s="180" t="s">
        <v>3832</v>
      </c>
      <c r="M781" s="22" t="s">
        <v>3168</v>
      </c>
    </row>
    <row r="782" spans="1:13">
      <c r="A782" s="143">
        <v>2016</v>
      </c>
      <c r="B782" s="6" t="s">
        <v>3833</v>
      </c>
      <c r="C782" s="6" t="s">
        <v>61</v>
      </c>
      <c r="D782" s="6" t="s">
        <v>394</v>
      </c>
      <c r="E782" s="115" t="s">
        <v>1853</v>
      </c>
      <c r="F782" s="179"/>
      <c r="G782" s="6" t="s">
        <v>3834</v>
      </c>
      <c r="H782" s="6" t="s">
        <v>3835</v>
      </c>
      <c r="I782" s="121">
        <v>55000</v>
      </c>
      <c r="J782" s="6" t="s">
        <v>3836</v>
      </c>
      <c r="K782" s="6" t="s">
        <v>2130</v>
      </c>
      <c r="L782" s="180" t="s">
        <v>3837</v>
      </c>
      <c r="M782" s="22" t="s">
        <v>394</v>
      </c>
    </row>
    <row r="783" spans="1:13">
      <c r="A783" s="143">
        <v>2016</v>
      </c>
      <c r="B783" s="6" t="s">
        <v>3838</v>
      </c>
      <c r="C783" s="6" t="s">
        <v>61</v>
      </c>
      <c r="D783" s="6" t="s">
        <v>3168</v>
      </c>
      <c r="E783" s="115" t="s">
        <v>1859</v>
      </c>
      <c r="F783" s="179"/>
      <c r="G783" s="6" t="s">
        <v>3839</v>
      </c>
      <c r="H783" s="6" t="s">
        <v>3840</v>
      </c>
      <c r="I783" s="121">
        <v>100000</v>
      </c>
      <c r="J783" s="6" t="s">
        <v>3841</v>
      </c>
      <c r="K783" s="6" t="s">
        <v>1828</v>
      </c>
      <c r="L783" s="180" t="s">
        <v>3842</v>
      </c>
      <c r="M783" s="22" t="s">
        <v>3168</v>
      </c>
    </row>
    <row r="784" spans="1:13">
      <c r="A784" s="143">
        <v>2016</v>
      </c>
      <c r="B784" s="6" t="s">
        <v>3843</v>
      </c>
      <c r="C784" s="6" t="s">
        <v>61</v>
      </c>
      <c r="D784" s="6" t="s">
        <v>586</v>
      </c>
      <c r="E784" s="6" t="s">
        <v>1874</v>
      </c>
      <c r="F784" s="179"/>
      <c r="G784" s="6" t="s">
        <v>3844</v>
      </c>
      <c r="H784" s="6" t="s">
        <v>3845</v>
      </c>
      <c r="I784" s="121">
        <v>15950</v>
      </c>
      <c r="J784" s="6" t="s">
        <v>3846</v>
      </c>
      <c r="K784" s="6" t="s">
        <v>1886</v>
      </c>
      <c r="L784" s="180" t="s">
        <v>3847</v>
      </c>
      <c r="M784" s="22" t="s">
        <v>586</v>
      </c>
    </row>
    <row r="785" spans="1:13">
      <c r="A785" s="143">
        <v>2016</v>
      </c>
      <c r="B785" s="6" t="s">
        <v>3848</v>
      </c>
      <c r="C785" s="6" t="s">
        <v>61</v>
      </c>
      <c r="D785" s="6" t="s">
        <v>3168</v>
      </c>
      <c r="E785" s="115" t="s">
        <v>1859</v>
      </c>
      <c r="F785" s="179"/>
      <c r="G785" s="6" t="s">
        <v>3849</v>
      </c>
      <c r="H785" s="6" t="s">
        <v>3850</v>
      </c>
      <c r="I785" s="121">
        <v>100000</v>
      </c>
      <c r="J785" s="6" t="s">
        <v>3851</v>
      </c>
      <c r="K785" s="6" t="s">
        <v>1828</v>
      </c>
      <c r="L785" s="180" t="s">
        <v>3852</v>
      </c>
      <c r="M785" s="22" t="s">
        <v>3168</v>
      </c>
    </row>
    <row r="786" spans="1:13">
      <c r="A786" s="143">
        <v>2016</v>
      </c>
      <c r="B786" s="6" t="s">
        <v>3853</v>
      </c>
      <c r="C786" s="6" t="s">
        <v>61</v>
      </c>
      <c r="D786" s="6" t="s">
        <v>394</v>
      </c>
      <c r="E786" s="115" t="s">
        <v>1853</v>
      </c>
      <c r="F786" s="179"/>
      <c r="G786" s="6" t="s">
        <v>3419</v>
      </c>
      <c r="H786" s="6" t="s">
        <v>3854</v>
      </c>
      <c r="I786" s="121">
        <v>58000</v>
      </c>
      <c r="J786" s="6" t="s">
        <v>3855</v>
      </c>
      <c r="K786" s="6" t="s">
        <v>1855</v>
      </c>
      <c r="L786" s="180" t="s">
        <v>3856</v>
      </c>
      <c r="M786" s="22" t="s">
        <v>394</v>
      </c>
    </row>
    <row r="787" spans="1:13">
      <c r="A787" s="143">
        <v>2016</v>
      </c>
      <c r="B787" s="6" t="s">
        <v>3857</v>
      </c>
      <c r="C787" s="6" t="s">
        <v>61</v>
      </c>
      <c r="D787" s="6" t="s">
        <v>2834</v>
      </c>
      <c r="E787" s="6" t="s">
        <v>1874</v>
      </c>
      <c r="F787" s="179"/>
      <c r="G787" s="6" t="s">
        <v>3858</v>
      </c>
      <c r="H787" s="6" t="s">
        <v>3859</v>
      </c>
      <c r="I787" s="121">
        <v>90015.75</v>
      </c>
      <c r="J787" s="6" t="s">
        <v>3860</v>
      </c>
      <c r="K787" s="6" t="s">
        <v>1855</v>
      </c>
      <c r="L787" s="180" t="s">
        <v>3861</v>
      </c>
      <c r="M787" s="22" t="s">
        <v>1730</v>
      </c>
    </row>
    <row r="788" spans="1:13">
      <c r="A788" s="143">
        <v>2016</v>
      </c>
      <c r="B788" s="6" t="s">
        <v>3862</v>
      </c>
      <c r="C788" s="6" t="s">
        <v>61</v>
      </c>
      <c r="D788" s="6" t="s">
        <v>2834</v>
      </c>
      <c r="E788" s="6" t="s">
        <v>1874</v>
      </c>
      <c r="F788" s="179"/>
      <c r="G788" s="6" t="s">
        <v>3863</v>
      </c>
      <c r="H788" s="6" t="s">
        <v>3859</v>
      </c>
      <c r="I788" s="121">
        <v>94505</v>
      </c>
      <c r="J788" s="6" t="s">
        <v>3860</v>
      </c>
      <c r="K788" s="6" t="s">
        <v>1855</v>
      </c>
      <c r="L788" s="180" t="s">
        <v>3864</v>
      </c>
      <c r="M788" s="22" t="s">
        <v>1730</v>
      </c>
    </row>
    <row r="789" spans="1:13">
      <c r="A789" s="143">
        <v>2016</v>
      </c>
      <c r="B789" s="6" t="s">
        <v>3865</v>
      </c>
      <c r="C789" s="6" t="s">
        <v>61</v>
      </c>
      <c r="D789" s="6" t="s">
        <v>2834</v>
      </c>
      <c r="E789" s="6" t="s">
        <v>1874</v>
      </c>
      <c r="F789" s="179"/>
      <c r="G789" s="6" t="s">
        <v>3866</v>
      </c>
      <c r="H789" s="6" t="s">
        <v>3867</v>
      </c>
      <c r="I789" s="121">
        <v>98105</v>
      </c>
      <c r="J789" s="6"/>
      <c r="K789" s="6" t="s">
        <v>1855</v>
      </c>
      <c r="L789" s="180" t="s">
        <v>3868</v>
      </c>
      <c r="M789" s="22" t="s">
        <v>1730</v>
      </c>
    </row>
    <row r="790" spans="1:13">
      <c r="A790" s="143">
        <v>2016</v>
      </c>
      <c r="B790" s="6" t="s">
        <v>3869</v>
      </c>
      <c r="C790" s="6" t="s">
        <v>61</v>
      </c>
      <c r="D790" s="6" t="s">
        <v>394</v>
      </c>
      <c r="E790" s="115" t="s">
        <v>1853</v>
      </c>
      <c r="F790" s="179"/>
      <c r="G790" s="6" t="s">
        <v>3870</v>
      </c>
      <c r="H790" s="6" t="s">
        <v>3871</v>
      </c>
      <c r="I790" s="121">
        <v>46000</v>
      </c>
      <c r="J790" s="6" t="s">
        <v>3872</v>
      </c>
      <c r="K790" s="6" t="s">
        <v>2085</v>
      </c>
      <c r="L790" s="180" t="s">
        <v>3873</v>
      </c>
      <c r="M790" s="22" t="s">
        <v>394</v>
      </c>
    </row>
    <row r="791" spans="1:13">
      <c r="A791" s="143">
        <v>2016</v>
      </c>
      <c r="B791" s="6" t="s">
        <v>3874</v>
      </c>
      <c r="C791" s="6" t="s">
        <v>61</v>
      </c>
      <c r="D791" s="6" t="s">
        <v>3168</v>
      </c>
      <c r="E791" s="115" t="s">
        <v>1859</v>
      </c>
      <c r="F791" s="179"/>
      <c r="G791" s="6" t="s">
        <v>3875</v>
      </c>
      <c r="H791" s="6" t="s">
        <v>3876</v>
      </c>
      <c r="I791" s="121">
        <v>99000</v>
      </c>
      <c r="J791" s="6" t="s">
        <v>3877</v>
      </c>
      <c r="K791" s="6" t="s">
        <v>1828</v>
      </c>
      <c r="L791" s="180" t="s">
        <v>3878</v>
      </c>
      <c r="M791" s="22" t="s">
        <v>3168</v>
      </c>
    </row>
    <row r="792" spans="1:13">
      <c r="A792" s="143">
        <v>2016</v>
      </c>
      <c r="B792" s="6" t="s">
        <v>3879</v>
      </c>
      <c r="C792" s="6" t="s">
        <v>61</v>
      </c>
      <c r="D792" s="6" t="s">
        <v>1763</v>
      </c>
      <c r="E792" s="115" t="s">
        <v>1859</v>
      </c>
      <c r="F792" s="179"/>
      <c r="G792" s="6" t="s">
        <v>3880</v>
      </c>
      <c r="H792" s="6" t="s">
        <v>3881</v>
      </c>
      <c r="I792" s="121">
        <v>18400</v>
      </c>
      <c r="J792" s="6" t="s">
        <v>3882</v>
      </c>
      <c r="K792" s="6" t="s">
        <v>1828</v>
      </c>
      <c r="L792" s="180" t="s">
        <v>3883</v>
      </c>
      <c r="M792" s="22" t="s">
        <v>1763</v>
      </c>
    </row>
    <row r="793" spans="1:13">
      <c r="A793" s="143">
        <v>2016</v>
      </c>
      <c r="B793" s="6" t="s">
        <v>3884</v>
      </c>
      <c r="C793" s="6" t="s">
        <v>61</v>
      </c>
      <c r="D793" s="6" t="s">
        <v>1763</v>
      </c>
      <c r="E793" s="115" t="s">
        <v>1859</v>
      </c>
      <c r="F793" s="179"/>
      <c r="G793" s="6" t="s">
        <v>3885</v>
      </c>
      <c r="H793" s="6" t="s">
        <v>3886</v>
      </c>
      <c r="I793" s="121">
        <v>78000</v>
      </c>
      <c r="J793" s="6" t="s">
        <v>3397</v>
      </c>
      <c r="K793" s="6" t="s">
        <v>1886</v>
      </c>
      <c r="L793" s="180" t="s">
        <v>3887</v>
      </c>
      <c r="M793" s="22" t="s">
        <v>1763</v>
      </c>
    </row>
    <row r="794" spans="1:13">
      <c r="A794" s="143">
        <v>2016</v>
      </c>
      <c r="B794" s="6" t="s">
        <v>3888</v>
      </c>
      <c r="C794" s="6" t="s">
        <v>61</v>
      </c>
      <c r="D794" s="115" t="s">
        <v>1383</v>
      </c>
      <c r="E794" s="115" t="s">
        <v>1859</v>
      </c>
      <c r="F794" s="179"/>
      <c r="G794" s="6" t="s">
        <v>3889</v>
      </c>
      <c r="H794" s="6" t="s">
        <v>3890</v>
      </c>
      <c r="I794" s="121">
        <v>24750</v>
      </c>
      <c r="J794" s="6" t="s">
        <v>3891</v>
      </c>
      <c r="K794" s="6" t="s">
        <v>1828</v>
      </c>
      <c r="L794" s="180" t="s">
        <v>3892</v>
      </c>
      <c r="M794" s="22" t="s">
        <v>1383</v>
      </c>
    </row>
    <row r="795" spans="1:13">
      <c r="A795" s="143">
        <v>2016</v>
      </c>
      <c r="B795" s="6" t="s">
        <v>3893</v>
      </c>
      <c r="C795" s="6" t="s">
        <v>61</v>
      </c>
      <c r="D795" s="6" t="s">
        <v>1763</v>
      </c>
      <c r="E795" s="115" t="s">
        <v>1859</v>
      </c>
      <c r="F795" s="179"/>
      <c r="G795" s="6" t="s">
        <v>3894</v>
      </c>
      <c r="H795" s="6" t="s">
        <v>3895</v>
      </c>
      <c r="I795" s="121">
        <v>6900</v>
      </c>
      <c r="J795" s="6"/>
      <c r="K795" s="6" t="s">
        <v>1828</v>
      </c>
      <c r="L795" s="180" t="s">
        <v>3896</v>
      </c>
      <c r="M795" s="22" t="s">
        <v>1763</v>
      </c>
    </row>
    <row r="796" spans="1:13">
      <c r="A796" s="143">
        <v>2016</v>
      </c>
      <c r="B796" s="6" t="s">
        <v>3897</v>
      </c>
      <c r="C796" s="6" t="s">
        <v>61</v>
      </c>
      <c r="D796" s="6" t="s">
        <v>3168</v>
      </c>
      <c r="E796" s="115" t="s">
        <v>1859</v>
      </c>
      <c r="F796" s="179"/>
      <c r="G796" s="6" t="s">
        <v>3898</v>
      </c>
      <c r="H796" s="6" t="s">
        <v>3899</v>
      </c>
      <c r="I796" s="121">
        <v>50000</v>
      </c>
      <c r="J796" s="6"/>
      <c r="K796" s="6" t="s">
        <v>1828</v>
      </c>
      <c r="L796" s="180" t="s">
        <v>12157</v>
      </c>
      <c r="M796" s="22" t="s">
        <v>3168</v>
      </c>
    </row>
    <row r="797" spans="1:13">
      <c r="A797" s="143">
        <v>2016</v>
      </c>
      <c r="B797" s="6" t="s">
        <v>3901</v>
      </c>
      <c r="C797" s="6" t="s">
        <v>61</v>
      </c>
      <c r="D797" s="6" t="s">
        <v>3168</v>
      </c>
      <c r="E797" s="115" t="s">
        <v>1859</v>
      </c>
      <c r="F797" s="179"/>
      <c r="G797" s="6" t="s">
        <v>3902</v>
      </c>
      <c r="H797" s="6" t="s">
        <v>3903</v>
      </c>
      <c r="I797" s="121">
        <v>100000</v>
      </c>
      <c r="J797" s="6" t="s">
        <v>3851</v>
      </c>
      <c r="K797" s="6" t="s">
        <v>1828</v>
      </c>
      <c r="L797" s="180" t="s">
        <v>12158</v>
      </c>
      <c r="M797" s="22" t="s">
        <v>3168</v>
      </c>
    </row>
    <row r="798" spans="1:13">
      <c r="A798" s="143">
        <v>2016</v>
      </c>
      <c r="B798" s="6" t="s">
        <v>3905</v>
      </c>
      <c r="C798" s="6" t="s">
        <v>61</v>
      </c>
      <c r="D798" s="115" t="s">
        <v>1383</v>
      </c>
      <c r="E798" s="115" t="s">
        <v>1859</v>
      </c>
      <c r="F798" s="179"/>
      <c r="G798" s="6" t="s">
        <v>3906</v>
      </c>
      <c r="H798" s="6" t="s">
        <v>3907</v>
      </c>
      <c r="I798" s="121">
        <v>28000</v>
      </c>
      <c r="J798" s="6" t="s">
        <v>3841</v>
      </c>
      <c r="K798" s="6" t="s">
        <v>1828</v>
      </c>
      <c r="L798" s="180" t="s">
        <v>3908</v>
      </c>
      <c r="M798" s="22" t="s">
        <v>1500</v>
      </c>
    </row>
    <row r="799" spans="1:13">
      <c r="A799" s="143">
        <v>2016</v>
      </c>
      <c r="B799" s="6" t="s">
        <v>3909</v>
      </c>
      <c r="C799" s="6" t="s">
        <v>61</v>
      </c>
      <c r="D799" s="6" t="s">
        <v>1763</v>
      </c>
      <c r="E799" s="115" t="s">
        <v>1859</v>
      </c>
      <c r="F799" s="179"/>
      <c r="G799" s="6" t="s">
        <v>3910</v>
      </c>
      <c r="H799" s="6" t="s">
        <v>811</v>
      </c>
      <c r="I799" s="121">
        <v>99000</v>
      </c>
      <c r="J799" s="6" t="s">
        <v>3841</v>
      </c>
      <c r="K799" s="6" t="s">
        <v>1828</v>
      </c>
      <c r="L799" s="180" t="s">
        <v>3911</v>
      </c>
      <c r="M799" s="22" t="s">
        <v>1763</v>
      </c>
    </row>
    <row r="800" spans="1:13">
      <c r="A800" s="143">
        <v>2016</v>
      </c>
      <c r="B800" s="6" t="s">
        <v>3912</v>
      </c>
      <c r="C800" s="6" t="s">
        <v>61</v>
      </c>
      <c r="D800" s="6" t="s">
        <v>394</v>
      </c>
      <c r="E800" s="115" t="s">
        <v>1853</v>
      </c>
      <c r="F800" s="179"/>
      <c r="G800" s="6" t="s">
        <v>3913</v>
      </c>
      <c r="H800" s="6" t="s">
        <v>840</v>
      </c>
      <c r="I800" s="121">
        <v>52000</v>
      </c>
      <c r="J800" s="6" t="s">
        <v>3841</v>
      </c>
      <c r="K800" s="6" t="s">
        <v>1828</v>
      </c>
      <c r="L800" s="180" t="s">
        <v>3914</v>
      </c>
      <c r="M800" s="22" t="s">
        <v>394</v>
      </c>
    </row>
    <row r="801" spans="1:13">
      <c r="A801" s="143">
        <v>2016</v>
      </c>
      <c r="B801" s="6" t="s">
        <v>3915</v>
      </c>
      <c r="C801" s="6" t="s">
        <v>61</v>
      </c>
      <c r="D801" s="6" t="s">
        <v>1782</v>
      </c>
      <c r="E801" s="6"/>
      <c r="F801" s="179"/>
      <c r="G801" s="6" t="s">
        <v>3916</v>
      </c>
      <c r="H801" s="6" t="s">
        <v>811</v>
      </c>
      <c r="I801" s="121">
        <v>43000</v>
      </c>
      <c r="J801" s="6" t="s">
        <v>3841</v>
      </c>
      <c r="K801" s="6" t="s">
        <v>1828</v>
      </c>
      <c r="L801" s="180" t="s">
        <v>3917</v>
      </c>
      <c r="M801" s="22" t="s">
        <v>1782</v>
      </c>
    </row>
    <row r="802" spans="1:13">
      <c r="A802" s="143">
        <v>2016</v>
      </c>
      <c r="B802" s="6" t="s">
        <v>3918</v>
      </c>
      <c r="C802" s="6" t="s">
        <v>61</v>
      </c>
      <c r="D802" s="6" t="s">
        <v>3168</v>
      </c>
      <c r="E802" s="115" t="s">
        <v>1859</v>
      </c>
      <c r="F802" s="179"/>
      <c r="G802" s="6" t="s">
        <v>3919</v>
      </c>
      <c r="H802" s="6" t="s">
        <v>3920</v>
      </c>
      <c r="I802" s="121">
        <v>100000</v>
      </c>
      <c r="J802" s="6" t="s">
        <v>3921</v>
      </c>
      <c r="K802" s="6" t="s">
        <v>2031</v>
      </c>
      <c r="L802" s="180" t="s">
        <v>3922</v>
      </c>
      <c r="M802" s="22" t="s">
        <v>3168</v>
      </c>
    </row>
    <row r="803" spans="1:13">
      <c r="A803" s="143">
        <v>2016</v>
      </c>
      <c r="B803" s="6" t="s">
        <v>3923</v>
      </c>
      <c r="C803" s="6" t="s">
        <v>61</v>
      </c>
      <c r="D803" s="115" t="s">
        <v>1383</v>
      </c>
      <c r="E803" s="115" t="s">
        <v>1859</v>
      </c>
      <c r="F803" s="179"/>
      <c r="G803" s="6" t="s">
        <v>3924</v>
      </c>
      <c r="H803" s="6" t="s">
        <v>3340</v>
      </c>
      <c r="I803" s="121">
        <v>28500</v>
      </c>
      <c r="J803" s="6" t="s">
        <v>3925</v>
      </c>
      <c r="K803" s="6" t="s">
        <v>1828</v>
      </c>
      <c r="L803" s="180" t="s">
        <v>3926</v>
      </c>
      <c r="M803" s="22" t="s">
        <v>1383</v>
      </c>
    </row>
    <row r="804" spans="1:13">
      <c r="A804" s="143">
        <v>2016</v>
      </c>
      <c r="B804" s="6" t="s">
        <v>3927</v>
      </c>
      <c r="C804" s="6" t="s">
        <v>61</v>
      </c>
      <c r="D804" s="6" t="s">
        <v>394</v>
      </c>
      <c r="E804" s="115" t="s">
        <v>1853</v>
      </c>
      <c r="F804" s="179"/>
      <c r="G804" s="6" t="s">
        <v>3928</v>
      </c>
      <c r="H804" s="6" t="s">
        <v>3929</v>
      </c>
      <c r="I804" s="121">
        <v>37400</v>
      </c>
      <c r="J804" s="6" t="s">
        <v>3930</v>
      </c>
      <c r="K804" s="6" t="s">
        <v>1886</v>
      </c>
      <c r="L804" s="180" t="s">
        <v>3931</v>
      </c>
      <c r="M804" s="22" t="s">
        <v>394</v>
      </c>
    </row>
    <row r="805" spans="1:13">
      <c r="A805" s="143">
        <v>2016</v>
      </c>
      <c r="B805" s="6" t="s">
        <v>3932</v>
      </c>
      <c r="C805" s="6" t="s">
        <v>61</v>
      </c>
      <c r="D805" s="6" t="s">
        <v>394</v>
      </c>
      <c r="E805" s="115" t="s">
        <v>1853</v>
      </c>
      <c r="F805" s="179"/>
      <c r="G805" s="6" t="s">
        <v>3933</v>
      </c>
      <c r="H805" s="6" t="s">
        <v>3934</v>
      </c>
      <c r="I805" s="121">
        <v>46600</v>
      </c>
      <c r="J805" s="6" t="s">
        <v>3935</v>
      </c>
      <c r="K805" s="6" t="s">
        <v>2085</v>
      </c>
      <c r="L805" s="180" t="s">
        <v>3936</v>
      </c>
      <c r="M805" s="22" t="s">
        <v>394</v>
      </c>
    </row>
    <row r="806" spans="1:13">
      <c r="A806" s="143">
        <v>2016</v>
      </c>
      <c r="B806" s="6" t="s">
        <v>3937</v>
      </c>
      <c r="C806" s="9" t="s">
        <v>61</v>
      </c>
      <c r="D806" s="6" t="s">
        <v>1141</v>
      </c>
      <c r="E806" s="6" t="s">
        <v>1904</v>
      </c>
      <c r="F806" s="179"/>
      <c r="G806" s="6" t="s">
        <v>3938</v>
      </c>
      <c r="H806" s="6" t="s">
        <v>3939</v>
      </c>
      <c r="I806" s="121">
        <v>88006.86</v>
      </c>
      <c r="J806" s="6" t="s">
        <v>3940</v>
      </c>
      <c r="K806" s="6" t="s">
        <v>1899</v>
      </c>
      <c r="L806" s="180" t="s">
        <v>3941</v>
      </c>
      <c r="M806" s="22" t="s">
        <v>1141</v>
      </c>
    </row>
    <row r="807" spans="1:13">
      <c r="A807" s="143">
        <v>2016</v>
      </c>
      <c r="B807" s="6" t="s">
        <v>3942</v>
      </c>
      <c r="C807" s="9" t="s">
        <v>61</v>
      </c>
      <c r="D807" s="6" t="s">
        <v>1141</v>
      </c>
      <c r="E807" s="6" t="s">
        <v>1904</v>
      </c>
      <c r="F807" s="6"/>
      <c r="G807" s="6" t="s">
        <v>3943</v>
      </c>
      <c r="H807" s="6" t="s">
        <v>3939</v>
      </c>
      <c r="I807" s="121">
        <v>39629.879999999997</v>
      </c>
      <c r="J807" s="6" t="s">
        <v>3940</v>
      </c>
      <c r="K807" s="6" t="s">
        <v>1899</v>
      </c>
      <c r="L807" s="180" t="s">
        <v>3944</v>
      </c>
      <c r="M807" s="22" t="s">
        <v>1141</v>
      </c>
    </row>
    <row r="808" spans="1:13">
      <c r="A808" s="143">
        <v>2016</v>
      </c>
      <c r="B808" s="6" t="s">
        <v>3945</v>
      </c>
      <c r="C808" s="6" t="s">
        <v>61</v>
      </c>
      <c r="D808" s="6" t="s">
        <v>394</v>
      </c>
      <c r="E808" s="115" t="s">
        <v>1853</v>
      </c>
      <c r="F808" s="179"/>
      <c r="G808" s="6" t="s">
        <v>3913</v>
      </c>
      <c r="H808" s="6" t="s">
        <v>840</v>
      </c>
      <c r="I808" s="121">
        <v>97500</v>
      </c>
      <c r="J808" s="6" t="s">
        <v>3841</v>
      </c>
      <c r="K808" s="6" t="s">
        <v>1828</v>
      </c>
      <c r="L808" s="180" t="s">
        <v>3946</v>
      </c>
      <c r="M808" s="22" t="s">
        <v>394</v>
      </c>
    </row>
    <row r="809" spans="1:13">
      <c r="A809" s="143">
        <v>2016</v>
      </c>
      <c r="B809" s="6" t="s">
        <v>3947</v>
      </c>
      <c r="C809" s="6" t="s">
        <v>61</v>
      </c>
      <c r="D809" s="6" t="s">
        <v>586</v>
      </c>
      <c r="E809" s="6" t="s">
        <v>1874</v>
      </c>
      <c r="F809" s="179"/>
      <c r="G809" s="6" t="s">
        <v>3948</v>
      </c>
      <c r="H809" s="6" t="s">
        <v>3949</v>
      </c>
      <c r="I809" s="121">
        <v>12640</v>
      </c>
      <c r="J809" s="6" t="s">
        <v>3950</v>
      </c>
      <c r="K809" s="6" t="s">
        <v>1828</v>
      </c>
      <c r="L809" s="180" t="s">
        <v>3951</v>
      </c>
      <c r="M809" s="22" t="s">
        <v>586</v>
      </c>
    </row>
    <row r="810" spans="1:13">
      <c r="A810" s="143">
        <v>2016</v>
      </c>
      <c r="B810" s="6" t="s">
        <v>3952</v>
      </c>
      <c r="C810" s="6" t="s">
        <v>61</v>
      </c>
      <c r="D810" s="6" t="s">
        <v>394</v>
      </c>
      <c r="E810" s="115" t="s">
        <v>1853</v>
      </c>
      <c r="F810" s="179"/>
      <c r="G810" s="6" t="s">
        <v>3928</v>
      </c>
      <c r="H810" s="6" t="s">
        <v>3953</v>
      </c>
      <c r="I810" s="121">
        <v>45800</v>
      </c>
      <c r="J810" s="6" t="s">
        <v>3954</v>
      </c>
      <c r="K810" s="6" t="s">
        <v>1899</v>
      </c>
      <c r="L810" s="180" t="s">
        <v>12159</v>
      </c>
      <c r="M810" s="22" t="s">
        <v>394</v>
      </c>
    </row>
    <row r="811" spans="1:13">
      <c r="A811" s="143">
        <v>2016</v>
      </c>
      <c r="B811" s="6" t="s">
        <v>3956</v>
      </c>
      <c r="C811" s="9" t="s">
        <v>61</v>
      </c>
      <c r="D811" s="6" t="s">
        <v>1141</v>
      </c>
      <c r="E811" s="6" t="s">
        <v>1904</v>
      </c>
      <c r="F811" s="179"/>
      <c r="G811" s="6" t="s">
        <v>3957</v>
      </c>
      <c r="H811" s="6" t="s">
        <v>3939</v>
      </c>
      <c r="I811" s="121">
        <v>69273</v>
      </c>
      <c r="J811" s="6" t="s">
        <v>3940</v>
      </c>
      <c r="K811" s="6" t="s">
        <v>1899</v>
      </c>
      <c r="L811" s="180" t="s">
        <v>3958</v>
      </c>
      <c r="M811" s="22" t="s">
        <v>1141</v>
      </c>
    </row>
    <row r="812" spans="1:13">
      <c r="A812" s="143">
        <v>2016</v>
      </c>
      <c r="B812" s="6" t="s">
        <v>3959</v>
      </c>
      <c r="C812" s="6" t="s">
        <v>61</v>
      </c>
      <c r="D812" s="6" t="s">
        <v>2834</v>
      </c>
      <c r="E812" s="6" t="s">
        <v>1874</v>
      </c>
      <c r="F812" s="179"/>
      <c r="G812" s="6" t="s">
        <v>3960</v>
      </c>
      <c r="H812" s="6" t="s">
        <v>3961</v>
      </c>
      <c r="I812" s="121">
        <v>100000</v>
      </c>
      <c r="J812" s="6" t="s">
        <v>3921</v>
      </c>
      <c r="K812" s="6" t="s">
        <v>2031</v>
      </c>
      <c r="L812" s="180" t="s">
        <v>3962</v>
      </c>
      <c r="M812" s="22" t="s">
        <v>1730</v>
      </c>
    </row>
    <row r="813" spans="1:13">
      <c r="A813" s="143">
        <v>2016</v>
      </c>
      <c r="B813" s="6" t="s">
        <v>3963</v>
      </c>
      <c r="C813" s="6" t="s">
        <v>61</v>
      </c>
      <c r="D813" s="6" t="s">
        <v>394</v>
      </c>
      <c r="E813" s="115" t="s">
        <v>1853</v>
      </c>
      <c r="F813" s="179"/>
      <c r="G813" s="6" t="s">
        <v>3419</v>
      </c>
      <c r="H813" s="6" t="s">
        <v>3964</v>
      </c>
      <c r="I813" s="121">
        <v>67200</v>
      </c>
      <c r="J813" s="6" t="s">
        <v>3965</v>
      </c>
      <c r="K813" s="6" t="s">
        <v>1855</v>
      </c>
      <c r="L813" s="180" t="s">
        <v>3966</v>
      </c>
      <c r="M813" s="22" t="s">
        <v>394</v>
      </c>
    </row>
    <row r="814" spans="1:13">
      <c r="A814" s="143">
        <v>2016</v>
      </c>
      <c r="B814" s="6" t="s">
        <v>3967</v>
      </c>
      <c r="C814" s="6" t="s">
        <v>61</v>
      </c>
      <c r="D814" s="6" t="s">
        <v>1763</v>
      </c>
      <c r="E814" s="115" t="s">
        <v>1859</v>
      </c>
      <c r="F814" s="179"/>
      <c r="G814" s="6" t="s">
        <v>3968</v>
      </c>
      <c r="H814" s="6" t="s">
        <v>3969</v>
      </c>
      <c r="I814" s="121">
        <v>68000</v>
      </c>
      <c r="J814" s="6" t="s">
        <v>3970</v>
      </c>
      <c r="K814" s="6" t="s">
        <v>1886</v>
      </c>
      <c r="L814" s="180" t="s">
        <v>3971</v>
      </c>
      <c r="M814" s="22" t="s">
        <v>1763</v>
      </c>
    </row>
    <row r="815" spans="1:13">
      <c r="A815" s="143">
        <v>2016</v>
      </c>
      <c r="B815" s="6" t="s">
        <v>3972</v>
      </c>
      <c r="C815" s="6" t="s">
        <v>61</v>
      </c>
      <c r="D815" s="6" t="s">
        <v>394</v>
      </c>
      <c r="E815" s="115" t="s">
        <v>1853</v>
      </c>
      <c r="F815" s="179"/>
      <c r="G815" s="6" t="s">
        <v>3973</v>
      </c>
      <c r="H815" s="6" t="s">
        <v>3974</v>
      </c>
      <c r="I815" s="121">
        <v>63800</v>
      </c>
      <c r="J815" s="6"/>
      <c r="K815" s="6" t="s">
        <v>1919</v>
      </c>
      <c r="L815" s="180" t="s">
        <v>3975</v>
      </c>
      <c r="M815" s="22" t="s">
        <v>394</v>
      </c>
    </row>
    <row r="816" spans="1:13">
      <c r="A816" s="143">
        <v>2016</v>
      </c>
      <c r="B816" s="6" t="s">
        <v>3976</v>
      </c>
      <c r="C816" s="9" t="s">
        <v>61</v>
      </c>
      <c r="D816" s="6" t="s">
        <v>1141</v>
      </c>
      <c r="E816" s="6" t="s">
        <v>1904</v>
      </c>
      <c r="F816" s="179"/>
      <c r="G816" s="6" t="s">
        <v>3977</v>
      </c>
      <c r="H816" s="6" t="s">
        <v>3939</v>
      </c>
      <c r="I816" s="121">
        <v>84114.45</v>
      </c>
      <c r="J816" s="6" t="s">
        <v>3940</v>
      </c>
      <c r="K816" s="6" t="s">
        <v>1899</v>
      </c>
      <c r="L816" s="180" t="s">
        <v>12160</v>
      </c>
      <c r="M816" s="22" t="s">
        <v>1141</v>
      </c>
    </row>
    <row r="817" spans="1:13">
      <c r="A817" s="143">
        <v>2016</v>
      </c>
      <c r="B817" s="6" t="s">
        <v>3979</v>
      </c>
      <c r="C817" s="6" t="s">
        <v>61</v>
      </c>
      <c r="D817" s="6" t="s">
        <v>394</v>
      </c>
      <c r="E817" s="115" t="s">
        <v>1853</v>
      </c>
      <c r="F817" s="179"/>
      <c r="G817" s="6" t="s">
        <v>3419</v>
      </c>
      <c r="H817" s="6" t="s">
        <v>3980</v>
      </c>
      <c r="I817" s="121">
        <v>68000</v>
      </c>
      <c r="J817" s="6" t="s">
        <v>3405</v>
      </c>
      <c r="K817" s="6" t="s">
        <v>2130</v>
      </c>
      <c r="L817" s="180" t="s">
        <v>3981</v>
      </c>
      <c r="M817" s="22" t="s">
        <v>394</v>
      </c>
    </row>
    <row r="818" spans="1:13">
      <c r="A818" s="143">
        <v>2016</v>
      </c>
      <c r="B818" s="6" t="s">
        <v>3982</v>
      </c>
      <c r="C818" s="6" t="s">
        <v>61</v>
      </c>
      <c r="D818" s="115" t="s">
        <v>1383</v>
      </c>
      <c r="E818" s="115" t="s">
        <v>1859</v>
      </c>
      <c r="F818" s="179"/>
      <c r="G818" s="6" t="s">
        <v>3983</v>
      </c>
      <c r="H818" s="6" t="s">
        <v>811</v>
      </c>
      <c r="I818" s="121">
        <v>83480</v>
      </c>
      <c r="J818" s="6" t="s">
        <v>3500</v>
      </c>
      <c r="K818" s="6" t="s">
        <v>1828</v>
      </c>
      <c r="L818" s="180" t="s">
        <v>3984</v>
      </c>
      <c r="M818" s="22" t="s">
        <v>1383</v>
      </c>
    </row>
    <row r="819" spans="1:13">
      <c r="A819" s="143">
        <v>2016</v>
      </c>
      <c r="B819" s="6" t="s">
        <v>3985</v>
      </c>
      <c r="C819" s="6" t="s">
        <v>61</v>
      </c>
      <c r="D819" s="115" t="s">
        <v>1383</v>
      </c>
      <c r="E819" s="115" t="s">
        <v>1859</v>
      </c>
      <c r="F819" s="179"/>
      <c r="G819" s="6" t="s">
        <v>3986</v>
      </c>
      <c r="H819" s="6" t="s">
        <v>3987</v>
      </c>
      <c r="I819" s="121">
        <v>67200</v>
      </c>
      <c r="J819" s="6" t="s">
        <v>3988</v>
      </c>
      <c r="K819" s="6" t="s">
        <v>1896</v>
      </c>
      <c r="L819" s="180" t="s">
        <v>3989</v>
      </c>
      <c r="M819" s="22" t="s">
        <v>1383</v>
      </c>
    </row>
    <row r="820" spans="1:13">
      <c r="A820" s="143">
        <v>2016</v>
      </c>
      <c r="B820" s="6" t="s">
        <v>3990</v>
      </c>
      <c r="C820" s="6" t="s">
        <v>61</v>
      </c>
      <c r="D820" s="6" t="s">
        <v>394</v>
      </c>
      <c r="E820" s="115" t="s">
        <v>1853</v>
      </c>
      <c r="F820" s="179"/>
      <c r="G820" s="6" t="s">
        <v>3991</v>
      </c>
      <c r="H820" s="6" t="s">
        <v>3987</v>
      </c>
      <c r="I820" s="121">
        <v>71800</v>
      </c>
      <c r="J820" s="6" t="s">
        <v>3988</v>
      </c>
      <c r="K820" s="6" t="s">
        <v>1896</v>
      </c>
      <c r="L820" s="180" t="s">
        <v>3989</v>
      </c>
      <c r="M820" s="22" t="s">
        <v>394</v>
      </c>
    </row>
    <row r="821" spans="1:13">
      <c r="A821" s="143">
        <v>2016</v>
      </c>
      <c r="B821" s="6" t="s">
        <v>3992</v>
      </c>
      <c r="C821" s="6" t="s">
        <v>61</v>
      </c>
      <c r="D821" s="6" t="s">
        <v>3168</v>
      </c>
      <c r="E821" s="115" t="s">
        <v>1859</v>
      </c>
      <c r="F821" s="179"/>
      <c r="G821" s="6" t="s">
        <v>3993</v>
      </c>
      <c r="H821" s="6" t="s">
        <v>811</v>
      </c>
      <c r="I821" s="121">
        <v>100000</v>
      </c>
      <c r="J821" s="6" t="s">
        <v>3841</v>
      </c>
      <c r="K821" s="6" t="s">
        <v>1828</v>
      </c>
      <c r="L821" s="180" t="s">
        <v>12161</v>
      </c>
      <c r="M821" s="22" t="s">
        <v>3168</v>
      </c>
    </row>
    <row r="822" spans="1:13">
      <c r="A822" s="143">
        <v>2016</v>
      </c>
      <c r="B822" s="6" t="s">
        <v>3995</v>
      </c>
      <c r="C822" s="6" t="s">
        <v>61</v>
      </c>
      <c r="D822" s="6" t="s">
        <v>3168</v>
      </c>
      <c r="E822" s="115" t="s">
        <v>1859</v>
      </c>
      <c r="F822" s="179"/>
      <c r="G822" s="6" t="s">
        <v>3996</v>
      </c>
      <c r="H822" s="6" t="s">
        <v>3997</v>
      </c>
      <c r="I822" s="121">
        <v>50000</v>
      </c>
      <c r="J822" s="6"/>
      <c r="K822" s="6" t="s">
        <v>1828</v>
      </c>
      <c r="L822" s="180" t="s">
        <v>3998</v>
      </c>
      <c r="M822" s="22" t="s">
        <v>3168</v>
      </c>
    </row>
    <row r="823" spans="1:13">
      <c r="A823" s="143">
        <v>2016</v>
      </c>
      <c r="B823" s="181" t="s">
        <v>3999</v>
      </c>
      <c r="C823" s="181"/>
      <c r="D823" s="181" t="s">
        <v>3827</v>
      </c>
      <c r="E823" s="181"/>
      <c r="F823" s="181"/>
      <c r="G823" s="181" t="s">
        <v>3827</v>
      </c>
      <c r="H823" s="181" t="s">
        <v>3827</v>
      </c>
      <c r="I823" s="182" t="s">
        <v>3827</v>
      </c>
      <c r="J823" s="181" t="s">
        <v>3827</v>
      </c>
      <c r="K823" s="181"/>
      <c r="L823" s="181" t="s">
        <v>3827</v>
      </c>
      <c r="M823" s="181" t="s">
        <v>3827</v>
      </c>
    </row>
    <row r="824" spans="1:13">
      <c r="A824" s="143">
        <v>2016</v>
      </c>
      <c r="B824" s="6" t="s">
        <v>4000</v>
      </c>
      <c r="C824" s="6" t="s">
        <v>61</v>
      </c>
      <c r="D824" s="6" t="s">
        <v>1763</v>
      </c>
      <c r="E824" s="115" t="s">
        <v>1859</v>
      </c>
      <c r="F824" s="179"/>
      <c r="G824" s="6" t="s">
        <v>4001</v>
      </c>
      <c r="H824" s="6" t="s">
        <v>4002</v>
      </c>
      <c r="I824" s="121">
        <v>10500</v>
      </c>
      <c r="J824" s="6" t="s">
        <v>4003</v>
      </c>
      <c r="K824" s="6" t="s">
        <v>1828</v>
      </c>
      <c r="L824" s="180" t="s">
        <v>12162</v>
      </c>
      <c r="M824" s="22" t="s">
        <v>1763</v>
      </c>
    </row>
    <row r="825" spans="1:13">
      <c r="A825" s="143">
        <v>2016</v>
      </c>
      <c r="B825" s="6" t="s">
        <v>4005</v>
      </c>
      <c r="C825" s="6" t="s">
        <v>61</v>
      </c>
      <c r="D825" s="115" t="s">
        <v>1383</v>
      </c>
      <c r="E825" s="115" t="s">
        <v>1859</v>
      </c>
      <c r="F825" s="179"/>
      <c r="G825" s="6" t="s">
        <v>4006</v>
      </c>
      <c r="H825" s="6" t="s">
        <v>4007</v>
      </c>
      <c r="I825" s="121">
        <v>15000</v>
      </c>
      <c r="J825" s="6" t="s">
        <v>4008</v>
      </c>
      <c r="K825" s="6" t="s">
        <v>1828</v>
      </c>
      <c r="L825" s="180" t="s">
        <v>4009</v>
      </c>
      <c r="M825" s="22" t="s">
        <v>1383</v>
      </c>
    </row>
    <row r="826" spans="1:13">
      <c r="A826" s="143">
        <v>2016</v>
      </c>
      <c r="B826" s="6" t="s">
        <v>4010</v>
      </c>
      <c r="C826" s="6" t="s">
        <v>61</v>
      </c>
      <c r="D826" s="6" t="s">
        <v>394</v>
      </c>
      <c r="E826" s="115" t="s">
        <v>1853</v>
      </c>
      <c r="F826" s="179"/>
      <c r="G826" s="6" t="s">
        <v>3391</v>
      </c>
      <c r="H826" s="6" t="s">
        <v>4011</v>
      </c>
      <c r="I826" s="121">
        <v>65200</v>
      </c>
      <c r="J826" s="6" t="s">
        <v>4012</v>
      </c>
      <c r="K826" s="6" t="s">
        <v>2082</v>
      </c>
      <c r="L826" s="180" t="s">
        <v>4013</v>
      </c>
      <c r="M826" s="22" t="s">
        <v>394</v>
      </c>
    </row>
    <row r="827" spans="1:13">
      <c r="A827" s="143">
        <v>2016</v>
      </c>
      <c r="B827" s="6" t="s">
        <v>4014</v>
      </c>
      <c r="C827" s="6" t="s">
        <v>61</v>
      </c>
      <c r="D827" s="6" t="s">
        <v>2834</v>
      </c>
      <c r="E827" s="6" t="s">
        <v>1874</v>
      </c>
      <c r="F827" s="179"/>
      <c r="G827" s="6" t="s">
        <v>4015</v>
      </c>
      <c r="H827" s="6" t="s">
        <v>3859</v>
      </c>
      <c r="I827" s="121">
        <v>99998</v>
      </c>
      <c r="J827" s="6" t="s">
        <v>4016</v>
      </c>
      <c r="K827" s="6" t="s">
        <v>1855</v>
      </c>
      <c r="L827" s="180" t="s">
        <v>4017</v>
      </c>
      <c r="M827" s="22" t="s">
        <v>1730</v>
      </c>
    </row>
    <row r="828" spans="1:13">
      <c r="A828" s="143">
        <v>2016</v>
      </c>
      <c r="B828" s="6" t="s">
        <v>4018</v>
      </c>
      <c r="C828" s="6" t="s">
        <v>61</v>
      </c>
      <c r="D828" s="115" t="s">
        <v>1383</v>
      </c>
      <c r="E828" s="115" t="s">
        <v>1859</v>
      </c>
      <c r="F828" s="179"/>
      <c r="G828" s="6" t="s">
        <v>4019</v>
      </c>
      <c r="H828" s="6" t="s">
        <v>4020</v>
      </c>
      <c r="I828" s="121">
        <v>66000</v>
      </c>
      <c r="J828" s="6" t="s">
        <v>4021</v>
      </c>
      <c r="K828" s="6" t="s">
        <v>1828</v>
      </c>
      <c r="L828" s="180" t="s">
        <v>12163</v>
      </c>
      <c r="M828" s="22" t="s">
        <v>1383</v>
      </c>
    </row>
    <row r="829" spans="1:13">
      <c r="A829" s="143">
        <v>2016</v>
      </c>
      <c r="B829" s="6" t="s">
        <v>4023</v>
      </c>
      <c r="C829" s="6" t="s">
        <v>61</v>
      </c>
      <c r="D829" s="6" t="s">
        <v>394</v>
      </c>
      <c r="E829" s="115" t="s">
        <v>1853</v>
      </c>
      <c r="F829" s="179"/>
      <c r="G829" s="6" t="s">
        <v>3419</v>
      </c>
      <c r="H829" s="6" t="s">
        <v>4024</v>
      </c>
      <c r="I829" s="121">
        <v>62000</v>
      </c>
      <c r="J829" s="6" t="s">
        <v>4025</v>
      </c>
      <c r="K829" s="6" t="s">
        <v>1896</v>
      </c>
      <c r="L829" s="180" t="s">
        <v>4026</v>
      </c>
      <c r="M829" s="22" t="s">
        <v>394</v>
      </c>
    </row>
    <row r="830" spans="1:13">
      <c r="A830" s="143">
        <v>2016</v>
      </c>
      <c r="B830" s="6" t="s">
        <v>4027</v>
      </c>
      <c r="C830" s="6" t="s">
        <v>61</v>
      </c>
      <c r="D830" s="6" t="s">
        <v>394</v>
      </c>
      <c r="E830" s="115" t="s">
        <v>1853</v>
      </c>
      <c r="F830" s="179"/>
      <c r="G830" s="6" t="s">
        <v>4028</v>
      </c>
      <c r="H830" s="6" t="s">
        <v>4029</v>
      </c>
      <c r="I830" s="121">
        <v>51000</v>
      </c>
      <c r="J830" s="6" t="s">
        <v>4030</v>
      </c>
      <c r="K830" s="6" t="s">
        <v>2085</v>
      </c>
      <c r="L830" s="180" t="s">
        <v>4031</v>
      </c>
      <c r="M830" s="22" t="s">
        <v>394</v>
      </c>
    </row>
    <row r="831" spans="1:13">
      <c r="A831" s="143">
        <v>2016</v>
      </c>
      <c r="B831" s="6" t="s">
        <v>4032</v>
      </c>
      <c r="C831" s="6" t="s">
        <v>61</v>
      </c>
      <c r="D831" s="6" t="s">
        <v>394</v>
      </c>
      <c r="E831" s="115" t="s">
        <v>1853</v>
      </c>
      <c r="F831" s="179"/>
      <c r="G831" s="6" t="s">
        <v>3391</v>
      </c>
      <c r="H831" s="6" t="s">
        <v>4033</v>
      </c>
      <c r="I831" s="121">
        <v>58500</v>
      </c>
      <c r="J831" s="6"/>
      <c r="K831" s="9" t="s">
        <v>2571</v>
      </c>
      <c r="L831" s="180" t="s">
        <v>4034</v>
      </c>
      <c r="M831" s="22" t="s">
        <v>394</v>
      </c>
    </row>
    <row r="832" spans="1:13">
      <c r="A832" s="143">
        <v>2016</v>
      </c>
      <c r="B832" s="6" t="s">
        <v>4035</v>
      </c>
      <c r="C832" s="6" t="s">
        <v>61</v>
      </c>
      <c r="D832" s="6" t="s">
        <v>1763</v>
      </c>
      <c r="E832" s="115" t="s">
        <v>1859</v>
      </c>
      <c r="F832" s="179"/>
      <c r="G832" s="6" t="s">
        <v>4036</v>
      </c>
      <c r="H832" s="6" t="s">
        <v>4037</v>
      </c>
      <c r="I832" s="121">
        <v>50000</v>
      </c>
      <c r="J832" s="6" t="s">
        <v>4038</v>
      </c>
      <c r="K832" s="6" t="s">
        <v>1886</v>
      </c>
      <c r="L832" s="180" t="s">
        <v>4039</v>
      </c>
      <c r="M832" s="22" t="s">
        <v>1763</v>
      </c>
    </row>
    <row r="833" spans="1:13">
      <c r="A833" s="143">
        <v>2016</v>
      </c>
      <c r="B833" s="6" t="s">
        <v>4040</v>
      </c>
      <c r="C833" s="6" t="s">
        <v>61</v>
      </c>
      <c r="D833" s="6" t="s">
        <v>394</v>
      </c>
      <c r="E833" s="115" t="s">
        <v>1853</v>
      </c>
      <c r="F833" s="179"/>
      <c r="G833" s="6" t="s">
        <v>4041</v>
      </c>
      <c r="H833" s="6" t="s">
        <v>4042</v>
      </c>
      <c r="I833" s="121">
        <v>42000</v>
      </c>
      <c r="J833" s="6"/>
      <c r="K833" s="6" t="s">
        <v>1916</v>
      </c>
      <c r="L833" s="180" t="s">
        <v>4043</v>
      </c>
      <c r="M833" s="22" t="s">
        <v>394</v>
      </c>
    </row>
    <row r="834" spans="1:13">
      <c r="A834" s="143">
        <v>2016</v>
      </c>
      <c r="B834" s="6" t="s">
        <v>4044</v>
      </c>
      <c r="C834" s="6" t="s">
        <v>61</v>
      </c>
      <c r="D834" s="6" t="s">
        <v>394</v>
      </c>
      <c r="E834" s="115" t="s">
        <v>1853</v>
      </c>
      <c r="F834" s="179"/>
      <c r="G834" s="6" t="s">
        <v>4045</v>
      </c>
      <c r="H834" s="6" t="s">
        <v>4046</v>
      </c>
      <c r="I834" s="121">
        <v>32000</v>
      </c>
      <c r="J834" s="6"/>
      <c r="K834" s="6" t="s">
        <v>1896</v>
      </c>
      <c r="L834" s="180" t="s">
        <v>4047</v>
      </c>
      <c r="M834" s="22" t="s">
        <v>394</v>
      </c>
    </row>
    <row r="835" spans="1:13">
      <c r="A835" s="143">
        <v>2016</v>
      </c>
      <c r="B835" s="6" t="s">
        <v>4048</v>
      </c>
      <c r="C835" s="6" t="s">
        <v>61</v>
      </c>
      <c r="D835" s="6" t="s">
        <v>394</v>
      </c>
      <c r="E835" s="115" t="s">
        <v>1853</v>
      </c>
      <c r="F835" s="179"/>
      <c r="G835" s="6" t="s">
        <v>3419</v>
      </c>
      <c r="H835" s="6" t="s">
        <v>4049</v>
      </c>
      <c r="I835" s="121">
        <v>38000</v>
      </c>
      <c r="J835" s="6"/>
      <c r="K835" s="6" t="s">
        <v>1886</v>
      </c>
      <c r="L835" s="180" t="s">
        <v>4050</v>
      </c>
      <c r="M835" s="22" t="s">
        <v>394</v>
      </c>
    </row>
    <row r="836" spans="1:13">
      <c r="A836" s="143">
        <v>2016</v>
      </c>
      <c r="B836" s="6" t="s">
        <v>4051</v>
      </c>
      <c r="C836" s="6" t="s">
        <v>61</v>
      </c>
      <c r="D836" s="6" t="s">
        <v>394</v>
      </c>
      <c r="E836" s="115" t="s">
        <v>1853</v>
      </c>
      <c r="F836" s="179"/>
      <c r="G836" s="6" t="s">
        <v>4052</v>
      </c>
      <c r="H836" s="6" t="s">
        <v>4053</v>
      </c>
      <c r="I836" s="121">
        <v>68000</v>
      </c>
      <c r="J836" s="6" t="s">
        <v>4054</v>
      </c>
      <c r="K836" s="6" t="s">
        <v>2041</v>
      </c>
      <c r="L836" s="180" t="s">
        <v>4055</v>
      </c>
      <c r="M836" s="22" t="s">
        <v>394</v>
      </c>
    </row>
    <row r="837" spans="1:13">
      <c r="A837" s="143">
        <v>2016</v>
      </c>
      <c r="B837" s="6" t="s">
        <v>4056</v>
      </c>
      <c r="C837" s="6" t="s">
        <v>61</v>
      </c>
      <c r="D837" s="6" t="s">
        <v>3092</v>
      </c>
      <c r="E837" s="6" t="s">
        <v>1904</v>
      </c>
      <c r="F837" s="179"/>
      <c r="G837" s="6" t="s">
        <v>4057</v>
      </c>
      <c r="H837" s="6" t="s">
        <v>3333</v>
      </c>
      <c r="I837" s="121">
        <v>95135</v>
      </c>
      <c r="J837" s="6" t="s">
        <v>4058</v>
      </c>
      <c r="K837" s="6" t="s">
        <v>1828</v>
      </c>
      <c r="L837" s="180" t="s">
        <v>4059</v>
      </c>
      <c r="M837" s="22" t="s">
        <v>3092</v>
      </c>
    </row>
    <row r="838" spans="1:13">
      <c r="A838" s="143">
        <v>2016</v>
      </c>
      <c r="B838" s="6" t="s">
        <v>4060</v>
      </c>
      <c r="C838" s="6" t="s">
        <v>61</v>
      </c>
      <c r="D838" s="6" t="s">
        <v>3168</v>
      </c>
      <c r="E838" s="115" t="s">
        <v>1859</v>
      </c>
      <c r="F838" s="179"/>
      <c r="G838" s="6" t="s">
        <v>4061</v>
      </c>
      <c r="H838" s="6" t="s">
        <v>4062</v>
      </c>
      <c r="I838" s="121">
        <v>39200</v>
      </c>
      <c r="J838" s="6" t="s">
        <v>4063</v>
      </c>
      <c r="K838" s="6" t="s">
        <v>2051</v>
      </c>
      <c r="L838" s="180" t="s">
        <v>4064</v>
      </c>
      <c r="M838" s="22" t="s">
        <v>3168</v>
      </c>
    </row>
    <row r="839" spans="1:13">
      <c r="A839" s="143">
        <v>2016</v>
      </c>
      <c r="B839" s="181" t="s">
        <v>4065</v>
      </c>
      <c r="C839" s="181"/>
      <c r="D839" s="181" t="s">
        <v>3827</v>
      </c>
      <c r="E839" s="181"/>
      <c r="F839" s="183"/>
      <c r="G839" s="181" t="s">
        <v>3827</v>
      </c>
      <c r="H839" s="181" t="s">
        <v>3827</v>
      </c>
      <c r="I839" s="182" t="s">
        <v>3827</v>
      </c>
      <c r="J839" s="181" t="s">
        <v>3827</v>
      </c>
      <c r="K839" s="181"/>
      <c r="L839" s="183" t="s">
        <v>3827</v>
      </c>
      <c r="M839" s="184" t="s">
        <v>3827</v>
      </c>
    </row>
    <row r="840" spans="1:13">
      <c r="A840" s="143">
        <v>2016</v>
      </c>
      <c r="B840" s="6" t="s">
        <v>4066</v>
      </c>
      <c r="C840" s="6" t="s">
        <v>61</v>
      </c>
      <c r="D840" s="115" t="s">
        <v>1383</v>
      </c>
      <c r="E840" s="115" t="s">
        <v>1859</v>
      </c>
      <c r="F840" s="179"/>
      <c r="G840" s="6" t="s">
        <v>4067</v>
      </c>
      <c r="H840" s="6" t="s">
        <v>4068</v>
      </c>
      <c r="I840" s="121">
        <v>50000</v>
      </c>
      <c r="J840" s="6" t="s">
        <v>4058</v>
      </c>
      <c r="K840" s="6" t="s">
        <v>1828</v>
      </c>
      <c r="L840" s="180" t="s">
        <v>4069</v>
      </c>
      <c r="M840" s="22" t="s">
        <v>1383</v>
      </c>
    </row>
    <row r="841" spans="1:13">
      <c r="A841" s="143">
        <v>2016</v>
      </c>
      <c r="B841" s="6" t="s">
        <v>4070</v>
      </c>
      <c r="C841" s="6" t="s">
        <v>61</v>
      </c>
      <c r="D841" s="6" t="s">
        <v>394</v>
      </c>
      <c r="E841" s="115" t="s">
        <v>1853</v>
      </c>
      <c r="F841" s="179"/>
      <c r="G841" s="6" t="s">
        <v>4071</v>
      </c>
      <c r="H841" s="6" t="s">
        <v>4072</v>
      </c>
      <c r="I841" s="121">
        <v>70000</v>
      </c>
      <c r="J841" s="6" t="s">
        <v>4073</v>
      </c>
      <c r="K841" s="6" t="s">
        <v>2085</v>
      </c>
      <c r="L841" s="180" t="s">
        <v>4074</v>
      </c>
      <c r="M841" s="22" t="s">
        <v>394</v>
      </c>
    </row>
    <row r="842" spans="1:13">
      <c r="A842" s="143">
        <v>2016</v>
      </c>
      <c r="B842" s="6" t="s">
        <v>4075</v>
      </c>
      <c r="C842" s="6" t="s">
        <v>61</v>
      </c>
      <c r="D842" s="6" t="s">
        <v>586</v>
      </c>
      <c r="E842" s="6" t="s">
        <v>1874</v>
      </c>
      <c r="F842" s="179"/>
      <c r="G842" s="6" t="s">
        <v>4076</v>
      </c>
      <c r="H842" s="6" t="s">
        <v>4077</v>
      </c>
      <c r="I842" s="121">
        <v>8500</v>
      </c>
      <c r="J842" s="6" t="s">
        <v>4078</v>
      </c>
      <c r="K842" s="6" t="s">
        <v>1828</v>
      </c>
      <c r="L842" s="180" t="s">
        <v>12164</v>
      </c>
      <c r="M842" s="22" t="s">
        <v>586</v>
      </c>
    </row>
    <row r="843" spans="1:13">
      <c r="A843" s="143">
        <v>2016</v>
      </c>
      <c r="B843" s="6" t="s">
        <v>4080</v>
      </c>
      <c r="C843" s="6" t="s">
        <v>61</v>
      </c>
      <c r="D843" s="115" t="s">
        <v>1383</v>
      </c>
      <c r="E843" s="115" t="s">
        <v>1859</v>
      </c>
      <c r="F843" s="179"/>
      <c r="G843" s="6" t="s">
        <v>4081</v>
      </c>
      <c r="H843" s="6" t="s">
        <v>4082</v>
      </c>
      <c r="I843" s="121">
        <v>50000</v>
      </c>
      <c r="J843" s="6" t="s">
        <v>3925</v>
      </c>
      <c r="K843" s="6" t="s">
        <v>1828</v>
      </c>
      <c r="L843" s="180" t="s">
        <v>4083</v>
      </c>
      <c r="M843" s="22" t="s">
        <v>1383</v>
      </c>
    </row>
    <row r="844" spans="1:13">
      <c r="A844" s="143">
        <v>2016</v>
      </c>
      <c r="B844" s="6" t="s">
        <v>4084</v>
      </c>
      <c r="C844" s="9" t="s">
        <v>61</v>
      </c>
      <c r="D844" s="6" t="s">
        <v>1141</v>
      </c>
      <c r="E844" s="6" t="s">
        <v>1904</v>
      </c>
      <c r="F844" s="179"/>
      <c r="G844" s="6" t="s">
        <v>4085</v>
      </c>
      <c r="H844" s="6" t="s">
        <v>4086</v>
      </c>
      <c r="I844" s="121">
        <v>49880</v>
      </c>
      <c r="J844" s="6" t="s">
        <v>4087</v>
      </c>
      <c r="K844" s="6" t="s">
        <v>1919</v>
      </c>
      <c r="L844" s="180" t="s">
        <v>4088</v>
      </c>
      <c r="M844" s="22" t="s">
        <v>1141</v>
      </c>
    </row>
    <row r="845" spans="1:13">
      <c r="A845" s="140">
        <v>2015</v>
      </c>
      <c r="B845" s="185">
        <v>42005</v>
      </c>
      <c r="C845" s="112" t="s">
        <v>3096</v>
      </c>
      <c r="D845" s="179" t="s">
        <v>3075</v>
      </c>
      <c r="E845" s="6"/>
      <c r="F845" s="180"/>
      <c r="G845" s="178" t="s">
        <v>4089</v>
      </c>
      <c r="H845" s="178" t="s">
        <v>3076</v>
      </c>
      <c r="I845" s="186">
        <v>384896</v>
      </c>
      <c r="J845" s="187" t="s">
        <v>1938</v>
      </c>
      <c r="K845" s="179" t="s">
        <v>1828</v>
      </c>
      <c r="L845" s="22"/>
      <c r="M845" s="6"/>
    </row>
    <row r="846" spans="1:13">
      <c r="A846" s="140">
        <v>2015</v>
      </c>
      <c r="B846" s="185">
        <v>42036</v>
      </c>
      <c r="C846" s="112" t="s">
        <v>1867</v>
      </c>
      <c r="D846" s="179" t="s">
        <v>4090</v>
      </c>
      <c r="E846" s="6" t="s">
        <v>1874</v>
      </c>
      <c r="F846" s="180"/>
      <c r="G846" s="179" t="s">
        <v>4091</v>
      </c>
      <c r="H846" s="179" t="s">
        <v>4092</v>
      </c>
      <c r="I846" s="179"/>
      <c r="J846" s="187" t="s">
        <v>4093</v>
      </c>
      <c r="K846" s="179" t="s">
        <v>1828</v>
      </c>
      <c r="L846" s="188"/>
      <c r="M846" s="34"/>
    </row>
    <row r="847" spans="1:13">
      <c r="A847" s="140">
        <v>2015</v>
      </c>
      <c r="B847" s="185">
        <v>42064</v>
      </c>
      <c r="C847" s="112" t="s">
        <v>1867</v>
      </c>
      <c r="D847" s="179" t="s">
        <v>3097</v>
      </c>
      <c r="E847" s="34"/>
      <c r="F847" s="180"/>
      <c r="G847" s="179" t="s">
        <v>4094</v>
      </c>
      <c r="H847" s="189" t="s">
        <v>4095</v>
      </c>
      <c r="I847" s="179"/>
      <c r="J847" s="187" t="s">
        <v>4096</v>
      </c>
      <c r="K847" s="179" t="s">
        <v>1828</v>
      </c>
      <c r="L847" s="188"/>
      <c r="M847" s="34"/>
    </row>
    <row r="848" spans="1:13">
      <c r="A848" s="140">
        <v>2015</v>
      </c>
      <c r="B848" s="185">
        <v>42095</v>
      </c>
      <c r="C848" s="112" t="s">
        <v>1867</v>
      </c>
      <c r="D848" s="34" t="s">
        <v>62</v>
      </c>
      <c r="E848" s="34"/>
      <c r="F848" s="188"/>
      <c r="G848" s="179" t="s">
        <v>4097</v>
      </c>
      <c r="H848" s="179" t="s">
        <v>4098</v>
      </c>
      <c r="I848" s="179"/>
      <c r="J848" s="187" t="s">
        <v>4099</v>
      </c>
      <c r="K848" s="179" t="s">
        <v>2031</v>
      </c>
      <c r="L848" s="188"/>
      <c r="M848" s="34"/>
    </row>
    <row r="849" spans="1:13">
      <c r="A849" s="140">
        <v>2015</v>
      </c>
      <c r="B849" s="185">
        <v>42125</v>
      </c>
      <c r="C849" s="112" t="s">
        <v>1867</v>
      </c>
      <c r="D849" s="190" t="s">
        <v>1231</v>
      </c>
      <c r="E849" s="34"/>
      <c r="F849" s="191"/>
      <c r="G849" s="179" t="s">
        <v>4101</v>
      </c>
      <c r="H849" s="179" t="s">
        <v>4102</v>
      </c>
      <c r="I849" s="179" t="s">
        <v>4100</v>
      </c>
      <c r="J849" s="189" t="s">
        <v>1938</v>
      </c>
      <c r="K849" s="179" t="s">
        <v>1828</v>
      </c>
      <c r="L849" s="188"/>
      <c r="M849" s="34"/>
    </row>
    <row r="850" spans="1:13">
      <c r="A850" s="140">
        <v>2015</v>
      </c>
      <c r="B850" s="185">
        <v>42156</v>
      </c>
      <c r="C850" s="112" t="s">
        <v>3096</v>
      </c>
      <c r="D850" s="190" t="s">
        <v>3371</v>
      </c>
      <c r="E850" s="34"/>
      <c r="F850" s="191"/>
      <c r="G850" s="179" t="s">
        <v>4103</v>
      </c>
      <c r="H850" s="179" t="s">
        <v>4104</v>
      </c>
      <c r="I850" s="186">
        <v>744000</v>
      </c>
      <c r="J850" s="189" t="s">
        <v>1938</v>
      </c>
      <c r="K850" s="179" t="s">
        <v>1828</v>
      </c>
      <c r="L850" s="188"/>
      <c r="M850" s="34"/>
    </row>
    <row r="851" spans="1:13">
      <c r="A851" s="140">
        <v>2015</v>
      </c>
      <c r="B851" s="192">
        <v>42186</v>
      </c>
      <c r="C851" s="112" t="s">
        <v>3096</v>
      </c>
      <c r="D851" s="190" t="s">
        <v>1383</v>
      </c>
      <c r="E851" s="34"/>
      <c r="F851" s="191"/>
      <c r="G851" s="179" t="s">
        <v>4105</v>
      </c>
      <c r="H851" s="179" t="s">
        <v>4106</v>
      </c>
      <c r="I851" s="186">
        <v>7796082</v>
      </c>
      <c r="J851" s="189" t="s">
        <v>1938</v>
      </c>
      <c r="K851" s="179" t="s">
        <v>1828</v>
      </c>
      <c r="L851" s="188"/>
      <c r="M851" s="34"/>
    </row>
    <row r="852" spans="1:13">
      <c r="A852" s="140">
        <v>2015</v>
      </c>
      <c r="B852" s="185">
        <v>42217</v>
      </c>
      <c r="C852" s="112" t="s">
        <v>61</v>
      </c>
      <c r="D852" s="180" t="s">
        <v>1383</v>
      </c>
      <c r="E852" s="115" t="s">
        <v>1859</v>
      </c>
      <c r="F852" s="180"/>
      <c r="G852" s="178" t="s">
        <v>4107</v>
      </c>
      <c r="H852" s="178" t="s">
        <v>4108</v>
      </c>
      <c r="I852" s="193">
        <v>500000</v>
      </c>
      <c r="J852" s="187" t="s">
        <v>1938</v>
      </c>
      <c r="K852" s="179" t="s">
        <v>1828</v>
      </c>
      <c r="L852" s="188"/>
      <c r="M852" s="34"/>
    </row>
    <row r="853" spans="1:13">
      <c r="A853" s="140">
        <v>2015</v>
      </c>
      <c r="B853" s="185">
        <v>42248</v>
      </c>
      <c r="C853" s="112" t="s">
        <v>61</v>
      </c>
      <c r="D853" s="180" t="s">
        <v>1383</v>
      </c>
      <c r="E853" s="115" t="s">
        <v>1859</v>
      </c>
      <c r="F853" s="180"/>
      <c r="G853" s="179" t="s">
        <v>4109</v>
      </c>
      <c r="H853" s="179" t="s">
        <v>4110</v>
      </c>
      <c r="I853" s="194">
        <v>1000000</v>
      </c>
      <c r="J853" s="187" t="s">
        <v>4111</v>
      </c>
      <c r="K853" s="179" t="s">
        <v>1828</v>
      </c>
      <c r="L853" s="188"/>
      <c r="M853" s="34"/>
    </row>
    <row r="854" spans="1:13">
      <c r="A854" s="140">
        <v>2015</v>
      </c>
      <c r="B854" s="192">
        <v>42278</v>
      </c>
      <c r="C854" s="112" t="s">
        <v>61</v>
      </c>
      <c r="D854" s="180" t="s">
        <v>1383</v>
      </c>
      <c r="E854" s="115" t="s">
        <v>1859</v>
      </c>
      <c r="F854" s="180"/>
      <c r="G854" s="179" t="s">
        <v>4112</v>
      </c>
      <c r="H854" s="179" t="s">
        <v>4113</v>
      </c>
      <c r="I854" s="194">
        <v>500000</v>
      </c>
      <c r="J854" s="187" t="s">
        <v>4114</v>
      </c>
      <c r="K854" s="179" t="s">
        <v>1828</v>
      </c>
      <c r="L854" s="188"/>
      <c r="M854" s="34"/>
    </row>
    <row r="855" spans="1:13">
      <c r="A855" s="140">
        <v>2015</v>
      </c>
      <c r="B855" s="192">
        <v>42309</v>
      </c>
      <c r="C855" s="112" t="s">
        <v>61</v>
      </c>
      <c r="D855" s="22" t="s">
        <v>62</v>
      </c>
      <c r="E855" s="6" t="s">
        <v>1904</v>
      </c>
      <c r="F855" s="22"/>
      <c r="G855" s="179" t="s">
        <v>4115</v>
      </c>
      <c r="H855" s="179" t="s">
        <v>4116</v>
      </c>
      <c r="I855" s="194">
        <v>672777.28</v>
      </c>
      <c r="J855" s="187" t="s">
        <v>4117</v>
      </c>
      <c r="K855" s="179" t="s">
        <v>1828</v>
      </c>
      <c r="L855" s="188"/>
      <c r="M855" s="34"/>
    </row>
    <row r="856" spans="1:13">
      <c r="A856" s="140">
        <v>2015</v>
      </c>
      <c r="B856" s="192">
        <v>42339</v>
      </c>
      <c r="C856" s="112" t="s">
        <v>61</v>
      </c>
      <c r="D856" s="180" t="s">
        <v>3168</v>
      </c>
      <c r="E856" s="115" t="s">
        <v>1859</v>
      </c>
      <c r="F856" s="180"/>
      <c r="G856" s="179" t="s">
        <v>4118</v>
      </c>
      <c r="H856" s="179" t="s">
        <v>4119</v>
      </c>
      <c r="I856" s="194">
        <v>500000</v>
      </c>
      <c r="J856" s="179" t="s">
        <v>2508</v>
      </c>
      <c r="K856" s="179" t="s">
        <v>1828</v>
      </c>
      <c r="L856" s="188"/>
      <c r="M856" s="34"/>
    </row>
    <row r="857" spans="1:13">
      <c r="A857" s="140">
        <v>2015</v>
      </c>
      <c r="B857" s="179" t="s">
        <v>4120</v>
      </c>
      <c r="C857" s="112" t="s">
        <v>61</v>
      </c>
      <c r="D857" s="180" t="s">
        <v>1383</v>
      </c>
      <c r="E857" s="115" t="s">
        <v>1859</v>
      </c>
      <c r="F857" s="180"/>
      <c r="G857" s="179" t="s">
        <v>4121</v>
      </c>
      <c r="H857" s="178" t="s">
        <v>4122</v>
      </c>
      <c r="I857" s="194">
        <v>500000</v>
      </c>
      <c r="J857" s="179" t="s">
        <v>2508</v>
      </c>
      <c r="K857" s="179" t="s">
        <v>1828</v>
      </c>
      <c r="L857" s="188"/>
      <c r="M857" s="34"/>
    </row>
    <row r="858" spans="1:13">
      <c r="A858" s="140">
        <v>2015</v>
      </c>
      <c r="B858" s="179" t="s">
        <v>4123</v>
      </c>
      <c r="C858" s="112" t="s">
        <v>61</v>
      </c>
      <c r="D858" s="180" t="s">
        <v>1383</v>
      </c>
      <c r="E858" s="115" t="s">
        <v>1859</v>
      </c>
      <c r="F858" s="180"/>
      <c r="G858" s="179" t="s">
        <v>4124</v>
      </c>
      <c r="H858" s="178" t="s">
        <v>4119</v>
      </c>
      <c r="I858" s="194">
        <v>500000</v>
      </c>
      <c r="J858" s="179" t="s">
        <v>2508</v>
      </c>
      <c r="K858" s="179" t="s">
        <v>1828</v>
      </c>
      <c r="L858" s="188"/>
      <c r="M858" s="34"/>
    </row>
    <row r="859" spans="1:13">
      <c r="A859" s="140">
        <v>2015</v>
      </c>
      <c r="B859" s="179" t="s">
        <v>4125</v>
      </c>
      <c r="C859" s="112" t="s">
        <v>61</v>
      </c>
      <c r="D859" s="180" t="s">
        <v>1383</v>
      </c>
      <c r="E859" s="115" t="s">
        <v>1859</v>
      </c>
      <c r="F859" s="180"/>
      <c r="G859" s="178" t="s">
        <v>4126</v>
      </c>
      <c r="H859" s="179" t="s">
        <v>4127</v>
      </c>
      <c r="I859" s="194">
        <v>500000</v>
      </c>
      <c r="J859" s="179"/>
      <c r="K859" s="190" t="s">
        <v>1828</v>
      </c>
      <c r="L859" s="188"/>
      <c r="M859" s="34"/>
    </row>
    <row r="860" spans="1:13">
      <c r="A860" s="140">
        <v>2015</v>
      </c>
      <c r="B860" s="179" t="s">
        <v>4128</v>
      </c>
      <c r="C860" s="112" t="s">
        <v>61</v>
      </c>
      <c r="D860" s="180" t="s">
        <v>1383</v>
      </c>
      <c r="E860" s="115" t="s">
        <v>1859</v>
      </c>
      <c r="F860" s="180"/>
      <c r="G860" s="179" t="s">
        <v>4129</v>
      </c>
      <c r="H860" s="179" t="s">
        <v>3571</v>
      </c>
      <c r="I860" s="194">
        <v>500000</v>
      </c>
      <c r="J860" s="179"/>
      <c r="K860" s="190" t="s">
        <v>1828</v>
      </c>
      <c r="L860" s="188"/>
      <c r="M860" s="34"/>
    </row>
    <row r="861" spans="1:13">
      <c r="A861" s="140">
        <v>2015</v>
      </c>
      <c r="B861" s="179" t="s">
        <v>4130</v>
      </c>
      <c r="C861" s="112" t="s">
        <v>61</v>
      </c>
      <c r="D861" s="180" t="s">
        <v>2993</v>
      </c>
      <c r="E861" s="34"/>
      <c r="F861" s="180"/>
      <c r="G861" s="179" t="s">
        <v>4131</v>
      </c>
      <c r="H861" s="179" t="s">
        <v>4132</v>
      </c>
      <c r="I861" s="194">
        <v>230000</v>
      </c>
      <c r="J861" s="179"/>
      <c r="K861" s="190" t="s">
        <v>1828</v>
      </c>
      <c r="L861" s="188"/>
      <c r="M861" s="34"/>
    </row>
    <row r="862" spans="1:13">
      <c r="A862" s="140">
        <v>2015</v>
      </c>
      <c r="B862" s="179" t="s">
        <v>4133</v>
      </c>
      <c r="C862" s="112" t="s">
        <v>61</v>
      </c>
      <c r="D862" s="180" t="s">
        <v>2993</v>
      </c>
      <c r="E862" s="34"/>
      <c r="F862" s="180"/>
      <c r="G862" s="179" t="s">
        <v>4134</v>
      </c>
      <c r="H862" s="179" t="s">
        <v>4132</v>
      </c>
      <c r="I862" s="194">
        <v>220000</v>
      </c>
      <c r="J862" s="179"/>
      <c r="K862" s="190" t="s">
        <v>1828</v>
      </c>
      <c r="L862" s="188"/>
      <c r="M862" s="34"/>
    </row>
    <row r="863" spans="1:13">
      <c r="A863" s="140">
        <v>2015</v>
      </c>
      <c r="B863" s="179" t="s">
        <v>4135</v>
      </c>
      <c r="C863" s="112" t="s">
        <v>61</v>
      </c>
      <c r="D863" s="180" t="s">
        <v>3092</v>
      </c>
      <c r="E863" s="6" t="s">
        <v>1904</v>
      </c>
      <c r="F863" s="180"/>
      <c r="G863" s="179" t="s">
        <v>4136</v>
      </c>
      <c r="H863" s="179" t="s">
        <v>4137</v>
      </c>
      <c r="I863" s="194">
        <v>366000</v>
      </c>
      <c r="J863" s="187" t="s">
        <v>4138</v>
      </c>
      <c r="K863" s="179" t="s">
        <v>2051</v>
      </c>
      <c r="L863" s="188"/>
      <c r="M863" s="34"/>
    </row>
    <row r="864" spans="1:13">
      <c r="A864" s="140">
        <v>2015</v>
      </c>
      <c r="B864" s="179" t="s">
        <v>4139</v>
      </c>
      <c r="C864" s="112" t="s">
        <v>3096</v>
      </c>
      <c r="D864" s="190" t="s">
        <v>1231</v>
      </c>
      <c r="E864" s="34"/>
      <c r="F864" s="191"/>
      <c r="G864" s="179" t="s">
        <v>4140</v>
      </c>
      <c r="H864" s="179" t="s">
        <v>4141</v>
      </c>
      <c r="I864" s="186">
        <v>200000</v>
      </c>
      <c r="J864" s="187" t="s">
        <v>1938</v>
      </c>
      <c r="K864" s="179" t="s">
        <v>1828</v>
      </c>
      <c r="L864" s="188"/>
      <c r="M864" s="34"/>
    </row>
    <row r="865" spans="1:13">
      <c r="A865" s="140">
        <v>2015</v>
      </c>
      <c r="B865" s="179" t="s">
        <v>4142</v>
      </c>
      <c r="C865" s="112" t="s">
        <v>61</v>
      </c>
      <c r="D865" s="22" t="s">
        <v>62</v>
      </c>
      <c r="E865" s="6" t="s">
        <v>1904</v>
      </c>
      <c r="F865" s="22"/>
      <c r="G865" s="179" t="s">
        <v>4143</v>
      </c>
      <c r="H865" s="179" t="s">
        <v>4144</v>
      </c>
      <c r="I865" s="194">
        <v>1800000</v>
      </c>
      <c r="J865" s="187" t="s">
        <v>4145</v>
      </c>
      <c r="K865" s="179" t="s">
        <v>1828</v>
      </c>
      <c r="L865" s="188"/>
      <c r="M865" s="34"/>
    </row>
    <row r="866" spans="1:13">
      <c r="A866" s="140">
        <v>2015</v>
      </c>
      <c r="B866" s="179" t="s">
        <v>4146</v>
      </c>
      <c r="C866" s="112" t="s">
        <v>61</v>
      </c>
      <c r="D866" s="180" t="s">
        <v>3168</v>
      </c>
      <c r="E866" s="115" t="s">
        <v>1859</v>
      </c>
      <c r="F866" s="180"/>
      <c r="G866" s="179" t="s">
        <v>4147</v>
      </c>
      <c r="H866" s="179" t="s">
        <v>4148</v>
      </c>
      <c r="I866" s="194">
        <v>160000</v>
      </c>
      <c r="J866" s="187" t="s">
        <v>4149</v>
      </c>
      <c r="K866" s="179" t="s">
        <v>1828</v>
      </c>
      <c r="L866" s="188"/>
      <c r="M866" s="34"/>
    </row>
    <row r="867" spans="1:13">
      <c r="A867" s="140">
        <v>2015</v>
      </c>
      <c r="B867" s="179" t="s">
        <v>4150</v>
      </c>
      <c r="C867" s="112" t="s">
        <v>61</v>
      </c>
      <c r="D867" s="180" t="s">
        <v>4151</v>
      </c>
      <c r="E867" s="6" t="s">
        <v>1874</v>
      </c>
      <c r="F867" s="180"/>
      <c r="G867" s="179" t="s">
        <v>4152</v>
      </c>
      <c r="H867" s="179" t="s">
        <v>811</v>
      </c>
      <c r="I867" s="194">
        <v>220000</v>
      </c>
      <c r="J867" s="187" t="s">
        <v>4149</v>
      </c>
      <c r="K867" s="179" t="s">
        <v>1828</v>
      </c>
      <c r="L867" s="188"/>
      <c r="M867" s="34"/>
    </row>
    <row r="868" spans="1:13">
      <c r="A868" s="140">
        <v>2015</v>
      </c>
      <c r="B868" s="179" t="s">
        <v>4153</v>
      </c>
      <c r="C868" s="112" t="s">
        <v>61</v>
      </c>
      <c r="D868" s="180" t="s">
        <v>1383</v>
      </c>
      <c r="E868" s="115" t="s">
        <v>1859</v>
      </c>
      <c r="F868" s="180"/>
      <c r="G868" s="179" t="s">
        <v>4154</v>
      </c>
      <c r="H868" s="179" t="s">
        <v>4155</v>
      </c>
      <c r="I868" s="195">
        <v>954000</v>
      </c>
      <c r="J868" s="187"/>
      <c r="K868" s="179" t="s">
        <v>1919</v>
      </c>
      <c r="L868" s="188"/>
      <c r="M868" s="34"/>
    </row>
    <row r="869" spans="1:13">
      <c r="A869" s="140">
        <v>2015</v>
      </c>
      <c r="B869" s="179" t="s">
        <v>4156</v>
      </c>
      <c r="C869" s="112" t="s">
        <v>61</v>
      </c>
      <c r="D869" s="180" t="s">
        <v>1383</v>
      </c>
      <c r="E869" s="115" t="s">
        <v>1859</v>
      </c>
      <c r="F869" s="180"/>
      <c r="G869" s="179" t="s">
        <v>4157</v>
      </c>
      <c r="H869" s="179" t="s">
        <v>4158</v>
      </c>
      <c r="I869" s="195">
        <v>575000</v>
      </c>
      <c r="J869" s="179"/>
      <c r="K869" s="179" t="s">
        <v>2085</v>
      </c>
      <c r="L869" s="188"/>
      <c r="M869" s="34"/>
    </row>
    <row r="870" spans="1:13">
      <c r="A870" s="140">
        <v>2015</v>
      </c>
      <c r="B870" s="179" t="s">
        <v>4159</v>
      </c>
      <c r="C870" s="112" t="s">
        <v>61</v>
      </c>
      <c r="D870" s="180" t="s">
        <v>1383</v>
      </c>
      <c r="E870" s="115" t="s">
        <v>1859</v>
      </c>
      <c r="F870" s="180"/>
      <c r="G870" s="179" t="s">
        <v>4160</v>
      </c>
      <c r="H870" s="179" t="s">
        <v>4161</v>
      </c>
      <c r="I870" s="195">
        <v>800000</v>
      </c>
      <c r="J870" s="179"/>
      <c r="K870" s="6" t="s">
        <v>1886</v>
      </c>
      <c r="L870" s="188"/>
      <c r="M870" s="34"/>
    </row>
    <row r="871" spans="1:13">
      <c r="A871" s="140">
        <v>2015</v>
      </c>
      <c r="B871" s="179" t="s">
        <v>4162</v>
      </c>
      <c r="C871" s="112" t="s">
        <v>61</v>
      </c>
      <c r="D871" s="180" t="s">
        <v>394</v>
      </c>
      <c r="E871" s="115" t="s">
        <v>1853</v>
      </c>
      <c r="F871" s="180"/>
      <c r="G871" s="179" t="s">
        <v>4163</v>
      </c>
      <c r="H871" s="179" t="s">
        <v>581</v>
      </c>
      <c r="I871" s="194">
        <v>375000</v>
      </c>
      <c r="J871" s="179"/>
      <c r="K871" s="179" t="s">
        <v>1916</v>
      </c>
      <c r="L871" s="188"/>
      <c r="M871" s="34"/>
    </row>
    <row r="872" spans="1:13">
      <c r="A872" s="140">
        <v>2015</v>
      </c>
      <c r="B872" s="179" t="s">
        <v>4164</v>
      </c>
      <c r="C872" s="112" t="s">
        <v>61</v>
      </c>
      <c r="D872" s="180" t="s">
        <v>1383</v>
      </c>
      <c r="E872" s="115" t="s">
        <v>1859</v>
      </c>
      <c r="F872" s="180"/>
      <c r="G872" s="179" t="s">
        <v>4165</v>
      </c>
      <c r="H872" s="179" t="s">
        <v>4166</v>
      </c>
      <c r="I872" s="194">
        <v>243000</v>
      </c>
      <c r="J872" s="179"/>
      <c r="K872" s="190" t="s">
        <v>1855</v>
      </c>
      <c r="L872" s="188"/>
      <c r="M872" s="34"/>
    </row>
    <row r="873" spans="1:13">
      <c r="A873" s="140">
        <v>2015</v>
      </c>
      <c r="B873" s="179" t="s">
        <v>4167</v>
      </c>
      <c r="C873" s="112" t="s">
        <v>61</v>
      </c>
      <c r="D873" s="22" t="s">
        <v>586</v>
      </c>
      <c r="E873" s="6" t="s">
        <v>1874</v>
      </c>
      <c r="F873" s="22"/>
      <c r="G873" s="179" t="s">
        <v>4168</v>
      </c>
      <c r="H873" s="179" t="s">
        <v>4169</v>
      </c>
      <c r="I873" s="194">
        <v>106000</v>
      </c>
      <c r="J873" s="187" t="s">
        <v>4170</v>
      </c>
      <c r="K873" s="179" t="s">
        <v>1828</v>
      </c>
      <c r="L873" s="188"/>
      <c r="M873" s="34"/>
    </row>
    <row r="874" spans="1:13">
      <c r="A874" s="140">
        <v>2015</v>
      </c>
      <c r="B874" s="179" t="s">
        <v>4171</v>
      </c>
      <c r="C874" s="112" t="s">
        <v>61</v>
      </c>
      <c r="D874" s="180" t="s">
        <v>394</v>
      </c>
      <c r="E874" s="115" t="s">
        <v>1853</v>
      </c>
      <c r="F874" s="180"/>
      <c r="G874" s="179" t="s">
        <v>4172</v>
      </c>
      <c r="H874" s="179" t="s">
        <v>1478</v>
      </c>
      <c r="I874" s="194">
        <v>168660</v>
      </c>
      <c r="J874" s="179"/>
      <c r="K874" s="179" t="s">
        <v>1879</v>
      </c>
      <c r="L874" s="188"/>
      <c r="M874" s="34"/>
    </row>
    <row r="875" spans="1:13">
      <c r="A875" s="140">
        <v>2015</v>
      </c>
      <c r="B875" s="179" t="s">
        <v>4173</v>
      </c>
      <c r="C875" s="112" t="s">
        <v>4174</v>
      </c>
      <c r="D875" s="179"/>
      <c r="E875" s="6"/>
      <c r="F875" s="180"/>
      <c r="G875" s="179" t="s">
        <v>4175</v>
      </c>
      <c r="H875" s="179" t="s">
        <v>4176</v>
      </c>
      <c r="I875" s="186">
        <v>200000</v>
      </c>
      <c r="J875" s="179" t="s">
        <v>4149</v>
      </c>
      <c r="K875" s="179" t="s">
        <v>1828</v>
      </c>
      <c r="L875" s="188"/>
      <c r="M875" s="34"/>
    </row>
    <row r="876" spans="1:13">
      <c r="A876" s="140">
        <v>2015</v>
      </c>
      <c r="B876" s="179" t="s">
        <v>4177</v>
      </c>
      <c r="C876" s="112" t="s">
        <v>61</v>
      </c>
      <c r="D876" s="143" t="s">
        <v>3168</v>
      </c>
      <c r="E876" s="115" t="s">
        <v>1859</v>
      </c>
      <c r="F876" s="143"/>
      <c r="G876" s="179" t="s">
        <v>4178</v>
      </c>
      <c r="H876" s="179" t="s">
        <v>811</v>
      </c>
      <c r="I876" s="194">
        <v>176000</v>
      </c>
      <c r="J876" s="179" t="s">
        <v>4149</v>
      </c>
      <c r="K876" s="179" t="s">
        <v>1828</v>
      </c>
      <c r="L876" s="188"/>
      <c r="M876" s="34"/>
    </row>
    <row r="877" spans="1:13">
      <c r="A877" s="140">
        <v>2015</v>
      </c>
      <c r="B877" s="179" t="s">
        <v>4179</v>
      </c>
      <c r="C877" s="112" t="s">
        <v>61</v>
      </c>
      <c r="D877" s="180" t="s">
        <v>3168</v>
      </c>
      <c r="E877" s="115" t="s">
        <v>1859</v>
      </c>
      <c r="F877" s="180"/>
      <c r="G877" s="179" t="s">
        <v>4180</v>
      </c>
      <c r="H877" s="179" t="s">
        <v>811</v>
      </c>
      <c r="I877" s="194">
        <v>272000</v>
      </c>
      <c r="J877" s="179" t="s">
        <v>4149</v>
      </c>
      <c r="K877" s="179" t="s">
        <v>1828</v>
      </c>
      <c r="L877" s="188"/>
      <c r="M877" s="34"/>
    </row>
    <row r="878" spans="1:13">
      <c r="A878" s="140">
        <v>2015</v>
      </c>
      <c r="B878" s="179" t="s">
        <v>4181</v>
      </c>
      <c r="C878" s="112" t="s">
        <v>61</v>
      </c>
      <c r="D878" s="180" t="s">
        <v>1383</v>
      </c>
      <c r="E878" s="115" t="s">
        <v>1859</v>
      </c>
      <c r="F878" s="180"/>
      <c r="G878" s="179" t="s">
        <v>4165</v>
      </c>
      <c r="H878" s="187" t="s">
        <v>4166</v>
      </c>
      <c r="I878" s="194">
        <v>147000</v>
      </c>
      <c r="J878" s="179"/>
      <c r="K878" s="179" t="s">
        <v>1855</v>
      </c>
      <c r="L878" s="188"/>
      <c r="M878" s="34"/>
    </row>
    <row r="879" spans="1:13">
      <c r="A879" s="140">
        <v>2015</v>
      </c>
      <c r="B879" s="179" t="s">
        <v>4182</v>
      </c>
      <c r="C879" s="112" t="s">
        <v>61</v>
      </c>
      <c r="D879" s="180" t="s">
        <v>1383</v>
      </c>
      <c r="E879" s="115" t="s">
        <v>1859</v>
      </c>
      <c r="F879" s="180"/>
      <c r="G879" s="179" t="s">
        <v>4183</v>
      </c>
      <c r="H879" s="179" t="s">
        <v>4184</v>
      </c>
      <c r="I879" s="194">
        <v>250000</v>
      </c>
      <c r="J879" s="187" t="s">
        <v>4185</v>
      </c>
      <c r="K879" s="9" t="s">
        <v>2676</v>
      </c>
      <c r="L879" s="188"/>
      <c r="M879" s="34"/>
    </row>
    <row r="880" spans="1:13">
      <c r="A880" s="140">
        <v>2015</v>
      </c>
      <c r="B880" s="179" t="s">
        <v>4186</v>
      </c>
      <c r="C880" s="112" t="s">
        <v>61</v>
      </c>
      <c r="D880" s="22" t="s">
        <v>62</v>
      </c>
      <c r="E880" s="6" t="s">
        <v>1904</v>
      </c>
      <c r="F880" s="22"/>
      <c r="G880" s="179" t="s">
        <v>4187</v>
      </c>
      <c r="H880" s="179" t="s">
        <v>4188</v>
      </c>
      <c r="I880" s="194">
        <v>2000000</v>
      </c>
      <c r="J880" s="187" t="s">
        <v>4189</v>
      </c>
      <c r="K880" s="179" t="s">
        <v>2051</v>
      </c>
      <c r="L880" s="188"/>
      <c r="M880" s="34"/>
    </row>
    <row r="881" spans="1:13">
      <c r="A881" s="140">
        <v>2015</v>
      </c>
      <c r="B881" s="179" t="s">
        <v>4190</v>
      </c>
      <c r="C881" s="112" t="s">
        <v>61</v>
      </c>
      <c r="D881" s="22" t="s">
        <v>3092</v>
      </c>
      <c r="E881" s="6" t="s">
        <v>1904</v>
      </c>
      <c r="F881" s="180"/>
      <c r="G881" s="179" t="s">
        <v>4191</v>
      </c>
      <c r="H881" s="179" t="s">
        <v>4192</v>
      </c>
      <c r="I881" s="194">
        <v>818000</v>
      </c>
      <c r="J881" s="179"/>
      <c r="K881" s="179" t="s">
        <v>2047</v>
      </c>
      <c r="L881" s="188"/>
      <c r="M881" s="34"/>
    </row>
    <row r="882" spans="1:13">
      <c r="A882" s="140">
        <v>2015</v>
      </c>
      <c r="B882" s="179" t="s">
        <v>4193</v>
      </c>
      <c r="C882" s="112" t="s">
        <v>61</v>
      </c>
      <c r="D882" s="180" t="s">
        <v>1141</v>
      </c>
      <c r="E882" s="6" t="s">
        <v>1904</v>
      </c>
      <c r="F882" s="180"/>
      <c r="G882" s="179" t="s">
        <v>4194</v>
      </c>
      <c r="H882" s="179" t="s">
        <v>4195</v>
      </c>
      <c r="I882" s="194">
        <v>53759.67</v>
      </c>
      <c r="J882" s="179" t="s">
        <v>4196</v>
      </c>
      <c r="K882" s="6" t="s">
        <v>1886</v>
      </c>
      <c r="L882" s="188"/>
      <c r="M882" s="34"/>
    </row>
    <row r="883" spans="1:13">
      <c r="A883" s="140">
        <v>2015</v>
      </c>
      <c r="B883" s="179" t="s">
        <v>4197</v>
      </c>
      <c r="C883" s="112" t="s">
        <v>61</v>
      </c>
      <c r="D883" s="180" t="s">
        <v>652</v>
      </c>
      <c r="E883" s="6" t="s">
        <v>1874</v>
      </c>
      <c r="F883" s="180"/>
      <c r="G883" s="179" t="s">
        <v>4198</v>
      </c>
      <c r="H883" s="179" t="s">
        <v>4199</v>
      </c>
      <c r="I883" s="194">
        <v>1135672</v>
      </c>
      <c r="J883" s="187" t="s">
        <v>4200</v>
      </c>
      <c r="K883" s="6" t="s">
        <v>1886</v>
      </c>
      <c r="L883" s="188"/>
      <c r="M883" s="34"/>
    </row>
    <row r="884" spans="1:13">
      <c r="A884" s="140">
        <v>2015</v>
      </c>
      <c r="B884" s="179" t="s">
        <v>4201</v>
      </c>
      <c r="C884" s="112" t="s">
        <v>61</v>
      </c>
      <c r="D884" s="180" t="s">
        <v>394</v>
      </c>
      <c r="E884" s="115" t="s">
        <v>1853</v>
      </c>
      <c r="F884" s="180"/>
      <c r="G884" s="179" t="s">
        <v>4202</v>
      </c>
      <c r="H884" s="179" t="s">
        <v>4176</v>
      </c>
      <c r="I884" s="194">
        <v>191150</v>
      </c>
      <c r="J884" s="187" t="s">
        <v>4149</v>
      </c>
      <c r="K884" s="179" t="s">
        <v>1828</v>
      </c>
      <c r="L884" s="188"/>
      <c r="M884" s="34"/>
    </row>
    <row r="885" spans="1:13">
      <c r="A885" s="140">
        <v>2015</v>
      </c>
      <c r="B885" s="179" t="s">
        <v>4203</v>
      </c>
      <c r="C885" s="112" t="s">
        <v>1867</v>
      </c>
      <c r="D885" s="190"/>
      <c r="E885" s="6"/>
      <c r="F885" s="191"/>
      <c r="G885" s="179" t="s">
        <v>4204</v>
      </c>
      <c r="H885" s="179" t="s">
        <v>4205</v>
      </c>
      <c r="I885" s="190"/>
      <c r="J885" s="187" t="s">
        <v>4206</v>
      </c>
      <c r="K885" s="179" t="s">
        <v>1896</v>
      </c>
      <c r="L885" s="188"/>
      <c r="M885" s="34"/>
    </row>
    <row r="886" spans="1:13">
      <c r="A886" s="140">
        <v>2015</v>
      </c>
      <c r="B886" s="179" t="s">
        <v>4207</v>
      </c>
      <c r="C886" s="112" t="s">
        <v>61</v>
      </c>
      <c r="D886" s="180" t="s">
        <v>68</v>
      </c>
      <c r="E886" s="6" t="s">
        <v>1874</v>
      </c>
      <c r="F886" s="180"/>
      <c r="G886" s="179" t="s">
        <v>4208</v>
      </c>
      <c r="H886" s="179" t="s">
        <v>4209</v>
      </c>
      <c r="I886" s="194">
        <v>30000</v>
      </c>
      <c r="J886" s="187" t="s">
        <v>4210</v>
      </c>
      <c r="K886" s="179" t="s">
        <v>1828</v>
      </c>
      <c r="L886" s="188"/>
      <c r="M886" s="34"/>
    </row>
    <row r="887" spans="1:13">
      <c r="A887" s="140">
        <v>2015</v>
      </c>
      <c r="B887" s="179" t="s">
        <v>4211</v>
      </c>
      <c r="C887" s="112" t="s">
        <v>61</v>
      </c>
      <c r="D887" s="180" t="s">
        <v>394</v>
      </c>
      <c r="E887" s="115" t="s">
        <v>1853</v>
      </c>
      <c r="F887" s="180"/>
      <c r="G887" s="179" t="s">
        <v>4212</v>
      </c>
      <c r="H887" s="179" t="s">
        <v>4213</v>
      </c>
      <c r="I887" s="194">
        <v>107900</v>
      </c>
      <c r="J887" s="187" t="s">
        <v>3311</v>
      </c>
      <c r="K887" s="179" t="s">
        <v>1899</v>
      </c>
      <c r="L887" s="188"/>
      <c r="M887" s="34"/>
    </row>
    <row r="888" spans="1:13">
      <c r="A888" s="140">
        <v>2015</v>
      </c>
      <c r="B888" s="179" t="s">
        <v>4214</v>
      </c>
      <c r="C888" s="53" t="s">
        <v>61</v>
      </c>
      <c r="D888" s="180" t="s">
        <v>3092</v>
      </c>
      <c r="E888" s="6" t="s">
        <v>1904</v>
      </c>
      <c r="F888" s="180"/>
      <c r="G888" s="179" t="s">
        <v>4191</v>
      </c>
      <c r="H888" s="179" t="s">
        <v>4215</v>
      </c>
      <c r="I888" s="194">
        <v>531000</v>
      </c>
      <c r="J888" s="187" t="s">
        <v>4216</v>
      </c>
      <c r="K888" s="179" t="s">
        <v>1828</v>
      </c>
      <c r="L888" s="188"/>
      <c r="M888" s="34"/>
    </row>
    <row r="889" spans="1:13">
      <c r="A889" s="140">
        <v>2015</v>
      </c>
      <c r="B889" s="179" t="s">
        <v>4217</v>
      </c>
      <c r="C889" s="112" t="s">
        <v>61</v>
      </c>
      <c r="D889" s="180" t="s">
        <v>1141</v>
      </c>
      <c r="E889" s="6" t="s">
        <v>1904</v>
      </c>
      <c r="F889" s="180"/>
      <c r="G889" s="179" t="s">
        <v>4218</v>
      </c>
      <c r="H889" s="179" t="s">
        <v>4219</v>
      </c>
      <c r="I889" s="195">
        <v>138019.25</v>
      </c>
      <c r="J889" s="187" t="s">
        <v>4220</v>
      </c>
      <c r="K889" s="179" t="s">
        <v>2051</v>
      </c>
      <c r="L889" s="188"/>
      <c r="M889" s="34"/>
    </row>
    <row r="890" spans="1:13">
      <c r="A890" s="140">
        <v>2015</v>
      </c>
      <c r="B890" s="179" t="s">
        <v>4221</v>
      </c>
      <c r="C890" s="112" t="s">
        <v>61</v>
      </c>
      <c r="D890" s="22" t="s">
        <v>62</v>
      </c>
      <c r="E890" s="6" t="s">
        <v>1904</v>
      </c>
      <c r="F890" s="22"/>
      <c r="G890" s="178" t="s">
        <v>4222</v>
      </c>
      <c r="H890" s="179" t="s">
        <v>4223</v>
      </c>
      <c r="I890" s="194">
        <v>195000</v>
      </c>
      <c r="J890" s="187" t="s">
        <v>4224</v>
      </c>
      <c r="K890" s="6" t="s">
        <v>1886</v>
      </c>
      <c r="L890" s="188"/>
      <c r="M890" s="34"/>
    </row>
    <row r="891" spans="1:13">
      <c r="A891" s="140">
        <v>2015</v>
      </c>
      <c r="B891" s="179" t="s">
        <v>4225</v>
      </c>
      <c r="C891" s="112" t="s">
        <v>61</v>
      </c>
      <c r="D891" s="22" t="s">
        <v>62</v>
      </c>
      <c r="E891" s="6" t="s">
        <v>1904</v>
      </c>
      <c r="F891" s="22"/>
      <c r="G891" s="179" t="s">
        <v>4226</v>
      </c>
      <c r="H891" s="179" t="s">
        <v>4227</v>
      </c>
      <c r="I891" s="194">
        <v>1930000</v>
      </c>
      <c r="J891" s="187" t="s">
        <v>4228</v>
      </c>
      <c r="K891" s="6" t="s">
        <v>1886</v>
      </c>
      <c r="L891" s="188"/>
      <c r="M891" s="34"/>
    </row>
    <row r="892" spans="1:13">
      <c r="A892" s="140">
        <v>2015</v>
      </c>
      <c r="B892" s="179" t="s">
        <v>4229</v>
      </c>
      <c r="C892" s="112" t="s">
        <v>61</v>
      </c>
      <c r="D892" s="180" t="s">
        <v>68</v>
      </c>
      <c r="E892" s="6" t="s">
        <v>1874</v>
      </c>
      <c r="F892" s="180"/>
      <c r="G892" s="179" t="s">
        <v>4230</v>
      </c>
      <c r="H892" s="179" t="s">
        <v>4231</v>
      </c>
      <c r="I892" s="194">
        <v>480000</v>
      </c>
      <c r="J892" s="187" t="s">
        <v>4232</v>
      </c>
      <c r="K892" s="179" t="s">
        <v>1828</v>
      </c>
      <c r="L892" s="188"/>
      <c r="M892" s="34"/>
    </row>
    <row r="893" spans="1:13">
      <c r="A893" s="140">
        <v>2015</v>
      </c>
      <c r="B893" s="179" t="s">
        <v>4233</v>
      </c>
      <c r="C893" s="112" t="s">
        <v>61</v>
      </c>
      <c r="D893" s="180" t="s">
        <v>3168</v>
      </c>
      <c r="E893" s="115" t="s">
        <v>1859</v>
      </c>
      <c r="F893" s="180"/>
      <c r="G893" s="179" t="s">
        <v>4234</v>
      </c>
      <c r="H893" s="179" t="s">
        <v>4235</v>
      </c>
      <c r="I893" s="195">
        <v>556600</v>
      </c>
      <c r="J893" s="179" t="s">
        <v>4149</v>
      </c>
      <c r="K893" s="179" t="s">
        <v>1828</v>
      </c>
      <c r="L893" s="188"/>
      <c r="M893" s="34"/>
    </row>
    <row r="894" spans="1:13">
      <c r="A894" s="140">
        <v>2015</v>
      </c>
      <c r="B894" s="179" t="s">
        <v>4236</v>
      </c>
      <c r="C894" s="112" t="s">
        <v>1867</v>
      </c>
      <c r="D894" s="190"/>
      <c r="E894" s="6"/>
      <c r="F894" s="191"/>
      <c r="G894" s="179" t="s">
        <v>4237</v>
      </c>
      <c r="H894" s="179" t="s">
        <v>4238</v>
      </c>
      <c r="I894" s="190"/>
      <c r="J894" s="189" t="s">
        <v>4239</v>
      </c>
      <c r="K894" s="179" t="s">
        <v>1916</v>
      </c>
      <c r="L894" s="188"/>
      <c r="M894" s="34"/>
    </row>
    <row r="895" spans="1:13">
      <c r="A895" s="140">
        <v>2015</v>
      </c>
      <c r="B895" s="179" t="s">
        <v>4240</v>
      </c>
      <c r="C895" s="112" t="s">
        <v>3096</v>
      </c>
      <c r="D895" s="190"/>
      <c r="E895" s="6"/>
      <c r="F895" s="191"/>
      <c r="G895" s="179" t="s">
        <v>4241</v>
      </c>
      <c r="H895" s="179" t="s">
        <v>4242</v>
      </c>
      <c r="I895" s="194">
        <v>483315</v>
      </c>
      <c r="J895" s="179" t="s">
        <v>4149</v>
      </c>
      <c r="K895" s="179" t="s">
        <v>1828</v>
      </c>
      <c r="L895" s="188"/>
      <c r="M895" s="34"/>
    </row>
    <row r="896" spans="1:13">
      <c r="A896" s="140">
        <v>2015</v>
      </c>
      <c r="B896" s="179" t="s">
        <v>4243</v>
      </c>
      <c r="C896" s="112" t="s">
        <v>61</v>
      </c>
      <c r="D896" s="180" t="s">
        <v>1383</v>
      </c>
      <c r="E896" s="115" t="s">
        <v>1859</v>
      </c>
      <c r="F896" s="180"/>
      <c r="G896" s="179" t="s">
        <v>4244</v>
      </c>
      <c r="H896" s="179" t="s">
        <v>1753</v>
      </c>
      <c r="I896" s="194">
        <v>1225800</v>
      </c>
      <c r="J896" s="179" t="s">
        <v>4149</v>
      </c>
      <c r="K896" s="179" t="s">
        <v>1828</v>
      </c>
      <c r="L896" s="188"/>
      <c r="M896" s="34"/>
    </row>
    <row r="897" spans="1:13">
      <c r="A897" s="140">
        <v>2015</v>
      </c>
      <c r="B897" s="179" t="s">
        <v>4245</v>
      </c>
      <c r="C897" s="112" t="s">
        <v>61</v>
      </c>
      <c r="D897" s="180" t="s">
        <v>1383</v>
      </c>
      <c r="E897" s="115" t="s">
        <v>1859</v>
      </c>
      <c r="F897" s="180"/>
      <c r="G897" s="179" t="s">
        <v>4246</v>
      </c>
      <c r="H897" s="179" t="s">
        <v>1753</v>
      </c>
      <c r="I897" s="194">
        <v>210250</v>
      </c>
      <c r="J897" s="179" t="s">
        <v>4149</v>
      </c>
      <c r="K897" s="179" t="s">
        <v>1828</v>
      </c>
      <c r="L897" s="188"/>
      <c r="M897" s="34"/>
    </row>
    <row r="898" spans="1:13">
      <c r="A898" s="140">
        <v>2015</v>
      </c>
      <c r="B898" s="179" t="s">
        <v>4247</v>
      </c>
      <c r="C898" s="112" t="s">
        <v>61</v>
      </c>
      <c r="D898" s="180" t="s">
        <v>1383</v>
      </c>
      <c r="E898" s="115" t="s">
        <v>1859</v>
      </c>
      <c r="F898" s="180"/>
      <c r="G898" s="179" t="s">
        <v>4248</v>
      </c>
      <c r="H898" s="179" t="s">
        <v>4249</v>
      </c>
      <c r="I898" s="194">
        <v>888000</v>
      </c>
      <c r="J898" s="179"/>
      <c r="K898" s="6" t="s">
        <v>1886</v>
      </c>
      <c r="L898" s="188"/>
      <c r="M898" s="34"/>
    </row>
    <row r="899" spans="1:13">
      <c r="A899" s="140">
        <v>2015</v>
      </c>
      <c r="B899" s="179" t="s">
        <v>4250</v>
      </c>
      <c r="C899" s="112" t="s">
        <v>61</v>
      </c>
      <c r="D899" s="180" t="s">
        <v>68</v>
      </c>
      <c r="E899" s="6" t="s">
        <v>1874</v>
      </c>
      <c r="F899" s="180"/>
      <c r="G899" s="179" t="s">
        <v>4251</v>
      </c>
      <c r="H899" s="179" t="s">
        <v>4252</v>
      </c>
      <c r="I899" s="194">
        <v>41440</v>
      </c>
      <c r="J899" s="187" t="s">
        <v>4253</v>
      </c>
      <c r="K899" s="6" t="s">
        <v>1886</v>
      </c>
      <c r="L899" s="188"/>
      <c r="M899" s="34"/>
    </row>
    <row r="900" spans="1:13">
      <c r="A900" s="140">
        <v>2015</v>
      </c>
      <c r="B900" s="179" t="s">
        <v>4254</v>
      </c>
      <c r="C900" s="112" t="s">
        <v>61</v>
      </c>
      <c r="D900" s="180" t="s">
        <v>68</v>
      </c>
      <c r="E900" s="6" t="s">
        <v>1874</v>
      </c>
      <c r="F900" s="180"/>
      <c r="G900" s="179" t="s">
        <v>4255</v>
      </c>
      <c r="H900" s="179" t="s">
        <v>4256</v>
      </c>
      <c r="I900" s="194">
        <v>604800</v>
      </c>
      <c r="J900" s="187" t="s">
        <v>4257</v>
      </c>
      <c r="K900" s="179" t="s">
        <v>1828</v>
      </c>
      <c r="L900" s="188"/>
      <c r="M900" s="34"/>
    </row>
    <row r="901" spans="1:13">
      <c r="A901" s="140">
        <v>2015</v>
      </c>
      <c r="B901" s="179" t="s">
        <v>4258</v>
      </c>
      <c r="C901" s="112" t="s">
        <v>61</v>
      </c>
      <c r="D901" s="22" t="s">
        <v>62</v>
      </c>
      <c r="E901" s="6" t="s">
        <v>1904</v>
      </c>
      <c r="F901" s="22"/>
      <c r="G901" s="179" t="s">
        <v>4259</v>
      </c>
      <c r="H901" s="179" t="s">
        <v>4260</v>
      </c>
      <c r="I901" s="194">
        <v>958369.8</v>
      </c>
      <c r="J901" s="187" t="s">
        <v>4261</v>
      </c>
      <c r="K901" s="179" t="s">
        <v>1899</v>
      </c>
      <c r="L901" s="188"/>
      <c r="M901" s="34"/>
    </row>
    <row r="902" spans="1:13">
      <c r="A902" s="140">
        <v>2015</v>
      </c>
      <c r="B902" s="179" t="s">
        <v>4262</v>
      </c>
      <c r="C902" s="112" t="s">
        <v>61</v>
      </c>
      <c r="D902" s="22" t="s">
        <v>62</v>
      </c>
      <c r="E902" s="6" t="s">
        <v>1904</v>
      </c>
      <c r="F902" s="22"/>
      <c r="G902" s="179" t="s">
        <v>4263</v>
      </c>
      <c r="H902" s="179" t="s">
        <v>4264</v>
      </c>
      <c r="I902" s="194">
        <v>410000</v>
      </c>
      <c r="J902" s="187" t="s">
        <v>4265</v>
      </c>
      <c r="K902" s="6" t="s">
        <v>1886</v>
      </c>
      <c r="L902" s="188"/>
      <c r="M902" s="34"/>
    </row>
    <row r="903" spans="1:13">
      <c r="A903" s="140">
        <v>2015</v>
      </c>
      <c r="B903" s="179" t="s">
        <v>4266</v>
      </c>
      <c r="C903" s="112" t="s">
        <v>61</v>
      </c>
      <c r="D903" s="22" t="s">
        <v>62</v>
      </c>
      <c r="E903" s="6" t="s">
        <v>1904</v>
      </c>
      <c r="F903" s="22"/>
      <c r="G903" s="179" t="s">
        <v>4267</v>
      </c>
      <c r="H903" s="179" t="s">
        <v>4268</v>
      </c>
      <c r="I903" s="194">
        <v>1956500</v>
      </c>
      <c r="J903" s="187" t="s">
        <v>4269</v>
      </c>
      <c r="K903" s="6" t="s">
        <v>1886</v>
      </c>
      <c r="L903" s="188"/>
      <c r="M903" s="34"/>
    </row>
    <row r="904" spans="1:13">
      <c r="A904" s="140">
        <v>2015</v>
      </c>
      <c r="B904" s="179" t="s">
        <v>4270</v>
      </c>
      <c r="C904" s="112" t="s">
        <v>61</v>
      </c>
      <c r="D904" s="22" t="s">
        <v>62</v>
      </c>
      <c r="E904" s="6" t="s">
        <v>1904</v>
      </c>
      <c r="F904" s="22"/>
      <c r="G904" s="179" t="s">
        <v>4271</v>
      </c>
      <c r="H904" s="179" t="s">
        <v>4272</v>
      </c>
      <c r="I904" s="194">
        <v>1900000</v>
      </c>
      <c r="J904" s="187" t="s">
        <v>4273</v>
      </c>
      <c r="K904" s="6" t="s">
        <v>1886</v>
      </c>
      <c r="L904" s="188"/>
      <c r="M904" s="34"/>
    </row>
    <row r="905" spans="1:13">
      <c r="A905" s="140">
        <v>2015</v>
      </c>
      <c r="B905" s="179" t="s">
        <v>4274</v>
      </c>
      <c r="C905" s="112" t="s">
        <v>61</v>
      </c>
      <c r="D905" s="22" t="s">
        <v>62</v>
      </c>
      <c r="E905" s="6" t="s">
        <v>1904</v>
      </c>
      <c r="F905" s="22"/>
      <c r="G905" s="179" t="s">
        <v>4275</v>
      </c>
      <c r="H905" s="179" t="s">
        <v>4276</v>
      </c>
      <c r="I905" s="194">
        <v>598728</v>
      </c>
      <c r="J905" s="187" t="s">
        <v>4277</v>
      </c>
      <c r="K905" s="179" t="s">
        <v>1919</v>
      </c>
      <c r="L905" s="188"/>
      <c r="M905" s="34"/>
    </row>
    <row r="906" spans="1:13">
      <c r="A906" s="140">
        <v>2015</v>
      </c>
      <c r="B906" s="179" t="s">
        <v>4278</v>
      </c>
      <c r="C906" s="112" t="s">
        <v>61</v>
      </c>
      <c r="D906" s="22" t="s">
        <v>62</v>
      </c>
      <c r="E906" s="6" t="s">
        <v>1904</v>
      </c>
      <c r="F906" s="22"/>
      <c r="G906" s="179" t="s">
        <v>807</v>
      </c>
      <c r="H906" s="179" t="s">
        <v>811</v>
      </c>
      <c r="I906" s="194">
        <v>420000</v>
      </c>
      <c r="J906" s="179" t="s">
        <v>4149</v>
      </c>
      <c r="K906" s="179" t="s">
        <v>1828</v>
      </c>
      <c r="L906" s="188"/>
      <c r="M906" s="34"/>
    </row>
    <row r="907" spans="1:13">
      <c r="A907" s="140">
        <v>2015</v>
      </c>
      <c r="B907" s="179" t="s">
        <v>4279</v>
      </c>
      <c r="C907" s="112" t="s">
        <v>61</v>
      </c>
      <c r="D907" s="180" t="s">
        <v>1383</v>
      </c>
      <c r="E907" s="115" t="s">
        <v>1859</v>
      </c>
      <c r="F907" s="180"/>
      <c r="G907" s="179" t="s">
        <v>4280</v>
      </c>
      <c r="H907" s="179" t="s">
        <v>4281</v>
      </c>
      <c r="I907" s="194">
        <v>30000</v>
      </c>
      <c r="J907" s="179" t="s">
        <v>4282</v>
      </c>
      <c r="K907" s="179" t="s">
        <v>1847</v>
      </c>
      <c r="L907" s="188"/>
      <c r="M907" s="34"/>
    </row>
    <row r="908" spans="1:13">
      <c r="A908" s="140">
        <v>2015</v>
      </c>
      <c r="B908" s="179" t="s">
        <v>4283</v>
      </c>
      <c r="C908" s="112" t="s">
        <v>61</v>
      </c>
      <c r="D908" s="22" t="s">
        <v>586</v>
      </c>
      <c r="E908" s="6" t="s">
        <v>1874</v>
      </c>
      <c r="F908" s="22"/>
      <c r="G908" s="179" t="s">
        <v>4284</v>
      </c>
      <c r="H908" s="179" t="s">
        <v>4285</v>
      </c>
      <c r="I908" s="194">
        <v>50000</v>
      </c>
      <c r="J908" s="179" t="s">
        <v>4286</v>
      </c>
      <c r="K908" s="179" t="s">
        <v>1847</v>
      </c>
      <c r="L908" s="188"/>
      <c r="M908" s="34"/>
    </row>
    <row r="909" spans="1:13">
      <c r="A909" s="140">
        <v>2015</v>
      </c>
      <c r="B909" s="179" t="s">
        <v>4287</v>
      </c>
      <c r="C909" s="112" t="s">
        <v>61</v>
      </c>
      <c r="D909" s="180" t="s">
        <v>1383</v>
      </c>
      <c r="E909" s="115" t="s">
        <v>1859</v>
      </c>
      <c r="F909" s="180"/>
      <c r="G909" s="179" t="s">
        <v>4288</v>
      </c>
      <c r="H909" s="179" t="s">
        <v>4289</v>
      </c>
      <c r="I909" s="194">
        <v>27176</v>
      </c>
      <c r="J909" s="179" t="s">
        <v>4290</v>
      </c>
      <c r="K909" s="6" t="s">
        <v>1886</v>
      </c>
      <c r="L909" s="188"/>
      <c r="M909" s="34"/>
    </row>
    <row r="910" spans="1:13">
      <c r="A910" s="140">
        <v>2015</v>
      </c>
      <c r="B910" s="179" t="s">
        <v>4291</v>
      </c>
      <c r="C910" s="112" t="s">
        <v>61</v>
      </c>
      <c r="D910" s="180" t="s">
        <v>1383</v>
      </c>
      <c r="E910" s="115" t="s">
        <v>1859</v>
      </c>
      <c r="F910" s="180"/>
      <c r="G910" s="179" t="s">
        <v>4292</v>
      </c>
      <c r="H910" s="179" t="s">
        <v>4293</v>
      </c>
      <c r="I910" s="194">
        <v>41880</v>
      </c>
      <c r="J910" s="179" t="s">
        <v>1828</v>
      </c>
      <c r="K910" s="179" t="s">
        <v>1828</v>
      </c>
      <c r="L910" s="188"/>
      <c r="M910" s="34"/>
    </row>
    <row r="911" spans="1:13">
      <c r="A911" s="140">
        <v>2015</v>
      </c>
      <c r="B911" s="179" t="s">
        <v>4294</v>
      </c>
      <c r="C911" s="112" t="s">
        <v>61</v>
      </c>
      <c r="D911" s="180" t="s">
        <v>394</v>
      </c>
      <c r="E911" s="115" t="s">
        <v>1853</v>
      </c>
      <c r="F911" s="180"/>
      <c r="G911" s="179" t="s">
        <v>4295</v>
      </c>
      <c r="H911" s="179" t="s">
        <v>4161</v>
      </c>
      <c r="I911" s="194">
        <v>90000</v>
      </c>
      <c r="J911" s="179" t="s">
        <v>4296</v>
      </c>
      <c r="K911" s="179" t="s">
        <v>1828</v>
      </c>
      <c r="L911" s="188"/>
      <c r="M911" s="34"/>
    </row>
    <row r="912" spans="1:13">
      <c r="A912" s="140">
        <v>2015</v>
      </c>
      <c r="B912" s="179" t="s">
        <v>4297</v>
      </c>
      <c r="C912" s="112" t="s">
        <v>61</v>
      </c>
      <c r="D912" s="180" t="s">
        <v>1383</v>
      </c>
      <c r="E912" s="115" t="s">
        <v>1859</v>
      </c>
      <c r="F912" s="180"/>
      <c r="G912" s="179" t="s">
        <v>4298</v>
      </c>
      <c r="H912" s="179" t="s">
        <v>4281</v>
      </c>
      <c r="I912" s="194">
        <v>30000</v>
      </c>
      <c r="J912" s="179" t="s">
        <v>4299</v>
      </c>
      <c r="K912" s="179" t="s">
        <v>1828</v>
      </c>
      <c r="L912" s="188"/>
      <c r="M912" s="34"/>
    </row>
    <row r="913" spans="1:13">
      <c r="A913" s="140">
        <v>2015</v>
      </c>
      <c r="B913" s="179" t="s">
        <v>4300</v>
      </c>
      <c r="C913" s="112" t="s">
        <v>61</v>
      </c>
      <c r="D913" s="180" t="s">
        <v>1763</v>
      </c>
      <c r="E913" s="115" t="s">
        <v>1859</v>
      </c>
      <c r="F913" s="180"/>
      <c r="G913" s="179" t="s">
        <v>4301</v>
      </c>
      <c r="H913" s="179" t="s">
        <v>4302</v>
      </c>
      <c r="I913" s="194">
        <v>16250</v>
      </c>
      <c r="J913" s="179" t="s">
        <v>4303</v>
      </c>
      <c r="K913" s="179" t="s">
        <v>1855</v>
      </c>
      <c r="L913" s="188"/>
      <c r="M913" s="34"/>
    </row>
    <row r="914" spans="1:13">
      <c r="A914" s="140">
        <v>2015</v>
      </c>
      <c r="B914" s="179" t="s">
        <v>4304</v>
      </c>
      <c r="C914" s="112" t="s">
        <v>61</v>
      </c>
      <c r="D914" s="180" t="s">
        <v>1383</v>
      </c>
      <c r="E914" s="115" t="s">
        <v>1859</v>
      </c>
      <c r="F914" s="180"/>
      <c r="G914" s="179" t="s">
        <v>4305</v>
      </c>
      <c r="H914" s="179" t="s">
        <v>4302</v>
      </c>
      <c r="I914" s="194">
        <v>50000</v>
      </c>
      <c r="J914" s="179"/>
      <c r="K914" s="179" t="s">
        <v>1855</v>
      </c>
      <c r="L914" s="188"/>
      <c r="M914" s="34"/>
    </row>
    <row r="915" spans="1:13">
      <c r="A915" s="140">
        <v>2015</v>
      </c>
      <c r="B915" s="179" t="s">
        <v>4306</v>
      </c>
      <c r="C915" s="112" t="s">
        <v>61</v>
      </c>
      <c r="D915" s="180" t="s">
        <v>1383</v>
      </c>
      <c r="E915" s="115" t="s">
        <v>1859</v>
      </c>
      <c r="F915" s="180"/>
      <c r="G915" s="179" t="s">
        <v>4307</v>
      </c>
      <c r="H915" s="179" t="s">
        <v>4308</v>
      </c>
      <c r="I915" s="194">
        <v>50000</v>
      </c>
      <c r="J915" s="179" t="s">
        <v>4309</v>
      </c>
      <c r="K915" s="179" t="s">
        <v>1916</v>
      </c>
      <c r="L915" s="188"/>
      <c r="M915" s="34"/>
    </row>
    <row r="916" spans="1:13">
      <c r="A916" s="140">
        <v>2015</v>
      </c>
      <c r="B916" s="179" t="s">
        <v>4310</v>
      </c>
      <c r="C916" s="112" t="s">
        <v>61</v>
      </c>
      <c r="D916" s="180" t="s">
        <v>1383</v>
      </c>
      <c r="E916" s="115" t="s">
        <v>1859</v>
      </c>
      <c r="F916" s="180"/>
      <c r="G916" s="179" t="s">
        <v>4311</v>
      </c>
      <c r="H916" s="179" t="s">
        <v>4312</v>
      </c>
      <c r="I916" s="194">
        <v>50000</v>
      </c>
      <c r="J916" s="179" t="s">
        <v>4313</v>
      </c>
      <c r="K916" s="179" t="s">
        <v>1828</v>
      </c>
      <c r="L916" s="188"/>
      <c r="M916" s="34"/>
    </row>
    <row r="917" spans="1:13">
      <c r="A917" s="140">
        <v>2015</v>
      </c>
      <c r="B917" s="179" t="s">
        <v>4314</v>
      </c>
      <c r="C917" s="112" t="s">
        <v>61</v>
      </c>
      <c r="D917" s="180" t="s">
        <v>1383</v>
      </c>
      <c r="E917" s="115" t="s">
        <v>1859</v>
      </c>
      <c r="F917" s="180"/>
      <c r="G917" s="179" t="s">
        <v>4315</v>
      </c>
      <c r="H917" s="179" t="s">
        <v>4316</v>
      </c>
      <c r="I917" s="194">
        <v>40000</v>
      </c>
      <c r="J917" s="179"/>
      <c r="K917" s="190" t="s">
        <v>1828</v>
      </c>
      <c r="L917" s="188"/>
      <c r="M917" s="34"/>
    </row>
    <row r="918" spans="1:13">
      <c r="A918" s="140">
        <v>2015</v>
      </c>
      <c r="B918" s="179" t="s">
        <v>4317</v>
      </c>
      <c r="C918" s="112" t="s">
        <v>61</v>
      </c>
      <c r="D918" s="180" t="s">
        <v>1383</v>
      </c>
      <c r="E918" s="115" t="s">
        <v>1859</v>
      </c>
      <c r="F918" s="180"/>
      <c r="G918" s="179" t="s">
        <v>4318</v>
      </c>
      <c r="H918" s="179" t="s">
        <v>4319</v>
      </c>
      <c r="I918" s="194">
        <v>99000</v>
      </c>
      <c r="J918" s="179"/>
      <c r="K918" s="190" t="s">
        <v>1828</v>
      </c>
      <c r="L918" s="188"/>
      <c r="M918" s="34"/>
    </row>
    <row r="919" spans="1:13">
      <c r="A919" s="140">
        <v>2015</v>
      </c>
      <c r="B919" s="179" t="s">
        <v>4320</v>
      </c>
      <c r="C919" s="112" t="s">
        <v>61</v>
      </c>
      <c r="D919" s="180" t="s">
        <v>1383</v>
      </c>
      <c r="E919" s="115" t="s">
        <v>1859</v>
      </c>
      <c r="F919" s="180"/>
      <c r="G919" s="179" t="s">
        <v>4321</v>
      </c>
      <c r="H919" s="179" t="s">
        <v>4322</v>
      </c>
      <c r="I919" s="194">
        <v>20660</v>
      </c>
      <c r="J919" s="179"/>
      <c r="K919" s="190" t="s">
        <v>1828</v>
      </c>
      <c r="L919" s="188"/>
      <c r="M919" s="34"/>
    </row>
    <row r="920" spans="1:13">
      <c r="A920" s="140">
        <v>2015</v>
      </c>
      <c r="B920" s="179" t="s">
        <v>4323</v>
      </c>
      <c r="C920" s="112" t="s">
        <v>61</v>
      </c>
      <c r="D920" s="180" t="s">
        <v>394</v>
      </c>
      <c r="E920" s="115" t="s">
        <v>1853</v>
      </c>
      <c r="F920" s="180"/>
      <c r="G920" s="179" t="s">
        <v>4324</v>
      </c>
      <c r="H920" s="179" t="s">
        <v>4325</v>
      </c>
      <c r="I920" s="194">
        <v>77500</v>
      </c>
      <c r="J920" s="179"/>
      <c r="K920" s="179" t="s">
        <v>1855</v>
      </c>
      <c r="L920" s="188"/>
      <c r="M920" s="34"/>
    </row>
    <row r="921" spans="1:13">
      <c r="A921" s="140">
        <v>2015</v>
      </c>
      <c r="B921" s="179" t="s">
        <v>4326</v>
      </c>
      <c r="C921" s="112" t="s">
        <v>61</v>
      </c>
      <c r="D921" s="180" t="s">
        <v>1763</v>
      </c>
      <c r="E921" s="115" t="s">
        <v>1859</v>
      </c>
      <c r="F921" s="180"/>
      <c r="G921" s="179" t="s">
        <v>4327</v>
      </c>
      <c r="H921" s="179" t="s">
        <v>4328</v>
      </c>
      <c r="I921" s="194">
        <v>15875</v>
      </c>
      <c r="J921" s="179" t="s">
        <v>4329</v>
      </c>
      <c r="K921" s="179" t="s">
        <v>1916</v>
      </c>
      <c r="L921" s="188"/>
      <c r="M921" s="34"/>
    </row>
    <row r="922" spans="1:13">
      <c r="A922" s="140">
        <v>2015</v>
      </c>
      <c r="B922" s="179" t="s">
        <v>4330</v>
      </c>
      <c r="C922" s="112" t="s">
        <v>61</v>
      </c>
      <c r="D922" s="180" t="s">
        <v>2993</v>
      </c>
      <c r="E922" s="6" t="s">
        <v>1874</v>
      </c>
      <c r="F922" s="180"/>
      <c r="G922" s="179" t="s">
        <v>4331</v>
      </c>
      <c r="H922" s="179" t="s">
        <v>4332</v>
      </c>
      <c r="I922" s="194">
        <v>84805</v>
      </c>
      <c r="J922" s="179" t="s">
        <v>4333</v>
      </c>
      <c r="K922" s="179" t="s">
        <v>2031</v>
      </c>
      <c r="L922" s="188"/>
      <c r="M922" s="34"/>
    </row>
    <row r="923" spans="1:13">
      <c r="A923" s="140">
        <v>2015</v>
      </c>
      <c r="B923" s="179" t="s">
        <v>4334</v>
      </c>
      <c r="C923" s="112" t="s">
        <v>61</v>
      </c>
      <c r="D923" s="180" t="s">
        <v>1383</v>
      </c>
      <c r="E923" s="115" t="s">
        <v>1859</v>
      </c>
      <c r="F923" s="180"/>
      <c r="G923" s="179" t="s">
        <v>4335</v>
      </c>
      <c r="H923" s="179" t="s">
        <v>3859</v>
      </c>
      <c r="I923" s="194">
        <v>65000</v>
      </c>
      <c r="J923" s="179" t="s">
        <v>4336</v>
      </c>
      <c r="K923" s="179" t="s">
        <v>1855</v>
      </c>
      <c r="L923" s="188"/>
      <c r="M923" s="34"/>
    </row>
    <row r="924" spans="1:13">
      <c r="A924" s="140">
        <v>2015</v>
      </c>
      <c r="B924" s="179" t="s">
        <v>4337</v>
      </c>
      <c r="C924" s="112" t="s">
        <v>61</v>
      </c>
      <c r="D924" s="180" t="s">
        <v>1763</v>
      </c>
      <c r="E924" s="115" t="s">
        <v>1859</v>
      </c>
      <c r="F924" s="180"/>
      <c r="G924" s="179" t="s">
        <v>4338</v>
      </c>
      <c r="H924" s="179" t="s">
        <v>4339</v>
      </c>
      <c r="I924" s="194">
        <v>16100</v>
      </c>
      <c r="J924" s="179"/>
      <c r="K924" s="6" t="s">
        <v>1886</v>
      </c>
      <c r="L924" s="188"/>
      <c r="M924" s="34"/>
    </row>
    <row r="925" spans="1:13">
      <c r="A925" s="140">
        <v>2015</v>
      </c>
      <c r="B925" s="179" t="s">
        <v>4340</v>
      </c>
      <c r="C925" s="112" t="s">
        <v>61</v>
      </c>
      <c r="D925" s="180" t="s">
        <v>394</v>
      </c>
      <c r="E925" s="115" t="s">
        <v>1853</v>
      </c>
      <c r="F925" s="180"/>
      <c r="G925" s="179" t="s">
        <v>4341</v>
      </c>
      <c r="H925" s="179" t="s">
        <v>4342</v>
      </c>
      <c r="I925" s="194">
        <v>55000</v>
      </c>
      <c r="J925" s="179" t="s">
        <v>4343</v>
      </c>
      <c r="K925" s="179" t="s">
        <v>1899</v>
      </c>
      <c r="L925" s="188"/>
      <c r="M925" s="34"/>
    </row>
    <row r="926" spans="1:13">
      <c r="A926" s="140">
        <v>2015</v>
      </c>
      <c r="B926" s="179" t="s">
        <v>4344</v>
      </c>
      <c r="C926" s="112" t="s">
        <v>61</v>
      </c>
      <c r="D926" s="180" t="s">
        <v>1383</v>
      </c>
      <c r="E926" s="115" t="s">
        <v>1859</v>
      </c>
      <c r="F926" s="180"/>
      <c r="G926" s="179" t="s">
        <v>4345</v>
      </c>
      <c r="H926" s="179" t="s">
        <v>4346</v>
      </c>
      <c r="I926" s="194">
        <v>100000</v>
      </c>
      <c r="J926" s="179" t="s">
        <v>4347</v>
      </c>
      <c r="K926" s="179" t="s">
        <v>1828</v>
      </c>
      <c r="L926" s="188"/>
      <c r="M926" s="34"/>
    </row>
    <row r="927" spans="1:13">
      <c r="A927" s="140">
        <v>2015</v>
      </c>
      <c r="B927" s="179" t="s">
        <v>4348</v>
      </c>
      <c r="C927" s="112" t="s">
        <v>61</v>
      </c>
      <c r="D927" s="22" t="s">
        <v>3092</v>
      </c>
      <c r="E927" s="6" t="s">
        <v>1904</v>
      </c>
      <c r="F927" s="180"/>
      <c r="G927" s="179" t="s">
        <v>4349</v>
      </c>
      <c r="H927" s="179" t="s">
        <v>4350</v>
      </c>
      <c r="I927" s="194">
        <v>48800</v>
      </c>
      <c r="J927" s="179"/>
      <c r="K927" s="179" t="s">
        <v>1855</v>
      </c>
      <c r="L927" s="188"/>
      <c r="M927" s="34"/>
    </row>
    <row r="928" spans="1:13">
      <c r="A928" s="140">
        <v>2015</v>
      </c>
      <c r="B928" s="179" t="s">
        <v>4351</v>
      </c>
      <c r="C928" s="112" t="s">
        <v>61</v>
      </c>
      <c r="D928" s="180" t="s">
        <v>1383</v>
      </c>
      <c r="E928" s="115" t="s">
        <v>1859</v>
      </c>
      <c r="F928" s="180"/>
      <c r="G928" s="179" t="s">
        <v>4352</v>
      </c>
      <c r="H928" s="179" t="s">
        <v>4353</v>
      </c>
      <c r="I928" s="194">
        <v>48000</v>
      </c>
      <c r="J928" s="179" t="s">
        <v>4354</v>
      </c>
      <c r="K928" s="179" t="s">
        <v>1828</v>
      </c>
      <c r="L928" s="188"/>
      <c r="M928" s="34"/>
    </row>
    <row r="929" spans="1:13">
      <c r="A929" s="140">
        <v>2015</v>
      </c>
      <c r="B929" s="179" t="s">
        <v>4355</v>
      </c>
      <c r="C929" s="112" t="s">
        <v>61</v>
      </c>
      <c r="D929" s="180" t="s">
        <v>3168</v>
      </c>
      <c r="E929" s="115" t="s">
        <v>1859</v>
      </c>
      <c r="F929" s="180"/>
      <c r="G929" s="179" t="s">
        <v>4356</v>
      </c>
      <c r="H929" s="179" t="s">
        <v>2331</v>
      </c>
      <c r="I929" s="194">
        <v>73000</v>
      </c>
      <c r="J929" s="179"/>
      <c r="K929" s="179" t="s">
        <v>1828</v>
      </c>
      <c r="L929" s="188"/>
      <c r="M929" s="34"/>
    </row>
    <row r="930" spans="1:13">
      <c r="A930" s="140">
        <v>2015</v>
      </c>
      <c r="B930" s="179" t="s">
        <v>4357</v>
      </c>
      <c r="C930" s="112" t="s">
        <v>61</v>
      </c>
      <c r="D930" s="180" t="s">
        <v>394</v>
      </c>
      <c r="E930" s="115" t="s">
        <v>1853</v>
      </c>
      <c r="F930" s="180"/>
      <c r="G930" s="179" t="s">
        <v>4358</v>
      </c>
      <c r="H930" s="179" t="s">
        <v>4359</v>
      </c>
      <c r="I930" s="194">
        <v>55000</v>
      </c>
      <c r="J930" s="179" t="s">
        <v>4360</v>
      </c>
      <c r="K930" s="179" t="s">
        <v>1899</v>
      </c>
      <c r="L930" s="188"/>
      <c r="M930" s="34"/>
    </row>
    <row r="931" spans="1:13">
      <c r="A931" s="140">
        <v>2015</v>
      </c>
      <c r="B931" s="179" t="s">
        <v>4361</v>
      </c>
      <c r="C931" s="112" t="s">
        <v>61</v>
      </c>
      <c r="D931" s="180" t="s">
        <v>3168</v>
      </c>
      <c r="E931" s="115" t="s">
        <v>1859</v>
      </c>
      <c r="F931" s="180"/>
      <c r="G931" s="179" t="s">
        <v>4362</v>
      </c>
      <c r="H931" s="179" t="s">
        <v>4363</v>
      </c>
      <c r="I931" s="194">
        <v>50000</v>
      </c>
      <c r="J931" s="179"/>
      <c r="K931" s="190" t="s">
        <v>1828</v>
      </c>
      <c r="L931" s="188"/>
      <c r="M931" s="34"/>
    </row>
    <row r="932" spans="1:13">
      <c r="A932" s="140">
        <v>2015</v>
      </c>
      <c r="B932" s="179" t="s">
        <v>4364</v>
      </c>
      <c r="C932" s="112" t="s">
        <v>61</v>
      </c>
      <c r="D932" s="180" t="s">
        <v>2993</v>
      </c>
      <c r="E932" s="6"/>
      <c r="F932" s="180"/>
      <c r="G932" s="179" t="s">
        <v>4365</v>
      </c>
      <c r="H932" s="179" t="s">
        <v>4366</v>
      </c>
      <c r="I932" s="194">
        <v>39000</v>
      </c>
      <c r="J932" s="179"/>
      <c r="K932" s="190" t="s">
        <v>1828</v>
      </c>
      <c r="L932" s="188"/>
      <c r="M932" s="34"/>
    </row>
    <row r="933" spans="1:13">
      <c r="A933" s="140">
        <v>2015</v>
      </c>
      <c r="B933" s="179" t="s">
        <v>4367</v>
      </c>
      <c r="C933" s="112" t="s">
        <v>61</v>
      </c>
      <c r="D933" s="180" t="s">
        <v>652</v>
      </c>
      <c r="E933" s="6" t="s">
        <v>1874</v>
      </c>
      <c r="F933" s="180"/>
      <c r="G933" s="179" t="s">
        <v>4368</v>
      </c>
      <c r="H933" s="179" t="s">
        <v>4369</v>
      </c>
      <c r="I933" s="194">
        <v>99860</v>
      </c>
      <c r="J933" s="179" t="s">
        <v>4370</v>
      </c>
      <c r="K933" s="179" t="s">
        <v>1828</v>
      </c>
      <c r="L933" s="188"/>
      <c r="M933" s="34"/>
    </row>
    <row r="934" spans="1:13">
      <c r="A934" s="140">
        <v>2015</v>
      </c>
      <c r="B934" s="179" t="s">
        <v>4371</v>
      </c>
      <c r="C934" s="112" t="s">
        <v>61</v>
      </c>
      <c r="D934" s="180" t="s">
        <v>2993</v>
      </c>
      <c r="E934" s="6"/>
      <c r="F934" s="180"/>
      <c r="G934" s="179" t="s">
        <v>4372</v>
      </c>
      <c r="H934" s="179" t="s">
        <v>4366</v>
      </c>
      <c r="I934" s="194">
        <v>65000</v>
      </c>
      <c r="J934" s="179"/>
      <c r="K934" s="190" t="s">
        <v>1828</v>
      </c>
      <c r="L934" s="188"/>
      <c r="M934" s="34"/>
    </row>
    <row r="935" spans="1:13">
      <c r="A935" s="140">
        <v>2015</v>
      </c>
      <c r="B935" s="179" t="s">
        <v>4373</v>
      </c>
      <c r="C935" s="112" t="s">
        <v>61</v>
      </c>
      <c r="D935" s="180" t="s">
        <v>2993</v>
      </c>
      <c r="E935" s="6"/>
      <c r="F935" s="180"/>
      <c r="G935" s="179" t="s">
        <v>4374</v>
      </c>
      <c r="H935" s="179" t="s">
        <v>4366</v>
      </c>
      <c r="I935" s="194">
        <v>39000</v>
      </c>
      <c r="J935" s="179"/>
      <c r="K935" s="190" t="s">
        <v>1828</v>
      </c>
      <c r="L935" s="188"/>
      <c r="M935" s="34"/>
    </row>
    <row r="936" spans="1:13">
      <c r="A936" s="140">
        <v>2015</v>
      </c>
      <c r="B936" s="179" t="s">
        <v>4375</v>
      </c>
      <c r="C936" s="112" t="s">
        <v>61</v>
      </c>
      <c r="D936" s="180" t="s">
        <v>652</v>
      </c>
      <c r="E936" s="6" t="s">
        <v>1874</v>
      </c>
      <c r="F936" s="180"/>
      <c r="G936" s="179" t="s">
        <v>4376</v>
      </c>
      <c r="H936" s="179" t="s">
        <v>4377</v>
      </c>
      <c r="I936" s="194">
        <v>76569.679999999993</v>
      </c>
      <c r="J936" s="179" t="s">
        <v>4378</v>
      </c>
      <c r="K936" s="6" t="s">
        <v>1886</v>
      </c>
      <c r="L936" s="188"/>
      <c r="M936" s="34"/>
    </row>
    <row r="937" spans="1:13">
      <c r="A937" s="140">
        <v>2015</v>
      </c>
      <c r="B937" s="179" t="s">
        <v>4379</v>
      </c>
      <c r="C937" s="112" t="s">
        <v>61</v>
      </c>
      <c r="D937" s="180" t="s">
        <v>3168</v>
      </c>
      <c r="E937" s="115" t="s">
        <v>1859</v>
      </c>
      <c r="F937" s="180"/>
      <c r="G937" s="179" t="s">
        <v>4380</v>
      </c>
      <c r="H937" s="179" t="s">
        <v>4381</v>
      </c>
      <c r="I937" s="194">
        <v>99000</v>
      </c>
      <c r="J937" s="179" t="s">
        <v>4382</v>
      </c>
      <c r="K937" s="179" t="s">
        <v>1828</v>
      </c>
      <c r="L937" s="188"/>
      <c r="M937" s="34"/>
    </row>
    <row r="938" spans="1:13">
      <c r="A938" s="140">
        <v>2015</v>
      </c>
      <c r="B938" s="179" t="s">
        <v>4383</v>
      </c>
      <c r="C938" s="112" t="s">
        <v>61</v>
      </c>
      <c r="D938" s="180" t="s">
        <v>3168</v>
      </c>
      <c r="E938" s="115" t="s">
        <v>1859</v>
      </c>
      <c r="F938" s="180"/>
      <c r="G938" s="179" t="s">
        <v>4384</v>
      </c>
      <c r="H938" s="179" t="s">
        <v>4381</v>
      </c>
      <c r="I938" s="194">
        <v>35000</v>
      </c>
      <c r="J938" s="179" t="s">
        <v>4382</v>
      </c>
      <c r="K938" s="179" t="s">
        <v>1828</v>
      </c>
      <c r="L938" s="188"/>
      <c r="M938" s="34"/>
    </row>
    <row r="939" spans="1:13">
      <c r="A939" s="140">
        <v>2015</v>
      </c>
      <c r="B939" s="179" t="s">
        <v>4385</v>
      </c>
      <c r="C939" s="112" t="s">
        <v>3096</v>
      </c>
      <c r="D939" s="196" t="s">
        <v>4386</v>
      </c>
      <c r="E939" s="6"/>
      <c r="F939" s="197"/>
      <c r="G939" s="179" t="s">
        <v>4387</v>
      </c>
      <c r="H939" s="179" t="s">
        <v>4388</v>
      </c>
      <c r="I939" s="186">
        <v>75000</v>
      </c>
      <c r="J939" s="179" t="s">
        <v>3322</v>
      </c>
      <c r="K939" s="179" t="s">
        <v>1828</v>
      </c>
      <c r="L939" s="188"/>
      <c r="M939" s="34"/>
    </row>
    <row r="940" spans="1:13">
      <c r="A940" s="140">
        <v>2015</v>
      </c>
      <c r="B940" s="179" t="s">
        <v>4389</v>
      </c>
      <c r="C940" s="112" t="s">
        <v>61</v>
      </c>
      <c r="D940" s="180" t="s">
        <v>394</v>
      </c>
      <c r="E940" s="115" t="s">
        <v>1853</v>
      </c>
      <c r="F940" s="180"/>
      <c r="G940" s="179" t="s">
        <v>4390</v>
      </c>
      <c r="H940" s="179" t="s">
        <v>4391</v>
      </c>
      <c r="I940" s="194">
        <v>58000</v>
      </c>
      <c r="J940" s="179" t="s">
        <v>4392</v>
      </c>
      <c r="K940" s="53" t="s">
        <v>1916</v>
      </c>
      <c r="L940" s="188"/>
      <c r="M940" s="34"/>
    </row>
    <row r="941" spans="1:13">
      <c r="A941" s="140">
        <v>2015</v>
      </c>
      <c r="B941" s="179" t="s">
        <v>4393</v>
      </c>
      <c r="C941" s="112" t="s">
        <v>61</v>
      </c>
      <c r="D941" s="180" t="s">
        <v>3092</v>
      </c>
      <c r="E941" s="6" t="s">
        <v>1904</v>
      </c>
      <c r="F941" s="180"/>
      <c r="G941" s="179" t="s">
        <v>4394</v>
      </c>
      <c r="H941" s="179" t="s">
        <v>4395</v>
      </c>
      <c r="I941" s="194">
        <v>80000</v>
      </c>
      <c r="J941" s="179"/>
      <c r="K941" s="179" t="s">
        <v>1899</v>
      </c>
      <c r="L941" s="188"/>
      <c r="M941" s="34"/>
    </row>
    <row r="942" spans="1:13">
      <c r="A942" s="140">
        <v>2015</v>
      </c>
      <c r="B942" s="179" t="s">
        <v>4396</v>
      </c>
      <c r="C942" s="112" t="s">
        <v>1926</v>
      </c>
      <c r="D942" s="179" t="s">
        <v>62</v>
      </c>
      <c r="E942" s="6"/>
      <c r="F942" s="180"/>
      <c r="G942" s="179" t="s">
        <v>4397</v>
      </c>
      <c r="H942" s="179" t="s">
        <v>4398</v>
      </c>
      <c r="I942" s="186">
        <v>34008</v>
      </c>
      <c r="J942" s="179" t="s">
        <v>4399</v>
      </c>
      <c r="K942" s="179" t="s">
        <v>2051</v>
      </c>
      <c r="L942" s="188"/>
      <c r="M942" s="34"/>
    </row>
    <row r="943" spans="1:13">
      <c r="A943" s="140">
        <v>2015</v>
      </c>
      <c r="B943" s="179" t="s">
        <v>4400</v>
      </c>
      <c r="C943" s="112" t="s">
        <v>61</v>
      </c>
      <c r="D943" s="180" t="s">
        <v>1763</v>
      </c>
      <c r="E943" s="115" t="s">
        <v>1859</v>
      </c>
      <c r="F943" s="180"/>
      <c r="G943" s="179" t="s">
        <v>4401</v>
      </c>
      <c r="H943" s="179" t="s">
        <v>4402</v>
      </c>
      <c r="I943" s="194">
        <v>17400</v>
      </c>
      <c r="J943" s="179" t="s">
        <v>4403</v>
      </c>
      <c r="K943" s="179" t="s">
        <v>1828</v>
      </c>
      <c r="L943" s="188"/>
      <c r="M943" s="34"/>
    </row>
    <row r="944" spans="1:13">
      <c r="A944" s="140">
        <v>2015</v>
      </c>
      <c r="B944" s="179" t="s">
        <v>4404</v>
      </c>
      <c r="C944" s="112" t="s">
        <v>61</v>
      </c>
      <c r="D944" s="180" t="s">
        <v>3168</v>
      </c>
      <c r="E944" s="115" t="s">
        <v>1859</v>
      </c>
      <c r="F944" s="180"/>
      <c r="G944" s="179" t="s">
        <v>4405</v>
      </c>
      <c r="H944" s="179" t="s">
        <v>4406</v>
      </c>
      <c r="I944" s="194">
        <v>50000</v>
      </c>
      <c r="J944" s="179" t="s">
        <v>4407</v>
      </c>
      <c r="K944" s="179" t="s">
        <v>2041</v>
      </c>
      <c r="L944" s="188"/>
      <c r="M944" s="34"/>
    </row>
    <row r="945" spans="1:13">
      <c r="A945" s="140">
        <v>2015</v>
      </c>
      <c r="B945" s="179" t="s">
        <v>4408</v>
      </c>
      <c r="C945" s="112" t="s">
        <v>61</v>
      </c>
      <c r="D945" s="180" t="s">
        <v>1383</v>
      </c>
      <c r="E945" s="115" t="s">
        <v>1859</v>
      </c>
      <c r="F945" s="180"/>
      <c r="G945" s="179" t="s">
        <v>4409</v>
      </c>
      <c r="H945" s="179" t="s">
        <v>4410</v>
      </c>
      <c r="I945" s="194">
        <v>100000</v>
      </c>
      <c r="J945" s="179"/>
      <c r="K945" s="6" t="s">
        <v>1886</v>
      </c>
      <c r="L945" s="188"/>
      <c r="M945" s="34"/>
    </row>
    <row r="946" spans="1:13">
      <c r="A946" s="140">
        <v>2015</v>
      </c>
      <c r="B946" s="179" t="s">
        <v>4411</v>
      </c>
      <c r="C946" s="112" t="s">
        <v>61</v>
      </c>
      <c r="D946" s="180" t="s">
        <v>1763</v>
      </c>
      <c r="E946" s="115" t="s">
        <v>1859</v>
      </c>
      <c r="F946" s="180"/>
      <c r="G946" s="179" t="s">
        <v>4412</v>
      </c>
      <c r="H946" s="179" t="s">
        <v>4413</v>
      </c>
      <c r="I946" s="194">
        <v>21600</v>
      </c>
      <c r="J946" s="179" t="s">
        <v>4414</v>
      </c>
      <c r="K946" s="179" t="s">
        <v>2047</v>
      </c>
      <c r="L946" s="188"/>
      <c r="M946" s="34"/>
    </row>
    <row r="947" spans="1:13">
      <c r="A947" s="140">
        <v>2015</v>
      </c>
      <c r="B947" s="179" t="s">
        <v>4415</v>
      </c>
      <c r="C947" s="112" t="s">
        <v>61</v>
      </c>
      <c r="D947" s="180" t="s">
        <v>3092</v>
      </c>
      <c r="E947" s="6" t="s">
        <v>1904</v>
      </c>
      <c r="F947" s="180"/>
      <c r="G947" s="179" t="s">
        <v>4416</v>
      </c>
      <c r="H947" s="179" t="s">
        <v>4417</v>
      </c>
      <c r="I947" s="194">
        <v>48000</v>
      </c>
      <c r="J947" s="179" t="s">
        <v>4418</v>
      </c>
      <c r="K947" s="179" t="s">
        <v>1899</v>
      </c>
      <c r="L947" s="188"/>
      <c r="M947" s="34"/>
    </row>
    <row r="948" spans="1:13">
      <c r="A948" s="140">
        <v>2015</v>
      </c>
      <c r="B948" s="179" t="s">
        <v>4419</v>
      </c>
      <c r="C948" s="112" t="s">
        <v>61</v>
      </c>
      <c r="D948" s="180" t="s">
        <v>3092</v>
      </c>
      <c r="E948" s="6" t="s">
        <v>1904</v>
      </c>
      <c r="F948" s="180"/>
      <c r="G948" s="179" t="s">
        <v>4416</v>
      </c>
      <c r="H948" s="179" t="s">
        <v>4420</v>
      </c>
      <c r="I948" s="194">
        <v>48000</v>
      </c>
      <c r="J948" s="179" t="s">
        <v>4421</v>
      </c>
      <c r="K948" s="179" t="s">
        <v>1899</v>
      </c>
      <c r="L948" s="188"/>
      <c r="M948" s="34"/>
    </row>
    <row r="949" spans="1:13">
      <c r="A949" s="140">
        <v>2015</v>
      </c>
      <c r="B949" s="179" t="s">
        <v>4422</v>
      </c>
      <c r="C949" s="112" t="s">
        <v>61</v>
      </c>
      <c r="D949" s="180" t="s">
        <v>1383</v>
      </c>
      <c r="E949" s="115" t="s">
        <v>1859</v>
      </c>
      <c r="F949" s="180"/>
      <c r="G949" s="179" t="s">
        <v>4423</v>
      </c>
      <c r="H949" s="179" t="s">
        <v>4424</v>
      </c>
      <c r="I949" s="194">
        <v>26000</v>
      </c>
      <c r="J949" s="179" t="s">
        <v>4425</v>
      </c>
      <c r="K949" s="6" t="s">
        <v>1886</v>
      </c>
      <c r="L949" s="188"/>
      <c r="M949" s="34"/>
    </row>
    <row r="950" spans="1:13">
      <c r="A950" s="140">
        <v>2015</v>
      </c>
      <c r="B950" s="179" t="s">
        <v>4426</v>
      </c>
      <c r="C950" s="112" t="s">
        <v>61</v>
      </c>
      <c r="D950" s="180" t="s">
        <v>1383</v>
      </c>
      <c r="E950" s="115" t="s">
        <v>1859</v>
      </c>
      <c r="F950" s="180"/>
      <c r="G950" s="179" t="s">
        <v>4427</v>
      </c>
      <c r="H950" s="179" t="s">
        <v>4428</v>
      </c>
      <c r="I950" s="194">
        <v>42000</v>
      </c>
      <c r="J950" s="179"/>
      <c r="K950" s="179" t="s">
        <v>1828</v>
      </c>
      <c r="L950" s="188"/>
      <c r="M950" s="34"/>
    </row>
    <row r="951" spans="1:13">
      <c r="A951" s="140">
        <v>2015</v>
      </c>
      <c r="B951" s="179" t="s">
        <v>4429</v>
      </c>
      <c r="C951" s="112" t="s">
        <v>61</v>
      </c>
      <c r="D951" s="180" t="s">
        <v>394</v>
      </c>
      <c r="E951" s="115" t="s">
        <v>1853</v>
      </c>
      <c r="F951" s="180"/>
      <c r="G951" s="179" t="s">
        <v>4430</v>
      </c>
      <c r="H951" s="179" t="s">
        <v>4431</v>
      </c>
      <c r="I951" s="194">
        <v>64000</v>
      </c>
      <c r="J951" s="179" t="s">
        <v>4414</v>
      </c>
      <c r="K951" s="179" t="s">
        <v>2047</v>
      </c>
      <c r="L951" s="188"/>
      <c r="M951" s="34"/>
    </row>
    <row r="952" spans="1:13">
      <c r="A952" s="140">
        <v>2015</v>
      </c>
      <c r="B952" s="179" t="s">
        <v>4432</v>
      </c>
      <c r="C952" s="112" t="s">
        <v>61</v>
      </c>
      <c r="D952" s="22" t="s">
        <v>586</v>
      </c>
      <c r="E952" s="6" t="s">
        <v>1874</v>
      </c>
      <c r="F952" s="22"/>
      <c r="G952" s="179" t="s">
        <v>4433</v>
      </c>
      <c r="H952" s="179" t="s">
        <v>4434</v>
      </c>
      <c r="I952" s="194">
        <v>14390</v>
      </c>
      <c r="J952" s="179" t="s">
        <v>4435</v>
      </c>
      <c r="K952" s="179" t="s">
        <v>1828</v>
      </c>
      <c r="L952" s="188"/>
      <c r="M952" s="34"/>
    </row>
    <row r="953" spans="1:13">
      <c r="A953" s="140">
        <v>2015</v>
      </c>
      <c r="B953" s="179" t="s">
        <v>4436</v>
      </c>
      <c r="C953" s="112" t="s">
        <v>61</v>
      </c>
      <c r="D953" s="197" t="s">
        <v>3168</v>
      </c>
      <c r="E953" s="115" t="s">
        <v>1859</v>
      </c>
      <c r="F953" s="197"/>
      <c r="G953" s="179" t="s">
        <v>4437</v>
      </c>
      <c r="H953" s="179" t="s">
        <v>4438</v>
      </c>
      <c r="I953" s="194">
        <v>77550</v>
      </c>
      <c r="J953" s="179" t="s">
        <v>4439</v>
      </c>
      <c r="K953" s="179" t="s">
        <v>1828</v>
      </c>
      <c r="L953" s="188"/>
      <c r="M953" s="34"/>
    </row>
    <row r="954" spans="1:13">
      <c r="A954" s="140">
        <v>2015</v>
      </c>
      <c r="B954" s="179" t="s">
        <v>4440</v>
      </c>
      <c r="C954" s="112" t="s">
        <v>61</v>
      </c>
      <c r="D954" s="180" t="s">
        <v>1383</v>
      </c>
      <c r="E954" s="115" t="s">
        <v>1859</v>
      </c>
      <c r="F954" s="180"/>
      <c r="G954" s="179" t="s">
        <v>4441</v>
      </c>
      <c r="H954" s="179" t="s">
        <v>4442</v>
      </c>
      <c r="I954" s="194">
        <v>50000</v>
      </c>
      <c r="J954" s="179" t="s">
        <v>4443</v>
      </c>
      <c r="K954" s="179" t="s">
        <v>1828</v>
      </c>
      <c r="L954" s="188"/>
      <c r="M954" s="34"/>
    </row>
    <row r="955" spans="1:13">
      <c r="A955" s="140">
        <v>2015</v>
      </c>
      <c r="B955" s="179" t="s">
        <v>4444</v>
      </c>
      <c r="C955" s="112" t="s">
        <v>61</v>
      </c>
      <c r="D955" s="180" t="s">
        <v>1383</v>
      </c>
      <c r="E955" s="115" t="s">
        <v>1859</v>
      </c>
      <c r="F955" s="180"/>
      <c r="G955" s="179" t="s">
        <v>4445</v>
      </c>
      <c r="H955" s="179" t="s">
        <v>4446</v>
      </c>
      <c r="I955" s="194">
        <v>25000</v>
      </c>
      <c r="J955" s="179" t="s">
        <v>4447</v>
      </c>
      <c r="K955" s="179" t="s">
        <v>2031</v>
      </c>
      <c r="L955" s="188"/>
      <c r="M955" s="34"/>
    </row>
    <row r="956" spans="1:13">
      <c r="A956" s="140">
        <v>2015</v>
      </c>
      <c r="B956" s="179" t="s">
        <v>4448</v>
      </c>
      <c r="C956" s="112" t="s">
        <v>61</v>
      </c>
      <c r="D956" s="180" t="s">
        <v>394</v>
      </c>
      <c r="E956" s="115" t="s">
        <v>1853</v>
      </c>
      <c r="F956" s="180"/>
      <c r="G956" s="179" t="s">
        <v>4449</v>
      </c>
      <c r="H956" s="179" t="s">
        <v>4450</v>
      </c>
      <c r="I956" s="194">
        <v>107900</v>
      </c>
      <c r="J956" s="179" t="s">
        <v>3500</v>
      </c>
      <c r="K956" s="179" t="s">
        <v>1828</v>
      </c>
      <c r="L956" s="188"/>
      <c r="M956" s="34"/>
    </row>
    <row r="957" spans="1:13">
      <c r="A957" s="140">
        <v>2015</v>
      </c>
      <c r="B957" s="179" t="s">
        <v>4451</v>
      </c>
      <c r="C957" s="112" t="s">
        <v>61</v>
      </c>
      <c r="D957" s="180" t="s">
        <v>3168</v>
      </c>
      <c r="E957" s="115" t="s">
        <v>1859</v>
      </c>
      <c r="F957" s="180"/>
      <c r="G957" s="179" t="s">
        <v>4452</v>
      </c>
      <c r="H957" s="179" t="s">
        <v>4453</v>
      </c>
      <c r="I957" s="194">
        <v>61500</v>
      </c>
      <c r="J957" s="179" t="s">
        <v>4454</v>
      </c>
      <c r="K957" s="179" t="s">
        <v>1828</v>
      </c>
      <c r="L957" s="188"/>
      <c r="M957" s="34"/>
    </row>
    <row r="958" spans="1:13">
      <c r="A958" s="140">
        <v>2015</v>
      </c>
      <c r="B958" s="179" t="s">
        <v>4455</v>
      </c>
      <c r="C958" s="112" t="s">
        <v>61</v>
      </c>
      <c r="D958" s="180" t="s">
        <v>1141</v>
      </c>
      <c r="E958" s="6" t="s">
        <v>1904</v>
      </c>
      <c r="F958" s="180"/>
      <c r="G958" s="179" t="s">
        <v>4456</v>
      </c>
      <c r="H958" s="179" t="s">
        <v>4457</v>
      </c>
      <c r="I958" s="194">
        <v>30110</v>
      </c>
      <c r="J958" s="179" t="s">
        <v>4458</v>
      </c>
      <c r="K958" s="6" t="s">
        <v>1886</v>
      </c>
      <c r="L958" s="188"/>
      <c r="M958" s="34"/>
    </row>
    <row r="959" spans="1:13">
      <c r="A959" s="140">
        <v>2015</v>
      </c>
      <c r="B959" s="179" t="s">
        <v>4459</v>
      </c>
      <c r="C959" s="112" t="s">
        <v>61</v>
      </c>
      <c r="D959" s="180" t="s">
        <v>2993</v>
      </c>
      <c r="E959" s="6"/>
      <c r="F959" s="180"/>
      <c r="G959" s="179" t="s">
        <v>4460</v>
      </c>
      <c r="H959" s="179" t="s">
        <v>4461</v>
      </c>
      <c r="I959" s="194">
        <v>81000</v>
      </c>
      <c r="J959" s="179" t="s">
        <v>4462</v>
      </c>
      <c r="K959" s="179" t="s">
        <v>1896</v>
      </c>
      <c r="L959" s="188"/>
      <c r="M959" s="34"/>
    </row>
    <row r="960" spans="1:13">
      <c r="A960" s="140">
        <v>2015</v>
      </c>
      <c r="B960" s="179" t="s">
        <v>4463</v>
      </c>
      <c r="C960" s="112" t="s">
        <v>61</v>
      </c>
      <c r="D960" s="180" t="s">
        <v>3092</v>
      </c>
      <c r="E960" s="6" t="s">
        <v>1904</v>
      </c>
      <c r="F960" s="180"/>
      <c r="G960" s="179" t="s">
        <v>4464</v>
      </c>
      <c r="H960" s="179" t="s">
        <v>4465</v>
      </c>
      <c r="I960" s="194">
        <v>86000</v>
      </c>
      <c r="J960" s="179" t="s">
        <v>4466</v>
      </c>
      <c r="K960" s="179" t="s">
        <v>2051</v>
      </c>
      <c r="L960" s="188"/>
      <c r="M960" s="34"/>
    </row>
    <row r="961" spans="1:13">
      <c r="A961" s="140">
        <v>2015</v>
      </c>
      <c r="B961" s="179" t="s">
        <v>4467</v>
      </c>
      <c r="C961" s="112" t="s">
        <v>61</v>
      </c>
      <c r="D961" s="180" t="s">
        <v>3092</v>
      </c>
      <c r="E961" s="6" t="s">
        <v>1904</v>
      </c>
      <c r="F961" s="180"/>
      <c r="G961" s="179" t="s">
        <v>4468</v>
      </c>
      <c r="H961" s="179" t="s">
        <v>4469</v>
      </c>
      <c r="I961" s="194">
        <v>94600</v>
      </c>
      <c r="J961" s="179" t="s">
        <v>4470</v>
      </c>
      <c r="K961" s="179" t="s">
        <v>1899</v>
      </c>
      <c r="L961" s="188"/>
      <c r="M961" s="34"/>
    </row>
    <row r="962" spans="1:13">
      <c r="A962" s="140">
        <v>2015</v>
      </c>
      <c r="B962" s="179" t="s">
        <v>4471</v>
      </c>
      <c r="C962" s="112" t="s">
        <v>61</v>
      </c>
      <c r="D962" s="180" t="s">
        <v>1383</v>
      </c>
      <c r="E962" s="115" t="s">
        <v>1859</v>
      </c>
      <c r="F962" s="180"/>
      <c r="G962" s="179" t="s">
        <v>4472</v>
      </c>
      <c r="H962" s="179" t="s">
        <v>811</v>
      </c>
      <c r="I962" s="194">
        <v>47000</v>
      </c>
      <c r="J962" s="179" t="s">
        <v>4382</v>
      </c>
      <c r="K962" s="179" t="s">
        <v>1828</v>
      </c>
      <c r="L962" s="188"/>
      <c r="M962" s="34"/>
    </row>
    <row r="963" spans="1:13">
      <c r="A963" s="140">
        <v>2015</v>
      </c>
      <c r="B963" s="179" t="s">
        <v>4473</v>
      </c>
      <c r="C963" s="112" t="s">
        <v>61</v>
      </c>
      <c r="D963" s="180" t="s">
        <v>1141</v>
      </c>
      <c r="E963" s="6" t="s">
        <v>1904</v>
      </c>
      <c r="F963" s="180"/>
      <c r="G963" s="179" t="s">
        <v>4474</v>
      </c>
      <c r="H963" s="179" t="s">
        <v>4475</v>
      </c>
      <c r="I963" s="194">
        <v>54820</v>
      </c>
      <c r="J963" s="179" t="s">
        <v>4476</v>
      </c>
      <c r="K963" s="6" t="s">
        <v>1886</v>
      </c>
      <c r="L963" s="188"/>
      <c r="M963" s="34"/>
    </row>
    <row r="964" spans="1:13">
      <c r="A964" s="140">
        <v>2015</v>
      </c>
      <c r="B964" s="179" t="s">
        <v>4477</v>
      </c>
      <c r="C964" s="112" t="s">
        <v>61</v>
      </c>
      <c r="D964" s="180" t="s">
        <v>1141</v>
      </c>
      <c r="E964" s="6" t="s">
        <v>1904</v>
      </c>
      <c r="F964" s="180"/>
      <c r="G964" s="179" t="s">
        <v>4478</v>
      </c>
      <c r="H964" s="179" t="s">
        <v>4479</v>
      </c>
      <c r="I964" s="194">
        <v>83912</v>
      </c>
      <c r="J964" s="179" t="s">
        <v>4480</v>
      </c>
      <c r="K964" s="179" t="s">
        <v>2051</v>
      </c>
      <c r="L964" s="188"/>
      <c r="M964" s="34"/>
    </row>
    <row r="965" spans="1:13">
      <c r="A965" s="140">
        <v>2015</v>
      </c>
      <c r="B965" s="179" t="s">
        <v>4481</v>
      </c>
      <c r="C965" s="112" t="s">
        <v>61</v>
      </c>
      <c r="D965" s="180" t="s">
        <v>1383</v>
      </c>
      <c r="E965" s="115" t="s">
        <v>1859</v>
      </c>
      <c r="F965" s="180"/>
      <c r="G965" s="179" t="s">
        <v>4482</v>
      </c>
      <c r="H965" s="179" t="s">
        <v>4483</v>
      </c>
      <c r="I965" s="194">
        <v>67200</v>
      </c>
      <c r="J965" s="179"/>
      <c r="K965" s="179" t="s">
        <v>1828</v>
      </c>
      <c r="L965" s="188"/>
      <c r="M965" s="34"/>
    </row>
    <row r="966" spans="1:13">
      <c r="A966" s="22">
        <v>2014</v>
      </c>
      <c r="B966" s="185">
        <v>41640</v>
      </c>
      <c r="C966" s="112" t="s">
        <v>61</v>
      </c>
      <c r="D966" s="180" t="s">
        <v>1383</v>
      </c>
      <c r="E966" s="115" t="s">
        <v>1859</v>
      </c>
      <c r="F966" s="180"/>
      <c r="G966" s="178" t="s">
        <v>4484</v>
      </c>
      <c r="H966" s="178" t="s">
        <v>4485</v>
      </c>
      <c r="I966" s="194">
        <v>336300</v>
      </c>
      <c r="J966" s="187"/>
      <c r="K966" s="198" t="s">
        <v>2041</v>
      </c>
      <c r="L966" s="188"/>
      <c r="M966" s="34"/>
    </row>
    <row r="967" spans="1:13">
      <c r="A967" s="22">
        <v>2014</v>
      </c>
      <c r="B967" s="185">
        <v>41671</v>
      </c>
      <c r="C967" s="112" t="s">
        <v>61</v>
      </c>
      <c r="D967" s="180" t="s">
        <v>1383</v>
      </c>
      <c r="E967" s="115" t="s">
        <v>1859</v>
      </c>
      <c r="F967" s="180"/>
      <c r="G967" s="179" t="s">
        <v>4486</v>
      </c>
      <c r="H967" s="179" t="s">
        <v>2331</v>
      </c>
      <c r="I967" s="194">
        <v>2023600</v>
      </c>
      <c r="J967" s="187" t="s">
        <v>4487</v>
      </c>
      <c r="K967" s="179" t="s">
        <v>1828</v>
      </c>
      <c r="L967" s="188"/>
      <c r="M967" s="34"/>
    </row>
    <row r="968" spans="1:13">
      <c r="A968" s="22">
        <v>2014</v>
      </c>
      <c r="B968" s="185">
        <v>41699</v>
      </c>
      <c r="C968" s="112" t="s">
        <v>61</v>
      </c>
      <c r="D968" s="22" t="s">
        <v>62</v>
      </c>
      <c r="E968" s="6" t="s">
        <v>1904</v>
      </c>
      <c r="F968" s="22"/>
      <c r="G968" s="179" t="s">
        <v>4488</v>
      </c>
      <c r="H968" s="189" t="s">
        <v>4489</v>
      </c>
      <c r="I968" s="194">
        <v>491892</v>
      </c>
      <c r="J968" s="187" t="s">
        <v>4490</v>
      </c>
      <c r="K968" s="179" t="s">
        <v>1828</v>
      </c>
      <c r="L968" s="188"/>
      <c r="M968" s="34"/>
    </row>
    <row r="969" spans="1:13">
      <c r="A969" s="22">
        <v>2014</v>
      </c>
      <c r="B969" s="185">
        <v>41730</v>
      </c>
      <c r="C969" s="112" t="s">
        <v>61</v>
      </c>
      <c r="D969" s="180" t="s">
        <v>4151</v>
      </c>
      <c r="E969" s="6" t="s">
        <v>1874</v>
      </c>
      <c r="F969" s="180"/>
      <c r="G969" s="179" t="s">
        <v>4491</v>
      </c>
      <c r="H969" s="179" t="s">
        <v>2331</v>
      </c>
      <c r="I969" s="194">
        <v>178000</v>
      </c>
      <c r="J969" s="187" t="s">
        <v>4487</v>
      </c>
      <c r="K969" s="179" t="s">
        <v>1828</v>
      </c>
      <c r="L969" s="188"/>
      <c r="M969" s="34"/>
    </row>
    <row r="970" spans="1:13">
      <c r="A970" s="22">
        <v>2014</v>
      </c>
      <c r="B970" s="185">
        <v>41760</v>
      </c>
      <c r="C970" s="112" t="s">
        <v>3096</v>
      </c>
      <c r="D970" s="179" t="s">
        <v>3075</v>
      </c>
      <c r="E970" s="6"/>
      <c r="F970" s="180"/>
      <c r="G970" s="179" t="s">
        <v>4492</v>
      </c>
      <c r="H970" s="179" t="s">
        <v>4493</v>
      </c>
      <c r="I970" s="194"/>
      <c r="J970" s="187" t="s">
        <v>4487</v>
      </c>
      <c r="K970" s="179" t="s">
        <v>1828</v>
      </c>
      <c r="L970" s="188"/>
      <c r="M970" s="34"/>
    </row>
    <row r="971" spans="1:13">
      <c r="A971" s="22">
        <v>2014</v>
      </c>
      <c r="B971" s="185">
        <v>41791</v>
      </c>
      <c r="C971" s="112" t="s">
        <v>61</v>
      </c>
      <c r="D971" s="180" t="s">
        <v>68</v>
      </c>
      <c r="E971" s="6" t="s">
        <v>1874</v>
      </c>
      <c r="F971" s="180"/>
      <c r="G971" s="179" t="s">
        <v>4494</v>
      </c>
      <c r="H971" s="179" t="s">
        <v>4495</v>
      </c>
      <c r="I971" s="194">
        <v>880971</v>
      </c>
      <c r="J971" s="187" t="s">
        <v>4496</v>
      </c>
      <c r="K971" s="179" t="s">
        <v>1828</v>
      </c>
      <c r="L971" s="188"/>
      <c r="M971" s="34"/>
    </row>
    <row r="972" spans="1:13">
      <c r="A972" s="22">
        <v>2014</v>
      </c>
      <c r="B972" s="192">
        <v>41821</v>
      </c>
      <c r="C972" s="112" t="s">
        <v>61</v>
      </c>
      <c r="D972" s="180" t="s">
        <v>3075</v>
      </c>
      <c r="E972" s="6"/>
      <c r="F972" s="180"/>
      <c r="G972" s="179" t="s">
        <v>4497</v>
      </c>
      <c r="H972" s="179" t="s">
        <v>4498</v>
      </c>
      <c r="I972" s="194">
        <v>400000</v>
      </c>
      <c r="J972" s="187" t="s">
        <v>4487</v>
      </c>
      <c r="K972" s="179" t="s">
        <v>1828</v>
      </c>
      <c r="L972" s="188"/>
      <c r="M972" s="34"/>
    </row>
    <row r="973" spans="1:13">
      <c r="A973" s="22">
        <v>2014</v>
      </c>
      <c r="B973" s="185">
        <v>41852</v>
      </c>
      <c r="C973" s="112" t="s">
        <v>61</v>
      </c>
      <c r="D973" s="180" t="s">
        <v>1383</v>
      </c>
      <c r="E973" s="115" t="s">
        <v>1859</v>
      </c>
      <c r="F973" s="180"/>
      <c r="G973" s="178" t="s">
        <v>4499</v>
      </c>
      <c r="H973" s="178" t="s">
        <v>4500</v>
      </c>
      <c r="I973" s="193">
        <v>200000</v>
      </c>
      <c r="J973" s="187" t="s">
        <v>4487</v>
      </c>
      <c r="K973" s="179" t="s">
        <v>1828</v>
      </c>
      <c r="L973" s="188"/>
      <c r="M973" s="34"/>
    </row>
    <row r="974" spans="1:13">
      <c r="A974" s="22">
        <v>2014</v>
      </c>
      <c r="B974" s="185">
        <v>41883</v>
      </c>
      <c r="C974" s="112" t="s">
        <v>61</v>
      </c>
      <c r="D974" s="180" t="s">
        <v>1383</v>
      </c>
      <c r="E974" s="115" t="s">
        <v>1859</v>
      </c>
      <c r="F974" s="180"/>
      <c r="G974" s="179" t="s">
        <v>4501</v>
      </c>
      <c r="H974" s="179" t="s">
        <v>4502</v>
      </c>
      <c r="I974" s="194">
        <v>200000</v>
      </c>
      <c r="J974" s="187" t="s">
        <v>4487</v>
      </c>
      <c r="K974" s="179" t="s">
        <v>1828</v>
      </c>
      <c r="L974" s="188"/>
      <c r="M974" s="34"/>
    </row>
    <row r="975" spans="1:13">
      <c r="A975" s="22">
        <v>2014</v>
      </c>
      <c r="B975" s="192">
        <v>41913</v>
      </c>
      <c r="C975" s="112" t="s">
        <v>61</v>
      </c>
      <c r="D975" s="180" t="s">
        <v>1383</v>
      </c>
      <c r="E975" s="115" t="s">
        <v>1859</v>
      </c>
      <c r="F975" s="180"/>
      <c r="G975" s="179" t="s">
        <v>4503</v>
      </c>
      <c r="H975" s="179" t="s">
        <v>2171</v>
      </c>
      <c r="I975" s="194">
        <v>750000</v>
      </c>
      <c r="J975" s="187" t="s">
        <v>4504</v>
      </c>
      <c r="K975" s="179" t="s">
        <v>1916</v>
      </c>
      <c r="L975" s="188"/>
      <c r="M975" s="34"/>
    </row>
    <row r="976" spans="1:13">
      <c r="A976" s="22">
        <v>2014</v>
      </c>
      <c r="B976" s="192">
        <v>41944</v>
      </c>
      <c r="C976" s="112" t="s">
        <v>61</v>
      </c>
      <c r="D976" s="180" t="s">
        <v>3168</v>
      </c>
      <c r="E976" s="115" t="s">
        <v>1859</v>
      </c>
      <c r="F976" s="180"/>
      <c r="G976" s="179" t="s">
        <v>4505</v>
      </c>
      <c r="H976" s="179" t="s">
        <v>4506</v>
      </c>
      <c r="I976" s="194">
        <v>235000</v>
      </c>
      <c r="J976" s="187" t="s">
        <v>2508</v>
      </c>
      <c r="K976" s="179" t="s">
        <v>1828</v>
      </c>
      <c r="L976" s="188"/>
      <c r="M976" s="34"/>
    </row>
    <row r="977" spans="1:13">
      <c r="A977" s="22">
        <v>2014</v>
      </c>
      <c r="B977" s="179" t="s">
        <v>4507</v>
      </c>
      <c r="C977" s="112" t="s">
        <v>61</v>
      </c>
      <c r="D977" s="180" t="s">
        <v>1383</v>
      </c>
      <c r="E977" s="115" t="s">
        <v>1859</v>
      </c>
      <c r="F977" s="180"/>
      <c r="G977" s="179" t="s">
        <v>4508</v>
      </c>
      <c r="H977" s="179" t="s">
        <v>4509</v>
      </c>
      <c r="I977" s="194">
        <v>200000</v>
      </c>
      <c r="J977" s="179" t="s">
        <v>3686</v>
      </c>
      <c r="K977" s="6" t="s">
        <v>1886</v>
      </c>
      <c r="L977" s="188"/>
      <c r="M977" s="34"/>
    </row>
    <row r="978" spans="1:13">
      <c r="A978" s="22">
        <v>2014</v>
      </c>
      <c r="B978" s="179" t="s">
        <v>4510</v>
      </c>
      <c r="C978" s="112" t="s">
        <v>61</v>
      </c>
      <c r="D978" s="180" t="s">
        <v>1383</v>
      </c>
      <c r="E978" s="115" t="s">
        <v>1859</v>
      </c>
      <c r="F978" s="180"/>
      <c r="G978" s="179" t="s">
        <v>4511</v>
      </c>
      <c r="H978" s="178" t="s">
        <v>4512</v>
      </c>
      <c r="I978" s="194">
        <v>200000</v>
      </c>
      <c r="J978" s="179"/>
      <c r="K978" s="179" t="s">
        <v>1828</v>
      </c>
      <c r="L978" s="188"/>
      <c r="M978" s="34"/>
    </row>
    <row r="979" spans="1:13">
      <c r="A979" s="22">
        <v>2014</v>
      </c>
      <c r="B979" s="179" t="s">
        <v>4513</v>
      </c>
      <c r="C979" s="112" t="s">
        <v>61</v>
      </c>
      <c r="D979" s="180" t="s">
        <v>1383</v>
      </c>
      <c r="E979" s="115" t="s">
        <v>1859</v>
      </c>
      <c r="F979" s="180"/>
      <c r="G979" s="179" t="s">
        <v>4514</v>
      </c>
      <c r="H979" s="178" t="s">
        <v>4515</v>
      </c>
      <c r="I979" s="194">
        <v>200000</v>
      </c>
      <c r="J979" s="187" t="s">
        <v>2293</v>
      </c>
      <c r="K979" s="6" t="s">
        <v>1886</v>
      </c>
      <c r="L979" s="188"/>
      <c r="M979" s="34"/>
    </row>
    <row r="980" spans="1:13">
      <c r="A980" s="22">
        <v>2014</v>
      </c>
      <c r="B980" s="179" t="s">
        <v>4516</v>
      </c>
      <c r="C980" s="112" t="s">
        <v>61</v>
      </c>
      <c r="D980" s="22" t="s">
        <v>62</v>
      </c>
      <c r="E980" s="6" t="s">
        <v>1904</v>
      </c>
      <c r="F980" s="22"/>
      <c r="G980" s="178" t="s">
        <v>4517</v>
      </c>
      <c r="H980" s="179" t="s">
        <v>4518</v>
      </c>
      <c r="I980" s="194">
        <v>494491</v>
      </c>
      <c r="J980" s="179" t="s">
        <v>4519</v>
      </c>
      <c r="K980" s="179" t="s">
        <v>1828</v>
      </c>
      <c r="L980" s="188"/>
      <c r="M980" s="34"/>
    </row>
    <row r="981" spans="1:13">
      <c r="A981" s="22">
        <v>2014</v>
      </c>
      <c r="B981" s="179" t="s">
        <v>4520</v>
      </c>
      <c r="C981" s="112" t="s">
        <v>2406</v>
      </c>
      <c r="D981" s="190" t="s">
        <v>62</v>
      </c>
      <c r="E981" s="6"/>
      <c r="F981" s="191"/>
      <c r="G981" s="179" t="s">
        <v>4522</v>
      </c>
      <c r="H981" s="179" t="s">
        <v>4523</v>
      </c>
      <c r="I981" s="199" t="s">
        <v>4521</v>
      </c>
      <c r="J981" s="179"/>
      <c r="K981" s="190" t="s">
        <v>1919</v>
      </c>
      <c r="L981" s="188"/>
      <c r="M981" s="34"/>
    </row>
    <row r="982" spans="1:13">
      <c r="A982" s="22">
        <v>2014</v>
      </c>
      <c r="B982" s="179" t="s">
        <v>4524</v>
      </c>
      <c r="C982" s="112" t="s">
        <v>61</v>
      </c>
      <c r="D982" s="180" t="s">
        <v>1383</v>
      </c>
      <c r="E982" s="115" t="s">
        <v>1859</v>
      </c>
      <c r="F982" s="180"/>
      <c r="G982" s="179" t="s">
        <v>4525</v>
      </c>
      <c r="H982" s="179" t="s">
        <v>4526</v>
      </c>
      <c r="I982" s="194">
        <v>200000</v>
      </c>
      <c r="J982" s="179" t="s">
        <v>4487</v>
      </c>
      <c r="K982" s="179" t="s">
        <v>1828</v>
      </c>
      <c r="L982" s="188"/>
      <c r="M982" s="34"/>
    </row>
    <row r="983" spans="1:13">
      <c r="A983" s="22">
        <v>2014</v>
      </c>
      <c r="B983" s="179" t="s">
        <v>4527</v>
      </c>
      <c r="C983" s="112" t="s">
        <v>61</v>
      </c>
      <c r="D983" s="180" t="s">
        <v>1383</v>
      </c>
      <c r="E983" s="115" t="s">
        <v>1859</v>
      </c>
      <c r="F983" s="180"/>
      <c r="G983" s="179" t="s">
        <v>4528</v>
      </c>
      <c r="H983" s="179" t="s">
        <v>4529</v>
      </c>
      <c r="I983" s="195">
        <v>320000</v>
      </c>
      <c r="J983" s="179"/>
      <c r="K983" s="200" t="s">
        <v>1919</v>
      </c>
      <c r="L983" s="188"/>
      <c r="M983" s="34"/>
    </row>
    <row r="984" spans="1:13">
      <c r="A984" s="22">
        <v>2014</v>
      </c>
      <c r="B984" s="179" t="s">
        <v>4530</v>
      </c>
      <c r="C984" s="112" t="s">
        <v>4174</v>
      </c>
      <c r="D984" s="179" t="s">
        <v>2724</v>
      </c>
      <c r="E984" s="6" t="s">
        <v>1874</v>
      </c>
      <c r="F984" s="180"/>
      <c r="G984" s="179" t="s">
        <v>4531</v>
      </c>
      <c r="H984" s="179" t="s">
        <v>4493</v>
      </c>
      <c r="I984" s="194">
        <v>250000</v>
      </c>
      <c r="J984" s="187" t="s">
        <v>4487</v>
      </c>
      <c r="K984" s="179" t="s">
        <v>1828</v>
      </c>
      <c r="L984" s="188"/>
      <c r="M984" s="34"/>
    </row>
    <row r="985" spans="1:13">
      <c r="A985" s="22">
        <v>2014</v>
      </c>
      <c r="B985" s="179" t="s">
        <v>4532</v>
      </c>
      <c r="C985" s="112" t="s">
        <v>61</v>
      </c>
      <c r="D985" s="180" t="s">
        <v>1383</v>
      </c>
      <c r="E985" s="115" t="s">
        <v>1859</v>
      </c>
      <c r="F985" s="180"/>
      <c r="G985" s="179" t="s">
        <v>4533</v>
      </c>
      <c r="H985" s="179" t="s">
        <v>4534</v>
      </c>
      <c r="I985" s="195">
        <v>800000</v>
      </c>
      <c r="J985" s="187"/>
      <c r="K985" s="179" t="s">
        <v>1896</v>
      </c>
      <c r="L985" s="188"/>
      <c r="M985" s="34"/>
    </row>
    <row r="986" spans="1:13">
      <c r="A986" s="22">
        <v>2014</v>
      </c>
      <c r="B986" s="179" t="s">
        <v>4535</v>
      </c>
      <c r="C986" s="112" t="s">
        <v>61</v>
      </c>
      <c r="D986" s="180" t="s">
        <v>3092</v>
      </c>
      <c r="E986" s="6" t="s">
        <v>1904</v>
      </c>
      <c r="F986" s="180"/>
      <c r="G986" s="179" t="s">
        <v>4536</v>
      </c>
      <c r="H986" s="179" t="s">
        <v>4537</v>
      </c>
      <c r="I986" s="194">
        <v>522000</v>
      </c>
      <c r="J986" s="187" t="s">
        <v>4538</v>
      </c>
      <c r="K986" s="6" t="s">
        <v>1886</v>
      </c>
      <c r="L986" s="188"/>
      <c r="M986" s="34"/>
    </row>
    <row r="987" spans="1:13">
      <c r="A987" s="22">
        <v>2014</v>
      </c>
      <c r="B987" s="179" t="s">
        <v>4539</v>
      </c>
      <c r="C987" s="112" t="s">
        <v>61</v>
      </c>
      <c r="D987" s="180" t="s">
        <v>1383</v>
      </c>
      <c r="E987" s="115" t="s">
        <v>1859</v>
      </c>
      <c r="F987" s="180"/>
      <c r="G987" s="179" t="s">
        <v>4540</v>
      </c>
      <c r="H987" s="179" t="s">
        <v>4541</v>
      </c>
      <c r="I987" s="194">
        <v>850000</v>
      </c>
      <c r="J987" s="201" t="s">
        <v>4542</v>
      </c>
      <c r="K987" s="179" t="s">
        <v>1855</v>
      </c>
      <c r="L987" s="188"/>
      <c r="M987" s="34"/>
    </row>
    <row r="988" spans="1:13">
      <c r="A988" s="22">
        <v>2014</v>
      </c>
      <c r="B988" s="179" t="s">
        <v>4543</v>
      </c>
      <c r="C988" s="112" t="s">
        <v>61</v>
      </c>
      <c r="D988" s="180" t="s">
        <v>652</v>
      </c>
      <c r="E988" s="6" t="s">
        <v>1874</v>
      </c>
      <c r="F988" s="180"/>
      <c r="G988" s="179" t="s">
        <v>4544</v>
      </c>
      <c r="H988" s="179" t="s">
        <v>12165</v>
      </c>
      <c r="I988" s="194">
        <v>231600</v>
      </c>
      <c r="J988" s="187" t="s">
        <v>4546</v>
      </c>
      <c r="K988" s="179" t="s">
        <v>1919</v>
      </c>
      <c r="L988" s="188"/>
      <c r="M988" s="34"/>
    </row>
    <row r="989" spans="1:13">
      <c r="A989" s="22">
        <v>2014</v>
      </c>
      <c r="B989" s="179" t="s">
        <v>4547</v>
      </c>
      <c r="C989" s="112" t="s">
        <v>61</v>
      </c>
      <c r="D989" s="22" t="s">
        <v>62</v>
      </c>
      <c r="E989" s="6" t="s">
        <v>1904</v>
      </c>
      <c r="F989" s="22"/>
      <c r="G989" s="179" t="s">
        <v>4548</v>
      </c>
      <c r="H989" s="179" t="s">
        <v>4549</v>
      </c>
      <c r="I989" s="194">
        <v>1121750</v>
      </c>
      <c r="J989" s="179" t="s">
        <v>4550</v>
      </c>
      <c r="K989" s="179" t="s">
        <v>1899</v>
      </c>
      <c r="L989" s="188"/>
      <c r="M989" s="34"/>
    </row>
    <row r="990" spans="1:13">
      <c r="A990" s="22">
        <v>2014</v>
      </c>
      <c r="B990" s="179" t="s">
        <v>4551</v>
      </c>
      <c r="C990" s="112" t="s">
        <v>61</v>
      </c>
      <c r="D990" s="22" t="s">
        <v>62</v>
      </c>
      <c r="E990" s="6" t="s">
        <v>1904</v>
      </c>
      <c r="F990" s="22"/>
      <c r="G990" s="179" t="s">
        <v>4552</v>
      </c>
      <c r="H990" s="179" t="s">
        <v>4553</v>
      </c>
      <c r="I990" s="194">
        <v>1000000</v>
      </c>
      <c r="J990" s="179" t="s">
        <v>4554</v>
      </c>
      <c r="K990" s="179" t="s">
        <v>1828</v>
      </c>
      <c r="L990" s="188"/>
      <c r="M990" s="34"/>
    </row>
    <row r="991" spans="1:13">
      <c r="A991" s="22">
        <v>2014</v>
      </c>
      <c r="B991" s="179" t="s">
        <v>4555</v>
      </c>
      <c r="C991" s="112" t="s">
        <v>3096</v>
      </c>
      <c r="D991" s="179" t="s">
        <v>1231</v>
      </c>
      <c r="E991" s="6"/>
      <c r="F991" s="180"/>
      <c r="G991" s="179" t="s">
        <v>4556</v>
      </c>
      <c r="H991" s="179" t="s">
        <v>4557</v>
      </c>
      <c r="I991" s="194">
        <v>200000</v>
      </c>
      <c r="J991" s="179" t="s">
        <v>4558</v>
      </c>
      <c r="K991" s="179" t="s">
        <v>1828</v>
      </c>
      <c r="L991" s="188"/>
      <c r="M991" s="34"/>
    </row>
    <row r="992" spans="1:13">
      <c r="A992" s="22">
        <v>2014</v>
      </c>
      <c r="B992" s="179" t="s">
        <v>4559</v>
      </c>
      <c r="C992" s="112" t="s">
        <v>61</v>
      </c>
      <c r="D992" s="180" t="s">
        <v>1141</v>
      </c>
      <c r="E992" s="6" t="s">
        <v>1904</v>
      </c>
      <c r="F992" s="180"/>
      <c r="G992" s="179" t="s">
        <v>4560</v>
      </c>
      <c r="H992" s="179" t="s">
        <v>4561</v>
      </c>
      <c r="I992" s="194">
        <v>78604</v>
      </c>
      <c r="J992" s="187" t="s">
        <v>4562</v>
      </c>
      <c r="K992" s="6" t="s">
        <v>1886</v>
      </c>
      <c r="L992" s="188"/>
      <c r="M992" s="34"/>
    </row>
    <row r="993" spans="1:13">
      <c r="A993" s="22">
        <v>2014</v>
      </c>
      <c r="B993" s="179" t="s">
        <v>4563</v>
      </c>
      <c r="C993" s="112" t="s">
        <v>61</v>
      </c>
      <c r="D993" s="180" t="s">
        <v>3092</v>
      </c>
      <c r="E993" s="6" t="s">
        <v>1904</v>
      </c>
      <c r="F993" s="180"/>
      <c r="G993" s="179" t="s">
        <v>4564</v>
      </c>
      <c r="H993" s="179" t="s">
        <v>4565</v>
      </c>
      <c r="I993" s="194">
        <v>430000</v>
      </c>
      <c r="J993" s="202" t="s">
        <v>4566</v>
      </c>
      <c r="K993" s="179" t="s">
        <v>1828</v>
      </c>
      <c r="L993" s="188"/>
      <c r="M993" s="34"/>
    </row>
    <row r="994" spans="1:13">
      <c r="A994" s="22">
        <v>2014</v>
      </c>
      <c r="B994" s="179" t="s">
        <v>4567</v>
      </c>
      <c r="C994" s="112" t="s">
        <v>3096</v>
      </c>
      <c r="D994" s="53" t="s">
        <v>3075</v>
      </c>
      <c r="E994" s="6"/>
      <c r="F994" s="143"/>
      <c r="G994" s="179" t="s">
        <v>4568</v>
      </c>
      <c r="H994" s="179" t="s">
        <v>4569</v>
      </c>
      <c r="I994" s="194">
        <v>132000</v>
      </c>
      <c r="J994" s="179" t="s">
        <v>4487</v>
      </c>
      <c r="K994" s="179" t="s">
        <v>1828</v>
      </c>
      <c r="L994" s="188"/>
      <c r="M994" s="34"/>
    </row>
    <row r="995" spans="1:13">
      <c r="A995" s="22">
        <v>2014</v>
      </c>
      <c r="B995" s="179" t="s">
        <v>4570</v>
      </c>
      <c r="C995" s="112" t="s">
        <v>61</v>
      </c>
      <c r="D995" s="22" t="s">
        <v>2993</v>
      </c>
      <c r="E995" s="6"/>
      <c r="F995" s="22"/>
      <c r="G995" s="179" t="s">
        <v>4571</v>
      </c>
      <c r="H995" s="179" t="s">
        <v>12166</v>
      </c>
      <c r="I995" s="194">
        <v>247000</v>
      </c>
      <c r="J995" s="179" t="s">
        <v>4573</v>
      </c>
      <c r="K995" s="179" t="s">
        <v>1896</v>
      </c>
      <c r="L995" s="188"/>
      <c r="M995" s="34"/>
    </row>
    <row r="996" spans="1:13">
      <c r="A996" s="22">
        <v>2014</v>
      </c>
      <c r="B996" s="179" t="s">
        <v>4574</v>
      </c>
      <c r="C996" s="112" t="s">
        <v>61</v>
      </c>
      <c r="D996" s="22" t="s">
        <v>62</v>
      </c>
      <c r="E996" s="6" t="s">
        <v>1904</v>
      </c>
      <c r="F996" s="22"/>
      <c r="G996" s="179" t="s">
        <v>4575</v>
      </c>
      <c r="H996" s="179" t="s">
        <v>4576</v>
      </c>
      <c r="I996" s="194">
        <v>1793500</v>
      </c>
      <c r="J996" s="187" t="s">
        <v>4577</v>
      </c>
      <c r="K996" s="179" t="s">
        <v>1828</v>
      </c>
      <c r="L996" s="188"/>
      <c r="M996" s="34"/>
    </row>
    <row r="997" spans="1:13">
      <c r="A997" s="22">
        <v>2014</v>
      </c>
      <c r="B997" s="179" t="s">
        <v>4578</v>
      </c>
      <c r="C997" s="112" t="s">
        <v>61</v>
      </c>
      <c r="D997" s="191" t="s">
        <v>3092</v>
      </c>
      <c r="E997" s="6" t="s">
        <v>1904</v>
      </c>
      <c r="F997" s="191"/>
      <c r="G997" s="203" t="s">
        <v>4579</v>
      </c>
      <c r="H997" s="187" t="s">
        <v>4580</v>
      </c>
      <c r="I997" s="195">
        <v>1271400</v>
      </c>
      <c r="J997" s="187" t="s">
        <v>4581</v>
      </c>
      <c r="K997" s="179" t="s">
        <v>1828</v>
      </c>
      <c r="L997" s="188"/>
      <c r="M997" s="34"/>
    </row>
    <row r="998" spans="1:13">
      <c r="A998" s="22">
        <v>2014</v>
      </c>
      <c r="B998" s="179" t="s">
        <v>4582</v>
      </c>
      <c r="C998" s="112" t="s">
        <v>61</v>
      </c>
      <c r="D998" s="22" t="s">
        <v>62</v>
      </c>
      <c r="E998" s="6" t="s">
        <v>1904</v>
      </c>
      <c r="F998" s="22"/>
      <c r="G998" s="179" t="s">
        <v>4583</v>
      </c>
      <c r="H998" s="179" t="s">
        <v>4584</v>
      </c>
      <c r="I998" s="194">
        <v>1000000</v>
      </c>
      <c r="J998" s="179" t="s">
        <v>4585</v>
      </c>
      <c r="K998" s="179" t="s">
        <v>2051</v>
      </c>
      <c r="L998" s="188"/>
      <c r="M998" s="34"/>
    </row>
    <row r="999" spans="1:13">
      <c r="A999" s="22">
        <v>2014</v>
      </c>
      <c r="B999" s="179" t="s">
        <v>4586</v>
      </c>
      <c r="C999" s="112" t="s">
        <v>61</v>
      </c>
      <c r="D999" s="22" t="s">
        <v>62</v>
      </c>
      <c r="E999" s="6" t="s">
        <v>1904</v>
      </c>
      <c r="F999" s="22"/>
      <c r="G999" s="179" t="s">
        <v>4587</v>
      </c>
      <c r="H999" s="179" t="s">
        <v>4588</v>
      </c>
      <c r="I999" s="194">
        <v>2500000</v>
      </c>
      <c r="J999" s="187" t="s">
        <v>4589</v>
      </c>
      <c r="K999" s="6" t="s">
        <v>1886</v>
      </c>
      <c r="L999" s="188"/>
      <c r="M999" s="34"/>
    </row>
    <row r="1000" spans="1:13">
      <c r="A1000" s="22">
        <v>2014</v>
      </c>
      <c r="B1000" s="179" t="s">
        <v>4590</v>
      </c>
      <c r="C1000" s="112" t="s">
        <v>61</v>
      </c>
      <c r="D1000" s="22" t="s">
        <v>62</v>
      </c>
      <c r="E1000" s="6" t="s">
        <v>1904</v>
      </c>
      <c r="F1000" s="22"/>
      <c r="G1000" s="179" t="s">
        <v>4591</v>
      </c>
      <c r="H1000" s="179" t="s">
        <v>4592</v>
      </c>
      <c r="I1000" s="194">
        <v>1850000</v>
      </c>
      <c r="J1000" s="187" t="s">
        <v>4593</v>
      </c>
      <c r="K1000" s="6" t="s">
        <v>1886</v>
      </c>
      <c r="L1000" s="188"/>
      <c r="M1000" s="34"/>
    </row>
    <row r="1001" spans="1:13">
      <c r="A1001" s="22">
        <v>2014</v>
      </c>
      <c r="B1001" s="179" t="s">
        <v>4594</v>
      </c>
      <c r="C1001" s="112" t="s">
        <v>61</v>
      </c>
      <c r="D1001" s="180" t="s">
        <v>1383</v>
      </c>
      <c r="E1001" s="115" t="s">
        <v>1859</v>
      </c>
      <c r="F1001" s="180"/>
      <c r="G1001" s="179" t="s">
        <v>4595</v>
      </c>
      <c r="H1001" s="179" t="s">
        <v>1689</v>
      </c>
      <c r="I1001" s="194">
        <v>632000</v>
      </c>
      <c r="J1001" s="178" t="s">
        <v>4487</v>
      </c>
      <c r="K1001" s="179" t="s">
        <v>1828</v>
      </c>
      <c r="L1001" s="188"/>
      <c r="M1001" s="34"/>
    </row>
    <row r="1002" spans="1:13">
      <c r="A1002" s="22">
        <v>2014</v>
      </c>
      <c r="B1002" s="179" t="s">
        <v>4596</v>
      </c>
      <c r="C1002" s="112" t="s">
        <v>61</v>
      </c>
      <c r="D1002" s="180" t="s">
        <v>68</v>
      </c>
      <c r="E1002" s="6" t="s">
        <v>1874</v>
      </c>
      <c r="F1002" s="180"/>
      <c r="G1002" s="179" t="s">
        <v>4597</v>
      </c>
      <c r="H1002" s="179" t="s">
        <v>4598</v>
      </c>
      <c r="I1002" s="194">
        <v>993412.5</v>
      </c>
      <c r="J1002" s="187" t="s">
        <v>4599</v>
      </c>
      <c r="K1002" s="179" t="s">
        <v>1828</v>
      </c>
      <c r="L1002" s="188"/>
      <c r="M1002" s="34"/>
    </row>
    <row r="1003" spans="1:13">
      <c r="A1003" s="22">
        <v>2014</v>
      </c>
      <c r="B1003" s="179" t="s">
        <v>4600</v>
      </c>
      <c r="C1003" s="112" t="s">
        <v>61</v>
      </c>
      <c r="D1003" s="22" t="s">
        <v>62</v>
      </c>
      <c r="E1003" s="6" t="s">
        <v>1904</v>
      </c>
      <c r="F1003" s="22"/>
      <c r="G1003" s="179" t="s">
        <v>4601</v>
      </c>
      <c r="H1003" s="179" t="s">
        <v>4602</v>
      </c>
      <c r="I1003" s="194">
        <v>618554</v>
      </c>
      <c r="J1003" s="187" t="s">
        <v>4603</v>
      </c>
      <c r="K1003" s="179" t="s">
        <v>1828</v>
      </c>
      <c r="L1003" s="188"/>
      <c r="M1003" s="34"/>
    </row>
    <row r="1004" spans="1:13">
      <c r="A1004" s="22">
        <v>2014</v>
      </c>
      <c r="B1004" s="179" t="s">
        <v>4604</v>
      </c>
      <c r="C1004" s="112" t="s">
        <v>61</v>
      </c>
      <c r="D1004" s="180" t="s">
        <v>68</v>
      </c>
      <c r="E1004" s="6" t="s">
        <v>1874</v>
      </c>
      <c r="F1004" s="180"/>
      <c r="G1004" s="179" t="s">
        <v>4605</v>
      </c>
      <c r="H1004" s="179" t="s">
        <v>4606</v>
      </c>
      <c r="I1004" s="194">
        <v>958103</v>
      </c>
      <c r="J1004" s="187" t="s">
        <v>4607</v>
      </c>
      <c r="K1004" s="6" t="s">
        <v>1886</v>
      </c>
      <c r="L1004" s="188"/>
      <c r="M1004" s="34"/>
    </row>
    <row r="1005" spans="1:13">
      <c r="A1005" s="22">
        <v>2014</v>
      </c>
      <c r="B1005" s="179" t="s">
        <v>4608</v>
      </c>
      <c r="C1005" s="112" t="s">
        <v>61</v>
      </c>
      <c r="D1005" s="180" t="s">
        <v>3168</v>
      </c>
      <c r="E1005" s="115" t="s">
        <v>1859</v>
      </c>
      <c r="F1005" s="180"/>
      <c r="G1005" s="179" t="s">
        <v>4609</v>
      </c>
      <c r="H1005" s="179" t="s">
        <v>1689</v>
      </c>
      <c r="I1005" s="194">
        <v>250000</v>
      </c>
      <c r="J1005" s="187" t="s">
        <v>4487</v>
      </c>
      <c r="K1005" s="179" t="s">
        <v>1828</v>
      </c>
      <c r="L1005" s="188"/>
      <c r="M1005" s="34"/>
    </row>
    <row r="1006" spans="1:13">
      <c r="A1006" s="22">
        <v>2014</v>
      </c>
      <c r="B1006" s="179" t="s">
        <v>4610</v>
      </c>
      <c r="C1006" s="53" t="s">
        <v>61</v>
      </c>
      <c r="D1006" s="180" t="s">
        <v>1763</v>
      </c>
      <c r="E1006" s="115" t="s">
        <v>1859</v>
      </c>
      <c r="F1006" s="180"/>
      <c r="G1006" s="178" t="s">
        <v>4611</v>
      </c>
      <c r="H1006" s="179"/>
      <c r="I1006" s="194">
        <v>26000</v>
      </c>
      <c r="J1006" s="187"/>
      <c r="K1006" s="204" t="s">
        <v>1828</v>
      </c>
      <c r="L1006" s="188"/>
      <c r="M1006" s="34"/>
    </row>
    <row r="1007" spans="1:13">
      <c r="A1007" s="22">
        <v>2014</v>
      </c>
      <c r="B1007" s="185">
        <v>41671</v>
      </c>
      <c r="C1007" s="112" t="s">
        <v>61</v>
      </c>
      <c r="D1007" s="180" t="s">
        <v>2993</v>
      </c>
      <c r="E1007" s="6"/>
      <c r="F1007" s="180"/>
      <c r="G1007" s="179" t="s">
        <v>4612</v>
      </c>
      <c r="H1007" s="179" t="s">
        <v>4613</v>
      </c>
      <c r="I1007" s="194">
        <v>53797</v>
      </c>
      <c r="J1007" s="187" t="s">
        <v>4614</v>
      </c>
      <c r="K1007" s="179" t="s">
        <v>1828</v>
      </c>
      <c r="L1007" s="188"/>
      <c r="M1007" s="34"/>
    </row>
    <row r="1008" spans="1:13">
      <c r="A1008" s="22">
        <v>2014</v>
      </c>
      <c r="B1008" s="185">
        <v>41699</v>
      </c>
      <c r="C1008" s="112" t="s">
        <v>3096</v>
      </c>
      <c r="D1008" s="196" t="s">
        <v>2412</v>
      </c>
      <c r="E1008" s="6"/>
      <c r="F1008" s="197"/>
      <c r="G1008" s="179" t="s">
        <v>4615</v>
      </c>
      <c r="H1008" s="179" t="s">
        <v>4616</v>
      </c>
      <c r="I1008" s="194">
        <v>44640</v>
      </c>
      <c r="J1008" s="187"/>
      <c r="K1008" s="179" t="s">
        <v>1828</v>
      </c>
      <c r="L1008" s="188"/>
      <c r="M1008" s="34"/>
    </row>
    <row r="1009" spans="1:13">
      <c r="A1009" s="22">
        <v>2014</v>
      </c>
      <c r="B1009" s="185">
        <v>41730</v>
      </c>
      <c r="C1009" s="112" t="s">
        <v>61</v>
      </c>
      <c r="D1009" s="180" t="s">
        <v>3168</v>
      </c>
      <c r="E1009" s="115" t="s">
        <v>1859</v>
      </c>
      <c r="F1009" s="180"/>
      <c r="G1009" s="179" t="s">
        <v>4617</v>
      </c>
      <c r="H1009" s="179" t="s">
        <v>4618</v>
      </c>
      <c r="I1009" s="194">
        <v>60000</v>
      </c>
      <c r="J1009" s="179" t="s">
        <v>4619</v>
      </c>
      <c r="K1009" s="179" t="s">
        <v>2051</v>
      </c>
      <c r="L1009" s="188"/>
      <c r="M1009" s="34"/>
    </row>
    <row r="1010" spans="1:13">
      <c r="A1010" s="22">
        <v>2014</v>
      </c>
      <c r="B1010" s="185">
        <v>41760</v>
      </c>
      <c r="C1010" s="112" t="s">
        <v>61</v>
      </c>
      <c r="D1010" s="191" t="s">
        <v>3092</v>
      </c>
      <c r="E1010" s="6" t="s">
        <v>1904</v>
      </c>
      <c r="F1010" s="191"/>
      <c r="G1010" s="179" t="s">
        <v>4620</v>
      </c>
      <c r="H1010" s="179" t="s">
        <v>4621</v>
      </c>
      <c r="I1010" s="194">
        <v>98000</v>
      </c>
      <c r="J1010" s="187" t="s">
        <v>4622</v>
      </c>
      <c r="K1010" s="179" t="s">
        <v>1916</v>
      </c>
      <c r="L1010" s="188"/>
      <c r="M1010" s="34"/>
    </row>
    <row r="1011" spans="1:13">
      <c r="A1011" s="22">
        <v>2014</v>
      </c>
      <c r="B1011" s="185">
        <v>41791</v>
      </c>
      <c r="C1011" s="112" t="s">
        <v>61</v>
      </c>
      <c r="D1011" s="180" t="s">
        <v>3168</v>
      </c>
      <c r="E1011" s="115" t="s">
        <v>1859</v>
      </c>
      <c r="F1011" s="180"/>
      <c r="G1011" s="179" t="s">
        <v>4623</v>
      </c>
      <c r="H1011" s="179" t="s">
        <v>4624</v>
      </c>
      <c r="I1011" s="194">
        <v>50000</v>
      </c>
      <c r="J1011" s="179" t="s">
        <v>4625</v>
      </c>
      <c r="K1011" s="179" t="s">
        <v>1828</v>
      </c>
      <c r="L1011" s="188"/>
      <c r="M1011" s="34"/>
    </row>
    <row r="1012" spans="1:13">
      <c r="A1012" s="22">
        <v>2014</v>
      </c>
      <c r="B1012" s="185">
        <v>41821</v>
      </c>
      <c r="C1012" s="112" t="s">
        <v>61</v>
      </c>
      <c r="D1012" s="180" t="s">
        <v>394</v>
      </c>
      <c r="E1012" s="115" t="s">
        <v>1853</v>
      </c>
      <c r="F1012" s="180"/>
      <c r="G1012" s="179" t="s">
        <v>4626</v>
      </c>
      <c r="H1012" s="179" t="s">
        <v>840</v>
      </c>
      <c r="I1012" s="194">
        <v>80000</v>
      </c>
      <c r="J1012" s="179" t="s">
        <v>4627</v>
      </c>
      <c r="K1012" s="179" t="s">
        <v>1828</v>
      </c>
      <c r="L1012" s="188"/>
      <c r="M1012" s="34"/>
    </row>
    <row r="1013" spans="1:13">
      <c r="A1013" s="22">
        <v>2014</v>
      </c>
      <c r="B1013" s="185">
        <v>41852</v>
      </c>
      <c r="C1013" s="112" t="s">
        <v>61</v>
      </c>
      <c r="D1013" s="180" t="s">
        <v>1763</v>
      </c>
      <c r="E1013" s="115" t="s">
        <v>1859</v>
      </c>
      <c r="F1013" s="180"/>
      <c r="G1013" s="179" t="s">
        <v>4628</v>
      </c>
      <c r="H1013" s="179" t="s">
        <v>4629</v>
      </c>
      <c r="I1013" s="194">
        <v>13700</v>
      </c>
      <c r="J1013" s="179" t="s">
        <v>4630</v>
      </c>
      <c r="K1013" s="179" t="s">
        <v>1828</v>
      </c>
      <c r="L1013" s="188"/>
      <c r="M1013" s="34"/>
    </row>
    <row r="1014" spans="1:13">
      <c r="A1014" s="22">
        <v>2014</v>
      </c>
      <c r="B1014" s="185">
        <v>41883</v>
      </c>
      <c r="C1014" s="112" t="s">
        <v>61</v>
      </c>
      <c r="D1014" s="180" t="s">
        <v>1763</v>
      </c>
      <c r="E1014" s="115" t="s">
        <v>1859</v>
      </c>
      <c r="F1014" s="180"/>
      <c r="G1014" s="179" t="s">
        <v>4631</v>
      </c>
      <c r="H1014" s="179" t="s">
        <v>4632</v>
      </c>
      <c r="I1014" s="194">
        <v>5000</v>
      </c>
      <c r="J1014" s="179" t="s">
        <v>4633</v>
      </c>
      <c r="K1014" s="6" t="s">
        <v>1886</v>
      </c>
      <c r="L1014" s="188"/>
      <c r="M1014" s="34"/>
    </row>
    <row r="1015" spans="1:13">
      <c r="A1015" s="22">
        <v>2014</v>
      </c>
      <c r="B1015" s="185">
        <v>41913</v>
      </c>
      <c r="C1015" s="112" t="s">
        <v>4634</v>
      </c>
      <c r="D1015" s="179"/>
      <c r="E1015" s="6"/>
      <c r="F1015" s="180"/>
      <c r="G1015" s="179" t="s">
        <v>4635</v>
      </c>
      <c r="H1015" s="179" t="s">
        <v>4636</v>
      </c>
      <c r="I1015" s="194">
        <v>47031.75</v>
      </c>
      <c r="J1015" s="187" t="s">
        <v>4637</v>
      </c>
      <c r="K1015" s="6" t="s">
        <v>2082</v>
      </c>
      <c r="L1015" s="188"/>
      <c r="M1015" s="34"/>
    </row>
    <row r="1016" spans="1:13">
      <c r="A1016" s="22">
        <v>2014</v>
      </c>
      <c r="B1016" s="185">
        <v>41944</v>
      </c>
      <c r="C1016" s="112" t="s">
        <v>61</v>
      </c>
      <c r="D1016" s="180" t="s">
        <v>394</v>
      </c>
      <c r="E1016" s="115" t="s">
        <v>1853</v>
      </c>
      <c r="F1016" s="180"/>
      <c r="G1016" s="179" t="s">
        <v>4638</v>
      </c>
      <c r="H1016" s="179" t="s">
        <v>844</v>
      </c>
      <c r="I1016" s="194">
        <v>34000</v>
      </c>
      <c r="J1016" s="187" t="s">
        <v>4639</v>
      </c>
      <c r="K1016" s="179" t="s">
        <v>1896</v>
      </c>
      <c r="L1016" s="188"/>
      <c r="M1016" s="34"/>
    </row>
    <row r="1017" spans="1:13">
      <c r="A1017" s="22">
        <v>2014</v>
      </c>
      <c r="B1017" s="185">
        <v>41974</v>
      </c>
      <c r="C1017" s="112" t="s">
        <v>61</v>
      </c>
      <c r="D1017" s="180" t="s">
        <v>394</v>
      </c>
      <c r="E1017" s="115" t="s">
        <v>1853</v>
      </c>
      <c r="F1017" s="180"/>
      <c r="G1017" s="179" t="s">
        <v>4640</v>
      </c>
      <c r="H1017" s="179" t="s">
        <v>1593</v>
      </c>
      <c r="I1017" s="194">
        <v>58000</v>
      </c>
      <c r="J1017" s="187" t="s">
        <v>4641</v>
      </c>
      <c r="K1017" s="179" t="s">
        <v>1899</v>
      </c>
      <c r="L1017" s="188"/>
      <c r="M1017" s="34"/>
    </row>
    <row r="1018" spans="1:13">
      <c r="A1018" s="22">
        <v>2014</v>
      </c>
      <c r="B1018" s="179" t="s">
        <v>4642</v>
      </c>
      <c r="C1018" s="112" t="s">
        <v>61</v>
      </c>
      <c r="D1018" s="180" t="s">
        <v>1383</v>
      </c>
      <c r="E1018" s="115" t="s">
        <v>1859</v>
      </c>
      <c r="F1018" s="180"/>
      <c r="G1018" s="179" t="s">
        <v>4528</v>
      </c>
      <c r="H1018" s="179" t="s">
        <v>4643</v>
      </c>
      <c r="I1018" s="194">
        <v>320000</v>
      </c>
      <c r="J1018" s="187" t="s">
        <v>4644</v>
      </c>
      <c r="K1018" s="179" t="s">
        <v>2051</v>
      </c>
      <c r="L1018" s="188"/>
      <c r="M1018" s="34"/>
    </row>
    <row r="1019" spans="1:13">
      <c r="A1019" s="22">
        <v>2014</v>
      </c>
      <c r="B1019" s="179" t="s">
        <v>4510</v>
      </c>
      <c r="C1019" s="112" t="s">
        <v>61</v>
      </c>
      <c r="D1019" s="180" t="s">
        <v>3168</v>
      </c>
      <c r="E1019" s="115" t="s">
        <v>1859</v>
      </c>
      <c r="F1019" s="180"/>
      <c r="G1019" s="179" t="s">
        <v>4645</v>
      </c>
      <c r="H1019" s="179" t="s">
        <v>4646</v>
      </c>
      <c r="I1019" s="194">
        <v>50000</v>
      </c>
      <c r="J1019" s="187" t="s">
        <v>4647</v>
      </c>
      <c r="K1019" s="179" t="s">
        <v>1828</v>
      </c>
      <c r="L1019" s="188"/>
      <c r="M1019" s="34"/>
    </row>
    <row r="1020" spans="1:13">
      <c r="A1020" s="22">
        <v>2014</v>
      </c>
      <c r="B1020" s="179" t="s">
        <v>4648</v>
      </c>
      <c r="C1020" s="112" t="s">
        <v>61</v>
      </c>
      <c r="D1020" s="180" t="s">
        <v>394</v>
      </c>
      <c r="E1020" s="115" t="s">
        <v>1853</v>
      </c>
      <c r="F1020" s="180"/>
      <c r="G1020" s="179"/>
      <c r="H1020" s="179" t="s">
        <v>4649</v>
      </c>
      <c r="I1020" s="194">
        <v>38000</v>
      </c>
      <c r="J1020" s="187" t="s">
        <v>4650</v>
      </c>
      <c r="K1020" s="179" t="s">
        <v>1899</v>
      </c>
      <c r="L1020" s="188"/>
      <c r="M1020" s="34"/>
    </row>
    <row r="1021" spans="1:13">
      <c r="A1021" s="22">
        <v>2014</v>
      </c>
      <c r="B1021" s="179" t="s">
        <v>4651</v>
      </c>
      <c r="C1021" s="112" t="s">
        <v>61</v>
      </c>
      <c r="D1021" s="180" t="s">
        <v>1383</v>
      </c>
      <c r="E1021" s="115" t="s">
        <v>1859</v>
      </c>
      <c r="F1021" s="180"/>
      <c r="G1021" s="179" t="s">
        <v>4652</v>
      </c>
      <c r="H1021" s="179" t="s">
        <v>4653</v>
      </c>
      <c r="I1021" s="194">
        <v>27000</v>
      </c>
      <c r="J1021" s="187" t="s">
        <v>4654</v>
      </c>
      <c r="K1021" s="179" t="s">
        <v>1828</v>
      </c>
      <c r="L1021" s="188"/>
      <c r="M1021" s="34"/>
    </row>
    <row r="1022" spans="1:13">
      <c r="A1022" s="22">
        <v>2014</v>
      </c>
      <c r="B1022" s="179" t="s">
        <v>4520</v>
      </c>
      <c r="C1022" s="112" t="s">
        <v>61</v>
      </c>
      <c r="D1022" s="180" t="s">
        <v>394</v>
      </c>
      <c r="E1022" s="115" t="s">
        <v>1853</v>
      </c>
      <c r="F1022" s="180"/>
      <c r="G1022" s="179" t="s">
        <v>4655</v>
      </c>
      <c r="H1022" s="179" t="s">
        <v>854</v>
      </c>
      <c r="I1022" s="194">
        <v>120000</v>
      </c>
      <c r="J1022" s="179" t="s">
        <v>4656</v>
      </c>
      <c r="K1022" s="179" t="s">
        <v>1916</v>
      </c>
      <c r="L1022" s="188"/>
      <c r="M1022" s="34"/>
    </row>
    <row r="1023" spans="1:13">
      <c r="A1023" s="22">
        <v>2014</v>
      </c>
      <c r="B1023" s="179" t="s">
        <v>4657</v>
      </c>
      <c r="C1023" s="112" t="s">
        <v>61</v>
      </c>
      <c r="D1023" s="180" t="s">
        <v>3168</v>
      </c>
      <c r="E1023" s="115" t="s">
        <v>1859</v>
      </c>
      <c r="F1023" s="180"/>
      <c r="G1023" s="179" t="s">
        <v>4658</v>
      </c>
      <c r="H1023" s="179" t="s">
        <v>4659</v>
      </c>
      <c r="I1023" s="194">
        <v>50000</v>
      </c>
      <c r="J1023" s="179" t="s">
        <v>4660</v>
      </c>
      <c r="K1023" s="179" t="s">
        <v>1828</v>
      </c>
      <c r="L1023" s="188"/>
      <c r="M1023" s="34"/>
    </row>
    <row r="1024" spans="1:13">
      <c r="A1024" s="22">
        <v>2014</v>
      </c>
      <c r="B1024" s="179" t="s">
        <v>4661</v>
      </c>
      <c r="C1024" s="112" t="s">
        <v>61</v>
      </c>
      <c r="D1024" s="180" t="s">
        <v>1383</v>
      </c>
      <c r="E1024" s="115" t="s">
        <v>1859</v>
      </c>
      <c r="F1024" s="180"/>
      <c r="G1024" s="179" t="s">
        <v>4662</v>
      </c>
      <c r="H1024" s="179" t="s">
        <v>854</v>
      </c>
      <c r="I1024" s="194">
        <v>100000</v>
      </c>
      <c r="J1024" s="179" t="s">
        <v>4663</v>
      </c>
      <c r="K1024" s="179" t="s">
        <v>1916</v>
      </c>
      <c r="L1024" s="188"/>
      <c r="M1024" s="34"/>
    </row>
    <row r="1025" spans="1:13">
      <c r="A1025" s="22">
        <v>2014</v>
      </c>
      <c r="B1025" s="179" t="s">
        <v>4524</v>
      </c>
      <c r="C1025" s="112" t="s">
        <v>61</v>
      </c>
      <c r="D1025" s="180" t="s">
        <v>652</v>
      </c>
      <c r="E1025" s="6" t="s">
        <v>1874</v>
      </c>
      <c r="F1025" s="180"/>
      <c r="G1025" s="179" t="s">
        <v>4664</v>
      </c>
      <c r="H1025" s="179" t="s">
        <v>4665</v>
      </c>
      <c r="I1025" s="194">
        <v>346753.22</v>
      </c>
      <c r="J1025" s="179" t="s">
        <v>4666</v>
      </c>
      <c r="K1025" s="179" t="s">
        <v>1828</v>
      </c>
      <c r="L1025" s="188"/>
      <c r="M1025" s="34"/>
    </row>
    <row r="1026" spans="1:13">
      <c r="A1026" s="22">
        <v>2014</v>
      </c>
      <c r="B1026" s="179" t="s">
        <v>4527</v>
      </c>
      <c r="C1026" s="112" t="s">
        <v>61</v>
      </c>
      <c r="D1026" s="180" t="s">
        <v>1383</v>
      </c>
      <c r="E1026" s="115" t="s">
        <v>1859</v>
      </c>
      <c r="F1026" s="180"/>
      <c r="G1026" s="179" t="s">
        <v>4667</v>
      </c>
      <c r="H1026" s="179" t="s">
        <v>854</v>
      </c>
      <c r="I1026" s="194">
        <v>100000</v>
      </c>
      <c r="J1026" s="179" t="s">
        <v>4668</v>
      </c>
      <c r="K1026" s="179" t="s">
        <v>2051</v>
      </c>
      <c r="L1026" s="188"/>
      <c r="M1026" s="34"/>
    </row>
    <row r="1027" spans="1:13">
      <c r="A1027" s="22">
        <v>2014</v>
      </c>
      <c r="B1027" s="179" t="s">
        <v>4530</v>
      </c>
      <c r="C1027" s="112" t="s">
        <v>61</v>
      </c>
      <c r="D1027" s="180" t="s">
        <v>1141</v>
      </c>
      <c r="E1027" s="6" t="s">
        <v>1904</v>
      </c>
      <c r="F1027" s="180"/>
      <c r="G1027" s="179" t="s">
        <v>4669</v>
      </c>
      <c r="H1027" s="179" t="s">
        <v>4670</v>
      </c>
      <c r="I1027" s="194">
        <v>96889</v>
      </c>
      <c r="J1027" s="179" t="s">
        <v>4671</v>
      </c>
      <c r="K1027" s="179" t="s">
        <v>1919</v>
      </c>
      <c r="L1027" s="188"/>
      <c r="M1027" s="34"/>
    </row>
    <row r="1028" spans="1:13">
      <c r="A1028" s="22">
        <v>2014</v>
      </c>
      <c r="B1028" s="179" t="s">
        <v>4532</v>
      </c>
      <c r="C1028" s="112" t="s">
        <v>61</v>
      </c>
      <c r="D1028" s="180" t="s">
        <v>1383</v>
      </c>
      <c r="E1028" s="115" t="s">
        <v>1859</v>
      </c>
      <c r="F1028" s="180"/>
      <c r="G1028" s="179" t="s">
        <v>4672</v>
      </c>
      <c r="H1028" s="179" t="s">
        <v>4673</v>
      </c>
      <c r="I1028" s="194">
        <v>67600</v>
      </c>
      <c r="J1028" s="179" t="s">
        <v>3417</v>
      </c>
      <c r="K1028" s="179" t="s">
        <v>1828</v>
      </c>
      <c r="L1028" s="188"/>
      <c r="M1028" s="34"/>
    </row>
    <row r="1029" spans="1:13">
      <c r="A1029" s="22">
        <v>2014</v>
      </c>
      <c r="B1029" s="179" t="s">
        <v>4535</v>
      </c>
      <c r="C1029" s="112" t="s">
        <v>61</v>
      </c>
      <c r="D1029" s="191" t="s">
        <v>3092</v>
      </c>
      <c r="E1029" s="6" t="s">
        <v>1904</v>
      </c>
      <c r="F1029" s="191"/>
      <c r="G1029" s="179" t="s">
        <v>4674</v>
      </c>
      <c r="H1029" s="179" t="s">
        <v>4675</v>
      </c>
      <c r="I1029" s="194">
        <v>64800</v>
      </c>
      <c r="J1029" s="179" t="s">
        <v>4676</v>
      </c>
      <c r="K1029" s="179" t="s">
        <v>1828</v>
      </c>
      <c r="L1029" s="188"/>
      <c r="M1029" s="34"/>
    </row>
    <row r="1030" spans="1:13">
      <c r="A1030" s="22">
        <v>2014</v>
      </c>
      <c r="B1030" s="179" t="s">
        <v>4539</v>
      </c>
      <c r="C1030" s="112" t="s">
        <v>61</v>
      </c>
      <c r="D1030" s="191" t="s">
        <v>3092</v>
      </c>
      <c r="E1030" s="6" t="s">
        <v>1904</v>
      </c>
      <c r="F1030" s="191"/>
      <c r="G1030" s="179" t="s">
        <v>4677</v>
      </c>
      <c r="H1030" s="179" t="s">
        <v>4675</v>
      </c>
      <c r="I1030" s="194">
        <v>99600</v>
      </c>
      <c r="J1030" s="179" t="s">
        <v>4676</v>
      </c>
      <c r="K1030" s="179" t="s">
        <v>1828</v>
      </c>
      <c r="L1030" s="188"/>
      <c r="M1030" s="34"/>
    </row>
    <row r="1031" spans="1:13">
      <c r="A1031" s="22">
        <v>2014</v>
      </c>
      <c r="B1031" s="179" t="s">
        <v>4678</v>
      </c>
      <c r="C1031" s="112" t="s">
        <v>61</v>
      </c>
      <c r="D1031" s="191" t="s">
        <v>3092</v>
      </c>
      <c r="E1031" s="6" t="s">
        <v>1904</v>
      </c>
      <c r="F1031" s="191"/>
      <c r="G1031" s="179" t="s">
        <v>4679</v>
      </c>
      <c r="H1031" s="179" t="s">
        <v>4675</v>
      </c>
      <c r="I1031" s="194">
        <v>48000</v>
      </c>
      <c r="J1031" s="179" t="s">
        <v>4676</v>
      </c>
      <c r="K1031" s="179" t="s">
        <v>1828</v>
      </c>
      <c r="L1031" s="188"/>
      <c r="M1031" s="34"/>
    </row>
    <row r="1032" spans="1:13">
      <c r="A1032" s="22">
        <v>2014</v>
      </c>
      <c r="B1032" s="179" t="s">
        <v>4680</v>
      </c>
      <c r="C1032" s="112" t="s">
        <v>61</v>
      </c>
      <c r="D1032" s="180" t="s">
        <v>1383</v>
      </c>
      <c r="E1032" s="115" t="s">
        <v>1859</v>
      </c>
      <c r="F1032" s="180"/>
      <c r="G1032" s="179" t="s">
        <v>4681</v>
      </c>
      <c r="H1032" s="179" t="s">
        <v>838</v>
      </c>
      <c r="I1032" s="194">
        <v>100000</v>
      </c>
      <c r="J1032" s="179" t="s">
        <v>4682</v>
      </c>
      <c r="K1032" s="179" t="s">
        <v>1855</v>
      </c>
      <c r="L1032" s="188"/>
      <c r="M1032" s="34"/>
    </row>
    <row r="1033" spans="1:13">
      <c r="A1033" s="22">
        <v>2014</v>
      </c>
      <c r="B1033" s="179" t="s">
        <v>4683</v>
      </c>
      <c r="C1033" s="112" t="s">
        <v>61</v>
      </c>
      <c r="D1033" s="22" t="s">
        <v>113</v>
      </c>
      <c r="E1033" s="6"/>
      <c r="F1033" s="22"/>
      <c r="G1033" s="179" t="s">
        <v>4684</v>
      </c>
      <c r="H1033" s="179" t="s">
        <v>575</v>
      </c>
      <c r="I1033" s="194">
        <v>37000</v>
      </c>
      <c r="J1033" s="179" t="s">
        <v>1938</v>
      </c>
      <c r="K1033" s="179" t="s">
        <v>1828</v>
      </c>
      <c r="L1033" s="188"/>
      <c r="M1033" s="34"/>
    </row>
    <row r="1034" spans="1:13">
      <c r="A1034" s="22">
        <v>2014</v>
      </c>
      <c r="B1034" s="179" t="s">
        <v>4685</v>
      </c>
      <c r="C1034" s="112" t="s">
        <v>61</v>
      </c>
      <c r="D1034" s="180" t="s">
        <v>394</v>
      </c>
      <c r="E1034" s="115" t="s">
        <v>1853</v>
      </c>
      <c r="F1034" s="180"/>
      <c r="G1034" s="179" t="s">
        <v>4686</v>
      </c>
      <c r="H1034" s="179" t="s">
        <v>1346</v>
      </c>
      <c r="I1034" s="194">
        <v>55600</v>
      </c>
      <c r="J1034" s="179" t="s">
        <v>1938</v>
      </c>
      <c r="K1034" s="6" t="s">
        <v>2082</v>
      </c>
      <c r="L1034" s="188"/>
      <c r="M1034" s="34"/>
    </row>
    <row r="1035" spans="1:13">
      <c r="A1035" s="22">
        <v>2014</v>
      </c>
      <c r="B1035" s="179" t="s">
        <v>4547</v>
      </c>
      <c r="C1035" s="112" t="s">
        <v>61</v>
      </c>
      <c r="D1035" s="180" t="s">
        <v>394</v>
      </c>
      <c r="E1035" s="115" t="s">
        <v>1853</v>
      </c>
      <c r="F1035" s="180"/>
      <c r="G1035" s="179" t="s">
        <v>4687</v>
      </c>
      <c r="H1035" s="179" t="s">
        <v>1593</v>
      </c>
      <c r="I1035" s="194">
        <v>28000</v>
      </c>
      <c r="J1035" s="179" t="s">
        <v>4688</v>
      </c>
      <c r="K1035" s="179" t="s">
        <v>1899</v>
      </c>
      <c r="L1035" s="188"/>
      <c r="M1035" s="34"/>
    </row>
    <row r="1036" spans="1:13">
      <c r="A1036" s="22">
        <v>2014</v>
      </c>
      <c r="B1036" s="179" t="s">
        <v>4689</v>
      </c>
      <c r="C1036" s="112" t="s">
        <v>61</v>
      </c>
      <c r="D1036" s="180" t="s">
        <v>394</v>
      </c>
      <c r="E1036" s="115" t="s">
        <v>1853</v>
      </c>
      <c r="F1036" s="180"/>
      <c r="G1036" s="179" t="s">
        <v>4690</v>
      </c>
      <c r="H1036" s="179" t="s">
        <v>1605</v>
      </c>
      <c r="I1036" s="194">
        <v>34000</v>
      </c>
      <c r="J1036" s="179" t="s">
        <v>4691</v>
      </c>
      <c r="K1036" s="179" t="s">
        <v>1919</v>
      </c>
      <c r="L1036" s="188"/>
      <c r="M1036" s="34"/>
    </row>
    <row r="1037" spans="1:13">
      <c r="A1037" s="22">
        <v>2014</v>
      </c>
      <c r="B1037" s="179" t="s">
        <v>4692</v>
      </c>
      <c r="C1037" s="112" t="s">
        <v>61</v>
      </c>
      <c r="D1037" s="180" t="s">
        <v>394</v>
      </c>
      <c r="E1037" s="115" t="s">
        <v>1853</v>
      </c>
      <c r="F1037" s="180"/>
      <c r="G1037" s="179" t="s">
        <v>4693</v>
      </c>
      <c r="H1037" s="179" t="s">
        <v>1605</v>
      </c>
      <c r="I1037" s="194">
        <v>26000</v>
      </c>
      <c r="J1037" s="179" t="s">
        <v>4694</v>
      </c>
      <c r="K1037" s="179" t="s">
        <v>1919</v>
      </c>
      <c r="L1037" s="188"/>
      <c r="M1037" s="34"/>
    </row>
    <row r="1038" spans="1:13">
      <c r="A1038" s="22">
        <v>2014</v>
      </c>
      <c r="B1038" s="179" t="s">
        <v>4695</v>
      </c>
      <c r="C1038" s="112" t="s">
        <v>61</v>
      </c>
      <c r="D1038" s="180" t="s">
        <v>2724</v>
      </c>
      <c r="E1038" s="6" t="s">
        <v>1874</v>
      </c>
      <c r="F1038" s="180"/>
      <c r="G1038" s="179" t="s">
        <v>4696</v>
      </c>
      <c r="H1038" s="179"/>
      <c r="I1038" s="194">
        <v>68045.67</v>
      </c>
      <c r="J1038" s="179" t="s">
        <v>4697</v>
      </c>
      <c r="K1038" s="179" t="s">
        <v>1855</v>
      </c>
      <c r="L1038" s="188"/>
      <c r="M1038" s="34"/>
    </row>
    <row r="1039" spans="1:13">
      <c r="A1039" s="22">
        <v>2014</v>
      </c>
      <c r="B1039" s="179" t="s">
        <v>4559</v>
      </c>
      <c r="C1039" s="112" t="s">
        <v>61</v>
      </c>
      <c r="D1039" s="180" t="s">
        <v>1383</v>
      </c>
      <c r="E1039" s="115" t="s">
        <v>1859</v>
      </c>
      <c r="F1039" s="180"/>
      <c r="G1039" s="179" t="s">
        <v>4698</v>
      </c>
      <c r="H1039" s="179" t="s">
        <v>4699</v>
      </c>
      <c r="I1039" s="194">
        <v>100000</v>
      </c>
      <c r="J1039" s="179" t="s">
        <v>1938</v>
      </c>
      <c r="K1039" s="179" t="s">
        <v>1828</v>
      </c>
      <c r="L1039" s="188"/>
      <c r="M1039" s="34"/>
    </row>
    <row r="1040" spans="1:13">
      <c r="A1040" s="22">
        <v>2014</v>
      </c>
      <c r="B1040" s="179" t="s">
        <v>4700</v>
      </c>
      <c r="C1040" s="112" t="s">
        <v>61</v>
      </c>
      <c r="D1040" s="180" t="s">
        <v>1763</v>
      </c>
      <c r="E1040" s="115" t="s">
        <v>1859</v>
      </c>
      <c r="F1040" s="180"/>
      <c r="G1040" s="179" t="s">
        <v>4701</v>
      </c>
      <c r="H1040" s="179" t="s">
        <v>4702</v>
      </c>
      <c r="I1040" s="194">
        <v>7800</v>
      </c>
      <c r="J1040" s="179" t="s">
        <v>1938</v>
      </c>
      <c r="K1040" s="179" t="s">
        <v>1828</v>
      </c>
      <c r="L1040" s="188"/>
      <c r="M1040" s="34"/>
    </row>
    <row r="1041" spans="1:13">
      <c r="A1041" s="22">
        <v>2014</v>
      </c>
      <c r="B1041" s="179" t="s">
        <v>4703</v>
      </c>
      <c r="C1041" s="112" t="s">
        <v>61</v>
      </c>
      <c r="D1041" s="180" t="s">
        <v>3168</v>
      </c>
      <c r="E1041" s="115" t="s">
        <v>1859</v>
      </c>
      <c r="F1041" s="180"/>
      <c r="G1041" s="179" t="s">
        <v>4704</v>
      </c>
      <c r="H1041" s="179" t="s">
        <v>4705</v>
      </c>
      <c r="I1041" s="194">
        <v>50000</v>
      </c>
      <c r="J1041" s="179" t="s">
        <v>4706</v>
      </c>
      <c r="K1041" s="179" t="s">
        <v>1828</v>
      </c>
      <c r="L1041" s="188"/>
      <c r="M1041" s="34"/>
    </row>
    <row r="1042" spans="1:13">
      <c r="A1042" s="22">
        <v>2014</v>
      </c>
      <c r="B1042" s="179" t="s">
        <v>4707</v>
      </c>
      <c r="C1042" s="112" t="s">
        <v>61</v>
      </c>
      <c r="D1042" s="22" t="s">
        <v>113</v>
      </c>
      <c r="E1042" s="6"/>
      <c r="F1042" s="22"/>
      <c r="G1042" s="179" t="s">
        <v>4708</v>
      </c>
      <c r="H1042" s="179" t="s">
        <v>575</v>
      </c>
      <c r="I1042" s="194">
        <v>38500</v>
      </c>
      <c r="J1042" s="179" t="s">
        <v>1938</v>
      </c>
      <c r="K1042" s="179" t="s">
        <v>1828</v>
      </c>
      <c r="L1042" s="188"/>
      <c r="M1042" s="34"/>
    </row>
    <row r="1043" spans="1:13">
      <c r="A1043" s="22">
        <v>2014</v>
      </c>
      <c r="B1043" s="179" t="s">
        <v>4709</v>
      </c>
      <c r="C1043" s="112" t="s">
        <v>61</v>
      </c>
      <c r="D1043" s="180" t="s">
        <v>1763</v>
      </c>
      <c r="E1043" s="115" t="s">
        <v>1859</v>
      </c>
      <c r="F1043" s="180"/>
      <c r="G1043" s="179" t="s">
        <v>4710</v>
      </c>
      <c r="H1043" s="179" t="s">
        <v>4711</v>
      </c>
      <c r="I1043" s="194">
        <v>26000</v>
      </c>
      <c r="J1043" s="179" t="s">
        <v>1938</v>
      </c>
      <c r="K1043" s="179" t="s">
        <v>1828</v>
      </c>
      <c r="L1043" s="188"/>
      <c r="M1043" s="34"/>
    </row>
    <row r="1044" spans="1:13">
      <c r="A1044" s="22">
        <v>2014</v>
      </c>
      <c r="B1044" s="179" t="s">
        <v>4567</v>
      </c>
      <c r="C1044" s="112" t="s">
        <v>61</v>
      </c>
      <c r="D1044" s="180" t="s">
        <v>1763</v>
      </c>
      <c r="E1044" s="115" t="s">
        <v>1859</v>
      </c>
      <c r="F1044" s="180"/>
      <c r="G1044" s="179" t="s">
        <v>4712</v>
      </c>
      <c r="H1044" s="179" t="s">
        <v>4713</v>
      </c>
      <c r="I1044" s="194">
        <v>46500</v>
      </c>
      <c r="J1044" s="179" t="s">
        <v>1938</v>
      </c>
      <c r="K1044" s="179" t="s">
        <v>1828</v>
      </c>
      <c r="L1044" s="188"/>
      <c r="M1044" s="34"/>
    </row>
    <row r="1045" spans="1:13">
      <c r="A1045" s="22">
        <v>2014</v>
      </c>
      <c r="B1045" s="179" t="s">
        <v>4714</v>
      </c>
      <c r="C1045" s="112" t="s">
        <v>61</v>
      </c>
      <c r="D1045" s="180" t="s">
        <v>3168</v>
      </c>
      <c r="E1045" s="115" t="s">
        <v>1859</v>
      </c>
      <c r="F1045" s="180"/>
      <c r="G1045" s="179" t="s">
        <v>4715</v>
      </c>
      <c r="H1045" s="179" t="s">
        <v>4716</v>
      </c>
      <c r="I1045" s="194">
        <v>55000</v>
      </c>
      <c r="J1045" s="179" t="s">
        <v>4717</v>
      </c>
      <c r="K1045" s="179" t="s">
        <v>1828</v>
      </c>
      <c r="L1045" s="188"/>
      <c r="M1045" s="34"/>
    </row>
    <row r="1046" spans="1:13">
      <c r="A1046" s="22">
        <v>2014</v>
      </c>
      <c r="B1046" s="179" t="s">
        <v>4718</v>
      </c>
      <c r="C1046" s="112" t="s">
        <v>61</v>
      </c>
      <c r="D1046" s="180" t="s">
        <v>652</v>
      </c>
      <c r="E1046" s="6" t="s">
        <v>1874</v>
      </c>
      <c r="F1046" s="180"/>
      <c r="G1046" s="179" t="s">
        <v>4719</v>
      </c>
      <c r="H1046" s="179" t="s">
        <v>4720</v>
      </c>
      <c r="I1046" s="194">
        <v>100000</v>
      </c>
      <c r="J1046" s="179" t="s">
        <v>4721</v>
      </c>
      <c r="K1046" s="179" t="s">
        <v>1828</v>
      </c>
      <c r="L1046" s="188"/>
      <c r="M1046" s="34"/>
    </row>
    <row r="1047" spans="1:13">
      <c r="A1047" s="22">
        <v>2014</v>
      </c>
      <c r="B1047" s="179" t="s">
        <v>4574</v>
      </c>
      <c r="C1047" s="112" t="s">
        <v>61</v>
      </c>
      <c r="D1047" s="180" t="s">
        <v>1383</v>
      </c>
      <c r="E1047" s="115" t="s">
        <v>1859</v>
      </c>
      <c r="F1047" s="180"/>
      <c r="G1047" s="179" t="s">
        <v>4722</v>
      </c>
      <c r="H1047" s="179" t="s">
        <v>4723</v>
      </c>
      <c r="I1047" s="194">
        <v>106960</v>
      </c>
      <c r="J1047" s="179"/>
      <c r="K1047" s="179" t="s">
        <v>1828</v>
      </c>
      <c r="L1047" s="188"/>
      <c r="M1047" s="34"/>
    </row>
    <row r="1048" spans="1:13">
      <c r="A1048" s="22">
        <v>2013</v>
      </c>
      <c r="B1048" s="185">
        <v>41275</v>
      </c>
      <c r="C1048" s="112" t="s">
        <v>3096</v>
      </c>
      <c r="D1048" s="190"/>
      <c r="E1048" s="6"/>
      <c r="F1048" s="191"/>
      <c r="G1048" s="178" t="s">
        <v>4724</v>
      </c>
      <c r="H1048" s="178" t="s">
        <v>4725</v>
      </c>
      <c r="I1048" s="194">
        <v>400000</v>
      </c>
      <c r="J1048" s="187" t="s">
        <v>4726</v>
      </c>
      <c r="K1048" s="179" t="s">
        <v>1828</v>
      </c>
      <c r="L1048" s="188"/>
      <c r="M1048" s="34"/>
    </row>
    <row r="1049" spans="1:13">
      <c r="A1049" s="22">
        <v>2013</v>
      </c>
      <c r="B1049" s="185">
        <v>41334</v>
      </c>
      <c r="C1049" s="112" t="s">
        <v>61</v>
      </c>
      <c r="D1049" s="191" t="s">
        <v>3092</v>
      </c>
      <c r="E1049" s="6" t="s">
        <v>1904</v>
      </c>
      <c r="F1049" s="191"/>
      <c r="G1049" s="179" t="s">
        <v>4727</v>
      </c>
      <c r="H1049" s="179" t="s">
        <v>4728</v>
      </c>
      <c r="I1049" s="194">
        <v>386800</v>
      </c>
      <c r="J1049" s="201" t="s">
        <v>4729</v>
      </c>
      <c r="K1049" s="179" t="s">
        <v>1919</v>
      </c>
      <c r="L1049" s="188"/>
      <c r="M1049" s="34"/>
    </row>
    <row r="1050" spans="1:13">
      <c r="A1050" s="22">
        <v>2013</v>
      </c>
      <c r="B1050" s="185">
        <v>41426</v>
      </c>
      <c r="C1050" s="112" t="s">
        <v>61</v>
      </c>
      <c r="D1050" s="180" t="s">
        <v>1383</v>
      </c>
      <c r="E1050" s="115" t="s">
        <v>1859</v>
      </c>
      <c r="F1050" s="180"/>
      <c r="G1050" s="179" t="s">
        <v>4730</v>
      </c>
      <c r="H1050" s="189" t="s">
        <v>1473</v>
      </c>
      <c r="I1050" s="194">
        <v>321500</v>
      </c>
      <c r="J1050" s="187" t="s">
        <v>2837</v>
      </c>
      <c r="K1050" s="6" t="s">
        <v>1886</v>
      </c>
      <c r="L1050" s="188"/>
      <c r="M1050" s="34"/>
    </row>
    <row r="1051" spans="1:13">
      <c r="A1051" s="22">
        <v>2013</v>
      </c>
      <c r="B1051" s="185">
        <v>41456</v>
      </c>
      <c r="C1051" s="112" t="s">
        <v>61</v>
      </c>
      <c r="D1051" s="180" t="s">
        <v>1383</v>
      </c>
      <c r="E1051" s="115" t="s">
        <v>1859</v>
      </c>
      <c r="F1051" s="180"/>
      <c r="G1051" s="179" t="s">
        <v>4731</v>
      </c>
      <c r="H1051" s="179" t="s">
        <v>1680</v>
      </c>
      <c r="I1051" s="194">
        <v>450000</v>
      </c>
      <c r="J1051" s="187" t="s">
        <v>4732</v>
      </c>
      <c r="K1051" s="9" t="s">
        <v>2571</v>
      </c>
      <c r="L1051" s="188"/>
      <c r="M1051" s="34"/>
    </row>
    <row r="1052" spans="1:13">
      <c r="A1052" s="22">
        <v>2013</v>
      </c>
      <c r="B1052" s="185">
        <v>41487</v>
      </c>
      <c r="C1052" s="112" t="s">
        <v>61</v>
      </c>
      <c r="D1052" s="180" t="s">
        <v>1383</v>
      </c>
      <c r="E1052" s="115" t="s">
        <v>1859</v>
      </c>
      <c r="F1052" s="180"/>
      <c r="G1052" s="179" t="s">
        <v>4733</v>
      </c>
      <c r="H1052" s="179" t="s">
        <v>1680</v>
      </c>
      <c r="I1052" s="194">
        <v>426000</v>
      </c>
      <c r="J1052" s="187" t="s">
        <v>4734</v>
      </c>
      <c r="K1052" s="179" t="s">
        <v>1879</v>
      </c>
      <c r="L1052" s="188"/>
      <c r="M1052" s="34"/>
    </row>
    <row r="1053" spans="1:13">
      <c r="A1053" s="22">
        <v>2013</v>
      </c>
      <c r="B1053" s="185">
        <v>41518</v>
      </c>
      <c r="C1053" s="112" t="s">
        <v>61</v>
      </c>
      <c r="D1053" s="180" t="s">
        <v>1383</v>
      </c>
      <c r="E1053" s="115" t="s">
        <v>1859</v>
      </c>
      <c r="F1053" s="180"/>
      <c r="G1053" s="179" t="s">
        <v>4735</v>
      </c>
      <c r="H1053" s="179" t="s">
        <v>4736</v>
      </c>
      <c r="I1053" s="194">
        <v>120000</v>
      </c>
      <c r="J1053" s="187" t="s">
        <v>4726</v>
      </c>
      <c r="K1053" s="179" t="s">
        <v>1828</v>
      </c>
      <c r="L1053" s="188"/>
      <c r="M1053" s="34"/>
    </row>
    <row r="1054" spans="1:13">
      <c r="A1054" s="22">
        <v>2013</v>
      </c>
      <c r="B1054" s="192">
        <v>41548</v>
      </c>
      <c r="C1054" s="112" t="s">
        <v>61</v>
      </c>
      <c r="D1054" s="180" t="s">
        <v>652</v>
      </c>
      <c r="E1054" s="6" t="s">
        <v>1874</v>
      </c>
      <c r="F1054" s="180"/>
      <c r="G1054" s="179" t="s">
        <v>4737</v>
      </c>
      <c r="H1054" s="179" t="s">
        <v>4738</v>
      </c>
      <c r="I1054" s="194">
        <v>613088.85</v>
      </c>
      <c r="J1054" s="187" t="s">
        <v>4739</v>
      </c>
      <c r="K1054" s="179" t="s">
        <v>2130</v>
      </c>
      <c r="L1054" s="188"/>
      <c r="M1054" s="34"/>
    </row>
    <row r="1055" spans="1:13">
      <c r="A1055" s="22">
        <v>2013</v>
      </c>
      <c r="B1055" s="185">
        <v>41579</v>
      </c>
      <c r="C1055" s="112" t="s">
        <v>61</v>
      </c>
      <c r="D1055" s="22" t="s">
        <v>62</v>
      </c>
      <c r="E1055" s="6" t="s">
        <v>1904</v>
      </c>
      <c r="F1055" s="22"/>
      <c r="G1055" s="178" t="s">
        <v>4740</v>
      </c>
      <c r="H1055" s="178" t="s">
        <v>4741</v>
      </c>
      <c r="I1055" s="193">
        <v>910963.19999999995</v>
      </c>
      <c r="J1055" s="187" t="s">
        <v>4742</v>
      </c>
      <c r="K1055" s="179" t="s">
        <v>1828</v>
      </c>
      <c r="L1055" s="188"/>
      <c r="M1055" s="34"/>
    </row>
    <row r="1056" spans="1:13">
      <c r="A1056" s="22">
        <v>2013</v>
      </c>
      <c r="B1056" s="185">
        <v>41609</v>
      </c>
      <c r="C1056" s="112" t="s">
        <v>61</v>
      </c>
      <c r="D1056" s="22" t="s">
        <v>586</v>
      </c>
      <c r="E1056" s="6" t="s">
        <v>1874</v>
      </c>
      <c r="F1056" s="22"/>
      <c r="G1056" s="179" t="s">
        <v>4743</v>
      </c>
      <c r="H1056" s="179" t="s">
        <v>894</v>
      </c>
      <c r="I1056" s="205">
        <v>161640</v>
      </c>
      <c r="J1056" s="187" t="s">
        <v>2508</v>
      </c>
      <c r="K1056" s="179" t="s">
        <v>1828</v>
      </c>
      <c r="L1056" s="188"/>
      <c r="M1056" s="34"/>
    </row>
    <row r="1057" spans="1:13">
      <c r="A1057" s="22">
        <v>2013</v>
      </c>
      <c r="B1057" s="179" t="s">
        <v>4744</v>
      </c>
      <c r="C1057" s="112" t="s">
        <v>61</v>
      </c>
      <c r="D1057" s="22" t="s">
        <v>62</v>
      </c>
      <c r="E1057" s="6" t="s">
        <v>1904</v>
      </c>
      <c r="F1057" s="22"/>
      <c r="G1057" s="179" t="s">
        <v>4745</v>
      </c>
      <c r="H1057" s="179" t="s">
        <v>4746</v>
      </c>
      <c r="I1057" s="195">
        <v>1187443.3600000001</v>
      </c>
      <c r="J1057" s="187" t="s">
        <v>4747</v>
      </c>
      <c r="K1057" s="179" t="s">
        <v>2031</v>
      </c>
      <c r="L1057" s="188"/>
      <c r="M1057" s="34"/>
    </row>
    <row r="1058" spans="1:13">
      <c r="A1058" s="22">
        <v>2013</v>
      </c>
      <c r="B1058" s="179" t="s">
        <v>4748</v>
      </c>
      <c r="C1058" s="112" t="s">
        <v>61</v>
      </c>
      <c r="D1058" s="180" t="s">
        <v>611</v>
      </c>
      <c r="E1058" s="6"/>
      <c r="F1058" s="180"/>
      <c r="G1058" s="179" t="s">
        <v>4749</v>
      </c>
      <c r="H1058" s="179" t="s">
        <v>811</v>
      </c>
      <c r="I1058" s="194">
        <v>91000</v>
      </c>
      <c r="J1058" s="187" t="s">
        <v>4726</v>
      </c>
      <c r="K1058" s="179" t="s">
        <v>1828</v>
      </c>
      <c r="L1058" s="188"/>
      <c r="M1058" s="34"/>
    </row>
    <row r="1059" spans="1:13">
      <c r="A1059" s="22">
        <v>2013</v>
      </c>
      <c r="B1059" s="179" t="s">
        <v>4750</v>
      </c>
      <c r="C1059" s="112" t="s">
        <v>61</v>
      </c>
      <c r="D1059" s="180" t="s">
        <v>1383</v>
      </c>
      <c r="E1059" s="115" t="s">
        <v>1859</v>
      </c>
      <c r="F1059" s="180"/>
      <c r="G1059" s="179" t="s">
        <v>4751</v>
      </c>
      <c r="H1059" s="179" t="s">
        <v>4752</v>
      </c>
      <c r="I1059" s="194">
        <v>200000</v>
      </c>
      <c r="J1059" s="179" t="s">
        <v>4753</v>
      </c>
      <c r="K1059" s="179" t="s">
        <v>1828</v>
      </c>
      <c r="L1059" s="188"/>
      <c r="M1059" s="34"/>
    </row>
    <row r="1060" spans="1:13">
      <c r="A1060" s="22">
        <v>2013</v>
      </c>
      <c r="B1060" s="179" t="s">
        <v>4754</v>
      </c>
      <c r="C1060" s="112" t="s">
        <v>61</v>
      </c>
      <c r="D1060" s="22" t="s">
        <v>62</v>
      </c>
      <c r="E1060" s="6" t="s">
        <v>1904</v>
      </c>
      <c r="F1060" s="22"/>
      <c r="G1060" s="179" t="s">
        <v>4755</v>
      </c>
      <c r="H1060" s="178" t="s">
        <v>4756</v>
      </c>
      <c r="I1060" s="194">
        <v>486612.2</v>
      </c>
      <c r="J1060" s="179" t="s">
        <v>4757</v>
      </c>
      <c r="K1060" s="179" t="s">
        <v>2031</v>
      </c>
      <c r="L1060" s="188"/>
      <c r="M1060" s="34"/>
    </row>
    <row r="1061" spans="1:13">
      <c r="A1061" s="22">
        <v>2013</v>
      </c>
      <c r="B1061" s="179" t="s">
        <v>4758</v>
      </c>
      <c r="C1061" s="112" t="s">
        <v>61</v>
      </c>
      <c r="D1061" s="22" t="s">
        <v>62</v>
      </c>
      <c r="E1061" s="6" t="s">
        <v>1904</v>
      </c>
      <c r="F1061" s="22"/>
      <c r="G1061" s="179" t="s">
        <v>4759</v>
      </c>
      <c r="H1061" s="178" t="s">
        <v>4760</v>
      </c>
      <c r="I1061" s="194">
        <v>424015.98</v>
      </c>
      <c r="J1061" s="179" t="s">
        <v>4761</v>
      </c>
      <c r="K1061" s="179" t="s">
        <v>2031</v>
      </c>
      <c r="L1061" s="188"/>
      <c r="M1061" s="34"/>
    </row>
    <row r="1062" spans="1:13">
      <c r="A1062" s="22">
        <v>2013</v>
      </c>
      <c r="B1062" s="179" t="s">
        <v>4762</v>
      </c>
      <c r="C1062" s="53" t="s">
        <v>61</v>
      </c>
      <c r="D1062" s="22" t="s">
        <v>62</v>
      </c>
      <c r="E1062" s="6" t="s">
        <v>1904</v>
      </c>
      <c r="F1062" s="22"/>
      <c r="G1062" s="178" t="s">
        <v>4763</v>
      </c>
      <c r="H1062" s="179" t="s">
        <v>4764</v>
      </c>
      <c r="I1062" s="194">
        <v>374000</v>
      </c>
      <c r="J1062" s="179" t="s">
        <v>4765</v>
      </c>
      <c r="K1062" s="179" t="s">
        <v>2031</v>
      </c>
      <c r="L1062" s="188"/>
      <c r="M1062" s="34"/>
    </row>
    <row r="1063" spans="1:13">
      <c r="A1063" s="22">
        <v>2013</v>
      </c>
      <c r="B1063" s="179" t="s">
        <v>4766</v>
      </c>
      <c r="C1063" s="112" t="s">
        <v>61</v>
      </c>
      <c r="D1063" s="22" t="s">
        <v>62</v>
      </c>
      <c r="E1063" s="6" t="s">
        <v>1904</v>
      </c>
      <c r="F1063" s="22"/>
      <c r="G1063" s="179" t="s">
        <v>4767</v>
      </c>
      <c r="H1063" s="179" t="s">
        <v>4768</v>
      </c>
      <c r="I1063" s="194">
        <v>1071763</v>
      </c>
      <c r="J1063" s="179" t="s">
        <v>4769</v>
      </c>
      <c r="K1063" s="179" t="s">
        <v>1828</v>
      </c>
      <c r="L1063" s="188"/>
      <c r="M1063" s="34"/>
    </row>
    <row r="1064" spans="1:13">
      <c r="A1064" s="22">
        <v>2013</v>
      </c>
      <c r="B1064" s="179" t="s">
        <v>4770</v>
      </c>
      <c r="C1064" s="112" t="s">
        <v>61</v>
      </c>
      <c r="D1064" s="180" t="s">
        <v>1383</v>
      </c>
      <c r="E1064" s="115" t="s">
        <v>1859</v>
      </c>
      <c r="F1064" s="180"/>
      <c r="G1064" s="179" t="s">
        <v>4771</v>
      </c>
      <c r="H1064" s="179" t="s">
        <v>4772</v>
      </c>
      <c r="I1064" s="194">
        <v>414500</v>
      </c>
      <c r="J1064" s="179" t="s">
        <v>4726</v>
      </c>
      <c r="K1064" s="179" t="s">
        <v>1919</v>
      </c>
      <c r="L1064" s="188"/>
      <c r="M1064" s="34"/>
    </row>
    <row r="1065" spans="1:13">
      <c r="A1065" s="22">
        <v>2013</v>
      </c>
      <c r="B1065" s="179" t="s">
        <v>4773</v>
      </c>
      <c r="C1065" s="112" t="s">
        <v>61</v>
      </c>
      <c r="D1065" s="180" t="s">
        <v>1383</v>
      </c>
      <c r="E1065" s="115" t="s">
        <v>1859</v>
      </c>
      <c r="F1065" s="180"/>
      <c r="G1065" s="179" t="s">
        <v>4774</v>
      </c>
      <c r="H1065" s="179" t="s">
        <v>4775</v>
      </c>
      <c r="I1065" s="194">
        <v>357000</v>
      </c>
      <c r="J1065" s="179" t="s">
        <v>2557</v>
      </c>
      <c r="K1065" s="179" t="s">
        <v>1919</v>
      </c>
      <c r="L1065" s="188"/>
      <c r="M1065" s="34"/>
    </row>
    <row r="1066" spans="1:13">
      <c r="A1066" s="22">
        <v>2013</v>
      </c>
      <c r="B1066" s="179" t="s">
        <v>4776</v>
      </c>
      <c r="C1066" s="112" t="s">
        <v>61</v>
      </c>
      <c r="D1066" s="180" t="s">
        <v>68</v>
      </c>
      <c r="E1066" s="6" t="s">
        <v>1874</v>
      </c>
      <c r="F1066" s="180"/>
      <c r="G1066" s="179" t="s">
        <v>4777</v>
      </c>
      <c r="H1066" s="179" t="s">
        <v>4778</v>
      </c>
      <c r="I1066" s="194">
        <v>3000000</v>
      </c>
      <c r="J1066" s="187" t="s">
        <v>4779</v>
      </c>
      <c r="K1066" s="179" t="s">
        <v>1828</v>
      </c>
      <c r="L1066" s="188"/>
      <c r="M1066" s="34"/>
    </row>
    <row r="1067" spans="1:13">
      <c r="A1067" s="22">
        <v>2013</v>
      </c>
      <c r="B1067" s="179" t="s">
        <v>4780</v>
      </c>
      <c r="C1067" s="112" t="s">
        <v>61</v>
      </c>
      <c r="D1067" s="22" t="s">
        <v>62</v>
      </c>
      <c r="E1067" s="6" t="s">
        <v>1904</v>
      </c>
      <c r="F1067" s="22"/>
      <c r="G1067" s="179" t="s">
        <v>4781</v>
      </c>
      <c r="H1067" s="179" t="s">
        <v>4782</v>
      </c>
      <c r="I1067" s="194">
        <v>297060</v>
      </c>
      <c r="J1067" s="187" t="s">
        <v>4783</v>
      </c>
      <c r="K1067" s="179" t="s">
        <v>2051</v>
      </c>
      <c r="L1067" s="188"/>
      <c r="M1067" s="34"/>
    </row>
    <row r="1068" spans="1:13">
      <c r="A1068" s="22">
        <v>2013</v>
      </c>
      <c r="B1068" s="179" t="s">
        <v>4784</v>
      </c>
      <c r="C1068" s="112" t="s">
        <v>61</v>
      </c>
      <c r="D1068" s="180" t="s">
        <v>1383</v>
      </c>
      <c r="E1068" s="115" t="s">
        <v>1859</v>
      </c>
      <c r="F1068" s="180"/>
      <c r="G1068" s="179" t="s">
        <v>4785</v>
      </c>
      <c r="H1068" s="179" t="s">
        <v>1722</v>
      </c>
      <c r="I1068" s="194">
        <v>172000</v>
      </c>
      <c r="J1068" s="187" t="s">
        <v>2557</v>
      </c>
      <c r="K1068" s="179" t="s">
        <v>1919</v>
      </c>
      <c r="L1068" s="188"/>
      <c r="M1068" s="34"/>
    </row>
    <row r="1069" spans="1:13">
      <c r="A1069" s="22">
        <v>2013</v>
      </c>
      <c r="B1069" s="179" t="s">
        <v>4786</v>
      </c>
      <c r="C1069" s="112" t="s">
        <v>61</v>
      </c>
      <c r="D1069" s="180" t="s">
        <v>4787</v>
      </c>
      <c r="E1069" s="115" t="s">
        <v>1859</v>
      </c>
      <c r="F1069" s="180"/>
      <c r="G1069" s="179" t="s">
        <v>4788</v>
      </c>
      <c r="H1069" s="179" t="s">
        <v>4789</v>
      </c>
      <c r="I1069" s="194">
        <v>173000</v>
      </c>
      <c r="J1069" s="187"/>
      <c r="K1069" s="187" t="s">
        <v>1828</v>
      </c>
      <c r="L1069" s="188"/>
      <c r="M1069" s="34"/>
    </row>
    <row r="1070" spans="1:13">
      <c r="A1070" s="22">
        <v>2013</v>
      </c>
      <c r="B1070" s="179" t="s">
        <v>4790</v>
      </c>
      <c r="C1070" s="112" t="s">
        <v>61</v>
      </c>
      <c r="D1070" s="191" t="s">
        <v>3092</v>
      </c>
      <c r="E1070" s="6" t="s">
        <v>1904</v>
      </c>
      <c r="F1070" s="191"/>
      <c r="G1070" s="179" t="s">
        <v>4791</v>
      </c>
      <c r="H1070" s="179" t="s">
        <v>4792</v>
      </c>
      <c r="I1070" s="194">
        <v>445000</v>
      </c>
      <c r="J1070" s="187" t="s">
        <v>4793</v>
      </c>
      <c r="K1070" s="6" t="s">
        <v>1886</v>
      </c>
      <c r="L1070" s="188"/>
      <c r="M1070" s="34"/>
    </row>
    <row r="1071" spans="1:13">
      <c r="A1071" s="22">
        <v>2013</v>
      </c>
      <c r="B1071" s="179" t="s">
        <v>4794</v>
      </c>
      <c r="C1071" s="112" t="s">
        <v>61</v>
      </c>
      <c r="D1071" s="180" t="s">
        <v>4787</v>
      </c>
      <c r="E1071" s="115" t="s">
        <v>1859</v>
      </c>
      <c r="F1071" s="180"/>
      <c r="G1071" s="179" t="s">
        <v>4795</v>
      </c>
      <c r="H1071" s="179" t="s">
        <v>4796</v>
      </c>
      <c r="I1071" s="194">
        <v>228945</v>
      </c>
      <c r="J1071" s="179" t="s">
        <v>4797</v>
      </c>
      <c r="K1071" s="179" t="s">
        <v>1828</v>
      </c>
      <c r="L1071" s="188"/>
      <c r="M1071" s="34"/>
    </row>
    <row r="1072" spans="1:13">
      <c r="A1072" s="22">
        <v>2013</v>
      </c>
      <c r="B1072" s="179" t="s">
        <v>4798</v>
      </c>
      <c r="C1072" s="112" t="s">
        <v>61</v>
      </c>
      <c r="D1072" s="22" t="s">
        <v>62</v>
      </c>
      <c r="E1072" s="6" t="s">
        <v>1904</v>
      </c>
      <c r="F1072" s="22"/>
      <c r="G1072" s="179" t="s">
        <v>4799</v>
      </c>
      <c r="H1072" s="179" t="s">
        <v>4800</v>
      </c>
      <c r="I1072" s="194">
        <v>659400</v>
      </c>
      <c r="J1072" s="179" t="s">
        <v>4801</v>
      </c>
      <c r="K1072" s="6" t="s">
        <v>1886</v>
      </c>
      <c r="L1072" s="188"/>
      <c r="M1072" s="34"/>
    </row>
    <row r="1073" spans="1:13">
      <c r="A1073" s="22">
        <v>2013</v>
      </c>
      <c r="B1073" s="179" t="s">
        <v>4802</v>
      </c>
      <c r="C1073" s="112" t="s">
        <v>3096</v>
      </c>
      <c r="D1073" s="179" t="s">
        <v>3075</v>
      </c>
      <c r="E1073" s="6"/>
      <c r="F1073" s="180"/>
      <c r="G1073" s="179" t="s">
        <v>4803</v>
      </c>
      <c r="H1073" s="179" t="s">
        <v>4804</v>
      </c>
      <c r="I1073" s="194">
        <v>200000</v>
      </c>
      <c r="J1073" s="179" t="s">
        <v>4726</v>
      </c>
      <c r="K1073" s="179" t="s">
        <v>1828</v>
      </c>
      <c r="L1073" s="188"/>
      <c r="M1073" s="34"/>
    </row>
    <row r="1074" spans="1:13">
      <c r="A1074" s="22">
        <v>2013</v>
      </c>
      <c r="B1074" s="179" t="s">
        <v>4805</v>
      </c>
      <c r="C1074" s="112" t="s">
        <v>3096</v>
      </c>
      <c r="D1074" s="179" t="s">
        <v>125</v>
      </c>
      <c r="E1074" s="6" t="s">
        <v>1874</v>
      </c>
      <c r="F1074" s="180"/>
      <c r="G1074" s="179" t="s">
        <v>4806</v>
      </c>
      <c r="H1074" s="179" t="s">
        <v>4804</v>
      </c>
      <c r="I1074" s="195">
        <v>360600</v>
      </c>
      <c r="J1074" s="179" t="s">
        <v>4726</v>
      </c>
      <c r="K1074" s="179" t="s">
        <v>1828</v>
      </c>
      <c r="L1074" s="188"/>
      <c r="M1074" s="34"/>
    </row>
    <row r="1075" spans="1:13">
      <c r="A1075" s="22">
        <v>2013</v>
      </c>
      <c r="B1075" s="179" t="s">
        <v>4807</v>
      </c>
      <c r="C1075" s="112" t="s">
        <v>61</v>
      </c>
      <c r="D1075" s="180" t="s">
        <v>68</v>
      </c>
      <c r="E1075" s="6" t="s">
        <v>1874</v>
      </c>
      <c r="F1075" s="180"/>
      <c r="G1075" s="179" t="s">
        <v>4808</v>
      </c>
      <c r="H1075" s="179" t="s">
        <v>4809</v>
      </c>
      <c r="I1075" s="194">
        <v>996976</v>
      </c>
      <c r="J1075" s="179" t="s">
        <v>4810</v>
      </c>
      <c r="K1075" s="179" t="s">
        <v>1828</v>
      </c>
      <c r="L1075" s="188"/>
      <c r="M1075" s="34"/>
    </row>
    <row r="1076" spans="1:13">
      <c r="A1076" s="22">
        <v>2013</v>
      </c>
      <c r="B1076" s="179" t="s">
        <v>4811</v>
      </c>
      <c r="C1076" s="112" t="s">
        <v>61</v>
      </c>
      <c r="D1076" s="180" t="s">
        <v>652</v>
      </c>
      <c r="E1076" s="6" t="s">
        <v>1874</v>
      </c>
      <c r="F1076" s="180"/>
      <c r="G1076" s="179" t="s">
        <v>4812</v>
      </c>
      <c r="H1076" s="179" t="s">
        <v>4813</v>
      </c>
      <c r="I1076" s="58">
        <v>109500</v>
      </c>
      <c r="J1076" s="187" t="s">
        <v>4814</v>
      </c>
      <c r="K1076" s="6" t="s">
        <v>1886</v>
      </c>
      <c r="L1076" s="188"/>
      <c r="M1076" s="34"/>
    </row>
    <row r="1077" spans="1:13">
      <c r="A1077" s="22">
        <v>2013</v>
      </c>
      <c r="B1077" s="179" t="s">
        <v>4815</v>
      </c>
      <c r="C1077" s="112" t="s">
        <v>61</v>
      </c>
      <c r="D1077" s="191" t="s">
        <v>3092</v>
      </c>
      <c r="E1077" s="6" t="s">
        <v>1904</v>
      </c>
      <c r="F1077" s="191"/>
      <c r="G1077" s="179" t="s">
        <v>4816</v>
      </c>
      <c r="H1077" s="179" t="s">
        <v>4817</v>
      </c>
      <c r="I1077" s="194">
        <v>340000</v>
      </c>
      <c r="J1077" s="179" t="s">
        <v>4818</v>
      </c>
      <c r="K1077" s="6" t="s">
        <v>1886</v>
      </c>
      <c r="L1077" s="188"/>
      <c r="M1077" s="34"/>
    </row>
    <row r="1078" spans="1:13">
      <c r="A1078" s="22">
        <v>2013</v>
      </c>
      <c r="B1078" s="185">
        <v>41275</v>
      </c>
      <c r="C1078" s="112" t="s">
        <v>61</v>
      </c>
      <c r="D1078" s="180" t="s">
        <v>3168</v>
      </c>
      <c r="E1078" s="115" t="s">
        <v>1859</v>
      </c>
      <c r="F1078" s="180"/>
      <c r="G1078" s="179" t="s">
        <v>4819</v>
      </c>
      <c r="H1078" s="179" t="s">
        <v>4820</v>
      </c>
      <c r="I1078" s="194">
        <v>50000</v>
      </c>
      <c r="J1078" s="179" t="s">
        <v>4821</v>
      </c>
      <c r="K1078" s="179" t="s">
        <v>1828</v>
      </c>
      <c r="L1078" s="188"/>
      <c r="M1078" s="34"/>
    </row>
    <row r="1079" spans="1:13">
      <c r="A1079" s="22">
        <v>2013</v>
      </c>
      <c r="B1079" s="185">
        <v>41306</v>
      </c>
      <c r="C1079" s="112" t="s">
        <v>61</v>
      </c>
      <c r="D1079" s="180" t="s">
        <v>1763</v>
      </c>
      <c r="E1079" s="115" t="s">
        <v>1859</v>
      </c>
      <c r="F1079" s="180"/>
      <c r="G1079" s="206" t="s">
        <v>4822</v>
      </c>
      <c r="H1079" s="179" t="s">
        <v>4823</v>
      </c>
      <c r="I1079" s="194">
        <v>80000</v>
      </c>
      <c r="J1079" s="179" t="s">
        <v>4824</v>
      </c>
      <c r="K1079" s="6" t="s">
        <v>1886</v>
      </c>
      <c r="L1079" s="188"/>
      <c r="M1079" s="34"/>
    </row>
    <row r="1080" spans="1:13">
      <c r="A1080" s="22">
        <v>2013</v>
      </c>
      <c r="B1080" s="185">
        <v>41334</v>
      </c>
      <c r="C1080" s="112" t="s">
        <v>61</v>
      </c>
      <c r="D1080" s="180" t="s">
        <v>1383</v>
      </c>
      <c r="E1080" s="115" t="s">
        <v>1859</v>
      </c>
      <c r="F1080" s="180"/>
      <c r="G1080" s="179" t="s">
        <v>4825</v>
      </c>
      <c r="H1080" s="179" t="s">
        <v>4826</v>
      </c>
      <c r="I1080" s="194">
        <v>21000</v>
      </c>
      <c r="J1080" s="179" t="s">
        <v>4827</v>
      </c>
      <c r="K1080" s="179" t="s">
        <v>1828</v>
      </c>
      <c r="L1080" s="188"/>
      <c r="M1080" s="34"/>
    </row>
    <row r="1081" spans="1:13">
      <c r="A1081" s="22">
        <v>2013</v>
      </c>
      <c r="B1081" s="185">
        <v>41365</v>
      </c>
      <c r="C1081" s="112" t="s">
        <v>61</v>
      </c>
      <c r="D1081" s="180" t="s">
        <v>3168</v>
      </c>
      <c r="E1081" s="115" t="s">
        <v>1859</v>
      </c>
      <c r="F1081" s="180"/>
      <c r="G1081" s="206" t="s">
        <v>4828</v>
      </c>
      <c r="H1081" s="187" t="s">
        <v>4829</v>
      </c>
      <c r="I1081" s="194">
        <v>12061.25</v>
      </c>
      <c r="J1081" s="179" t="s">
        <v>4830</v>
      </c>
      <c r="K1081" s="179" t="s">
        <v>1916</v>
      </c>
      <c r="L1081" s="188"/>
      <c r="M1081" s="34"/>
    </row>
    <row r="1082" spans="1:13">
      <c r="A1082" s="22">
        <v>2013</v>
      </c>
      <c r="B1082" s="185">
        <v>41395</v>
      </c>
      <c r="C1082" s="112" t="s">
        <v>61</v>
      </c>
      <c r="D1082" s="180" t="s">
        <v>1383</v>
      </c>
      <c r="E1082" s="115" t="s">
        <v>1859</v>
      </c>
      <c r="F1082" s="180"/>
      <c r="G1082" s="179" t="s">
        <v>4831</v>
      </c>
      <c r="H1082" s="179" t="s">
        <v>4832</v>
      </c>
      <c r="I1082" s="194">
        <v>25128</v>
      </c>
      <c r="J1082" s="187"/>
      <c r="K1082" s="179" t="s">
        <v>1828</v>
      </c>
      <c r="L1082" s="188"/>
      <c r="M1082" s="34"/>
    </row>
    <row r="1083" spans="1:13">
      <c r="A1083" s="22">
        <v>2013</v>
      </c>
      <c r="B1083" s="185">
        <v>41426</v>
      </c>
      <c r="C1083" s="112" t="s">
        <v>61</v>
      </c>
      <c r="D1083" s="180" t="s">
        <v>1383</v>
      </c>
      <c r="E1083" s="115" t="s">
        <v>1859</v>
      </c>
      <c r="F1083" s="180"/>
      <c r="G1083" s="206" t="s">
        <v>4833</v>
      </c>
      <c r="H1083" s="187" t="s">
        <v>4834</v>
      </c>
      <c r="I1083" s="194">
        <v>10904.3</v>
      </c>
      <c r="J1083" s="187" t="s">
        <v>4835</v>
      </c>
      <c r="K1083" s="179" t="s">
        <v>1828</v>
      </c>
      <c r="L1083" s="188"/>
      <c r="M1083" s="34"/>
    </row>
    <row r="1084" spans="1:13">
      <c r="A1084" s="22">
        <v>2013</v>
      </c>
      <c r="B1084" s="185">
        <v>41456</v>
      </c>
      <c r="C1084" s="112" t="s">
        <v>61</v>
      </c>
      <c r="D1084" s="180" t="s">
        <v>1763</v>
      </c>
      <c r="E1084" s="115" t="s">
        <v>1859</v>
      </c>
      <c r="F1084" s="180"/>
      <c r="G1084" s="179" t="s">
        <v>4836</v>
      </c>
      <c r="H1084" s="179" t="s">
        <v>4837</v>
      </c>
      <c r="I1084" s="194">
        <v>100000</v>
      </c>
      <c r="J1084" s="179" t="s">
        <v>4838</v>
      </c>
      <c r="K1084" s="6" t="s">
        <v>1886</v>
      </c>
      <c r="L1084" s="188"/>
      <c r="M1084" s="34"/>
    </row>
    <row r="1085" spans="1:13">
      <c r="A1085" s="22">
        <v>2013</v>
      </c>
      <c r="B1085" s="185">
        <v>41487</v>
      </c>
      <c r="C1085" s="112" t="s">
        <v>61</v>
      </c>
      <c r="D1085" s="180" t="s">
        <v>394</v>
      </c>
      <c r="E1085" s="115" t="s">
        <v>1853</v>
      </c>
      <c r="F1085" s="180"/>
      <c r="G1085" s="179" t="s">
        <v>4839</v>
      </c>
      <c r="H1085" s="179" t="s">
        <v>1346</v>
      </c>
      <c r="I1085" s="194">
        <v>32000</v>
      </c>
      <c r="J1085" s="179" t="s">
        <v>4149</v>
      </c>
      <c r="K1085" s="6" t="s">
        <v>2082</v>
      </c>
      <c r="L1085" s="188"/>
      <c r="M1085" s="34"/>
    </row>
    <row r="1086" spans="1:13">
      <c r="A1086" s="22">
        <v>2013</v>
      </c>
      <c r="B1086" s="185">
        <v>41518</v>
      </c>
      <c r="C1086" s="112" t="s">
        <v>61</v>
      </c>
      <c r="D1086" s="180" t="s">
        <v>1141</v>
      </c>
      <c r="E1086" s="6" t="s">
        <v>1904</v>
      </c>
      <c r="F1086" s="180"/>
      <c r="G1086" s="179" t="s">
        <v>4840</v>
      </c>
      <c r="H1086" s="179" t="s">
        <v>4841</v>
      </c>
      <c r="I1086" s="194">
        <v>94895</v>
      </c>
      <c r="J1086" s="187" t="s">
        <v>4842</v>
      </c>
      <c r="K1086" s="179" t="s">
        <v>1916</v>
      </c>
      <c r="L1086" s="188"/>
      <c r="M1086" s="34"/>
    </row>
    <row r="1087" spans="1:13">
      <c r="A1087" s="22">
        <v>2013</v>
      </c>
      <c r="B1087" s="192">
        <v>41548</v>
      </c>
      <c r="C1087" s="112" t="s">
        <v>61</v>
      </c>
      <c r="D1087" s="180" t="s">
        <v>4787</v>
      </c>
      <c r="E1087" s="115" t="s">
        <v>1859</v>
      </c>
      <c r="F1087" s="180"/>
      <c r="G1087" s="179" t="s">
        <v>4843</v>
      </c>
      <c r="H1087" s="179" t="s">
        <v>4844</v>
      </c>
      <c r="I1087" s="194">
        <v>84000</v>
      </c>
      <c r="J1087" s="187" t="s">
        <v>4845</v>
      </c>
      <c r="K1087" s="179" t="s">
        <v>1828</v>
      </c>
      <c r="L1087" s="188"/>
      <c r="M1087" s="34"/>
    </row>
    <row r="1088" spans="1:13">
      <c r="A1088" s="22">
        <v>2013</v>
      </c>
      <c r="B1088" s="179" t="s">
        <v>4846</v>
      </c>
      <c r="C1088" s="112" t="s">
        <v>61</v>
      </c>
      <c r="D1088" s="180" t="s">
        <v>1383</v>
      </c>
      <c r="E1088" s="115" t="s">
        <v>1859</v>
      </c>
      <c r="F1088" s="180"/>
      <c r="G1088" s="179" t="s">
        <v>4847</v>
      </c>
      <c r="H1088" s="179" t="s">
        <v>840</v>
      </c>
      <c r="I1088" s="194">
        <v>100000</v>
      </c>
      <c r="J1088" s="178" t="s">
        <v>4848</v>
      </c>
      <c r="K1088" s="179" t="s">
        <v>1828</v>
      </c>
      <c r="L1088" s="188"/>
      <c r="M1088" s="34"/>
    </row>
    <row r="1089" spans="1:13">
      <c r="A1089" s="22">
        <v>2013</v>
      </c>
      <c r="B1089" s="192">
        <v>41609</v>
      </c>
      <c r="C1089" s="112" t="s">
        <v>61</v>
      </c>
      <c r="D1089" s="180" t="s">
        <v>1383</v>
      </c>
      <c r="E1089" s="115" t="s">
        <v>1859</v>
      </c>
      <c r="F1089" s="180"/>
      <c r="G1089" s="179" t="s">
        <v>4849</v>
      </c>
      <c r="H1089" s="179" t="s">
        <v>1346</v>
      </c>
      <c r="I1089" s="194">
        <v>30000</v>
      </c>
      <c r="J1089" s="187" t="s">
        <v>4848</v>
      </c>
      <c r="K1089" s="6" t="s">
        <v>2082</v>
      </c>
      <c r="L1089" s="188"/>
      <c r="M1089" s="34"/>
    </row>
    <row r="1090" spans="1:13">
      <c r="A1090" s="22">
        <v>2013</v>
      </c>
      <c r="B1090" s="179" t="s">
        <v>4744</v>
      </c>
      <c r="C1090" s="112" t="s">
        <v>61</v>
      </c>
      <c r="D1090" s="180" t="s">
        <v>1383</v>
      </c>
      <c r="E1090" s="115" t="s">
        <v>1859</v>
      </c>
      <c r="F1090" s="180"/>
      <c r="G1090" s="179" t="s">
        <v>4850</v>
      </c>
      <c r="H1090" s="179" t="s">
        <v>4851</v>
      </c>
      <c r="I1090" s="194">
        <v>50000</v>
      </c>
      <c r="J1090" s="187" t="s">
        <v>4848</v>
      </c>
      <c r="K1090" s="179" t="s">
        <v>1828</v>
      </c>
      <c r="L1090" s="188"/>
      <c r="M1090" s="34"/>
    </row>
    <row r="1091" spans="1:13">
      <c r="A1091" s="22">
        <v>2013</v>
      </c>
      <c r="B1091" s="179" t="s">
        <v>4748</v>
      </c>
      <c r="C1091" s="112" t="s">
        <v>61</v>
      </c>
      <c r="D1091" s="180" t="s">
        <v>1383</v>
      </c>
      <c r="E1091" s="115" t="s">
        <v>1859</v>
      </c>
      <c r="F1091" s="180"/>
      <c r="G1091" s="179" t="s">
        <v>4852</v>
      </c>
      <c r="H1091" s="179" t="s">
        <v>4853</v>
      </c>
      <c r="I1091" s="194">
        <v>35000</v>
      </c>
      <c r="J1091" s="187" t="s">
        <v>4848</v>
      </c>
      <c r="K1091" s="179" t="s">
        <v>1828</v>
      </c>
      <c r="L1091" s="188"/>
      <c r="M1091" s="34"/>
    </row>
    <row r="1092" spans="1:13">
      <c r="A1092" s="22">
        <v>2013</v>
      </c>
      <c r="B1092" s="179" t="s">
        <v>4750</v>
      </c>
      <c r="C1092" s="112" t="s">
        <v>61</v>
      </c>
      <c r="D1092" s="180" t="s">
        <v>1141</v>
      </c>
      <c r="E1092" s="6" t="s">
        <v>1904</v>
      </c>
      <c r="F1092" s="180"/>
      <c r="G1092" s="179" t="s">
        <v>4854</v>
      </c>
      <c r="H1092" s="179" t="s">
        <v>4855</v>
      </c>
      <c r="I1092" s="194">
        <v>90693</v>
      </c>
      <c r="J1092" s="187" t="s">
        <v>4856</v>
      </c>
      <c r="K1092" s="179" t="s">
        <v>2031</v>
      </c>
      <c r="L1092" s="188"/>
      <c r="M1092" s="34"/>
    </row>
    <row r="1093" spans="1:13">
      <c r="A1093" s="22">
        <v>2013</v>
      </c>
      <c r="B1093" s="179" t="s">
        <v>4754</v>
      </c>
      <c r="C1093" s="112" t="s">
        <v>61</v>
      </c>
      <c r="D1093" s="180" t="s">
        <v>1763</v>
      </c>
      <c r="E1093" s="115" t="s">
        <v>1859</v>
      </c>
      <c r="F1093" s="180"/>
      <c r="G1093" s="178" t="s">
        <v>4857</v>
      </c>
      <c r="H1093" s="179" t="s">
        <v>4858</v>
      </c>
      <c r="I1093" s="194">
        <v>60000</v>
      </c>
      <c r="J1093" s="187" t="s">
        <v>4859</v>
      </c>
      <c r="K1093" s="198" t="s">
        <v>2041</v>
      </c>
      <c r="L1093" s="188"/>
      <c r="M1093" s="34"/>
    </row>
    <row r="1094" spans="1:13">
      <c r="A1094" s="22">
        <v>2013</v>
      </c>
      <c r="B1094" s="179" t="s">
        <v>4762</v>
      </c>
      <c r="C1094" s="112" t="s">
        <v>61</v>
      </c>
      <c r="D1094" s="180" t="s">
        <v>1383</v>
      </c>
      <c r="E1094" s="115" t="s">
        <v>1859</v>
      </c>
      <c r="F1094" s="180"/>
      <c r="G1094" s="179" t="s">
        <v>4860</v>
      </c>
      <c r="H1094" s="179" t="s">
        <v>4861</v>
      </c>
      <c r="I1094" s="194">
        <v>25000</v>
      </c>
      <c r="J1094" s="187" t="s">
        <v>4862</v>
      </c>
      <c r="K1094" s="179" t="s">
        <v>1828</v>
      </c>
      <c r="L1094" s="188"/>
      <c r="M1094" s="34"/>
    </row>
    <row r="1095" spans="1:13">
      <c r="A1095" s="22">
        <v>2013</v>
      </c>
      <c r="B1095" s="179" t="s">
        <v>4766</v>
      </c>
      <c r="C1095" s="112" t="s">
        <v>61</v>
      </c>
      <c r="D1095" s="22" t="s">
        <v>62</v>
      </c>
      <c r="E1095" s="6" t="s">
        <v>1904</v>
      </c>
      <c r="F1095" s="22"/>
      <c r="G1095" s="179" t="s">
        <v>4863</v>
      </c>
      <c r="H1095" s="179" t="s">
        <v>4864</v>
      </c>
      <c r="I1095" s="194">
        <v>97464</v>
      </c>
      <c r="J1095" s="179" t="s">
        <v>4865</v>
      </c>
      <c r="K1095" s="179" t="s">
        <v>1899</v>
      </c>
      <c r="L1095" s="188"/>
      <c r="M1095" s="34"/>
    </row>
    <row r="1096" spans="1:13">
      <c r="A1096" s="22">
        <v>2013</v>
      </c>
      <c r="B1096" s="179" t="s">
        <v>4770</v>
      </c>
      <c r="C1096" s="112" t="s">
        <v>61</v>
      </c>
      <c r="D1096" s="180" t="s">
        <v>3168</v>
      </c>
      <c r="E1096" s="115" t="s">
        <v>1859</v>
      </c>
      <c r="F1096" s="180"/>
      <c r="G1096" s="179" t="s">
        <v>4866</v>
      </c>
      <c r="H1096" s="179" t="s">
        <v>575</v>
      </c>
      <c r="I1096" s="194">
        <v>46700</v>
      </c>
      <c r="J1096" s="187" t="s">
        <v>4149</v>
      </c>
      <c r="K1096" s="179" t="s">
        <v>1828</v>
      </c>
      <c r="L1096" s="188"/>
      <c r="M1096" s="34"/>
    </row>
    <row r="1097" spans="1:13">
      <c r="A1097" s="22">
        <v>2013</v>
      </c>
      <c r="B1097" s="179" t="s">
        <v>4867</v>
      </c>
      <c r="C1097" s="112" t="s">
        <v>61</v>
      </c>
      <c r="D1097" s="180" t="s">
        <v>1383</v>
      </c>
      <c r="E1097" s="115" t="s">
        <v>1859</v>
      </c>
      <c r="F1097" s="180"/>
      <c r="G1097" s="179" t="s">
        <v>4868</v>
      </c>
      <c r="H1097" s="179" t="s">
        <v>4869</v>
      </c>
      <c r="I1097" s="194">
        <v>6000</v>
      </c>
      <c r="J1097" s="179" t="s">
        <v>4870</v>
      </c>
      <c r="K1097" s="179" t="s">
        <v>1828</v>
      </c>
      <c r="L1097" s="188"/>
      <c r="M1097" s="34"/>
    </row>
    <row r="1098" spans="1:13">
      <c r="A1098" s="22">
        <v>2013</v>
      </c>
      <c r="B1098" s="179" t="s">
        <v>4871</v>
      </c>
      <c r="C1098" s="112" t="s">
        <v>61</v>
      </c>
      <c r="D1098" s="180" t="s">
        <v>1383</v>
      </c>
      <c r="E1098" s="115" t="s">
        <v>1859</v>
      </c>
      <c r="F1098" s="180"/>
      <c r="G1098" s="179" t="s">
        <v>4872</v>
      </c>
      <c r="H1098" s="179" t="s">
        <v>4873</v>
      </c>
      <c r="I1098" s="194">
        <v>100000</v>
      </c>
      <c r="J1098" s="179" t="s">
        <v>4874</v>
      </c>
      <c r="K1098" s="6" t="s">
        <v>1886</v>
      </c>
      <c r="L1098" s="188"/>
      <c r="M1098" s="34"/>
    </row>
    <row r="1099" spans="1:13">
      <c r="A1099" s="22">
        <v>2013</v>
      </c>
      <c r="B1099" s="179" t="s">
        <v>4875</v>
      </c>
      <c r="C1099" s="112" t="s">
        <v>61</v>
      </c>
      <c r="D1099" s="180" t="s">
        <v>394</v>
      </c>
      <c r="E1099" s="115" t="s">
        <v>1853</v>
      </c>
      <c r="F1099" s="180"/>
      <c r="G1099" s="179" t="s">
        <v>4876</v>
      </c>
      <c r="H1099" s="179" t="s">
        <v>1508</v>
      </c>
      <c r="I1099" s="194">
        <v>37500</v>
      </c>
      <c r="J1099" s="179" t="s">
        <v>4877</v>
      </c>
      <c r="K1099" s="53" t="s">
        <v>2085</v>
      </c>
      <c r="L1099" s="188"/>
      <c r="M1099" s="34"/>
    </row>
    <row r="1100" spans="1:13">
      <c r="A1100" s="22">
        <v>2013</v>
      </c>
      <c r="B1100" s="179" t="s">
        <v>4878</v>
      </c>
      <c r="C1100" s="53" t="s">
        <v>61</v>
      </c>
      <c r="D1100" s="180" t="s">
        <v>1383</v>
      </c>
      <c r="E1100" s="115" t="s">
        <v>1859</v>
      </c>
      <c r="F1100" s="180"/>
      <c r="G1100" s="179" t="s">
        <v>4879</v>
      </c>
      <c r="H1100" s="179" t="s">
        <v>4880</v>
      </c>
      <c r="I1100" s="194"/>
      <c r="J1100" s="179"/>
      <c r="K1100" s="179"/>
      <c r="L1100" s="188"/>
      <c r="M1100" s="34"/>
    </row>
    <row r="1101" spans="1:13">
      <c r="A1101" s="22">
        <v>2013</v>
      </c>
      <c r="B1101" s="179" t="s">
        <v>4881</v>
      </c>
      <c r="C1101" s="112" t="s">
        <v>61</v>
      </c>
      <c r="D1101" s="180" t="s">
        <v>1383</v>
      </c>
      <c r="E1101" s="115" t="s">
        <v>1859</v>
      </c>
      <c r="F1101" s="180"/>
      <c r="G1101" s="179" t="s">
        <v>4882</v>
      </c>
      <c r="H1101" s="179" t="s">
        <v>4883</v>
      </c>
      <c r="I1101" s="194">
        <v>30500</v>
      </c>
      <c r="J1101" s="187" t="s">
        <v>4884</v>
      </c>
      <c r="K1101" s="179" t="s">
        <v>1828</v>
      </c>
      <c r="L1101" s="188"/>
      <c r="M1101" s="34"/>
    </row>
    <row r="1102" spans="1:13">
      <c r="A1102" s="22">
        <v>2013</v>
      </c>
      <c r="B1102" s="179" t="s">
        <v>4790</v>
      </c>
      <c r="C1102" s="112" t="s">
        <v>61</v>
      </c>
      <c r="D1102" s="180" t="s">
        <v>1383</v>
      </c>
      <c r="E1102" s="115" t="s">
        <v>1859</v>
      </c>
      <c r="F1102" s="180"/>
      <c r="G1102" s="179" t="s">
        <v>4885</v>
      </c>
      <c r="H1102" s="179" t="s">
        <v>4886</v>
      </c>
      <c r="I1102" s="194">
        <v>84500</v>
      </c>
      <c r="J1102" s="187"/>
      <c r="K1102" s="179" t="s">
        <v>1828</v>
      </c>
      <c r="L1102" s="188"/>
      <c r="M1102" s="34"/>
    </row>
    <row r="1103" spans="1:13">
      <c r="A1103" s="22">
        <v>2013</v>
      </c>
      <c r="B1103" s="179" t="s">
        <v>4887</v>
      </c>
      <c r="C1103" s="112" t="s">
        <v>61</v>
      </c>
      <c r="D1103" s="180" t="s">
        <v>1383</v>
      </c>
      <c r="E1103" s="115" t="s">
        <v>1859</v>
      </c>
      <c r="F1103" s="180"/>
      <c r="G1103" s="179" t="s">
        <v>4888</v>
      </c>
      <c r="H1103" s="179" t="s">
        <v>4851</v>
      </c>
      <c r="I1103" s="194">
        <v>50000</v>
      </c>
      <c r="J1103" s="187"/>
      <c r="K1103" s="179" t="s">
        <v>1828</v>
      </c>
      <c r="L1103" s="188"/>
      <c r="M1103" s="34"/>
    </row>
    <row r="1104" spans="1:13">
      <c r="A1104" s="22">
        <v>2013</v>
      </c>
      <c r="B1104" s="179" t="s">
        <v>4798</v>
      </c>
      <c r="C1104" s="112" t="s">
        <v>61</v>
      </c>
      <c r="D1104" s="180" t="s">
        <v>1383</v>
      </c>
      <c r="E1104" s="115" t="s">
        <v>1859</v>
      </c>
      <c r="F1104" s="180"/>
      <c r="G1104" s="179" t="s">
        <v>4889</v>
      </c>
      <c r="H1104" s="179" t="s">
        <v>1598</v>
      </c>
      <c r="I1104" s="194">
        <v>39000</v>
      </c>
      <c r="J1104" s="187" t="s">
        <v>4890</v>
      </c>
      <c r="K1104" s="179" t="s">
        <v>2031</v>
      </c>
      <c r="L1104" s="188"/>
      <c r="M1104" s="34"/>
    </row>
    <row r="1105" spans="1:13">
      <c r="A1105" s="22">
        <v>2013</v>
      </c>
      <c r="B1105" s="179" t="s">
        <v>4802</v>
      </c>
      <c r="C1105" s="112" t="s">
        <v>61</v>
      </c>
      <c r="D1105" s="180" t="s">
        <v>1383</v>
      </c>
      <c r="E1105" s="115" t="s">
        <v>1859</v>
      </c>
      <c r="F1105" s="180"/>
      <c r="G1105" s="179" t="s">
        <v>4891</v>
      </c>
      <c r="H1105" s="179" t="s">
        <v>4892</v>
      </c>
      <c r="I1105" s="194">
        <v>50000</v>
      </c>
      <c r="J1105" s="187" t="s">
        <v>3686</v>
      </c>
      <c r="K1105" s="6" t="s">
        <v>1886</v>
      </c>
      <c r="L1105" s="188"/>
      <c r="M1105" s="34"/>
    </row>
    <row r="1106" spans="1:13">
      <c r="A1106" s="22">
        <v>2013</v>
      </c>
      <c r="B1106" s="179" t="s">
        <v>4805</v>
      </c>
      <c r="C1106" s="112" t="s">
        <v>61</v>
      </c>
      <c r="D1106" s="180" t="s">
        <v>1383</v>
      </c>
      <c r="E1106" s="115" t="s">
        <v>1859</v>
      </c>
      <c r="F1106" s="180"/>
      <c r="G1106" s="179" t="s">
        <v>4893</v>
      </c>
      <c r="H1106" s="179" t="s">
        <v>4894</v>
      </c>
      <c r="I1106" s="194">
        <v>20000</v>
      </c>
      <c r="J1106" s="187" t="s">
        <v>1938</v>
      </c>
      <c r="K1106" s="179" t="s">
        <v>1828</v>
      </c>
      <c r="L1106" s="188"/>
      <c r="M1106" s="34"/>
    </row>
    <row r="1107" spans="1:13">
      <c r="A1107" s="22">
        <v>2013</v>
      </c>
      <c r="B1107" s="179" t="s">
        <v>4807</v>
      </c>
      <c r="C1107" s="112" t="s">
        <v>61</v>
      </c>
      <c r="D1107" s="180" t="s">
        <v>1383</v>
      </c>
      <c r="E1107" s="115" t="s">
        <v>1859</v>
      </c>
      <c r="F1107" s="180"/>
      <c r="G1107" s="179" t="s">
        <v>4895</v>
      </c>
      <c r="H1107" s="179" t="s">
        <v>4896</v>
      </c>
      <c r="I1107" s="194">
        <v>20000</v>
      </c>
      <c r="J1107" s="187" t="s">
        <v>4897</v>
      </c>
      <c r="K1107" s="179" t="s">
        <v>1828</v>
      </c>
      <c r="L1107" s="188"/>
      <c r="M1107" s="34"/>
    </row>
    <row r="1108" spans="1:13">
      <c r="A1108" s="22">
        <v>2013</v>
      </c>
      <c r="B1108" s="179" t="s">
        <v>4811</v>
      </c>
      <c r="C1108" s="112" t="s">
        <v>61</v>
      </c>
      <c r="D1108" s="180" t="s">
        <v>1383</v>
      </c>
      <c r="E1108" s="115" t="s">
        <v>1859</v>
      </c>
      <c r="F1108" s="180"/>
      <c r="G1108" s="179" t="s">
        <v>4898</v>
      </c>
      <c r="H1108" s="179" t="s">
        <v>1889</v>
      </c>
      <c r="I1108" s="194">
        <v>20000</v>
      </c>
      <c r="J1108" s="179" t="s">
        <v>1938</v>
      </c>
      <c r="K1108" s="179" t="s">
        <v>1828</v>
      </c>
      <c r="L1108" s="188"/>
      <c r="M1108" s="34"/>
    </row>
    <row r="1109" spans="1:13">
      <c r="A1109" s="22">
        <v>2013</v>
      </c>
      <c r="B1109" s="179" t="s">
        <v>4815</v>
      </c>
      <c r="C1109" s="112" t="s">
        <v>61</v>
      </c>
      <c r="D1109" s="180" t="s">
        <v>1383</v>
      </c>
      <c r="E1109" s="115" t="s">
        <v>1859</v>
      </c>
      <c r="F1109" s="180"/>
      <c r="G1109" s="179" t="s">
        <v>4899</v>
      </c>
      <c r="H1109" s="179" t="s">
        <v>1889</v>
      </c>
      <c r="I1109" s="194">
        <v>60000</v>
      </c>
      <c r="J1109" s="179" t="s">
        <v>1938</v>
      </c>
      <c r="K1109" s="179" t="s">
        <v>1828</v>
      </c>
      <c r="L1109" s="188"/>
      <c r="M1109" s="34"/>
    </row>
    <row r="1110" spans="1:13">
      <c r="A1110" s="22">
        <v>2013</v>
      </c>
      <c r="B1110" s="179" t="s">
        <v>4900</v>
      </c>
      <c r="C1110" s="112" t="s">
        <v>61</v>
      </c>
      <c r="D1110" s="180" t="s">
        <v>1383</v>
      </c>
      <c r="E1110" s="115" t="s">
        <v>1859</v>
      </c>
      <c r="F1110" s="180"/>
      <c r="G1110" s="179" t="s">
        <v>4901</v>
      </c>
      <c r="H1110" s="179" t="s">
        <v>4837</v>
      </c>
      <c r="I1110" s="194">
        <v>20000</v>
      </c>
      <c r="J1110" s="179" t="s">
        <v>1938</v>
      </c>
      <c r="K1110" s="179" t="s">
        <v>1828</v>
      </c>
      <c r="L1110" s="188"/>
      <c r="M1110" s="34"/>
    </row>
    <row r="1111" spans="1:13">
      <c r="A1111" s="22">
        <v>2013</v>
      </c>
      <c r="B1111" s="179" t="s">
        <v>4902</v>
      </c>
      <c r="C1111" s="112" t="s">
        <v>61</v>
      </c>
      <c r="D1111" s="180" t="s">
        <v>1383</v>
      </c>
      <c r="E1111" s="115" t="s">
        <v>1859</v>
      </c>
      <c r="F1111" s="180"/>
      <c r="G1111" s="179" t="s">
        <v>4903</v>
      </c>
      <c r="H1111" s="179" t="s">
        <v>4904</v>
      </c>
      <c r="I1111" s="194">
        <v>20000</v>
      </c>
      <c r="J1111" s="179" t="s">
        <v>1938</v>
      </c>
      <c r="K1111" s="6" t="s">
        <v>1886</v>
      </c>
      <c r="L1111" s="188"/>
      <c r="M1111" s="34"/>
    </row>
    <row r="1112" spans="1:13">
      <c r="A1112" s="22">
        <v>2013</v>
      </c>
      <c r="B1112" s="179" t="s">
        <v>4905</v>
      </c>
      <c r="C1112" s="112" t="s">
        <v>61</v>
      </c>
      <c r="D1112" s="180" t="s">
        <v>1383</v>
      </c>
      <c r="E1112" s="115" t="s">
        <v>1859</v>
      </c>
      <c r="F1112" s="180"/>
      <c r="G1112" s="179" t="s">
        <v>4906</v>
      </c>
      <c r="H1112" s="179" t="s">
        <v>4907</v>
      </c>
      <c r="I1112" s="194">
        <v>20000</v>
      </c>
      <c r="J1112" s="179" t="s">
        <v>1938</v>
      </c>
      <c r="K1112" s="179" t="s">
        <v>1828</v>
      </c>
      <c r="L1112" s="188"/>
      <c r="M1112" s="34"/>
    </row>
    <row r="1113" spans="1:13">
      <c r="A1113" s="22">
        <v>2013</v>
      </c>
      <c r="B1113" s="179" t="s">
        <v>4908</v>
      </c>
      <c r="C1113" s="112" t="s">
        <v>61</v>
      </c>
      <c r="D1113" s="180" t="s">
        <v>1383</v>
      </c>
      <c r="E1113" s="115" t="s">
        <v>1859</v>
      </c>
      <c r="F1113" s="180"/>
      <c r="G1113" s="179" t="s">
        <v>4909</v>
      </c>
      <c r="H1113" s="179" t="s">
        <v>4910</v>
      </c>
      <c r="I1113" s="194">
        <v>57000</v>
      </c>
      <c r="J1113" s="179" t="s">
        <v>1938</v>
      </c>
      <c r="K1113" s="179" t="s">
        <v>1896</v>
      </c>
      <c r="L1113" s="188"/>
      <c r="M1113" s="34"/>
    </row>
    <row r="1114" spans="1:13">
      <c r="A1114" s="22">
        <v>2013</v>
      </c>
      <c r="B1114" s="179" t="s">
        <v>4911</v>
      </c>
      <c r="C1114" s="112" t="s">
        <v>61</v>
      </c>
      <c r="D1114" s="180" t="s">
        <v>1383</v>
      </c>
      <c r="E1114" s="115" t="s">
        <v>1859</v>
      </c>
      <c r="F1114" s="180"/>
      <c r="G1114" s="179" t="s">
        <v>4912</v>
      </c>
      <c r="H1114" s="179" t="s">
        <v>416</v>
      </c>
      <c r="I1114" s="194">
        <v>20000</v>
      </c>
      <c r="J1114" s="179" t="s">
        <v>1938</v>
      </c>
      <c r="K1114" s="179" t="s">
        <v>1828</v>
      </c>
      <c r="L1114" s="188"/>
      <c r="M1114" s="34"/>
    </row>
    <row r="1115" spans="1:13">
      <c r="A1115" s="22">
        <v>2013</v>
      </c>
      <c r="B1115" s="179" t="s">
        <v>4913</v>
      </c>
      <c r="C1115" s="112" t="s">
        <v>61</v>
      </c>
      <c r="D1115" s="180" t="s">
        <v>1383</v>
      </c>
      <c r="E1115" s="115" t="s">
        <v>1859</v>
      </c>
      <c r="F1115" s="180"/>
      <c r="G1115" s="179" t="s">
        <v>4914</v>
      </c>
      <c r="H1115" s="179" t="s">
        <v>1641</v>
      </c>
      <c r="I1115" s="194">
        <v>43000</v>
      </c>
      <c r="J1115" s="179" t="s">
        <v>4915</v>
      </c>
      <c r="K1115" s="179" t="s">
        <v>1919</v>
      </c>
      <c r="L1115" s="188"/>
      <c r="M1115" s="34"/>
    </row>
    <row r="1116" spans="1:13">
      <c r="A1116" s="22">
        <v>2013</v>
      </c>
      <c r="B1116" s="179" t="s">
        <v>4916</v>
      </c>
      <c r="C1116" s="112" t="s">
        <v>61</v>
      </c>
      <c r="D1116" s="180" t="s">
        <v>1383</v>
      </c>
      <c r="E1116" s="115" t="s">
        <v>1859</v>
      </c>
      <c r="F1116" s="180"/>
      <c r="G1116" s="179" t="s">
        <v>4917</v>
      </c>
      <c r="H1116" s="179" t="s">
        <v>1410</v>
      </c>
      <c r="I1116" s="194">
        <v>20000</v>
      </c>
      <c r="J1116" s="179" t="s">
        <v>1938</v>
      </c>
      <c r="K1116" s="179" t="s">
        <v>1828</v>
      </c>
      <c r="L1116" s="188"/>
      <c r="M1116" s="34"/>
    </row>
    <row r="1117" spans="1:13">
      <c r="A1117" s="22">
        <v>2013</v>
      </c>
      <c r="B1117" s="179" t="s">
        <v>4918</v>
      </c>
      <c r="C1117" s="112" t="s">
        <v>61</v>
      </c>
      <c r="D1117" s="180" t="s">
        <v>1383</v>
      </c>
      <c r="E1117" s="115" t="s">
        <v>1859</v>
      </c>
      <c r="F1117" s="180"/>
      <c r="G1117" s="179" t="s">
        <v>4919</v>
      </c>
      <c r="H1117" s="179" t="s">
        <v>1585</v>
      </c>
      <c r="I1117" s="194">
        <v>20000</v>
      </c>
      <c r="J1117" s="179" t="s">
        <v>1938</v>
      </c>
      <c r="K1117" s="179" t="s">
        <v>1828</v>
      </c>
      <c r="L1117" s="188"/>
      <c r="M1117" s="34"/>
    </row>
    <row r="1118" spans="1:13">
      <c r="A1118" s="22">
        <v>2013</v>
      </c>
      <c r="B1118" s="179" t="s">
        <v>4920</v>
      </c>
      <c r="C1118" s="112" t="s">
        <v>61</v>
      </c>
      <c r="D1118" s="180" t="s">
        <v>1383</v>
      </c>
      <c r="E1118" s="115" t="s">
        <v>1859</v>
      </c>
      <c r="F1118" s="180"/>
      <c r="G1118" s="179" t="s">
        <v>4921</v>
      </c>
      <c r="H1118" s="179" t="s">
        <v>4922</v>
      </c>
      <c r="I1118" s="194">
        <v>50000</v>
      </c>
      <c r="J1118" s="179" t="s">
        <v>1938</v>
      </c>
      <c r="K1118" s="179" t="s">
        <v>1828</v>
      </c>
      <c r="L1118" s="188"/>
      <c r="M1118" s="34"/>
    </row>
    <row r="1119" spans="1:13">
      <c r="A1119" s="22">
        <v>2013</v>
      </c>
      <c r="B1119" s="179" t="s">
        <v>4923</v>
      </c>
      <c r="C1119" s="112" t="s">
        <v>61</v>
      </c>
      <c r="D1119" s="180" t="s">
        <v>1383</v>
      </c>
      <c r="E1119" s="115" t="s">
        <v>1859</v>
      </c>
      <c r="F1119" s="180"/>
      <c r="G1119" s="179" t="s">
        <v>4924</v>
      </c>
      <c r="H1119" s="179" t="s">
        <v>4925</v>
      </c>
      <c r="I1119" s="194">
        <v>20000</v>
      </c>
      <c r="J1119" s="179" t="s">
        <v>1938</v>
      </c>
      <c r="K1119" s="179" t="s">
        <v>1828</v>
      </c>
      <c r="L1119" s="188"/>
      <c r="M1119" s="34"/>
    </row>
    <row r="1120" spans="1:13">
      <c r="A1120" s="22">
        <v>2013</v>
      </c>
      <c r="B1120" s="179" t="s">
        <v>4926</v>
      </c>
      <c r="C1120" s="112" t="s">
        <v>61</v>
      </c>
      <c r="D1120" s="180" t="s">
        <v>2724</v>
      </c>
      <c r="E1120" s="6" t="s">
        <v>1874</v>
      </c>
      <c r="F1120" s="180"/>
      <c r="G1120" s="179" t="s">
        <v>4927</v>
      </c>
      <c r="H1120" s="179" t="s">
        <v>1598</v>
      </c>
      <c r="I1120" s="194">
        <v>100000</v>
      </c>
      <c r="J1120" s="179" t="s">
        <v>4890</v>
      </c>
      <c r="K1120" s="179" t="s">
        <v>2031</v>
      </c>
      <c r="L1120" s="188"/>
      <c r="M1120" s="34"/>
    </row>
    <row r="1121" spans="1:13">
      <c r="A1121" s="22">
        <v>2013</v>
      </c>
      <c r="B1121" s="179" t="s">
        <v>4928</v>
      </c>
      <c r="C1121" s="112" t="s">
        <v>61</v>
      </c>
      <c r="D1121" s="180" t="s">
        <v>4787</v>
      </c>
      <c r="E1121" s="115" t="s">
        <v>1859</v>
      </c>
      <c r="F1121" s="180"/>
      <c r="G1121" s="179" t="s">
        <v>4929</v>
      </c>
      <c r="H1121" s="179" t="s">
        <v>4930</v>
      </c>
      <c r="I1121" s="194">
        <v>84700</v>
      </c>
      <c r="J1121" s="179" t="s">
        <v>3733</v>
      </c>
      <c r="K1121" s="9" t="s">
        <v>2676</v>
      </c>
      <c r="L1121" s="188"/>
      <c r="M1121" s="34"/>
    </row>
    <row r="1122" spans="1:13">
      <c r="A1122" s="22">
        <v>2013</v>
      </c>
      <c r="B1122" s="179" t="s">
        <v>4931</v>
      </c>
      <c r="C1122" s="112" t="s">
        <v>61</v>
      </c>
      <c r="D1122" s="180" t="s">
        <v>1383</v>
      </c>
      <c r="E1122" s="115" t="s">
        <v>1859</v>
      </c>
      <c r="F1122" s="180"/>
      <c r="G1122" s="179" t="s">
        <v>4932</v>
      </c>
      <c r="H1122" s="179" t="s">
        <v>849</v>
      </c>
      <c r="I1122" s="194">
        <v>30000</v>
      </c>
      <c r="J1122" s="179" t="s">
        <v>4933</v>
      </c>
      <c r="K1122" s="53" t="s">
        <v>2085</v>
      </c>
      <c r="L1122" s="188"/>
      <c r="M1122" s="34"/>
    </row>
    <row r="1123" spans="1:13">
      <c r="A1123" s="22">
        <v>2013</v>
      </c>
      <c r="B1123" s="179" t="s">
        <v>4934</v>
      </c>
      <c r="C1123" s="112" t="s">
        <v>61</v>
      </c>
      <c r="D1123" s="180" t="s">
        <v>2724</v>
      </c>
      <c r="E1123" s="6" t="s">
        <v>1874</v>
      </c>
      <c r="F1123" s="180"/>
      <c r="G1123" s="179" t="s">
        <v>4935</v>
      </c>
      <c r="H1123" s="179" t="s">
        <v>1598</v>
      </c>
      <c r="I1123" s="194">
        <v>100000</v>
      </c>
      <c r="J1123" s="179" t="s">
        <v>4890</v>
      </c>
      <c r="K1123" s="179" t="s">
        <v>2031</v>
      </c>
      <c r="L1123" s="188"/>
      <c r="M1123" s="34"/>
    </row>
    <row r="1124" spans="1:13">
      <c r="A1124" s="22">
        <v>2013</v>
      </c>
      <c r="B1124" s="179" t="s">
        <v>4936</v>
      </c>
      <c r="C1124" s="112" t="s">
        <v>61</v>
      </c>
      <c r="D1124" s="180" t="s">
        <v>2724</v>
      </c>
      <c r="E1124" s="6" t="s">
        <v>1874</v>
      </c>
      <c r="F1124" s="180"/>
      <c r="G1124" s="179" t="s">
        <v>4937</v>
      </c>
      <c r="H1124" s="179" t="s">
        <v>1598</v>
      </c>
      <c r="I1124" s="194">
        <v>100000</v>
      </c>
      <c r="J1124" s="179" t="s">
        <v>4890</v>
      </c>
      <c r="K1124" s="179" t="s">
        <v>2031</v>
      </c>
      <c r="L1124" s="188"/>
      <c r="M1124" s="34"/>
    </row>
    <row r="1125" spans="1:13">
      <c r="A1125" s="22">
        <v>2013</v>
      </c>
      <c r="B1125" s="179" t="s">
        <v>4938</v>
      </c>
      <c r="C1125" s="112" t="s">
        <v>61</v>
      </c>
      <c r="D1125" s="180" t="s">
        <v>394</v>
      </c>
      <c r="E1125" s="115" t="s">
        <v>1853</v>
      </c>
      <c r="F1125" s="180"/>
      <c r="G1125" s="179" t="s">
        <v>4939</v>
      </c>
      <c r="H1125" s="179" t="s">
        <v>1593</v>
      </c>
      <c r="I1125" s="194">
        <v>36000</v>
      </c>
      <c r="J1125" s="179" t="s">
        <v>4940</v>
      </c>
      <c r="K1125" s="179" t="s">
        <v>1899</v>
      </c>
      <c r="L1125" s="188"/>
      <c r="M1125" s="34"/>
    </row>
    <row r="1126" spans="1:13">
      <c r="A1126" s="22">
        <v>2013</v>
      </c>
      <c r="B1126" s="179" t="s">
        <v>4941</v>
      </c>
      <c r="C1126" s="112" t="s">
        <v>61</v>
      </c>
      <c r="D1126" s="180" t="s">
        <v>1383</v>
      </c>
      <c r="E1126" s="115" t="s">
        <v>1859</v>
      </c>
      <c r="F1126" s="180"/>
      <c r="G1126" s="179" t="s">
        <v>4942</v>
      </c>
      <c r="H1126" s="179" t="s">
        <v>4922</v>
      </c>
      <c r="I1126" s="194">
        <v>20000</v>
      </c>
      <c r="J1126" s="179" t="s">
        <v>1938</v>
      </c>
      <c r="K1126" s="179" t="s">
        <v>1828</v>
      </c>
      <c r="L1126" s="188"/>
      <c r="M1126" s="34"/>
    </row>
    <row r="1127" spans="1:13">
      <c r="A1127" s="22">
        <v>2013</v>
      </c>
      <c r="B1127" s="179" t="s">
        <v>4943</v>
      </c>
      <c r="C1127" s="112" t="s">
        <v>61</v>
      </c>
      <c r="D1127" s="180" t="s">
        <v>4787</v>
      </c>
      <c r="E1127" s="115" t="s">
        <v>1859</v>
      </c>
      <c r="F1127" s="180"/>
      <c r="G1127" s="179" t="s">
        <v>4944</v>
      </c>
      <c r="H1127" s="179" t="s">
        <v>4945</v>
      </c>
      <c r="I1127" s="194">
        <v>30000</v>
      </c>
      <c r="J1127" s="179" t="s">
        <v>1938</v>
      </c>
      <c r="K1127" s="179" t="s">
        <v>1828</v>
      </c>
      <c r="L1127" s="188"/>
      <c r="M1127" s="34"/>
    </row>
    <row r="1128" spans="1:13">
      <c r="A1128" s="22">
        <v>2013</v>
      </c>
      <c r="B1128" s="179" t="s">
        <v>4946</v>
      </c>
      <c r="C1128" s="112" t="s">
        <v>61</v>
      </c>
      <c r="D1128" s="180" t="s">
        <v>1383</v>
      </c>
      <c r="E1128" s="115" t="s">
        <v>1859</v>
      </c>
      <c r="F1128" s="180"/>
      <c r="G1128" s="179" t="s">
        <v>4947</v>
      </c>
      <c r="H1128" s="179" t="s">
        <v>4948</v>
      </c>
      <c r="I1128" s="194">
        <v>40000</v>
      </c>
      <c r="J1128" s="179" t="s">
        <v>4949</v>
      </c>
      <c r="K1128" s="179" t="s">
        <v>1855</v>
      </c>
      <c r="L1128" s="188"/>
      <c r="M1128" s="34"/>
    </row>
    <row r="1129" spans="1:13">
      <c r="A1129" s="22">
        <v>2013</v>
      </c>
      <c r="B1129" s="179" t="s">
        <v>4950</v>
      </c>
      <c r="C1129" s="112" t="s">
        <v>61</v>
      </c>
      <c r="D1129" s="180" t="s">
        <v>1383</v>
      </c>
      <c r="E1129" s="115" t="s">
        <v>1859</v>
      </c>
      <c r="F1129" s="180"/>
      <c r="G1129" s="179" t="s">
        <v>4951</v>
      </c>
      <c r="H1129" s="179" t="s">
        <v>4952</v>
      </c>
      <c r="I1129" s="194">
        <v>30000</v>
      </c>
      <c r="J1129" s="179" t="s">
        <v>4940</v>
      </c>
      <c r="K1129" s="179" t="s">
        <v>1899</v>
      </c>
      <c r="L1129" s="188"/>
      <c r="M1129" s="34"/>
    </row>
    <row r="1130" spans="1:13">
      <c r="A1130" s="22">
        <v>2013</v>
      </c>
      <c r="B1130" s="179" t="s">
        <v>4953</v>
      </c>
      <c r="C1130" s="112" t="s">
        <v>61</v>
      </c>
      <c r="D1130" s="22" t="s">
        <v>586</v>
      </c>
      <c r="E1130" s="6" t="s">
        <v>1874</v>
      </c>
      <c r="F1130" s="22"/>
      <c r="G1130" s="179" t="s">
        <v>4954</v>
      </c>
      <c r="H1130" s="179" t="s">
        <v>4955</v>
      </c>
      <c r="I1130" s="194">
        <v>50000</v>
      </c>
      <c r="J1130" s="179" t="s">
        <v>4956</v>
      </c>
      <c r="K1130" s="179" t="s">
        <v>1828</v>
      </c>
      <c r="L1130" s="188"/>
      <c r="M1130" s="34"/>
    </row>
    <row r="1131" spans="1:13">
      <c r="A1131" s="22">
        <v>2013</v>
      </c>
      <c r="B1131" s="179" t="s">
        <v>4957</v>
      </c>
      <c r="C1131" s="112" t="s">
        <v>61</v>
      </c>
      <c r="D1131" s="22" t="s">
        <v>586</v>
      </c>
      <c r="E1131" s="6" t="s">
        <v>1874</v>
      </c>
      <c r="F1131" s="22"/>
      <c r="G1131" s="179" t="s">
        <v>4958</v>
      </c>
      <c r="H1131" s="179" t="s">
        <v>894</v>
      </c>
      <c r="I1131" s="194">
        <v>14840</v>
      </c>
      <c r="J1131" s="179" t="s">
        <v>4959</v>
      </c>
      <c r="K1131" s="179" t="s">
        <v>1828</v>
      </c>
      <c r="L1131" s="188"/>
      <c r="M1131" s="34"/>
    </row>
    <row r="1132" spans="1:13">
      <c r="A1132" s="22">
        <v>2013</v>
      </c>
      <c r="B1132" s="179" t="s">
        <v>4960</v>
      </c>
      <c r="C1132" s="112" t="s">
        <v>61</v>
      </c>
      <c r="D1132" s="180" t="s">
        <v>1383</v>
      </c>
      <c r="E1132" s="115" t="s">
        <v>1859</v>
      </c>
      <c r="F1132" s="180"/>
      <c r="G1132" s="179" t="s">
        <v>4961</v>
      </c>
      <c r="H1132" s="179" t="s">
        <v>854</v>
      </c>
      <c r="I1132" s="194">
        <v>40000</v>
      </c>
      <c r="J1132" s="179" t="s">
        <v>4962</v>
      </c>
      <c r="K1132" s="179" t="s">
        <v>1916</v>
      </c>
      <c r="L1132" s="188"/>
      <c r="M1132" s="34"/>
    </row>
    <row r="1133" spans="1:13">
      <c r="A1133" s="22">
        <v>2013</v>
      </c>
      <c r="B1133" s="179" t="s">
        <v>4963</v>
      </c>
      <c r="C1133" s="112" t="s">
        <v>61</v>
      </c>
      <c r="D1133" s="22" t="s">
        <v>62</v>
      </c>
      <c r="E1133" s="6" t="s">
        <v>1904</v>
      </c>
      <c r="F1133" s="22"/>
      <c r="G1133" s="179" t="s">
        <v>4964</v>
      </c>
      <c r="H1133" s="179" t="s">
        <v>4965</v>
      </c>
      <c r="I1133" s="194">
        <v>1000000</v>
      </c>
      <c r="J1133" s="179" t="s">
        <v>4966</v>
      </c>
      <c r="K1133" s="179" t="s">
        <v>1899</v>
      </c>
      <c r="L1133" s="188"/>
      <c r="M1133" s="34"/>
    </row>
    <row r="1134" spans="1:13">
      <c r="A1134" s="22">
        <v>2013</v>
      </c>
      <c r="B1134" s="179" t="s">
        <v>4967</v>
      </c>
      <c r="C1134" s="112" t="s">
        <v>61</v>
      </c>
      <c r="D1134" s="22" t="s">
        <v>62</v>
      </c>
      <c r="E1134" s="6" t="s">
        <v>1904</v>
      </c>
      <c r="F1134" s="22"/>
      <c r="G1134" s="179" t="s">
        <v>4968</v>
      </c>
      <c r="H1134" s="179" t="s">
        <v>4969</v>
      </c>
      <c r="I1134" s="194">
        <v>450155</v>
      </c>
      <c r="J1134" s="179" t="s">
        <v>4970</v>
      </c>
      <c r="K1134" s="179" t="s">
        <v>1899</v>
      </c>
      <c r="L1134" s="188"/>
      <c r="M1134" s="34"/>
    </row>
    <row r="1135" spans="1:13">
      <c r="A1135" s="22">
        <v>2013</v>
      </c>
      <c r="B1135" s="179" t="s">
        <v>4971</v>
      </c>
      <c r="C1135" s="112" t="s">
        <v>61</v>
      </c>
      <c r="D1135" s="180" t="s">
        <v>1383</v>
      </c>
      <c r="E1135" s="115" t="s">
        <v>1859</v>
      </c>
      <c r="F1135" s="180"/>
      <c r="G1135" s="179" t="s">
        <v>4972</v>
      </c>
      <c r="H1135" s="179" t="s">
        <v>4973</v>
      </c>
      <c r="I1135" s="194">
        <v>27500</v>
      </c>
      <c r="J1135" s="179" t="s">
        <v>4974</v>
      </c>
      <c r="K1135" s="179" t="s">
        <v>1828</v>
      </c>
      <c r="L1135" s="188"/>
      <c r="M1135" s="34"/>
    </row>
    <row r="1136" spans="1:13">
      <c r="A1136" s="22">
        <v>2013</v>
      </c>
      <c r="B1136" s="179" t="s">
        <v>4975</v>
      </c>
      <c r="C1136" s="112" t="s">
        <v>61</v>
      </c>
      <c r="D1136" s="22" t="s">
        <v>586</v>
      </c>
      <c r="E1136" s="6" t="s">
        <v>1874</v>
      </c>
      <c r="F1136" s="22"/>
      <c r="G1136" s="179" t="s">
        <v>4976</v>
      </c>
      <c r="H1136" s="179" t="s">
        <v>4977</v>
      </c>
      <c r="I1136" s="194">
        <v>1050</v>
      </c>
      <c r="J1136" s="179" t="s">
        <v>4978</v>
      </c>
      <c r="K1136" s="6" t="s">
        <v>1886</v>
      </c>
      <c r="L1136" s="188"/>
      <c r="M1136" s="34"/>
    </row>
    <row r="1137" spans="1:13">
      <c r="A1137" s="22">
        <v>2013</v>
      </c>
      <c r="B1137" s="179" t="s">
        <v>4979</v>
      </c>
      <c r="C1137" s="112" t="s">
        <v>61</v>
      </c>
      <c r="D1137" s="180" t="s">
        <v>1383</v>
      </c>
      <c r="E1137" s="115" t="s">
        <v>1859</v>
      </c>
      <c r="F1137" s="180"/>
      <c r="G1137" s="179" t="s">
        <v>4980</v>
      </c>
      <c r="H1137" s="179" t="s">
        <v>842</v>
      </c>
      <c r="I1137" s="194">
        <v>30000</v>
      </c>
      <c r="J1137" s="179" t="s">
        <v>4981</v>
      </c>
      <c r="K1137" s="53" t="s">
        <v>2130</v>
      </c>
      <c r="L1137" s="188"/>
      <c r="M1137" s="34"/>
    </row>
    <row r="1138" spans="1:13">
      <c r="A1138" s="22">
        <v>2012</v>
      </c>
      <c r="B1138" s="185">
        <v>40909</v>
      </c>
      <c r="C1138" s="112" t="s">
        <v>61</v>
      </c>
      <c r="D1138" s="180" t="s">
        <v>4982</v>
      </c>
      <c r="E1138" s="6" t="s">
        <v>1904</v>
      </c>
      <c r="F1138" s="180"/>
      <c r="G1138" s="178" t="s">
        <v>4983</v>
      </c>
      <c r="H1138" s="178" t="s">
        <v>581</v>
      </c>
      <c r="I1138" s="194">
        <v>872700</v>
      </c>
      <c r="J1138" s="187" t="s">
        <v>4984</v>
      </c>
      <c r="K1138" s="179" t="s">
        <v>1916</v>
      </c>
      <c r="L1138" s="188"/>
      <c r="M1138" s="34"/>
    </row>
    <row r="1139" spans="1:13">
      <c r="A1139" s="22">
        <v>2012</v>
      </c>
      <c r="B1139" s="185">
        <v>40940</v>
      </c>
      <c r="C1139" s="112" t="s">
        <v>61</v>
      </c>
      <c r="D1139" s="180" t="s">
        <v>4982</v>
      </c>
      <c r="E1139" s="6" t="s">
        <v>1904</v>
      </c>
      <c r="F1139" s="180"/>
      <c r="G1139" s="179" t="s">
        <v>4985</v>
      </c>
      <c r="H1139" s="179" t="s">
        <v>1389</v>
      </c>
      <c r="I1139" s="194">
        <v>872700</v>
      </c>
      <c r="J1139" s="187" t="s">
        <v>4986</v>
      </c>
      <c r="K1139" s="179" t="s">
        <v>2031</v>
      </c>
      <c r="L1139" s="188"/>
      <c r="M1139" s="34"/>
    </row>
    <row r="1140" spans="1:13">
      <c r="A1140" s="22">
        <v>2012</v>
      </c>
      <c r="B1140" s="185">
        <v>40969</v>
      </c>
      <c r="C1140" s="112" t="s">
        <v>61</v>
      </c>
      <c r="D1140" s="180" t="s">
        <v>4987</v>
      </c>
      <c r="E1140" s="6" t="s">
        <v>1904</v>
      </c>
      <c r="F1140" s="180"/>
      <c r="G1140" s="179" t="s">
        <v>4988</v>
      </c>
      <c r="H1140" s="187" t="s">
        <v>1389</v>
      </c>
      <c r="I1140" s="194">
        <v>872700</v>
      </c>
      <c r="J1140" s="187" t="s">
        <v>4986</v>
      </c>
      <c r="K1140" s="179" t="s">
        <v>2031</v>
      </c>
      <c r="L1140" s="188"/>
      <c r="M1140" s="34"/>
    </row>
    <row r="1141" spans="1:13">
      <c r="A1141" s="22">
        <v>2012</v>
      </c>
      <c r="B1141" s="185">
        <v>41000</v>
      </c>
      <c r="C1141" s="112" t="s">
        <v>61</v>
      </c>
      <c r="D1141" s="180" t="s">
        <v>652</v>
      </c>
      <c r="E1141" s="6" t="s">
        <v>1874</v>
      </c>
      <c r="F1141" s="180"/>
      <c r="G1141" s="179" t="s">
        <v>4989</v>
      </c>
      <c r="H1141" s="179" t="s">
        <v>4990</v>
      </c>
      <c r="I1141" s="195">
        <v>1276000</v>
      </c>
      <c r="J1141" s="187" t="s">
        <v>4991</v>
      </c>
      <c r="K1141" s="179" t="s">
        <v>1828</v>
      </c>
      <c r="L1141" s="188"/>
      <c r="M1141" s="34"/>
    </row>
    <row r="1142" spans="1:13">
      <c r="A1142" s="22">
        <v>2012</v>
      </c>
      <c r="B1142" s="179" t="s">
        <v>4992</v>
      </c>
      <c r="C1142" s="112" t="s">
        <v>3096</v>
      </c>
      <c r="D1142" s="190" t="s">
        <v>4993</v>
      </c>
      <c r="E1142" s="6"/>
      <c r="F1142" s="191"/>
      <c r="G1142" s="179" t="s">
        <v>4995</v>
      </c>
      <c r="H1142" s="179" t="s">
        <v>2331</v>
      </c>
      <c r="I1142" s="179" t="s">
        <v>12167</v>
      </c>
      <c r="J1142" s="187" t="s">
        <v>4996</v>
      </c>
      <c r="K1142" s="179" t="s">
        <v>1828</v>
      </c>
      <c r="L1142" s="188"/>
      <c r="M1142" s="34"/>
    </row>
    <row r="1143" spans="1:13">
      <c r="A1143" s="22">
        <v>2012</v>
      </c>
      <c r="B1143" s="185">
        <v>41091</v>
      </c>
      <c r="C1143" s="112" t="s">
        <v>61</v>
      </c>
      <c r="D1143" s="191" t="s">
        <v>4993</v>
      </c>
      <c r="E1143" s="115" t="s">
        <v>1859</v>
      </c>
      <c r="F1143" s="191"/>
      <c r="G1143" s="179" t="s">
        <v>4997</v>
      </c>
      <c r="H1143" s="179" t="s">
        <v>2331</v>
      </c>
      <c r="I1143" s="194">
        <v>276000</v>
      </c>
      <c r="J1143" s="187" t="s">
        <v>4996</v>
      </c>
      <c r="K1143" s="179" t="s">
        <v>1828</v>
      </c>
      <c r="L1143" s="188"/>
      <c r="M1143" s="34"/>
    </row>
    <row r="1144" spans="1:13">
      <c r="A1144" s="22">
        <v>2012</v>
      </c>
      <c r="B1144" s="179" t="s">
        <v>4998</v>
      </c>
      <c r="C1144" s="112" t="s">
        <v>61</v>
      </c>
      <c r="D1144" s="191" t="s">
        <v>4993</v>
      </c>
      <c r="E1144" s="115" t="s">
        <v>1859</v>
      </c>
      <c r="F1144" s="191"/>
      <c r="G1144" s="179" t="s">
        <v>4999</v>
      </c>
      <c r="H1144" s="179" t="s">
        <v>5000</v>
      </c>
      <c r="I1144" s="194">
        <v>680000</v>
      </c>
      <c r="J1144" s="187"/>
      <c r="K1144" s="187" t="s">
        <v>2085</v>
      </c>
      <c r="L1144" s="188"/>
      <c r="M1144" s="34"/>
    </row>
    <row r="1145" spans="1:13">
      <c r="A1145" s="22">
        <v>2012</v>
      </c>
      <c r="B1145" s="185">
        <v>41153</v>
      </c>
      <c r="C1145" s="112" t="s">
        <v>61</v>
      </c>
      <c r="D1145" s="22" t="s">
        <v>62</v>
      </c>
      <c r="E1145" s="6" t="s">
        <v>1904</v>
      </c>
      <c r="F1145" s="22"/>
      <c r="G1145" s="178" t="s">
        <v>5001</v>
      </c>
      <c r="H1145" s="178" t="s">
        <v>5002</v>
      </c>
      <c r="I1145" s="193">
        <v>500000</v>
      </c>
      <c r="J1145" s="187" t="s">
        <v>5003</v>
      </c>
      <c r="K1145" s="179" t="s">
        <v>2031</v>
      </c>
      <c r="L1145" s="188"/>
      <c r="M1145" s="34"/>
    </row>
    <row r="1146" spans="1:13">
      <c r="A1146" s="22">
        <v>2012</v>
      </c>
      <c r="B1146" s="185">
        <v>41183</v>
      </c>
      <c r="C1146" s="112" t="s">
        <v>61</v>
      </c>
      <c r="D1146" s="22" t="s">
        <v>62</v>
      </c>
      <c r="E1146" s="6" t="s">
        <v>1904</v>
      </c>
      <c r="F1146" s="22"/>
      <c r="G1146" s="179" t="s">
        <v>5004</v>
      </c>
      <c r="H1146" s="179" t="s">
        <v>5005</v>
      </c>
      <c r="I1146" s="207">
        <v>240018.59</v>
      </c>
      <c r="J1146" s="187" t="s">
        <v>5006</v>
      </c>
      <c r="K1146" s="179" t="s">
        <v>1899</v>
      </c>
      <c r="L1146" s="188"/>
      <c r="M1146" s="34"/>
    </row>
    <row r="1147" spans="1:13">
      <c r="A1147" s="22">
        <v>2012</v>
      </c>
      <c r="B1147" s="192">
        <v>41214</v>
      </c>
      <c r="C1147" s="112" t="s">
        <v>61</v>
      </c>
      <c r="D1147" s="180" t="s">
        <v>4987</v>
      </c>
      <c r="E1147" s="6" t="s">
        <v>1904</v>
      </c>
      <c r="F1147" s="180"/>
      <c r="G1147" s="179" t="s">
        <v>5007</v>
      </c>
      <c r="H1147" s="179" t="s">
        <v>650</v>
      </c>
      <c r="I1147" s="194">
        <v>442700</v>
      </c>
      <c r="J1147" s="187" t="s">
        <v>4877</v>
      </c>
      <c r="K1147" s="179" t="s">
        <v>2085</v>
      </c>
      <c r="L1147" s="188"/>
      <c r="M1147" s="34"/>
    </row>
    <row r="1148" spans="1:13">
      <c r="A1148" s="22">
        <v>2012</v>
      </c>
      <c r="B1148" s="192">
        <v>41244</v>
      </c>
      <c r="C1148" s="112" t="s">
        <v>61</v>
      </c>
      <c r="D1148" s="180" t="s">
        <v>4987</v>
      </c>
      <c r="E1148" s="6" t="s">
        <v>1904</v>
      </c>
      <c r="F1148" s="180"/>
      <c r="G1148" s="179" t="s">
        <v>5008</v>
      </c>
      <c r="H1148" s="179" t="s">
        <v>5009</v>
      </c>
      <c r="I1148" s="194">
        <v>442700</v>
      </c>
      <c r="J1148" s="187" t="s">
        <v>5010</v>
      </c>
      <c r="K1148" s="6" t="s">
        <v>1886</v>
      </c>
      <c r="L1148" s="188"/>
      <c r="M1148" s="34"/>
    </row>
    <row r="1149" spans="1:13">
      <c r="A1149" s="22">
        <v>2012</v>
      </c>
      <c r="B1149" s="179" t="s">
        <v>5011</v>
      </c>
      <c r="C1149" s="112" t="s">
        <v>61</v>
      </c>
      <c r="D1149" s="180" t="s">
        <v>1383</v>
      </c>
      <c r="E1149" s="115" t="s">
        <v>1859</v>
      </c>
      <c r="F1149" s="180"/>
      <c r="G1149" s="179" t="s">
        <v>5012</v>
      </c>
      <c r="H1149" s="179" t="s">
        <v>3333</v>
      </c>
      <c r="I1149" s="194">
        <v>400000</v>
      </c>
      <c r="J1149" s="179" t="s">
        <v>5013</v>
      </c>
      <c r="K1149" s="179" t="s">
        <v>1828</v>
      </c>
      <c r="L1149" s="188"/>
      <c r="M1149" s="34"/>
    </row>
    <row r="1150" spans="1:13">
      <c r="A1150" s="22">
        <v>2012</v>
      </c>
      <c r="B1150" s="179" t="s">
        <v>5014</v>
      </c>
      <c r="C1150" s="112" t="s">
        <v>61</v>
      </c>
      <c r="D1150" s="180" t="s">
        <v>1763</v>
      </c>
      <c r="E1150" s="115" t="s">
        <v>1859</v>
      </c>
      <c r="F1150" s="180"/>
      <c r="G1150" s="179" t="s">
        <v>5015</v>
      </c>
      <c r="H1150" s="178" t="s">
        <v>2331</v>
      </c>
      <c r="I1150" s="194">
        <v>200000</v>
      </c>
      <c r="J1150" s="179" t="s">
        <v>5013</v>
      </c>
      <c r="K1150" s="179" t="s">
        <v>1828</v>
      </c>
      <c r="L1150" s="188"/>
      <c r="M1150" s="34"/>
    </row>
    <row r="1151" spans="1:13">
      <c r="A1151" s="22">
        <v>2012</v>
      </c>
      <c r="B1151" s="179" t="s">
        <v>5016</v>
      </c>
      <c r="C1151" s="112" t="s">
        <v>61</v>
      </c>
      <c r="D1151" s="22" t="s">
        <v>62</v>
      </c>
      <c r="E1151" s="6" t="s">
        <v>1904</v>
      </c>
      <c r="F1151" s="22"/>
      <c r="G1151" s="179" t="s">
        <v>5017</v>
      </c>
      <c r="H1151" s="178" t="s">
        <v>4518</v>
      </c>
      <c r="I1151" s="194">
        <v>270028.34999999998</v>
      </c>
      <c r="J1151" s="179" t="s">
        <v>5018</v>
      </c>
      <c r="K1151" s="179" t="s">
        <v>1828</v>
      </c>
      <c r="L1151" s="188"/>
      <c r="M1151" s="34"/>
    </row>
    <row r="1152" spans="1:13">
      <c r="A1152" s="22">
        <v>2012</v>
      </c>
      <c r="B1152" s="179" t="s">
        <v>5019</v>
      </c>
      <c r="C1152" s="112" t="s">
        <v>61</v>
      </c>
      <c r="D1152" s="180" t="s">
        <v>2724</v>
      </c>
      <c r="E1152" s="6" t="s">
        <v>1874</v>
      </c>
      <c r="F1152" s="180"/>
      <c r="G1152" s="178" t="s">
        <v>5020</v>
      </c>
      <c r="H1152" s="179" t="s">
        <v>722</v>
      </c>
      <c r="I1152" s="194">
        <v>154000</v>
      </c>
      <c r="J1152" s="179" t="s">
        <v>5021</v>
      </c>
      <c r="K1152" s="179" t="s">
        <v>1899</v>
      </c>
      <c r="L1152" s="188"/>
      <c r="M1152" s="34"/>
    </row>
    <row r="1153" spans="1:13">
      <c r="A1153" s="22">
        <v>2012</v>
      </c>
      <c r="B1153" s="179" t="s">
        <v>5022</v>
      </c>
      <c r="C1153" s="179" t="s">
        <v>61</v>
      </c>
      <c r="D1153" s="180" t="s">
        <v>4787</v>
      </c>
      <c r="E1153" s="115" t="s">
        <v>1859</v>
      </c>
      <c r="F1153" s="180"/>
      <c r="G1153" s="179" t="s">
        <v>5023</v>
      </c>
      <c r="H1153" s="6" t="s">
        <v>5024</v>
      </c>
      <c r="I1153" s="194">
        <v>227000</v>
      </c>
      <c r="J1153" s="6" t="s">
        <v>5024</v>
      </c>
      <c r="K1153" s="179" t="s">
        <v>1828</v>
      </c>
      <c r="L1153" s="188"/>
      <c r="M1153" s="34"/>
    </row>
    <row r="1154" spans="1:13">
      <c r="A1154" s="22">
        <v>2012</v>
      </c>
      <c r="B1154" s="179" t="s">
        <v>5025</v>
      </c>
      <c r="C1154" s="112" t="s">
        <v>61</v>
      </c>
      <c r="D1154" s="22" t="s">
        <v>62</v>
      </c>
      <c r="E1154" s="6" t="s">
        <v>1904</v>
      </c>
      <c r="F1154" s="22"/>
      <c r="G1154" s="179" t="s">
        <v>4115</v>
      </c>
      <c r="H1154" s="179" t="s">
        <v>5026</v>
      </c>
      <c r="I1154" s="194">
        <v>212321.03</v>
      </c>
      <c r="J1154" s="179" t="s">
        <v>5027</v>
      </c>
      <c r="K1154" s="179" t="s">
        <v>1828</v>
      </c>
      <c r="L1154" s="188"/>
      <c r="M1154" s="34"/>
    </row>
    <row r="1155" spans="1:13">
      <c r="A1155" s="22">
        <v>2012</v>
      </c>
      <c r="B1155" s="179" t="s">
        <v>5028</v>
      </c>
      <c r="C1155" s="112" t="s">
        <v>61</v>
      </c>
      <c r="D1155" s="180" t="s">
        <v>1383</v>
      </c>
      <c r="E1155" s="115" t="s">
        <v>1859</v>
      </c>
      <c r="F1155" s="180"/>
      <c r="G1155" s="179" t="s">
        <v>5029</v>
      </c>
      <c r="H1155" s="179" t="s">
        <v>1389</v>
      </c>
      <c r="I1155" s="194">
        <v>714600</v>
      </c>
      <c r="J1155" s="179" t="s">
        <v>4986</v>
      </c>
      <c r="K1155" s="179" t="s">
        <v>2031</v>
      </c>
      <c r="L1155" s="188"/>
      <c r="M1155" s="34"/>
    </row>
    <row r="1156" spans="1:13">
      <c r="A1156" s="22">
        <v>2012</v>
      </c>
      <c r="B1156" s="179" t="s">
        <v>5030</v>
      </c>
      <c r="C1156" s="112" t="s">
        <v>61</v>
      </c>
      <c r="D1156" s="180" t="s">
        <v>5031</v>
      </c>
      <c r="E1156" s="6"/>
      <c r="F1156" s="180"/>
      <c r="G1156" s="179" t="s">
        <v>5032</v>
      </c>
      <c r="H1156" s="179" t="s">
        <v>5033</v>
      </c>
      <c r="I1156" s="194">
        <v>120000</v>
      </c>
      <c r="J1156" s="187" t="s">
        <v>5034</v>
      </c>
      <c r="K1156" s="179" t="s">
        <v>1828</v>
      </c>
      <c r="L1156" s="188"/>
      <c r="M1156" s="34"/>
    </row>
    <row r="1157" spans="1:13">
      <c r="A1157" s="22">
        <v>2012</v>
      </c>
      <c r="B1157" s="179" t="s">
        <v>5035</v>
      </c>
      <c r="C1157" s="112" t="s">
        <v>61</v>
      </c>
      <c r="D1157" s="180" t="s">
        <v>1383</v>
      </c>
      <c r="E1157" s="115" t="s">
        <v>1859</v>
      </c>
      <c r="F1157" s="180"/>
      <c r="G1157" s="179" t="s">
        <v>5036</v>
      </c>
      <c r="H1157" s="179" t="s">
        <v>5037</v>
      </c>
      <c r="I1157" s="194">
        <v>200000</v>
      </c>
      <c r="J1157" s="187"/>
      <c r="K1157" s="200" t="s">
        <v>1899</v>
      </c>
      <c r="L1157" s="188"/>
      <c r="M1157" s="34"/>
    </row>
    <row r="1158" spans="1:13">
      <c r="A1158" s="22">
        <v>2012</v>
      </c>
      <c r="B1158" s="179" t="s">
        <v>5038</v>
      </c>
      <c r="C1158" s="112" t="s">
        <v>61</v>
      </c>
      <c r="D1158" s="180" t="s">
        <v>1383</v>
      </c>
      <c r="E1158" s="115" t="s">
        <v>1859</v>
      </c>
      <c r="F1158" s="180"/>
      <c r="G1158" s="179" t="s">
        <v>5039</v>
      </c>
      <c r="H1158" s="179" t="s">
        <v>5040</v>
      </c>
      <c r="I1158" s="194">
        <v>520000</v>
      </c>
      <c r="J1158" s="187" t="s">
        <v>5041</v>
      </c>
      <c r="K1158" s="179" t="s">
        <v>2047</v>
      </c>
      <c r="L1158" s="188"/>
      <c r="M1158" s="34"/>
    </row>
    <row r="1159" spans="1:13">
      <c r="A1159" s="22">
        <v>2012</v>
      </c>
      <c r="B1159" s="179" t="s">
        <v>5042</v>
      </c>
      <c r="C1159" s="112" t="s">
        <v>61</v>
      </c>
      <c r="D1159" s="180" t="s">
        <v>5043</v>
      </c>
      <c r="E1159" s="6" t="s">
        <v>1874</v>
      </c>
      <c r="F1159" s="180"/>
      <c r="G1159" s="179" t="s">
        <v>5044</v>
      </c>
      <c r="H1159" s="179" t="s">
        <v>5045</v>
      </c>
      <c r="I1159" s="194">
        <v>250000</v>
      </c>
      <c r="J1159" s="187" t="s">
        <v>5046</v>
      </c>
      <c r="K1159" s="179" t="s">
        <v>1828</v>
      </c>
      <c r="L1159" s="188"/>
      <c r="M1159" s="34"/>
    </row>
    <row r="1160" spans="1:13">
      <c r="A1160" s="22">
        <v>2012</v>
      </c>
      <c r="B1160" s="179" t="s">
        <v>5047</v>
      </c>
      <c r="C1160" s="112" t="s">
        <v>61</v>
      </c>
      <c r="D1160" s="180" t="s">
        <v>68</v>
      </c>
      <c r="E1160" s="6" t="s">
        <v>1874</v>
      </c>
      <c r="F1160" s="180"/>
      <c r="G1160" s="179" t="s">
        <v>5048</v>
      </c>
      <c r="H1160" s="179" t="s">
        <v>5049</v>
      </c>
      <c r="I1160" s="195">
        <v>683200</v>
      </c>
      <c r="J1160" s="187" t="s">
        <v>5050</v>
      </c>
      <c r="K1160" s="179" t="s">
        <v>1828</v>
      </c>
      <c r="L1160" s="188"/>
      <c r="M1160" s="34"/>
    </row>
    <row r="1161" spans="1:13">
      <c r="A1161" s="22">
        <v>2012</v>
      </c>
      <c r="B1161" s="179" t="s">
        <v>5051</v>
      </c>
      <c r="C1161" s="112" t="s">
        <v>61</v>
      </c>
      <c r="D1161" s="180" t="s">
        <v>1141</v>
      </c>
      <c r="E1161" s="6" t="s">
        <v>1904</v>
      </c>
      <c r="F1161" s="180"/>
      <c r="G1161" s="179" t="s">
        <v>5052</v>
      </c>
      <c r="H1161" s="179" t="s">
        <v>2483</v>
      </c>
      <c r="I1161" s="195">
        <v>68718</v>
      </c>
      <c r="J1161" s="179" t="s">
        <v>5053</v>
      </c>
      <c r="K1161" s="179" t="s">
        <v>1916</v>
      </c>
      <c r="L1161" s="188"/>
      <c r="M1161" s="34"/>
    </row>
    <row r="1162" spans="1:13">
      <c r="A1162" s="22">
        <v>2012</v>
      </c>
      <c r="B1162" s="179" t="s">
        <v>5054</v>
      </c>
      <c r="C1162" s="112" t="s">
        <v>61</v>
      </c>
      <c r="D1162" s="180" t="s">
        <v>4787</v>
      </c>
      <c r="E1162" s="115" t="s">
        <v>1859</v>
      </c>
      <c r="F1162" s="180"/>
      <c r="G1162" s="179" t="s">
        <v>5055</v>
      </c>
      <c r="H1162" s="179" t="s">
        <v>5056</v>
      </c>
      <c r="I1162" s="194">
        <v>190000</v>
      </c>
      <c r="J1162" s="179"/>
      <c r="K1162" s="190" t="s">
        <v>1828</v>
      </c>
      <c r="L1162" s="188"/>
      <c r="M1162" s="34"/>
    </row>
    <row r="1163" spans="1:13">
      <c r="A1163" s="22">
        <v>2012</v>
      </c>
      <c r="B1163" s="179" t="s">
        <v>5057</v>
      </c>
      <c r="C1163" s="112" t="s">
        <v>61</v>
      </c>
      <c r="D1163" s="180" t="s">
        <v>652</v>
      </c>
      <c r="E1163" s="6" t="s">
        <v>1874</v>
      </c>
      <c r="F1163" s="180"/>
      <c r="G1163" s="179" t="s">
        <v>5058</v>
      </c>
      <c r="H1163" s="179" t="s">
        <v>5059</v>
      </c>
      <c r="I1163" s="194">
        <v>800000</v>
      </c>
      <c r="J1163" s="179" t="s">
        <v>5060</v>
      </c>
      <c r="K1163" s="179" t="s">
        <v>1899</v>
      </c>
      <c r="L1163" s="188"/>
      <c r="M1163" s="34"/>
    </row>
    <row r="1164" spans="1:13">
      <c r="A1164" s="22">
        <v>2012</v>
      </c>
      <c r="B1164" s="179" t="s">
        <v>5061</v>
      </c>
      <c r="C1164" s="112" t="s">
        <v>61</v>
      </c>
      <c r="D1164" s="180" t="s">
        <v>4982</v>
      </c>
      <c r="E1164" s="6" t="s">
        <v>1904</v>
      </c>
      <c r="F1164" s="180"/>
      <c r="G1164" s="179" t="s">
        <v>5062</v>
      </c>
      <c r="H1164" s="179" t="s">
        <v>5063</v>
      </c>
      <c r="I1164" s="194">
        <v>247000</v>
      </c>
      <c r="J1164" s="179" t="s">
        <v>5064</v>
      </c>
      <c r="K1164" s="179" t="s">
        <v>1828</v>
      </c>
      <c r="L1164" s="188"/>
      <c r="M1164" s="34"/>
    </row>
    <row r="1165" spans="1:13">
      <c r="A1165" s="22">
        <v>2012</v>
      </c>
      <c r="B1165" s="179" t="s">
        <v>5065</v>
      </c>
      <c r="C1165" s="112" t="s">
        <v>61</v>
      </c>
      <c r="D1165" s="180" t="s">
        <v>4987</v>
      </c>
      <c r="E1165" s="6" t="s">
        <v>1904</v>
      </c>
      <c r="F1165" s="180"/>
      <c r="G1165" s="179" t="s">
        <v>5066</v>
      </c>
      <c r="H1165" s="179" t="s">
        <v>5063</v>
      </c>
      <c r="I1165" s="194">
        <v>820000</v>
      </c>
      <c r="J1165" s="179" t="s">
        <v>5064</v>
      </c>
      <c r="K1165" s="179" t="s">
        <v>1828</v>
      </c>
      <c r="L1165" s="188"/>
      <c r="M1165" s="34"/>
    </row>
    <row r="1166" spans="1:13">
      <c r="A1166" s="22">
        <v>2012</v>
      </c>
      <c r="B1166" s="179" t="s">
        <v>5067</v>
      </c>
      <c r="C1166" s="112" t="s">
        <v>61</v>
      </c>
      <c r="D1166" s="22" t="s">
        <v>62</v>
      </c>
      <c r="E1166" s="6" t="s">
        <v>1904</v>
      </c>
      <c r="F1166" s="22"/>
      <c r="G1166" s="179" t="s">
        <v>2487</v>
      </c>
      <c r="H1166" s="179" t="s">
        <v>5068</v>
      </c>
      <c r="I1166" s="194">
        <v>460600</v>
      </c>
      <c r="J1166" s="187" t="s">
        <v>5069</v>
      </c>
      <c r="K1166" s="179" t="s">
        <v>1828</v>
      </c>
      <c r="L1166" s="188"/>
      <c r="M1166" s="34"/>
    </row>
    <row r="1167" spans="1:13">
      <c r="A1167" s="22">
        <v>2012</v>
      </c>
      <c r="B1167" s="179" t="s">
        <v>5070</v>
      </c>
      <c r="C1167" s="112" t="s">
        <v>3096</v>
      </c>
      <c r="D1167" s="179" t="s">
        <v>2412</v>
      </c>
      <c r="E1167" s="6"/>
      <c r="F1167" s="180"/>
      <c r="G1167" s="179" t="s">
        <v>5071</v>
      </c>
      <c r="H1167" s="179" t="s">
        <v>5072</v>
      </c>
      <c r="I1167" s="195">
        <v>14400000</v>
      </c>
      <c r="J1167" s="179"/>
      <c r="K1167" s="179" t="s">
        <v>1828</v>
      </c>
      <c r="L1167" s="188"/>
      <c r="M1167" s="34"/>
    </row>
    <row r="1168" spans="1:13">
      <c r="A1168" s="22">
        <v>2012</v>
      </c>
      <c r="B1168" s="179" t="s">
        <v>5073</v>
      </c>
      <c r="C1168" s="112" t="s">
        <v>61</v>
      </c>
      <c r="D1168" s="180" t="s">
        <v>68</v>
      </c>
      <c r="E1168" s="6" t="s">
        <v>1874</v>
      </c>
      <c r="F1168" s="180"/>
      <c r="G1168" s="179" t="s">
        <v>4597</v>
      </c>
      <c r="H1168" s="179" t="s">
        <v>4598</v>
      </c>
      <c r="I1168" s="194">
        <v>760675</v>
      </c>
      <c r="J1168" s="179" t="s">
        <v>5074</v>
      </c>
      <c r="K1168" s="179" t="s">
        <v>1828</v>
      </c>
      <c r="L1168" s="188"/>
      <c r="M1168" s="34"/>
    </row>
    <row r="1169" spans="1:13">
      <c r="A1169" s="22">
        <v>2012</v>
      </c>
      <c r="B1169" s="179" t="s">
        <v>5075</v>
      </c>
      <c r="C1169" s="112" t="s">
        <v>61</v>
      </c>
      <c r="D1169" s="22" t="s">
        <v>62</v>
      </c>
      <c r="E1169" s="6" t="s">
        <v>1904</v>
      </c>
      <c r="F1169" s="22"/>
      <c r="G1169" s="179" t="s">
        <v>5076</v>
      </c>
      <c r="H1169" s="179" t="s">
        <v>5077</v>
      </c>
      <c r="I1169" s="194">
        <v>1220000</v>
      </c>
      <c r="J1169" s="179" t="s">
        <v>5078</v>
      </c>
      <c r="K1169" s="179" t="s">
        <v>1828</v>
      </c>
      <c r="L1169" s="188"/>
      <c r="M1169" s="34"/>
    </row>
    <row r="1170" spans="1:13">
      <c r="A1170" s="22">
        <v>2012</v>
      </c>
      <c r="B1170" s="179" t="s">
        <v>5079</v>
      </c>
      <c r="C1170" s="112" t="s">
        <v>5080</v>
      </c>
      <c r="D1170" s="179" t="s">
        <v>2172</v>
      </c>
      <c r="E1170" s="6"/>
      <c r="F1170" s="180"/>
      <c r="G1170" s="179" t="s">
        <v>5081</v>
      </c>
      <c r="H1170" s="179" t="s">
        <v>1556</v>
      </c>
      <c r="I1170" s="195">
        <v>6430440</v>
      </c>
      <c r="J1170" s="179" t="s">
        <v>2508</v>
      </c>
      <c r="K1170" s="179" t="s">
        <v>1828</v>
      </c>
      <c r="L1170" s="188"/>
      <c r="M1170" s="34"/>
    </row>
    <row r="1171" spans="1:13">
      <c r="A1171" s="22">
        <v>2012</v>
      </c>
      <c r="B1171" s="179" t="s">
        <v>5082</v>
      </c>
      <c r="C1171" s="112" t="s">
        <v>61</v>
      </c>
      <c r="D1171" s="180" t="s">
        <v>4787</v>
      </c>
      <c r="E1171" s="115" t="s">
        <v>1859</v>
      </c>
      <c r="F1171" s="180"/>
      <c r="G1171" s="179" t="s">
        <v>5083</v>
      </c>
      <c r="H1171" s="187" t="s">
        <v>5084</v>
      </c>
      <c r="I1171" s="194">
        <v>123400</v>
      </c>
      <c r="J1171" s="179" t="s">
        <v>5085</v>
      </c>
      <c r="K1171" s="179" t="s">
        <v>1828</v>
      </c>
      <c r="L1171" s="188"/>
      <c r="M1171" s="34"/>
    </row>
    <row r="1172" spans="1:13">
      <c r="A1172" s="22">
        <v>2012</v>
      </c>
      <c r="B1172" s="179" t="s">
        <v>5086</v>
      </c>
      <c r="C1172" s="112" t="s">
        <v>61</v>
      </c>
      <c r="D1172" s="22" t="s">
        <v>62</v>
      </c>
      <c r="E1172" s="6" t="s">
        <v>1904</v>
      </c>
      <c r="F1172" s="22"/>
      <c r="G1172" s="179" t="s">
        <v>5087</v>
      </c>
      <c r="H1172" s="179" t="s">
        <v>4602</v>
      </c>
      <c r="I1172" s="194">
        <v>804167.07</v>
      </c>
      <c r="J1172" s="187" t="s">
        <v>5088</v>
      </c>
      <c r="K1172" s="179" t="s">
        <v>1828</v>
      </c>
      <c r="L1172" s="188"/>
      <c r="M1172" s="34"/>
    </row>
    <row r="1173" spans="1:13">
      <c r="A1173" s="22">
        <v>2012</v>
      </c>
      <c r="B1173" s="179" t="s">
        <v>5089</v>
      </c>
      <c r="C1173" s="112" t="s">
        <v>61</v>
      </c>
      <c r="D1173" s="180" t="s">
        <v>1141</v>
      </c>
      <c r="E1173" s="6" t="s">
        <v>1904</v>
      </c>
      <c r="F1173" s="180"/>
      <c r="G1173" s="178" t="s">
        <v>5090</v>
      </c>
      <c r="H1173" s="187" t="s">
        <v>5091</v>
      </c>
      <c r="I1173" s="194">
        <v>290780.5</v>
      </c>
      <c r="J1173" s="187" t="s">
        <v>5092</v>
      </c>
      <c r="K1173" s="179" t="s">
        <v>2031</v>
      </c>
      <c r="L1173" s="188"/>
      <c r="M1173" s="34"/>
    </row>
    <row r="1174" spans="1:13">
      <c r="A1174" s="22">
        <v>2012</v>
      </c>
      <c r="B1174" s="179" t="s">
        <v>5093</v>
      </c>
      <c r="C1174" s="112" t="s">
        <v>61</v>
      </c>
      <c r="D1174" s="180" t="s">
        <v>4787</v>
      </c>
      <c r="E1174" s="115" t="s">
        <v>1859</v>
      </c>
      <c r="F1174" s="180"/>
      <c r="G1174" s="179" t="s">
        <v>5094</v>
      </c>
      <c r="H1174" s="179" t="s">
        <v>5095</v>
      </c>
      <c r="I1174" s="194">
        <v>14125</v>
      </c>
      <c r="J1174" s="179" t="s">
        <v>5096</v>
      </c>
      <c r="K1174" s="179" t="s">
        <v>1899</v>
      </c>
      <c r="L1174" s="188"/>
      <c r="M1174" s="34"/>
    </row>
    <row r="1175" spans="1:13">
      <c r="A1175" s="22">
        <v>2012</v>
      </c>
      <c r="B1175" s="179" t="s">
        <v>5097</v>
      </c>
      <c r="C1175" s="112" t="s">
        <v>61</v>
      </c>
      <c r="D1175" s="180" t="s">
        <v>5031</v>
      </c>
      <c r="E1175" s="6" t="s">
        <v>1859</v>
      </c>
      <c r="F1175" s="180"/>
      <c r="G1175" s="179" t="s">
        <v>5098</v>
      </c>
      <c r="H1175" s="179" t="s">
        <v>1491</v>
      </c>
      <c r="I1175" s="194">
        <v>100000</v>
      </c>
      <c r="J1175" s="179" t="s">
        <v>5099</v>
      </c>
      <c r="K1175" s="198" t="s">
        <v>2041</v>
      </c>
      <c r="L1175" s="188"/>
      <c r="M1175" s="34"/>
    </row>
    <row r="1176" spans="1:13">
      <c r="A1176" s="22">
        <v>2012</v>
      </c>
      <c r="B1176" s="179" t="s">
        <v>5100</v>
      </c>
      <c r="C1176" s="112" t="s">
        <v>61</v>
      </c>
      <c r="D1176" s="180" t="s">
        <v>1383</v>
      </c>
      <c r="E1176" s="115" t="s">
        <v>1859</v>
      </c>
      <c r="F1176" s="180"/>
      <c r="G1176" s="179" t="s">
        <v>5101</v>
      </c>
      <c r="H1176" s="179" t="s">
        <v>5102</v>
      </c>
      <c r="I1176" s="194">
        <v>142329.60000000001</v>
      </c>
      <c r="J1176" s="187"/>
      <c r="K1176" s="179" t="s">
        <v>1828</v>
      </c>
      <c r="L1176" s="188"/>
      <c r="M1176" s="34"/>
    </row>
    <row r="1177" spans="1:13">
      <c r="A1177" s="22">
        <v>2012</v>
      </c>
      <c r="B1177" s="179" t="s">
        <v>5103</v>
      </c>
      <c r="C1177" s="112" t="s">
        <v>61</v>
      </c>
      <c r="D1177" s="180" t="s">
        <v>4993</v>
      </c>
      <c r="E1177" s="115" t="s">
        <v>1859</v>
      </c>
      <c r="F1177" s="180"/>
      <c r="G1177" s="179" t="s">
        <v>5104</v>
      </c>
      <c r="H1177" s="179" t="s">
        <v>5105</v>
      </c>
      <c r="I1177" s="194">
        <v>37000</v>
      </c>
      <c r="J1177" s="187" t="s">
        <v>5106</v>
      </c>
      <c r="K1177" s="179" t="s">
        <v>1855</v>
      </c>
      <c r="L1177" s="188"/>
      <c r="M1177" s="34"/>
    </row>
    <row r="1178" spans="1:13">
      <c r="A1178" s="22">
        <v>2012</v>
      </c>
      <c r="B1178" s="179" t="s">
        <v>5107</v>
      </c>
      <c r="C1178" s="112" t="s">
        <v>61</v>
      </c>
      <c r="D1178" s="180" t="s">
        <v>4993</v>
      </c>
      <c r="E1178" s="115" t="s">
        <v>1859</v>
      </c>
      <c r="F1178" s="180"/>
      <c r="G1178" s="179" t="s">
        <v>5108</v>
      </c>
      <c r="H1178" s="179" t="s">
        <v>5109</v>
      </c>
      <c r="I1178" s="194">
        <v>46000</v>
      </c>
      <c r="J1178" s="178" t="s">
        <v>5110</v>
      </c>
      <c r="K1178" s="179" t="s">
        <v>1847</v>
      </c>
      <c r="L1178" s="188"/>
      <c r="M1178" s="34"/>
    </row>
    <row r="1179" spans="1:13">
      <c r="A1179" s="22">
        <v>2012</v>
      </c>
      <c r="B1179" s="179" t="s">
        <v>5111</v>
      </c>
      <c r="C1179" s="112" t="s">
        <v>61</v>
      </c>
      <c r="D1179" s="180" t="s">
        <v>4787</v>
      </c>
      <c r="E1179" s="115" t="s">
        <v>1859</v>
      </c>
      <c r="F1179" s="180"/>
      <c r="G1179" s="179" t="s">
        <v>5112</v>
      </c>
      <c r="H1179" s="179" t="s">
        <v>1742</v>
      </c>
      <c r="I1179" s="194">
        <v>50000</v>
      </c>
      <c r="J1179" s="187" t="s">
        <v>5113</v>
      </c>
      <c r="K1179" s="179" t="s">
        <v>1847</v>
      </c>
      <c r="L1179" s="188"/>
      <c r="M1179" s="34"/>
    </row>
    <row r="1180" spans="1:13">
      <c r="A1180" s="22">
        <v>2012</v>
      </c>
      <c r="B1180" s="179" t="s">
        <v>5114</v>
      </c>
      <c r="C1180" s="112" t="s">
        <v>61</v>
      </c>
      <c r="D1180" s="180" t="s">
        <v>4993</v>
      </c>
      <c r="E1180" s="115" t="s">
        <v>1859</v>
      </c>
      <c r="F1180" s="180"/>
      <c r="G1180" s="179" t="s">
        <v>5115</v>
      </c>
      <c r="H1180" s="179" t="s">
        <v>5116</v>
      </c>
      <c r="I1180" s="194">
        <v>55000</v>
      </c>
      <c r="J1180" s="187" t="s">
        <v>5117</v>
      </c>
      <c r="K1180" s="179" t="s">
        <v>1847</v>
      </c>
      <c r="L1180" s="188"/>
      <c r="M1180" s="34"/>
    </row>
    <row r="1181" spans="1:13">
      <c r="A1181" s="22">
        <v>2012</v>
      </c>
      <c r="B1181" s="179" t="s">
        <v>5118</v>
      </c>
      <c r="C1181" s="112" t="s">
        <v>61</v>
      </c>
      <c r="D1181" s="180" t="s">
        <v>1763</v>
      </c>
      <c r="E1181" s="115" t="s">
        <v>1859</v>
      </c>
      <c r="F1181" s="180"/>
      <c r="G1181" s="179" t="s">
        <v>5119</v>
      </c>
      <c r="H1181" s="179" t="s">
        <v>5120</v>
      </c>
      <c r="I1181" s="194">
        <v>20000</v>
      </c>
      <c r="J1181" s="187" t="s">
        <v>5121</v>
      </c>
      <c r="K1181" s="179" t="s">
        <v>1847</v>
      </c>
      <c r="L1181" s="188"/>
      <c r="M1181" s="34"/>
    </row>
    <row r="1182" spans="1:13">
      <c r="A1182" s="22">
        <v>2012</v>
      </c>
      <c r="B1182" s="179" t="s">
        <v>5122</v>
      </c>
      <c r="C1182" s="112" t="s">
        <v>61</v>
      </c>
      <c r="D1182" s="180" t="s">
        <v>4993</v>
      </c>
      <c r="E1182" s="115" t="s">
        <v>1859</v>
      </c>
      <c r="F1182" s="180"/>
      <c r="G1182" s="179" t="s">
        <v>5123</v>
      </c>
      <c r="H1182" s="179" t="s">
        <v>5124</v>
      </c>
      <c r="I1182" s="194">
        <v>40000</v>
      </c>
      <c r="J1182" s="187" t="s">
        <v>5125</v>
      </c>
      <c r="K1182" s="179" t="s">
        <v>1847</v>
      </c>
      <c r="L1182" s="188"/>
      <c r="M1182" s="34"/>
    </row>
    <row r="1183" spans="1:13">
      <c r="A1183" s="22">
        <v>2012</v>
      </c>
      <c r="B1183" s="179" t="s">
        <v>5126</v>
      </c>
      <c r="C1183" s="112" t="s">
        <v>61</v>
      </c>
      <c r="D1183" s="180" t="s">
        <v>1763</v>
      </c>
      <c r="E1183" s="115" t="s">
        <v>1859</v>
      </c>
      <c r="F1183" s="180"/>
      <c r="G1183" s="178" t="s">
        <v>5127</v>
      </c>
      <c r="H1183" s="179" t="s">
        <v>5128</v>
      </c>
      <c r="I1183" s="194">
        <v>26200</v>
      </c>
      <c r="J1183" s="187" t="s">
        <v>5129</v>
      </c>
      <c r="K1183" s="179" t="s">
        <v>1847</v>
      </c>
      <c r="L1183" s="188"/>
      <c r="M1183" s="34"/>
    </row>
    <row r="1184" spans="1:13">
      <c r="A1184" s="22">
        <v>2012</v>
      </c>
      <c r="B1184" s="179" t="s">
        <v>5130</v>
      </c>
      <c r="C1184" s="112" t="s">
        <v>61</v>
      </c>
      <c r="D1184" s="180" t="s">
        <v>4993</v>
      </c>
      <c r="E1184" s="115" t="s">
        <v>1859</v>
      </c>
      <c r="F1184" s="180"/>
      <c r="G1184" s="179" t="s">
        <v>5131</v>
      </c>
      <c r="H1184" s="179" t="s">
        <v>5000</v>
      </c>
      <c r="I1184" s="194">
        <v>40000</v>
      </c>
      <c r="J1184" s="187"/>
      <c r="K1184" s="200" t="s">
        <v>2085</v>
      </c>
      <c r="L1184" s="188"/>
      <c r="M1184" s="34"/>
    </row>
    <row r="1185" spans="1:13">
      <c r="A1185" s="22">
        <v>2012</v>
      </c>
      <c r="B1185" s="179" t="s">
        <v>5132</v>
      </c>
      <c r="C1185" s="112" t="s">
        <v>61</v>
      </c>
      <c r="D1185" s="180" t="s">
        <v>4993</v>
      </c>
      <c r="E1185" s="115" t="s">
        <v>1859</v>
      </c>
      <c r="F1185" s="180"/>
      <c r="G1185" s="179" t="s">
        <v>5133</v>
      </c>
      <c r="H1185" s="179" t="s">
        <v>5134</v>
      </c>
      <c r="I1185" s="194">
        <v>80000</v>
      </c>
      <c r="J1185" s="187" t="s">
        <v>5135</v>
      </c>
      <c r="K1185" s="179" t="s">
        <v>1828</v>
      </c>
      <c r="L1185" s="188"/>
      <c r="M1185" s="34"/>
    </row>
    <row r="1186" spans="1:13">
      <c r="A1186" s="22">
        <v>2012</v>
      </c>
      <c r="B1186" s="179" t="s">
        <v>5136</v>
      </c>
      <c r="C1186" s="112" t="s">
        <v>61</v>
      </c>
      <c r="D1186" s="180" t="s">
        <v>4993</v>
      </c>
      <c r="E1186" s="115" t="s">
        <v>1859</v>
      </c>
      <c r="F1186" s="180"/>
      <c r="G1186" s="179" t="s">
        <v>5137</v>
      </c>
      <c r="H1186" s="179" t="s">
        <v>1689</v>
      </c>
      <c r="I1186" s="194">
        <v>80000</v>
      </c>
      <c r="J1186" s="179" t="s">
        <v>5135</v>
      </c>
      <c r="K1186" s="179" t="s">
        <v>1828</v>
      </c>
      <c r="L1186" s="188"/>
      <c r="M1186" s="34"/>
    </row>
    <row r="1187" spans="1:13">
      <c r="A1187" s="22">
        <v>2012</v>
      </c>
      <c r="B1187" s="179" t="s">
        <v>5138</v>
      </c>
      <c r="C1187" s="112" t="s">
        <v>61</v>
      </c>
      <c r="D1187" s="180" t="s">
        <v>4993</v>
      </c>
      <c r="E1187" s="115" t="s">
        <v>1859</v>
      </c>
      <c r="F1187" s="180"/>
      <c r="G1187" s="179" t="s">
        <v>5139</v>
      </c>
      <c r="H1187" s="179" t="s">
        <v>5140</v>
      </c>
      <c r="I1187" s="194">
        <v>80000</v>
      </c>
      <c r="J1187" s="187" t="s">
        <v>5141</v>
      </c>
      <c r="K1187" s="6" t="s">
        <v>1886</v>
      </c>
      <c r="L1187" s="188"/>
      <c r="M1187" s="34"/>
    </row>
    <row r="1188" spans="1:13">
      <c r="A1188" s="22">
        <v>2012</v>
      </c>
      <c r="B1188" s="179" t="s">
        <v>5142</v>
      </c>
      <c r="C1188" s="112" t="s">
        <v>61</v>
      </c>
      <c r="D1188" s="180" t="s">
        <v>4993</v>
      </c>
      <c r="E1188" s="115" t="s">
        <v>1859</v>
      </c>
      <c r="F1188" s="180"/>
      <c r="G1188" s="179" t="s">
        <v>5143</v>
      </c>
      <c r="H1188" s="179" t="s">
        <v>5033</v>
      </c>
      <c r="I1188" s="194">
        <v>80000</v>
      </c>
      <c r="J1188" s="179" t="s">
        <v>5144</v>
      </c>
      <c r="K1188" s="179" t="s">
        <v>1828</v>
      </c>
      <c r="L1188" s="188"/>
      <c r="M1188" s="34"/>
    </row>
    <row r="1189" spans="1:13">
      <c r="A1189" s="22">
        <v>2012</v>
      </c>
      <c r="B1189" s="179" t="s">
        <v>5145</v>
      </c>
      <c r="C1189" s="112" t="s">
        <v>61</v>
      </c>
      <c r="D1189" s="180" t="s">
        <v>5031</v>
      </c>
      <c r="E1189" s="6"/>
      <c r="F1189" s="180"/>
      <c r="G1189" s="179" t="s">
        <v>5146</v>
      </c>
      <c r="H1189" s="179" t="s">
        <v>5147</v>
      </c>
      <c r="I1189" s="194">
        <v>33600</v>
      </c>
      <c r="J1189" s="179" t="s">
        <v>5148</v>
      </c>
      <c r="K1189" s="179" t="s">
        <v>1899</v>
      </c>
      <c r="L1189" s="188"/>
      <c r="M1189" s="34"/>
    </row>
    <row r="1190" spans="1:13">
      <c r="A1190" s="22">
        <v>2012</v>
      </c>
      <c r="B1190" s="179" t="s">
        <v>5149</v>
      </c>
      <c r="C1190" s="112" t="s">
        <v>61</v>
      </c>
      <c r="D1190" s="180" t="s">
        <v>1763</v>
      </c>
      <c r="E1190" s="115" t="s">
        <v>1859</v>
      </c>
      <c r="F1190" s="180"/>
      <c r="G1190" s="179" t="s">
        <v>5150</v>
      </c>
      <c r="H1190" s="179" t="s">
        <v>5151</v>
      </c>
      <c r="I1190" s="194">
        <v>10425</v>
      </c>
      <c r="J1190" s="179" t="s">
        <v>5152</v>
      </c>
      <c r="K1190" s="179" t="s">
        <v>1828</v>
      </c>
      <c r="L1190" s="188"/>
      <c r="M1190" s="34"/>
    </row>
    <row r="1191" spans="1:13">
      <c r="A1191" s="22">
        <v>2012</v>
      </c>
      <c r="B1191" s="179" t="s">
        <v>5153</v>
      </c>
      <c r="C1191" s="112" t="s">
        <v>61</v>
      </c>
      <c r="D1191" s="180" t="s">
        <v>4993</v>
      </c>
      <c r="E1191" s="115" t="s">
        <v>1859</v>
      </c>
      <c r="F1191" s="180"/>
      <c r="G1191" s="179" t="s">
        <v>5154</v>
      </c>
      <c r="H1191" s="179" t="s">
        <v>5155</v>
      </c>
      <c r="I1191" s="194">
        <v>80000</v>
      </c>
      <c r="J1191" s="179" t="s">
        <v>3686</v>
      </c>
      <c r="K1191" s="6" t="s">
        <v>1886</v>
      </c>
      <c r="L1191" s="188"/>
      <c r="M1191" s="34"/>
    </row>
    <row r="1192" spans="1:13">
      <c r="A1192" s="22">
        <v>2012</v>
      </c>
      <c r="B1192" s="179" t="s">
        <v>5156</v>
      </c>
      <c r="C1192" s="112" t="s">
        <v>61</v>
      </c>
      <c r="D1192" s="180" t="s">
        <v>1763</v>
      </c>
      <c r="E1192" s="115" t="s">
        <v>1859</v>
      </c>
      <c r="F1192" s="180"/>
      <c r="G1192" s="179" t="s">
        <v>5157</v>
      </c>
      <c r="H1192" s="179" t="s">
        <v>5158</v>
      </c>
      <c r="I1192" s="194">
        <v>28600</v>
      </c>
      <c r="J1192" s="187" t="s">
        <v>5159</v>
      </c>
      <c r="K1192" s="6" t="s">
        <v>1886</v>
      </c>
      <c r="L1192" s="188"/>
      <c r="M1192" s="34"/>
    </row>
    <row r="1193" spans="1:13">
      <c r="A1193" s="22">
        <v>2012</v>
      </c>
      <c r="B1193" s="179" t="s">
        <v>5160</v>
      </c>
      <c r="C1193" s="112" t="s">
        <v>61</v>
      </c>
      <c r="D1193" s="180" t="s">
        <v>4993</v>
      </c>
      <c r="E1193" s="115" t="s">
        <v>1859</v>
      </c>
      <c r="F1193" s="180"/>
      <c r="G1193" s="179" t="s">
        <v>5161</v>
      </c>
      <c r="H1193" s="179" t="s">
        <v>5162</v>
      </c>
      <c r="I1193" s="194">
        <v>60000</v>
      </c>
      <c r="J1193" s="187" t="s">
        <v>5163</v>
      </c>
      <c r="K1193" s="179" t="s">
        <v>1828</v>
      </c>
      <c r="L1193" s="188"/>
      <c r="M1193" s="34"/>
    </row>
    <row r="1194" spans="1:13">
      <c r="A1194" s="22">
        <v>2012</v>
      </c>
      <c r="B1194" s="179" t="s">
        <v>5164</v>
      </c>
      <c r="C1194" s="112" t="s">
        <v>61</v>
      </c>
      <c r="D1194" s="180" t="s">
        <v>4993</v>
      </c>
      <c r="E1194" s="115" t="s">
        <v>1859</v>
      </c>
      <c r="F1194" s="180"/>
      <c r="G1194" s="179" t="s">
        <v>5165</v>
      </c>
      <c r="H1194" s="179" t="s">
        <v>5166</v>
      </c>
      <c r="I1194" s="194">
        <v>80000</v>
      </c>
      <c r="J1194" s="187" t="s">
        <v>5167</v>
      </c>
      <c r="K1194" s="179" t="s">
        <v>1828</v>
      </c>
      <c r="L1194" s="188"/>
      <c r="M1194" s="34"/>
    </row>
    <row r="1195" spans="1:13">
      <c r="A1195" s="22">
        <v>2012</v>
      </c>
      <c r="B1195" s="179" t="s">
        <v>5168</v>
      </c>
      <c r="C1195" s="112" t="s">
        <v>61</v>
      </c>
      <c r="D1195" s="180" t="s">
        <v>4993</v>
      </c>
      <c r="E1195" s="115" t="s">
        <v>1859</v>
      </c>
      <c r="F1195" s="180"/>
      <c r="G1195" s="179" t="s">
        <v>5169</v>
      </c>
      <c r="H1195" s="179" t="s">
        <v>5170</v>
      </c>
      <c r="I1195" s="194">
        <v>80000</v>
      </c>
      <c r="J1195" s="187" t="s">
        <v>5171</v>
      </c>
      <c r="K1195" s="179" t="s">
        <v>1828</v>
      </c>
      <c r="L1195" s="188"/>
      <c r="M1195" s="34"/>
    </row>
    <row r="1196" spans="1:13">
      <c r="A1196" s="22">
        <v>2012</v>
      </c>
      <c r="B1196" s="179" t="s">
        <v>5172</v>
      </c>
      <c r="C1196" s="112" t="s">
        <v>61</v>
      </c>
      <c r="D1196" s="180" t="s">
        <v>4993</v>
      </c>
      <c r="E1196" s="115" t="s">
        <v>1859</v>
      </c>
      <c r="F1196" s="180"/>
      <c r="G1196" s="179" t="s">
        <v>3573</v>
      </c>
      <c r="H1196" s="179" t="s">
        <v>5173</v>
      </c>
      <c r="I1196" s="194">
        <v>80000</v>
      </c>
      <c r="J1196" s="187" t="s">
        <v>5135</v>
      </c>
      <c r="K1196" s="179" t="s">
        <v>1828</v>
      </c>
      <c r="L1196" s="188"/>
      <c r="M1196" s="34"/>
    </row>
    <row r="1197" spans="1:13">
      <c r="A1197" s="22">
        <v>2012</v>
      </c>
      <c r="B1197" s="179" t="s">
        <v>5174</v>
      </c>
      <c r="C1197" s="112" t="s">
        <v>61</v>
      </c>
      <c r="D1197" s="180" t="s">
        <v>4993</v>
      </c>
      <c r="E1197" s="115" t="s">
        <v>1859</v>
      </c>
      <c r="F1197" s="180"/>
      <c r="G1197" s="179" t="s">
        <v>5175</v>
      </c>
      <c r="H1197" s="179" t="s">
        <v>5176</v>
      </c>
      <c r="I1197" s="194">
        <v>80000</v>
      </c>
      <c r="J1197" s="187" t="s">
        <v>5135</v>
      </c>
      <c r="K1197" s="179" t="s">
        <v>1828</v>
      </c>
      <c r="L1197" s="188"/>
      <c r="M1197" s="34"/>
    </row>
    <row r="1198" spans="1:13">
      <c r="A1198" s="22">
        <v>2012</v>
      </c>
      <c r="B1198" s="179" t="s">
        <v>5177</v>
      </c>
      <c r="C1198" s="112" t="s">
        <v>61</v>
      </c>
      <c r="D1198" s="180" t="s">
        <v>4993</v>
      </c>
      <c r="E1198" s="115" t="s">
        <v>1859</v>
      </c>
      <c r="F1198" s="180"/>
      <c r="G1198" s="179" t="s">
        <v>5178</v>
      </c>
      <c r="H1198" s="179" t="s">
        <v>5179</v>
      </c>
      <c r="I1198" s="194">
        <v>80000</v>
      </c>
      <c r="J1198" s="187" t="s">
        <v>5180</v>
      </c>
      <c r="K1198" s="179" t="s">
        <v>1828</v>
      </c>
      <c r="L1198" s="188"/>
      <c r="M1198" s="34"/>
    </row>
    <row r="1199" spans="1:13">
      <c r="A1199" s="22">
        <v>2012</v>
      </c>
      <c r="B1199" s="179" t="s">
        <v>5181</v>
      </c>
      <c r="C1199" s="112" t="s">
        <v>61</v>
      </c>
      <c r="D1199" s="180" t="s">
        <v>4993</v>
      </c>
      <c r="E1199" s="115" t="s">
        <v>1859</v>
      </c>
      <c r="F1199" s="180"/>
      <c r="G1199" s="179" t="s">
        <v>5182</v>
      </c>
      <c r="H1199" s="179" t="s">
        <v>5183</v>
      </c>
      <c r="I1199" s="194">
        <v>80000</v>
      </c>
      <c r="J1199" s="179" t="s">
        <v>5171</v>
      </c>
      <c r="K1199" s="179" t="s">
        <v>1828</v>
      </c>
      <c r="L1199" s="188"/>
      <c r="M1199" s="34"/>
    </row>
    <row r="1200" spans="1:13">
      <c r="A1200" s="22">
        <v>2012</v>
      </c>
      <c r="B1200" s="179" t="s">
        <v>5184</v>
      </c>
      <c r="C1200" s="112" t="s">
        <v>61</v>
      </c>
      <c r="D1200" s="180" t="s">
        <v>4993</v>
      </c>
      <c r="E1200" s="115" t="s">
        <v>1859</v>
      </c>
      <c r="F1200" s="180"/>
      <c r="G1200" s="179" t="s">
        <v>5185</v>
      </c>
      <c r="H1200" s="179" t="s">
        <v>5186</v>
      </c>
      <c r="I1200" s="194">
        <v>80000</v>
      </c>
      <c r="J1200" s="179" t="s">
        <v>5187</v>
      </c>
      <c r="K1200" s="179" t="s">
        <v>1828</v>
      </c>
      <c r="L1200" s="188"/>
      <c r="M1200" s="34"/>
    </row>
    <row r="1201" spans="1:13">
      <c r="A1201" s="22">
        <v>2012</v>
      </c>
      <c r="B1201" s="179" t="s">
        <v>5188</v>
      </c>
      <c r="C1201" s="112" t="s">
        <v>61</v>
      </c>
      <c r="D1201" s="180" t="s">
        <v>4993</v>
      </c>
      <c r="E1201" s="115" t="s">
        <v>1859</v>
      </c>
      <c r="F1201" s="180"/>
      <c r="G1201" s="179" t="s">
        <v>5189</v>
      </c>
      <c r="H1201" s="179" t="s">
        <v>5190</v>
      </c>
      <c r="I1201" s="194">
        <v>80000</v>
      </c>
      <c r="J1201" s="179" t="s">
        <v>5171</v>
      </c>
      <c r="K1201" s="179" t="s">
        <v>1828</v>
      </c>
      <c r="L1201" s="188"/>
      <c r="M1201" s="34"/>
    </row>
    <row r="1202" spans="1:13">
      <c r="A1202" s="22">
        <v>2012</v>
      </c>
      <c r="B1202" s="179" t="s">
        <v>5191</v>
      </c>
      <c r="C1202" s="112" t="s">
        <v>61</v>
      </c>
      <c r="D1202" s="180" t="s">
        <v>586</v>
      </c>
      <c r="E1202" s="6" t="s">
        <v>1874</v>
      </c>
      <c r="F1202" s="180"/>
      <c r="G1202" s="179" t="s">
        <v>5192</v>
      </c>
      <c r="H1202" s="179" t="s">
        <v>5193</v>
      </c>
      <c r="I1202" s="194">
        <v>6100</v>
      </c>
      <c r="J1202" s="179" t="s">
        <v>5194</v>
      </c>
      <c r="K1202" s="179" t="s">
        <v>2085</v>
      </c>
      <c r="L1202" s="188"/>
      <c r="M1202" s="34"/>
    </row>
    <row r="1203" spans="1:13">
      <c r="A1203" s="22">
        <v>2012</v>
      </c>
      <c r="B1203" s="179" t="s">
        <v>5195</v>
      </c>
      <c r="C1203" s="112" t="s">
        <v>61</v>
      </c>
      <c r="D1203" s="180" t="s">
        <v>4993</v>
      </c>
      <c r="E1203" s="115" t="s">
        <v>1859</v>
      </c>
      <c r="F1203" s="180"/>
      <c r="G1203" s="179" t="s">
        <v>5196</v>
      </c>
      <c r="H1203" s="179" t="s">
        <v>5197</v>
      </c>
      <c r="I1203" s="194">
        <v>80000</v>
      </c>
      <c r="J1203" s="179" t="s">
        <v>5198</v>
      </c>
      <c r="K1203" s="179" t="s">
        <v>1828</v>
      </c>
      <c r="L1203" s="188"/>
      <c r="M1203" s="34"/>
    </row>
    <row r="1204" spans="1:13">
      <c r="A1204" s="22">
        <v>2012</v>
      </c>
      <c r="B1204" s="179" t="s">
        <v>5199</v>
      </c>
      <c r="C1204" s="112" t="s">
        <v>61</v>
      </c>
      <c r="D1204" s="180" t="s">
        <v>4993</v>
      </c>
      <c r="E1204" s="115" t="s">
        <v>1859</v>
      </c>
      <c r="F1204" s="180"/>
      <c r="G1204" s="179" t="s">
        <v>5200</v>
      </c>
      <c r="H1204" s="179" t="s">
        <v>5201</v>
      </c>
      <c r="I1204" s="194">
        <v>35000</v>
      </c>
      <c r="J1204" s="179" t="s">
        <v>5202</v>
      </c>
      <c r="K1204" s="179" t="s">
        <v>1855</v>
      </c>
      <c r="L1204" s="188"/>
      <c r="M1204" s="34"/>
    </row>
    <row r="1205" spans="1:13">
      <c r="A1205" s="22">
        <v>2012</v>
      </c>
      <c r="B1205" s="179" t="s">
        <v>5203</v>
      </c>
      <c r="C1205" s="112" t="s">
        <v>61</v>
      </c>
      <c r="D1205" s="180" t="s">
        <v>394</v>
      </c>
      <c r="E1205" s="115" t="s">
        <v>1853</v>
      </c>
      <c r="F1205" s="180"/>
      <c r="G1205" s="179" t="s">
        <v>5204</v>
      </c>
      <c r="H1205" s="179" t="s">
        <v>5205</v>
      </c>
      <c r="I1205" s="194">
        <v>32000</v>
      </c>
      <c r="J1205" s="179" t="s">
        <v>5206</v>
      </c>
      <c r="K1205" s="179" t="s">
        <v>1828</v>
      </c>
      <c r="L1205" s="188"/>
      <c r="M1205" s="34"/>
    </row>
    <row r="1206" spans="1:13">
      <c r="A1206" s="22">
        <v>2012</v>
      </c>
      <c r="B1206" s="179" t="s">
        <v>5207</v>
      </c>
      <c r="C1206" s="112" t="s">
        <v>61</v>
      </c>
      <c r="D1206" s="180" t="s">
        <v>4993</v>
      </c>
      <c r="E1206" s="115" t="s">
        <v>1859</v>
      </c>
      <c r="F1206" s="180"/>
      <c r="G1206" s="179" t="s">
        <v>5208</v>
      </c>
      <c r="H1206" s="179" t="s">
        <v>5209</v>
      </c>
      <c r="I1206" s="194">
        <v>80000</v>
      </c>
      <c r="J1206" s="179" t="s">
        <v>5210</v>
      </c>
      <c r="K1206" s="179" t="s">
        <v>1828</v>
      </c>
      <c r="L1206" s="188"/>
      <c r="M1206" s="34"/>
    </row>
    <row r="1207" spans="1:13">
      <c r="A1207" s="22">
        <v>2012</v>
      </c>
      <c r="B1207" s="179" t="s">
        <v>5211</v>
      </c>
      <c r="C1207" s="112" t="s">
        <v>61</v>
      </c>
      <c r="D1207" s="180" t="s">
        <v>1141</v>
      </c>
      <c r="E1207" s="6" t="s">
        <v>1904</v>
      </c>
      <c r="F1207" s="180"/>
      <c r="G1207" s="179" t="s">
        <v>5212</v>
      </c>
      <c r="H1207" s="179" t="s">
        <v>5213</v>
      </c>
      <c r="I1207" s="194">
        <v>81347.399999999994</v>
      </c>
      <c r="J1207" s="179" t="s">
        <v>5214</v>
      </c>
      <c r="K1207" s="179" t="s">
        <v>1855</v>
      </c>
      <c r="L1207" s="188"/>
      <c r="M1207" s="34"/>
    </row>
    <row r="1208" spans="1:13">
      <c r="A1208" s="22">
        <v>2012</v>
      </c>
      <c r="B1208" s="179" t="s">
        <v>5215</v>
      </c>
      <c r="C1208" s="112" t="s">
        <v>61</v>
      </c>
      <c r="D1208" s="180" t="s">
        <v>1383</v>
      </c>
      <c r="E1208" s="115" t="s">
        <v>1859</v>
      </c>
      <c r="F1208" s="180"/>
      <c r="G1208" s="179" t="s">
        <v>5216</v>
      </c>
      <c r="H1208" s="179" t="s">
        <v>4834</v>
      </c>
      <c r="I1208" s="194">
        <v>8016.6</v>
      </c>
      <c r="J1208" s="179" t="s">
        <v>5217</v>
      </c>
      <c r="K1208" s="179" t="s">
        <v>1828</v>
      </c>
      <c r="L1208" s="188"/>
      <c r="M1208" s="34"/>
    </row>
    <row r="1209" spans="1:13">
      <c r="A1209" s="22">
        <v>2012</v>
      </c>
      <c r="B1209" s="179" t="s">
        <v>5218</v>
      </c>
      <c r="C1209" s="112" t="s">
        <v>61</v>
      </c>
      <c r="D1209" s="180" t="s">
        <v>1763</v>
      </c>
      <c r="E1209" s="115" t="s">
        <v>1859</v>
      </c>
      <c r="F1209" s="180"/>
      <c r="G1209" s="179" t="s">
        <v>5219</v>
      </c>
      <c r="H1209" s="179" t="s">
        <v>5220</v>
      </c>
      <c r="I1209" s="194">
        <v>4500</v>
      </c>
      <c r="J1209" s="179" t="s">
        <v>5221</v>
      </c>
      <c r="K1209" s="179" t="s">
        <v>1828</v>
      </c>
      <c r="L1209" s="188"/>
      <c r="M1209" s="34"/>
    </row>
    <row r="1210" spans="1:13">
      <c r="A1210" s="22">
        <v>2012</v>
      </c>
      <c r="B1210" s="179" t="s">
        <v>5222</v>
      </c>
      <c r="C1210" s="112" t="s">
        <v>61</v>
      </c>
      <c r="D1210" s="180" t="s">
        <v>4993</v>
      </c>
      <c r="E1210" s="115" t="s">
        <v>1859</v>
      </c>
      <c r="F1210" s="180"/>
      <c r="G1210" s="179" t="s">
        <v>5223</v>
      </c>
      <c r="H1210" s="179" t="s">
        <v>5224</v>
      </c>
      <c r="I1210" s="194">
        <v>80000</v>
      </c>
      <c r="J1210" s="179" t="s">
        <v>5225</v>
      </c>
      <c r="K1210" s="179" t="s">
        <v>1828</v>
      </c>
      <c r="L1210" s="188"/>
      <c r="M1210" s="34"/>
    </row>
    <row r="1211" spans="1:13">
      <c r="A1211" s="22">
        <v>2012</v>
      </c>
      <c r="B1211" s="179" t="s">
        <v>5226</v>
      </c>
      <c r="C1211" s="112" t="s">
        <v>61</v>
      </c>
      <c r="D1211" s="180" t="s">
        <v>1141</v>
      </c>
      <c r="E1211" s="6" t="s">
        <v>1904</v>
      </c>
      <c r="F1211" s="180"/>
      <c r="G1211" s="179" t="s">
        <v>5227</v>
      </c>
      <c r="H1211" s="179" t="s">
        <v>5228</v>
      </c>
      <c r="I1211" s="194">
        <v>48060.02</v>
      </c>
      <c r="J1211" s="179" t="s">
        <v>4425</v>
      </c>
      <c r="K1211" s="6" t="s">
        <v>1886</v>
      </c>
      <c r="L1211" s="188"/>
      <c r="M1211" s="34"/>
    </row>
    <row r="1212" spans="1:13">
      <c r="A1212" s="22">
        <v>2012</v>
      </c>
      <c r="B1212" s="179" t="s">
        <v>5229</v>
      </c>
      <c r="C1212" s="112" t="s">
        <v>61</v>
      </c>
      <c r="D1212" s="180" t="s">
        <v>4993</v>
      </c>
      <c r="E1212" s="115" t="s">
        <v>1859</v>
      </c>
      <c r="F1212" s="180"/>
      <c r="G1212" s="179" t="s">
        <v>5230</v>
      </c>
      <c r="H1212" s="179" t="s">
        <v>5231</v>
      </c>
      <c r="I1212" s="194">
        <v>80000</v>
      </c>
      <c r="J1212" s="179" t="s">
        <v>5206</v>
      </c>
      <c r="K1212" s="179" t="s">
        <v>1828</v>
      </c>
      <c r="L1212" s="188"/>
      <c r="M1212" s="34"/>
    </row>
    <row r="1213" spans="1:13">
      <c r="A1213" s="22">
        <v>2012</v>
      </c>
      <c r="B1213" s="179" t="s">
        <v>5232</v>
      </c>
      <c r="C1213" s="112" t="s">
        <v>61</v>
      </c>
      <c r="D1213" s="180" t="s">
        <v>4993</v>
      </c>
      <c r="E1213" s="115" t="s">
        <v>1859</v>
      </c>
      <c r="F1213" s="180"/>
      <c r="G1213" s="179" t="s">
        <v>5233</v>
      </c>
      <c r="H1213" s="179" t="s">
        <v>5234</v>
      </c>
      <c r="I1213" s="194">
        <v>80000</v>
      </c>
      <c r="J1213" s="179" t="s">
        <v>5235</v>
      </c>
      <c r="K1213" s="179" t="s">
        <v>1828</v>
      </c>
      <c r="L1213" s="188"/>
      <c r="M1213" s="34"/>
    </row>
    <row r="1214" spans="1:13">
      <c r="A1214" s="22">
        <v>2012</v>
      </c>
      <c r="B1214" s="179" t="s">
        <v>5236</v>
      </c>
      <c r="C1214" s="112" t="s">
        <v>61</v>
      </c>
      <c r="D1214" s="180" t="s">
        <v>113</v>
      </c>
      <c r="E1214" s="6"/>
      <c r="F1214" s="180"/>
      <c r="G1214" s="179" t="s">
        <v>5237</v>
      </c>
      <c r="H1214" s="179" t="s">
        <v>5238</v>
      </c>
      <c r="I1214" s="194">
        <v>47000</v>
      </c>
      <c r="J1214" s="190"/>
      <c r="K1214" s="179" t="s">
        <v>1828</v>
      </c>
      <c r="L1214" s="188"/>
      <c r="M1214" s="34"/>
    </row>
    <row r="1215" spans="1:13">
      <c r="A1215" s="22">
        <v>2012</v>
      </c>
      <c r="B1215" s="179" t="s">
        <v>5239</v>
      </c>
      <c r="C1215" s="112" t="s">
        <v>61</v>
      </c>
      <c r="D1215" s="180" t="s">
        <v>4993</v>
      </c>
      <c r="E1215" s="115" t="s">
        <v>1859</v>
      </c>
      <c r="F1215" s="180"/>
      <c r="G1215" s="179" t="s">
        <v>5240</v>
      </c>
      <c r="H1215" s="179" t="s">
        <v>5241</v>
      </c>
      <c r="I1215" s="194">
        <v>80000</v>
      </c>
      <c r="J1215" s="179" t="s">
        <v>5242</v>
      </c>
      <c r="K1215" s="179" t="s">
        <v>1828</v>
      </c>
      <c r="L1215" s="188"/>
      <c r="M1215" s="34"/>
    </row>
    <row r="1216" spans="1:13">
      <c r="A1216" s="22">
        <v>2012</v>
      </c>
      <c r="B1216" s="179" t="s">
        <v>5243</v>
      </c>
      <c r="C1216" s="112" t="s">
        <v>61</v>
      </c>
      <c r="D1216" s="180" t="s">
        <v>4993</v>
      </c>
      <c r="E1216" s="115" t="s">
        <v>1859</v>
      </c>
      <c r="F1216" s="180"/>
      <c r="G1216" s="179" t="s">
        <v>5244</v>
      </c>
      <c r="H1216" s="179" t="s">
        <v>5245</v>
      </c>
      <c r="I1216" s="194">
        <v>20300</v>
      </c>
      <c r="J1216" s="179" t="s">
        <v>5246</v>
      </c>
      <c r="K1216" s="179" t="s">
        <v>1828</v>
      </c>
      <c r="L1216" s="188"/>
      <c r="M1216" s="34"/>
    </row>
    <row r="1217" spans="1:13">
      <c r="A1217" s="22">
        <v>2012</v>
      </c>
      <c r="B1217" s="179" t="s">
        <v>5247</v>
      </c>
      <c r="C1217" s="112" t="s">
        <v>61</v>
      </c>
      <c r="D1217" s="180" t="s">
        <v>1141</v>
      </c>
      <c r="E1217" s="6" t="s">
        <v>1904</v>
      </c>
      <c r="F1217" s="180"/>
      <c r="G1217" s="179" t="s">
        <v>5248</v>
      </c>
      <c r="H1217" s="179" t="s">
        <v>5249</v>
      </c>
      <c r="I1217" s="194">
        <v>120855</v>
      </c>
      <c r="J1217" s="179" t="s">
        <v>4637</v>
      </c>
      <c r="K1217" s="6" t="s">
        <v>2082</v>
      </c>
      <c r="L1217" s="188"/>
      <c r="M1217" s="34"/>
    </row>
    <row r="1218" spans="1:13">
      <c r="A1218" s="208">
        <v>2012</v>
      </c>
      <c r="B1218" s="179" t="s">
        <v>5250</v>
      </c>
      <c r="C1218" s="209"/>
      <c r="D1218" s="190"/>
      <c r="E1218" s="6"/>
      <c r="F1218" s="191"/>
      <c r="G1218" s="190"/>
      <c r="H1218" s="190"/>
      <c r="I1218" s="190"/>
      <c r="J1218" s="190"/>
      <c r="K1218" s="190"/>
      <c r="L1218" s="188"/>
      <c r="M1218" s="34"/>
    </row>
    <row r="1219" spans="1:13">
      <c r="A1219" s="22">
        <v>2012</v>
      </c>
      <c r="B1219" s="179" t="s">
        <v>5251</v>
      </c>
      <c r="C1219" s="112" t="s">
        <v>61</v>
      </c>
      <c r="D1219" s="180" t="s">
        <v>4993</v>
      </c>
      <c r="E1219" s="115" t="s">
        <v>1859</v>
      </c>
      <c r="F1219" s="180"/>
      <c r="G1219" s="196" t="s">
        <v>5252</v>
      </c>
      <c r="H1219" s="179" t="s">
        <v>5253</v>
      </c>
      <c r="I1219" s="194">
        <v>36000</v>
      </c>
      <c r="J1219" s="179" t="s">
        <v>5254</v>
      </c>
      <c r="K1219" s="6" t="s">
        <v>1886</v>
      </c>
      <c r="L1219" s="188"/>
      <c r="M1219" s="34"/>
    </row>
    <row r="1220" spans="1:13">
      <c r="A1220" s="22">
        <v>2012</v>
      </c>
      <c r="B1220" s="179" t="s">
        <v>5255</v>
      </c>
      <c r="C1220" s="112" t="s">
        <v>61</v>
      </c>
      <c r="D1220" s="180" t="s">
        <v>1763</v>
      </c>
      <c r="E1220" s="115" t="s">
        <v>1859</v>
      </c>
      <c r="F1220" s="180"/>
      <c r="G1220" s="179" t="s">
        <v>5256</v>
      </c>
      <c r="H1220" s="179" t="s">
        <v>5257</v>
      </c>
      <c r="I1220" s="194">
        <v>7650</v>
      </c>
      <c r="J1220" s="179" t="s">
        <v>5258</v>
      </c>
      <c r="K1220" s="179" t="s">
        <v>1828</v>
      </c>
      <c r="L1220" s="188"/>
      <c r="M1220" s="34"/>
    </row>
    <row r="1221" spans="1:13">
      <c r="A1221" s="22">
        <v>2012</v>
      </c>
      <c r="B1221" s="179" t="s">
        <v>5259</v>
      </c>
      <c r="C1221" s="112" t="s">
        <v>61</v>
      </c>
      <c r="D1221" s="180" t="s">
        <v>4787</v>
      </c>
      <c r="E1221" s="115" t="s">
        <v>1859</v>
      </c>
      <c r="F1221" s="180"/>
      <c r="G1221" s="179" t="s">
        <v>5260</v>
      </c>
      <c r="H1221" s="179" t="s">
        <v>5261</v>
      </c>
      <c r="I1221" s="194">
        <v>55000</v>
      </c>
      <c r="J1221" s="179"/>
      <c r="K1221" s="190" t="s">
        <v>1828</v>
      </c>
      <c r="L1221" s="188"/>
      <c r="M1221" s="34"/>
    </row>
    <row r="1222" spans="1:13">
      <c r="A1222" s="22">
        <v>2012</v>
      </c>
      <c r="B1222" s="179" t="s">
        <v>5262</v>
      </c>
      <c r="C1222" s="112" t="s">
        <v>61</v>
      </c>
      <c r="D1222" s="180" t="s">
        <v>1763</v>
      </c>
      <c r="E1222" s="115" t="s">
        <v>1859</v>
      </c>
      <c r="F1222" s="180"/>
      <c r="G1222" s="179" t="s">
        <v>5263</v>
      </c>
      <c r="H1222" s="179" t="s">
        <v>5264</v>
      </c>
      <c r="I1222" s="194">
        <v>8400</v>
      </c>
      <c r="J1222" s="179" t="s">
        <v>5265</v>
      </c>
      <c r="K1222" s="179" t="s">
        <v>1847</v>
      </c>
      <c r="L1222" s="188"/>
      <c r="M1222" s="34"/>
    </row>
    <row r="1223" spans="1:13">
      <c r="A1223" s="22">
        <v>2012</v>
      </c>
      <c r="B1223" s="179" t="s">
        <v>5266</v>
      </c>
      <c r="C1223" s="112" t="s">
        <v>61</v>
      </c>
      <c r="D1223" s="180" t="s">
        <v>62</v>
      </c>
      <c r="E1223" s="6" t="s">
        <v>1904</v>
      </c>
      <c r="F1223" s="180"/>
      <c r="G1223" s="179" t="s">
        <v>5267</v>
      </c>
      <c r="H1223" s="179" t="s">
        <v>5268</v>
      </c>
      <c r="I1223" s="194">
        <v>612375.27</v>
      </c>
      <c r="J1223" s="179" t="s">
        <v>5269</v>
      </c>
      <c r="K1223" s="179" t="s">
        <v>1847</v>
      </c>
      <c r="L1223" s="188"/>
      <c r="M1223" s="34"/>
    </row>
    <row r="1224" spans="1:13">
      <c r="A1224" s="208">
        <v>2012</v>
      </c>
      <c r="B1224" s="190" t="s">
        <v>5270</v>
      </c>
      <c r="C1224" s="209"/>
      <c r="D1224" s="190"/>
      <c r="E1224" s="6"/>
      <c r="F1224" s="191"/>
      <c r="G1224" s="190"/>
      <c r="H1224" s="190"/>
      <c r="I1224" s="190"/>
      <c r="J1224" s="190"/>
      <c r="K1224" s="190"/>
      <c r="L1224" s="188"/>
      <c r="M1224" s="34"/>
    </row>
    <row r="1225" spans="1:13">
      <c r="A1225" s="22">
        <v>2012</v>
      </c>
      <c r="B1225" s="179" t="s">
        <v>5271</v>
      </c>
      <c r="C1225" s="112" t="s">
        <v>61</v>
      </c>
      <c r="D1225" s="180" t="s">
        <v>5031</v>
      </c>
      <c r="E1225" s="6"/>
      <c r="F1225" s="180"/>
      <c r="G1225" s="179" t="s">
        <v>5272</v>
      </c>
      <c r="H1225" s="179" t="s">
        <v>5273</v>
      </c>
      <c r="I1225" s="194">
        <v>45000</v>
      </c>
      <c r="J1225" s="179" t="s">
        <v>5034</v>
      </c>
      <c r="K1225" s="179" t="s">
        <v>1828</v>
      </c>
      <c r="L1225" s="188"/>
      <c r="M1225" s="34"/>
    </row>
    <row r="1226" spans="1:13">
      <c r="A1226" s="22">
        <v>2012</v>
      </c>
      <c r="B1226" s="179" t="s">
        <v>5274</v>
      </c>
      <c r="C1226" s="112" t="s">
        <v>61</v>
      </c>
      <c r="D1226" s="180" t="s">
        <v>5031</v>
      </c>
      <c r="E1226" s="6"/>
      <c r="F1226" s="180"/>
      <c r="G1226" s="179" t="s">
        <v>5275</v>
      </c>
      <c r="H1226" s="179" t="s">
        <v>5276</v>
      </c>
      <c r="I1226" s="194">
        <v>50000</v>
      </c>
      <c r="J1226" s="179" t="s">
        <v>5277</v>
      </c>
      <c r="K1226" s="179" t="s">
        <v>1828</v>
      </c>
      <c r="L1226" s="188"/>
      <c r="M1226" s="34"/>
    </row>
    <row r="1227" spans="1:13">
      <c r="A1227" s="22">
        <v>2012</v>
      </c>
      <c r="B1227" s="179" t="s">
        <v>5278</v>
      </c>
      <c r="C1227" s="112" t="s">
        <v>61</v>
      </c>
      <c r="D1227" s="180" t="s">
        <v>5031</v>
      </c>
      <c r="E1227" s="6"/>
      <c r="F1227" s="180"/>
      <c r="G1227" s="179" t="s">
        <v>5279</v>
      </c>
      <c r="H1227" s="179" t="s">
        <v>5280</v>
      </c>
      <c r="I1227" s="194">
        <v>30000</v>
      </c>
      <c r="J1227" s="180" t="s">
        <v>5281</v>
      </c>
      <c r="K1227" s="6" t="s">
        <v>1886</v>
      </c>
      <c r="L1227" s="188"/>
      <c r="M1227" s="34"/>
    </row>
    <row r="1228" spans="1:13">
      <c r="A1228" s="22">
        <v>2012</v>
      </c>
      <c r="B1228" s="179" t="s">
        <v>5282</v>
      </c>
      <c r="C1228" s="112" t="s">
        <v>61</v>
      </c>
      <c r="D1228" s="180" t="s">
        <v>1383</v>
      </c>
      <c r="E1228" s="115" t="s">
        <v>1859</v>
      </c>
      <c r="F1228" s="180"/>
      <c r="G1228" s="179" t="s">
        <v>5283</v>
      </c>
      <c r="H1228" s="179" t="s">
        <v>5284</v>
      </c>
      <c r="I1228" s="194">
        <v>50000</v>
      </c>
      <c r="J1228" s="179" t="s">
        <v>5285</v>
      </c>
      <c r="K1228" s="179" t="s">
        <v>1828</v>
      </c>
      <c r="L1228" s="188"/>
      <c r="M1228" s="34"/>
    </row>
    <row r="1229" spans="1:13">
      <c r="A1229" s="22">
        <v>2012</v>
      </c>
      <c r="B1229" s="179" t="s">
        <v>5286</v>
      </c>
      <c r="C1229" s="112" t="s">
        <v>61</v>
      </c>
      <c r="D1229" s="180" t="s">
        <v>4787</v>
      </c>
      <c r="E1229" s="115" t="s">
        <v>1859</v>
      </c>
      <c r="F1229" s="180"/>
      <c r="G1229" s="179" t="s">
        <v>5287</v>
      </c>
      <c r="H1229" s="179" t="s">
        <v>5288</v>
      </c>
      <c r="I1229" s="194">
        <v>214200</v>
      </c>
      <c r="J1229" s="179"/>
      <c r="K1229" s="179" t="s">
        <v>1828</v>
      </c>
      <c r="L1229" s="188"/>
      <c r="M1229" s="34"/>
    </row>
    <row r="1230" spans="1:13">
      <c r="A1230" s="22">
        <v>2012</v>
      </c>
      <c r="B1230" s="179" t="s">
        <v>5289</v>
      </c>
      <c r="C1230" s="112" t="s">
        <v>61</v>
      </c>
      <c r="D1230" s="180" t="s">
        <v>1763</v>
      </c>
      <c r="E1230" s="115" t="s">
        <v>1859</v>
      </c>
      <c r="F1230" s="180"/>
      <c r="G1230" s="179" t="s">
        <v>5290</v>
      </c>
      <c r="H1230" s="179" t="s">
        <v>5291</v>
      </c>
      <c r="I1230" s="194">
        <v>7650</v>
      </c>
      <c r="J1230" s="179" t="s">
        <v>5292</v>
      </c>
      <c r="K1230" s="179" t="s">
        <v>1847</v>
      </c>
      <c r="L1230" s="188"/>
      <c r="M1230" s="34"/>
    </row>
    <row r="1231" spans="1:13">
      <c r="A1231" s="22">
        <v>2012</v>
      </c>
      <c r="B1231" s="179" t="s">
        <v>5293</v>
      </c>
      <c r="C1231" s="112" t="s">
        <v>61</v>
      </c>
      <c r="D1231" s="180" t="s">
        <v>5031</v>
      </c>
      <c r="E1231" s="6" t="s">
        <v>1859</v>
      </c>
      <c r="F1231" s="180"/>
      <c r="G1231" s="179" t="s">
        <v>5294</v>
      </c>
      <c r="H1231" s="179" t="s">
        <v>5295</v>
      </c>
      <c r="I1231" s="194">
        <v>34000</v>
      </c>
      <c r="J1231" s="179" t="s">
        <v>5296</v>
      </c>
      <c r="K1231" s="198" t="s">
        <v>2041</v>
      </c>
      <c r="L1231" s="188"/>
      <c r="M1231" s="34"/>
    </row>
    <row r="1232" spans="1:13">
      <c r="A1232" s="22">
        <v>2012</v>
      </c>
      <c r="B1232" s="179" t="s">
        <v>5297</v>
      </c>
      <c r="C1232" s="112" t="s">
        <v>61</v>
      </c>
      <c r="D1232" s="180" t="s">
        <v>394</v>
      </c>
      <c r="E1232" s="115" t="s">
        <v>1853</v>
      </c>
      <c r="F1232" s="180"/>
      <c r="G1232" s="179" t="s">
        <v>4324</v>
      </c>
      <c r="H1232" s="179" t="s">
        <v>5298</v>
      </c>
      <c r="I1232" s="194">
        <v>46800</v>
      </c>
      <c r="J1232" s="179"/>
      <c r="K1232" s="179" t="s">
        <v>1855</v>
      </c>
      <c r="L1232" s="188"/>
      <c r="M1232" s="34"/>
    </row>
    <row r="1233" spans="1:13">
      <c r="A1233" s="208">
        <v>2012</v>
      </c>
      <c r="B1233" s="190" t="s">
        <v>5299</v>
      </c>
      <c r="C1233" s="209"/>
      <c r="D1233" s="190"/>
      <c r="E1233" s="34"/>
      <c r="F1233" s="191"/>
      <c r="G1233" s="190"/>
      <c r="H1233" s="190"/>
      <c r="I1233" s="190"/>
      <c r="J1233" s="190"/>
      <c r="K1233" s="190"/>
      <c r="L1233" s="188"/>
      <c r="M1233" s="34"/>
    </row>
    <row r="1234" spans="1:13">
      <c r="A1234" s="208">
        <v>2012</v>
      </c>
      <c r="B1234" s="190" t="s">
        <v>5300</v>
      </c>
      <c r="C1234" s="209"/>
      <c r="D1234" s="190"/>
      <c r="E1234" s="34"/>
      <c r="F1234" s="191"/>
      <c r="G1234" s="190"/>
      <c r="H1234" s="190"/>
      <c r="I1234" s="190"/>
      <c r="J1234" s="190"/>
      <c r="K1234" s="190"/>
      <c r="L1234" s="188"/>
      <c r="M1234" s="34"/>
    </row>
    <row r="1235" spans="1:13">
      <c r="A1235" s="22">
        <v>2012</v>
      </c>
      <c r="B1235" s="179" t="s">
        <v>5301</v>
      </c>
      <c r="C1235" s="112" t="s">
        <v>61</v>
      </c>
      <c r="D1235" s="22" t="s">
        <v>113</v>
      </c>
      <c r="E1235" s="34"/>
      <c r="F1235" s="22"/>
      <c r="G1235" s="179" t="s">
        <v>5302</v>
      </c>
      <c r="H1235" s="179" t="s">
        <v>2331</v>
      </c>
      <c r="I1235" s="194">
        <v>98080</v>
      </c>
      <c r="J1235" s="179"/>
      <c r="K1235" s="179" t="s">
        <v>1828</v>
      </c>
      <c r="L1235" s="188"/>
      <c r="M1235" s="34"/>
    </row>
    <row r="1236" spans="1:13">
      <c r="A1236" s="22">
        <v>2012</v>
      </c>
      <c r="B1236" s="179" t="s">
        <v>5303</v>
      </c>
      <c r="C1236" s="112" t="s">
        <v>61</v>
      </c>
      <c r="D1236" s="180" t="s">
        <v>1383</v>
      </c>
      <c r="E1236" s="115" t="s">
        <v>1859</v>
      </c>
      <c r="F1236" s="180"/>
      <c r="G1236" s="179" t="s">
        <v>5304</v>
      </c>
      <c r="H1236" s="179" t="s">
        <v>4469</v>
      </c>
      <c r="I1236" s="194">
        <v>50000</v>
      </c>
      <c r="J1236" s="179" t="s">
        <v>4470</v>
      </c>
      <c r="K1236" s="179" t="s">
        <v>1899</v>
      </c>
      <c r="L1236" s="188"/>
      <c r="M1236" s="34"/>
    </row>
  </sheetData>
  <conditionalFormatting sqref="C1:C122 C1094:C1236">
    <cfRule type="containsText" dxfId="0" priority="1" operator="containsText" text="Allocation">
      <formula>NOT(ISERROR(SEARCH(("Allocation"),(C1))))</formula>
    </cfRule>
  </conditionalFormatting>
  <dataValidations count="5">
    <dataValidation type="list" allowBlank="1" sqref="D845 F845 D847 F847 D849:D854 F849:F854 D856:D864 F856:F864 D866:D872 F866:F872 D874:D879 F874:F879 D882:D885 F881:F885 D887:D889 F887:F889 D893:D898 F893:F898 D907 F907 D909:D926 D928:D951 F909:F951 D953:D967 F953:F967 D969:D979 F969:F979 D981:D983 F981:F983 D985:D988 F985:F988 D991:D994 F991:F994 D997 F997 D1001 F1001 D1005:D1032 F1005:F1032 D1034:D1037 F1034:F1037 D1039:D1041 F1039:F1041 D1043:D1047 F1043:F1047 D1049:D1053 F1049:F1053 D1059 F1059 D1064:D1065 F1064:F1065 D1068 F1068 D1070 F1070 D1077 F1077 D1079:D1080 F1079:F1080 D1082:D1086 F1082:F1086 D1088:D1094 F1088:F1094 D1097:D1119 F1097:F1119 D1122 F1122 D1125:D1126 F1125:F1126 D1128:D1129 F1128:F1129 D1132 F1132 D1135 F1135 D1137 F1137 D1149:D1150 F1149:F1150 D1155 F1155 D1157:D1158 F1157:F1158 D1161 F1161 D1173 F1173 D1176:D1178 F1176:F1178 D1180:D1183 F1180:F1183 D1190 F1190 D1192 F1192 D1204:D1205 F1204:F1205 D1207:D1209 F1207:F1209 D1211 F1211 D1214 F1214 D1217 F1217 D1220 F1220 D1222 F1222 D1228 F1228 D1230 F1230 D1232 F1232 D1236 F1236" xr:uid="{00000000-0002-0000-2900-000000000000}">
      <formula1>"IPRAP,IBED,IBID,Testing and Analyses,TechniCom,ISP,IGF,Accreditation,Enforcement,ISTE,ACU-N,ACU-I,MAP,PMAP,TBED,DTTC,VFP,I-TECH,IBED 2,DATBED,YET,CAMPI,MPEX,DTTC,TIFT"</formula1>
    </dataValidation>
    <dataValidation type="list" allowBlank="1" showInputMessage="1" prompt="Click and enter a value from the list of items" sqref="C888 C1006" xr:uid="{00000000-0002-0000-2900-000001000000}">
      <formula1>"Allocation,Termination,Guidelines"</formula1>
    </dataValidation>
    <dataValidation type="list" allowBlank="1" sqref="D1048 F1048 D1054 F1054 D1058 F1058 D1069 F1069 D1071 F1071 D1073:D1074 F1073:F1074 D1076 F1076 D1078 F1078 D1081 F1081 D1087 F1087 D1096 F1096 D1121 F1121 D1127 F1127 D1153 F1153 D1162 F1162 D1171 F1171 D1174 F1174 D1179 F1179 D1221 F1221" xr:uid="{00000000-0002-0000-2900-000002000000}">
      <formula1>"IPRAP,IBED,IBID,Testing and Analyses,TechniCom,ISP,IGF,Accreditation,Enforcement,ISTE,RICE/NICE,ACU-N,ACU-I,MAP,PMAP,TBED,DTTC,VFP,I-TECH,IBED 2,DATBED,YET,CAMPI,MPEX,DTTC,TIFT,Pilot"</formula1>
    </dataValidation>
    <dataValidation type="list" allowBlank="1" sqref="K845:K869 K871:K878 K880:K881 K884:K889 K892:K897 K900:K901 K905:K908 K910:K923 K925:K935 K937:K939 K941:K944 K946:K948 K950:K957 K959:K962 K964:K976 K978 K980:K985 K987:K991 K993:K998 K1001:K1003 K1005:K1013 K1016:K1033 K1035:K1049 K1052:K1068 K1071 K1073:K1075 K1078 K1080:K1083 K1086:K1088 K1090:K1097 K1099 K1101:K1104 K1106:K1110 K1112:K1120 K1122:K1135 K1137:K1138 K1146 K1152 K1161 K1163 K1174:K1175 K1177 K1189 K1204 K1207 K1231:K1232 K1236" xr:uid="{00000000-0002-0000-2900-000003000000}">
      <formula1>"Region I – Ilocos Region,Region II – Cagayan Valley,Region III – Central Luzon,Region IV‑A – CALABARZON,MIMAROPA Region,Region V – Bicol Region,Region VI – Western Visayas,Region VII – Central Visayas,Region VIII – Eastern Visayas,Region IX – Zamboanga Pe"&amp;"ninsula,Region X – Northern Mindanao,Region XI – Davao Region,Region XII – SOCCSKSARGEN,Region XIII – Caraga,NCR – National Capital Region,CAR – Cordillera Administrative Region,BARMM – Bangsamoro Autonomous Region in Muslim Mindanao"</formula1>
    </dataValidation>
    <dataValidation type="list" allowBlank="1" sqref="C1062 C1100" xr:uid="{00000000-0002-0000-2900-000004000000}">
      <formula1>"Allocation,Termination,Guidelines"</formula1>
    </dataValidation>
  </dataValidations>
  <printOptions horizontalCentered="1" gridLines="1"/>
  <pageMargins left="0.7" right="0.7" top="0.75" bottom="0.75" header="0" footer="0"/>
  <pageSetup paperSize="5"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STARTUPS</vt:lpstr>
      <vt:lpstr>Copy of IDD_STARTUPS</vt:lpstr>
      <vt:lpstr>IDD-Projects (2018-2025)</vt:lpstr>
      <vt:lpstr>IBOD-Projects (2018-2025)</vt:lpstr>
      <vt:lpstr>Copy of TIPD_STARTUPS</vt:lpstr>
      <vt:lpstr>TIPD-Projects (2018-2025)</vt:lpstr>
      <vt:lpstr>LU-STARTUPS</vt:lpstr>
      <vt:lpstr>LEGAL-Projects (2018-2025)</vt:lpstr>
      <vt:lpstr>CONSOLIDATED-ASSISTED STARTUP</vt:lpstr>
      <vt:lpstr>Consolidated</vt:lpstr>
      <vt:lpstr>Copy of DOST-TAPI ASSISTED PROJ</vt:lpstr>
      <vt:lpstr>Consolidated-for updating</vt:lpstr>
      <vt:lpstr>2025</vt:lpstr>
      <vt:lpstr>2024</vt:lpstr>
      <vt:lpstr>Copy of 2023 GIA SummaryMonitor</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2023 Summary</vt:lpstr>
      <vt:lpstr>2007</vt:lpstr>
      <vt:lpstr>2006</vt:lpstr>
      <vt:lpstr>2005</vt:lpstr>
      <vt:lpstr>2004</vt:lpstr>
      <vt:lpstr>2003</vt:lpstr>
      <vt:lpstr>2002</vt:lpstr>
      <vt:lpstr>2001</vt:lpstr>
      <vt:lpstr>Statistics</vt:lpstr>
      <vt:lpstr>Consolidated2</vt:lpstr>
      <vt:lpstr>Copy of Consolidated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Kemuel Joshua Mariano</cp:lastModifiedBy>
  <dcterms:modified xsi:type="dcterms:W3CDTF">2026-07-28T10:14:29Z</dcterms:modified>
</cp:coreProperties>
</file>